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1850"/>
  </bookViews>
  <sheets>
    <sheet name="TDSheet" sheetId="1" r:id="rId1"/>
  </sheet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307" i="1" l="1"/>
  <c r="O5307" i="1"/>
  <c r="N5307" i="1"/>
  <c r="M5307" i="1"/>
  <c r="S5305" i="1"/>
  <c r="O5305" i="1"/>
  <c r="N5305" i="1"/>
  <c r="M5305" i="1"/>
  <c r="S5303" i="1"/>
  <c r="O5303" i="1"/>
  <c r="N5303" i="1"/>
  <c r="M5303" i="1"/>
  <c r="S5302" i="1"/>
  <c r="O5302" i="1"/>
  <c r="N5302" i="1"/>
  <c r="M5302" i="1"/>
  <c r="S5301" i="1"/>
  <c r="O5301" i="1"/>
  <c r="N5301" i="1"/>
  <c r="M5301" i="1"/>
  <c r="S5299" i="1"/>
  <c r="O5299" i="1"/>
  <c r="N5299" i="1"/>
  <c r="M5299" i="1"/>
  <c r="S5298" i="1"/>
  <c r="O5298" i="1"/>
  <c r="N5298" i="1"/>
  <c r="M5298" i="1"/>
  <c r="S5297" i="1"/>
  <c r="O5297" i="1"/>
  <c r="N5297" i="1"/>
  <c r="M5297" i="1"/>
  <c r="S5296" i="1"/>
  <c r="O5296" i="1"/>
  <c r="N5296" i="1"/>
  <c r="M5296" i="1"/>
  <c r="S5295" i="1"/>
  <c r="O5295" i="1"/>
  <c r="N5295" i="1"/>
  <c r="M5295" i="1"/>
  <c r="S5294" i="1"/>
  <c r="O5294" i="1"/>
  <c r="N5294" i="1"/>
  <c r="M5294" i="1"/>
  <c r="S5292" i="1"/>
  <c r="O5292" i="1"/>
  <c r="N5292" i="1"/>
  <c r="M5292" i="1"/>
  <c r="S5291" i="1"/>
  <c r="O5291" i="1"/>
  <c r="N5291" i="1"/>
  <c r="M5291" i="1"/>
  <c r="S5290" i="1"/>
  <c r="O5290" i="1"/>
  <c r="N5290" i="1"/>
  <c r="M5290" i="1"/>
  <c r="S5289" i="1"/>
  <c r="O5289" i="1"/>
  <c r="N5289" i="1"/>
  <c r="M5289" i="1"/>
  <c r="S5288" i="1"/>
  <c r="O5288" i="1"/>
  <c r="N5288" i="1"/>
  <c r="M5288" i="1"/>
  <c r="S5287" i="1"/>
  <c r="O5287" i="1"/>
  <c r="N5287" i="1"/>
  <c r="M5287" i="1"/>
  <c r="S5286" i="1"/>
  <c r="O5286" i="1"/>
  <c r="N5286" i="1"/>
  <c r="M5286" i="1"/>
  <c r="S5285" i="1"/>
  <c r="O5285" i="1"/>
  <c r="N5285" i="1"/>
  <c r="M5285" i="1"/>
  <c r="S5284" i="1"/>
  <c r="O5284" i="1"/>
  <c r="N5284" i="1"/>
  <c r="M5284" i="1"/>
  <c r="S5283" i="1"/>
  <c r="O5283" i="1"/>
  <c r="N5283" i="1"/>
  <c r="M5283" i="1"/>
  <c r="S5282" i="1"/>
  <c r="O5282" i="1"/>
  <c r="N5282" i="1"/>
  <c r="M5282" i="1"/>
  <c r="S5280" i="1"/>
  <c r="O5280" i="1"/>
  <c r="N5280" i="1"/>
  <c r="M5280" i="1"/>
  <c r="S5279" i="1"/>
  <c r="O5279" i="1"/>
  <c r="N5279" i="1"/>
  <c r="M5279" i="1"/>
  <c r="S5278" i="1"/>
  <c r="O5278" i="1"/>
  <c r="N5278" i="1"/>
  <c r="M5278" i="1"/>
  <c r="S5277" i="1"/>
  <c r="O5277" i="1"/>
  <c r="N5277" i="1"/>
  <c r="M5277" i="1"/>
  <c r="S5276" i="1"/>
  <c r="O5276" i="1"/>
  <c r="N5276" i="1"/>
  <c r="M5276" i="1"/>
  <c r="S5275" i="1"/>
  <c r="O5275" i="1"/>
  <c r="N5275" i="1"/>
  <c r="M5275" i="1"/>
  <c r="S5274" i="1"/>
  <c r="O5274" i="1"/>
  <c r="N5274" i="1"/>
  <c r="M5274" i="1"/>
  <c r="S5273" i="1"/>
  <c r="O5273" i="1"/>
  <c r="N5273" i="1"/>
  <c r="M5273" i="1"/>
  <c r="S5272" i="1"/>
  <c r="O5272" i="1"/>
  <c r="N5272" i="1"/>
  <c r="M5272" i="1"/>
  <c r="S5271" i="1"/>
  <c r="O5271" i="1"/>
  <c r="N5271" i="1"/>
  <c r="M5271" i="1"/>
  <c r="S5270" i="1"/>
  <c r="O5270" i="1"/>
  <c r="N5270" i="1"/>
  <c r="M5270" i="1"/>
  <c r="S5269" i="1"/>
  <c r="O5269" i="1"/>
  <c r="N5269" i="1"/>
  <c r="M5269" i="1"/>
  <c r="S5268" i="1"/>
  <c r="O5268" i="1"/>
  <c r="N5268" i="1"/>
  <c r="M5268" i="1"/>
  <c r="S5267" i="1"/>
  <c r="O5267" i="1"/>
  <c r="N5267" i="1"/>
  <c r="M5267" i="1"/>
  <c r="S5266" i="1"/>
  <c r="O5266" i="1"/>
  <c r="N5266" i="1"/>
  <c r="M5266" i="1"/>
  <c r="S5265" i="1"/>
  <c r="O5265" i="1"/>
  <c r="N5265" i="1"/>
  <c r="M5265" i="1"/>
  <c r="S5264" i="1"/>
  <c r="O5264" i="1"/>
  <c r="N5264" i="1"/>
  <c r="M5264" i="1"/>
  <c r="S5263" i="1"/>
  <c r="O5263" i="1"/>
  <c r="N5263" i="1"/>
  <c r="M5263" i="1"/>
  <c r="S5262" i="1"/>
  <c r="O5262" i="1"/>
  <c r="N5262" i="1"/>
  <c r="M5262" i="1"/>
  <c r="S5261" i="1"/>
  <c r="O5261" i="1"/>
  <c r="N5261" i="1"/>
  <c r="M5261" i="1"/>
  <c r="S5260" i="1"/>
  <c r="O5260" i="1"/>
  <c r="N5260" i="1"/>
  <c r="M5260" i="1"/>
  <c r="S5259" i="1"/>
  <c r="O5259" i="1"/>
  <c r="N5259" i="1"/>
  <c r="M5259" i="1"/>
  <c r="S5258" i="1"/>
  <c r="O5258" i="1"/>
  <c r="N5258" i="1"/>
  <c r="M5258" i="1"/>
  <c r="S5257" i="1"/>
  <c r="O5257" i="1"/>
  <c r="N5257" i="1"/>
  <c r="M5257" i="1"/>
  <c r="S5256" i="1"/>
  <c r="O5256" i="1"/>
  <c r="N5256" i="1"/>
  <c r="M5256" i="1"/>
  <c r="S5255" i="1"/>
  <c r="O5255" i="1"/>
  <c r="N5255" i="1"/>
  <c r="M5255" i="1"/>
  <c r="S5254" i="1"/>
  <c r="O5254" i="1"/>
  <c r="N5254" i="1"/>
  <c r="M5254" i="1"/>
  <c r="S5253" i="1"/>
  <c r="O5253" i="1"/>
  <c r="N5253" i="1"/>
  <c r="M5253" i="1"/>
  <c r="S5249" i="1"/>
  <c r="O5249" i="1"/>
  <c r="N5249" i="1"/>
  <c r="M5249" i="1"/>
  <c r="S5248" i="1"/>
  <c r="O5248" i="1"/>
  <c r="N5248" i="1"/>
  <c r="M5248" i="1"/>
  <c r="S5245" i="1"/>
  <c r="O5245" i="1"/>
  <c r="N5245" i="1"/>
  <c r="M5245" i="1"/>
  <c r="S5243" i="1"/>
  <c r="O5243" i="1"/>
  <c r="N5243" i="1"/>
  <c r="M5243" i="1"/>
  <c r="S5241" i="1"/>
  <c r="O5241" i="1"/>
  <c r="N5241" i="1"/>
  <c r="M5241" i="1"/>
  <c r="S5239" i="1"/>
  <c r="O5239" i="1"/>
  <c r="N5239" i="1"/>
  <c r="M5239" i="1"/>
  <c r="S5238" i="1"/>
  <c r="O5238" i="1"/>
  <c r="N5238" i="1"/>
  <c r="M5238" i="1"/>
  <c r="S5237" i="1"/>
  <c r="O5237" i="1"/>
  <c r="N5237" i="1"/>
  <c r="M5237" i="1"/>
  <c r="S5236" i="1"/>
  <c r="O5236" i="1"/>
  <c r="N5236" i="1"/>
  <c r="M5236" i="1"/>
  <c r="S5235" i="1"/>
  <c r="O5235" i="1"/>
  <c r="N5235" i="1"/>
  <c r="M5235" i="1"/>
  <c r="S5234" i="1"/>
  <c r="O5234" i="1"/>
  <c r="N5234" i="1"/>
  <c r="M5234" i="1"/>
  <c r="S5233" i="1"/>
  <c r="O5233" i="1"/>
  <c r="N5233" i="1"/>
  <c r="M5233" i="1"/>
  <c r="S5232" i="1"/>
  <c r="O5232" i="1"/>
  <c r="N5232" i="1"/>
  <c r="M5232" i="1"/>
  <c r="S5231" i="1"/>
  <c r="O5231" i="1"/>
  <c r="N5231" i="1"/>
  <c r="M5231" i="1"/>
  <c r="S5228" i="1"/>
  <c r="O5228" i="1"/>
  <c r="N5228" i="1"/>
  <c r="M5228" i="1"/>
  <c r="S5227" i="1"/>
  <c r="O5227" i="1"/>
  <c r="N5227" i="1"/>
  <c r="M5227" i="1"/>
  <c r="S5226" i="1"/>
  <c r="O5226" i="1"/>
  <c r="N5226" i="1"/>
  <c r="M5226" i="1"/>
  <c r="S5225" i="1"/>
  <c r="O5225" i="1"/>
  <c r="N5225" i="1"/>
  <c r="M5225" i="1"/>
  <c r="S5224" i="1"/>
  <c r="O5224" i="1"/>
  <c r="N5224" i="1"/>
  <c r="M5224" i="1"/>
  <c r="S5223" i="1"/>
  <c r="O5223" i="1"/>
  <c r="N5223" i="1"/>
  <c r="M5223" i="1"/>
  <c r="S5221" i="1"/>
  <c r="O5221" i="1"/>
  <c r="N5221" i="1"/>
  <c r="M5221" i="1"/>
  <c r="S5220" i="1"/>
  <c r="O5220" i="1"/>
  <c r="N5220" i="1"/>
  <c r="M5220" i="1"/>
  <c r="S5219" i="1"/>
  <c r="O5219" i="1"/>
  <c r="N5219" i="1"/>
  <c r="M5219" i="1"/>
  <c r="S5218" i="1"/>
  <c r="O5218" i="1"/>
  <c r="N5218" i="1"/>
  <c r="M5218" i="1"/>
  <c r="S5216" i="1"/>
  <c r="O5216" i="1"/>
  <c r="N5216" i="1"/>
  <c r="M5216" i="1"/>
  <c r="S5212" i="1"/>
  <c r="O5212" i="1"/>
  <c r="N5212" i="1"/>
  <c r="M5212" i="1"/>
  <c r="S5211" i="1"/>
  <c r="O5211" i="1"/>
  <c r="N5211" i="1"/>
  <c r="M5211" i="1"/>
  <c r="S5210" i="1"/>
  <c r="O5210" i="1"/>
  <c r="N5210" i="1"/>
  <c r="M5210" i="1"/>
  <c r="S5209" i="1"/>
  <c r="O5209" i="1"/>
  <c r="N5209" i="1"/>
  <c r="M5209" i="1"/>
  <c r="S5208" i="1"/>
  <c r="O5208" i="1"/>
  <c r="N5208" i="1"/>
  <c r="M5208" i="1"/>
  <c r="S5205" i="1"/>
  <c r="O5205" i="1"/>
  <c r="N5205" i="1"/>
  <c r="M5205" i="1"/>
  <c r="S5204" i="1"/>
  <c r="O5204" i="1"/>
  <c r="N5204" i="1"/>
  <c r="M5204" i="1"/>
  <c r="S5203" i="1"/>
  <c r="O5203" i="1"/>
  <c r="N5203" i="1"/>
  <c r="M5203" i="1"/>
  <c r="S5202" i="1"/>
  <c r="O5202" i="1"/>
  <c r="N5202" i="1"/>
  <c r="M5202" i="1"/>
  <c r="O5199" i="1"/>
  <c r="N5199" i="1"/>
  <c r="M5199" i="1"/>
  <c r="O5198" i="1"/>
  <c r="N5198" i="1"/>
  <c r="M5198" i="1"/>
  <c r="S5197" i="1"/>
  <c r="O5197" i="1"/>
  <c r="N5197" i="1"/>
  <c r="M5197" i="1"/>
  <c r="O5196" i="1"/>
  <c r="N5196" i="1"/>
  <c r="M5196" i="1"/>
  <c r="O5195" i="1"/>
  <c r="N5195" i="1"/>
  <c r="M5195" i="1"/>
  <c r="O5194" i="1"/>
  <c r="N5194" i="1"/>
  <c r="M5194" i="1"/>
  <c r="O5193" i="1"/>
  <c r="N5193" i="1"/>
  <c r="M5193" i="1"/>
  <c r="S5191" i="1"/>
  <c r="O5191" i="1"/>
  <c r="N5191" i="1"/>
  <c r="M5191" i="1"/>
  <c r="S5190" i="1"/>
  <c r="O5190" i="1"/>
  <c r="N5190" i="1"/>
  <c r="M5190" i="1"/>
  <c r="S5189" i="1"/>
  <c r="O5189" i="1"/>
  <c r="N5189" i="1"/>
  <c r="M5189" i="1"/>
  <c r="S5188" i="1"/>
  <c r="O5188" i="1"/>
  <c r="N5188" i="1"/>
  <c r="M5188" i="1"/>
  <c r="S5187" i="1"/>
  <c r="O5187" i="1"/>
  <c r="N5187" i="1"/>
  <c r="M5187" i="1"/>
  <c r="S5186" i="1"/>
  <c r="O5186" i="1"/>
  <c r="N5186" i="1"/>
  <c r="M5186" i="1"/>
  <c r="S5185" i="1"/>
  <c r="O5185" i="1"/>
  <c r="N5185" i="1"/>
  <c r="M5185" i="1"/>
  <c r="S5184" i="1"/>
  <c r="O5184" i="1"/>
  <c r="N5184" i="1"/>
  <c r="M5184" i="1"/>
  <c r="S5183" i="1"/>
  <c r="O5183" i="1"/>
  <c r="N5183" i="1"/>
  <c r="M5183" i="1"/>
  <c r="S5182" i="1"/>
  <c r="O5182" i="1"/>
  <c r="N5182" i="1"/>
  <c r="M5182" i="1"/>
  <c r="S5181" i="1"/>
  <c r="O5181" i="1"/>
  <c r="N5181" i="1"/>
  <c r="M5181" i="1"/>
  <c r="S5180" i="1"/>
  <c r="O5180" i="1"/>
  <c r="N5180" i="1"/>
  <c r="M5180" i="1"/>
  <c r="S5179" i="1"/>
  <c r="O5179" i="1"/>
  <c r="N5179" i="1"/>
  <c r="M5179" i="1"/>
  <c r="S5178" i="1"/>
  <c r="O5178" i="1"/>
  <c r="N5178" i="1"/>
  <c r="M5178" i="1"/>
  <c r="S5177" i="1"/>
  <c r="O5177" i="1"/>
  <c r="N5177" i="1"/>
  <c r="M5177" i="1"/>
  <c r="S5176" i="1"/>
  <c r="O5176" i="1"/>
  <c r="N5176" i="1"/>
  <c r="M5176" i="1"/>
  <c r="S5175" i="1"/>
  <c r="O5175" i="1"/>
  <c r="N5175" i="1"/>
  <c r="M5175" i="1"/>
  <c r="S5174" i="1"/>
  <c r="O5174" i="1"/>
  <c r="N5174" i="1"/>
  <c r="M5174" i="1"/>
  <c r="S5173" i="1"/>
  <c r="O5173" i="1"/>
  <c r="N5173" i="1"/>
  <c r="M5173" i="1"/>
  <c r="S5172" i="1"/>
  <c r="O5172" i="1"/>
  <c r="N5172" i="1"/>
  <c r="M5172" i="1"/>
  <c r="S5170" i="1"/>
  <c r="O5170" i="1"/>
  <c r="N5170" i="1"/>
  <c r="M5170" i="1"/>
  <c r="S5169" i="1"/>
  <c r="O5169" i="1"/>
  <c r="N5169" i="1"/>
  <c r="M5169" i="1"/>
  <c r="S5168" i="1"/>
  <c r="O5168" i="1"/>
  <c r="N5168" i="1"/>
  <c r="M5168" i="1"/>
  <c r="O5167" i="1"/>
  <c r="N5167" i="1"/>
  <c r="M5167" i="1"/>
  <c r="O5166" i="1"/>
  <c r="N5166" i="1"/>
  <c r="M5166" i="1"/>
  <c r="S5165" i="1"/>
  <c r="O5165" i="1"/>
  <c r="N5165" i="1"/>
  <c r="M5165" i="1"/>
  <c r="O5164" i="1"/>
  <c r="N5164" i="1"/>
  <c r="M5164" i="1"/>
  <c r="S5162" i="1"/>
  <c r="O5162" i="1"/>
  <c r="N5162" i="1"/>
  <c r="M5162" i="1"/>
  <c r="S5160" i="1"/>
  <c r="O5160" i="1"/>
  <c r="N5160" i="1"/>
  <c r="M5160" i="1"/>
  <c r="S5159" i="1"/>
  <c r="O5159" i="1"/>
  <c r="N5159" i="1"/>
  <c r="M5159" i="1"/>
  <c r="S5158" i="1"/>
  <c r="O5158" i="1"/>
  <c r="N5158" i="1"/>
  <c r="M5158" i="1"/>
  <c r="S5157" i="1"/>
  <c r="O5157" i="1"/>
  <c r="N5157" i="1"/>
  <c r="M5157" i="1"/>
  <c r="S5156" i="1"/>
  <c r="O5156" i="1"/>
  <c r="N5156" i="1"/>
  <c r="M5156" i="1"/>
  <c r="S5155" i="1"/>
  <c r="O5155" i="1"/>
  <c r="N5155" i="1"/>
  <c r="M5155" i="1"/>
  <c r="S5154" i="1"/>
  <c r="O5154" i="1"/>
  <c r="N5154" i="1"/>
  <c r="M5154" i="1"/>
  <c r="O5153" i="1"/>
  <c r="N5153" i="1"/>
  <c r="M5153" i="1"/>
  <c r="O5152" i="1"/>
  <c r="N5152" i="1"/>
  <c r="M5152" i="1"/>
  <c r="O5151" i="1"/>
  <c r="N5151" i="1"/>
  <c r="M5151" i="1"/>
  <c r="S5150" i="1"/>
  <c r="O5150" i="1"/>
  <c r="N5150" i="1"/>
  <c r="M5150" i="1"/>
  <c r="S5149" i="1"/>
  <c r="O5149" i="1"/>
  <c r="N5149" i="1"/>
  <c r="M5149" i="1"/>
  <c r="S5148" i="1"/>
  <c r="O5148" i="1"/>
  <c r="N5148" i="1"/>
  <c r="M5148" i="1"/>
  <c r="S5147" i="1"/>
  <c r="O5147" i="1"/>
  <c r="N5147" i="1"/>
  <c r="M5147" i="1"/>
  <c r="O5146" i="1"/>
  <c r="N5146" i="1"/>
  <c r="M5146" i="1"/>
  <c r="S5144" i="1"/>
  <c r="O5144" i="1"/>
  <c r="N5144" i="1"/>
  <c r="M5144" i="1"/>
  <c r="S5143" i="1"/>
  <c r="O5143" i="1"/>
  <c r="N5143" i="1"/>
  <c r="M5143" i="1"/>
  <c r="S5142" i="1"/>
  <c r="O5142" i="1"/>
  <c r="N5142" i="1"/>
  <c r="M5142" i="1"/>
  <c r="S5141" i="1"/>
  <c r="O5141" i="1"/>
  <c r="N5141" i="1"/>
  <c r="M5141" i="1"/>
  <c r="S5140" i="1"/>
  <c r="O5140" i="1"/>
  <c r="N5140" i="1"/>
  <c r="M5140" i="1"/>
  <c r="S5139" i="1"/>
  <c r="O5139" i="1"/>
  <c r="N5139" i="1"/>
  <c r="M5139" i="1"/>
  <c r="S5138" i="1"/>
  <c r="O5138" i="1"/>
  <c r="N5138" i="1"/>
  <c r="M5138" i="1"/>
  <c r="S5137" i="1"/>
  <c r="O5137" i="1"/>
  <c r="N5137" i="1"/>
  <c r="M5137" i="1"/>
  <c r="O5136" i="1"/>
  <c r="N5136" i="1"/>
  <c r="M5136" i="1"/>
  <c r="O5135" i="1"/>
  <c r="N5135" i="1"/>
  <c r="M5135" i="1"/>
  <c r="O5134" i="1"/>
  <c r="N5134" i="1"/>
  <c r="M5134" i="1"/>
  <c r="O5133" i="1"/>
  <c r="N5133" i="1"/>
  <c r="M5133" i="1"/>
  <c r="S5131" i="1"/>
  <c r="O5131" i="1"/>
  <c r="N5131" i="1"/>
  <c r="M5131" i="1"/>
  <c r="O5130" i="1"/>
  <c r="N5130" i="1"/>
  <c r="M5130" i="1"/>
  <c r="S5128" i="1"/>
  <c r="O5128" i="1"/>
  <c r="N5128" i="1"/>
  <c r="M5128" i="1"/>
  <c r="S5127" i="1"/>
  <c r="O5127" i="1"/>
  <c r="N5127" i="1"/>
  <c r="M5127" i="1"/>
  <c r="S5124" i="1"/>
  <c r="O5124" i="1"/>
  <c r="N5124" i="1"/>
  <c r="M5124" i="1"/>
  <c r="S5121" i="1"/>
  <c r="O5121" i="1"/>
  <c r="N5121" i="1"/>
  <c r="M5121" i="1"/>
  <c r="S5119" i="1"/>
  <c r="O5119" i="1"/>
  <c r="N5119" i="1"/>
  <c r="M5119" i="1"/>
  <c r="S5118" i="1"/>
  <c r="O5118" i="1"/>
  <c r="N5118" i="1"/>
  <c r="M5118" i="1"/>
  <c r="S5117" i="1"/>
  <c r="O5117" i="1"/>
  <c r="N5117" i="1"/>
  <c r="M5117" i="1"/>
  <c r="S5116" i="1"/>
  <c r="O5116" i="1"/>
  <c r="N5116" i="1"/>
  <c r="M5116" i="1"/>
  <c r="S5115" i="1"/>
  <c r="O5115" i="1"/>
  <c r="N5115" i="1"/>
  <c r="M5115" i="1"/>
  <c r="S5114" i="1"/>
  <c r="O5114" i="1"/>
  <c r="N5114" i="1"/>
  <c r="M5114" i="1"/>
  <c r="S5113" i="1"/>
  <c r="O5113" i="1"/>
  <c r="N5113" i="1"/>
  <c r="M5113" i="1"/>
  <c r="S5111" i="1"/>
  <c r="O5111" i="1"/>
  <c r="N5111" i="1"/>
  <c r="M5111" i="1"/>
  <c r="S5107" i="1"/>
  <c r="O5107" i="1"/>
  <c r="N5107" i="1"/>
  <c r="M5107" i="1"/>
  <c r="S5105" i="1"/>
  <c r="O5105" i="1"/>
  <c r="N5105" i="1"/>
  <c r="M5105" i="1"/>
  <c r="S5104" i="1"/>
  <c r="O5104" i="1"/>
  <c r="N5104" i="1"/>
  <c r="M5104" i="1"/>
  <c r="S5099" i="1"/>
  <c r="O5099" i="1"/>
  <c r="N5099" i="1"/>
  <c r="M5099" i="1"/>
  <c r="S5098" i="1"/>
  <c r="O5098" i="1"/>
  <c r="N5098" i="1"/>
  <c r="M5098" i="1"/>
  <c r="S5097" i="1"/>
  <c r="O5097" i="1"/>
  <c r="N5097" i="1"/>
  <c r="M5097" i="1"/>
  <c r="S5096" i="1"/>
  <c r="O5096" i="1"/>
  <c r="N5096" i="1"/>
  <c r="M5096" i="1"/>
  <c r="S5095" i="1"/>
  <c r="O5095" i="1"/>
  <c r="N5095" i="1"/>
  <c r="M5095" i="1"/>
  <c r="S5094" i="1"/>
  <c r="O5094" i="1"/>
  <c r="N5094" i="1"/>
  <c r="M5094" i="1"/>
  <c r="S5093" i="1"/>
  <c r="O5093" i="1"/>
  <c r="N5093" i="1"/>
  <c r="M5093" i="1"/>
  <c r="S5092" i="1"/>
  <c r="O5092" i="1"/>
  <c r="N5092" i="1"/>
  <c r="M5092" i="1"/>
  <c r="S5091" i="1"/>
  <c r="N5091" i="1"/>
  <c r="M5091" i="1"/>
  <c r="S5090" i="1"/>
  <c r="O5090" i="1"/>
  <c r="N5090" i="1"/>
  <c r="M5090" i="1"/>
  <c r="S5088" i="1"/>
  <c r="O5088" i="1"/>
  <c r="N5088" i="1"/>
  <c r="M5088" i="1"/>
  <c r="S5086" i="1"/>
  <c r="O5086" i="1"/>
  <c r="N5086" i="1"/>
  <c r="M5086" i="1"/>
  <c r="S5085" i="1"/>
  <c r="O5085" i="1"/>
  <c r="N5085" i="1"/>
  <c r="M5085" i="1"/>
  <c r="S5084" i="1"/>
  <c r="O5084" i="1"/>
  <c r="N5084" i="1"/>
  <c r="M5084" i="1"/>
  <c r="S5083" i="1"/>
  <c r="O5083" i="1"/>
  <c r="N5083" i="1"/>
  <c r="M5083" i="1"/>
  <c r="S5082" i="1"/>
  <c r="O5082" i="1"/>
  <c r="N5082" i="1"/>
  <c r="M5082" i="1"/>
  <c r="S5081" i="1"/>
  <c r="O5081" i="1"/>
  <c r="N5081" i="1"/>
  <c r="M5081" i="1"/>
  <c r="S5080" i="1"/>
  <c r="O5080" i="1"/>
  <c r="N5080" i="1"/>
  <c r="M5080" i="1"/>
  <c r="S5079" i="1"/>
  <c r="O5079" i="1"/>
  <c r="N5079" i="1"/>
  <c r="M5079" i="1"/>
  <c r="S5078" i="1"/>
  <c r="O5078" i="1"/>
  <c r="N5078" i="1"/>
  <c r="M5078" i="1"/>
  <c r="S5077" i="1"/>
  <c r="O5077" i="1"/>
  <c r="N5077" i="1"/>
  <c r="M5077" i="1"/>
  <c r="S5076" i="1"/>
  <c r="O5076" i="1"/>
  <c r="N5076" i="1"/>
  <c r="M5076" i="1"/>
  <c r="S5073" i="1"/>
  <c r="O5073" i="1"/>
  <c r="N5073" i="1"/>
  <c r="M5073" i="1"/>
  <c r="S5072" i="1"/>
  <c r="O5072" i="1"/>
  <c r="N5072" i="1"/>
  <c r="M5072" i="1"/>
  <c r="S5071" i="1"/>
  <c r="O5071" i="1"/>
  <c r="N5071" i="1"/>
  <c r="M5071" i="1"/>
  <c r="S5070" i="1"/>
  <c r="O5070" i="1"/>
  <c r="N5070" i="1"/>
  <c r="M5070" i="1"/>
  <c r="S5069" i="1"/>
  <c r="O5069" i="1"/>
  <c r="N5069" i="1"/>
  <c r="M5069" i="1"/>
  <c r="S5068" i="1"/>
  <c r="O5068" i="1"/>
  <c r="N5068" i="1"/>
  <c r="M5068" i="1"/>
  <c r="S5067" i="1"/>
  <c r="O5067" i="1"/>
  <c r="N5067" i="1"/>
  <c r="M5067" i="1"/>
  <c r="S5066" i="1"/>
  <c r="O5066" i="1"/>
  <c r="N5066" i="1"/>
  <c r="M5066" i="1"/>
  <c r="S5065" i="1"/>
  <c r="O5065" i="1"/>
  <c r="N5065" i="1"/>
  <c r="M5065" i="1"/>
  <c r="S5064" i="1"/>
  <c r="O5064" i="1"/>
  <c r="N5064" i="1"/>
  <c r="M5064" i="1"/>
  <c r="S5062" i="1"/>
  <c r="O5062" i="1"/>
  <c r="N5062" i="1"/>
  <c r="M5062" i="1"/>
  <c r="S5061" i="1"/>
  <c r="O5061" i="1"/>
  <c r="N5061" i="1"/>
  <c r="M5061" i="1"/>
  <c r="S5059" i="1"/>
  <c r="O5059" i="1"/>
  <c r="N5059" i="1"/>
  <c r="M5059" i="1"/>
  <c r="S5058" i="1"/>
  <c r="O5058" i="1"/>
  <c r="N5058" i="1"/>
  <c r="M5058" i="1"/>
  <c r="S5057" i="1"/>
  <c r="O5057" i="1"/>
  <c r="N5057" i="1"/>
  <c r="M5057" i="1"/>
  <c r="S5056" i="1"/>
  <c r="O5056" i="1"/>
  <c r="N5056" i="1"/>
  <c r="M5056" i="1"/>
  <c r="S5055" i="1"/>
  <c r="O5055" i="1"/>
  <c r="N5055" i="1"/>
  <c r="M5055" i="1"/>
  <c r="S5054" i="1"/>
  <c r="O5054" i="1"/>
  <c r="N5054" i="1"/>
  <c r="M5054" i="1"/>
  <c r="S5052" i="1"/>
  <c r="O5052" i="1"/>
  <c r="N5052" i="1"/>
  <c r="M5052" i="1"/>
  <c r="S5051" i="1"/>
  <c r="O5051" i="1"/>
  <c r="N5051" i="1"/>
  <c r="M5051" i="1"/>
  <c r="S5050" i="1"/>
  <c r="O5050" i="1"/>
  <c r="N5050" i="1"/>
  <c r="M5050" i="1"/>
  <c r="S5049" i="1"/>
  <c r="O5049" i="1"/>
  <c r="N5049" i="1"/>
  <c r="M5049" i="1"/>
  <c r="S5048" i="1"/>
  <c r="O5048" i="1"/>
  <c r="N5048" i="1"/>
  <c r="M5048" i="1"/>
  <c r="S5047" i="1"/>
  <c r="O5047" i="1"/>
  <c r="N5047" i="1"/>
  <c r="M5047" i="1"/>
  <c r="S5046" i="1"/>
  <c r="O5046" i="1"/>
  <c r="N5046" i="1"/>
  <c r="M5046" i="1"/>
  <c r="S5045" i="1"/>
  <c r="O5045" i="1"/>
  <c r="N5045" i="1"/>
  <c r="M5045" i="1"/>
  <c r="S5044" i="1"/>
  <c r="O5044" i="1"/>
  <c r="N5044" i="1"/>
  <c r="M5044" i="1"/>
  <c r="S5043" i="1"/>
  <c r="O5043" i="1"/>
  <c r="N5043" i="1"/>
  <c r="M5043" i="1"/>
  <c r="S5040" i="1"/>
  <c r="O5040" i="1"/>
  <c r="N5040" i="1"/>
  <c r="M5040" i="1"/>
  <c r="S5039" i="1"/>
  <c r="O5039" i="1"/>
  <c r="N5039" i="1"/>
  <c r="M5039" i="1"/>
  <c r="S5038" i="1"/>
  <c r="O5038" i="1"/>
  <c r="N5038" i="1"/>
  <c r="M5038" i="1"/>
  <c r="S5037" i="1"/>
  <c r="O5037" i="1"/>
  <c r="N5037" i="1"/>
  <c r="M5037" i="1"/>
  <c r="S5036" i="1"/>
  <c r="O5036" i="1"/>
  <c r="N5036" i="1"/>
  <c r="M5036" i="1"/>
  <c r="S5035" i="1"/>
  <c r="O5035" i="1"/>
  <c r="N5035" i="1"/>
  <c r="M5035" i="1"/>
  <c r="S5034" i="1"/>
  <c r="O5034" i="1"/>
  <c r="N5034" i="1"/>
  <c r="M5034" i="1"/>
  <c r="S5033" i="1"/>
  <c r="O5033" i="1"/>
  <c r="N5033" i="1"/>
  <c r="M5033" i="1"/>
  <c r="S5031" i="1"/>
  <c r="O5031" i="1"/>
  <c r="N5031" i="1"/>
  <c r="M5031" i="1"/>
  <c r="S5030" i="1"/>
  <c r="O5030" i="1"/>
  <c r="N5030" i="1"/>
  <c r="M5030" i="1"/>
  <c r="S5029" i="1"/>
  <c r="O5029" i="1"/>
  <c r="N5029" i="1"/>
  <c r="M5029" i="1"/>
  <c r="S5028" i="1"/>
  <c r="O5028" i="1"/>
  <c r="N5028" i="1"/>
  <c r="M5028" i="1"/>
  <c r="S5027" i="1"/>
  <c r="O5027" i="1"/>
  <c r="N5027" i="1"/>
  <c r="M5027" i="1"/>
  <c r="S5026" i="1"/>
  <c r="O5026" i="1"/>
  <c r="N5026" i="1"/>
  <c r="M5026" i="1"/>
  <c r="S5024" i="1"/>
  <c r="O5024" i="1"/>
  <c r="N5024" i="1"/>
  <c r="M5024" i="1"/>
  <c r="S5023" i="1"/>
  <c r="O5023" i="1"/>
  <c r="N5023" i="1"/>
  <c r="M5023" i="1"/>
  <c r="S5021" i="1"/>
  <c r="O5021" i="1"/>
  <c r="N5021" i="1"/>
  <c r="M5021" i="1"/>
  <c r="S5020" i="1"/>
  <c r="O5020" i="1"/>
  <c r="N5020" i="1"/>
  <c r="M5020" i="1"/>
  <c r="S5018" i="1"/>
  <c r="O5018" i="1"/>
  <c r="N5018" i="1"/>
  <c r="M5018" i="1"/>
  <c r="S5017" i="1"/>
  <c r="O5017" i="1"/>
  <c r="N5017" i="1"/>
  <c r="M5017" i="1"/>
  <c r="S5015" i="1"/>
  <c r="O5015" i="1"/>
  <c r="N5015" i="1"/>
  <c r="M5015" i="1"/>
  <c r="S5014" i="1"/>
  <c r="O5014" i="1"/>
  <c r="N5014" i="1"/>
  <c r="M5014" i="1"/>
  <c r="S5013" i="1"/>
  <c r="O5013" i="1"/>
  <c r="N5013" i="1"/>
  <c r="M5013" i="1"/>
  <c r="S5010" i="1"/>
  <c r="O5010" i="1"/>
  <c r="N5010" i="1"/>
  <c r="M5010" i="1"/>
  <c r="S5009" i="1"/>
  <c r="O5009" i="1"/>
  <c r="N5009" i="1"/>
  <c r="M5009" i="1"/>
  <c r="S5008" i="1"/>
  <c r="O5008" i="1"/>
  <c r="N5008" i="1"/>
  <c r="M5008" i="1"/>
  <c r="S5007" i="1"/>
  <c r="O5007" i="1"/>
  <c r="N5007" i="1"/>
  <c r="M5007" i="1"/>
  <c r="S5006" i="1"/>
  <c r="O5006" i="1"/>
  <c r="N5006" i="1"/>
  <c r="M5006" i="1"/>
  <c r="S5005" i="1"/>
  <c r="O5005" i="1"/>
  <c r="N5005" i="1"/>
  <c r="M5005" i="1"/>
  <c r="S5004" i="1"/>
  <c r="O5004" i="1"/>
  <c r="N5004" i="1"/>
  <c r="M5004" i="1"/>
  <c r="S5003" i="1"/>
  <c r="O5003" i="1"/>
  <c r="N5003" i="1"/>
  <c r="M5003" i="1"/>
  <c r="S5002" i="1"/>
  <c r="O5002" i="1"/>
  <c r="N5002" i="1"/>
  <c r="M5002" i="1"/>
  <c r="S5001" i="1"/>
  <c r="O5001" i="1"/>
  <c r="N5001" i="1"/>
  <c r="M5001" i="1"/>
  <c r="S5000" i="1"/>
  <c r="O5000" i="1"/>
  <c r="N5000" i="1"/>
  <c r="M5000" i="1"/>
  <c r="S4999" i="1"/>
  <c r="O4999" i="1"/>
  <c r="N4999" i="1"/>
  <c r="M4999" i="1"/>
  <c r="S4998" i="1"/>
  <c r="O4998" i="1"/>
  <c r="N4998" i="1"/>
  <c r="M4998" i="1"/>
  <c r="S4997" i="1"/>
  <c r="O4997" i="1"/>
  <c r="N4997" i="1"/>
  <c r="M4997" i="1"/>
  <c r="S4996" i="1"/>
  <c r="O4996" i="1"/>
  <c r="N4996" i="1"/>
  <c r="M4996" i="1"/>
  <c r="S4995" i="1"/>
  <c r="N4995" i="1"/>
  <c r="M4995" i="1"/>
  <c r="S4994" i="1"/>
  <c r="O4994" i="1"/>
  <c r="N4994" i="1"/>
  <c r="M4994" i="1"/>
  <c r="S4992" i="1"/>
  <c r="O4992" i="1"/>
  <c r="N4992" i="1"/>
  <c r="M4992" i="1"/>
  <c r="S4991" i="1"/>
  <c r="O4991" i="1"/>
  <c r="N4991" i="1"/>
  <c r="M4991" i="1"/>
  <c r="S4990" i="1"/>
  <c r="O4990" i="1"/>
  <c r="N4990" i="1"/>
  <c r="M4990" i="1"/>
  <c r="S4989" i="1"/>
  <c r="O4989" i="1"/>
  <c r="N4989" i="1"/>
  <c r="M4989" i="1"/>
  <c r="S4988" i="1"/>
  <c r="O4988" i="1"/>
  <c r="N4988" i="1"/>
  <c r="M4988" i="1"/>
  <c r="S4987" i="1"/>
  <c r="O4987" i="1"/>
  <c r="N4987" i="1"/>
  <c r="M4987" i="1"/>
  <c r="S4986" i="1"/>
  <c r="O4986" i="1"/>
  <c r="N4986" i="1"/>
  <c r="M4986" i="1"/>
  <c r="S4985" i="1"/>
  <c r="O4985" i="1"/>
  <c r="N4985" i="1"/>
  <c r="M4985" i="1"/>
  <c r="S4984" i="1"/>
  <c r="O4984" i="1"/>
  <c r="N4984" i="1"/>
  <c r="M4984" i="1"/>
  <c r="S4983" i="1"/>
  <c r="O4983" i="1"/>
  <c r="N4983" i="1"/>
  <c r="M4983" i="1"/>
  <c r="S4982" i="1"/>
  <c r="O4982" i="1"/>
  <c r="N4982" i="1"/>
  <c r="M4982" i="1"/>
  <c r="S4981" i="1"/>
  <c r="O4981" i="1"/>
  <c r="N4981" i="1"/>
  <c r="M4981" i="1"/>
  <c r="S4980" i="1"/>
  <c r="O4980" i="1"/>
  <c r="N4980" i="1"/>
  <c r="M4980" i="1"/>
  <c r="S4979" i="1"/>
  <c r="O4979" i="1"/>
  <c r="N4979" i="1"/>
  <c r="M4979" i="1"/>
  <c r="S4978" i="1"/>
  <c r="O4978" i="1"/>
  <c r="N4978" i="1"/>
  <c r="M4978" i="1"/>
  <c r="S4977" i="1"/>
  <c r="O4977" i="1"/>
  <c r="N4977" i="1"/>
  <c r="M4977" i="1"/>
  <c r="S4976" i="1"/>
  <c r="O4976" i="1"/>
  <c r="N4976" i="1"/>
  <c r="M4976" i="1"/>
  <c r="S4975" i="1"/>
  <c r="O4975" i="1"/>
  <c r="N4975" i="1"/>
  <c r="M4975" i="1"/>
  <c r="S4974" i="1"/>
  <c r="O4974" i="1"/>
  <c r="N4974" i="1"/>
  <c r="M4974" i="1"/>
  <c r="S4973" i="1"/>
  <c r="O4973" i="1"/>
  <c r="N4973" i="1"/>
  <c r="M4973" i="1"/>
  <c r="S4972" i="1"/>
  <c r="O4972" i="1"/>
  <c r="N4972" i="1"/>
  <c r="M4972" i="1"/>
  <c r="S4971" i="1"/>
  <c r="O4971" i="1"/>
  <c r="N4971" i="1"/>
  <c r="M4971" i="1"/>
  <c r="S4970" i="1"/>
  <c r="O4970" i="1"/>
  <c r="N4970" i="1"/>
  <c r="M4970" i="1"/>
  <c r="S4969" i="1"/>
  <c r="O4969" i="1"/>
  <c r="N4969" i="1"/>
  <c r="M4969" i="1"/>
  <c r="S4968" i="1"/>
  <c r="O4968" i="1"/>
  <c r="N4968" i="1"/>
  <c r="M4968" i="1"/>
  <c r="S4967" i="1"/>
  <c r="O4967" i="1"/>
  <c r="N4967" i="1"/>
  <c r="M4967" i="1"/>
  <c r="S4966" i="1"/>
  <c r="O4966" i="1"/>
  <c r="N4966" i="1"/>
  <c r="M4966" i="1"/>
  <c r="S4965" i="1"/>
  <c r="O4965" i="1"/>
  <c r="N4965" i="1"/>
  <c r="M4965" i="1"/>
  <c r="S4963" i="1"/>
  <c r="O4963" i="1"/>
  <c r="N4963" i="1"/>
  <c r="M4963" i="1"/>
  <c r="S4962" i="1"/>
  <c r="O4962" i="1"/>
  <c r="N4962" i="1"/>
  <c r="M4962" i="1"/>
  <c r="S4961" i="1"/>
  <c r="O4961" i="1"/>
  <c r="N4961" i="1"/>
  <c r="M4961" i="1"/>
  <c r="S4960" i="1"/>
  <c r="O4960" i="1"/>
  <c r="N4960" i="1"/>
  <c r="M4960" i="1"/>
  <c r="S4959" i="1"/>
  <c r="O4959" i="1"/>
  <c r="N4959" i="1"/>
  <c r="M4959" i="1"/>
  <c r="S4957" i="1"/>
  <c r="O4957" i="1"/>
  <c r="N4957" i="1"/>
  <c r="M4957" i="1"/>
  <c r="S4956" i="1"/>
  <c r="O4956" i="1"/>
  <c r="N4956" i="1"/>
  <c r="M4956" i="1"/>
  <c r="S4955" i="1"/>
  <c r="O4955" i="1"/>
  <c r="N4955" i="1"/>
  <c r="M4955" i="1"/>
  <c r="S4954" i="1"/>
  <c r="O4954" i="1"/>
  <c r="N4954" i="1"/>
  <c r="M4954" i="1"/>
  <c r="S4953" i="1"/>
  <c r="O4953" i="1"/>
  <c r="N4953" i="1"/>
  <c r="M4953" i="1"/>
  <c r="S4952" i="1"/>
  <c r="O4952" i="1"/>
  <c r="N4952" i="1"/>
  <c r="M4952" i="1"/>
  <c r="S4951" i="1"/>
  <c r="O4951" i="1"/>
  <c r="N4951" i="1"/>
  <c r="M4951" i="1"/>
  <c r="S4950" i="1"/>
  <c r="O4950" i="1"/>
  <c r="N4950" i="1"/>
  <c r="M4950" i="1"/>
  <c r="S4949" i="1"/>
  <c r="O4949" i="1"/>
  <c r="N4949" i="1"/>
  <c r="M4949" i="1"/>
  <c r="S4948" i="1"/>
  <c r="O4948" i="1"/>
  <c r="N4948" i="1"/>
  <c r="M4948" i="1"/>
  <c r="S4947" i="1"/>
  <c r="O4947" i="1"/>
  <c r="N4947" i="1"/>
  <c r="M4947" i="1"/>
  <c r="S4946" i="1"/>
  <c r="O4946" i="1"/>
  <c r="N4946" i="1"/>
  <c r="M4946" i="1"/>
  <c r="S4945" i="1"/>
  <c r="O4945" i="1"/>
  <c r="N4945" i="1"/>
  <c r="M4945" i="1"/>
  <c r="S4944" i="1"/>
  <c r="O4944" i="1"/>
  <c r="N4944" i="1"/>
  <c r="M4944" i="1"/>
  <c r="S4943" i="1"/>
  <c r="O4943" i="1"/>
  <c r="N4943" i="1"/>
  <c r="M4943" i="1"/>
  <c r="S4942" i="1"/>
  <c r="O4942" i="1"/>
  <c r="N4942" i="1"/>
  <c r="M4942" i="1"/>
  <c r="S4941" i="1"/>
  <c r="O4941" i="1"/>
  <c r="N4941" i="1"/>
  <c r="M4941" i="1"/>
  <c r="S4940" i="1"/>
  <c r="O4940" i="1"/>
  <c r="N4940" i="1"/>
  <c r="M4940" i="1"/>
  <c r="S4939" i="1"/>
  <c r="O4939" i="1"/>
  <c r="N4939" i="1"/>
  <c r="M4939" i="1"/>
  <c r="S4938" i="1"/>
  <c r="O4938" i="1"/>
  <c r="N4938" i="1"/>
  <c r="M4938" i="1"/>
  <c r="S4937" i="1"/>
  <c r="O4937" i="1"/>
  <c r="N4937" i="1"/>
  <c r="M4937" i="1"/>
  <c r="S4936" i="1"/>
  <c r="O4936" i="1"/>
  <c r="N4936" i="1"/>
  <c r="M4936" i="1"/>
  <c r="S4935" i="1"/>
  <c r="O4935" i="1"/>
  <c r="N4935" i="1"/>
  <c r="M4935" i="1"/>
  <c r="S4933" i="1"/>
  <c r="O4933" i="1"/>
  <c r="N4933" i="1"/>
  <c r="M4933" i="1"/>
  <c r="S4932" i="1"/>
  <c r="O4932" i="1"/>
  <c r="N4932" i="1"/>
  <c r="M4932" i="1"/>
  <c r="S4931" i="1"/>
  <c r="O4931" i="1"/>
  <c r="N4931" i="1"/>
  <c r="M4931" i="1"/>
  <c r="S4930" i="1"/>
  <c r="O4930" i="1"/>
  <c r="N4930" i="1"/>
  <c r="M4930" i="1"/>
  <c r="S4929" i="1"/>
  <c r="O4929" i="1"/>
  <c r="N4929" i="1"/>
  <c r="M4929" i="1"/>
  <c r="S4928" i="1"/>
  <c r="O4928" i="1"/>
  <c r="N4928" i="1"/>
  <c r="M4928" i="1"/>
  <c r="S4927" i="1"/>
  <c r="O4927" i="1"/>
  <c r="N4927" i="1"/>
  <c r="M4927" i="1"/>
  <c r="S4926" i="1"/>
  <c r="O4926" i="1"/>
  <c r="N4926" i="1"/>
  <c r="M4926" i="1"/>
  <c r="S4925" i="1"/>
  <c r="O4925" i="1"/>
  <c r="N4925" i="1"/>
  <c r="M4925" i="1"/>
  <c r="S4924" i="1"/>
  <c r="O4924" i="1"/>
  <c r="N4924" i="1"/>
  <c r="M4924" i="1"/>
  <c r="S4923" i="1"/>
  <c r="O4923" i="1"/>
  <c r="N4923" i="1"/>
  <c r="M4923" i="1"/>
  <c r="S4922" i="1"/>
  <c r="O4922" i="1"/>
  <c r="N4922" i="1"/>
  <c r="M4922" i="1"/>
  <c r="S4921" i="1"/>
  <c r="O4921" i="1"/>
  <c r="N4921" i="1"/>
  <c r="M4921" i="1"/>
  <c r="S4920" i="1"/>
  <c r="O4920" i="1"/>
  <c r="N4920" i="1"/>
  <c r="M4920" i="1"/>
  <c r="S4919" i="1"/>
  <c r="O4919" i="1"/>
  <c r="N4919" i="1"/>
  <c r="M4919" i="1"/>
  <c r="S4918" i="1"/>
  <c r="O4918" i="1"/>
  <c r="N4918" i="1"/>
  <c r="M4918" i="1"/>
  <c r="S4917" i="1"/>
  <c r="O4917" i="1"/>
  <c r="N4917" i="1"/>
  <c r="M4917" i="1"/>
  <c r="S4916" i="1"/>
  <c r="O4916" i="1"/>
  <c r="N4916" i="1"/>
  <c r="M4916" i="1"/>
  <c r="S4915" i="1"/>
  <c r="O4915" i="1"/>
  <c r="N4915" i="1"/>
  <c r="M4915" i="1"/>
  <c r="S4914" i="1"/>
  <c r="O4914" i="1"/>
  <c r="N4914" i="1"/>
  <c r="M4914" i="1"/>
  <c r="S4913" i="1"/>
  <c r="O4913" i="1"/>
  <c r="N4913" i="1"/>
  <c r="M4913" i="1"/>
  <c r="S4912" i="1"/>
  <c r="O4912" i="1"/>
  <c r="N4912" i="1"/>
  <c r="M4912" i="1"/>
  <c r="S4911" i="1"/>
  <c r="O4911" i="1"/>
  <c r="N4911" i="1"/>
  <c r="M4911" i="1"/>
  <c r="S4910" i="1"/>
  <c r="O4910" i="1"/>
  <c r="N4910" i="1"/>
  <c r="M4910" i="1"/>
  <c r="S4909" i="1"/>
  <c r="O4909" i="1"/>
  <c r="N4909" i="1"/>
  <c r="M4909" i="1"/>
  <c r="S4908" i="1"/>
  <c r="O4908" i="1"/>
  <c r="N4908" i="1"/>
  <c r="M4908" i="1"/>
  <c r="S4907" i="1"/>
  <c r="O4907" i="1"/>
  <c r="N4907" i="1"/>
  <c r="M4907" i="1"/>
  <c r="S4906" i="1"/>
  <c r="O4906" i="1"/>
  <c r="N4906" i="1"/>
  <c r="M4906" i="1"/>
  <c r="S4905" i="1"/>
  <c r="O4905" i="1"/>
  <c r="N4905" i="1"/>
  <c r="M4905" i="1"/>
  <c r="S4904" i="1"/>
  <c r="O4904" i="1"/>
  <c r="N4904" i="1"/>
  <c r="M4904" i="1"/>
  <c r="S4903" i="1"/>
  <c r="O4903" i="1"/>
  <c r="N4903" i="1"/>
  <c r="M4903" i="1"/>
  <c r="S4902" i="1"/>
  <c r="O4902" i="1"/>
  <c r="N4902" i="1"/>
  <c r="M4902" i="1"/>
  <c r="S4901" i="1"/>
  <c r="O4901" i="1"/>
  <c r="N4901" i="1"/>
  <c r="M4901" i="1"/>
  <c r="S4898" i="1"/>
  <c r="O4898" i="1"/>
  <c r="N4898" i="1"/>
  <c r="M4898" i="1"/>
  <c r="S4897" i="1"/>
  <c r="O4897" i="1"/>
  <c r="N4897" i="1"/>
  <c r="M4897" i="1"/>
  <c r="S4896" i="1"/>
  <c r="O4896" i="1"/>
  <c r="N4896" i="1"/>
  <c r="M4896" i="1"/>
  <c r="S4895" i="1"/>
  <c r="O4895" i="1"/>
  <c r="N4895" i="1"/>
  <c r="M4895" i="1"/>
  <c r="S4894" i="1"/>
  <c r="O4894" i="1"/>
  <c r="N4894" i="1"/>
  <c r="M4894" i="1"/>
  <c r="S4893" i="1"/>
  <c r="O4893" i="1"/>
  <c r="N4893" i="1"/>
  <c r="M4893" i="1"/>
  <c r="S4890" i="1"/>
  <c r="O4890" i="1"/>
  <c r="N4890" i="1"/>
  <c r="M4890" i="1"/>
  <c r="S4889" i="1"/>
  <c r="O4889" i="1"/>
  <c r="N4889" i="1"/>
  <c r="M4889" i="1"/>
  <c r="S4887" i="1"/>
  <c r="O4887" i="1"/>
  <c r="N4887" i="1"/>
  <c r="M4887" i="1"/>
  <c r="S4886" i="1"/>
  <c r="O4886" i="1"/>
  <c r="N4886" i="1"/>
  <c r="M4886" i="1"/>
  <c r="S4883" i="1"/>
  <c r="O4883" i="1"/>
  <c r="N4883" i="1"/>
  <c r="M4883" i="1"/>
  <c r="S4878" i="1"/>
  <c r="O4878" i="1"/>
  <c r="N4878" i="1"/>
  <c r="M4878" i="1"/>
  <c r="S4874" i="1"/>
  <c r="O4874" i="1"/>
  <c r="N4874" i="1"/>
  <c r="M4874" i="1"/>
  <c r="S4873" i="1"/>
  <c r="O4873" i="1"/>
  <c r="N4873" i="1"/>
  <c r="M4873" i="1"/>
  <c r="S4872" i="1"/>
  <c r="O4872" i="1"/>
  <c r="N4872" i="1"/>
  <c r="M4872" i="1"/>
  <c r="S4870" i="1"/>
  <c r="O4870" i="1"/>
  <c r="N4870" i="1"/>
  <c r="M4870" i="1"/>
  <c r="S4869" i="1"/>
  <c r="O4869" i="1"/>
  <c r="N4869" i="1"/>
  <c r="M4869" i="1"/>
  <c r="S4868" i="1"/>
  <c r="O4868" i="1"/>
  <c r="N4868" i="1"/>
  <c r="M4868" i="1"/>
  <c r="S4867" i="1"/>
  <c r="O4867" i="1"/>
  <c r="N4867" i="1"/>
  <c r="M4867" i="1"/>
  <c r="S4866" i="1"/>
  <c r="O4866" i="1"/>
  <c r="N4866" i="1"/>
  <c r="M4866" i="1"/>
  <c r="S4864" i="1"/>
  <c r="O4864" i="1"/>
  <c r="N4864" i="1"/>
  <c r="M4864" i="1"/>
  <c r="S4863" i="1"/>
  <c r="O4863" i="1"/>
  <c r="N4863" i="1"/>
  <c r="M4863" i="1"/>
  <c r="S4862" i="1"/>
  <c r="O4862" i="1"/>
  <c r="N4862" i="1"/>
  <c r="M4862" i="1"/>
  <c r="S4861" i="1"/>
  <c r="O4861" i="1"/>
  <c r="N4861" i="1"/>
  <c r="M4861" i="1"/>
  <c r="S4860" i="1"/>
  <c r="O4860" i="1"/>
  <c r="N4860" i="1"/>
  <c r="M4860" i="1"/>
  <c r="S4859" i="1"/>
  <c r="O4859" i="1"/>
  <c r="N4859" i="1"/>
  <c r="M4859" i="1"/>
  <c r="S4858" i="1"/>
  <c r="O4858" i="1"/>
  <c r="N4858" i="1"/>
  <c r="M4858" i="1"/>
  <c r="S4857" i="1"/>
  <c r="O4857" i="1"/>
  <c r="N4857" i="1"/>
  <c r="M4857" i="1"/>
  <c r="S4856" i="1"/>
  <c r="O4856" i="1"/>
  <c r="N4856" i="1"/>
  <c r="M4856" i="1"/>
  <c r="S4855" i="1"/>
  <c r="O4855" i="1"/>
  <c r="N4855" i="1"/>
  <c r="M4855" i="1"/>
  <c r="S4854" i="1"/>
  <c r="O4854" i="1"/>
  <c r="N4854" i="1"/>
  <c r="M4854" i="1"/>
  <c r="S4852" i="1"/>
  <c r="O4852" i="1"/>
  <c r="N4852" i="1"/>
  <c r="M4852" i="1"/>
  <c r="S4851" i="1"/>
  <c r="O4851" i="1"/>
  <c r="N4851" i="1"/>
  <c r="M4851" i="1"/>
  <c r="S4849" i="1"/>
  <c r="O4849" i="1"/>
  <c r="N4849" i="1"/>
  <c r="M4849" i="1"/>
  <c r="S4848" i="1"/>
  <c r="O4848" i="1"/>
  <c r="N4848" i="1"/>
  <c r="M4848" i="1"/>
  <c r="S4847" i="1"/>
  <c r="O4847" i="1"/>
  <c r="N4847" i="1"/>
  <c r="M4847" i="1"/>
  <c r="S4846" i="1"/>
  <c r="O4846" i="1"/>
  <c r="N4846" i="1"/>
  <c r="M4846" i="1"/>
  <c r="S4845" i="1"/>
  <c r="O4845" i="1"/>
  <c r="N4845" i="1"/>
  <c r="M4845" i="1"/>
  <c r="S4844" i="1"/>
  <c r="O4844" i="1"/>
  <c r="N4844" i="1"/>
  <c r="M4844" i="1"/>
  <c r="S4843" i="1"/>
  <c r="O4843" i="1"/>
  <c r="N4843" i="1"/>
  <c r="M4843" i="1"/>
  <c r="S4842" i="1"/>
  <c r="O4842" i="1"/>
  <c r="N4842" i="1"/>
  <c r="M4842" i="1"/>
  <c r="S4838" i="1"/>
  <c r="O4838" i="1"/>
  <c r="N4838" i="1"/>
  <c r="M4838" i="1"/>
  <c r="S4837" i="1"/>
  <c r="O4837" i="1"/>
  <c r="N4837" i="1"/>
  <c r="M4837" i="1"/>
  <c r="S4836" i="1"/>
  <c r="O4836" i="1"/>
  <c r="N4836" i="1"/>
  <c r="M4836" i="1"/>
  <c r="S4835" i="1"/>
  <c r="O4835" i="1"/>
  <c r="N4835" i="1"/>
  <c r="M4835" i="1"/>
  <c r="S4834" i="1"/>
  <c r="O4834" i="1"/>
  <c r="N4834" i="1"/>
  <c r="M4834" i="1"/>
  <c r="S4833" i="1"/>
  <c r="O4833" i="1"/>
  <c r="N4833" i="1"/>
  <c r="M4833" i="1"/>
  <c r="S4832" i="1"/>
  <c r="O4832" i="1"/>
  <c r="N4832" i="1"/>
  <c r="M4832" i="1"/>
  <c r="S4831" i="1"/>
  <c r="O4831" i="1"/>
  <c r="N4831" i="1"/>
  <c r="M4831" i="1"/>
  <c r="S4830" i="1"/>
  <c r="O4830" i="1"/>
  <c r="N4830" i="1"/>
  <c r="M4830" i="1"/>
  <c r="S4829" i="1"/>
  <c r="O4829" i="1"/>
  <c r="N4829" i="1"/>
  <c r="M4829" i="1"/>
  <c r="S4828" i="1"/>
  <c r="O4828" i="1"/>
  <c r="N4828" i="1"/>
  <c r="M4828" i="1"/>
  <c r="S4827" i="1"/>
  <c r="O4827" i="1"/>
  <c r="N4827" i="1"/>
  <c r="M4827" i="1"/>
  <c r="S4824" i="1"/>
  <c r="O4824" i="1"/>
  <c r="N4824" i="1"/>
  <c r="M4824" i="1"/>
  <c r="S4823" i="1"/>
  <c r="O4823" i="1"/>
  <c r="N4823" i="1"/>
  <c r="M4823" i="1"/>
  <c r="S4822" i="1"/>
  <c r="O4822" i="1"/>
  <c r="N4822" i="1"/>
  <c r="M4822" i="1"/>
  <c r="S4821" i="1"/>
  <c r="O4821" i="1"/>
  <c r="N4821" i="1"/>
  <c r="M4821" i="1"/>
  <c r="S4820" i="1"/>
  <c r="O4820" i="1"/>
  <c r="N4820" i="1"/>
  <c r="M4820" i="1"/>
  <c r="S4818" i="1"/>
  <c r="O4818" i="1"/>
  <c r="N4818" i="1"/>
  <c r="M4818" i="1"/>
  <c r="S4817" i="1"/>
  <c r="O4817" i="1"/>
  <c r="N4817" i="1"/>
  <c r="M4817" i="1"/>
  <c r="S4815" i="1"/>
  <c r="O4815" i="1"/>
  <c r="N4815" i="1"/>
  <c r="M4815" i="1"/>
  <c r="S4814" i="1"/>
  <c r="O4814" i="1"/>
  <c r="N4814" i="1"/>
  <c r="M4814" i="1"/>
  <c r="S4813" i="1"/>
  <c r="O4813" i="1"/>
  <c r="N4813" i="1"/>
  <c r="M4813" i="1"/>
  <c r="S4812" i="1"/>
  <c r="O4812" i="1"/>
  <c r="N4812" i="1"/>
  <c r="M4812" i="1"/>
  <c r="S4811" i="1"/>
  <c r="O4811" i="1"/>
  <c r="N4811" i="1"/>
  <c r="M4811" i="1"/>
  <c r="S4810" i="1"/>
  <c r="O4810" i="1"/>
  <c r="N4810" i="1"/>
  <c r="M4810" i="1"/>
  <c r="S4809" i="1"/>
  <c r="O4809" i="1"/>
  <c r="N4809" i="1"/>
  <c r="M4809" i="1"/>
  <c r="S4808" i="1"/>
  <c r="O4808" i="1"/>
  <c r="N4808" i="1"/>
  <c r="M4808" i="1"/>
  <c r="S4807" i="1"/>
  <c r="O4807" i="1"/>
  <c r="N4807" i="1"/>
  <c r="M4807" i="1"/>
  <c r="S4806" i="1"/>
  <c r="O4806" i="1"/>
  <c r="N4806" i="1"/>
  <c r="M4806" i="1"/>
  <c r="S4805" i="1"/>
  <c r="O4805" i="1"/>
  <c r="N4805" i="1"/>
  <c r="M4805" i="1"/>
  <c r="S4804" i="1"/>
  <c r="O4804" i="1"/>
  <c r="N4804" i="1"/>
  <c r="M4804" i="1"/>
  <c r="S4802" i="1"/>
  <c r="O4802" i="1"/>
  <c r="N4802" i="1"/>
  <c r="M4802" i="1"/>
  <c r="S4800" i="1"/>
  <c r="O4800" i="1"/>
  <c r="N4800" i="1"/>
  <c r="M4800" i="1"/>
  <c r="S4799" i="1"/>
  <c r="O4799" i="1"/>
  <c r="N4799" i="1"/>
  <c r="M4799" i="1"/>
  <c r="S4798" i="1"/>
  <c r="O4798" i="1"/>
  <c r="N4798" i="1"/>
  <c r="M4798" i="1"/>
  <c r="S4796" i="1"/>
  <c r="O4796" i="1"/>
  <c r="N4796" i="1"/>
  <c r="M4796" i="1"/>
  <c r="S4795" i="1"/>
  <c r="O4795" i="1"/>
  <c r="N4795" i="1"/>
  <c r="M4795" i="1"/>
  <c r="S4794" i="1"/>
  <c r="O4794" i="1"/>
  <c r="N4794" i="1"/>
  <c r="M4794" i="1"/>
  <c r="S4793" i="1"/>
  <c r="O4793" i="1"/>
  <c r="N4793" i="1"/>
  <c r="M4793" i="1"/>
  <c r="S4792" i="1"/>
  <c r="O4792" i="1"/>
  <c r="N4792" i="1"/>
  <c r="M4792" i="1"/>
  <c r="S4791" i="1"/>
  <c r="O4791" i="1"/>
  <c r="N4791" i="1"/>
  <c r="M4791" i="1"/>
  <c r="S4790" i="1"/>
  <c r="O4790" i="1"/>
  <c r="N4790" i="1"/>
  <c r="M4790" i="1"/>
  <c r="S4789" i="1"/>
  <c r="O4789" i="1"/>
  <c r="N4789" i="1"/>
  <c r="M4789" i="1"/>
  <c r="S4788" i="1"/>
  <c r="O4788" i="1"/>
  <c r="N4788" i="1"/>
  <c r="M4788" i="1"/>
  <c r="S4787" i="1"/>
  <c r="O4787" i="1"/>
  <c r="N4787" i="1"/>
  <c r="M4787" i="1"/>
  <c r="S4786" i="1"/>
  <c r="O4786" i="1"/>
  <c r="N4786" i="1"/>
  <c r="M4786" i="1"/>
  <c r="S4785" i="1"/>
  <c r="O4785" i="1"/>
  <c r="N4785" i="1"/>
  <c r="M4785" i="1"/>
  <c r="S4783" i="1"/>
  <c r="O4783" i="1"/>
  <c r="N4783" i="1"/>
  <c r="M4783" i="1"/>
  <c r="S4782" i="1"/>
  <c r="O4782" i="1"/>
  <c r="N4782" i="1"/>
  <c r="M4782" i="1"/>
  <c r="S4781" i="1"/>
  <c r="O4781" i="1"/>
  <c r="N4781" i="1"/>
  <c r="M4781" i="1"/>
  <c r="S4780" i="1"/>
  <c r="O4780" i="1"/>
  <c r="N4780" i="1"/>
  <c r="M4780" i="1"/>
  <c r="S4779" i="1"/>
  <c r="O4779" i="1"/>
  <c r="N4779" i="1"/>
  <c r="M4779" i="1"/>
  <c r="S4778" i="1"/>
  <c r="O4778" i="1"/>
  <c r="N4778" i="1"/>
  <c r="M4778" i="1"/>
  <c r="S4777" i="1"/>
  <c r="O4777" i="1"/>
  <c r="N4777" i="1"/>
  <c r="M4777" i="1"/>
  <c r="S4776" i="1"/>
  <c r="O4776" i="1"/>
  <c r="N4776" i="1"/>
  <c r="M4776" i="1"/>
  <c r="S4775" i="1"/>
  <c r="O4775" i="1"/>
  <c r="N4775" i="1"/>
  <c r="M4775" i="1"/>
  <c r="S4774" i="1"/>
  <c r="O4774" i="1"/>
  <c r="N4774" i="1"/>
  <c r="M4774" i="1"/>
  <c r="S4773" i="1"/>
  <c r="O4773" i="1"/>
  <c r="N4773" i="1"/>
  <c r="M4773" i="1"/>
  <c r="S4772" i="1"/>
  <c r="O4772" i="1"/>
  <c r="N4772" i="1"/>
  <c r="M4772" i="1"/>
  <c r="S4770" i="1"/>
  <c r="O4770" i="1"/>
  <c r="N4770" i="1"/>
  <c r="M4770" i="1"/>
  <c r="S4769" i="1"/>
  <c r="O4769" i="1"/>
  <c r="N4769" i="1"/>
  <c r="M4769" i="1"/>
  <c r="S4767" i="1"/>
  <c r="O4767" i="1"/>
  <c r="N4767" i="1"/>
  <c r="M4767" i="1"/>
  <c r="S4766" i="1"/>
  <c r="O4766" i="1"/>
  <c r="N4766" i="1"/>
  <c r="M4766" i="1"/>
  <c r="S4763" i="1"/>
  <c r="O4763" i="1"/>
  <c r="N4763" i="1"/>
  <c r="M4763" i="1"/>
  <c r="S4762" i="1"/>
  <c r="O4762" i="1"/>
  <c r="N4762" i="1"/>
  <c r="M4762" i="1"/>
  <c r="S4761" i="1"/>
  <c r="O4761" i="1"/>
  <c r="N4761" i="1"/>
  <c r="M4761" i="1"/>
  <c r="S4760" i="1"/>
  <c r="O4760" i="1"/>
  <c r="N4760" i="1"/>
  <c r="M4760" i="1"/>
  <c r="S4759" i="1"/>
  <c r="O4759" i="1"/>
  <c r="N4759" i="1"/>
  <c r="M4759" i="1"/>
  <c r="S4758" i="1"/>
  <c r="O4758" i="1"/>
  <c r="N4758" i="1"/>
  <c r="M4758" i="1"/>
  <c r="S4757" i="1"/>
  <c r="O4757" i="1"/>
  <c r="N4757" i="1"/>
  <c r="M4757" i="1"/>
  <c r="S4756" i="1"/>
  <c r="O4756" i="1"/>
  <c r="N4756" i="1"/>
  <c r="M4756" i="1"/>
  <c r="S4754" i="1"/>
  <c r="O4754" i="1"/>
  <c r="N4754" i="1"/>
  <c r="M4754" i="1"/>
  <c r="S4752" i="1"/>
  <c r="O4752" i="1"/>
  <c r="N4752" i="1"/>
  <c r="M4752" i="1"/>
  <c r="S4751" i="1"/>
  <c r="O4751" i="1"/>
  <c r="N4751" i="1"/>
  <c r="M4751" i="1"/>
  <c r="S4749" i="1"/>
  <c r="O4749" i="1"/>
  <c r="N4749" i="1"/>
  <c r="M4749" i="1"/>
  <c r="S4747" i="1"/>
  <c r="O4747" i="1"/>
  <c r="N4747" i="1"/>
  <c r="M4747" i="1"/>
  <c r="S4746" i="1"/>
  <c r="O4746" i="1"/>
  <c r="N4746" i="1"/>
  <c r="M4746" i="1"/>
  <c r="S4744" i="1"/>
  <c r="O4744" i="1"/>
  <c r="N4744" i="1"/>
  <c r="M4744" i="1"/>
  <c r="S4743" i="1"/>
  <c r="O4743" i="1"/>
  <c r="N4743" i="1"/>
  <c r="M4743" i="1"/>
  <c r="S4742" i="1"/>
  <c r="O4742" i="1"/>
  <c r="N4742" i="1"/>
  <c r="M4742" i="1"/>
  <c r="S4741" i="1"/>
  <c r="O4741" i="1"/>
  <c r="N4741" i="1"/>
  <c r="M4741" i="1"/>
  <c r="S4740" i="1"/>
  <c r="O4740" i="1"/>
  <c r="N4740" i="1"/>
  <c r="M4740" i="1"/>
  <c r="S4739" i="1"/>
  <c r="O4739" i="1"/>
  <c r="N4739" i="1"/>
  <c r="M4739" i="1"/>
  <c r="S4737" i="1"/>
  <c r="O4737" i="1"/>
  <c r="N4737" i="1"/>
  <c r="M4737" i="1"/>
  <c r="S4736" i="1"/>
  <c r="O4736" i="1"/>
  <c r="N4736" i="1"/>
  <c r="M4736" i="1"/>
  <c r="S4735" i="1"/>
  <c r="O4735" i="1"/>
  <c r="N4735" i="1"/>
  <c r="M4735" i="1"/>
  <c r="S4734" i="1"/>
  <c r="O4734" i="1"/>
  <c r="N4734" i="1"/>
  <c r="M4734" i="1"/>
  <c r="S4733" i="1"/>
  <c r="O4733" i="1"/>
  <c r="N4733" i="1"/>
  <c r="M4733" i="1"/>
  <c r="S4732" i="1"/>
  <c r="O4732" i="1"/>
  <c r="N4732" i="1"/>
  <c r="M4732" i="1"/>
  <c r="S4731" i="1"/>
  <c r="O4731" i="1"/>
  <c r="N4731" i="1"/>
  <c r="M4731" i="1"/>
  <c r="S4730" i="1"/>
  <c r="O4730" i="1"/>
  <c r="N4730" i="1"/>
  <c r="M4730" i="1"/>
  <c r="S4729" i="1"/>
  <c r="O4729" i="1"/>
  <c r="N4729" i="1"/>
  <c r="M4729" i="1"/>
  <c r="S4728" i="1"/>
  <c r="O4728" i="1"/>
  <c r="N4728" i="1"/>
  <c r="M4728" i="1"/>
  <c r="S4727" i="1"/>
  <c r="O4727" i="1"/>
  <c r="N4727" i="1"/>
  <c r="M4727" i="1"/>
  <c r="S4726" i="1"/>
  <c r="O4726" i="1"/>
  <c r="N4726" i="1"/>
  <c r="M4726" i="1"/>
  <c r="S4725" i="1"/>
  <c r="O4725" i="1"/>
  <c r="N4725" i="1"/>
  <c r="M4725" i="1"/>
  <c r="S4724" i="1"/>
  <c r="O4724" i="1"/>
  <c r="N4724" i="1"/>
  <c r="M4724" i="1"/>
  <c r="S4721" i="1"/>
  <c r="O4721" i="1"/>
  <c r="N4721" i="1"/>
  <c r="M4721" i="1"/>
  <c r="S4718" i="1"/>
  <c r="O4718" i="1"/>
  <c r="N4718" i="1"/>
  <c r="M4718" i="1"/>
  <c r="S4717" i="1"/>
  <c r="O4717" i="1"/>
  <c r="N4717" i="1"/>
  <c r="M4717" i="1"/>
  <c r="S4716" i="1"/>
  <c r="O4716" i="1"/>
  <c r="N4716" i="1"/>
  <c r="M4716" i="1"/>
  <c r="S4715" i="1"/>
  <c r="O4715" i="1"/>
  <c r="N4715" i="1"/>
  <c r="M4715" i="1"/>
  <c r="S4713" i="1"/>
  <c r="O4713" i="1"/>
  <c r="N4713" i="1"/>
  <c r="M4713" i="1"/>
  <c r="S4712" i="1"/>
  <c r="O4712" i="1"/>
  <c r="N4712" i="1"/>
  <c r="M4712" i="1"/>
  <c r="S4711" i="1"/>
  <c r="O4711" i="1"/>
  <c r="N4711" i="1"/>
  <c r="M4711" i="1"/>
  <c r="S4710" i="1"/>
  <c r="O4710" i="1"/>
  <c r="N4710" i="1"/>
  <c r="M4710" i="1"/>
  <c r="S4709" i="1"/>
  <c r="O4709" i="1"/>
  <c r="N4709" i="1"/>
  <c r="M4709" i="1"/>
  <c r="S4708" i="1"/>
  <c r="O4708" i="1"/>
  <c r="N4708" i="1"/>
  <c r="M4708" i="1"/>
  <c r="S4707" i="1"/>
  <c r="O4707" i="1"/>
  <c r="N4707" i="1"/>
  <c r="M4707" i="1"/>
  <c r="S4704" i="1"/>
  <c r="O4704" i="1"/>
  <c r="N4704" i="1"/>
  <c r="M4704" i="1"/>
  <c r="S4703" i="1"/>
  <c r="O4703" i="1"/>
  <c r="N4703" i="1"/>
  <c r="M4703" i="1"/>
  <c r="S4702" i="1"/>
  <c r="O4702" i="1"/>
  <c r="N4702" i="1"/>
  <c r="M4702" i="1"/>
  <c r="S4701" i="1"/>
  <c r="O4701" i="1"/>
  <c r="N4701" i="1"/>
  <c r="M4701" i="1"/>
  <c r="S4698" i="1"/>
  <c r="O4698" i="1"/>
  <c r="N4698" i="1"/>
  <c r="M4698" i="1"/>
  <c r="S4697" i="1"/>
  <c r="O4697" i="1"/>
  <c r="N4697" i="1"/>
  <c r="M4697" i="1"/>
  <c r="S4696" i="1"/>
  <c r="O4696" i="1"/>
  <c r="N4696" i="1"/>
  <c r="M4696" i="1"/>
  <c r="S4695" i="1"/>
  <c r="O4695" i="1"/>
  <c r="N4695" i="1"/>
  <c r="M4695" i="1"/>
  <c r="S4694" i="1"/>
  <c r="O4694" i="1"/>
  <c r="N4694" i="1"/>
  <c r="M4694" i="1"/>
  <c r="S4693" i="1"/>
  <c r="O4693" i="1"/>
  <c r="N4693" i="1"/>
  <c r="M4693" i="1"/>
  <c r="S4692" i="1"/>
  <c r="O4692" i="1"/>
  <c r="N4692" i="1"/>
  <c r="M4692" i="1"/>
  <c r="S4690" i="1"/>
  <c r="O4690" i="1"/>
  <c r="N4690" i="1"/>
  <c r="M4690" i="1"/>
  <c r="S4689" i="1"/>
  <c r="O4689" i="1"/>
  <c r="N4689" i="1"/>
  <c r="M4689" i="1"/>
  <c r="S4688" i="1"/>
  <c r="O4688" i="1"/>
  <c r="N4688" i="1"/>
  <c r="M4688" i="1"/>
  <c r="S4687" i="1"/>
  <c r="O4687" i="1"/>
  <c r="N4687" i="1"/>
  <c r="M4687" i="1"/>
  <c r="S4686" i="1"/>
  <c r="O4686" i="1"/>
  <c r="N4686" i="1"/>
  <c r="M4686" i="1"/>
  <c r="S4685" i="1"/>
  <c r="O4685" i="1"/>
  <c r="N4685" i="1"/>
  <c r="M4685" i="1"/>
  <c r="S4684" i="1"/>
  <c r="O4684" i="1"/>
  <c r="N4684" i="1"/>
  <c r="M4684" i="1"/>
  <c r="S4683" i="1"/>
  <c r="O4683" i="1"/>
  <c r="N4683" i="1"/>
  <c r="M4683" i="1"/>
  <c r="S4682" i="1"/>
  <c r="O4682" i="1"/>
  <c r="N4682" i="1"/>
  <c r="M4682" i="1"/>
  <c r="S4681" i="1"/>
  <c r="O4681" i="1"/>
  <c r="N4681" i="1"/>
  <c r="M4681" i="1"/>
  <c r="S4680" i="1"/>
  <c r="O4680" i="1"/>
  <c r="N4680" i="1"/>
  <c r="M4680" i="1"/>
  <c r="S4679" i="1"/>
  <c r="O4679" i="1"/>
  <c r="N4679" i="1"/>
  <c r="M4679" i="1"/>
  <c r="S4678" i="1"/>
  <c r="O4678" i="1"/>
  <c r="N4678" i="1"/>
  <c r="M4678" i="1"/>
  <c r="S4677" i="1"/>
  <c r="O4677" i="1"/>
  <c r="N4677" i="1"/>
  <c r="M4677" i="1"/>
  <c r="S4676" i="1"/>
  <c r="O4676" i="1"/>
  <c r="N4676" i="1"/>
  <c r="M4676" i="1"/>
  <c r="S4675" i="1"/>
  <c r="O4675" i="1"/>
  <c r="N4675" i="1"/>
  <c r="M4675" i="1"/>
  <c r="S4674" i="1"/>
  <c r="O4674" i="1"/>
  <c r="N4674" i="1"/>
  <c r="M4674" i="1"/>
  <c r="S4673" i="1"/>
  <c r="O4673" i="1"/>
  <c r="N4673" i="1"/>
  <c r="M4673" i="1"/>
  <c r="S4672" i="1"/>
  <c r="O4672" i="1"/>
  <c r="N4672" i="1"/>
  <c r="M4672" i="1"/>
  <c r="S4671" i="1"/>
  <c r="O4671" i="1"/>
  <c r="N4671" i="1"/>
  <c r="M4671" i="1"/>
  <c r="S4670" i="1"/>
  <c r="O4670" i="1"/>
  <c r="N4670" i="1"/>
  <c r="M4670" i="1"/>
  <c r="S4669" i="1"/>
  <c r="O4669" i="1"/>
  <c r="N4669" i="1"/>
  <c r="M4669" i="1"/>
  <c r="S4668" i="1"/>
  <c r="O4668" i="1"/>
  <c r="N4668" i="1"/>
  <c r="M4668" i="1"/>
  <c r="S4667" i="1"/>
  <c r="O4667" i="1"/>
  <c r="N4667" i="1"/>
  <c r="M4667" i="1"/>
  <c r="S4666" i="1"/>
  <c r="O4666" i="1"/>
  <c r="N4666" i="1"/>
  <c r="M4666" i="1"/>
  <c r="S4665" i="1"/>
  <c r="O4665" i="1"/>
  <c r="N4665" i="1"/>
  <c r="M4665" i="1"/>
  <c r="S4664" i="1"/>
  <c r="O4664" i="1"/>
  <c r="N4664" i="1"/>
  <c r="M4664" i="1"/>
  <c r="S4663" i="1"/>
  <c r="O4663" i="1"/>
  <c r="N4663" i="1"/>
  <c r="M4663" i="1"/>
  <c r="S4662" i="1"/>
  <c r="O4662" i="1"/>
  <c r="N4662" i="1"/>
  <c r="M4662" i="1"/>
  <c r="S4661" i="1"/>
  <c r="O4661" i="1"/>
  <c r="N4661" i="1"/>
  <c r="M4661" i="1"/>
  <c r="S4660" i="1"/>
  <c r="O4660" i="1"/>
  <c r="N4660" i="1"/>
  <c r="M4660" i="1"/>
  <c r="S4659" i="1"/>
  <c r="N4659" i="1"/>
  <c r="M4659" i="1"/>
  <c r="S4658" i="1"/>
  <c r="O4658" i="1"/>
  <c r="N4658" i="1"/>
  <c r="M4658" i="1"/>
  <c r="S4656" i="1"/>
  <c r="O4656" i="1"/>
  <c r="N4656" i="1"/>
  <c r="M4656" i="1"/>
  <c r="S4655" i="1"/>
  <c r="O4655" i="1"/>
  <c r="N4655" i="1"/>
  <c r="M4655" i="1"/>
  <c r="S4653" i="1"/>
  <c r="O4653" i="1"/>
  <c r="N4653" i="1"/>
  <c r="M4653" i="1"/>
  <c r="S4652" i="1"/>
  <c r="O4652" i="1"/>
  <c r="N4652" i="1"/>
  <c r="M4652" i="1"/>
  <c r="S4651" i="1"/>
  <c r="O4651" i="1"/>
  <c r="N4651" i="1"/>
  <c r="M4651" i="1"/>
  <c r="S4650" i="1"/>
  <c r="O4650" i="1"/>
  <c r="N4650" i="1"/>
  <c r="M4650" i="1"/>
  <c r="S4649" i="1"/>
  <c r="O4649" i="1"/>
  <c r="N4649" i="1"/>
  <c r="M4649" i="1"/>
  <c r="S4648" i="1"/>
  <c r="O4648" i="1"/>
  <c r="N4648" i="1"/>
  <c r="M4648" i="1"/>
  <c r="S4647" i="1"/>
  <c r="O4647" i="1"/>
  <c r="N4647" i="1"/>
  <c r="M4647" i="1"/>
  <c r="S4646" i="1"/>
  <c r="O4646" i="1"/>
  <c r="N4646" i="1"/>
  <c r="M4646" i="1"/>
  <c r="S4645" i="1"/>
  <c r="O4645" i="1"/>
  <c r="N4645" i="1"/>
  <c r="M4645" i="1"/>
  <c r="S4644" i="1"/>
  <c r="O4644" i="1"/>
  <c r="N4644" i="1"/>
  <c r="M4644" i="1"/>
  <c r="S4643" i="1"/>
  <c r="O4643" i="1"/>
  <c r="N4643" i="1"/>
  <c r="M4643" i="1"/>
  <c r="S4642" i="1"/>
  <c r="O4642" i="1"/>
  <c r="N4642" i="1"/>
  <c r="M4642" i="1"/>
  <c r="S4641" i="1"/>
  <c r="O4641" i="1"/>
  <c r="N4641" i="1"/>
  <c r="M4641" i="1"/>
  <c r="S4640" i="1"/>
  <c r="O4640" i="1"/>
  <c r="N4640" i="1"/>
  <c r="M4640" i="1"/>
  <c r="S4639" i="1"/>
  <c r="O4639" i="1"/>
  <c r="N4639" i="1"/>
  <c r="M4639" i="1"/>
  <c r="S4638" i="1"/>
  <c r="O4638" i="1"/>
  <c r="N4638" i="1"/>
  <c r="M4638" i="1"/>
  <c r="S4637" i="1"/>
  <c r="O4637" i="1"/>
  <c r="N4637" i="1"/>
  <c r="M4637" i="1"/>
  <c r="S4636" i="1"/>
  <c r="O4636" i="1"/>
  <c r="N4636" i="1"/>
  <c r="M4636" i="1"/>
  <c r="S4635" i="1"/>
  <c r="O4635" i="1"/>
  <c r="N4635" i="1"/>
  <c r="M4635" i="1"/>
  <c r="S4634" i="1"/>
  <c r="O4634" i="1"/>
  <c r="N4634" i="1"/>
  <c r="M4634" i="1"/>
  <c r="S4633" i="1"/>
  <c r="O4633" i="1"/>
  <c r="N4633" i="1"/>
  <c r="M4633" i="1"/>
  <c r="S4632" i="1"/>
  <c r="O4632" i="1"/>
  <c r="N4632" i="1"/>
  <c r="M4632" i="1"/>
  <c r="S4631" i="1"/>
  <c r="O4631" i="1"/>
  <c r="N4631" i="1"/>
  <c r="M4631" i="1"/>
  <c r="S4630" i="1"/>
  <c r="O4630" i="1"/>
  <c r="N4630" i="1"/>
  <c r="M4630" i="1"/>
  <c r="S4629" i="1"/>
  <c r="O4629" i="1"/>
  <c r="N4629" i="1"/>
  <c r="M4629" i="1"/>
  <c r="S4628" i="1"/>
  <c r="O4628" i="1"/>
  <c r="N4628" i="1"/>
  <c r="M4628" i="1"/>
  <c r="S4627" i="1"/>
  <c r="O4627" i="1"/>
  <c r="N4627" i="1"/>
  <c r="M4627" i="1"/>
  <c r="S4626" i="1"/>
  <c r="O4626" i="1"/>
  <c r="N4626" i="1"/>
  <c r="M4626" i="1"/>
  <c r="S4625" i="1"/>
  <c r="O4625" i="1"/>
  <c r="N4625" i="1"/>
  <c r="M4625" i="1"/>
  <c r="S4624" i="1"/>
  <c r="O4624" i="1"/>
  <c r="N4624" i="1"/>
  <c r="M4624" i="1"/>
  <c r="S4623" i="1"/>
  <c r="O4623" i="1"/>
  <c r="N4623" i="1"/>
  <c r="M4623" i="1"/>
  <c r="S4622" i="1"/>
  <c r="O4622" i="1"/>
  <c r="N4622" i="1"/>
  <c r="M4622" i="1"/>
  <c r="S4621" i="1"/>
  <c r="O4621" i="1"/>
  <c r="N4621" i="1"/>
  <c r="M4621" i="1"/>
  <c r="S4620" i="1"/>
  <c r="O4620" i="1"/>
  <c r="N4620" i="1"/>
  <c r="M4620" i="1"/>
  <c r="S4619" i="1"/>
  <c r="O4619" i="1"/>
  <c r="N4619" i="1"/>
  <c r="M4619" i="1"/>
  <c r="S4616" i="1"/>
  <c r="M4616" i="1"/>
  <c r="S4615" i="1"/>
  <c r="M4615" i="1"/>
  <c r="S4614" i="1"/>
  <c r="M4614" i="1"/>
  <c r="S4613" i="1"/>
  <c r="M4613" i="1"/>
  <c r="S4612" i="1"/>
  <c r="M4612" i="1"/>
  <c r="S4611" i="1"/>
  <c r="M4611" i="1"/>
  <c r="S4610" i="1"/>
  <c r="M4610" i="1"/>
  <c r="S4609" i="1"/>
  <c r="M4609" i="1"/>
  <c r="S4607" i="1"/>
  <c r="M4607" i="1"/>
  <c r="S4606" i="1"/>
  <c r="M4606" i="1"/>
  <c r="S4605" i="1"/>
  <c r="M4605" i="1"/>
  <c r="S4604" i="1"/>
  <c r="M4604" i="1"/>
  <c r="S4603" i="1"/>
  <c r="M4603" i="1"/>
  <c r="S4602" i="1"/>
  <c r="M4602" i="1"/>
  <c r="S4601" i="1"/>
  <c r="M4601" i="1"/>
  <c r="S4600" i="1"/>
  <c r="M4600" i="1"/>
  <c r="S4599" i="1"/>
  <c r="M4599" i="1"/>
  <c r="S4597" i="1"/>
  <c r="O4597" i="1"/>
  <c r="N4597" i="1"/>
  <c r="M4597" i="1"/>
  <c r="S4596" i="1"/>
  <c r="O4596" i="1"/>
  <c r="N4596" i="1"/>
  <c r="M4596" i="1"/>
  <c r="S4595" i="1"/>
  <c r="O4595" i="1"/>
  <c r="N4595" i="1"/>
  <c r="M4595" i="1"/>
  <c r="S4594" i="1"/>
  <c r="O4594" i="1"/>
  <c r="N4594" i="1"/>
  <c r="M4594" i="1"/>
  <c r="S4593" i="1"/>
  <c r="O4593" i="1"/>
  <c r="N4593" i="1"/>
  <c r="M4593" i="1"/>
  <c r="S4589" i="1"/>
  <c r="O4589" i="1"/>
  <c r="N4589" i="1"/>
  <c r="M4589" i="1"/>
  <c r="S4588" i="1"/>
  <c r="O4588" i="1"/>
  <c r="N4588" i="1"/>
  <c r="M4588" i="1"/>
  <c r="S4587" i="1"/>
  <c r="O4587" i="1"/>
  <c r="N4587" i="1"/>
  <c r="M4587" i="1"/>
  <c r="S4584" i="1"/>
  <c r="M4584" i="1"/>
  <c r="S4583" i="1"/>
  <c r="M4583" i="1"/>
  <c r="S4582" i="1"/>
  <c r="M4582" i="1"/>
  <c r="S4581" i="1"/>
  <c r="M4581" i="1"/>
  <c r="S4580" i="1"/>
  <c r="M4580" i="1"/>
  <c r="S4579" i="1"/>
  <c r="M4579" i="1"/>
  <c r="S4578" i="1"/>
  <c r="M4578" i="1"/>
  <c r="S4577" i="1"/>
  <c r="M4577" i="1"/>
  <c r="S4576" i="1"/>
  <c r="M4576" i="1"/>
  <c r="S4574" i="1"/>
  <c r="M4574" i="1"/>
  <c r="S4573" i="1"/>
  <c r="M4573" i="1"/>
  <c r="S4572" i="1"/>
  <c r="M4572" i="1"/>
  <c r="S4571" i="1"/>
  <c r="M4571" i="1"/>
  <c r="S4570" i="1"/>
  <c r="M4570" i="1"/>
  <c r="S4569" i="1"/>
  <c r="M4569" i="1"/>
  <c r="S4568" i="1"/>
  <c r="M4568" i="1"/>
  <c r="S4567" i="1"/>
  <c r="M4567" i="1"/>
  <c r="S4565" i="1"/>
  <c r="O4565" i="1"/>
  <c r="N4565" i="1"/>
  <c r="M4565" i="1"/>
  <c r="S4564" i="1"/>
  <c r="O4564" i="1"/>
  <c r="N4564" i="1"/>
  <c r="M4564" i="1"/>
  <c r="S4558" i="1"/>
  <c r="O4558" i="1"/>
  <c r="N4558" i="1"/>
  <c r="M4558" i="1"/>
  <c r="S4557" i="1"/>
  <c r="O4557" i="1"/>
  <c r="N4557" i="1"/>
  <c r="M4557" i="1"/>
  <c r="S4556" i="1"/>
  <c r="O4556" i="1"/>
  <c r="N4556" i="1"/>
  <c r="M4556" i="1"/>
  <c r="S4555" i="1"/>
  <c r="O4555" i="1"/>
  <c r="N4555" i="1"/>
  <c r="M4555" i="1"/>
  <c r="S4554" i="1"/>
  <c r="O4554" i="1"/>
  <c r="N4554" i="1"/>
  <c r="M4554" i="1"/>
  <c r="S4552" i="1"/>
  <c r="O4552" i="1"/>
  <c r="N4552" i="1"/>
  <c r="M4552" i="1"/>
  <c r="S4551" i="1"/>
  <c r="O4551" i="1"/>
  <c r="N4551" i="1"/>
  <c r="M4551" i="1"/>
  <c r="S4549" i="1"/>
  <c r="O4549" i="1"/>
  <c r="N4549" i="1"/>
  <c r="M4549" i="1"/>
  <c r="S4548" i="1"/>
  <c r="O4548" i="1"/>
  <c r="N4548" i="1"/>
  <c r="M4548" i="1"/>
  <c r="S4547" i="1"/>
  <c r="O4547" i="1"/>
  <c r="N4547" i="1"/>
  <c r="M4547" i="1"/>
  <c r="S4546" i="1"/>
  <c r="O4546" i="1"/>
  <c r="N4546" i="1"/>
  <c r="M4546" i="1"/>
  <c r="S4545" i="1"/>
  <c r="O4545" i="1"/>
  <c r="N4545" i="1"/>
  <c r="M4545" i="1"/>
  <c r="S4544" i="1"/>
  <c r="O4544" i="1"/>
  <c r="N4544" i="1"/>
  <c r="M4544" i="1"/>
  <c r="S4543" i="1"/>
  <c r="O4543" i="1"/>
  <c r="N4543" i="1"/>
  <c r="M4543" i="1"/>
  <c r="S4542" i="1"/>
  <c r="O4542" i="1"/>
  <c r="N4542" i="1"/>
  <c r="M4542" i="1"/>
  <c r="S4541" i="1"/>
  <c r="O4541" i="1"/>
  <c r="N4541" i="1"/>
  <c r="M4541" i="1"/>
  <c r="S4540" i="1"/>
  <c r="O4540" i="1"/>
  <c r="N4540" i="1"/>
  <c r="M4540" i="1"/>
  <c r="S4539" i="1"/>
  <c r="O4539" i="1"/>
  <c r="N4539" i="1"/>
  <c r="M4539" i="1"/>
  <c r="S4538" i="1"/>
  <c r="O4538" i="1"/>
  <c r="N4538" i="1"/>
  <c r="M4538" i="1"/>
  <c r="S4537" i="1"/>
  <c r="O4537" i="1"/>
  <c r="N4537" i="1"/>
  <c r="M4537" i="1"/>
  <c r="S4536" i="1"/>
  <c r="O4536" i="1"/>
  <c r="N4536" i="1"/>
  <c r="M4536" i="1"/>
  <c r="S4535" i="1"/>
  <c r="O4535" i="1"/>
  <c r="N4535" i="1"/>
  <c r="M4535" i="1"/>
  <c r="S4534" i="1"/>
  <c r="O4534" i="1"/>
  <c r="N4534" i="1"/>
  <c r="M4534" i="1"/>
  <c r="S4533" i="1"/>
  <c r="O4533" i="1"/>
  <c r="N4533" i="1"/>
  <c r="M4533" i="1"/>
  <c r="S4530" i="1"/>
  <c r="O4530" i="1"/>
  <c r="N4530" i="1"/>
  <c r="M4530" i="1"/>
  <c r="S4529" i="1"/>
  <c r="O4529" i="1"/>
  <c r="N4529" i="1"/>
  <c r="M4529" i="1"/>
  <c r="S4528" i="1"/>
  <c r="O4528" i="1"/>
  <c r="N4528" i="1"/>
  <c r="M4528" i="1"/>
  <c r="S4527" i="1"/>
  <c r="O4527" i="1"/>
  <c r="N4527" i="1"/>
  <c r="M4527" i="1"/>
  <c r="S4525" i="1"/>
  <c r="O4525" i="1"/>
  <c r="N4525" i="1"/>
  <c r="M4525" i="1"/>
  <c r="S4524" i="1"/>
  <c r="O4524" i="1"/>
  <c r="N4524" i="1"/>
  <c r="M4524" i="1"/>
  <c r="S4523" i="1"/>
  <c r="O4523" i="1"/>
  <c r="N4523" i="1"/>
  <c r="M4523" i="1"/>
  <c r="S4521" i="1"/>
  <c r="O4521" i="1"/>
  <c r="N4521" i="1"/>
  <c r="M4521" i="1"/>
  <c r="S4520" i="1"/>
  <c r="O4520" i="1"/>
  <c r="N4520" i="1"/>
  <c r="M4520" i="1"/>
  <c r="S4519" i="1"/>
  <c r="O4519" i="1"/>
  <c r="N4519" i="1"/>
  <c r="M4519" i="1"/>
  <c r="S4518" i="1"/>
  <c r="O4518" i="1"/>
  <c r="N4518" i="1"/>
  <c r="M4518" i="1"/>
  <c r="S4517" i="1"/>
  <c r="O4517" i="1"/>
  <c r="N4517" i="1"/>
  <c r="M4517" i="1"/>
  <c r="S4516" i="1"/>
  <c r="O4516" i="1"/>
  <c r="N4516" i="1"/>
  <c r="M4516" i="1"/>
  <c r="S4515" i="1"/>
  <c r="O4515" i="1"/>
  <c r="N4515" i="1"/>
  <c r="M4515" i="1"/>
  <c r="S4514" i="1"/>
  <c r="O4514" i="1"/>
  <c r="N4514" i="1"/>
  <c r="M4514" i="1"/>
  <c r="S4513" i="1"/>
  <c r="O4513" i="1"/>
  <c r="N4513" i="1"/>
  <c r="M4513" i="1"/>
  <c r="S4512" i="1"/>
  <c r="O4512" i="1"/>
  <c r="N4512" i="1"/>
  <c r="M4512" i="1"/>
  <c r="S4511" i="1"/>
  <c r="O4511" i="1"/>
  <c r="N4511" i="1"/>
  <c r="M4511" i="1"/>
  <c r="S4509" i="1"/>
  <c r="O4509" i="1"/>
  <c r="N4509" i="1"/>
  <c r="M4509" i="1"/>
  <c r="S4508" i="1"/>
  <c r="O4508" i="1"/>
  <c r="N4508" i="1"/>
  <c r="M4508" i="1"/>
  <c r="S4507" i="1"/>
  <c r="O4507" i="1"/>
  <c r="N4507" i="1"/>
  <c r="M4507" i="1"/>
  <c r="S4506" i="1"/>
  <c r="O4506" i="1"/>
  <c r="N4506" i="1"/>
  <c r="M4506" i="1"/>
  <c r="S4505" i="1"/>
  <c r="O4505" i="1"/>
  <c r="N4505" i="1"/>
  <c r="M4505" i="1"/>
  <c r="S4504" i="1"/>
  <c r="O4504" i="1"/>
  <c r="N4504" i="1"/>
  <c r="M4504" i="1"/>
  <c r="S4501" i="1"/>
  <c r="O4501" i="1"/>
  <c r="N4501" i="1"/>
  <c r="M4501" i="1"/>
  <c r="S4500" i="1"/>
  <c r="O4500" i="1"/>
  <c r="N4500" i="1"/>
  <c r="M4500" i="1"/>
  <c r="S4499" i="1"/>
  <c r="O4499" i="1"/>
  <c r="N4499" i="1"/>
  <c r="M4499" i="1"/>
  <c r="S4498" i="1"/>
  <c r="O4498" i="1"/>
  <c r="N4498" i="1"/>
  <c r="M4498" i="1"/>
  <c r="S4497" i="1"/>
  <c r="O4497" i="1"/>
  <c r="N4497" i="1"/>
  <c r="M4497" i="1"/>
  <c r="S4494" i="1"/>
  <c r="O4494" i="1"/>
  <c r="N4494" i="1"/>
  <c r="M4494" i="1"/>
  <c r="S4493" i="1"/>
  <c r="O4493" i="1"/>
  <c r="N4493" i="1"/>
  <c r="M4493" i="1"/>
  <c r="S4491" i="1"/>
  <c r="O4491" i="1"/>
  <c r="N4491" i="1"/>
  <c r="M4491" i="1"/>
  <c r="S4490" i="1"/>
  <c r="O4490" i="1"/>
  <c r="N4490" i="1"/>
  <c r="M4490" i="1"/>
  <c r="S4489" i="1"/>
  <c r="O4489" i="1"/>
  <c r="N4489" i="1"/>
  <c r="M4489" i="1"/>
  <c r="S4488" i="1"/>
  <c r="O4488" i="1"/>
  <c r="N4488" i="1"/>
  <c r="M4488" i="1"/>
  <c r="S4487" i="1"/>
  <c r="O4487" i="1"/>
  <c r="N4487" i="1"/>
  <c r="M4487" i="1"/>
  <c r="S4486" i="1"/>
  <c r="O4486" i="1"/>
  <c r="N4486" i="1"/>
  <c r="M4486" i="1"/>
  <c r="S4485" i="1"/>
  <c r="O4485" i="1"/>
  <c r="N4485" i="1"/>
  <c r="M4485" i="1"/>
  <c r="S4484" i="1"/>
  <c r="O4484" i="1"/>
  <c r="N4484" i="1"/>
  <c r="M4484" i="1"/>
  <c r="S4483" i="1"/>
  <c r="O4483" i="1"/>
  <c r="N4483" i="1"/>
  <c r="M4483" i="1"/>
  <c r="S4482" i="1"/>
  <c r="O4482" i="1"/>
  <c r="N4482" i="1"/>
  <c r="M4482" i="1"/>
  <c r="S4481" i="1"/>
  <c r="O4481" i="1"/>
  <c r="N4481" i="1"/>
  <c r="M4481" i="1"/>
  <c r="S4480" i="1"/>
  <c r="O4480" i="1"/>
  <c r="N4480" i="1"/>
  <c r="M4480" i="1"/>
  <c r="S4479" i="1"/>
  <c r="O4479" i="1"/>
  <c r="N4479" i="1"/>
  <c r="M4479" i="1"/>
  <c r="S4478" i="1"/>
  <c r="O4478" i="1"/>
  <c r="N4478" i="1"/>
  <c r="M4478" i="1"/>
  <c r="S4476" i="1"/>
  <c r="O4476" i="1"/>
  <c r="N4476" i="1"/>
  <c r="M4476" i="1"/>
  <c r="S4475" i="1"/>
  <c r="O4475" i="1"/>
  <c r="N4475" i="1"/>
  <c r="M4475" i="1"/>
  <c r="S4474" i="1"/>
  <c r="O4474" i="1"/>
  <c r="N4474" i="1"/>
  <c r="M4474" i="1"/>
  <c r="S4473" i="1"/>
  <c r="O4473" i="1"/>
  <c r="N4473" i="1"/>
  <c r="M4473" i="1"/>
  <c r="S4471" i="1"/>
  <c r="O4471" i="1"/>
  <c r="N4471" i="1"/>
  <c r="M4471" i="1"/>
  <c r="S4470" i="1"/>
  <c r="O4470" i="1"/>
  <c r="N4470" i="1"/>
  <c r="M4470" i="1"/>
  <c r="S4469" i="1"/>
  <c r="O4469" i="1"/>
  <c r="N4469" i="1"/>
  <c r="M4469" i="1"/>
  <c r="S4468" i="1"/>
  <c r="O4468" i="1"/>
  <c r="N4468" i="1"/>
  <c r="M4468" i="1"/>
  <c r="S4467" i="1"/>
  <c r="O4467" i="1"/>
  <c r="N4467" i="1"/>
  <c r="M4467" i="1"/>
  <c r="S4466" i="1"/>
  <c r="O4466" i="1"/>
  <c r="N4466" i="1"/>
  <c r="M4466" i="1"/>
  <c r="S4465" i="1"/>
  <c r="O4465" i="1"/>
  <c r="N4465" i="1"/>
  <c r="M4465" i="1"/>
  <c r="S4464" i="1"/>
  <c r="O4464" i="1"/>
  <c r="N4464" i="1"/>
  <c r="M4464" i="1"/>
  <c r="S4462" i="1"/>
  <c r="O4462" i="1"/>
  <c r="N4462" i="1"/>
  <c r="M4462" i="1"/>
  <c r="S4461" i="1"/>
  <c r="O4461" i="1"/>
  <c r="N4461" i="1"/>
  <c r="M4461" i="1"/>
  <c r="S4460" i="1"/>
  <c r="O4460" i="1"/>
  <c r="N4460" i="1"/>
  <c r="M4460" i="1"/>
  <c r="S4455" i="1"/>
  <c r="O4455" i="1"/>
  <c r="N4455" i="1"/>
  <c r="M4455" i="1"/>
  <c r="S4452" i="1"/>
  <c r="O4452" i="1"/>
  <c r="N4452" i="1"/>
  <c r="M4452" i="1"/>
  <c r="S4448" i="1"/>
  <c r="O4448" i="1"/>
  <c r="N4448" i="1"/>
  <c r="M4448" i="1"/>
  <c r="S4447" i="1"/>
  <c r="O4447" i="1"/>
  <c r="N4447" i="1"/>
  <c r="M4447" i="1"/>
  <c r="S4446" i="1"/>
  <c r="O4446" i="1"/>
  <c r="N4446" i="1"/>
  <c r="M4446" i="1"/>
  <c r="S4444" i="1"/>
  <c r="O4444" i="1"/>
  <c r="N4444" i="1"/>
  <c r="M4444" i="1"/>
  <c r="S4439" i="1"/>
  <c r="O4439" i="1"/>
  <c r="N4439" i="1"/>
  <c r="M4439" i="1"/>
  <c r="S4438" i="1"/>
  <c r="O4438" i="1"/>
  <c r="N4438" i="1"/>
  <c r="M4438" i="1"/>
  <c r="S4437" i="1"/>
  <c r="O4437" i="1"/>
  <c r="N4437" i="1"/>
  <c r="M4437" i="1"/>
  <c r="S4434" i="1"/>
  <c r="O4434" i="1"/>
  <c r="N4434" i="1"/>
  <c r="M4434" i="1"/>
  <c r="S4433" i="1"/>
  <c r="O4433" i="1"/>
  <c r="N4433" i="1"/>
  <c r="M4433" i="1"/>
  <c r="S4432" i="1"/>
  <c r="O4432" i="1"/>
  <c r="N4432" i="1"/>
  <c r="M4432" i="1"/>
  <c r="S4430" i="1"/>
  <c r="O4430" i="1"/>
  <c r="N4430" i="1"/>
  <c r="M4430" i="1"/>
  <c r="S4429" i="1"/>
  <c r="O4429" i="1"/>
  <c r="N4429" i="1"/>
  <c r="M4429" i="1"/>
  <c r="S4428" i="1"/>
  <c r="O4428" i="1"/>
  <c r="N4428" i="1"/>
  <c r="M4428" i="1"/>
  <c r="S4427" i="1"/>
  <c r="O4427" i="1"/>
  <c r="N4427" i="1"/>
  <c r="M4427" i="1"/>
  <c r="S4426" i="1"/>
  <c r="O4426" i="1"/>
  <c r="N4426" i="1"/>
  <c r="M4426" i="1"/>
  <c r="S4425" i="1"/>
  <c r="O4425" i="1"/>
  <c r="N4425" i="1"/>
  <c r="M4425" i="1"/>
  <c r="S4424" i="1"/>
  <c r="O4424" i="1"/>
  <c r="N4424" i="1"/>
  <c r="M4424" i="1"/>
  <c r="S4423" i="1"/>
  <c r="O4423" i="1"/>
  <c r="N4423" i="1"/>
  <c r="M4423" i="1"/>
  <c r="S4419" i="1"/>
  <c r="N4419" i="1"/>
  <c r="M4419" i="1"/>
  <c r="S4418" i="1"/>
  <c r="O4418" i="1"/>
  <c r="N4418" i="1"/>
  <c r="M4418" i="1"/>
  <c r="S4417" i="1"/>
  <c r="O4417" i="1"/>
  <c r="N4417" i="1"/>
  <c r="M4417" i="1"/>
  <c r="S4416" i="1"/>
  <c r="O4416" i="1"/>
  <c r="N4416" i="1"/>
  <c r="M4416" i="1"/>
  <c r="S4415" i="1"/>
  <c r="O4415" i="1"/>
  <c r="N4415" i="1"/>
  <c r="M4415" i="1"/>
  <c r="S4414" i="1"/>
  <c r="O4414" i="1"/>
  <c r="N4414" i="1"/>
  <c r="M4414" i="1"/>
  <c r="S4413" i="1"/>
  <c r="O4413" i="1"/>
  <c r="N4413" i="1"/>
  <c r="M4413" i="1"/>
  <c r="S4412" i="1"/>
  <c r="O4412" i="1"/>
  <c r="N4412" i="1"/>
  <c r="M4412" i="1"/>
  <c r="S4411" i="1"/>
  <c r="O4411" i="1"/>
  <c r="N4411" i="1"/>
  <c r="M4411" i="1"/>
  <c r="S4410" i="1"/>
  <c r="O4410" i="1"/>
  <c r="N4410" i="1"/>
  <c r="M4410" i="1"/>
  <c r="S4409" i="1"/>
  <c r="O4409" i="1"/>
  <c r="N4409" i="1"/>
  <c r="M4409" i="1"/>
  <c r="S4408" i="1"/>
  <c r="O4408" i="1"/>
  <c r="N4408" i="1"/>
  <c r="M4408" i="1"/>
  <c r="S4407" i="1"/>
  <c r="O4407" i="1"/>
  <c r="N4407" i="1"/>
  <c r="M4407" i="1"/>
  <c r="S4406" i="1"/>
  <c r="O4406" i="1"/>
  <c r="N4406" i="1"/>
  <c r="M4406" i="1"/>
  <c r="S4405" i="1"/>
  <c r="O4405" i="1"/>
  <c r="N4405" i="1"/>
  <c r="M4405" i="1"/>
  <c r="S4404" i="1"/>
  <c r="O4404" i="1"/>
  <c r="N4404" i="1"/>
  <c r="M4404" i="1"/>
  <c r="S4403" i="1"/>
  <c r="O4403" i="1"/>
  <c r="N4403" i="1"/>
  <c r="M4403" i="1"/>
  <c r="S4399" i="1"/>
  <c r="O4399" i="1"/>
  <c r="N4399" i="1"/>
  <c r="M4399" i="1"/>
  <c r="S4398" i="1"/>
  <c r="O4398" i="1"/>
  <c r="N4398" i="1"/>
  <c r="M4398" i="1"/>
  <c r="S4397" i="1"/>
  <c r="O4397" i="1"/>
  <c r="N4397" i="1"/>
  <c r="M4397" i="1"/>
  <c r="S4396" i="1"/>
  <c r="O4396" i="1"/>
  <c r="N4396" i="1"/>
  <c r="M4396" i="1"/>
  <c r="S4395" i="1"/>
  <c r="O4395" i="1"/>
  <c r="N4395" i="1"/>
  <c r="M4395" i="1"/>
  <c r="S4394" i="1"/>
  <c r="O4394" i="1"/>
  <c r="N4394" i="1"/>
  <c r="M4394" i="1"/>
  <c r="S4393" i="1"/>
  <c r="O4393" i="1"/>
  <c r="N4393" i="1"/>
  <c r="M4393" i="1"/>
  <c r="S4391" i="1"/>
  <c r="O4391" i="1"/>
  <c r="N4391" i="1"/>
  <c r="M4391" i="1"/>
  <c r="S4390" i="1"/>
  <c r="O4390" i="1"/>
  <c r="N4390" i="1"/>
  <c r="M4390" i="1"/>
  <c r="S4389" i="1"/>
  <c r="O4389" i="1"/>
  <c r="N4389" i="1"/>
  <c r="M4389" i="1"/>
  <c r="S4388" i="1"/>
  <c r="O4388" i="1"/>
  <c r="N4388" i="1"/>
  <c r="M4388" i="1"/>
  <c r="S4387" i="1"/>
  <c r="O4387" i="1"/>
  <c r="N4387" i="1"/>
  <c r="M4387" i="1"/>
  <c r="S4386" i="1"/>
  <c r="O4386" i="1"/>
  <c r="N4386" i="1"/>
  <c r="M4386" i="1"/>
  <c r="S4384" i="1"/>
  <c r="O4384" i="1"/>
  <c r="N4384" i="1"/>
  <c r="M4384" i="1"/>
  <c r="S4383" i="1"/>
  <c r="O4383" i="1"/>
  <c r="N4383" i="1"/>
  <c r="M4383" i="1"/>
  <c r="S4382" i="1"/>
  <c r="O4382" i="1"/>
  <c r="N4382" i="1"/>
  <c r="M4382" i="1"/>
  <c r="S4381" i="1"/>
  <c r="O4381" i="1"/>
  <c r="N4381" i="1"/>
  <c r="M4381" i="1"/>
  <c r="S4380" i="1"/>
  <c r="N4380" i="1"/>
  <c r="M4380" i="1"/>
  <c r="S4379" i="1"/>
  <c r="O4379" i="1"/>
  <c r="N4379" i="1"/>
  <c r="M4379" i="1"/>
  <c r="S4378" i="1"/>
  <c r="O4378" i="1"/>
  <c r="N4378" i="1"/>
  <c r="M4378" i="1"/>
  <c r="S4375" i="1"/>
  <c r="O4375" i="1"/>
  <c r="N4375" i="1"/>
  <c r="M4375" i="1"/>
  <c r="S4374" i="1"/>
  <c r="O4374" i="1"/>
  <c r="N4374" i="1"/>
  <c r="M4374" i="1"/>
  <c r="S4373" i="1"/>
  <c r="O4373" i="1"/>
  <c r="N4373" i="1"/>
  <c r="M4373" i="1"/>
  <c r="S4371" i="1"/>
  <c r="O4371" i="1"/>
  <c r="N4371" i="1"/>
  <c r="M4371" i="1"/>
  <c r="S4369" i="1"/>
  <c r="O4369" i="1"/>
  <c r="N4369" i="1"/>
  <c r="M4369" i="1"/>
  <c r="S4367" i="1"/>
  <c r="O4367" i="1"/>
  <c r="N4367" i="1"/>
  <c r="M4367" i="1"/>
  <c r="S4366" i="1"/>
  <c r="O4366" i="1"/>
  <c r="N4366" i="1"/>
  <c r="M4366" i="1"/>
  <c r="S4365" i="1"/>
  <c r="O4365" i="1"/>
  <c r="N4365" i="1"/>
  <c r="M4365" i="1"/>
  <c r="S4363" i="1"/>
  <c r="O4363" i="1"/>
  <c r="N4363" i="1"/>
  <c r="M4363" i="1"/>
  <c r="S4362" i="1"/>
  <c r="O4362" i="1"/>
  <c r="N4362" i="1"/>
  <c r="M4362" i="1"/>
  <c r="S4361" i="1"/>
  <c r="O4361" i="1"/>
  <c r="N4361" i="1"/>
  <c r="M4361" i="1"/>
  <c r="S4359" i="1"/>
  <c r="O4359" i="1"/>
  <c r="N4359" i="1"/>
  <c r="M4359" i="1"/>
  <c r="S4358" i="1"/>
  <c r="O4358" i="1"/>
  <c r="N4358" i="1"/>
  <c r="M4358" i="1"/>
  <c r="S4357" i="1"/>
  <c r="N4357" i="1"/>
  <c r="M4357" i="1"/>
  <c r="S4356" i="1"/>
  <c r="O4356" i="1"/>
  <c r="N4356" i="1"/>
  <c r="M4356" i="1"/>
  <c r="S4355" i="1"/>
  <c r="O4355" i="1"/>
  <c r="N4355" i="1"/>
  <c r="M4355" i="1"/>
  <c r="S4353" i="1"/>
  <c r="O4353" i="1"/>
  <c r="N4353" i="1"/>
  <c r="M4353" i="1"/>
  <c r="S4352" i="1"/>
  <c r="O4352" i="1"/>
  <c r="N4352" i="1"/>
  <c r="M4352" i="1"/>
  <c r="S4351" i="1"/>
  <c r="O4351" i="1"/>
  <c r="N4351" i="1"/>
  <c r="M4351" i="1"/>
  <c r="S4350" i="1"/>
  <c r="O4350" i="1"/>
  <c r="N4350" i="1"/>
  <c r="M4350" i="1"/>
  <c r="S4347" i="1"/>
  <c r="O4347" i="1"/>
  <c r="N4347" i="1"/>
  <c r="M4347" i="1"/>
  <c r="S4345" i="1"/>
  <c r="O4345" i="1"/>
  <c r="N4345" i="1"/>
  <c r="M4345" i="1"/>
  <c r="S4344" i="1"/>
  <c r="O4344" i="1"/>
  <c r="N4344" i="1"/>
  <c r="M4344" i="1"/>
  <c r="S4343" i="1"/>
  <c r="O4343" i="1"/>
  <c r="N4343" i="1"/>
  <c r="M4343" i="1"/>
  <c r="S4342" i="1"/>
  <c r="O4342" i="1"/>
  <c r="N4342" i="1"/>
  <c r="M4342" i="1"/>
  <c r="S4341" i="1"/>
  <c r="O4341" i="1"/>
  <c r="N4341" i="1"/>
  <c r="M4341" i="1"/>
  <c r="S4340" i="1"/>
  <c r="O4340" i="1"/>
  <c r="N4340" i="1"/>
  <c r="M4340" i="1"/>
  <c r="S4339" i="1"/>
  <c r="O4339" i="1"/>
  <c r="N4339" i="1"/>
  <c r="M4339" i="1"/>
  <c r="S4338" i="1"/>
  <c r="O4338" i="1"/>
  <c r="N4338" i="1"/>
  <c r="M4338" i="1"/>
  <c r="S4337" i="1"/>
  <c r="O4337" i="1"/>
  <c r="N4337" i="1"/>
  <c r="M4337" i="1"/>
  <c r="S4336" i="1"/>
  <c r="O4336" i="1"/>
  <c r="N4336" i="1"/>
  <c r="M4336" i="1"/>
  <c r="S4335" i="1"/>
  <c r="O4335" i="1"/>
  <c r="N4335" i="1"/>
  <c r="M4335" i="1"/>
  <c r="S4334" i="1"/>
  <c r="O4334" i="1"/>
  <c r="N4334" i="1"/>
  <c r="M4334" i="1"/>
  <c r="S4333" i="1"/>
  <c r="O4333" i="1"/>
  <c r="N4333" i="1"/>
  <c r="M4333" i="1"/>
  <c r="S4331" i="1"/>
  <c r="O4331" i="1"/>
  <c r="N4331" i="1"/>
  <c r="M4331" i="1"/>
  <c r="S4330" i="1"/>
  <c r="O4330" i="1"/>
  <c r="N4330" i="1"/>
  <c r="M4330" i="1"/>
  <c r="S4328" i="1"/>
  <c r="O4328" i="1"/>
  <c r="N4328" i="1"/>
  <c r="M4328" i="1"/>
  <c r="S4325" i="1"/>
  <c r="O4325" i="1"/>
  <c r="N4325" i="1"/>
  <c r="M4325" i="1"/>
  <c r="S4324" i="1"/>
  <c r="O4324" i="1"/>
  <c r="N4324" i="1"/>
  <c r="M4324" i="1"/>
  <c r="S4323" i="1"/>
  <c r="O4323" i="1"/>
  <c r="N4323" i="1"/>
  <c r="M4323" i="1"/>
  <c r="S4322" i="1"/>
  <c r="O4322" i="1"/>
  <c r="N4322" i="1"/>
  <c r="M4322" i="1"/>
  <c r="S4321" i="1"/>
  <c r="O4321" i="1"/>
  <c r="N4321" i="1"/>
  <c r="M4321" i="1"/>
  <c r="S4320" i="1"/>
  <c r="O4320" i="1"/>
  <c r="N4320" i="1"/>
  <c r="M4320" i="1"/>
  <c r="S4319" i="1"/>
  <c r="O4319" i="1"/>
  <c r="N4319" i="1"/>
  <c r="M4319" i="1"/>
  <c r="S4318" i="1"/>
  <c r="O4318" i="1"/>
  <c r="N4318" i="1"/>
  <c r="M4318" i="1"/>
  <c r="S4317" i="1"/>
  <c r="M4317" i="1"/>
  <c r="S4316" i="1"/>
  <c r="O4316" i="1"/>
  <c r="N4316" i="1"/>
  <c r="M4316" i="1"/>
  <c r="S4315" i="1"/>
  <c r="O4315" i="1"/>
  <c r="N4315" i="1"/>
  <c r="M4315" i="1"/>
  <c r="S4314" i="1"/>
  <c r="O4314" i="1"/>
  <c r="N4314" i="1"/>
  <c r="M4314" i="1"/>
  <c r="S4313" i="1"/>
  <c r="O4313" i="1"/>
  <c r="N4313" i="1"/>
  <c r="M4313" i="1"/>
  <c r="S4312" i="1"/>
  <c r="O4312" i="1"/>
  <c r="N4312" i="1"/>
  <c r="M4312" i="1"/>
  <c r="S4311" i="1"/>
  <c r="O4311" i="1"/>
  <c r="N4311" i="1"/>
  <c r="M4311" i="1"/>
  <c r="S4310" i="1"/>
  <c r="O4310" i="1"/>
  <c r="N4310" i="1"/>
  <c r="M4310" i="1"/>
  <c r="S4309" i="1"/>
  <c r="O4309" i="1"/>
  <c r="N4309" i="1"/>
  <c r="M4309" i="1"/>
  <c r="S4308" i="1"/>
  <c r="M4308" i="1"/>
  <c r="S4307" i="1"/>
  <c r="O4307" i="1"/>
  <c r="N4307" i="1"/>
  <c r="M4307" i="1"/>
  <c r="S4306" i="1"/>
  <c r="O4306" i="1"/>
  <c r="N4306" i="1"/>
  <c r="M4306" i="1"/>
  <c r="S4305" i="1"/>
  <c r="O4305" i="1"/>
  <c r="N4305" i="1"/>
  <c r="M4305" i="1"/>
  <c r="S4304" i="1"/>
  <c r="O4304" i="1"/>
  <c r="N4304" i="1"/>
  <c r="M4304" i="1"/>
  <c r="S4303" i="1"/>
  <c r="O4303" i="1"/>
  <c r="N4303" i="1"/>
  <c r="M4303" i="1"/>
  <c r="S4302" i="1"/>
  <c r="O4302" i="1"/>
  <c r="N4302" i="1"/>
  <c r="M4302" i="1"/>
  <c r="S4301" i="1"/>
  <c r="O4301" i="1"/>
  <c r="N4301" i="1"/>
  <c r="M4301" i="1"/>
  <c r="S4299" i="1"/>
  <c r="O4299" i="1"/>
  <c r="N4299" i="1"/>
  <c r="M4299" i="1"/>
  <c r="S4298" i="1"/>
  <c r="O4298" i="1"/>
  <c r="N4298" i="1"/>
  <c r="M4298" i="1"/>
  <c r="S4297" i="1"/>
  <c r="O4297" i="1"/>
  <c r="N4297" i="1"/>
  <c r="M4297" i="1"/>
  <c r="S4296" i="1"/>
  <c r="O4296" i="1"/>
  <c r="N4296" i="1"/>
  <c r="M4296" i="1"/>
  <c r="S4295" i="1"/>
  <c r="O4295" i="1"/>
  <c r="N4295" i="1"/>
  <c r="M4295" i="1"/>
  <c r="S4294" i="1"/>
  <c r="O4294" i="1"/>
  <c r="N4294" i="1"/>
  <c r="M4294" i="1"/>
  <c r="S4293" i="1"/>
  <c r="O4293" i="1"/>
  <c r="N4293" i="1"/>
  <c r="M4293" i="1"/>
  <c r="S4292" i="1"/>
  <c r="O4292" i="1"/>
  <c r="N4292" i="1"/>
  <c r="M4292" i="1"/>
  <c r="S4291" i="1"/>
  <c r="O4291" i="1"/>
  <c r="N4291" i="1"/>
  <c r="M4291" i="1"/>
  <c r="S4290" i="1"/>
  <c r="O4290" i="1"/>
  <c r="N4290" i="1"/>
  <c r="M4290" i="1"/>
  <c r="S4289" i="1"/>
  <c r="O4289" i="1"/>
  <c r="N4289" i="1"/>
  <c r="M4289" i="1"/>
  <c r="S4288" i="1"/>
  <c r="O4288" i="1"/>
  <c r="N4288" i="1"/>
  <c r="M4288" i="1"/>
  <c r="S4286" i="1"/>
  <c r="O4286" i="1"/>
  <c r="N4286" i="1"/>
  <c r="M4286" i="1"/>
  <c r="S4285" i="1"/>
  <c r="O4285" i="1"/>
  <c r="N4285" i="1"/>
  <c r="M4285" i="1"/>
  <c r="S4284" i="1"/>
  <c r="O4284" i="1"/>
  <c r="N4284" i="1"/>
  <c r="M4284" i="1"/>
  <c r="S4283" i="1"/>
  <c r="O4283" i="1"/>
  <c r="N4283" i="1"/>
  <c r="M4283" i="1"/>
  <c r="S4282" i="1"/>
  <c r="O4282" i="1"/>
  <c r="N4282" i="1"/>
  <c r="M4282" i="1"/>
  <c r="S4280" i="1"/>
  <c r="O4280" i="1"/>
  <c r="N4280" i="1"/>
  <c r="M4280" i="1"/>
  <c r="S4277" i="1"/>
  <c r="O4277" i="1"/>
  <c r="N4277" i="1"/>
  <c r="M4277" i="1"/>
  <c r="S4276" i="1"/>
  <c r="O4276" i="1"/>
  <c r="N4276" i="1"/>
  <c r="M4276" i="1"/>
  <c r="S4275" i="1"/>
  <c r="O4275" i="1"/>
  <c r="N4275" i="1"/>
  <c r="M4275" i="1"/>
  <c r="S4274" i="1"/>
  <c r="M4274" i="1"/>
  <c r="S4273" i="1"/>
  <c r="O4273" i="1"/>
  <c r="N4273" i="1"/>
  <c r="M4273" i="1"/>
  <c r="S4272" i="1"/>
  <c r="O4272" i="1"/>
  <c r="N4272" i="1"/>
  <c r="M4272" i="1"/>
  <c r="S4271" i="1"/>
  <c r="O4271" i="1"/>
  <c r="N4271" i="1"/>
  <c r="M4271" i="1"/>
  <c r="S4270" i="1"/>
  <c r="M4270" i="1"/>
  <c r="S4269" i="1"/>
  <c r="O4269" i="1"/>
  <c r="N4269" i="1"/>
  <c r="M4269" i="1"/>
  <c r="S4268" i="1"/>
  <c r="O4268" i="1"/>
  <c r="N4268" i="1"/>
  <c r="M4268" i="1"/>
  <c r="S4267" i="1"/>
  <c r="O4267" i="1"/>
  <c r="N4267" i="1"/>
  <c r="M4267" i="1"/>
  <c r="S4266" i="1"/>
  <c r="O4266" i="1"/>
  <c r="N4266" i="1"/>
  <c r="M4266" i="1"/>
  <c r="S4265" i="1"/>
  <c r="O4265" i="1"/>
  <c r="N4265" i="1"/>
  <c r="M4265" i="1"/>
  <c r="S4264" i="1"/>
  <c r="M4264" i="1"/>
  <c r="S4263" i="1"/>
  <c r="N4263" i="1"/>
  <c r="M4263" i="1"/>
  <c r="S4262" i="1"/>
  <c r="O4262" i="1"/>
  <c r="N4262" i="1"/>
  <c r="M4262" i="1"/>
  <c r="S4261" i="1"/>
  <c r="O4261" i="1"/>
  <c r="N4261" i="1"/>
  <c r="M4261" i="1"/>
  <c r="S4260" i="1"/>
  <c r="O4260" i="1"/>
  <c r="N4260" i="1"/>
  <c r="M4260" i="1"/>
  <c r="S4259" i="1"/>
  <c r="O4259" i="1"/>
  <c r="N4259" i="1"/>
  <c r="M4259" i="1"/>
  <c r="S4258" i="1"/>
  <c r="O4258" i="1"/>
  <c r="N4258" i="1"/>
  <c r="M4258" i="1"/>
  <c r="S4257" i="1"/>
  <c r="O4257" i="1"/>
  <c r="N4257" i="1"/>
  <c r="M4257" i="1"/>
  <c r="S4255" i="1"/>
  <c r="O4255" i="1"/>
  <c r="N4255" i="1"/>
  <c r="M4255" i="1"/>
  <c r="S4254" i="1"/>
  <c r="O4254" i="1"/>
  <c r="N4254" i="1"/>
  <c r="M4254" i="1"/>
  <c r="O4250" i="1"/>
  <c r="N4250" i="1"/>
  <c r="M4250" i="1"/>
  <c r="O4249" i="1"/>
  <c r="N4249" i="1"/>
  <c r="M4249" i="1"/>
  <c r="O4248" i="1"/>
  <c r="N4248" i="1"/>
  <c r="M4248" i="1"/>
  <c r="O4247" i="1"/>
  <c r="N4247" i="1"/>
  <c r="M4247" i="1"/>
  <c r="S4245" i="1"/>
  <c r="O4245" i="1"/>
  <c r="N4245" i="1"/>
  <c r="M4245" i="1"/>
  <c r="S4244" i="1"/>
  <c r="O4244" i="1"/>
  <c r="N4244" i="1"/>
  <c r="M4244" i="1"/>
  <c r="S4242" i="1"/>
  <c r="O4242" i="1"/>
  <c r="N4242" i="1"/>
  <c r="M4242" i="1"/>
  <c r="S4241" i="1"/>
  <c r="O4241" i="1"/>
  <c r="N4241" i="1"/>
  <c r="M4241" i="1"/>
  <c r="S4239" i="1"/>
  <c r="O4239" i="1"/>
  <c r="N4239" i="1"/>
  <c r="M4239" i="1"/>
  <c r="S4238" i="1"/>
  <c r="O4238" i="1"/>
  <c r="N4238" i="1"/>
  <c r="M4238" i="1"/>
  <c r="S4237" i="1"/>
  <c r="O4237" i="1"/>
  <c r="N4237" i="1"/>
  <c r="M4237" i="1"/>
  <c r="S4234" i="1"/>
  <c r="O4234" i="1"/>
  <c r="N4234" i="1"/>
  <c r="M4234" i="1"/>
  <c r="S4233" i="1"/>
  <c r="O4233" i="1"/>
  <c r="N4233" i="1"/>
  <c r="M4233" i="1"/>
  <c r="S4229" i="1"/>
  <c r="O4229" i="1"/>
  <c r="N4229" i="1"/>
  <c r="M4229" i="1"/>
  <c r="S4228" i="1"/>
  <c r="O4228" i="1"/>
  <c r="N4228" i="1"/>
  <c r="M4228" i="1"/>
  <c r="S4227" i="1"/>
  <c r="O4227" i="1"/>
  <c r="N4227" i="1"/>
  <c r="M4227" i="1"/>
  <c r="S4226" i="1"/>
  <c r="O4226" i="1"/>
  <c r="N4226" i="1"/>
  <c r="M4226" i="1"/>
  <c r="S4225" i="1"/>
  <c r="O4225" i="1"/>
  <c r="N4225" i="1"/>
  <c r="M4225" i="1"/>
  <c r="S4224" i="1"/>
  <c r="O4224" i="1"/>
  <c r="N4224" i="1"/>
  <c r="M4224" i="1"/>
  <c r="S4223" i="1"/>
  <c r="O4223" i="1"/>
  <c r="N4223" i="1"/>
  <c r="M4223" i="1"/>
  <c r="S4222" i="1"/>
  <c r="O4222" i="1"/>
  <c r="N4222" i="1"/>
  <c r="M4222" i="1"/>
  <c r="S4221" i="1"/>
  <c r="O4221" i="1"/>
  <c r="N4221" i="1"/>
  <c r="M4221" i="1"/>
  <c r="S4220" i="1"/>
  <c r="O4220" i="1"/>
  <c r="N4220" i="1"/>
  <c r="M4220" i="1"/>
  <c r="S4219" i="1"/>
  <c r="O4219" i="1"/>
  <c r="N4219" i="1"/>
  <c r="M4219" i="1"/>
  <c r="S4218" i="1"/>
  <c r="O4218" i="1"/>
  <c r="N4218" i="1"/>
  <c r="M4218" i="1"/>
  <c r="S4217" i="1"/>
  <c r="O4217" i="1"/>
  <c r="N4217" i="1"/>
  <c r="M4217" i="1"/>
  <c r="S4216" i="1"/>
  <c r="O4216" i="1"/>
  <c r="N4216" i="1"/>
  <c r="M4216" i="1"/>
  <c r="S4215" i="1"/>
  <c r="O4215" i="1"/>
  <c r="N4215" i="1"/>
  <c r="M4215" i="1"/>
  <c r="S4214" i="1"/>
  <c r="O4214" i="1"/>
  <c r="N4214" i="1"/>
  <c r="M4214" i="1"/>
  <c r="S4213" i="1"/>
  <c r="O4213" i="1"/>
  <c r="N4213" i="1"/>
  <c r="M4213" i="1"/>
  <c r="S4212" i="1"/>
  <c r="O4212" i="1"/>
  <c r="N4212" i="1"/>
  <c r="M4212" i="1"/>
  <c r="S4211" i="1"/>
  <c r="O4211" i="1"/>
  <c r="N4211" i="1"/>
  <c r="M4211" i="1"/>
  <c r="S4210" i="1"/>
  <c r="O4210" i="1"/>
  <c r="N4210" i="1"/>
  <c r="M4210" i="1"/>
  <c r="S4209" i="1"/>
  <c r="O4209" i="1"/>
  <c r="N4209" i="1"/>
  <c r="M4209" i="1"/>
  <c r="S4208" i="1"/>
  <c r="O4208" i="1"/>
  <c r="N4208" i="1"/>
  <c r="M4208" i="1"/>
  <c r="S4207" i="1"/>
  <c r="O4207" i="1"/>
  <c r="N4207" i="1"/>
  <c r="M4207" i="1"/>
  <c r="S4205" i="1"/>
  <c r="O4205" i="1"/>
  <c r="N4205" i="1"/>
  <c r="M4205" i="1"/>
  <c r="S4202" i="1"/>
  <c r="O4202" i="1"/>
  <c r="N4202" i="1"/>
  <c r="M4202" i="1"/>
  <c r="S4201" i="1"/>
  <c r="O4201" i="1"/>
  <c r="N4201" i="1"/>
  <c r="M4201" i="1"/>
  <c r="S4200" i="1"/>
  <c r="O4200" i="1"/>
  <c r="N4200" i="1"/>
  <c r="M4200" i="1"/>
  <c r="S4199" i="1"/>
  <c r="O4199" i="1"/>
  <c r="N4199" i="1"/>
  <c r="M4199" i="1"/>
  <c r="S4197" i="1"/>
  <c r="O4197" i="1"/>
  <c r="N4197" i="1"/>
  <c r="M4197" i="1"/>
  <c r="S4196" i="1"/>
  <c r="O4196" i="1"/>
  <c r="N4196" i="1"/>
  <c r="M4196" i="1"/>
  <c r="S4195" i="1"/>
  <c r="O4195" i="1"/>
  <c r="N4195" i="1"/>
  <c r="M4195" i="1"/>
  <c r="S4193" i="1"/>
  <c r="M4193" i="1"/>
  <c r="S4191" i="1"/>
  <c r="O4191" i="1"/>
  <c r="N4191" i="1"/>
  <c r="M4191" i="1"/>
  <c r="S4189" i="1"/>
  <c r="O4189" i="1"/>
  <c r="N4189" i="1"/>
  <c r="M4189" i="1"/>
  <c r="S4185" i="1"/>
  <c r="O4185" i="1"/>
  <c r="N4185" i="1"/>
  <c r="M4185" i="1"/>
  <c r="S4184" i="1"/>
  <c r="O4184" i="1"/>
  <c r="N4184" i="1"/>
  <c r="M4184" i="1"/>
  <c r="S4183" i="1"/>
  <c r="O4183" i="1"/>
  <c r="N4183" i="1"/>
  <c r="M4183" i="1"/>
  <c r="S4182" i="1"/>
  <c r="O4182" i="1"/>
  <c r="N4182" i="1"/>
  <c r="M4182" i="1"/>
  <c r="S4181" i="1"/>
  <c r="O4181" i="1"/>
  <c r="N4181" i="1"/>
  <c r="M4181" i="1"/>
  <c r="S4177" i="1"/>
  <c r="O4177" i="1"/>
  <c r="N4177" i="1"/>
  <c r="M4177" i="1"/>
  <c r="S4176" i="1"/>
  <c r="O4176" i="1"/>
  <c r="N4176" i="1"/>
  <c r="M4176" i="1"/>
  <c r="S4175" i="1"/>
  <c r="O4175" i="1"/>
  <c r="N4175" i="1"/>
  <c r="M4175" i="1"/>
  <c r="S4172" i="1"/>
  <c r="O4172" i="1"/>
  <c r="N4172" i="1"/>
  <c r="M4172" i="1"/>
  <c r="S4171" i="1"/>
  <c r="O4171" i="1"/>
  <c r="N4171" i="1"/>
  <c r="M4171" i="1"/>
  <c r="S4170" i="1"/>
  <c r="O4170" i="1"/>
  <c r="N4170" i="1"/>
  <c r="M4170" i="1"/>
  <c r="S4168" i="1"/>
  <c r="O4168" i="1"/>
  <c r="N4168" i="1"/>
  <c r="M4168" i="1"/>
  <c r="S4167" i="1"/>
  <c r="O4167" i="1"/>
  <c r="N4167" i="1"/>
  <c r="M4167" i="1"/>
  <c r="S4166" i="1"/>
  <c r="O4166" i="1"/>
  <c r="N4166" i="1"/>
  <c r="M4166" i="1"/>
  <c r="S4165" i="1"/>
  <c r="O4165" i="1"/>
  <c r="N4165" i="1"/>
  <c r="M4165" i="1"/>
  <c r="S4164" i="1"/>
  <c r="O4164" i="1"/>
  <c r="N4164" i="1"/>
  <c r="M4164" i="1"/>
  <c r="S4161" i="1"/>
  <c r="O4161" i="1"/>
  <c r="N4161" i="1"/>
  <c r="M4161" i="1"/>
  <c r="S4160" i="1"/>
  <c r="O4160" i="1"/>
  <c r="N4160" i="1"/>
  <c r="M4160" i="1"/>
  <c r="S4159" i="1"/>
  <c r="O4159" i="1"/>
  <c r="N4159" i="1"/>
  <c r="M4159" i="1"/>
  <c r="S4158" i="1"/>
  <c r="O4158" i="1"/>
  <c r="N4158" i="1"/>
  <c r="M4158" i="1"/>
  <c r="S4156" i="1"/>
  <c r="O4156" i="1"/>
  <c r="N4156" i="1"/>
  <c r="M4156" i="1"/>
  <c r="S4155" i="1"/>
  <c r="O4155" i="1"/>
  <c r="N4155" i="1"/>
  <c r="M4155" i="1"/>
  <c r="S4154" i="1"/>
  <c r="O4154" i="1"/>
  <c r="N4154" i="1"/>
  <c r="M4154" i="1"/>
  <c r="S4151" i="1"/>
  <c r="O4151" i="1"/>
  <c r="N4151" i="1"/>
  <c r="M4151" i="1"/>
  <c r="S4150" i="1"/>
  <c r="O4150" i="1"/>
  <c r="N4150" i="1"/>
  <c r="M4150" i="1"/>
  <c r="S4149" i="1"/>
  <c r="O4149" i="1"/>
  <c r="N4149" i="1"/>
  <c r="M4149" i="1"/>
  <c r="S4148" i="1"/>
  <c r="O4148" i="1"/>
  <c r="N4148" i="1"/>
  <c r="M4148" i="1"/>
  <c r="S4146" i="1"/>
  <c r="O4146" i="1"/>
  <c r="N4146" i="1"/>
  <c r="M4146" i="1"/>
  <c r="S4145" i="1"/>
  <c r="O4145" i="1"/>
  <c r="N4145" i="1"/>
  <c r="M4145" i="1"/>
  <c r="S4143" i="1"/>
  <c r="O4143" i="1"/>
  <c r="N4143" i="1"/>
  <c r="M4143" i="1"/>
  <c r="S4142" i="1"/>
  <c r="O4142" i="1"/>
  <c r="N4142" i="1"/>
  <c r="M4142" i="1"/>
  <c r="S4141" i="1"/>
  <c r="O4141" i="1"/>
  <c r="N4141" i="1"/>
  <c r="M4141" i="1"/>
  <c r="S4140" i="1"/>
  <c r="O4140" i="1"/>
  <c r="N4140" i="1"/>
  <c r="M4140" i="1"/>
  <c r="S4136" i="1"/>
  <c r="O4136" i="1"/>
  <c r="N4136" i="1"/>
  <c r="M4136" i="1"/>
  <c r="S4135" i="1"/>
  <c r="O4135" i="1"/>
  <c r="N4135" i="1"/>
  <c r="M4135" i="1"/>
  <c r="S4134" i="1"/>
  <c r="O4134" i="1"/>
  <c r="N4134" i="1"/>
  <c r="M4134" i="1"/>
  <c r="S4133" i="1"/>
  <c r="O4133" i="1"/>
  <c r="N4133" i="1"/>
  <c r="M4133" i="1"/>
  <c r="S4131" i="1"/>
  <c r="O4131" i="1"/>
  <c r="N4131" i="1"/>
  <c r="M4131" i="1"/>
  <c r="S4130" i="1"/>
  <c r="O4130" i="1"/>
  <c r="N4130" i="1"/>
  <c r="M4130" i="1"/>
  <c r="S4129" i="1"/>
  <c r="O4129" i="1"/>
  <c r="N4129" i="1"/>
  <c r="M4129" i="1"/>
  <c r="S4128" i="1"/>
  <c r="O4128" i="1"/>
  <c r="N4128" i="1"/>
  <c r="M4128" i="1"/>
  <c r="S4127" i="1"/>
  <c r="O4127" i="1"/>
  <c r="N4127" i="1"/>
  <c r="M4127" i="1"/>
  <c r="S4124" i="1"/>
  <c r="O4124" i="1"/>
  <c r="N4124" i="1"/>
  <c r="M4124" i="1"/>
  <c r="S4123" i="1"/>
  <c r="O4123" i="1"/>
  <c r="N4123" i="1"/>
  <c r="M4123" i="1"/>
  <c r="S4120" i="1"/>
  <c r="O4120" i="1"/>
  <c r="N4120" i="1"/>
  <c r="M4120" i="1"/>
  <c r="S4119" i="1"/>
  <c r="O4119" i="1"/>
  <c r="N4119" i="1"/>
  <c r="M4119" i="1"/>
  <c r="S4118" i="1"/>
  <c r="O4118" i="1"/>
  <c r="N4118" i="1"/>
  <c r="M4118" i="1"/>
  <c r="S4117" i="1"/>
  <c r="O4117" i="1"/>
  <c r="N4117" i="1"/>
  <c r="M4117" i="1"/>
  <c r="S4116" i="1"/>
  <c r="O4116" i="1"/>
  <c r="N4116" i="1"/>
  <c r="M4116" i="1"/>
  <c r="S4115" i="1"/>
  <c r="O4115" i="1"/>
  <c r="N4115" i="1"/>
  <c r="M4115" i="1"/>
  <c r="S4114" i="1"/>
  <c r="O4114" i="1"/>
  <c r="N4114" i="1"/>
  <c r="M4114" i="1"/>
  <c r="S4113" i="1"/>
  <c r="O4113" i="1"/>
  <c r="N4113" i="1"/>
  <c r="M4113" i="1"/>
  <c r="S4112" i="1"/>
  <c r="O4112" i="1"/>
  <c r="N4112" i="1"/>
  <c r="M4112" i="1"/>
  <c r="S4111" i="1"/>
  <c r="O4111" i="1"/>
  <c r="N4111" i="1"/>
  <c r="M4111" i="1"/>
  <c r="S4107" i="1"/>
  <c r="O4107" i="1"/>
  <c r="N4107" i="1"/>
  <c r="M4107" i="1"/>
  <c r="S4106" i="1"/>
  <c r="O4106" i="1"/>
  <c r="N4106" i="1"/>
  <c r="M4106" i="1"/>
  <c r="S4105" i="1"/>
  <c r="O4105" i="1"/>
  <c r="N4105" i="1"/>
  <c r="M4105" i="1"/>
  <c r="S4103" i="1"/>
  <c r="O4103" i="1"/>
  <c r="N4103" i="1"/>
  <c r="M4103" i="1"/>
  <c r="S4102" i="1"/>
  <c r="O4102" i="1"/>
  <c r="N4102" i="1"/>
  <c r="M4102" i="1"/>
  <c r="S4101" i="1"/>
  <c r="O4101" i="1"/>
  <c r="N4101" i="1"/>
  <c r="M4101" i="1"/>
  <c r="S4100" i="1"/>
  <c r="O4100" i="1"/>
  <c r="N4100" i="1"/>
  <c r="M4100" i="1"/>
  <c r="S4099" i="1"/>
  <c r="O4099" i="1"/>
  <c r="N4099" i="1"/>
  <c r="M4099" i="1"/>
  <c r="S4098" i="1"/>
  <c r="O4098" i="1"/>
  <c r="N4098" i="1"/>
  <c r="M4098" i="1"/>
  <c r="S4097" i="1"/>
  <c r="O4097" i="1"/>
  <c r="N4097" i="1"/>
  <c r="M4097" i="1"/>
  <c r="S4096" i="1"/>
  <c r="O4096" i="1"/>
  <c r="N4096" i="1"/>
  <c r="M4096" i="1"/>
  <c r="S4095" i="1"/>
  <c r="O4095" i="1"/>
  <c r="N4095" i="1"/>
  <c r="M4095" i="1"/>
  <c r="S4092" i="1"/>
  <c r="O4092" i="1"/>
  <c r="N4092" i="1"/>
  <c r="M4092" i="1"/>
  <c r="S4091" i="1"/>
  <c r="O4091" i="1"/>
  <c r="N4091" i="1"/>
  <c r="M4091" i="1"/>
  <c r="S4088" i="1"/>
  <c r="O4088" i="1"/>
  <c r="N4088" i="1"/>
  <c r="M4088" i="1"/>
  <c r="S4087" i="1"/>
  <c r="O4087" i="1"/>
  <c r="N4087" i="1"/>
  <c r="M4087" i="1"/>
  <c r="S4086" i="1"/>
  <c r="O4086" i="1"/>
  <c r="N4086" i="1"/>
  <c r="M4086" i="1"/>
  <c r="S4085" i="1"/>
  <c r="O4085" i="1"/>
  <c r="N4085" i="1"/>
  <c r="M4085" i="1"/>
  <c r="S4084" i="1"/>
  <c r="O4084" i="1"/>
  <c r="N4084" i="1"/>
  <c r="M4084" i="1"/>
  <c r="S4082" i="1"/>
  <c r="O4082" i="1"/>
  <c r="N4082" i="1"/>
  <c r="M4082" i="1"/>
  <c r="S4081" i="1"/>
  <c r="O4081" i="1"/>
  <c r="N4081" i="1"/>
  <c r="M4081" i="1"/>
  <c r="S4079" i="1"/>
  <c r="O4079" i="1"/>
  <c r="N4079" i="1"/>
  <c r="M4079" i="1"/>
  <c r="S4078" i="1"/>
  <c r="O4078" i="1"/>
  <c r="N4078" i="1"/>
  <c r="M4078" i="1"/>
  <c r="S4077" i="1"/>
  <c r="O4077" i="1"/>
  <c r="N4077" i="1"/>
  <c r="M4077" i="1"/>
  <c r="S4076" i="1"/>
  <c r="O4076" i="1"/>
  <c r="N4076" i="1"/>
  <c r="M4076" i="1"/>
  <c r="S4072" i="1"/>
  <c r="O4072" i="1"/>
  <c r="N4072" i="1"/>
  <c r="M4072" i="1"/>
  <c r="S4070" i="1"/>
  <c r="O4070" i="1"/>
  <c r="N4070" i="1"/>
  <c r="M4070" i="1"/>
  <c r="S4069" i="1"/>
  <c r="O4069" i="1"/>
  <c r="N4069" i="1"/>
  <c r="M4069" i="1"/>
  <c r="S4068" i="1"/>
  <c r="O4068" i="1"/>
  <c r="N4068" i="1"/>
  <c r="M4068" i="1"/>
  <c r="S4064" i="1"/>
  <c r="O4064" i="1"/>
  <c r="N4064" i="1"/>
  <c r="M4064" i="1"/>
  <c r="S4060" i="1"/>
  <c r="O4060" i="1"/>
  <c r="N4060" i="1"/>
  <c r="M4060" i="1"/>
  <c r="S4059" i="1"/>
  <c r="O4059" i="1"/>
  <c r="N4059" i="1"/>
  <c r="M4059" i="1"/>
  <c r="S4058" i="1"/>
  <c r="O4058" i="1"/>
  <c r="N4058" i="1"/>
  <c r="M4058" i="1"/>
  <c r="S4055" i="1"/>
  <c r="O4055" i="1"/>
  <c r="N4055" i="1"/>
  <c r="M4055" i="1"/>
  <c r="S4054" i="1"/>
  <c r="O4054" i="1"/>
  <c r="N4054" i="1"/>
  <c r="M4054" i="1"/>
  <c r="S4053" i="1"/>
  <c r="O4053" i="1"/>
  <c r="N4053" i="1"/>
  <c r="M4053" i="1"/>
  <c r="S4052" i="1"/>
  <c r="O4052" i="1"/>
  <c r="N4052" i="1"/>
  <c r="M4052" i="1"/>
  <c r="S4051" i="1"/>
  <c r="O4051" i="1"/>
  <c r="N4051" i="1"/>
  <c r="M4051" i="1"/>
  <c r="S4050" i="1"/>
  <c r="O4050" i="1"/>
  <c r="N4050" i="1"/>
  <c r="M4050" i="1"/>
  <c r="S4049" i="1"/>
  <c r="O4049" i="1"/>
  <c r="N4049" i="1"/>
  <c r="M4049" i="1"/>
  <c r="S4048" i="1"/>
  <c r="O4048" i="1"/>
  <c r="N4048" i="1"/>
  <c r="M4048" i="1"/>
  <c r="S4047" i="1"/>
  <c r="O4047" i="1"/>
  <c r="N4047" i="1"/>
  <c r="M4047" i="1"/>
  <c r="S4046" i="1"/>
  <c r="O4046" i="1"/>
  <c r="N4046" i="1"/>
  <c r="M4046" i="1"/>
  <c r="S4045" i="1"/>
  <c r="O4045" i="1"/>
  <c r="N4045" i="1"/>
  <c r="M4045" i="1"/>
  <c r="S4044" i="1"/>
  <c r="O4044" i="1"/>
  <c r="N4044" i="1"/>
  <c r="M4044" i="1"/>
  <c r="S4043" i="1"/>
  <c r="O4043" i="1"/>
  <c r="N4043" i="1"/>
  <c r="M4043" i="1"/>
  <c r="S4042" i="1"/>
  <c r="O4042" i="1"/>
  <c r="N4042" i="1"/>
  <c r="M4042" i="1"/>
  <c r="S4041" i="1"/>
  <c r="O4041" i="1"/>
  <c r="N4041" i="1"/>
  <c r="M4041" i="1"/>
  <c r="S4040" i="1"/>
  <c r="O4040" i="1"/>
  <c r="N4040" i="1"/>
  <c r="M4040" i="1"/>
  <c r="S4039" i="1"/>
  <c r="O4039" i="1"/>
  <c r="N4039" i="1"/>
  <c r="M4039" i="1"/>
  <c r="S4038" i="1"/>
  <c r="O4038" i="1"/>
  <c r="N4038" i="1"/>
  <c r="M4038" i="1"/>
  <c r="S4037" i="1"/>
  <c r="O4037" i="1"/>
  <c r="N4037" i="1"/>
  <c r="M4037" i="1"/>
  <c r="S4036" i="1"/>
  <c r="O4036" i="1"/>
  <c r="N4036" i="1"/>
  <c r="M4036" i="1"/>
  <c r="S4035" i="1"/>
  <c r="O4035" i="1"/>
  <c r="N4035" i="1"/>
  <c r="M4035" i="1"/>
  <c r="S4034" i="1"/>
  <c r="O4034" i="1"/>
  <c r="N4034" i="1"/>
  <c r="M4034" i="1"/>
  <c r="S4033" i="1"/>
  <c r="O4033" i="1"/>
  <c r="N4033" i="1"/>
  <c r="M4033" i="1"/>
  <c r="S4032" i="1"/>
  <c r="O4032" i="1"/>
  <c r="N4032" i="1"/>
  <c r="M4032" i="1"/>
  <c r="S4029" i="1"/>
  <c r="O4029" i="1"/>
  <c r="N4029" i="1"/>
  <c r="M4029" i="1"/>
  <c r="S4028" i="1"/>
  <c r="O4028" i="1"/>
  <c r="N4028" i="1"/>
  <c r="M4028" i="1"/>
  <c r="S4027" i="1"/>
  <c r="O4027" i="1"/>
  <c r="N4027" i="1"/>
  <c r="M4027" i="1"/>
  <c r="S4026" i="1"/>
  <c r="O4026" i="1"/>
  <c r="N4026" i="1"/>
  <c r="M4026" i="1"/>
  <c r="S4025" i="1"/>
  <c r="O4025" i="1"/>
  <c r="N4025" i="1"/>
  <c r="M4025" i="1"/>
  <c r="S4024" i="1"/>
  <c r="O4024" i="1"/>
  <c r="N4024" i="1"/>
  <c r="M4024" i="1"/>
  <c r="S4023" i="1"/>
  <c r="O4023" i="1"/>
  <c r="N4023" i="1"/>
  <c r="M4023" i="1"/>
  <c r="S4022" i="1"/>
  <c r="O4022" i="1"/>
  <c r="N4022" i="1"/>
  <c r="M4022" i="1"/>
  <c r="S4021" i="1"/>
  <c r="O4021" i="1"/>
  <c r="N4021" i="1"/>
  <c r="M4021" i="1"/>
  <c r="S4020" i="1"/>
  <c r="O4020" i="1"/>
  <c r="N4020" i="1"/>
  <c r="M4020" i="1"/>
  <c r="S4019" i="1"/>
  <c r="O4019" i="1"/>
  <c r="N4019" i="1"/>
  <c r="M4019" i="1"/>
  <c r="S4018" i="1"/>
  <c r="O4018" i="1"/>
  <c r="N4018" i="1"/>
  <c r="M4018" i="1"/>
  <c r="S4017" i="1"/>
  <c r="O4017" i="1"/>
  <c r="N4017" i="1"/>
  <c r="M4017" i="1"/>
  <c r="S4016" i="1"/>
  <c r="O4016" i="1"/>
  <c r="N4016" i="1"/>
  <c r="M4016" i="1"/>
  <c r="S4015" i="1"/>
  <c r="O4015" i="1"/>
  <c r="N4015" i="1"/>
  <c r="M4015" i="1"/>
  <c r="S4014" i="1"/>
  <c r="O4014" i="1"/>
  <c r="N4014" i="1"/>
  <c r="M4014" i="1"/>
  <c r="S4013" i="1"/>
  <c r="O4013" i="1"/>
  <c r="N4013" i="1"/>
  <c r="M4013" i="1"/>
  <c r="S4012" i="1"/>
  <c r="O4012" i="1"/>
  <c r="N4012" i="1"/>
  <c r="M4012" i="1"/>
  <c r="S4011" i="1"/>
  <c r="O4011" i="1"/>
  <c r="N4011" i="1"/>
  <c r="M4011" i="1"/>
  <c r="S4008" i="1"/>
  <c r="O4008" i="1"/>
  <c r="N4008" i="1"/>
  <c r="M4008" i="1"/>
  <c r="S4007" i="1"/>
  <c r="O4007" i="1"/>
  <c r="N4007" i="1"/>
  <c r="M4007" i="1"/>
  <c r="S4006" i="1"/>
  <c r="O4006" i="1"/>
  <c r="N4006" i="1"/>
  <c r="M4006" i="1"/>
  <c r="S4005" i="1"/>
  <c r="O4005" i="1"/>
  <c r="N4005" i="1"/>
  <c r="M4005" i="1"/>
  <c r="S4004" i="1"/>
  <c r="O4004" i="1"/>
  <c r="N4004" i="1"/>
  <c r="M4004" i="1"/>
  <c r="S4003" i="1"/>
  <c r="O4003" i="1"/>
  <c r="N4003" i="1"/>
  <c r="M4003" i="1"/>
  <c r="S4002" i="1"/>
  <c r="O4002" i="1"/>
  <c r="N4002" i="1"/>
  <c r="M4002" i="1"/>
  <c r="S4001" i="1"/>
  <c r="O4001" i="1"/>
  <c r="N4001" i="1"/>
  <c r="M4001" i="1"/>
  <c r="S4000" i="1"/>
  <c r="O4000" i="1"/>
  <c r="N4000" i="1"/>
  <c r="M4000" i="1"/>
  <c r="S3999" i="1"/>
  <c r="O3999" i="1"/>
  <c r="N3999" i="1"/>
  <c r="M3999" i="1"/>
  <c r="S3998" i="1"/>
  <c r="O3998" i="1"/>
  <c r="N3998" i="1"/>
  <c r="M3998" i="1"/>
  <c r="S3997" i="1"/>
  <c r="O3997" i="1"/>
  <c r="N3997" i="1"/>
  <c r="M3997" i="1"/>
  <c r="S3995" i="1"/>
  <c r="O3995" i="1"/>
  <c r="N3995" i="1"/>
  <c r="M3995" i="1"/>
  <c r="S3994" i="1"/>
  <c r="O3994" i="1"/>
  <c r="N3994" i="1"/>
  <c r="M3994" i="1"/>
  <c r="S3993" i="1"/>
  <c r="O3993" i="1"/>
  <c r="N3993" i="1"/>
  <c r="M3993" i="1"/>
  <c r="S3992" i="1"/>
  <c r="O3992" i="1"/>
  <c r="N3992" i="1"/>
  <c r="M3992" i="1"/>
  <c r="S3991" i="1"/>
  <c r="O3991" i="1"/>
  <c r="N3991" i="1"/>
  <c r="M3991" i="1"/>
  <c r="S3990" i="1"/>
  <c r="O3990" i="1"/>
  <c r="N3990" i="1"/>
  <c r="M3990" i="1"/>
  <c r="S3989" i="1"/>
  <c r="O3989" i="1"/>
  <c r="N3989" i="1"/>
  <c r="M3989" i="1"/>
  <c r="S3988" i="1"/>
  <c r="O3988" i="1"/>
  <c r="N3988" i="1"/>
  <c r="M3988" i="1"/>
  <c r="S3987" i="1"/>
  <c r="O3987" i="1"/>
  <c r="N3987" i="1"/>
  <c r="M3987" i="1"/>
  <c r="S3986" i="1"/>
  <c r="O3986" i="1"/>
  <c r="N3986" i="1"/>
  <c r="M3986" i="1"/>
  <c r="S3985" i="1"/>
  <c r="O3985" i="1"/>
  <c r="N3985" i="1"/>
  <c r="M3985" i="1"/>
  <c r="S3984" i="1"/>
  <c r="O3984" i="1"/>
  <c r="N3984" i="1"/>
  <c r="M3984" i="1"/>
  <c r="S3983" i="1"/>
  <c r="O3983" i="1"/>
  <c r="N3983" i="1"/>
  <c r="M3983" i="1"/>
  <c r="S3979" i="1"/>
  <c r="O3979" i="1"/>
  <c r="N3979" i="1"/>
  <c r="M3979" i="1"/>
  <c r="S3977" i="1"/>
  <c r="O3977" i="1"/>
  <c r="N3977" i="1"/>
  <c r="M3977" i="1"/>
  <c r="S3975" i="1"/>
  <c r="O3975" i="1"/>
  <c r="N3975" i="1"/>
  <c r="M3975" i="1"/>
  <c r="S3969" i="1"/>
  <c r="O3969" i="1"/>
  <c r="N3969" i="1"/>
  <c r="M3969" i="1"/>
  <c r="S3967" i="1"/>
  <c r="O3967" i="1"/>
  <c r="N3967" i="1"/>
  <c r="M3967" i="1"/>
  <c r="S3965" i="1"/>
  <c r="O3965" i="1"/>
  <c r="N3965" i="1"/>
  <c r="M3965" i="1"/>
  <c r="S3963" i="1"/>
  <c r="O3963" i="1"/>
  <c r="N3963" i="1"/>
  <c r="M3963" i="1"/>
  <c r="S3962" i="1"/>
  <c r="O3962" i="1"/>
  <c r="N3962" i="1"/>
  <c r="M3962" i="1"/>
  <c r="S3961" i="1"/>
  <c r="O3961" i="1"/>
  <c r="N3961" i="1"/>
  <c r="M3961" i="1"/>
  <c r="S3959" i="1"/>
  <c r="O3959" i="1"/>
  <c r="N3959" i="1"/>
  <c r="M3959" i="1"/>
  <c r="S3957" i="1"/>
  <c r="O3957" i="1"/>
  <c r="N3957" i="1"/>
  <c r="M3957" i="1"/>
  <c r="S3956" i="1"/>
  <c r="O3956" i="1"/>
  <c r="N3956" i="1"/>
  <c r="M3956" i="1"/>
  <c r="S3955" i="1"/>
  <c r="O3955" i="1"/>
  <c r="N3955" i="1"/>
  <c r="M3955" i="1"/>
  <c r="S3954" i="1"/>
  <c r="O3954" i="1"/>
  <c r="N3954" i="1"/>
  <c r="M3954" i="1"/>
  <c r="S3952" i="1"/>
  <c r="O3952" i="1"/>
  <c r="N3952" i="1"/>
  <c r="M3952" i="1"/>
  <c r="S3949" i="1"/>
  <c r="O3949" i="1"/>
  <c r="N3949" i="1"/>
  <c r="M3949" i="1"/>
  <c r="S3948" i="1"/>
  <c r="O3948" i="1"/>
  <c r="N3948" i="1"/>
  <c r="M3948" i="1"/>
  <c r="S3947" i="1"/>
  <c r="O3947" i="1"/>
  <c r="N3947" i="1"/>
  <c r="M3947" i="1"/>
  <c r="S3946" i="1"/>
  <c r="O3946" i="1"/>
  <c r="N3946" i="1"/>
  <c r="M3946" i="1"/>
  <c r="S3945" i="1"/>
  <c r="O3945" i="1"/>
  <c r="N3945" i="1"/>
  <c r="M3945" i="1"/>
  <c r="S3944" i="1"/>
  <c r="O3944" i="1"/>
  <c r="N3944" i="1"/>
  <c r="M3944" i="1"/>
  <c r="S3943" i="1"/>
  <c r="O3943" i="1"/>
  <c r="N3943" i="1"/>
  <c r="M3943" i="1"/>
  <c r="S3942" i="1"/>
  <c r="O3942" i="1"/>
  <c r="N3942" i="1"/>
  <c r="M3942" i="1"/>
  <c r="S3941" i="1"/>
  <c r="O3941" i="1"/>
  <c r="N3941" i="1"/>
  <c r="M3941" i="1"/>
  <c r="S3940" i="1"/>
  <c r="O3940" i="1"/>
  <c r="N3940" i="1"/>
  <c r="M3940" i="1"/>
  <c r="S3939" i="1"/>
  <c r="O3939" i="1"/>
  <c r="N3939" i="1"/>
  <c r="M3939" i="1"/>
  <c r="S3937" i="1"/>
  <c r="O3937" i="1"/>
  <c r="N3937" i="1"/>
  <c r="M3937" i="1"/>
  <c r="S3935" i="1"/>
  <c r="O3935" i="1"/>
  <c r="N3935" i="1"/>
  <c r="M3935" i="1"/>
  <c r="S3934" i="1"/>
  <c r="O3934" i="1"/>
  <c r="N3934" i="1"/>
  <c r="M3934" i="1"/>
  <c r="S3933" i="1"/>
  <c r="O3933" i="1"/>
  <c r="N3933" i="1"/>
  <c r="M3933" i="1"/>
  <c r="S3932" i="1"/>
  <c r="O3932" i="1"/>
  <c r="N3932" i="1"/>
  <c r="M3932" i="1"/>
  <c r="S3931" i="1"/>
  <c r="O3931" i="1"/>
  <c r="N3931" i="1"/>
  <c r="M3931" i="1"/>
  <c r="S3930" i="1"/>
  <c r="O3930" i="1"/>
  <c r="N3930" i="1"/>
  <c r="M3930" i="1"/>
  <c r="S3929" i="1"/>
  <c r="O3929" i="1"/>
  <c r="N3929" i="1"/>
  <c r="M3929" i="1"/>
  <c r="S3928" i="1"/>
  <c r="O3928" i="1"/>
  <c r="N3928" i="1"/>
  <c r="M3928" i="1"/>
  <c r="S3927" i="1"/>
  <c r="O3927" i="1"/>
  <c r="N3927" i="1"/>
  <c r="M3927" i="1"/>
  <c r="S3926" i="1"/>
  <c r="O3926" i="1"/>
  <c r="N3926" i="1"/>
  <c r="M3926" i="1"/>
  <c r="S3925" i="1"/>
  <c r="O3925" i="1"/>
  <c r="N3925" i="1"/>
  <c r="M3925" i="1"/>
  <c r="S3924" i="1"/>
  <c r="O3924" i="1"/>
  <c r="N3924" i="1"/>
  <c r="M3924" i="1"/>
  <c r="S3923" i="1"/>
  <c r="O3923" i="1"/>
  <c r="N3923" i="1"/>
  <c r="M3923" i="1"/>
  <c r="S3921" i="1"/>
  <c r="O3921" i="1"/>
  <c r="N3921" i="1"/>
  <c r="M3921" i="1"/>
  <c r="S3918" i="1"/>
  <c r="O3918" i="1"/>
  <c r="N3918" i="1"/>
  <c r="M3918" i="1"/>
  <c r="S3917" i="1"/>
  <c r="O3917" i="1"/>
  <c r="N3917" i="1"/>
  <c r="M3917" i="1"/>
  <c r="S3916" i="1"/>
  <c r="O3916" i="1"/>
  <c r="N3916" i="1"/>
  <c r="M3916" i="1"/>
  <c r="S3915" i="1"/>
  <c r="O3915" i="1"/>
  <c r="N3915" i="1"/>
  <c r="M3915" i="1"/>
  <c r="S3914" i="1"/>
  <c r="O3914" i="1"/>
  <c r="N3914" i="1"/>
  <c r="M3914" i="1"/>
  <c r="S3913" i="1"/>
  <c r="O3913" i="1"/>
  <c r="N3913" i="1"/>
  <c r="M3913" i="1"/>
  <c r="S3912" i="1"/>
  <c r="O3912" i="1"/>
  <c r="N3912" i="1"/>
  <c r="M3912" i="1"/>
  <c r="S3911" i="1"/>
  <c r="O3911" i="1"/>
  <c r="N3911" i="1"/>
  <c r="M3911" i="1"/>
  <c r="S3910" i="1"/>
  <c r="O3910" i="1"/>
  <c r="N3910" i="1"/>
  <c r="M3910" i="1"/>
  <c r="S3908" i="1"/>
  <c r="O3908" i="1"/>
  <c r="N3908" i="1"/>
  <c r="M3908" i="1"/>
  <c r="S3907" i="1"/>
  <c r="O3907" i="1"/>
  <c r="N3907" i="1"/>
  <c r="M3907" i="1"/>
  <c r="S3906" i="1"/>
  <c r="O3906" i="1"/>
  <c r="N3906" i="1"/>
  <c r="M3906" i="1"/>
  <c r="S3905" i="1"/>
  <c r="O3905" i="1"/>
  <c r="N3905" i="1"/>
  <c r="M3905" i="1"/>
  <c r="S3904" i="1"/>
  <c r="O3904" i="1"/>
  <c r="N3904" i="1"/>
  <c r="M3904" i="1"/>
  <c r="S3903" i="1"/>
  <c r="O3903" i="1"/>
  <c r="N3903" i="1"/>
  <c r="M3903" i="1"/>
  <c r="S3900" i="1"/>
  <c r="O3900" i="1"/>
  <c r="N3900" i="1"/>
  <c r="M3900" i="1"/>
  <c r="S3898" i="1"/>
  <c r="O3898" i="1"/>
  <c r="N3898" i="1"/>
  <c r="M3898" i="1"/>
  <c r="S3897" i="1"/>
  <c r="O3897" i="1"/>
  <c r="N3897" i="1"/>
  <c r="M3897" i="1"/>
  <c r="S3895" i="1"/>
  <c r="O3895" i="1"/>
  <c r="N3895" i="1"/>
  <c r="M3895" i="1"/>
  <c r="S3894" i="1"/>
  <c r="O3894" i="1"/>
  <c r="N3894" i="1"/>
  <c r="M3894" i="1"/>
  <c r="S3891" i="1"/>
  <c r="O3891" i="1"/>
  <c r="N3891" i="1"/>
  <c r="M3891" i="1"/>
  <c r="S3890" i="1"/>
  <c r="O3890" i="1"/>
  <c r="N3890" i="1"/>
  <c r="M3890" i="1"/>
  <c r="S3889" i="1"/>
  <c r="O3889" i="1"/>
  <c r="N3889" i="1"/>
  <c r="M3889" i="1"/>
  <c r="S3887" i="1"/>
  <c r="O3887" i="1"/>
  <c r="N3887" i="1"/>
  <c r="M3887" i="1"/>
  <c r="S3886" i="1"/>
  <c r="O3886" i="1"/>
  <c r="N3886" i="1"/>
  <c r="M3886" i="1"/>
  <c r="S3885" i="1"/>
  <c r="O3885" i="1"/>
  <c r="N3885" i="1"/>
  <c r="M3885" i="1"/>
  <c r="S3884" i="1"/>
  <c r="O3884" i="1"/>
  <c r="N3884" i="1"/>
  <c r="M3884" i="1"/>
  <c r="S3883" i="1"/>
  <c r="O3883" i="1"/>
  <c r="N3883" i="1"/>
  <c r="M3883" i="1"/>
  <c r="S3882" i="1"/>
  <c r="O3882" i="1"/>
  <c r="N3882" i="1"/>
  <c r="M3882" i="1"/>
  <c r="S3881" i="1"/>
  <c r="O3881" i="1"/>
  <c r="N3881" i="1"/>
  <c r="M3881" i="1"/>
  <c r="S3880" i="1"/>
  <c r="O3880" i="1"/>
  <c r="N3880" i="1"/>
  <c r="M3880" i="1"/>
  <c r="S3879" i="1"/>
  <c r="O3879" i="1"/>
  <c r="N3879" i="1"/>
  <c r="M3879" i="1"/>
  <c r="S3878" i="1"/>
  <c r="O3878" i="1"/>
  <c r="N3878" i="1"/>
  <c r="M3878" i="1"/>
  <c r="S3877" i="1"/>
  <c r="O3877" i="1"/>
  <c r="N3877" i="1"/>
  <c r="M3877" i="1"/>
  <c r="S3876" i="1"/>
  <c r="O3876" i="1"/>
  <c r="N3876" i="1"/>
  <c r="M3876" i="1"/>
  <c r="S3875" i="1"/>
  <c r="O3875" i="1"/>
  <c r="N3875" i="1"/>
  <c r="M3875" i="1"/>
  <c r="S3874" i="1"/>
  <c r="O3874" i="1"/>
  <c r="N3874" i="1"/>
  <c r="M3874" i="1"/>
  <c r="S3873" i="1"/>
  <c r="O3873" i="1"/>
  <c r="N3873" i="1"/>
  <c r="M3873" i="1"/>
  <c r="S3872" i="1"/>
  <c r="O3872" i="1"/>
  <c r="N3872" i="1"/>
  <c r="M3872" i="1"/>
  <c r="S3871" i="1"/>
  <c r="O3871" i="1"/>
  <c r="N3871" i="1"/>
  <c r="M3871" i="1"/>
  <c r="S3870" i="1"/>
  <c r="O3870" i="1"/>
  <c r="N3870" i="1"/>
  <c r="M3870" i="1"/>
  <c r="S3867" i="1"/>
  <c r="O3867" i="1"/>
  <c r="N3867" i="1"/>
  <c r="M3867" i="1"/>
  <c r="S3866" i="1"/>
  <c r="O3866" i="1"/>
  <c r="N3866" i="1"/>
  <c r="M3866" i="1"/>
  <c r="S3865" i="1"/>
  <c r="O3865" i="1"/>
  <c r="N3865" i="1"/>
  <c r="M3865" i="1"/>
  <c r="S3863" i="1"/>
  <c r="O3863" i="1"/>
  <c r="N3863" i="1"/>
  <c r="M3863" i="1"/>
  <c r="S3862" i="1"/>
  <c r="O3862" i="1"/>
  <c r="N3862" i="1"/>
  <c r="M3862" i="1"/>
  <c r="S3859" i="1"/>
  <c r="O3859" i="1"/>
  <c r="N3859" i="1"/>
  <c r="M3859" i="1"/>
  <c r="S3857" i="1"/>
  <c r="O3857" i="1"/>
  <c r="N3857" i="1"/>
  <c r="M3857" i="1"/>
  <c r="S3856" i="1"/>
  <c r="O3856" i="1"/>
  <c r="N3856" i="1"/>
  <c r="M3856" i="1"/>
  <c r="S3855" i="1"/>
  <c r="O3855" i="1"/>
  <c r="N3855" i="1"/>
  <c r="M3855" i="1"/>
  <c r="S3854" i="1"/>
  <c r="O3854" i="1"/>
  <c r="N3854" i="1"/>
  <c r="M3854" i="1"/>
  <c r="S3853" i="1"/>
  <c r="O3853" i="1"/>
  <c r="N3853" i="1"/>
  <c r="M3853" i="1"/>
  <c r="S3852" i="1"/>
  <c r="O3852" i="1"/>
  <c r="N3852" i="1"/>
  <c r="M3852" i="1"/>
  <c r="S3851" i="1"/>
  <c r="O3851" i="1"/>
  <c r="N3851" i="1"/>
  <c r="M3851" i="1"/>
  <c r="S3850" i="1"/>
  <c r="O3850" i="1"/>
  <c r="N3850" i="1"/>
  <c r="M3850" i="1"/>
  <c r="S3848" i="1"/>
  <c r="O3848" i="1"/>
  <c r="N3848" i="1"/>
  <c r="M3848" i="1"/>
  <c r="S3847" i="1"/>
  <c r="O3847" i="1"/>
  <c r="N3847" i="1"/>
  <c r="M3847" i="1"/>
  <c r="S3846" i="1"/>
  <c r="O3846" i="1"/>
  <c r="N3846" i="1"/>
  <c r="M3846" i="1"/>
  <c r="S3845" i="1"/>
  <c r="O3845" i="1"/>
  <c r="N3845" i="1"/>
  <c r="M3845" i="1"/>
  <c r="S3843" i="1"/>
  <c r="O3843" i="1"/>
  <c r="N3843" i="1"/>
  <c r="M3843" i="1"/>
  <c r="S3841" i="1"/>
  <c r="O3841" i="1"/>
  <c r="N3841" i="1"/>
  <c r="M3841" i="1"/>
  <c r="S3840" i="1"/>
  <c r="O3840" i="1"/>
  <c r="N3840" i="1"/>
  <c r="M3840" i="1"/>
  <c r="S3838" i="1"/>
  <c r="O3838" i="1"/>
  <c r="N3838" i="1"/>
  <c r="M3838" i="1"/>
  <c r="S3837" i="1"/>
  <c r="O3837" i="1"/>
  <c r="N3837" i="1"/>
  <c r="M3837" i="1"/>
  <c r="S3833" i="1"/>
  <c r="O3833" i="1"/>
  <c r="N3833" i="1"/>
  <c r="M3833" i="1"/>
  <c r="S3832" i="1"/>
  <c r="O3832" i="1"/>
  <c r="N3832" i="1"/>
  <c r="M3832" i="1"/>
  <c r="S3831" i="1"/>
  <c r="O3831" i="1"/>
  <c r="N3831" i="1"/>
  <c r="M3831" i="1"/>
  <c r="S3830" i="1"/>
  <c r="O3830" i="1"/>
  <c r="N3830" i="1"/>
  <c r="M3830" i="1"/>
  <c r="S3829" i="1"/>
  <c r="O3829" i="1"/>
  <c r="N3829" i="1"/>
  <c r="M3829" i="1"/>
  <c r="S3828" i="1"/>
  <c r="O3828" i="1"/>
  <c r="N3828" i="1"/>
  <c r="M3828" i="1"/>
  <c r="S3827" i="1"/>
  <c r="O3827" i="1"/>
  <c r="N3827" i="1"/>
  <c r="M3827" i="1"/>
  <c r="S3826" i="1"/>
  <c r="O3826" i="1"/>
  <c r="N3826" i="1"/>
  <c r="M3826" i="1"/>
  <c r="S3825" i="1"/>
  <c r="O3825" i="1"/>
  <c r="N3825" i="1"/>
  <c r="M3825" i="1"/>
  <c r="S3823" i="1"/>
  <c r="O3823" i="1"/>
  <c r="N3823" i="1"/>
  <c r="M3823" i="1"/>
  <c r="S3822" i="1"/>
  <c r="O3822" i="1"/>
  <c r="N3822" i="1"/>
  <c r="M3822" i="1"/>
  <c r="S3821" i="1"/>
  <c r="O3821" i="1"/>
  <c r="N3821" i="1"/>
  <c r="M3821" i="1"/>
  <c r="S3820" i="1"/>
  <c r="O3820" i="1"/>
  <c r="N3820" i="1"/>
  <c r="M3820" i="1"/>
  <c r="S3819" i="1"/>
  <c r="O3819" i="1"/>
  <c r="N3819" i="1"/>
  <c r="M3819" i="1"/>
  <c r="S3818" i="1"/>
  <c r="O3818" i="1"/>
  <c r="N3818" i="1"/>
  <c r="M3818" i="1"/>
  <c r="S3817" i="1"/>
  <c r="O3817" i="1"/>
  <c r="N3817" i="1"/>
  <c r="M3817" i="1"/>
  <c r="S3816" i="1"/>
  <c r="O3816" i="1"/>
  <c r="N3816" i="1"/>
  <c r="M3816" i="1"/>
  <c r="S3815" i="1"/>
  <c r="O3815" i="1"/>
  <c r="N3815" i="1"/>
  <c r="M3815" i="1"/>
  <c r="S3814" i="1"/>
  <c r="O3814" i="1"/>
  <c r="N3814" i="1"/>
  <c r="M3814" i="1"/>
  <c r="S3813" i="1"/>
  <c r="O3813" i="1"/>
  <c r="N3813" i="1"/>
  <c r="M3813" i="1"/>
  <c r="S3812" i="1"/>
  <c r="O3812" i="1"/>
  <c r="N3812" i="1"/>
  <c r="M3812" i="1"/>
  <c r="S3811" i="1"/>
  <c r="O3811" i="1"/>
  <c r="N3811" i="1"/>
  <c r="M3811" i="1"/>
  <c r="S3810" i="1"/>
  <c r="O3810" i="1"/>
  <c r="N3810" i="1"/>
  <c r="M3810" i="1"/>
  <c r="S3809" i="1"/>
  <c r="O3809" i="1"/>
  <c r="N3809" i="1"/>
  <c r="M3809" i="1"/>
  <c r="S3808" i="1"/>
  <c r="O3808" i="1"/>
  <c r="N3808" i="1"/>
  <c r="M3808" i="1"/>
  <c r="S3807" i="1"/>
  <c r="O3807" i="1"/>
  <c r="N3807" i="1"/>
  <c r="M3807" i="1"/>
  <c r="S3806" i="1"/>
  <c r="O3806" i="1"/>
  <c r="N3806" i="1"/>
  <c r="M3806" i="1"/>
  <c r="S3805" i="1"/>
  <c r="O3805" i="1"/>
  <c r="N3805" i="1"/>
  <c r="M3805" i="1"/>
  <c r="S3804" i="1"/>
  <c r="O3804" i="1"/>
  <c r="N3804" i="1"/>
  <c r="M3804" i="1"/>
  <c r="S3803" i="1"/>
  <c r="O3803" i="1"/>
  <c r="N3803" i="1"/>
  <c r="M3803" i="1"/>
  <c r="S3802" i="1"/>
  <c r="O3802" i="1"/>
  <c r="N3802" i="1"/>
  <c r="M3802" i="1"/>
  <c r="S3801" i="1"/>
  <c r="O3801" i="1"/>
  <c r="N3801" i="1"/>
  <c r="M3801" i="1"/>
  <c r="S3800" i="1"/>
  <c r="O3800" i="1"/>
  <c r="N3800" i="1"/>
  <c r="M3800" i="1"/>
  <c r="S3799" i="1"/>
  <c r="O3799" i="1"/>
  <c r="N3799" i="1"/>
  <c r="M3799" i="1"/>
  <c r="S3798" i="1"/>
  <c r="O3798" i="1"/>
  <c r="N3798" i="1"/>
  <c r="M3798" i="1"/>
  <c r="S3797" i="1"/>
  <c r="O3797" i="1"/>
  <c r="N3797" i="1"/>
  <c r="M3797" i="1"/>
  <c r="S3796" i="1"/>
  <c r="O3796" i="1"/>
  <c r="N3796" i="1"/>
  <c r="M3796" i="1"/>
  <c r="S3794" i="1"/>
  <c r="O3794" i="1"/>
  <c r="N3794" i="1"/>
  <c r="M3794" i="1"/>
  <c r="S3793" i="1"/>
  <c r="O3793" i="1"/>
  <c r="N3793" i="1"/>
  <c r="M3793" i="1"/>
  <c r="S3792" i="1"/>
  <c r="O3792" i="1"/>
  <c r="N3792" i="1"/>
  <c r="M3792" i="1"/>
  <c r="S3791" i="1"/>
  <c r="O3791" i="1"/>
  <c r="N3791" i="1"/>
  <c r="M3791" i="1"/>
  <c r="S3790" i="1"/>
  <c r="O3790" i="1"/>
  <c r="N3790" i="1"/>
  <c r="M3790" i="1"/>
  <c r="S3789" i="1"/>
  <c r="O3789" i="1"/>
  <c r="N3789" i="1"/>
  <c r="M3789" i="1"/>
  <c r="S3788" i="1"/>
  <c r="O3788" i="1"/>
  <c r="N3788" i="1"/>
  <c r="M3788" i="1"/>
  <c r="S3787" i="1"/>
  <c r="O3787" i="1"/>
  <c r="N3787" i="1"/>
  <c r="M3787" i="1"/>
  <c r="S3786" i="1"/>
  <c r="O3786" i="1"/>
  <c r="N3786" i="1"/>
  <c r="M3786" i="1"/>
  <c r="S3785" i="1"/>
  <c r="O3785" i="1"/>
  <c r="N3785" i="1"/>
  <c r="M3785" i="1"/>
  <c r="S3784" i="1"/>
  <c r="O3784" i="1"/>
  <c r="N3784" i="1"/>
  <c r="M3784" i="1"/>
  <c r="S3783" i="1"/>
  <c r="O3783" i="1"/>
  <c r="N3783" i="1"/>
  <c r="M3783" i="1"/>
  <c r="S3782" i="1"/>
  <c r="O3782" i="1"/>
  <c r="N3782" i="1"/>
  <c r="M3782" i="1"/>
  <c r="S3781" i="1"/>
  <c r="O3781" i="1"/>
  <c r="N3781" i="1"/>
  <c r="M3781" i="1"/>
  <c r="S3780" i="1"/>
  <c r="O3780" i="1"/>
  <c r="N3780" i="1"/>
  <c r="M3780" i="1"/>
  <c r="S3779" i="1"/>
  <c r="O3779" i="1"/>
  <c r="N3779" i="1"/>
  <c r="M3779" i="1"/>
  <c r="S3778" i="1"/>
  <c r="O3778" i="1"/>
  <c r="N3778" i="1"/>
  <c r="M3778" i="1"/>
  <c r="S3777" i="1"/>
  <c r="O3777" i="1"/>
  <c r="N3777" i="1"/>
  <c r="M3777" i="1"/>
  <c r="S3775" i="1"/>
  <c r="O3775" i="1"/>
  <c r="N3775" i="1"/>
  <c r="M3775" i="1"/>
  <c r="S3774" i="1"/>
  <c r="O3774" i="1"/>
  <c r="N3774" i="1"/>
  <c r="M3774" i="1"/>
  <c r="S3773" i="1"/>
  <c r="O3773" i="1"/>
  <c r="N3773" i="1"/>
  <c r="M3773" i="1"/>
  <c r="S3772" i="1"/>
  <c r="O3772" i="1"/>
  <c r="N3772" i="1"/>
  <c r="M3772" i="1"/>
  <c r="S3771" i="1"/>
  <c r="O3771" i="1"/>
  <c r="N3771" i="1"/>
  <c r="M3771" i="1"/>
  <c r="S3770" i="1"/>
  <c r="O3770" i="1"/>
  <c r="N3770" i="1"/>
  <c r="M3770" i="1"/>
  <c r="S3769" i="1"/>
  <c r="O3769" i="1"/>
  <c r="N3769" i="1"/>
  <c r="M3769" i="1"/>
  <c r="S3768" i="1"/>
  <c r="O3768" i="1"/>
  <c r="N3768" i="1"/>
  <c r="M3768" i="1"/>
  <c r="S3765" i="1"/>
  <c r="O3765" i="1"/>
  <c r="N3765" i="1"/>
  <c r="M3765" i="1"/>
  <c r="S3764" i="1"/>
  <c r="O3764" i="1"/>
  <c r="N3764" i="1"/>
  <c r="M3764" i="1"/>
  <c r="S3762" i="1"/>
  <c r="O3762" i="1"/>
  <c r="N3762" i="1"/>
  <c r="M3762" i="1"/>
  <c r="S3761" i="1"/>
  <c r="O3761" i="1"/>
  <c r="N3761" i="1"/>
  <c r="M3761" i="1"/>
  <c r="S3760" i="1"/>
  <c r="O3760" i="1"/>
  <c r="N3760" i="1"/>
  <c r="M3760" i="1"/>
  <c r="S3759" i="1"/>
  <c r="O3759" i="1"/>
  <c r="N3759" i="1"/>
  <c r="M3759" i="1"/>
  <c r="S3757" i="1"/>
  <c r="O3757" i="1"/>
  <c r="N3757" i="1"/>
  <c r="M3757" i="1"/>
  <c r="S3756" i="1"/>
  <c r="O3756" i="1"/>
  <c r="N3756" i="1"/>
  <c r="M3756" i="1"/>
  <c r="S3755" i="1"/>
  <c r="O3755" i="1"/>
  <c r="N3755" i="1"/>
  <c r="M3755" i="1"/>
  <c r="S3754" i="1"/>
  <c r="O3754" i="1"/>
  <c r="N3754" i="1"/>
  <c r="M3754" i="1"/>
  <c r="S3752" i="1"/>
  <c r="O3752" i="1"/>
  <c r="N3752" i="1"/>
  <c r="M3752" i="1"/>
  <c r="S3751" i="1"/>
  <c r="O3751" i="1"/>
  <c r="N3751" i="1"/>
  <c r="M3751" i="1"/>
  <c r="S3750" i="1"/>
  <c r="O3750" i="1"/>
  <c r="N3750" i="1"/>
  <c r="M3750" i="1"/>
  <c r="S3749" i="1"/>
  <c r="O3749" i="1"/>
  <c r="N3749" i="1"/>
  <c r="M3749" i="1"/>
  <c r="S3748" i="1"/>
  <c r="O3748" i="1"/>
  <c r="N3748" i="1"/>
  <c r="M3748" i="1"/>
  <c r="S3747" i="1"/>
  <c r="O3747" i="1"/>
  <c r="N3747" i="1"/>
  <c r="M3747" i="1"/>
  <c r="S3746" i="1"/>
  <c r="O3746" i="1"/>
  <c r="N3746" i="1"/>
  <c r="M3746" i="1"/>
  <c r="S3745" i="1"/>
  <c r="O3745" i="1"/>
  <c r="N3745" i="1"/>
  <c r="M3745" i="1"/>
  <c r="S3744" i="1"/>
  <c r="O3744" i="1"/>
  <c r="N3744" i="1"/>
  <c r="M3744" i="1"/>
  <c r="S3743" i="1"/>
  <c r="O3743" i="1"/>
  <c r="N3743" i="1"/>
  <c r="M3743" i="1"/>
  <c r="S3742" i="1"/>
  <c r="O3742" i="1"/>
  <c r="N3742" i="1"/>
  <c r="M3742" i="1"/>
  <c r="S3741" i="1"/>
  <c r="O3741" i="1"/>
  <c r="N3741" i="1"/>
  <c r="M3741" i="1"/>
  <c r="S3740" i="1"/>
  <c r="O3740" i="1"/>
  <c r="N3740" i="1"/>
  <c r="M3740" i="1"/>
  <c r="S3739" i="1"/>
  <c r="O3739" i="1"/>
  <c r="N3739" i="1"/>
  <c r="M3739" i="1"/>
  <c r="S3738" i="1"/>
  <c r="O3738" i="1"/>
  <c r="N3738" i="1"/>
  <c r="M3738" i="1"/>
  <c r="S3737" i="1"/>
  <c r="O3737" i="1"/>
  <c r="N3737" i="1"/>
  <c r="M3737" i="1"/>
  <c r="S3736" i="1"/>
  <c r="O3736" i="1"/>
  <c r="N3736" i="1"/>
  <c r="M3736" i="1"/>
  <c r="S3735" i="1"/>
  <c r="O3735" i="1"/>
  <c r="N3735" i="1"/>
  <c r="M3735" i="1"/>
  <c r="S3734" i="1"/>
  <c r="O3734" i="1"/>
  <c r="N3734" i="1"/>
  <c r="M3734" i="1"/>
  <c r="S3733" i="1"/>
  <c r="O3733" i="1"/>
  <c r="N3733" i="1"/>
  <c r="M3733" i="1"/>
  <c r="S3732" i="1"/>
  <c r="O3732" i="1"/>
  <c r="N3732" i="1"/>
  <c r="M3732" i="1"/>
  <c r="S3731" i="1"/>
  <c r="O3731" i="1"/>
  <c r="N3731" i="1"/>
  <c r="M3731" i="1"/>
  <c r="S3730" i="1"/>
  <c r="O3730" i="1"/>
  <c r="N3730" i="1"/>
  <c r="M3730" i="1"/>
  <c r="S3729" i="1"/>
  <c r="O3729" i="1"/>
  <c r="N3729" i="1"/>
  <c r="M3729" i="1"/>
  <c r="S3728" i="1"/>
  <c r="O3728" i="1"/>
  <c r="N3728" i="1"/>
  <c r="M3728" i="1"/>
  <c r="S3727" i="1"/>
  <c r="O3727" i="1"/>
  <c r="N3727" i="1"/>
  <c r="M3727" i="1"/>
  <c r="S3726" i="1"/>
  <c r="O3726" i="1"/>
  <c r="N3726" i="1"/>
  <c r="M3726" i="1"/>
  <c r="S3722" i="1"/>
  <c r="O3722" i="1"/>
  <c r="N3722" i="1"/>
  <c r="M3722" i="1"/>
  <c r="S3721" i="1"/>
  <c r="O3721" i="1"/>
  <c r="N3721" i="1"/>
  <c r="M3721" i="1"/>
  <c r="S3719" i="1"/>
  <c r="O3719" i="1"/>
  <c r="N3719" i="1"/>
  <c r="M3719" i="1"/>
  <c r="S3718" i="1"/>
  <c r="O3718" i="1"/>
  <c r="N3718" i="1"/>
  <c r="M3718" i="1"/>
  <c r="S3717" i="1"/>
  <c r="O3717" i="1"/>
  <c r="N3717" i="1"/>
  <c r="M3717" i="1"/>
  <c r="S3716" i="1"/>
  <c r="O3716" i="1"/>
  <c r="N3716" i="1"/>
  <c r="M3716" i="1"/>
  <c r="S3715" i="1"/>
  <c r="O3715" i="1"/>
  <c r="N3715" i="1"/>
  <c r="M3715" i="1"/>
  <c r="S3714" i="1"/>
  <c r="O3714" i="1"/>
  <c r="N3714" i="1"/>
  <c r="M3714" i="1"/>
  <c r="S3713" i="1"/>
  <c r="O3713" i="1"/>
  <c r="N3713" i="1"/>
  <c r="M3713" i="1"/>
  <c r="S3712" i="1"/>
  <c r="O3712" i="1"/>
  <c r="N3712" i="1"/>
  <c r="M3712" i="1"/>
  <c r="S3711" i="1"/>
  <c r="O3711" i="1"/>
  <c r="N3711" i="1"/>
  <c r="M3711" i="1"/>
  <c r="S3710" i="1"/>
  <c r="O3710" i="1"/>
  <c r="N3710" i="1"/>
  <c r="M3710" i="1"/>
  <c r="S3708" i="1"/>
  <c r="O3708" i="1"/>
  <c r="N3708" i="1"/>
  <c r="M3708" i="1"/>
  <c r="S3707" i="1"/>
  <c r="O3707" i="1"/>
  <c r="N3707" i="1"/>
  <c r="M3707" i="1"/>
  <c r="S3706" i="1"/>
  <c r="O3706" i="1"/>
  <c r="N3706" i="1"/>
  <c r="M3706" i="1"/>
  <c r="S3705" i="1"/>
  <c r="O3705" i="1"/>
  <c r="N3705" i="1"/>
  <c r="M3705" i="1"/>
  <c r="S3704" i="1"/>
  <c r="O3704" i="1"/>
  <c r="N3704" i="1"/>
  <c r="M3704" i="1"/>
  <c r="S3703" i="1"/>
  <c r="O3703" i="1"/>
  <c r="N3703" i="1"/>
  <c r="M3703" i="1"/>
  <c r="S3702" i="1"/>
  <c r="O3702" i="1"/>
  <c r="N3702" i="1"/>
  <c r="M3702" i="1"/>
  <c r="S3701" i="1"/>
  <c r="O3701" i="1"/>
  <c r="N3701" i="1"/>
  <c r="M3701" i="1"/>
  <c r="S3700" i="1"/>
  <c r="O3700" i="1"/>
  <c r="N3700" i="1"/>
  <c r="M3700" i="1"/>
  <c r="S3698" i="1"/>
  <c r="O3698" i="1"/>
  <c r="N3698" i="1"/>
  <c r="M3698" i="1"/>
  <c r="S3697" i="1"/>
  <c r="O3697" i="1"/>
  <c r="N3697" i="1"/>
  <c r="M3697" i="1"/>
  <c r="S3696" i="1"/>
  <c r="O3696" i="1"/>
  <c r="N3696" i="1"/>
  <c r="M3696" i="1"/>
  <c r="S3695" i="1"/>
  <c r="O3695" i="1"/>
  <c r="N3695" i="1"/>
  <c r="M3695" i="1"/>
  <c r="S3694" i="1"/>
  <c r="O3694" i="1"/>
  <c r="N3694" i="1"/>
  <c r="M3694" i="1"/>
  <c r="S3691" i="1"/>
  <c r="O3691" i="1"/>
  <c r="N3691" i="1"/>
  <c r="M3691" i="1"/>
  <c r="S3690" i="1"/>
  <c r="O3690" i="1"/>
  <c r="N3690" i="1"/>
  <c r="M3690" i="1"/>
  <c r="S3689" i="1"/>
  <c r="O3689" i="1"/>
  <c r="N3689" i="1"/>
  <c r="M3689" i="1"/>
  <c r="S3688" i="1"/>
  <c r="O3688" i="1"/>
  <c r="N3688" i="1"/>
  <c r="M3688" i="1"/>
  <c r="S3686" i="1"/>
  <c r="O3686" i="1"/>
  <c r="N3686" i="1"/>
  <c r="M3686" i="1"/>
  <c r="S3685" i="1"/>
  <c r="O3685" i="1"/>
  <c r="N3685" i="1"/>
  <c r="M3685" i="1"/>
  <c r="S3684" i="1"/>
  <c r="O3684" i="1"/>
  <c r="N3684" i="1"/>
  <c r="M3684" i="1"/>
  <c r="S3683" i="1"/>
  <c r="O3683" i="1"/>
  <c r="N3683" i="1"/>
  <c r="M3683" i="1"/>
  <c r="S3682" i="1"/>
  <c r="O3682" i="1"/>
  <c r="N3682" i="1"/>
  <c r="M3682" i="1"/>
  <c r="S3681" i="1"/>
  <c r="O3681" i="1"/>
  <c r="N3681" i="1"/>
  <c r="M3681" i="1"/>
  <c r="S3680" i="1"/>
  <c r="O3680" i="1"/>
  <c r="N3680" i="1"/>
  <c r="M3680" i="1"/>
  <c r="S3679" i="1"/>
  <c r="O3679" i="1"/>
  <c r="N3679" i="1"/>
  <c r="M3679" i="1"/>
  <c r="S3678" i="1"/>
  <c r="O3678" i="1"/>
  <c r="N3678" i="1"/>
  <c r="M3678" i="1"/>
  <c r="S3677" i="1"/>
  <c r="O3677" i="1"/>
  <c r="N3677" i="1"/>
  <c r="M3677" i="1"/>
  <c r="S3676" i="1"/>
  <c r="O3676" i="1"/>
  <c r="N3676" i="1"/>
  <c r="M3676" i="1"/>
  <c r="S3675" i="1"/>
  <c r="O3675" i="1"/>
  <c r="N3675" i="1"/>
  <c r="M3675" i="1"/>
  <c r="S3674" i="1"/>
  <c r="O3674" i="1"/>
  <c r="N3674" i="1"/>
  <c r="M3674" i="1"/>
  <c r="S3672" i="1"/>
  <c r="O3672" i="1"/>
  <c r="N3672" i="1"/>
  <c r="M3672" i="1"/>
  <c r="S3671" i="1"/>
  <c r="O3671" i="1"/>
  <c r="N3671" i="1"/>
  <c r="M3671" i="1"/>
  <c r="S3670" i="1"/>
  <c r="O3670" i="1"/>
  <c r="N3670" i="1"/>
  <c r="M3670" i="1"/>
  <c r="S3669" i="1"/>
  <c r="O3669" i="1"/>
  <c r="N3669" i="1"/>
  <c r="M3669" i="1"/>
  <c r="S3668" i="1"/>
  <c r="O3668" i="1"/>
  <c r="N3668" i="1"/>
  <c r="M3668" i="1"/>
  <c r="S3667" i="1"/>
  <c r="O3667" i="1"/>
  <c r="N3667" i="1"/>
  <c r="M3667" i="1"/>
  <c r="S3666" i="1"/>
  <c r="O3666" i="1"/>
  <c r="N3666" i="1"/>
  <c r="M3666" i="1"/>
  <c r="S3665" i="1"/>
  <c r="O3665" i="1"/>
  <c r="N3665" i="1"/>
  <c r="M3665" i="1"/>
  <c r="S3664" i="1"/>
  <c r="O3664" i="1"/>
  <c r="N3664" i="1"/>
  <c r="M3664" i="1"/>
  <c r="S3663" i="1"/>
  <c r="O3663" i="1"/>
  <c r="N3663" i="1"/>
  <c r="M3663" i="1"/>
  <c r="S3662" i="1"/>
  <c r="O3662" i="1"/>
  <c r="N3662" i="1"/>
  <c r="M3662" i="1"/>
  <c r="S3661" i="1"/>
  <c r="O3661" i="1"/>
  <c r="N3661" i="1"/>
  <c r="M3661" i="1"/>
  <c r="S3660" i="1"/>
  <c r="O3660" i="1"/>
  <c r="N3660" i="1"/>
  <c r="M3660" i="1"/>
  <c r="S3659" i="1"/>
  <c r="O3659" i="1"/>
  <c r="N3659" i="1"/>
  <c r="M3659" i="1"/>
  <c r="S3658" i="1"/>
  <c r="O3658" i="1"/>
  <c r="N3658" i="1"/>
  <c r="M3658" i="1"/>
  <c r="S3656" i="1"/>
  <c r="O3656" i="1"/>
  <c r="N3656" i="1"/>
  <c r="M3656" i="1"/>
  <c r="S3655" i="1"/>
  <c r="O3655" i="1"/>
  <c r="N3655" i="1"/>
  <c r="M3655" i="1"/>
  <c r="S3653" i="1"/>
  <c r="O3653" i="1"/>
  <c r="N3653" i="1"/>
  <c r="M3653" i="1"/>
  <c r="S3652" i="1"/>
  <c r="O3652" i="1"/>
  <c r="N3652" i="1"/>
  <c r="M3652" i="1"/>
  <c r="S3651" i="1"/>
  <c r="O3651" i="1"/>
  <c r="N3651" i="1"/>
  <c r="M3651" i="1"/>
  <c r="S3650" i="1"/>
  <c r="O3650" i="1"/>
  <c r="N3650" i="1"/>
  <c r="M3650" i="1"/>
  <c r="S3649" i="1"/>
  <c r="O3649" i="1"/>
  <c r="N3649" i="1"/>
  <c r="M3649" i="1"/>
  <c r="S3648" i="1"/>
  <c r="O3648" i="1"/>
  <c r="N3648" i="1"/>
  <c r="M3648" i="1"/>
  <c r="S3647" i="1"/>
  <c r="O3647" i="1"/>
  <c r="N3647" i="1"/>
  <c r="M3647" i="1"/>
  <c r="S3646" i="1"/>
  <c r="O3646" i="1"/>
  <c r="N3646" i="1"/>
  <c r="M3646" i="1"/>
  <c r="S3645" i="1"/>
  <c r="O3645" i="1"/>
  <c r="N3645" i="1"/>
  <c r="M3645" i="1"/>
  <c r="S3643" i="1"/>
  <c r="O3643" i="1"/>
  <c r="N3643" i="1"/>
  <c r="M3643" i="1"/>
  <c r="S3642" i="1"/>
  <c r="O3642" i="1"/>
  <c r="N3642" i="1"/>
  <c r="M3642" i="1"/>
  <c r="S3641" i="1"/>
  <c r="O3641" i="1"/>
  <c r="N3641" i="1"/>
  <c r="M3641" i="1"/>
  <c r="S3640" i="1"/>
  <c r="O3640" i="1"/>
  <c r="N3640" i="1"/>
  <c r="M3640" i="1"/>
  <c r="S3639" i="1"/>
  <c r="O3639" i="1"/>
  <c r="N3639" i="1"/>
  <c r="M3639" i="1"/>
  <c r="S3638" i="1"/>
  <c r="O3638" i="1"/>
  <c r="N3638" i="1"/>
  <c r="M3638" i="1"/>
  <c r="S3637" i="1"/>
  <c r="O3637" i="1"/>
  <c r="N3637" i="1"/>
  <c r="M3637" i="1"/>
  <c r="S3636" i="1"/>
  <c r="O3636" i="1"/>
  <c r="N3636" i="1"/>
  <c r="M3636" i="1"/>
  <c r="S3635" i="1"/>
  <c r="O3635" i="1"/>
  <c r="N3635" i="1"/>
  <c r="M3635" i="1"/>
  <c r="S3634" i="1"/>
  <c r="O3634" i="1"/>
  <c r="N3634" i="1"/>
  <c r="M3634" i="1"/>
  <c r="S3633" i="1"/>
  <c r="O3633" i="1"/>
  <c r="N3633" i="1"/>
  <c r="M3633" i="1"/>
  <c r="S3632" i="1"/>
  <c r="O3632" i="1"/>
  <c r="N3632" i="1"/>
  <c r="M3632" i="1"/>
  <c r="S3631" i="1"/>
  <c r="O3631" i="1"/>
  <c r="N3631" i="1"/>
  <c r="M3631" i="1"/>
  <c r="S3630" i="1"/>
  <c r="O3630" i="1"/>
  <c r="N3630" i="1"/>
  <c r="M3630" i="1"/>
  <c r="S3628" i="1"/>
  <c r="O3628" i="1"/>
  <c r="N3628" i="1"/>
  <c r="M3628" i="1"/>
  <c r="S3627" i="1"/>
  <c r="O3627" i="1"/>
  <c r="N3627" i="1"/>
  <c r="M3627" i="1"/>
  <c r="S3624" i="1"/>
  <c r="O3624" i="1"/>
  <c r="N3624" i="1"/>
  <c r="M3624" i="1"/>
  <c r="S3623" i="1"/>
  <c r="O3623" i="1"/>
  <c r="N3623" i="1"/>
  <c r="M3623" i="1"/>
  <c r="S3622" i="1"/>
  <c r="O3622" i="1"/>
  <c r="N3622" i="1"/>
  <c r="M3622" i="1"/>
  <c r="S3621" i="1"/>
  <c r="O3621" i="1"/>
  <c r="N3621" i="1"/>
  <c r="M3621" i="1"/>
  <c r="S3620" i="1"/>
  <c r="O3620" i="1"/>
  <c r="N3620" i="1"/>
  <c r="M3620" i="1"/>
  <c r="S3619" i="1"/>
  <c r="O3619" i="1"/>
  <c r="N3619" i="1"/>
  <c r="M3619" i="1"/>
  <c r="S3618" i="1"/>
  <c r="O3618" i="1"/>
  <c r="N3618" i="1"/>
  <c r="M3618" i="1"/>
  <c r="S3617" i="1"/>
  <c r="O3617" i="1"/>
  <c r="N3617" i="1"/>
  <c r="M3617" i="1"/>
  <c r="S3616" i="1"/>
  <c r="O3616" i="1"/>
  <c r="N3616" i="1"/>
  <c r="M3616" i="1"/>
  <c r="S3615" i="1"/>
  <c r="O3615" i="1"/>
  <c r="N3615" i="1"/>
  <c r="M3615" i="1"/>
  <c r="S3613" i="1"/>
  <c r="O3613" i="1"/>
  <c r="N3613" i="1"/>
  <c r="M3613" i="1"/>
  <c r="S3612" i="1"/>
  <c r="O3612" i="1"/>
  <c r="N3612" i="1"/>
  <c r="M3612" i="1"/>
  <c r="S3609" i="1"/>
  <c r="O3609" i="1"/>
  <c r="N3609" i="1"/>
  <c r="M3609" i="1"/>
  <c r="S3608" i="1"/>
  <c r="O3608" i="1"/>
  <c r="N3608" i="1"/>
  <c r="M3608" i="1"/>
  <c r="S3606" i="1"/>
  <c r="O3606" i="1"/>
  <c r="N3606" i="1"/>
  <c r="M3606" i="1"/>
  <c r="S3605" i="1"/>
  <c r="O3605" i="1"/>
  <c r="N3605" i="1"/>
  <c r="M3605" i="1"/>
  <c r="S3604" i="1"/>
  <c r="O3604" i="1"/>
  <c r="N3604" i="1"/>
  <c r="M3604" i="1"/>
  <c r="S3601" i="1"/>
  <c r="O3601" i="1"/>
  <c r="N3601" i="1"/>
  <c r="M3601" i="1"/>
  <c r="S3600" i="1"/>
  <c r="O3600" i="1"/>
  <c r="N3600" i="1"/>
  <c r="M3600" i="1"/>
  <c r="S3597" i="1"/>
  <c r="O3597" i="1"/>
  <c r="N3597" i="1"/>
  <c r="M3597" i="1"/>
  <c r="S3596" i="1"/>
  <c r="O3596" i="1"/>
  <c r="N3596" i="1"/>
  <c r="M3596" i="1"/>
  <c r="S3595" i="1"/>
  <c r="O3595" i="1"/>
  <c r="N3595" i="1"/>
  <c r="M3595" i="1"/>
  <c r="S3592" i="1"/>
  <c r="O3592" i="1"/>
  <c r="N3592" i="1"/>
  <c r="M3592" i="1"/>
  <c r="S3591" i="1"/>
  <c r="O3591" i="1"/>
  <c r="N3591" i="1"/>
  <c r="M3591" i="1"/>
  <c r="S3590" i="1"/>
  <c r="O3590" i="1"/>
  <c r="N3590" i="1"/>
  <c r="M3590" i="1"/>
  <c r="S3589" i="1"/>
  <c r="O3589" i="1"/>
  <c r="N3589" i="1"/>
  <c r="M3589" i="1"/>
  <c r="S3588" i="1"/>
  <c r="O3588" i="1"/>
  <c r="N3588" i="1"/>
  <c r="M3588" i="1"/>
  <c r="S3587" i="1"/>
  <c r="O3587" i="1"/>
  <c r="N3587" i="1"/>
  <c r="M3587" i="1"/>
  <c r="S3585" i="1"/>
  <c r="O3585" i="1"/>
  <c r="N3585" i="1"/>
  <c r="M3585" i="1"/>
  <c r="S3580" i="1"/>
  <c r="O3580" i="1"/>
  <c r="N3580" i="1"/>
  <c r="M3580" i="1"/>
  <c r="S3579" i="1"/>
  <c r="O3579" i="1"/>
  <c r="N3579" i="1"/>
  <c r="M3579" i="1"/>
  <c r="S3578" i="1"/>
  <c r="O3578" i="1"/>
  <c r="N3578" i="1"/>
  <c r="M3578" i="1"/>
  <c r="S3577" i="1"/>
  <c r="O3577" i="1"/>
  <c r="N3577" i="1"/>
  <c r="M3577" i="1"/>
  <c r="S3576" i="1"/>
  <c r="O3576" i="1"/>
  <c r="N3576" i="1"/>
  <c r="M3576" i="1"/>
  <c r="S3575" i="1"/>
  <c r="O3575" i="1"/>
  <c r="N3575" i="1"/>
  <c r="M3575" i="1"/>
  <c r="S3574" i="1"/>
  <c r="O3574" i="1"/>
  <c r="N3574" i="1"/>
  <c r="M3574" i="1"/>
  <c r="S3573" i="1"/>
  <c r="O3573" i="1"/>
  <c r="N3573" i="1"/>
  <c r="M3573" i="1"/>
  <c r="S3572" i="1"/>
  <c r="O3572" i="1"/>
  <c r="N3572" i="1"/>
  <c r="M3572" i="1"/>
  <c r="S3571" i="1"/>
  <c r="O3571" i="1"/>
  <c r="N3571" i="1"/>
  <c r="M3571" i="1"/>
  <c r="S3570" i="1"/>
  <c r="O3570" i="1"/>
  <c r="N3570" i="1"/>
  <c r="M3570" i="1"/>
  <c r="S3569" i="1"/>
  <c r="O3569" i="1"/>
  <c r="N3569" i="1"/>
  <c r="M3569" i="1"/>
  <c r="S3568" i="1"/>
  <c r="O3568" i="1"/>
  <c r="N3568" i="1"/>
  <c r="M3568" i="1"/>
  <c r="S3567" i="1"/>
  <c r="O3567" i="1"/>
  <c r="N3567" i="1"/>
  <c r="M3567" i="1"/>
  <c r="S3566" i="1"/>
  <c r="O3566" i="1"/>
  <c r="N3566" i="1"/>
  <c r="M3566" i="1"/>
  <c r="S3565" i="1"/>
  <c r="O3565" i="1"/>
  <c r="N3565" i="1"/>
  <c r="M3565" i="1"/>
  <c r="S3564" i="1"/>
  <c r="O3564" i="1"/>
  <c r="N3564" i="1"/>
  <c r="M3564" i="1"/>
  <c r="S3563" i="1"/>
  <c r="O3563" i="1"/>
  <c r="N3563" i="1"/>
  <c r="M3563" i="1"/>
  <c r="S3562" i="1"/>
  <c r="O3562" i="1"/>
  <c r="N3562" i="1"/>
  <c r="M3562" i="1"/>
  <c r="S3561" i="1"/>
  <c r="O3561" i="1"/>
  <c r="N3561" i="1"/>
  <c r="M3561" i="1"/>
  <c r="S3560" i="1"/>
  <c r="O3560" i="1"/>
  <c r="N3560" i="1"/>
  <c r="M3560" i="1"/>
  <c r="S3559" i="1"/>
  <c r="O3559" i="1"/>
  <c r="N3559" i="1"/>
  <c r="M3559" i="1"/>
  <c r="S3558" i="1"/>
  <c r="O3558" i="1"/>
  <c r="N3558" i="1"/>
  <c r="M3558" i="1"/>
  <c r="S3557" i="1"/>
  <c r="O3557" i="1"/>
  <c r="N3557" i="1"/>
  <c r="M3557" i="1"/>
  <c r="S3556" i="1"/>
  <c r="O3556" i="1"/>
  <c r="N3556" i="1"/>
  <c r="M3556" i="1"/>
  <c r="S3554" i="1"/>
  <c r="O3554" i="1"/>
  <c r="N3554" i="1"/>
  <c r="M3554" i="1"/>
  <c r="S3552" i="1"/>
  <c r="O3552" i="1"/>
  <c r="N3552" i="1"/>
  <c r="M3552" i="1"/>
  <c r="S3551" i="1"/>
  <c r="O3551" i="1"/>
  <c r="N3551" i="1"/>
  <c r="M3551" i="1"/>
  <c r="S3550" i="1"/>
  <c r="O3550" i="1"/>
  <c r="N3550" i="1"/>
  <c r="M3550" i="1"/>
  <c r="S3549" i="1"/>
  <c r="O3549" i="1"/>
  <c r="N3549" i="1"/>
  <c r="M3549" i="1"/>
  <c r="S3548" i="1"/>
  <c r="O3548" i="1"/>
  <c r="N3548" i="1"/>
  <c r="M3548" i="1"/>
  <c r="S3546" i="1"/>
  <c r="O3546" i="1"/>
  <c r="N3546" i="1"/>
  <c r="M3546" i="1"/>
  <c r="S3545" i="1"/>
  <c r="O3545" i="1"/>
  <c r="N3545" i="1"/>
  <c r="M3545" i="1"/>
  <c r="S3544" i="1"/>
  <c r="O3544" i="1"/>
  <c r="N3544" i="1"/>
  <c r="M3544" i="1"/>
  <c r="S3543" i="1"/>
  <c r="O3543" i="1"/>
  <c r="N3543" i="1"/>
  <c r="M3543" i="1"/>
  <c r="S3542" i="1"/>
  <c r="O3542" i="1"/>
  <c r="N3542" i="1"/>
  <c r="M3542" i="1"/>
  <c r="S3541" i="1"/>
  <c r="O3541" i="1"/>
  <c r="N3541" i="1"/>
  <c r="M3541" i="1"/>
  <c r="S3540" i="1"/>
  <c r="O3540" i="1"/>
  <c r="N3540" i="1"/>
  <c r="M3540" i="1"/>
  <c r="S3538" i="1"/>
  <c r="O3538" i="1"/>
  <c r="N3538" i="1"/>
  <c r="M3538" i="1"/>
  <c r="S3537" i="1"/>
  <c r="O3537" i="1"/>
  <c r="N3537" i="1"/>
  <c r="M3537" i="1"/>
  <c r="S3536" i="1"/>
  <c r="O3536" i="1"/>
  <c r="N3536" i="1"/>
  <c r="M3536" i="1"/>
  <c r="S3535" i="1"/>
  <c r="O3535" i="1"/>
  <c r="N3535" i="1"/>
  <c r="M3535" i="1"/>
  <c r="S3534" i="1"/>
  <c r="O3534" i="1"/>
  <c r="N3534" i="1"/>
  <c r="M3534" i="1"/>
  <c r="S3533" i="1"/>
  <c r="O3533" i="1"/>
  <c r="N3533" i="1"/>
  <c r="M3533" i="1"/>
  <c r="S3532" i="1"/>
  <c r="O3532" i="1"/>
  <c r="N3532" i="1"/>
  <c r="M3532" i="1"/>
  <c r="S3531" i="1"/>
  <c r="O3531" i="1"/>
  <c r="N3531" i="1"/>
  <c r="M3531" i="1"/>
  <c r="S3530" i="1"/>
  <c r="O3530" i="1"/>
  <c r="N3530" i="1"/>
  <c r="M3530" i="1"/>
  <c r="S3529" i="1"/>
  <c r="O3529" i="1"/>
  <c r="N3529" i="1"/>
  <c r="M3529" i="1"/>
  <c r="S3528" i="1"/>
  <c r="O3528" i="1"/>
  <c r="N3528" i="1"/>
  <c r="M3528" i="1"/>
  <c r="S3527" i="1"/>
  <c r="O3527" i="1"/>
  <c r="N3527" i="1"/>
  <c r="M3527" i="1"/>
  <c r="S3526" i="1"/>
  <c r="O3526" i="1"/>
  <c r="N3526" i="1"/>
  <c r="M3526" i="1"/>
  <c r="S3525" i="1"/>
  <c r="O3525" i="1"/>
  <c r="N3525" i="1"/>
  <c r="M3525" i="1"/>
  <c r="S3524" i="1"/>
  <c r="O3524" i="1"/>
  <c r="N3524" i="1"/>
  <c r="M3524" i="1"/>
  <c r="S3523" i="1"/>
  <c r="O3523" i="1"/>
  <c r="N3523" i="1"/>
  <c r="M3523" i="1"/>
  <c r="S3522" i="1"/>
  <c r="O3522" i="1"/>
  <c r="N3522" i="1"/>
  <c r="M3522" i="1"/>
  <c r="S3521" i="1"/>
  <c r="O3521" i="1"/>
  <c r="N3521" i="1"/>
  <c r="M3521" i="1"/>
  <c r="S3520" i="1"/>
  <c r="O3520" i="1"/>
  <c r="N3520" i="1"/>
  <c r="M3520" i="1"/>
  <c r="S3519" i="1"/>
  <c r="O3519" i="1"/>
  <c r="N3519" i="1"/>
  <c r="M3519" i="1"/>
  <c r="S3518" i="1"/>
  <c r="O3518" i="1"/>
  <c r="N3518" i="1"/>
  <c r="M3518" i="1"/>
  <c r="S3517" i="1"/>
  <c r="O3517" i="1"/>
  <c r="N3517" i="1"/>
  <c r="M3517" i="1"/>
  <c r="S3516" i="1"/>
  <c r="O3516" i="1"/>
  <c r="N3516" i="1"/>
  <c r="M3516" i="1"/>
  <c r="S3515" i="1"/>
  <c r="O3515" i="1"/>
  <c r="N3515" i="1"/>
  <c r="M3515" i="1"/>
  <c r="S3514" i="1"/>
  <c r="O3514" i="1"/>
  <c r="N3514" i="1"/>
  <c r="M3514" i="1"/>
  <c r="S3513" i="1"/>
  <c r="O3513" i="1"/>
  <c r="N3513" i="1"/>
  <c r="M3513" i="1"/>
  <c r="S3512" i="1"/>
  <c r="O3512" i="1"/>
  <c r="N3512" i="1"/>
  <c r="M3512" i="1"/>
  <c r="S3511" i="1"/>
  <c r="O3511" i="1"/>
  <c r="N3511" i="1"/>
  <c r="M3511" i="1"/>
  <c r="S3510" i="1"/>
  <c r="O3510" i="1"/>
  <c r="N3510" i="1"/>
  <c r="M3510" i="1"/>
  <c r="S3509" i="1"/>
  <c r="O3509" i="1"/>
  <c r="N3509" i="1"/>
  <c r="M3509" i="1"/>
  <c r="S3508" i="1"/>
  <c r="O3508" i="1"/>
  <c r="N3508" i="1"/>
  <c r="M3508" i="1"/>
  <c r="S3507" i="1"/>
  <c r="O3507" i="1"/>
  <c r="N3507" i="1"/>
  <c r="M3507" i="1"/>
  <c r="S3506" i="1"/>
  <c r="O3506" i="1"/>
  <c r="N3506" i="1"/>
  <c r="M3506" i="1"/>
  <c r="S3505" i="1"/>
  <c r="O3505" i="1"/>
  <c r="N3505" i="1"/>
  <c r="M3505" i="1"/>
  <c r="S3504" i="1"/>
  <c r="O3504" i="1"/>
  <c r="N3504" i="1"/>
  <c r="M3504" i="1"/>
  <c r="S3503" i="1"/>
  <c r="O3503" i="1"/>
  <c r="N3503" i="1"/>
  <c r="M3503" i="1"/>
  <c r="S3502" i="1"/>
  <c r="O3502" i="1"/>
  <c r="N3502" i="1"/>
  <c r="M3502" i="1"/>
  <c r="S3501" i="1"/>
  <c r="O3501" i="1"/>
  <c r="N3501" i="1"/>
  <c r="M3501" i="1"/>
  <c r="S3500" i="1"/>
  <c r="O3500" i="1"/>
  <c r="N3500" i="1"/>
  <c r="M3500" i="1"/>
  <c r="S3499" i="1"/>
  <c r="O3499" i="1"/>
  <c r="N3499" i="1"/>
  <c r="M3499" i="1"/>
  <c r="S3498" i="1"/>
  <c r="O3498" i="1"/>
  <c r="N3498" i="1"/>
  <c r="M3498" i="1"/>
  <c r="S3497" i="1"/>
  <c r="O3497" i="1"/>
  <c r="N3497" i="1"/>
  <c r="M3497" i="1"/>
  <c r="S3496" i="1"/>
  <c r="O3496" i="1"/>
  <c r="N3496" i="1"/>
  <c r="M3496" i="1"/>
  <c r="S3495" i="1"/>
  <c r="O3495" i="1"/>
  <c r="N3495" i="1"/>
  <c r="M3495" i="1"/>
  <c r="S3494" i="1"/>
  <c r="O3494" i="1"/>
  <c r="N3494" i="1"/>
  <c r="M3494" i="1"/>
  <c r="S3493" i="1"/>
  <c r="O3493" i="1"/>
  <c r="N3493" i="1"/>
  <c r="M3493" i="1"/>
  <c r="S3492" i="1"/>
  <c r="O3492" i="1"/>
  <c r="N3492" i="1"/>
  <c r="M3492" i="1"/>
  <c r="S3490" i="1"/>
  <c r="O3490" i="1"/>
  <c r="N3490" i="1"/>
  <c r="M3490" i="1"/>
  <c r="S3489" i="1"/>
  <c r="O3489" i="1"/>
  <c r="N3489" i="1"/>
  <c r="M3489" i="1"/>
  <c r="S3488" i="1"/>
  <c r="O3488" i="1"/>
  <c r="N3488" i="1"/>
  <c r="M3488" i="1"/>
  <c r="S3487" i="1"/>
  <c r="O3487" i="1"/>
  <c r="N3487" i="1"/>
  <c r="M3487" i="1"/>
  <c r="S3486" i="1"/>
  <c r="O3486" i="1"/>
  <c r="N3486" i="1"/>
  <c r="M3486" i="1"/>
  <c r="S3485" i="1"/>
  <c r="O3485" i="1"/>
  <c r="N3485" i="1"/>
  <c r="M3485" i="1"/>
  <c r="S3484" i="1"/>
  <c r="O3484" i="1"/>
  <c r="N3484" i="1"/>
  <c r="M3484" i="1"/>
  <c r="S3483" i="1"/>
  <c r="O3483" i="1"/>
  <c r="N3483" i="1"/>
  <c r="M3483" i="1"/>
  <c r="S3482" i="1"/>
  <c r="O3482" i="1"/>
  <c r="N3482" i="1"/>
  <c r="M3482" i="1"/>
  <c r="S3481" i="1"/>
  <c r="O3481" i="1"/>
  <c r="N3481" i="1"/>
  <c r="M3481" i="1"/>
  <c r="S3480" i="1"/>
  <c r="O3480" i="1"/>
  <c r="N3480" i="1"/>
  <c r="M3480" i="1"/>
  <c r="S3479" i="1"/>
  <c r="O3479" i="1"/>
  <c r="N3479" i="1"/>
  <c r="M3479" i="1"/>
  <c r="S3477" i="1"/>
  <c r="O3477" i="1"/>
  <c r="N3477" i="1"/>
  <c r="M3477" i="1"/>
  <c r="S3476" i="1"/>
  <c r="O3476" i="1"/>
  <c r="N3476" i="1"/>
  <c r="M3476" i="1"/>
  <c r="S3475" i="1"/>
  <c r="O3475" i="1"/>
  <c r="N3475" i="1"/>
  <c r="M3475" i="1"/>
  <c r="S3474" i="1"/>
  <c r="O3474" i="1"/>
  <c r="N3474" i="1"/>
  <c r="M3474" i="1"/>
  <c r="S3473" i="1"/>
  <c r="O3473" i="1"/>
  <c r="N3473" i="1"/>
  <c r="M3473" i="1"/>
  <c r="S3470" i="1"/>
  <c r="O3470" i="1"/>
  <c r="N3470" i="1"/>
  <c r="M3470" i="1"/>
  <c r="S3467" i="1"/>
  <c r="O3467" i="1"/>
  <c r="N3467" i="1"/>
  <c r="M3467" i="1"/>
  <c r="S3466" i="1"/>
  <c r="O3466" i="1"/>
  <c r="N3466" i="1"/>
  <c r="M3466" i="1"/>
  <c r="S3465" i="1"/>
  <c r="O3465" i="1"/>
  <c r="N3465" i="1"/>
  <c r="M3465" i="1"/>
  <c r="S3464" i="1"/>
  <c r="O3464" i="1"/>
  <c r="N3464" i="1"/>
  <c r="M3464" i="1"/>
  <c r="S3463" i="1"/>
  <c r="O3463" i="1"/>
  <c r="N3463" i="1"/>
  <c r="M3463" i="1"/>
  <c r="S3462" i="1"/>
  <c r="O3462" i="1"/>
  <c r="N3462" i="1"/>
  <c r="M3462" i="1"/>
  <c r="S3461" i="1"/>
  <c r="O3461" i="1"/>
  <c r="N3461" i="1"/>
  <c r="M3461" i="1"/>
  <c r="S3460" i="1"/>
  <c r="O3460" i="1"/>
  <c r="N3460" i="1"/>
  <c r="M3460" i="1"/>
  <c r="S3458" i="1"/>
  <c r="O3458" i="1"/>
  <c r="N3458" i="1"/>
  <c r="M3458" i="1"/>
  <c r="S3457" i="1"/>
  <c r="O3457" i="1"/>
  <c r="N3457" i="1"/>
  <c r="M3457" i="1"/>
  <c r="S3456" i="1"/>
  <c r="O3456" i="1"/>
  <c r="N3456" i="1"/>
  <c r="M3456" i="1"/>
  <c r="S3454" i="1"/>
  <c r="O3454" i="1"/>
  <c r="N3454" i="1"/>
  <c r="M3454" i="1"/>
  <c r="S3453" i="1"/>
  <c r="O3453" i="1"/>
  <c r="N3453" i="1"/>
  <c r="M3453" i="1"/>
  <c r="S3452" i="1"/>
  <c r="O3452" i="1"/>
  <c r="N3452" i="1"/>
  <c r="M3452" i="1"/>
  <c r="S3451" i="1"/>
  <c r="O3451" i="1"/>
  <c r="N3451" i="1"/>
  <c r="M3451" i="1"/>
  <c r="S3450" i="1"/>
  <c r="O3450" i="1"/>
  <c r="N3450" i="1"/>
  <c r="M3450" i="1"/>
  <c r="S3449" i="1"/>
  <c r="O3449" i="1"/>
  <c r="N3449" i="1"/>
  <c r="M3449" i="1"/>
  <c r="S3448" i="1"/>
  <c r="O3448" i="1"/>
  <c r="N3448" i="1"/>
  <c r="M3448" i="1"/>
  <c r="S3447" i="1"/>
  <c r="O3447" i="1"/>
  <c r="N3447" i="1"/>
  <c r="M3447" i="1"/>
  <c r="S3446" i="1"/>
  <c r="O3446" i="1"/>
  <c r="N3446" i="1"/>
  <c r="M3446" i="1"/>
  <c r="S3445" i="1"/>
  <c r="O3445" i="1"/>
  <c r="N3445" i="1"/>
  <c r="M3445" i="1"/>
  <c r="S3444" i="1"/>
  <c r="O3444" i="1"/>
  <c r="N3444" i="1"/>
  <c r="M3444" i="1"/>
  <c r="S3443" i="1"/>
  <c r="O3443" i="1"/>
  <c r="N3443" i="1"/>
  <c r="M3443" i="1"/>
  <c r="S3442" i="1"/>
  <c r="O3442" i="1"/>
  <c r="N3442" i="1"/>
  <c r="M3442" i="1"/>
  <c r="S3441" i="1"/>
  <c r="O3441" i="1"/>
  <c r="N3441" i="1"/>
  <c r="M3441" i="1"/>
  <c r="S3440" i="1"/>
  <c r="O3440" i="1"/>
  <c r="N3440" i="1"/>
  <c r="M3440" i="1"/>
  <c r="S3439" i="1"/>
  <c r="O3439" i="1"/>
  <c r="N3439" i="1"/>
  <c r="M3439" i="1"/>
  <c r="S3438" i="1"/>
  <c r="O3438" i="1"/>
  <c r="N3438" i="1"/>
  <c r="M3438" i="1"/>
  <c r="S3437" i="1"/>
  <c r="O3437" i="1"/>
  <c r="N3437" i="1"/>
  <c r="M3437" i="1"/>
  <c r="S3436" i="1"/>
  <c r="O3436" i="1"/>
  <c r="N3436" i="1"/>
  <c r="M3436" i="1"/>
  <c r="S3435" i="1"/>
  <c r="O3435" i="1"/>
  <c r="N3435" i="1"/>
  <c r="M3435" i="1"/>
  <c r="S3434" i="1"/>
  <c r="O3434" i="1"/>
  <c r="N3434" i="1"/>
  <c r="M3434" i="1"/>
  <c r="S3433" i="1"/>
  <c r="O3433" i="1"/>
  <c r="N3433" i="1"/>
  <c r="M3433" i="1"/>
  <c r="S3432" i="1"/>
  <c r="O3432" i="1"/>
  <c r="N3432" i="1"/>
  <c r="M3432" i="1"/>
  <c r="S3431" i="1"/>
  <c r="O3431" i="1"/>
  <c r="N3431" i="1"/>
  <c r="M3431" i="1"/>
  <c r="S3430" i="1"/>
  <c r="O3430" i="1"/>
  <c r="N3430" i="1"/>
  <c r="M3430" i="1"/>
  <c r="S3428" i="1"/>
  <c r="O3428" i="1"/>
  <c r="N3428" i="1"/>
  <c r="M3428" i="1"/>
  <c r="S3427" i="1"/>
  <c r="O3427" i="1"/>
  <c r="N3427" i="1"/>
  <c r="M3427" i="1"/>
  <c r="S3426" i="1"/>
  <c r="O3426" i="1"/>
  <c r="N3426" i="1"/>
  <c r="M3426" i="1"/>
  <c r="S3425" i="1"/>
  <c r="O3425" i="1"/>
  <c r="N3425" i="1"/>
  <c r="M3425" i="1"/>
  <c r="S3424" i="1"/>
  <c r="O3424" i="1"/>
  <c r="N3424" i="1"/>
  <c r="M3424" i="1"/>
  <c r="S3423" i="1"/>
  <c r="O3423" i="1"/>
  <c r="N3423" i="1"/>
  <c r="M3423" i="1"/>
  <c r="S3422" i="1"/>
  <c r="O3422" i="1"/>
  <c r="N3422" i="1"/>
  <c r="M3422" i="1"/>
  <c r="S3421" i="1"/>
  <c r="O3421" i="1"/>
  <c r="N3421" i="1"/>
  <c r="M3421" i="1"/>
  <c r="S3420" i="1"/>
  <c r="O3420" i="1"/>
  <c r="N3420" i="1"/>
  <c r="M3420" i="1"/>
  <c r="S3419" i="1"/>
  <c r="O3419" i="1"/>
  <c r="N3419" i="1"/>
  <c r="M3419" i="1"/>
  <c r="S3418" i="1"/>
  <c r="O3418" i="1"/>
  <c r="N3418" i="1"/>
  <c r="M3418" i="1"/>
  <c r="S3417" i="1"/>
  <c r="O3417" i="1"/>
  <c r="N3417" i="1"/>
  <c r="M3417" i="1"/>
  <c r="S3416" i="1"/>
  <c r="O3416" i="1"/>
  <c r="N3416" i="1"/>
  <c r="M3416" i="1"/>
  <c r="S3415" i="1"/>
  <c r="O3415" i="1"/>
  <c r="N3415" i="1"/>
  <c r="M3415" i="1"/>
  <c r="S3414" i="1"/>
  <c r="O3414" i="1"/>
  <c r="N3414" i="1"/>
  <c r="M3414" i="1"/>
  <c r="S3413" i="1"/>
  <c r="O3413" i="1"/>
  <c r="N3413" i="1"/>
  <c r="M3413" i="1"/>
  <c r="S3412" i="1"/>
  <c r="O3412" i="1"/>
  <c r="N3412" i="1"/>
  <c r="M3412" i="1"/>
  <c r="S3411" i="1"/>
  <c r="O3411" i="1"/>
  <c r="N3411" i="1"/>
  <c r="M3411" i="1"/>
  <c r="S3410" i="1"/>
  <c r="O3410" i="1"/>
  <c r="N3410" i="1"/>
  <c r="M3410" i="1"/>
  <c r="S3408" i="1"/>
  <c r="O3408" i="1"/>
  <c r="N3408" i="1"/>
  <c r="M3408" i="1"/>
  <c r="S3405" i="1"/>
  <c r="O3405" i="1"/>
  <c r="N3405" i="1"/>
  <c r="M3405" i="1"/>
  <c r="S3404" i="1"/>
  <c r="O3404" i="1"/>
  <c r="N3404" i="1"/>
  <c r="M3404" i="1"/>
  <c r="S3403" i="1"/>
  <c r="O3403" i="1"/>
  <c r="N3403" i="1"/>
  <c r="M3403" i="1"/>
  <c r="S3402" i="1"/>
  <c r="O3402" i="1"/>
  <c r="N3402" i="1"/>
  <c r="M3402" i="1"/>
  <c r="S3401" i="1"/>
  <c r="O3401" i="1"/>
  <c r="N3401" i="1"/>
  <c r="M3401" i="1"/>
  <c r="S3400" i="1"/>
  <c r="O3400" i="1"/>
  <c r="N3400" i="1"/>
  <c r="M3400" i="1"/>
  <c r="S3399" i="1"/>
  <c r="O3399" i="1"/>
  <c r="N3399" i="1"/>
  <c r="M3399" i="1"/>
  <c r="S3398" i="1"/>
  <c r="O3398" i="1"/>
  <c r="N3398" i="1"/>
  <c r="M3398" i="1"/>
  <c r="S3397" i="1"/>
  <c r="O3397" i="1"/>
  <c r="N3397" i="1"/>
  <c r="M3397" i="1"/>
  <c r="S3396" i="1"/>
  <c r="O3396" i="1"/>
  <c r="N3396" i="1"/>
  <c r="M3396" i="1"/>
  <c r="S3394" i="1"/>
  <c r="O3394" i="1"/>
  <c r="N3394" i="1"/>
  <c r="M3394" i="1"/>
  <c r="S3393" i="1"/>
  <c r="O3393" i="1"/>
  <c r="N3393" i="1"/>
  <c r="M3393" i="1"/>
  <c r="S3390" i="1"/>
  <c r="O3390" i="1"/>
  <c r="N3390" i="1"/>
  <c r="M3390" i="1"/>
  <c r="S3389" i="1"/>
  <c r="O3389" i="1"/>
  <c r="N3389" i="1"/>
  <c r="M3389" i="1"/>
  <c r="S3388" i="1"/>
  <c r="O3388" i="1"/>
  <c r="N3388" i="1"/>
  <c r="M3388" i="1"/>
  <c r="S3387" i="1"/>
  <c r="O3387" i="1"/>
  <c r="N3387" i="1"/>
  <c r="M3387" i="1"/>
  <c r="S3386" i="1"/>
  <c r="O3386" i="1"/>
  <c r="N3386" i="1"/>
  <c r="M3386" i="1"/>
  <c r="S3385" i="1"/>
  <c r="O3385" i="1"/>
  <c r="N3385" i="1"/>
  <c r="M3385" i="1"/>
  <c r="S3383" i="1"/>
  <c r="O3383" i="1"/>
  <c r="N3383" i="1"/>
  <c r="M3383" i="1"/>
  <c r="S3381" i="1"/>
  <c r="O3381" i="1"/>
  <c r="N3381" i="1"/>
  <c r="M3381" i="1"/>
  <c r="S3380" i="1"/>
  <c r="O3380" i="1"/>
  <c r="N3380" i="1"/>
  <c r="M3380" i="1"/>
  <c r="S3379" i="1"/>
  <c r="O3379" i="1"/>
  <c r="N3379" i="1"/>
  <c r="M3379" i="1"/>
  <c r="S3378" i="1"/>
  <c r="O3378" i="1"/>
  <c r="N3378" i="1"/>
  <c r="M3378" i="1"/>
  <c r="S3377" i="1"/>
  <c r="O3377" i="1"/>
  <c r="N3377" i="1"/>
  <c r="M3377" i="1"/>
  <c r="S3375" i="1"/>
  <c r="O3375" i="1"/>
  <c r="N3375" i="1"/>
  <c r="M3375" i="1"/>
  <c r="S3373" i="1"/>
  <c r="O3373" i="1"/>
  <c r="N3373" i="1"/>
  <c r="M3373" i="1"/>
  <c r="S3372" i="1"/>
  <c r="O3372" i="1"/>
  <c r="N3372" i="1"/>
  <c r="M3372" i="1"/>
  <c r="S3371" i="1"/>
  <c r="O3371" i="1"/>
  <c r="N3371" i="1"/>
  <c r="M3371" i="1"/>
  <c r="S3370" i="1"/>
  <c r="O3370" i="1"/>
  <c r="N3370" i="1"/>
  <c r="M3370" i="1"/>
  <c r="S3369" i="1"/>
  <c r="O3369" i="1"/>
  <c r="N3369" i="1"/>
  <c r="M3369" i="1"/>
  <c r="S3367" i="1"/>
  <c r="O3367" i="1"/>
  <c r="N3367" i="1"/>
  <c r="M3367" i="1"/>
  <c r="S3366" i="1"/>
  <c r="O3366" i="1"/>
  <c r="N3366" i="1"/>
  <c r="M3366" i="1"/>
  <c r="S3365" i="1"/>
  <c r="O3365" i="1"/>
  <c r="N3365" i="1"/>
  <c r="M3365" i="1"/>
  <c r="S3364" i="1"/>
  <c r="O3364" i="1"/>
  <c r="N3364" i="1"/>
  <c r="M3364" i="1"/>
  <c r="S3362" i="1"/>
  <c r="O3362" i="1"/>
  <c r="N3362" i="1"/>
  <c r="M3362" i="1"/>
  <c r="S3361" i="1"/>
  <c r="O3361" i="1"/>
  <c r="N3361" i="1"/>
  <c r="M3361" i="1"/>
  <c r="S3360" i="1"/>
  <c r="O3360" i="1"/>
  <c r="N3360" i="1"/>
  <c r="M3360" i="1"/>
  <c r="S3359" i="1"/>
  <c r="O3359" i="1"/>
  <c r="N3359" i="1"/>
  <c r="M3359" i="1"/>
  <c r="S3358" i="1"/>
  <c r="O3358" i="1"/>
  <c r="N3358" i="1"/>
  <c r="M3358" i="1"/>
  <c r="S3357" i="1"/>
  <c r="O3357" i="1"/>
  <c r="N3357" i="1"/>
  <c r="M3357" i="1"/>
  <c r="S3355" i="1"/>
  <c r="O3355" i="1"/>
  <c r="N3355" i="1"/>
  <c r="M3355" i="1"/>
  <c r="S3354" i="1"/>
  <c r="O3354" i="1"/>
  <c r="N3354" i="1"/>
  <c r="M3354" i="1"/>
  <c r="S3353" i="1"/>
  <c r="O3353" i="1"/>
  <c r="N3353" i="1"/>
  <c r="M3353" i="1"/>
  <c r="S3352" i="1"/>
  <c r="O3352" i="1"/>
  <c r="N3352" i="1"/>
  <c r="M3352" i="1"/>
  <c r="S3351" i="1"/>
  <c r="O3351" i="1"/>
  <c r="N3351" i="1"/>
  <c r="M3351" i="1"/>
  <c r="S3349" i="1"/>
  <c r="O3349" i="1"/>
  <c r="N3349" i="1"/>
  <c r="M3349" i="1"/>
  <c r="S3348" i="1"/>
  <c r="O3348" i="1"/>
  <c r="N3348" i="1"/>
  <c r="M3348" i="1"/>
  <c r="S3347" i="1"/>
  <c r="O3347" i="1"/>
  <c r="N3347" i="1"/>
  <c r="M3347" i="1"/>
  <c r="S3346" i="1"/>
  <c r="O3346" i="1"/>
  <c r="N3346" i="1"/>
  <c r="M3346" i="1"/>
  <c r="S3344" i="1"/>
  <c r="O3344" i="1"/>
  <c r="N3344" i="1"/>
  <c r="M3344" i="1"/>
  <c r="S3343" i="1"/>
  <c r="O3343" i="1"/>
  <c r="N3343" i="1"/>
  <c r="M3343" i="1"/>
  <c r="S3342" i="1"/>
  <c r="O3342" i="1"/>
  <c r="N3342" i="1"/>
  <c r="M3342" i="1"/>
  <c r="S3340" i="1"/>
  <c r="O3340" i="1"/>
  <c r="N3340" i="1"/>
  <c r="M3340" i="1"/>
  <c r="S3339" i="1"/>
  <c r="O3339" i="1"/>
  <c r="N3339" i="1"/>
  <c r="M3339" i="1"/>
  <c r="S3337" i="1"/>
  <c r="O3337" i="1"/>
  <c r="N3337" i="1"/>
  <c r="M3337" i="1"/>
  <c r="S3336" i="1"/>
  <c r="O3336" i="1"/>
  <c r="N3336" i="1"/>
  <c r="M3336" i="1"/>
  <c r="S3335" i="1"/>
  <c r="O3335" i="1"/>
  <c r="N3335" i="1"/>
  <c r="M3335" i="1"/>
  <c r="S3334" i="1"/>
  <c r="O3334" i="1"/>
  <c r="N3334" i="1"/>
  <c r="M3334" i="1"/>
  <c r="S3330" i="1"/>
  <c r="O3330" i="1"/>
  <c r="N3330" i="1"/>
  <c r="M3330" i="1"/>
  <c r="S3329" i="1"/>
  <c r="O3329" i="1"/>
  <c r="N3329" i="1"/>
  <c r="M3329" i="1"/>
  <c r="S3328" i="1"/>
  <c r="O3328" i="1"/>
  <c r="N3328" i="1"/>
  <c r="M3328" i="1"/>
  <c r="S3326" i="1"/>
  <c r="O3326" i="1"/>
  <c r="N3326" i="1"/>
  <c r="M3326" i="1"/>
  <c r="S3325" i="1"/>
  <c r="O3325" i="1"/>
  <c r="N3325" i="1"/>
  <c r="M3325" i="1"/>
  <c r="S3324" i="1"/>
  <c r="O3324" i="1"/>
  <c r="N3324" i="1"/>
  <c r="M3324" i="1"/>
  <c r="S3323" i="1"/>
  <c r="O3323" i="1"/>
  <c r="N3323" i="1"/>
  <c r="M3323" i="1"/>
  <c r="S3322" i="1"/>
  <c r="O3322" i="1"/>
  <c r="N3322" i="1"/>
  <c r="M3322" i="1"/>
  <c r="S3321" i="1"/>
  <c r="O3321" i="1"/>
  <c r="N3321" i="1"/>
  <c r="M3321" i="1"/>
  <c r="S3320" i="1"/>
  <c r="O3320" i="1"/>
  <c r="N3320" i="1"/>
  <c r="M3320" i="1"/>
  <c r="S3318" i="1"/>
  <c r="O3318" i="1"/>
  <c r="N3318" i="1"/>
  <c r="M3318" i="1"/>
  <c r="S3317" i="1"/>
  <c r="O3317" i="1"/>
  <c r="N3317" i="1"/>
  <c r="M3317" i="1"/>
  <c r="S3316" i="1"/>
  <c r="O3316" i="1"/>
  <c r="N3316" i="1"/>
  <c r="M3316" i="1"/>
  <c r="S3315" i="1"/>
  <c r="O3315" i="1"/>
  <c r="N3315" i="1"/>
  <c r="M3315" i="1"/>
  <c r="S3314" i="1"/>
  <c r="O3314" i="1"/>
  <c r="N3314" i="1"/>
  <c r="M3314" i="1"/>
  <c r="S3313" i="1"/>
  <c r="O3313" i="1"/>
  <c r="N3313" i="1"/>
  <c r="M3313" i="1"/>
  <c r="S3312" i="1"/>
  <c r="O3312" i="1"/>
  <c r="N3312" i="1"/>
  <c r="M3312" i="1"/>
  <c r="S3311" i="1"/>
  <c r="O3311" i="1"/>
  <c r="N3311" i="1"/>
  <c r="M3311" i="1"/>
  <c r="S3309" i="1"/>
  <c r="O3309" i="1"/>
  <c r="N3309" i="1"/>
  <c r="M3309" i="1"/>
  <c r="S3308" i="1"/>
  <c r="O3308" i="1"/>
  <c r="N3308" i="1"/>
  <c r="M3308" i="1"/>
  <c r="S3307" i="1"/>
  <c r="O3307" i="1"/>
  <c r="N3307" i="1"/>
  <c r="M3307" i="1"/>
  <c r="S3306" i="1"/>
  <c r="O3306" i="1"/>
  <c r="N3306" i="1"/>
  <c r="M3306" i="1"/>
  <c r="S3305" i="1"/>
  <c r="O3305" i="1"/>
  <c r="N3305" i="1"/>
  <c r="M3305" i="1"/>
  <c r="S3304" i="1"/>
  <c r="O3304" i="1"/>
  <c r="N3304" i="1"/>
  <c r="M3304" i="1"/>
  <c r="S3303" i="1"/>
  <c r="O3303" i="1"/>
  <c r="N3303" i="1"/>
  <c r="M3303" i="1"/>
  <c r="S3300" i="1"/>
  <c r="O3300" i="1"/>
  <c r="N3300" i="1"/>
  <c r="M3300" i="1"/>
  <c r="S3299" i="1"/>
  <c r="O3299" i="1"/>
  <c r="N3299" i="1"/>
  <c r="M3299" i="1"/>
  <c r="S3298" i="1"/>
  <c r="O3298" i="1"/>
  <c r="N3298" i="1"/>
  <c r="M3298" i="1"/>
  <c r="S3297" i="1"/>
  <c r="O3297" i="1"/>
  <c r="N3297" i="1"/>
  <c r="M3297" i="1"/>
  <c r="S3296" i="1"/>
  <c r="O3296" i="1"/>
  <c r="N3296" i="1"/>
  <c r="M3296" i="1"/>
  <c r="S3295" i="1"/>
  <c r="M3295" i="1"/>
  <c r="S3294" i="1"/>
  <c r="O3294" i="1"/>
  <c r="N3294" i="1"/>
  <c r="M3294" i="1"/>
  <c r="S3293" i="1"/>
  <c r="O3293" i="1"/>
  <c r="N3293" i="1"/>
  <c r="M3293" i="1"/>
  <c r="S3292" i="1"/>
  <c r="M3292" i="1"/>
  <c r="S3291" i="1"/>
  <c r="O3291" i="1"/>
  <c r="N3291" i="1"/>
  <c r="M3291" i="1"/>
  <c r="S3290" i="1"/>
  <c r="O3290" i="1"/>
  <c r="N3290" i="1"/>
  <c r="M3290" i="1"/>
  <c r="S3289" i="1"/>
  <c r="O3289" i="1"/>
  <c r="N3289" i="1"/>
  <c r="M3289" i="1"/>
  <c r="S3288" i="1"/>
  <c r="O3288" i="1"/>
  <c r="N3288" i="1"/>
  <c r="M3288" i="1"/>
  <c r="S3287" i="1"/>
  <c r="M3287" i="1"/>
  <c r="S3286" i="1"/>
  <c r="O3286" i="1"/>
  <c r="N3286" i="1"/>
  <c r="M3286" i="1"/>
  <c r="S3285" i="1"/>
  <c r="O3285" i="1"/>
  <c r="N3285" i="1"/>
  <c r="M3285" i="1"/>
  <c r="S3284" i="1"/>
  <c r="O3284" i="1"/>
  <c r="N3284" i="1"/>
  <c r="M3284" i="1"/>
  <c r="S3283" i="1"/>
  <c r="O3283" i="1"/>
  <c r="N3283" i="1"/>
  <c r="M3283" i="1"/>
  <c r="S3282" i="1"/>
  <c r="O3282" i="1"/>
  <c r="N3282" i="1"/>
  <c r="M3282" i="1"/>
  <c r="S3281" i="1"/>
  <c r="O3281" i="1"/>
  <c r="N3281" i="1"/>
  <c r="M3281" i="1"/>
  <c r="S3280" i="1"/>
  <c r="O3280" i="1"/>
  <c r="N3280" i="1"/>
  <c r="M3280" i="1"/>
  <c r="S3279" i="1"/>
  <c r="O3279" i="1"/>
  <c r="N3279" i="1"/>
  <c r="M3279" i="1"/>
  <c r="S3278" i="1"/>
  <c r="O3278" i="1"/>
  <c r="N3278" i="1"/>
  <c r="M3278" i="1"/>
  <c r="S3277" i="1"/>
  <c r="O3277" i="1"/>
  <c r="N3277" i="1"/>
  <c r="M3277" i="1"/>
  <c r="S3276" i="1"/>
  <c r="M3276" i="1"/>
  <c r="S3275" i="1"/>
  <c r="O3275" i="1"/>
  <c r="N3275" i="1"/>
  <c r="M3275" i="1"/>
  <c r="S3274" i="1"/>
  <c r="O3274" i="1"/>
  <c r="N3274" i="1"/>
  <c r="M3274" i="1"/>
  <c r="S3273" i="1"/>
  <c r="O3273" i="1"/>
  <c r="N3273" i="1"/>
  <c r="M3273" i="1"/>
  <c r="S3271" i="1"/>
  <c r="O3271" i="1"/>
  <c r="N3271" i="1"/>
  <c r="M3271" i="1"/>
  <c r="S3270" i="1"/>
  <c r="O3270" i="1"/>
  <c r="N3270" i="1"/>
  <c r="M3270" i="1"/>
  <c r="S3268" i="1"/>
  <c r="O3268" i="1"/>
  <c r="N3268" i="1"/>
  <c r="M3268" i="1"/>
  <c r="S3267" i="1"/>
  <c r="O3267" i="1"/>
  <c r="N3267" i="1"/>
  <c r="M3267" i="1"/>
  <c r="S3266" i="1"/>
  <c r="O3266" i="1"/>
  <c r="N3266" i="1"/>
  <c r="M3266" i="1"/>
  <c r="S3263" i="1"/>
  <c r="O3263" i="1"/>
  <c r="N3263" i="1"/>
  <c r="M3263" i="1"/>
  <c r="S3262" i="1"/>
  <c r="O3262" i="1"/>
  <c r="N3262" i="1"/>
  <c r="M3262" i="1"/>
  <c r="S3261" i="1"/>
  <c r="O3261" i="1"/>
  <c r="N3261" i="1"/>
  <c r="M3261" i="1"/>
  <c r="S3259" i="1"/>
  <c r="O3259" i="1"/>
  <c r="N3259" i="1"/>
  <c r="M3259" i="1"/>
  <c r="S3258" i="1"/>
  <c r="O3258" i="1"/>
  <c r="N3258" i="1"/>
  <c r="M3258" i="1"/>
  <c r="S3257" i="1"/>
  <c r="O3257" i="1"/>
  <c r="N3257" i="1"/>
  <c r="M3257" i="1"/>
  <c r="S3255" i="1"/>
  <c r="O3255" i="1"/>
  <c r="N3255" i="1"/>
  <c r="M3255" i="1"/>
  <c r="S3253" i="1"/>
  <c r="O3253" i="1"/>
  <c r="N3253" i="1"/>
  <c r="M3253" i="1"/>
  <c r="S3252" i="1"/>
  <c r="O3252" i="1"/>
  <c r="N3252" i="1"/>
  <c r="M3252" i="1"/>
  <c r="S3249" i="1"/>
  <c r="O3249" i="1"/>
  <c r="N3249" i="1"/>
  <c r="M3249" i="1"/>
  <c r="S3248" i="1"/>
  <c r="O3248" i="1"/>
  <c r="N3248" i="1"/>
  <c r="M3248" i="1"/>
  <c r="S3247" i="1"/>
  <c r="O3247" i="1"/>
  <c r="N3247" i="1"/>
  <c r="M3247" i="1"/>
  <c r="S3246" i="1"/>
  <c r="O3246" i="1"/>
  <c r="N3246" i="1"/>
  <c r="M3246" i="1"/>
  <c r="S3245" i="1"/>
  <c r="O3245" i="1"/>
  <c r="N3245" i="1"/>
  <c r="M3245" i="1"/>
  <c r="S3244" i="1"/>
  <c r="O3244" i="1"/>
  <c r="N3244" i="1"/>
  <c r="M3244" i="1"/>
  <c r="S3243" i="1"/>
  <c r="O3243" i="1"/>
  <c r="N3243" i="1"/>
  <c r="M3243" i="1"/>
  <c r="S3242" i="1"/>
  <c r="O3242" i="1"/>
  <c r="N3242" i="1"/>
  <c r="M3242" i="1"/>
  <c r="S3241" i="1"/>
  <c r="O3241" i="1"/>
  <c r="N3241" i="1"/>
  <c r="M3241" i="1"/>
  <c r="S3240" i="1"/>
  <c r="O3240" i="1"/>
  <c r="N3240" i="1"/>
  <c r="M3240" i="1"/>
  <c r="S3239" i="1"/>
  <c r="O3239" i="1"/>
  <c r="N3239" i="1"/>
  <c r="M3239" i="1"/>
  <c r="S3238" i="1"/>
  <c r="O3238" i="1"/>
  <c r="N3238" i="1"/>
  <c r="M3238" i="1"/>
  <c r="S3237" i="1"/>
  <c r="O3237" i="1"/>
  <c r="N3237" i="1"/>
  <c r="M3237" i="1"/>
  <c r="S3236" i="1"/>
  <c r="O3236" i="1"/>
  <c r="N3236" i="1"/>
  <c r="M3236" i="1"/>
  <c r="S3235" i="1"/>
  <c r="O3235" i="1"/>
  <c r="N3235" i="1"/>
  <c r="M3235" i="1"/>
  <c r="S3234" i="1"/>
  <c r="O3234" i="1"/>
  <c r="N3234" i="1"/>
  <c r="M3234" i="1"/>
  <c r="S3233" i="1"/>
  <c r="O3233" i="1"/>
  <c r="N3233" i="1"/>
  <c r="M3233" i="1"/>
  <c r="S3232" i="1"/>
  <c r="O3232" i="1"/>
  <c r="N3232" i="1"/>
  <c r="M3232" i="1"/>
  <c r="S3231" i="1"/>
  <c r="O3231" i="1"/>
  <c r="N3231" i="1"/>
  <c r="M3231" i="1"/>
  <c r="S3230" i="1"/>
  <c r="O3230" i="1"/>
  <c r="N3230" i="1"/>
  <c r="M3230" i="1"/>
  <c r="S3228" i="1"/>
  <c r="O3228" i="1"/>
  <c r="N3228" i="1"/>
  <c r="M3228" i="1"/>
  <c r="S3227" i="1"/>
  <c r="O3227" i="1"/>
  <c r="N3227" i="1"/>
  <c r="M3227" i="1"/>
  <c r="S3226" i="1"/>
  <c r="O3226" i="1"/>
  <c r="N3226" i="1"/>
  <c r="M3226" i="1"/>
  <c r="S3225" i="1"/>
  <c r="O3225" i="1"/>
  <c r="N3225" i="1"/>
  <c r="M3225" i="1"/>
  <c r="S3224" i="1"/>
  <c r="O3224" i="1"/>
  <c r="N3224" i="1"/>
  <c r="M3224" i="1"/>
  <c r="S3223" i="1"/>
  <c r="O3223" i="1"/>
  <c r="N3223" i="1"/>
  <c r="M3223" i="1"/>
  <c r="S3222" i="1"/>
  <c r="O3222" i="1"/>
  <c r="N3222" i="1"/>
  <c r="M3222" i="1"/>
  <c r="S3221" i="1"/>
  <c r="O3221" i="1"/>
  <c r="N3221" i="1"/>
  <c r="M3221" i="1"/>
  <c r="S3220" i="1"/>
  <c r="O3220" i="1"/>
  <c r="N3220" i="1"/>
  <c r="M3220" i="1"/>
  <c r="S3219" i="1"/>
  <c r="O3219" i="1"/>
  <c r="N3219" i="1"/>
  <c r="M3219" i="1"/>
  <c r="S3217" i="1"/>
  <c r="O3217" i="1"/>
  <c r="N3217" i="1"/>
  <c r="M3217" i="1"/>
  <c r="S3216" i="1"/>
  <c r="O3216" i="1"/>
  <c r="N3216" i="1"/>
  <c r="M3216" i="1"/>
  <c r="S3215" i="1"/>
  <c r="O3215" i="1"/>
  <c r="N3215" i="1"/>
  <c r="M3215" i="1"/>
  <c r="S3214" i="1"/>
  <c r="O3214" i="1"/>
  <c r="N3214" i="1"/>
  <c r="M3214" i="1"/>
  <c r="S3213" i="1"/>
  <c r="O3213" i="1"/>
  <c r="N3213" i="1"/>
  <c r="M3213" i="1"/>
  <c r="S3210" i="1"/>
  <c r="O3210" i="1"/>
  <c r="N3210" i="1"/>
  <c r="M3210" i="1"/>
  <c r="S3209" i="1"/>
  <c r="O3209" i="1"/>
  <c r="N3209" i="1"/>
  <c r="M3209" i="1"/>
  <c r="S3208" i="1"/>
  <c r="O3208" i="1"/>
  <c r="N3208" i="1"/>
  <c r="M3208" i="1"/>
  <c r="S3207" i="1"/>
  <c r="O3207" i="1"/>
  <c r="N3207" i="1"/>
  <c r="M3207" i="1"/>
  <c r="S3205" i="1"/>
  <c r="O3205" i="1"/>
  <c r="N3205" i="1"/>
  <c r="M3205" i="1"/>
  <c r="S3204" i="1"/>
  <c r="O3204" i="1"/>
  <c r="N3204" i="1"/>
  <c r="M3204" i="1"/>
  <c r="S3203" i="1"/>
  <c r="O3203" i="1"/>
  <c r="N3203" i="1"/>
  <c r="M3203" i="1"/>
  <c r="S3202" i="1"/>
  <c r="O3202" i="1"/>
  <c r="N3202" i="1"/>
  <c r="M3202" i="1"/>
  <c r="S3201" i="1"/>
  <c r="O3201" i="1"/>
  <c r="N3201" i="1"/>
  <c r="M3201" i="1"/>
  <c r="S3200" i="1"/>
  <c r="O3200" i="1"/>
  <c r="N3200" i="1"/>
  <c r="M3200" i="1"/>
  <c r="S3199" i="1"/>
  <c r="O3199" i="1"/>
  <c r="N3199" i="1"/>
  <c r="M3199" i="1"/>
  <c r="S3198" i="1"/>
  <c r="O3198" i="1"/>
  <c r="N3198" i="1"/>
  <c r="M3198" i="1"/>
  <c r="S3197" i="1"/>
  <c r="O3197" i="1"/>
  <c r="N3197" i="1"/>
  <c r="M3197" i="1"/>
  <c r="S3196" i="1"/>
  <c r="O3196" i="1"/>
  <c r="N3196" i="1"/>
  <c r="M3196" i="1"/>
  <c r="S3195" i="1"/>
  <c r="O3195" i="1"/>
  <c r="N3195" i="1"/>
  <c r="M3195" i="1"/>
  <c r="S3194" i="1"/>
  <c r="O3194" i="1"/>
  <c r="N3194" i="1"/>
  <c r="M3194" i="1"/>
  <c r="S3191" i="1"/>
  <c r="O3191" i="1"/>
  <c r="N3191" i="1"/>
  <c r="M3191" i="1"/>
  <c r="S3190" i="1"/>
  <c r="O3190" i="1"/>
  <c r="N3190" i="1"/>
  <c r="M3190" i="1"/>
  <c r="S3188" i="1"/>
  <c r="O3188" i="1"/>
  <c r="N3188" i="1"/>
  <c r="M3188" i="1"/>
  <c r="S3187" i="1"/>
  <c r="O3187" i="1"/>
  <c r="N3187" i="1"/>
  <c r="M3187" i="1"/>
  <c r="S3186" i="1"/>
  <c r="O3186" i="1"/>
  <c r="N3186" i="1"/>
  <c r="M3186" i="1"/>
  <c r="S3185" i="1"/>
  <c r="O3185" i="1"/>
  <c r="N3185" i="1"/>
  <c r="M3185" i="1"/>
  <c r="S3184" i="1"/>
  <c r="O3184" i="1"/>
  <c r="N3184" i="1"/>
  <c r="M3184" i="1"/>
  <c r="S3183" i="1"/>
  <c r="O3183" i="1"/>
  <c r="N3183" i="1"/>
  <c r="M3183" i="1"/>
  <c r="S3182" i="1"/>
  <c r="O3182" i="1"/>
  <c r="N3182" i="1"/>
  <c r="M3182" i="1"/>
  <c r="S3181" i="1"/>
  <c r="O3181" i="1"/>
  <c r="N3181" i="1"/>
  <c r="M3181" i="1"/>
  <c r="S3179" i="1"/>
  <c r="O3179" i="1"/>
  <c r="N3179" i="1"/>
  <c r="M3179" i="1"/>
  <c r="S3178" i="1"/>
  <c r="O3178" i="1"/>
  <c r="N3178" i="1"/>
  <c r="M3178" i="1"/>
  <c r="S3177" i="1"/>
  <c r="O3177" i="1"/>
  <c r="N3177" i="1"/>
  <c r="M3177" i="1"/>
  <c r="S3176" i="1"/>
  <c r="O3176" i="1"/>
  <c r="N3176" i="1"/>
  <c r="M3176" i="1"/>
  <c r="S3175" i="1"/>
  <c r="O3175" i="1"/>
  <c r="N3175" i="1"/>
  <c r="M3175" i="1"/>
  <c r="S3172" i="1"/>
  <c r="O3172" i="1"/>
  <c r="N3172" i="1"/>
  <c r="M3172" i="1"/>
  <c r="S3170" i="1"/>
  <c r="O3170" i="1"/>
  <c r="N3170" i="1"/>
  <c r="M3170" i="1"/>
  <c r="S3169" i="1"/>
  <c r="O3169" i="1"/>
  <c r="N3169" i="1"/>
  <c r="M3169" i="1"/>
  <c r="S3168" i="1"/>
  <c r="O3168" i="1"/>
  <c r="N3168" i="1"/>
  <c r="M3168" i="1"/>
  <c r="S3167" i="1"/>
  <c r="O3167" i="1"/>
  <c r="N3167" i="1"/>
  <c r="M3167" i="1"/>
  <c r="S3166" i="1"/>
  <c r="O3166" i="1"/>
  <c r="N3166" i="1"/>
  <c r="M3166" i="1"/>
  <c r="S3165" i="1"/>
  <c r="O3165" i="1"/>
  <c r="N3165" i="1"/>
  <c r="M3165" i="1"/>
  <c r="S3163" i="1"/>
  <c r="O3163" i="1"/>
  <c r="N3163" i="1"/>
  <c r="M3163" i="1"/>
  <c r="S3162" i="1"/>
  <c r="O3162" i="1"/>
  <c r="N3162" i="1"/>
  <c r="M3162" i="1"/>
  <c r="S3161" i="1"/>
  <c r="O3161" i="1"/>
  <c r="N3161" i="1"/>
  <c r="M3161" i="1"/>
  <c r="S3160" i="1"/>
  <c r="O3160" i="1"/>
  <c r="N3160" i="1"/>
  <c r="M3160" i="1"/>
  <c r="S3157" i="1"/>
  <c r="O3157" i="1"/>
  <c r="N3157" i="1"/>
  <c r="M3157" i="1"/>
  <c r="S3156" i="1"/>
  <c r="O3156" i="1"/>
  <c r="N3156" i="1"/>
  <c r="M3156" i="1"/>
  <c r="S3155" i="1"/>
  <c r="O3155" i="1"/>
  <c r="N3155" i="1"/>
  <c r="M3155" i="1"/>
  <c r="S3153" i="1"/>
  <c r="O3153" i="1"/>
  <c r="N3153" i="1"/>
  <c r="M3153" i="1"/>
  <c r="S3152" i="1"/>
  <c r="O3152" i="1"/>
  <c r="N3152" i="1"/>
  <c r="M3152" i="1"/>
  <c r="S3151" i="1"/>
  <c r="O3151" i="1"/>
  <c r="N3151" i="1"/>
  <c r="M3151" i="1"/>
  <c r="S3150" i="1"/>
  <c r="O3150" i="1"/>
  <c r="N3150" i="1"/>
  <c r="M3150" i="1"/>
  <c r="S3149" i="1"/>
  <c r="O3149" i="1"/>
  <c r="N3149" i="1"/>
  <c r="M3149" i="1"/>
  <c r="S3147" i="1"/>
  <c r="O3147" i="1"/>
  <c r="N3147" i="1"/>
  <c r="M3147" i="1"/>
  <c r="S3146" i="1"/>
  <c r="O3146" i="1"/>
  <c r="N3146" i="1"/>
  <c r="M3146" i="1"/>
  <c r="S3145" i="1"/>
  <c r="O3145" i="1"/>
  <c r="N3145" i="1"/>
  <c r="M3145" i="1"/>
  <c r="S3144" i="1"/>
  <c r="O3144" i="1"/>
  <c r="N3144" i="1"/>
  <c r="M3144" i="1"/>
  <c r="S3143" i="1"/>
  <c r="O3143" i="1"/>
  <c r="N3143" i="1"/>
  <c r="M3143" i="1"/>
  <c r="S3139" i="1"/>
  <c r="O3139" i="1"/>
  <c r="N3139" i="1"/>
  <c r="M3139" i="1"/>
  <c r="S3137" i="1"/>
  <c r="O3137" i="1"/>
  <c r="N3137" i="1"/>
  <c r="M3137" i="1"/>
  <c r="S3136" i="1"/>
  <c r="O3136" i="1"/>
  <c r="N3136" i="1"/>
  <c r="M3136" i="1"/>
  <c r="S3135" i="1"/>
  <c r="O3135" i="1"/>
  <c r="N3135" i="1"/>
  <c r="M3135" i="1"/>
  <c r="S3132" i="1"/>
  <c r="O3132" i="1"/>
  <c r="N3132" i="1"/>
  <c r="M3132" i="1"/>
  <c r="S3129" i="1"/>
  <c r="O3129" i="1"/>
  <c r="N3129" i="1"/>
  <c r="M3129" i="1"/>
  <c r="S3128" i="1"/>
  <c r="O3128" i="1"/>
  <c r="N3128" i="1"/>
  <c r="M3128" i="1"/>
  <c r="S3126" i="1"/>
  <c r="O3126" i="1"/>
  <c r="N3126" i="1"/>
  <c r="M3126" i="1"/>
  <c r="S3125" i="1"/>
  <c r="O3125" i="1"/>
  <c r="N3125" i="1"/>
  <c r="M3125" i="1"/>
  <c r="S3124" i="1"/>
  <c r="O3124" i="1"/>
  <c r="N3124" i="1"/>
  <c r="M3124" i="1"/>
  <c r="S3122" i="1"/>
  <c r="O3122" i="1"/>
  <c r="N3122" i="1"/>
  <c r="M3122" i="1"/>
  <c r="S3121" i="1"/>
  <c r="O3121" i="1"/>
  <c r="N3121" i="1"/>
  <c r="M3121" i="1"/>
  <c r="S3120" i="1"/>
  <c r="O3120" i="1"/>
  <c r="N3120" i="1"/>
  <c r="M3120" i="1"/>
  <c r="S3119" i="1"/>
  <c r="O3119" i="1"/>
  <c r="N3119" i="1"/>
  <c r="M3119" i="1"/>
  <c r="S3118" i="1"/>
  <c r="O3118" i="1"/>
  <c r="N3118" i="1"/>
  <c r="M3118" i="1"/>
  <c r="S3117" i="1"/>
  <c r="O3117" i="1"/>
  <c r="N3117" i="1"/>
  <c r="M3117" i="1"/>
  <c r="S3116" i="1"/>
  <c r="O3116" i="1"/>
  <c r="N3116" i="1"/>
  <c r="M3116" i="1"/>
  <c r="S3115" i="1"/>
  <c r="O3115" i="1"/>
  <c r="N3115" i="1"/>
  <c r="M3115" i="1"/>
  <c r="S3112" i="1"/>
  <c r="O3112" i="1"/>
  <c r="N3112" i="1"/>
  <c r="M3112" i="1"/>
  <c r="S3107" i="1"/>
  <c r="O3107" i="1"/>
  <c r="N3107" i="1"/>
  <c r="M3107" i="1"/>
  <c r="S3106" i="1"/>
  <c r="O3106" i="1"/>
  <c r="N3106" i="1"/>
  <c r="M3106" i="1"/>
  <c r="S3105" i="1"/>
  <c r="O3105" i="1"/>
  <c r="N3105" i="1"/>
  <c r="M3105" i="1"/>
  <c r="S3104" i="1"/>
  <c r="O3104" i="1"/>
  <c r="N3104" i="1"/>
  <c r="M3104" i="1"/>
  <c r="S3103" i="1"/>
  <c r="O3103" i="1"/>
  <c r="N3103" i="1"/>
  <c r="M3103" i="1"/>
  <c r="S3102" i="1"/>
  <c r="O3102" i="1"/>
  <c r="N3102" i="1"/>
  <c r="M3102" i="1"/>
  <c r="S3101" i="1"/>
  <c r="O3101" i="1"/>
  <c r="N3101" i="1"/>
  <c r="M3101" i="1"/>
  <c r="S3100" i="1"/>
  <c r="O3100" i="1"/>
  <c r="N3100" i="1"/>
  <c r="M3100" i="1"/>
  <c r="S3099" i="1"/>
  <c r="O3099" i="1"/>
  <c r="N3099" i="1"/>
  <c r="M3099" i="1"/>
  <c r="S3098" i="1"/>
  <c r="O3098" i="1"/>
  <c r="N3098" i="1"/>
  <c r="M3098" i="1"/>
  <c r="S3097" i="1"/>
  <c r="O3097" i="1"/>
  <c r="N3097" i="1"/>
  <c r="M3097" i="1"/>
  <c r="S3096" i="1"/>
  <c r="O3096" i="1"/>
  <c r="N3096" i="1"/>
  <c r="M3096" i="1"/>
  <c r="S3095" i="1"/>
  <c r="O3095" i="1"/>
  <c r="N3095" i="1"/>
  <c r="M3095" i="1"/>
  <c r="S3094" i="1"/>
  <c r="O3094" i="1"/>
  <c r="N3094" i="1"/>
  <c r="M3094" i="1"/>
  <c r="S3093" i="1"/>
  <c r="O3093" i="1"/>
  <c r="N3093" i="1"/>
  <c r="M3093" i="1"/>
  <c r="S3092" i="1"/>
  <c r="O3092" i="1"/>
  <c r="N3092" i="1"/>
  <c r="M3092" i="1"/>
  <c r="S3091" i="1"/>
  <c r="O3091" i="1"/>
  <c r="N3091" i="1"/>
  <c r="M3091" i="1"/>
  <c r="S3090" i="1"/>
  <c r="O3090" i="1"/>
  <c r="N3090" i="1"/>
  <c r="M3090" i="1"/>
  <c r="S3089" i="1"/>
  <c r="O3089" i="1"/>
  <c r="N3089" i="1"/>
  <c r="M3089" i="1"/>
  <c r="S3088" i="1"/>
  <c r="O3088" i="1"/>
  <c r="N3088" i="1"/>
  <c r="M3088" i="1"/>
  <c r="S3084" i="1"/>
  <c r="O3084" i="1"/>
  <c r="N3084" i="1"/>
  <c r="M3084" i="1"/>
  <c r="S3083" i="1"/>
  <c r="O3083" i="1"/>
  <c r="N3083" i="1"/>
  <c r="M3083" i="1"/>
  <c r="S3082" i="1"/>
  <c r="O3082" i="1"/>
  <c r="N3082" i="1"/>
  <c r="M3082" i="1"/>
  <c r="S3081" i="1"/>
  <c r="O3081" i="1"/>
  <c r="N3081" i="1"/>
  <c r="M3081" i="1"/>
  <c r="S3080" i="1"/>
  <c r="O3080" i="1"/>
  <c r="N3080" i="1"/>
  <c r="M3080" i="1"/>
  <c r="S3079" i="1"/>
  <c r="O3079" i="1"/>
  <c r="N3079" i="1"/>
  <c r="M3079" i="1"/>
  <c r="S3077" i="1"/>
  <c r="O3077" i="1"/>
  <c r="N3077" i="1"/>
  <c r="M3077" i="1"/>
  <c r="S3076" i="1"/>
  <c r="O3076" i="1"/>
  <c r="N3076" i="1"/>
  <c r="M3076" i="1"/>
  <c r="S3075" i="1"/>
  <c r="O3075" i="1"/>
  <c r="N3075" i="1"/>
  <c r="M3075" i="1"/>
  <c r="S3074" i="1"/>
  <c r="O3074" i="1"/>
  <c r="N3074" i="1"/>
  <c r="M3074" i="1"/>
  <c r="S3073" i="1"/>
  <c r="N3073" i="1"/>
  <c r="M3073" i="1"/>
  <c r="S3071" i="1"/>
  <c r="O3071" i="1"/>
  <c r="N3071" i="1"/>
  <c r="M3071" i="1"/>
  <c r="S3070" i="1"/>
  <c r="O3070" i="1"/>
  <c r="N3070" i="1"/>
  <c r="M3070" i="1"/>
  <c r="S3069" i="1"/>
  <c r="O3069" i="1"/>
  <c r="N3069" i="1"/>
  <c r="M3069" i="1"/>
  <c r="S3065" i="1"/>
  <c r="O3065" i="1"/>
  <c r="N3065" i="1"/>
  <c r="M3065" i="1"/>
  <c r="S3064" i="1"/>
  <c r="O3064" i="1"/>
  <c r="N3064" i="1"/>
  <c r="M3064" i="1"/>
  <c r="S3063" i="1"/>
  <c r="O3063" i="1"/>
  <c r="N3063" i="1"/>
  <c r="M3063" i="1"/>
  <c r="S3062" i="1"/>
  <c r="O3062" i="1"/>
  <c r="N3062" i="1"/>
  <c r="M3062" i="1"/>
  <c r="S3061" i="1"/>
  <c r="O3061" i="1"/>
  <c r="N3061" i="1"/>
  <c r="M3061" i="1"/>
  <c r="S3060" i="1"/>
  <c r="O3060" i="1"/>
  <c r="N3060" i="1"/>
  <c r="M3060" i="1"/>
  <c r="S3059" i="1"/>
  <c r="O3059" i="1"/>
  <c r="N3059" i="1"/>
  <c r="M3059" i="1"/>
  <c r="S3058" i="1"/>
  <c r="O3058" i="1"/>
  <c r="N3058" i="1"/>
  <c r="M3058" i="1"/>
  <c r="S3057" i="1"/>
  <c r="O3057" i="1"/>
  <c r="N3057" i="1"/>
  <c r="M3057" i="1"/>
  <c r="S3056" i="1"/>
  <c r="O3056" i="1"/>
  <c r="N3056" i="1"/>
  <c r="M3056" i="1"/>
  <c r="S3054" i="1"/>
  <c r="O3054" i="1"/>
  <c r="N3054" i="1"/>
  <c r="M3054" i="1"/>
  <c r="S3053" i="1"/>
  <c r="O3053" i="1"/>
  <c r="N3053" i="1"/>
  <c r="M3053" i="1"/>
  <c r="S3052" i="1"/>
  <c r="O3052" i="1"/>
  <c r="N3052" i="1"/>
  <c r="M3052" i="1"/>
  <c r="S3051" i="1"/>
  <c r="O3051" i="1"/>
  <c r="N3051" i="1"/>
  <c r="M3051" i="1"/>
  <c r="S3049" i="1"/>
  <c r="O3049" i="1"/>
  <c r="N3049" i="1"/>
  <c r="M3049" i="1"/>
  <c r="S3048" i="1"/>
  <c r="O3048" i="1"/>
  <c r="N3048" i="1"/>
  <c r="M3048" i="1"/>
  <c r="S3047" i="1"/>
  <c r="O3047" i="1"/>
  <c r="N3047" i="1"/>
  <c r="M3047" i="1"/>
  <c r="S3046" i="1"/>
  <c r="O3046" i="1"/>
  <c r="N3046" i="1"/>
  <c r="M3046" i="1"/>
  <c r="S3045" i="1"/>
  <c r="O3045" i="1"/>
  <c r="N3045" i="1"/>
  <c r="M3045" i="1"/>
  <c r="S3044" i="1"/>
  <c r="O3044" i="1"/>
  <c r="N3044" i="1"/>
  <c r="M3044" i="1"/>
  <c r="S3043" i="1"/>
  <c r="O3043" i="1"/>
  <c r="N3043" i="1"/>
  <c r="M3043" i="1"/>
  <c r="S3042" i="1"/>
  <c r="O3042" i="1"/>
  <c r="N3042" i="1"/>
  <c r="M3042" i="1"/>
  <c r="S3041" i="1"/>
  <c r="O3041" i="1"/>
  <c r="N3041" i="1"/>
  <c r="M3041" i="1"/>
  <c r="S3040" i="1"/>
  <c r="O3040" i="1"/>
  <c r="N3040" i="1"/>
  <c r="M3040" i="1"/>
  <c r="S3039" i="1"/>
  <c r="O3039" i="1"/>
  <c r="N3039" i="1"/>
  <c r="M3039" i="1"/>
  <c r="S3038" i="1"/>
  <c r="O3038" i="1"/>
  <c r="N3038" i="1"/>
  <c r="M3038" i="1"/>
  <c r="S3036" i="1"/>
  <c r="O3036" i="1"/>
  <c r="N3036" i="1"/>
  <c r="M3036" i="1"/>
  <c r="S3035" i="1"/>
  <c r="O3035" i="1"/>
  <c r="N3035" i="1"/>
  <c r="M3035" i="1"/>
  <c r="S3034" i="1"/>
  <c r="O3034" i="1"/>
  <c r="N3034" i="1"/>
  <c r="M3034" i="1"/>
  <c r="S3033" i="1"/>
  <c r="O3033" i="1"/>
  <c r="N3033" i="1"/>
  <c r="M3033" i="1"/>
  <c r="S3032" i="1"/>
  <c r="O3032" i="1"/>
  <c r="N3032" i="1"/>
  <c r="M3032" i="1"/>
  <c r="S3031" i="1"/>
  <c r="O3031" i="1"/>
  <c r="N3031" i="1"/>
  <c r="M3031" i="1"/>
  <c r="S3030" i="1"/>
  <c r="O3030" i="1"/>
  <c r="N3030" i="1"/>
  <c r="M3030" i="1"/>
  <c r="S3029" i="1"/>
  <c r="O3029" i="1"/>
  <c r="N3029" i="1"/>
  <c r="M3029" i="1"/>
  <c r="S3028" i="1"/>
  <c r="O3028" i="1"/>
  <c r="N3028" i="1"/>
  <c r="M3028" i="1"/>
  <c r="S3027" i="1"/>
  <c r="O3027" i="1"/>
  <c r="N3027" i="1"/>
  <c r="M3027" i="1"/>
  <c r="S3026" i="1"/>
  <c r="O3026" i="1"/>
  <c r="N3026" i="1"/>
  <c r="M3026" i="1"/>
  <c r="S3025" i="1"/>
  <c r="O3025" i="1"/>
  <c r="N3025" i="1"/>
  <c r="M3025" i="1"/>
  <c r="S3024" i="1"/>
  <c r="O3024" i="1"/>
  <c r="N3024" i="1"/>
  <c r="M3024" i="1"/>
  <c r="S3023" i="1"/>
  <c r="O3023" i="1"/>
  <c r="N3023" i="1"/>
  <c r="M3023" i="1"/>
  <c r="S3022" i="1"/>
  <c r="O3022" i="1"/>
  <c r="N3022" i="1"/>
  <c r="M3022" i="1"/>
  <c r="S3020" i="1"/>
  <c r="O3020" i="1"/>
  <c r="N3020" i="1"/>
  <c r="M3020" i="1"/>
  <c r="S3019" i="1"/>
  <c r="O3019" i="1"/>
  <c r="N3019" i="1"/>
  <c r="M3019" i="1"/>
  <c r="S3017" i="1"/>
  <c r="O3017" i="1"/>
  <c r="N3017" i="1"/>
  <c r="M3017" i="1"/>
  <c r="S3016" i="1"/>
  <c r="O3016" i="1"/>
  <c r="N3016" i="1"/>
  <c r="M3016" i="1"/>
  <c r="S3015" i="1"/>
  <c r="O3015" i="1"/>
  <c r="N3015" i="1"/>
  <c r="M3015" i="1"/>
  <c r="S3014" i="1"/>
  <c r="M3014" i="1"/>
  <c r="S3011" i="1"/>
  <c r="O3011" i="1"/>
  <c r="N3011" i="1"/>
  <c r="M3011" i="1"/>
  <c r="S3010" i="1"/>
  <c r="O3010" i="1"/>
  <c r="N3010" i="1"/>
  <c r="M3010" i="1"/>
  <c r="S3009" i="1"/>
  <c r="O3009" i="1"/>
  <c r="N3009" i="1"/>
  <c r="M3009" i="1"/>
  <c r="S3008" i="1"/>
  <c r="O3008" i="1"/>
  <c r="N3008" i="1"/>
  <c r="M3008" i="1"/>
  <c r="S3007" i="1"/>
  <c r="O3007" i="1"/>
  <c r="N3007" i="1"/>
  <c r="M3007" i="1"/>
  <c r="S3006" i="1"/>
  <c r="O3006" i="1"/>
  <c r="N3006" i="1"/>
  <c r="M3006" i="1"/>
  <c r="S3005" i="1"/>
  <c r="O3005" i="1"/>
  <c r="N3005" i="1"/>
  <c r="M3005" i="1"/>
  <c r="S3004" i="1"/>
  <c r="O3004" i="1"/>
  <c r="N3004" i="1"/>
  <c r="M3004" i="1"/>
  <c r="S3003" i="1"/>
  <c r="O3003" i="1"/>
  <c r="N3003" i="1"/>
  <c r="M3003" i="1"/>
  <c r="S3002" i="1"/>
  <c r="O3002" i="1"/>
  <c r="N3002" i="1"/>
  <c r="M3002" i="1"/>
  <c r="S2998" i="1"/>
  <c r="O2998" i="1"/>
  <c r="N2998" i="1"/>
  <c r="M2998" i="1"/>
  <c r="S2996" i="1"/>
  <c r="O2996" i="1"/>
  <c r="N2996" i="1"/>
  <c r="M2996" i="1"/>
  <c r="S2995" i="1"/>
  <c r="O2995" i="1"/>
  <c r="N2995" i="1"/>
  <c r="M2995" i="1"/>
  <c r="S2991" i="1"/>
  <c r="O2991" i="1"/>
  <c r="N2991" i="1"/>
  <c r="M2991" i="1"/>
  <c r="S2987" i="1"/>
  <c r="O2987" i="1"/>
  <c r="N2987" i="1"/>
  <c r="M2987" i="1"/>
  <c r="S2983" i="1"/>
  <c r="O2983" i="1"/>
  <c r="N2983" i="1"/>
  <c r="M2983" i="1"/>
  <c r="S2978" i="1"/>
  <c r="O2978" i="1"/>
  <c r="N2978" i="1"/>
  <c r="M2978" i="1"/>
  <c r="S2976" i="1"/>
  <c r="O2976" i="1"/>
  <c r="N2976" i="1"/>
  <c r="M2976" i="1"/>
  <c r="S2972" i="1"/>
  <c r="O2972" i="1"/>
  <c r="N2972" i="1"/>
  <c r="M2972" i="1"/>
  <c r="S2967" i="1"/>
  <c r="O2967" i="1"/>
  <c r="N2967" i="1"/>
  <c r="M2967" i="1"/>
  <c r="S2966" i="1"/>
  <c r="O2966" i="1"/>
  <c r="N2966" i="1"/>
  <c r="M2966" i="1"/>
  <c r="S2965" i="1"/>
  <c r="O2965" i="1"/>
  <c r="N2965" i="1"/>
  <c r="M2965" i="1"/>
  <c r="S2964" i="1"/>
  <c r="O2964" i="1"/>
  <c r="N2964" i="1"/>
  <c r="M2964" i="1"/>
  <c r="S2963" i="1"/>
  <c r="O2963" i="1"/>
  <c r="N2963" i="1"/>
  <c r="M2963" i="1"/>
  <c r="S2961" i="1"/>
  <c r="O2961" i="1"/>
  <c r="N2961" i="1"/>
  <c r="M2961" i="1"/>
  <c r="S2960" i="1"/>
  <c r="O2960" i="1"/>
  <c r="N2960" i="1"/>
  <c r="M2960" i="1"/>
  <c r="S2959" i="1"/>
  <c r="O2959" i="1"/>
  <c r="N2959" i="1"/>
  <c r="M2959" i="1"/>
  <c r="S2958" i="1"/>
  <c r="O2958" i="1"/>
  <c r="N2958" i="1"/>
  <c r="M2958" i="1"/>
  <c r="S2957" i="1"/>
  <c r="O2957" i="1"/>
  <c r="N2957" i="1"/>
  <c r="M2957" i="1"/>
  <c r="S2956" i="1"/>
  <c r="O2956" i="1"/>
  <c r="N2956" i="1"/>
  <c r="M2956" i="1"/>
  <c r="S2953" i="1"/>
  <c r="O2953" i="1"/>
  <c r="N2953" i="1"/>
  <c r="M2953" i="1"/>
  <c r="S2952" i="1"/>
  <c r="O2952" i="1"/>
  <c r="N2952" i="1"/>
  <c r="M2952" i="1"/>
  <c r="S2950" i="1"/>
  <c r="O2950" i="1"/>
  <c r="N2950" i="1"/>
  <c r="M2950" i="1"/>
  <c r="S2949" i="1"/>
  <c r="O2949" i="1"/>
  <c r="N2949" i="1"/>
  <c r="M2949" i="1"/>
  <c r="S2948" i="1"/>
  <c r="O2948" i="1"/>
  <c r="N2948" i="1"/>
  <c r="M2948" i="1"/>
  <c r="S2947" i="1"/>
  <c r="O2947" i="1"/>
  <c r="N2947" i="1"/>
  <c r="M2947" i="1"/>
  <c r="S2946" i="1"/>
  <c r="O2946" i="1"/>
  <c r="N2946" i="1"/>
  <c r="M2946" i="1"/>
  <c r="S2945" i="1"/>
  <c r="O2945" i="1"/>
  <c r="N2945" i="1"/>
  <c r="M2945" i="1"/>
  <c r="S2944" i="1"/>
  <c r="O2944" i="1"/>
  <c r="N2944" i="1"/>
  <c r="M2944" i="1"/>
  <c r="S2943" i="1"/>
  <c r="O2943" i="1"/>
  <c r="N2943" i="1"/>
  <c r="M2943" i="1"/>
  <c r="S2942" i="1"/>
  <c r="O2942" i="1"/>
  <c r="N2942" i="1"/>
  <c r="M2942" i="1"/>
  <c r="S2941" i="1"/>
  <c r="O2941" i="1"/>
  <c r="N2941" i="1"/>
  <c r="M2941" i="1"/>
  <c r="S2940" i="1"/>
  <c r="O2940" i="1"/>
  <c r="N2940" i="1"/>
  <c r="M2940" i="1"/>
  <c r="S2939" i="1"/>
  <c r="O2939" i="1"/>
  <c r="N2939" i="1"/>
  <c r="M2939" i="1"/>
  <c r="S2938" i="1"/>
  <c r="O2938" i="1"/>
  <c r="N2938" i="1"/>
  <c r="M2938" i="1"/>
  <c r="S2937" i="1"/>
  <c r="O2937" i="1"/>
  <c r="N2937" i="1"/>
  <c r="M2937" i="1"/>
  <c r="S2935" i="1"/>
  <c r="O2935" i="1"/>
  <c r="N2935" i="1"/>
  <c r="M2935" i="1"/>
  <c r="S2933" i="1"/>
  <c r="O2933" i="1"/>
  <c r="N2933" i="1"/>
  <c r="M2933" i="1"/>
  <c r="S2932" i="1"/>
  <c r="O2932" i="1"/>
  <c r="N2932" i="1"/>
  <c r="M2932" i="1"/>
  <c r="S2931" i="1"/>
  <c r="O2931" i="1"/>
  <c r="N2931" i="1"/>
  <c r="M2931" i="1"/>
  <c r="S2930" i="1"/>
  <c r="O2930" i="1"/>
  <c r="N2930" i="1"/>
  <c r="M2930" i="1"/>
  <c r="S2929" i="1"/>
  <c r="O2929" i="1"/>
  <c r="N2929" i="1"/>
  <c r="M2929" i="1"/>
  <c r="S2928" i="1"/>
  <c r="O2928" i="1"/>
  <c r="N2928" i="1"/>
  <c r="M2928" i="1"/>
  <c r="S2927" i="1"/>
  <c r="O2927" i="1"/>
  <c r="N2927" i="1"/>
  <c r="M2927" i="1"/>
  <c r="S2926" i="1"/>
  <c r="O2926" i="1"/>
  <c r="N2926" i="1"/>
  <c r="M2926" i="1"/>
  <c r="S2924" i="1"/>
  <c r="O2924" i="1"/>
  <c r="N2924" i="1"/>
  <c r="M2924" i="1"/>
  <c r="S2923" i="1"/>
  <c r="O2923" i="1"/>
  <c r="N2923" i="1"/>
  <c r="M2923" i="1"/>
  <c r="S2919" i="1"/>
  <c r="O2919" i="1"/>
  <c r="N2919" i="1"/>
  <c r="M2919" i="1"/>
  <c r="S2918" i="1"/>
  <c r="O2918" i="1"/>
  <c r="N2918" i="1"/>
  <c r="M2918" i="1"/>
  <c r="S2917" i="1"/>
  <c r="O2917" i="1"/>
  <c r="N2917" i="1"/>
  <c r="M2917" i="1"/>
  <c r="S2916" i="1"/>
  <c r="O2916" i="1"/>
  <c r="N2916" i="1"/>
  <c r="M2916" i="1"/>
  <c r="S2915" i="1"/>
  <c r="O2915" i="1"/>
  <c r="N2915" i="1"/>
  <c r="M2915" i="1"/>
  <c r="S2914" i="1"/>
  <c r="O2914" i="1"/>
  <c r="N2914" i="1"/>
  <c r="M2914" i="1"/>
  <c r="S2913" i="1"/>
  <c r="O2913" i="1"/>
  <c r="N2913" i="1"/>
  <c r="M2913" i="1"/>
  <c r="S2912" i="1"/>
  <c r="O2912" i="1"/>
  <c r="N2912" i="1"/>
  <c r="M2912" i="1"/>
  <c r="S2911" i="1"/>
  <c r="O2911" i="1"/>
  <c r="N2911" i="1"/>
  <c r="M2911" i="1"/>
  <c r="S2910" i="1"/>
  <c r="O2910" i="1"/>
  <c r="N2910" i="1"/>
  <c r="M2910" i="1"/>
  <c r="S2909" i="1"/>
  <c r="O2909" i="1"/>
  <c r="N2909" i="1"/>
  <c r="M2909" i="1"/>
  <c r="S2908" i="1"/>
  <c r="O2908" i="1"/>
  <c r="N2908" i="1"/>
  <c r="M2908" i="1"/>
  <c r="S2907" i="1"/>
  <c r="O2907" i="1"/>
  <c r="N2907" i="1"/>
  <c r="M2907" i="1"/>
  <c r="S2906" i="1"/>
  <c r="O2906" i="1"/>
  <c r="N2906" i="1"/>
  <c r="M2906" i="1"/>
  <c r="S2905" i="1"/>
  <c r="O2905" i="1"/>
  <c r="N2905" i="1"/>
  <c r="M2905" i="1"/>
  <c r="S2904" i="1"/>
  <c r="O2904" i="1"/>
  <c r="N2904" i="1"/>
  <c r="M2904" i="1"/>
  <c r="S2903" i="1"/>
  <c r="O2903" i="1"/>
  <c r="N2903" i="1"/>
  <c r="M2903" i="1"/>
  <c r="S2901" i="1"/>
  <c r="O2901" i="1"/>
  <c r="N2901" i="1"/>
  <c r="M2901" i="1"/>
  <c r="S2900" i="1"/>
  <c r="O2900" i="1"/>
  <c r="N2900" i="1"/>
  <c r="M2900" i="1"/>
  <c r="S2899" i="1"/>
  <c r="O2899" i="1"/>
  <c r="N2899" i="1"/>
  <c r="M2899" i="1"/>
  <c r="S2898" i="1"/>
  <c r="O2898" i="1"/>
  <c r="N2898" i="1"/>
  <c r="M2898" i="1"/>
  <c r="S2897" i="1"/>
  <c r="O2897" i="1"/>
  <c r="N2897" i="1"/>
  <c r="M2897" i="1"/>
  <c r="S2896" i="1"/>
  <c r="O2896" i="1"/>
  <c r="N2896" i="1"/>
  <c r="M2896" i="1"/>
  <c r="S2895" i="1"/>
  <c r="O2895" i="1"/>
  <c r="N2895" i="1"/>
  <c r="M2895" i="1"/>
  <c r="S2894" i="1"/>
  <c r="O2894" i="1"/>
  <c r="N2894" i="1"/>
  <c r="M2894" i="1"/>
  <c r="S2893" i="1"/>
  <c r="O2893" i="1"/>
  <c r="N2893" i="1"/>
  <c r="M2893" i="1"/>
  <c r="S2892" i="1"/>
  <c r="O2892" i="1"/>
  <c r="N2892" i="1"/>
  <c r="M2892" i="1"/>
  <c r="S2891" i="1"/>
  <c r="O2891" i="1"/>
  <c r="N2891" i="1"/>
  <c r="M2891" i="1"/>
  <c r="S2890" i="1"/>
  <c r="O2890" i="1"/>
  <c r="N2890" i="1"/>
  <c r="M2890" i="1"/>
  <c r="S2889" i="1"/>
  <c r="O2889" i="1"/>
  <c r="N2889" i="1"/>
  <c r="M2889" i="1"/>
  <c r="S2888" i="1"/>
  <c r="O2888" i="1"/>
  <c r="N2888" i="1"/>
  <c r="M2888" i="1"/>
  <c r="S2887" i="1"/>
  <c r="O2887" i="1"/>
  <c r="N2887" i="1"/>
  <c r="M2887" i="1"/>
  <c r="S2886" i="1"/>
  <c r="O2886" i="1"/>
  <c r="N2886" i="1"/>
  <c r="M2886" i="1"/>
  <c r="S2885" i="1"/>
  <c r="O2885" i="1"/>
  <c r="N2885" i="1"/>
  <c r="M2885" i="1"/>
  <c r="S2884" i="1"/>
  <c r="O2884" i="1"/>
  <c r="N2884" i="1"/>
  <c r="M2884" i="1"/>
  <c r="S2883" i="1"/>
  <c r="O2883" i="1"/>
  <c r="N2883" i="1"/>
  <c r="M2883" i="1"/>
  <c r="S2882" i="1"/>
  <c r="O2882" i="1"/>
  <c r="N2882" i="1"/>
  <c r="M2882" i="1"/>
  <c r="S2880" i="1"/>
  <c r="O2880" i="1"/>
  <c r="N2880" i="1"/>
  <c r="M2880" i="1"/>
  <c r="S2879" i="1"/>
  <c r="O2879" i="1"/>
  <c r="N2879" i="1"/>
  <c r="M2879" i="1"/>
  <c r="S2878" i="1"/>
  <c r="O2878" i="1"/>
  <c r="N2878" i="1"/>
  <c r="M2878" i="1"/>
  <c r="S2877" i="1"/>
  <c r="O2877" i="1"/>
  <c r="N2877" i="1"/>
  <c r="M2877" i="1"/>
  <c r="S2874" i="1"/>
  <c r="O2874" i="1"/>
  <c r="N2874" i="1"/>
  <c r="M2874" i="1"/>
  <c r="S2873" i="1"/>
  <c r="O2873" i="1"/>
  <c r="N2873" i="1"/>
  <c r="M2873" i="1"/>
  <c r="S2872" i="1"/>
  <c r="O2872" i="1"/>
  <c r="N2872" i="1"/>
  <c r="M2872" i="1"/>
  <c r="S2871" i="1"/>
  <c r="O2871" i="1"/>
  <c r="N2871" i="1"/>
  <c r="M2871" i="1"/>
  <c r="S2869" i="1"/>
  <c r="O2869" i="1"/>
  <c r="N2869" i="1"/>
  <c r="M2869" i="1"/>
  <c r="S2868" i="1"/>
  <c r="O2868" i="1"/>
  <c r="N2868" i="1"/>
  <c r="M2868" i="1"/>
  <c r="S2867" i="1"/>
  <c r="O2867" i="1"/>
  <c r="N2867" i="1"/>
  <c r="M2867" i="1"/>
  <c r="S2865" i="1"/>
  <c r="O2865" i="1"/>
  <c r="N2865" i="1"/>
  <c r="M2865" i="1"/>
  <c r="S2864" i="1"/>
  <c r="O2864" i="1"/>
  <c r="N2864" i="1"/>
  <c r="M2864" i="1"/>
  <c r="S2863" i="1"/>
  <c r="O2863" i="1"/>
  <c r="N2863" i="1"/>
  <c r="M2863" i="1"/>
  <c r="S2861" i="1"/>
  <c r="O2861" i="1"/>
  <c r="N2861" i="1"/>
  <c r="M2861" i="1"/>
  <c r="S2860" i="1"/>
  <c r="O2860" i="1"/>
  <c r="N2860" i="1"/>
  <c r="M2860" i="1"/>
  <c r="S2859" i="1"/>
  <c r="O2859" i="1"/>
  <c r="N2859" i="1"/>
  <c r="M2859" i="1"/>
  <c r="S2856" i="1"/>
  <c r="O2856" i="1"/>
  <c r="N2856" i="1"/>
  <c r="M2856" i="1"/>
  <c r="S2855" i="1"/>
  <c r="O2855" i="1"/>
  <c r="N2855" i="1"/>
  <c r="M2855" i="1"/>
  <c r="S2854" i="1"/>
  <c r="O2854" i="1"/>
  <c r="N2854" i="1"/>
  <c r="M2854" i="1"/>
  <c r="S2852" i="1"/>
  <c r="O2852" i="1"/>
  <c r="N2852" i="1"/>
  <c r="M2852" i="1"/>
  <c r="S2851" i="1"/>
  <c r="O2851" i="1"/>
  <c r="N2851" i="1"/>
  <c r="M2851" i="1"/>
  <c r="S2850" i="1"/>
  <c r="O2850" i="1"/>
  <c r="N2850" i="1"/>
  <c r="M2850" i="1"/>
  <c r="S2848" i="1"/>
  <c r="O2848" i="1"/>
  <c r="N2848" i="1"/>
  <c r="M2848" i="1"/>
  <c r="S2847" i="1"/>
  <c r="O2847" i="1"/>
  <c r="N2847" i="1"/>
  <c r="M2847" i="1"/>
  <c r="S2846" i="1"/>
  <c r="O2846" i="1"/>
  <c r="N2846" i="1"/>
  <c r="M2846" i="1"/>
  <c r="S2843" i="1"/>
  <c r="O2843" i="1"/>
  <c r="N2843" i="1"/>
  <c r="M2843" i="1"/>
  <c r="S2842" i="1"/>
  <c r="O2842" i="1"/>
  <c r="N2842" i="1"/>
  <c r="M2842" i="1"/>
  <c r="S2841" i="1"/>
  <c r="O2841" i="1"/>
  <c r="N2841" i="1"/>
  <c r="M2841" i="1"/>
  <c r="S2839" i="1"/>
  <c r="O2839" i="1"/>
  <c r="N2839" i="1"/>
  <c r="M2839" i="1"/>
  <c r="S2838" i="1"/>
  <c r="O2838" i="1"/>
  <c r="N2838" i="1"/>
  <c r="M2838" i="1"/>
  <c r="S2837" i="1"/>
  <c r="O2837" i="1"/>
  <c r="N2837" i="1"/>
  <c r="M2837" i="1"/>
  <c r="S2835" i="1"/>
  <c r="O2835" i="1"/>
  <c r="N2835" i="1"/>
  <c r="M2835" i="1"/>
  <c r="S2834" i="1"/>
  <c r="O2834" i="1"/>
  <c r="N2834" i="1"/>
  <c r="M2834" i="1"/>
  <c r="S2833" i="1"/>
  <c r="O2833" i="1"/>
  <c r="N2833" i="1"/>
  <c r="M2833" i="1"/>
  <c r="S2831" i="1"/>
  <c r="O2831" i="1"/>
  <c r="N2831" i="1"/>
  <c r="M2831" i="1"/>
  <c r="S2830" i="1"/>
  <c r="O2830" i="1"/>
  <c r="N2830" i="1"/>
  <c r="M2830" i="1"/>
  <c r="S2829" i="1"/>
  <c r="O2829" i="1"/>
  <c r="N2829" i="1"/>
  <c r="M2829" i="1"/>
  <c r="S2826" i="1"/>
  <c r="O2826" i="1"/>
  <c r="N2826" i="1"/>
  <c r="M2826" i="1"/>
  <c r="S2825" i="1"/>
  <c r="O2825" i="1"/>
  <c r="N2825" i="1"/>
  <c r="M2825" i="1"/>
  <c r="S2824" i="1"/>
  <c r="O2824" i="1"/>
  <c r="N2824" i="1"/>
  <c r="M2824" i="1"/>
  <c r="S2822" i="1"/>
  <c r="O2822" i="1"/>
  <c r="N2822" i="1"/>
  <c r="M2822" i="1"/>
  <c r="S2821" i="1"/>
  <c r="O2821" i="1"/>
  <c r="N2821" i="1"/>
  <c r="M2821" i="1"/>
  <c r="S2820" i="1"/>
  <c r="O2820" i="1"/>
  <c r="N2820" i="1"/>
  <c r="M2820" i="1"/>
  <c r="S2818" i="1"/>
  <c r="O2818" i="1"/>
  <c r="N2818" i="1"/>
  <c r="M2818" i="1"/>
  <c r="S2817" i="1"/>
  <c r="O2817" i="1"/>
  <c r="N2817" i="1"/>
  <c r="M2817" i="1"/>
  <c r="S2816" i="1"/>
  <c r="O2816" i="1"/>
  <c r="N2816" i="1"/>
  <c r="M2816" i="1"/>
  <c r="S2814" i="1"/>
  <c r="O2814" i="1"/>
  <c r="N2814" i="1"/>
  <c r="M2814" i="1"/>
  <c r="S2813" i="1"/>
  <c r="O2813" i="1"/>
  <c r="N2813" i="1"/>
  <c r="M2813" i="1"/>
  <c r="S2812" i="1"/>
  <c r="O2812" i="1"/>
  <c r="N2812" i="1"/>
  <c r="M2812" i="1"/>
  <c r="S2809" i="1"/>
  <c r="O2809" i="1"/>
  <c r="N2809" i="1"/>
  <c r="M2809" i="1"/>
  <c r="S2808" i="1"/>
  <c r="O2808" i="1"/>
  <c r="N2808" i="1"/>
  <c r="M2808" i="1"/>
  <c r="S2807" i="1"/>
  <c r="O2807" i="1"/>
  <c r="N2807" i="1"/>
  <c r="M2807" i="1"/>
  <c r="S2806" i="1"/>
  <c r="O2806" i="1"/>
  <c r="N2806" i="1"/>
  <c r="M2806" i="1"/>
  <c r="S2801" i="1"/>
  <c r="O2801" i="1"/>
  <c r="N2801" i="1"/>
  <c r="M2801" i="1"/>
  <c r="S2800" i="1"/>
  <c r="O2800" i="1"/>
  <c r="N2800" i="1"/>
  <c r="M2800" i="1"/>
  <c r="S2799" i="1"/>
  <c r="O2799" i="1"/>
  <c r="N2799" i="1"/>
  <c r="M2799" i="1"/>
  <c r="S2798" i="1"/>
  <c r="O2798" i="1"/>
  <c r="N2798" i="1"/>
  <c r="M2798" i="1"/>
  <c r="S2797" i="1"/>
  <c r="O2797" i="1"/>
  <c r="N2797" i="1"/>
  <c r="M2797" i="1"/>
  <c r="S2796" i="1"/>
  <c r="O2796" i="1"/>
  <c r="N2796" i="1"/>
  <c r="M2796" i="1"/>
  <c r="S2795" i="1"/>
  <c r="O2795" i="1"/>
  <c r="N2795" i="1"/>
  <c r="M2795" i="1"/>
  <c r="S2793" i="1"/>
  <c r="O2793" i="1"/>
  <c r="N2793" i="1"/>
  <c r="M2793" i="1"/>
  <c r="S2792" i="1"/>
  <c r="O2792" i="1"/>
  <c r="N2792" i="1"/>
  <c r="M2792" i="1"/>
  <c r="S2791" i="1"/>
  <c r="O2791" i="1"/>
  <c r="N2791" i="1"/>
  <c r="M2791" i="1"/>
  <c r="S2789" i="1"/>
  <c r="O2789" i="1"/>
  <c r="N2789" i="1"/>
  <c r="M2789" i="1"/>
  <c r="S2788" i="1"/>
  <c r="O2788" i="1"/>
  <c r="N2788" i="1"/>
  <c r="M2788" i="1"/>
  <c r="S2787" i="1"/>
  <c r="O2787" i="1"/>
  <c r="N2787" i="1"/>
  <c r="M2787" i="1"/>
  <c r="S2786" i="1"/>
  <c r="O2786" i="1"/>
  <c r="N2786" i="1"/>
  <c r="M2786" i="1"/>
  <c r="S2785" i="1"/>
  <c r="O2785" i="1"/>
  <c r="N2785" i="1"/>
  <c r="M2785" i="1"/>
  <c r="S2784" i="1"/>
  <c r="O2784" i="1"/>
  <c r="N2784" i="1"/>
  <c r="M2784" i="1"/>
  <c r="S2783" i="1"/>
  <c r="O2783" i="1"/>
  <c r="N2783" i="1"/>
  <c r="M2783" i="1"/>
  <c r="S2782" i="1"/>
  <c r="O2782" i="1"/>
  <c r="N2782" i="1"/>
  <c r="M2782" i="1"/>
  <c r="S2781" i="1"/>
  <c r="O2781" i="1"/>
  <c r="N2781" i="1"/>
  <c r="M2781" i="1"/>
  <c r="S2779" i="1"/>
  <c r="O2779" i="1"/>
  <c r="N2779" i="1"/>
  <c r="M2779" i="1"/>
  <c r="S2778" i="1"/>
  <c r="O2778" i="1"/>
  <c r="N2778" i="1"/>
  <c r="M2778" i="1"/>
  <c r="S2776" i="1"/>
  <c r="O2776" i="1"/>
  <c r="N2776" i="1"/>
  <c r="M2776" i="1"/>
  <c r="S2775" i="1"/>
  <c r="O2775" i="1"/>
  <c r="N2775" i="1"/>
  <c r="M2775" i="1"/>
  <c r="S2774" i="1"/>
  <c r="O2774" i="1"/>
  <c r="N2774" i="1"/>
  <c r="M2774" i="1"/>
  <c r="S2773" i="1"/>
  <c r="O2773" i="1"/>
  <c r="N2773" i="1"/>
  <c r="M2773" i="1"/>
  <c r="S2772" i="1"/>
  <c r="O2772" i="1"/>
  <c r="N2772" i="1"/>
  <c r="M2772" i="1"/>
  <c r="S2771" i="1"/>
  <c r="O2771" i="1"/>
  <c r="N2771" i="1"/>
  <c r="M2771" i="1"/>
  <c r="S2770" i="1"/>
  <c r="O2770" i="1"/>
  <c r="N2770" i="1"/>
  <c r="M2770" i="1"/>
  <c r="S2769" i="1"/>
  <c r="O2769" i="1"/>
  <c r="N2769" i="1"/>
  <c r="M2769" i="1"/>
  <c r="S2768" i="1"/>
  <c r="O2768" i="1"/>
  <c r="N2768" i="1"/>
  <c r="M2768" i="1"/>
  <c r="S2767" i="1"/>
  <c r="O2767" i="1"/>
  <c r="N2767" i="1"/>
  <c r="M2767" i="1"/>
  <c r="S2766" i="1"/>
  <c r="O2766" i="1"/>
  <c r="N2766" i="1"/>
  <c r="M2766" i="1"/>
  <c r="S2763" i="1"/>
  <c r="O2763" i="1"/>
  <c r="N2763" i="1"/>
  <c r="M2763" i="1"/>
  <c r="S2760" i="1"/>
  <c r="O2760" i="1"/>
  <c r="N2760" i="1"/>
  <c r="M2760" i="1"/>
  <c r="S2759" i="1"/>
  <c r="O2759" i="1"/>
  <c r="N2759" i="1"/>
  <c r="M2759" i="1"/>
  <c r="S2758" i="1"/>
  <c r="O2758" i="1"/>
  <c r="N2758" i="1"/>
  <c r="M2758" i="1"/>
  <c r="S2757" i="1"/>
  <c r="O2757" i="1"/>
  <c r="N2757" i="1"/>
  <c r="M2757" i="1"/>
  <c r="S2756" i="1"/>
  <c r="O2756" i="1"/>
  <c r="N2756" i="1"/>
  <c r="M2756" i="1"/>
  <c r="O2755" i="1"/>
  <c r="N2755" i="1"/>
  <c r="M2755" i="1"/>
  <c r="S2754" i="1"/>
  <c r="O2754" i="1"/>
  <c r="N2754" i="1"/>
  <c r="M2754" i="1"/>
  <c r="S2753" i="1"/>
  <c r="O2753" i="1"/>
  <c r="N2753" i="1"/>
  <c r="M2753" i="1"/>
  <c r="S2751" i="1"/>
  <c r="O2751" i="1"/>
  <c r="N2751" i="1"/>
  <c r="M2751" i="1"/>
  <c r="S2750" i="1"/>
  <c r="O2750" i="1"/>
  <c r="N2750" i="1"/>
  <c r="M2750" i="1"/>
  <c r="S2746" i="1"/>
  <c r="O2746" i="1"/>
  <c r="N2746" i="1"/>
  <c r="M2746" i="1"/>
  <c r="S2745" i="1"/>
  <c r="O2745" i="1"/>
  <c r="N2745" i="1"/>
  <c r="M2745" i="1"/>
  <c r="S2744" i="1"/>
  <c r="O2744" i="1"/>
  <c r="N2744" i="1"/>
  <c r="M2744" i="1"/>
  <c r="S2743" i="1"/>
  <c r="O2743" i="1"/>
  <c r="N2743" i="1"/>
  <c r="M2743" i="1"/>
  <c r="S2742" i="1"/>
  <c r="O2742" i="1"/>
  <c r="N2742" i="1"/>
  <c r="M2742" i="1"/>
  <c r="S2741" i="1"/>
  <c r="O2741" i="1"/>
  <c r="N2741" i="1"/>
  <c r="M2741" i="1"/>
  <c r="S2740" i="1"/>
  <c r="O2740" i="1"/>
  <c r="N2740" i="1"/>
  <c r="M2740" i="1"/>
  <c r="S2739" i="1"/>
  <c r="O2739" i="1"/>
  <c r="N2739" i="1"/>
  <c r="M2739" i="1"/>
  <c r="S2737" i="1"/>
  <c r="O2737" i="1"/>
  <c r="N2737" i="1"/>
  <c r="M2737" i="1"/>
  <c r="S2736" i="1"/>
  <c r="O2736" i="1"/>
  <c r="N2736" i="1"/>
  <c r="M2736" i="1"/>
  <c r="S2735" i="1"/>
  <c r="O2735" i="1"/>
  <c r="N2735" i="1"/>
  <c r="M2735" i="1"/>
  <c r="S2734" i="1"/>
  <c r="O2734" i="1"/>
  <c r="N2734" i="1"/>
  <c r="M2734" i="1"/>
  <c r="S2733" i="1"/>
  <c r="O2733" i="1"/>
  <c r="N2733" i="1"/>
  <c r="M2733" i="1"/>
  <c r="S2732" i="1"/>
  <c r="O2732" i="1"/>
  <c r="N2732" i="1"/>
  <c r="M2732" i="1"/>
  <c r="S2731" i="1"/>
  <c r="O2731" i="1"/>
  <c r="N2731" i="1"/>
  <c r="M2731" i="1"/>
  <c r="S2730" i="1"/>
  <c r="O2730" i="1"/>
  <c r="N2730" i="1"/>
  <c r="M2730" i="1"/>
  <c r="S2729" i="1"/>
  <c r="O2729" i="1"/>
  <c r="N2729" i="1"/>
  <c r="M2729" i="1"/>
  <c r="S2728" i="1"/>
  <c r="O2728" i="1"/>
  <c r="N2728" i="1"/>
  <c r="M2728" i="1"/>
  <c r="S2727" i="1"/>
  <c r="O2727" i="1"/>
  <c r="N2727" i="1"/>
  <c r="M2727" i="1"/>
  <c r="S2726" i="1"/>
  <c r="O2726" i="1"/>
  <c r="N2726" i="1"/>
  <c r="M2726" i="1"/>
  <c r="S2725" i="1"/>
  <c r="O2725" i="1"/>
  <c r="N2725" i="1"/>
  <c r="M2725" i="1"/>
  <c r="S2724" i="1"/>
  <c r="O2724" i="1"/>
  <c r="N2724" i="1"/>
  <c r="M2724" i="1"/>
  <c r="S2723" i="1"/>
  <c r="O2723" i="1"/>
  <c r="N2723" i="1"/>
  <c r="M2723" i="1"/>
  <c r="S2721" i="1"/>
  <c r="O2721" i="1"/>
  <c r="N2721" i="1"/>
  <c r="M2721" i="1"/>
  <c r="S2720" i="1"/>
  <c r="O2720" i="1"/>
  <c r="N2720" i="1"/>
  <c r="M2720" i="1"/>
  <c r="S2719" i="1"/>
  <c r="O2719" i="1"/>
  <c r="N2719" i="1"/>
  <c r="M2719" i="1"/>
  <c r="S2718" i="1"/>
  <c r="O2718" i="1"/>
  <c r="N2718" i="1"/>
  <c r="M2718" i="1"/>
  <c r="S2717" i="1"/>
  <c r="O2717" i="1"/>
  <c r="N2717" i="1"/>
  <c r="M2717" i="1"/>
  <c r="S2715" i="1"/>
  <c r="O2715" i="1"/>
  <c r="N2715" i="1"/>
  <c r="M2715" i="1"/>
  <c r="S2714" i="1"/>
  <c r="O2714" i="1"/>
  <c r="N2714" i="1"/>
  <c r="M2714" i="1"/>
  <c r="S2712" i="1"/>
  <c r="O2712" i="1"/>
  <c r="N2712" i="1"/>
  <c r="M2712" i="1"/>
  <c r="S2711" i="1"/>
  <c r="O2711" i="1"/>
  <c r="N2711" i="1"/>
  <c r="M2711" i="1"/>
  <c r="S2710" i="1"/>
  <c r="O2710" i="1"/>
  <c r="N2710" i="1"/>
  <c r="M2710" i="1"/>
  <c r="S2709" i="1"/>
  <c r="O2709" i="1"/>
  <c r="N2709" i="1"/>
  <c r="M2709" i="1"/>
  <c r="S2708" i="1"/>
  <c r="O2708" i="1"/>
  <c r="N2708" i="1"/>
  <c r="M2708" i="1"/>
  <c r="S2705" i="1"/>
  <c r="O2705" i="1"/>
  <c r="N2705" i="1"/>
  <c r="M2705" i="1"/>
  <c r="S2704" i="1"/>
  <c r="O2704" i="1"/>
  <c r="N2704" i="1"/>
  <c r="M2704" i="1"/>
  <c r="S2703" i="1"/>
  <c r="O2703" i="1"/>
  <c r="N2703" i="1"/>
  <c r="M2703" i="1"/>
  <c r="S2702" i="1"/>
  <c r="O2702" i="1"/>
  <c r="N2702" i="1"/>
  <c r="M2702" i="1"/>
  <c r="S2700" i="1"/>
  <c r="O2700" i="1"/>
  <c r="N2700" i="1"/>
  <c r="M2700" i="1"/>
  <c r="S2699" i="1"/>
  <c r="O2699" i="1"/>
  <c r="N2699" i="1"/>
  <c r="M2699" i="1"/>
  <c r="S2698" i="1"/>
  <c r="O2698" i="1"/>
  <c r="N2698" i="1"/>
  <c r="M2698" i="1"/>
  <c r="S2697" i="1"/>
  <c r="O2697" i="1"/>
  <c r="N2697" i="1"/>
  <c r="M2697" i="1"/>
  <c r="S2696" i="1"/>
  <c r="O2696" i="1"/>
  <c r="N2696" i="1"/>
  <c r="M2696" i="1"/>
  <c r="S2695" i="1"/>
  <c r="O2695" i="1"/>
  <c r="N2695" i="1"/>
  <c r="M2695" i="1"/>
  <c r="S2691" i="1"/>
  <c r="O2691" i="1"/>
  <c r="N2691" i="1"/>
  <c r="M2691" i="1"/>
  <c r="S2688" i="1"/>
  <c r="O2688" i="1"/>
  <c r="N2688" i="1"/>
  <c r="M2688" i="1"/>
  <c r="S2686" i="1"/>
  <c r="O2686" i="1"/>
  <c r="N2686" i="1"/>
  <c r="M2686" i="1"/>
  <c r="S2685" i="1"/>
  <c r="O2685" i="1"/>
  <c r="N2685" i="1"/>
  <c r="M2685" i="1"/>
  <c r="S2684" i="1"/>
  <c r="O2684" i="1"/>
  <c r="N2684" i="1"/>
  <c r="M2684" i="1"/>
  <c r="S2681" i="1"/>
  <c r="O2681" i="1"/>
  <c r="N2681" i="1"/>
  <c r="M2681" i="1"/>
  <c r="S2680" i="1"/>
  <c r="O2680" i="1"/>
  <c r="N2680" i="1"/>
  <c r="M2680" i="1"/>
  <c r="S2679" i="1"/>
  <c r="O2679" i="1"/>
  <c r="N2679" i="1"/>
  <c r="M2679" i="1"/>
  <c r="S2678" i="1"/>
  <c r="O2678" i="1"/>
  <c r="N2678" i="1"/>
  <c r="M2678" i="1"/>
  <c r="S2677" i="1"/>
  <c r="O2677" i="1"/>
  <c r="N2677" i="1"/>
  <c r="M2677" i="1"/>
  <c r="S2676" i="1"/>
  <c r="O2676" i="1"/>
  <c r="N2676" i="1"/>
  <c r="M2676" i="1"/>
  <c r="S2675" i="1"/>
  <c r="O2675" i="1"/>
  <c r="N2675" i="1"/>
  <c r="M2675" i="1"/>
  <c r="S2674" i="1"/>
  <c r="O2674" i="1"/>
  <c r="N2674" i="1"/>
  <c r="M2674" i="1"/>
  <c r="S2673" i="1"/>
  <c r="O2673" i="1"/>
  <c r="N2673" i="1"/>
  <c r="M2673" i="1"/>
  <c r="S2672" i="1"/>
  <c r="O2672" i="1"/>
  <c r="N2672" i="1"/>
  <c r="M2672" i="1"/>
  <c r="S2671" i="1"/>
  <c r="O2671" i="1"/>
  <c r="N2671" i="1"/>
  <c r="M2671" i="1"/>
  <c r="S2670" i="1"/>
  <c r="O2670" i="1"/>
  <c r="N2670" i="1"/>
  <c r="M2670" i="1"/>
  <c r="S2669" i="1"/>
  <c r="O2669" i="1"/>
  <c r="N2669" i="1"/>
  <c r="M2669" i="1"/>
  <c r="S2667" i="1"/>
  <c r="O2667" i="1"/>
  <c r="N2667" i="1"/>
  <c r="M2667" i="1"/>
  <c r="S2666" i="1"/>
  <c r="O2666" i="1"/>
  <c r="N2666" i="1"/>
  <c r="M2666" i="1"/>
  <c r="S2665" i="1"/>
  <c r="O2665" i="1"/>
  <c r="N2665" i="1"/>
  <c r="M2665" i="1"/>
  <c r="S2664" i="1"/>
  <c r="O2664" i="1"/>
  <c r="N2664" i="1"/>
  <c r="M2664" i="1"/>
  <c r="S2663" i="1"/>
  <c r="O2663" i="1"/>
  <c r="N2663" i="1"/>
  <c r="M2663" i="1"/>
  <c r="S2662" i="1"/>
  <c r="O2662" i="1"/>
  <c r="N2662" i="1"/>
  <c r="M2662" i="1"/>
  <c r="S2661" i="1"/>
  <c r="O2661" i="1"/>
  <c r="N2661" i="1"/>
  <c r="M2661" i="1"/>
  <c r="S2660" i="1"/>
  <c r="O2660" i="1"/>
  <c r="N2660" i="1"/>
  <c r="M2660" i="1"/>
  <c r="S2659" i="1"/>
  <c r="O2659" i="1"/>
  <c r="N2659" i="1"/>
  <c r="M2659" i="1"/>
  <c r="S2658" i="1"/>
  <c r="O2658" i="1"/>
  <c r="N2658" i="1"/>
  <c r="M2658" i="1"/>
  <c r="S2657" i="1"/>
  <c r="O2657" i="1"/>
  <c r="N2657" i="1"/>
  <c r="M2657" i="1"/>
  <c r="S2656" i="1"/>
  <c r="O2656" i="1"/>
  <c r="N2656" i="1"/>
  <c r="M2656" i="1"/>
  <c r="S2655" i="1"/>
  <c r="O2655" i="1"/>
  <c r="N2655" i="1"/>
  <c r="M2655" i="1"/>
  <c r="S2654" i="1"/>
  <c r="O2654" i="1"/>
  <c r="N2654" i="1"/>
  <c r="M2654" i="1"/>
  <c r="S2650" i="1"/>
  <c r="O2650" i="1"/>
  <c r="N2650" i="1"/>
  <c r="M2650" i="1"/>
  <c r="S2647" i="1"/>
  <c r="O2647" i="1"/>
  <c r="N2647" i="1"/>
  <c r="M2647" i="1"/>
  <c r="S2646" i="1"/>
  <c r="O2646" i="1"/>
  <c r="N2646" i="1"/>
  <c r="M2646" i="1"/>
  <c r="S2644" i="1"/>
  <c r="O2644" i="1"/>
  <c r="N2644" i="1"/>
  <c r="M2644" i="1"/>
  <c r="S2642" i="1"/>
  <c r="O2642" i="1"/>
  <c r="N2642" i="1"/>
  <c r="M2642" i="1"/>
  <c r="S2641" i="1"/>
  <c r="O2641" i="1"/>
  <c r="N2641" i="1"/>
  <c r="M2641" i="1"/>
  <c r="S2638" i="1"/>
  <c r="O2638" i="1"/>
  <c r="N2638" i="1"/>
  <c r="M2638" i="1"/>
  <c r="S2637" i="1"/>
  <c r="O2637" i="1"/>
  <c r="N2637" i="1"/>
  <c r="M2637" i="1"/>
  <c r="S2635" i="1"/>
  <c r="M2635" i="1"/>
  <c r="S2634" i="1"/>
  <c r="M2634" i="1"/>
  <c r="S2633" i="1"/>
  <c r="M2633" i="1"/>
  <c r="S2632" i="1"/>
  <c r="M2632" i="1"/>
  <c r="S2631" i="1"/>
  <c r="M2631" i="1"/>
  <c r="S2629" i="1"/>
  <c r="O2629" i="1"/>
  <c r="N2629" i="1"/>
  <c r="M2629" i="1"/>
  <c r="S2627" i="1"/>
  <c r="O2627" i="1"/>
  <c r="N2627" i="1"/>
  <c r="M2627" i="1"/>
  <c r="S2625" i="1"/>
  <c r="O2625" i="1"/>
  <c r="N2625" i="1"/>
  <c r="M2625" i="1"/>
  <c r="S2622" i="1"/>
  <c r="O2622" i="1"/>
  <c r="N2622" i="1"/>
  <c r="M2622" i="1"/>
  <c r="S2621" i="1"/>
  <c r="O2621" i="1"/>
  <c r="N2621" i="1"/>
  <c r="M2621" i="1"/>
  <c r="S2620" i="1"/>
  <c r="O2620" i="1"/>
  <c r="N2620" i="1"/>
  <c r="M2620" i="1"/>
  <c r="S2619" i="1"/>
  <c r="O2619" i="1"/>
  <c r="N2619" i="1"/>
  <c r="M2619" i="1"/>
  <c r="S2618" i="1"/>
  <c r="O2618" i="1"/>
  <c r="N2618" i="1"/>
  <c r="M2618" i="1"/>
  <c r="S2617" i="1"/>
  <c r="O2617" i="1"/>
  <c r="N2617" i="1"/>
  <c r="M2617" i="1"/>
  <c r="S2616" i="1"/>
  <c r="O2616" i="1"/>
  <c r="N2616" i="1"/>
  <c r="M2616" i="1"/>
  <c r="S2614" i="1"/>
  <c r="O2614" i="1"/>
  <c r="N2614" i="1"/>
  <c r="M2614" i="1"/>
  <c r="S2612" i="1"/>
  <c r="O2612" i="1"/>
  <c r="N2612" i="1"/>
  <c r="M2612" i="1"/>
  <c r="S2609" i="1"/>
  <c r="O2609" i="1"/>
  <c r="N2609" i="1"/>
  <c r="M2609" i="1"/>
  <c r="S2608" i="1"/>
  <c r="O2608" i="1"/>
  <c r="N2608" i="1"/>
  <c r="M2608" i="1"/>
  <c r="S2607" i="1"/>
  <c r="O2607" i="1"/>
  <c r="N2607" i="1"/>
  <c r="M2607" i="1"/>
  <c r="S2604" i="1"/>
  <c r="O2604" i="1"/>
  <c r="N2604" i="1"/>
  <c r="M2604" i="1"/>
  <c r="S2600" i="1"/>
  <c r="O2600" i="1"/>
  <c r="N2600" i="1"/>
  <c r="M2600" i="1"/>
  <c r="S2599" i="1"/>
  <c r="O2599" i="1"/>
  <c r="N2599" i="1"/>
  <c r="M2599" i="1"/>
  <c r="S2598" i="1"/>
  <c r="O2598" i="1"/>
  <c r="N2598" i="1"/>
  <c r="M2598" i="1"/>
  <c r="S2596" i="1"/>
  <c r="O2596" i="1"/>
  <c r="N2596" i="1"/>
  <c r="M2596" i="1"/>
  <c r="S2595" i="1"/>
  <c r="O2595" i="1"/>
  <c r="N2595" i="1"/>
  <c r="M2595" i="1"/>
  <c r="S2594" i="1"/>
  <c r="O2594" i="1"/>
  <c r="N2594" i="1"/>
  <c r="M2594" i="1"/>
  <c r="S2593" i="1"/>
  <c r="O2593" i="1"/>
  <c r="N2593" i="1"/>
  <c r="M2593" i="1"/>
  <c r="S2590" i="1"/>
  <c r="O2590" i="1"/>
  <c r="N2590" i="1"/>
  <c r="M2590" i="1"/>
  <c r="S2587" i="1"/>
  <c r="O2587" i="1"/>
  <c r="N2587" i="1"/>
  <c r="M2587" i="1"/>
  <c r="S2586" i="1"/>
  <c r="O2586" i="1"/>
  <c r="N2586" i="1"/>
  <c r="M2586" i="1"/>
  <c r="S2585" i="1"/>
  <c r="O2585" i="1"/>
  <c r="N2585" i="1"/>
  <c r="M2585" i="1"/>
  <c r="S2584" i="1"/>
  <c r="O2584" i="1"/>
  <c r="N2584" i="1"/>
  <c r="M2584" i="1"/>
  <c r="S2583" i="1"/>
  <c r="O2583" i="1"/>
  <c r="N2583" i="1"/>
  <c r="M2583" i="1"/>
  <c r="S2582" i="1"/>
  <c r="O2582" i="1"/>
  <c r="N2582" i="1"/>
  <c r="M2582" i="1"/>
  <c r="S2581" i="1"/>
  <c r="O2581" i="1"/>
  <c r="N2581" i="1"/>
  <c r="M2581" i="1"/>
  <c r="S2580" i="1"/>
  <c r="O2580" i="1"/>
  <c r="N2580" i="1"/>
  <c r="M2580" i="1"/>
  <c r="S2579" i="1"/>
  <c r="O2579" i="1"/>
  <c r="N2579" i="1"/>
  <c r="M2579" i="1"/>
  <c r="S2577" i="1"/>
  <c r="O2577" i="1"/>
  <c r="N2577" i="1"/>
  <c r="M2577" i="1"/>
  <c r="S2576" i="1"/>
  <c r="O2576" i="1"/>
  <c r="N2576" i="1"/>
  <c r="M2576" i="1"/>
  <c r="S2574" i="1"/>
  <c r="O2574" i="1"/>
  <c r="N2574" i="1"/>
  <c r="M2574" i="1"/>
  <c r="S2573" i="1"/>
  <c r="O2573" i="1"/>
  <c r="N2573" i="1"/>
  <c r="M2573" i="1"/>
  <c r="S2572" i="1"/>
  <c r="O2572" i="1"/>
  <c r="N2572" i="1"/>
  <c r="M2572" i="1"/>
  <c r="S2571" i="1"/>
  <c r="O2571" i="1"/>
  <c r="N2571" i="1"/>
  <c r="M2571" i="1"/>
  <c r="S2570" i="1"/>
  <c r="O2570" i="1"/>
  <c r="N2570" i="1"/>
  <c r="M2570" i="1"/>
  <c r="S2569" i="1"/>
  <c r="O2569" i="1"/>
  <c r="N2569" i="1"/>
  <c r="M2569" i="1"/>
  <c r="S2568" i="1"/>
  <c r="O2568" i="1"/>
  <c r="N2568" i="1"/>
  <c r="M2568" i="1"/>
  <c r="S2566" i="1"/>
  <c r="O2566" i="1"/>
  <c r="N2566" i="1"/>
  <c r="M2566" i="1"/>
  <c r="S2565" i="1"/>
  <c r="O2565" i="1"/>
  <c r="N2565" i="1"/>
  <c r="M2565" i="1"/>
  <c r="S2564" i="1"/>
  <c r="O2564" i="1"/>
  <c r="N2564" i="1"/>
  <c r="M2564" i="1"/>
  <c r="S2563" i="1"/>
  <c r="O2563" i="1"/>
  <c r="N2563" i="1"/>
  <c r="M2563" i="1"/>
  <c r="S2562" i="1"/>
  <c r="O2562" i="1"/>
  <c r="N2562" i="1"/>
  <c r="M2562" i="1"/>
  <c r="S2561" i="1"/>
  <c r="O2561" i="1"/>
  <c r="N2561" i="1"/>
  <c r="M2561" i="1"/>
  <c r="S2560" i="1"/>
  <c r="O2560" i="1"/>
  <c r="N2560" i="1"/>
  <c r="M2560" i="1"/>
  <c r="S2559" i="1"/>
  <c r="O2559" i="1"/>
  <c r="N2559" i="1"/>
  <c r="M2559" i="1"/>
  <c r="S2558" i="1"/>
  <c r="O2558" i="1"/>
  <c r="N2558" i="1"/>
  <c r="M2558" i="1"/>
  <c r="S2557" i="1"/>
  <c r="O2557" i="1"/>
  <c r="N2557" i="1"/>
  <c r="M2557" i="1"/>
  <c r="S2556" i="1"/>
  <c r="O2556" i="1"/>
  <c r="N2556" i="1"/>
  <c r="M2556" i="1"/>
  <c r="S2555" i="1"/>
  <c r="O2555" i="1"/>
  <c r="N2555" i="1"/>
  <c r="M2555" i="1"/>
  <c r="S2554" i="1"/>
  <c r="O2554" i="1"/>
  <c r="N2554" i="1"/>
  <c r="M2554" i="1"/>
  <c r="S2553" i="1"/>
  <c r="O2553" i="1"/>
  <c r="N2553" i="1"/>
  <c r="M2553" i="1"/>
  <c r="S2552" i="1"/>
  <c r="O2552" i="1"/>
  <c r="N2552" i="1"/>
  <c r="M2552" i="1"/>
  <c r="S2551" i="1"/>
  <c r="O2551" i="1"/>
  <c r="N2551" i="1"/>
  <c r="M2551" i="1"/>
  <c r="S2550" i="1"/>
  <c r="O2550" i="1"/>
  <c r="N2550" i="1"/>
  <c r="M2550" i="1"/>
  <c r="S2549" i="1"/>
  <c r="O2549" i="1"/>
  <c r="N2549" i="1"/>
  <c r="M2549" i="1"/>
  <c r="S2548" i="1"/>
  <c r="O2548" i="1"/>
  <c r="N2548" i="1"/>
  <c r="M2548" i="1"/>
  <c r="S2547" i="1"/>
  <c r="O2547" i="1"/>
  <c r="N2547" i="1"/>
  <c r="M2547" i="1"/>
  <c r="S2543" i="1"/>
  <c r="O2543" i="1"/>
  <c r="N2543" i="1"/>
  <c r="M2543" i="1"/>
  <c r="S2542" i="1"/>
  <c r="O2542" i="1"/>
  <c r="N2542" i="1"/>
  <c r="M2542" i="1"/>
  <c r="S2540" i="1"/>
  <c r="O2540" i="1"/>
  <c r="N2540" i="1"/>
  <c r="M2540" i="1"/>
  <c r="S2539" i="1"/>
  <c r="O2539" i="1"/>
  <c r="N2539" i="1"/>
  <c r="M2539" i="1"/>
  <c r="S2538" i="1"/>
  <c r="O2538" i="1"/>
  <c r="N2538" i="1"/>
  <c r="M2538" i="1"/>
  <c r="S2536" i="1"/>
  <c r="O2536" i="1"/>
  <c r="N2536" i="1"/>
  <c r="M2536" i="1"/>
  <c r="S2534" i="1"/>
  <c r="O2534" i="1"/>
  <c r="N2534" i="1"/>
  <c r="M2534" i="1"/>
  <c r="S2531" i="1"/>
  <c r="O2531" i="1"/>
  <c r="N2531" i="1"/>
  <c r="M2531" i="1"/>
  <c r="S2530" i="1"/>
  <c r="O2530" i="1"/>
  <c r="N2530" i="1"/>
  <c r="M2530" i="1"/>
  <c r="S2529" i="1"/>
  <c r="O2529" i="1"/>
  <c r="N2529" i="1"/>
  <c r="M2529" i="1"/>
  <c r="S2528" i="1"/>
  <c r="O2528" i="1"/>
  <c r="N2528" i="1"/>
  <c r="M2528" i="1"/>
  <c r="S2527" i="1"/>
  <c r="O2527" i="1"/>
  <c r="N2527" i="1"/>
  <c r="M2527" i="1"/>
  <c r="S2526" i="1"/>
  <c r="O2526" i="1"/>
  <c r="N2526" i="1"/>
  <c r="M2526" i="1"/>
  <c r="S2525" i="1"/>
  <c r="O2525" i="1"/>
  <c r="N2525" i="1"/>
  <c r="M2525" i="1"/>
  <c r="S2524" i="1"/>
  <c r="O2524" i="1"/>
  <c r="N2524" i="1"/>
  <c r="M2524" i="1"/>
  <c r="S2523" i="1"/>
  <c r="O2523" i="1"/>
  <c r="N2523" i="1"/>
  <c r="M2523" i="1"/>
  <c r="S2522" i="1"/>
  <c r="O2522" i="1"/>
  <c r="N2522" i="1"/>
  <c r="M2522" i="1"/>
  <c r="S2521" i="1"/>
  <c r="O2521" i="1"/>
  <c r="N2521" i="1"/>
  <c r="M2521" i="1"/>
  <c r="O2520" i="1"/>
  <c r="N2520" i="1"/>
  <c r="M2520" i="1"/>
  <c r="S2518" i="1"/>
  <c r="O2518" i="1"/>
  <c r="N2518" i="1"/>
  <c r="M2518" i="1"/>
  <c r="S2517" i="1"/>
  <c r="O2517" i="1"/>
  <c r="N2517" i="1"/>
  <c r="M2517" i="1"/>
  <c r="S2516" i="1"/>
  <c r="O2516" i="1"/>
  <c r="N2516" i="1"/>
  <c r="M2516" i="1"/>
  <c r="S2515" i="1"/>
  <c r="O2515" i="1"/>
  <c r="N2515" i="1"/>
  <c r="M2515" i="1"/>
  <c r="S2514" i="1"/>
  <c r="O2514" i="1"/>
  <c r="N2514" i="1"/>
  <c r="M2514" i="1"/>
  <c r="S2513" i="1"/>
  <c r="O2513" i="1"/>
  <c r="N2513" i="1"/>
  <c r="M2513" i="1"/>
  <c r="S2512" i="1"/>
  <c r="O2512" i="1"/>
  <c r="N2512" i="1"/>
  <c r="M2512" i="1"/>
  <c r="S2511" i="1"/>
  <c r="O2511" i="1"/>
  <c r="N2511" i="1"/>
  <c r="M2511" i="1"/>
  <c r="S2510" i="1"/>
  <c r="O2510" i="1"/>
  <c r="N2510" i="1"/>
  <c r="M2510" i="1"/>
  <c r="S2509" i="1"/>
  <c r="O2509" i="1"/>
  <c r="N2509" i="1"/>
  <c r="M2509" i="1"/>
  <c r="S2508" i="1"/>
  <c r="O2508" i="1"/>
  <c r="N2508" i="1"/>
  <c r="M2508" i="1"/>
  <c r="S2507" i="1"/>
  <c r="O2507" i="1"/>
  <c r="N2507" i="1"/>
  <c r="M2507" i="1"/>
  <c r="S2506" i="1"/>
  <c r="O2506" i="1"/>
  <c r="N2506" i="1"/>
  <c r="M2506" i="1"/>
  <c r="S2505" i="1"/>
  <c r="O2505" i="1"/>
  <c r="N2505" i="1"/>
  <c r="M2505" i="1"/>
  <c r="S2504" i="1"/>
  <c r="O2504" i="1"/>
  <c r="N2504" i="1"/>
  <c r="M2504" i="1"/>
  <c r="S2503" i="1"/>
  <c r="O2503" i="1"/>
  <c r="N2503" i="1"/>
  <c r="M2503" i="1"/>
  <c r="S2502" i="1"/>
  <c r="O2502" i="1"/>
  <c r="N2502" i="1"/>
  <c r="M2502" i="1"/>
  <c r="S2501" i="1"/>
  <c r="O2501" i="1"/>
  <c r="N2501" i="1"/>
  <c r="M2501" i="1"/>
  <c r="S2500" i="1"/>
  <c r="O2500" i="1"/>
  <c r="N2500" i="1"/>
  <c r="M2500" i="1"/>
  <c r="S2499" i="1"/>
  <c r="O2499" i="1"/>
  <c r="N2499" i="1"/>
  <c r="M2499" i="1"/>
  <c r="S2498" i="1"/>
  <c r="O2498" i="1"/>
  <c r="N2498" i="1"/>
  <c r="M2498" i="1"/>
  <c r="S2496" i="1"/>
  <c r="O2496" i="1"/>
  <c r="N2496" i="1"/>
  <c r="M2496" i="1"/>
  <c r="S2495" i="1"/>
  <c r="O2495" i="1"/>
  <c r="N2495" i="1"/>
  <c r="M2495" i="1"/>
  <c r="S2494" i="1"/>
  <c r="O2494" i="1"/>
  <c r="N2494" i="1"/>
  <c r="M2494" i="1"/>
  <c r="S2493" i="1"/>
  <c r="O2493" i="1"/>
  <c r="N2493" i="1"/>
  <c r="M2493" i="1"/>
  <c r="S2492" i="1"/>
  <c r="O2492" i="1"/>
  <c r="N2492" i="1"/>
  <c r="M2492" i="1"/>
  <c r="S2491" i="1"/>
  <c r="O2491" i="1"/>
  <c r="N2491" i="1"/>
  <c r="M2491" i="1"/>
  <c r="S2490" i="1"/>
  <c r="O2490" i="1"/>
  <c r="N2490" i="1"/>
  <c r="M2490" i="1"/>
  <c r="S2489" i="1"/>
  <c r="O2489" i="1"/>
  <c r="N2489" i="1"/>
  <c r="M2489" i="1"/>
  <c r="S2488" i="1"/>
  <c r="O2488" i="1"/>
  <c r="N2488" i="1"/>
  <c r="M2488" i="1"/>
  <c r="S2487" i="1"/>
  <c r="O2487" i="1"/>
  <c r="N2487" i="1"/>
  <c r="M2487" i="1"/>
  <c r="S2486" i="1"/>
  <c r="O2486" i="1"/>
  <c r="N2486" i="1"/>
  <c r="M2486" i="1"/>
  <c r="S2485" i="1"/>
  <c r="O2485" i="1"/>
  <c r="N2485" i="1"/>
  <c r="M2485" i="1"/>
  <c r="S2484" i="1"/>
  <c r="O2484" i="1"/>
  <c r="N2484" i="1"/>
  <c r="M2484" i="1"/>
  <c r="S2483" i="1"/>
  <c r="O2483" i="1"/>
  <c r="N2483" i="1"/>
  <c r="M2483" i="1"/>
  <c r="S2482" i="1"/>
  <c r="O2482" i="1"/>
  <c r="N2482" i="1"/>
  <c r="M2482" i="1"/>
  <c r="S2481" i="1"/>
  <c r="O2481" i="1"/>
  <c r="N2481" i="1"/>
  <c r="M2481" i="1"/>
  <c r="S2479" i="1"/>
  <c r="O2479" i="1"/>
  <c r="N2479" i="1"/>
  <c r="M2479" i="1"/>
  <c r="S2477" i="1"/>
  <c r="O2477" i="1"/>
  <c r="N2477" i="1"/>
  <c r="M2477" i="1"/>
  <c r="S2475" i="1"/>
  <c r="O2475" i="1"/>
  <c r="N2475" i="1"/>
  <c r="M2475" i="1"/>
  <c r="S2474" i="1"/>
  <c r="O2474" i="1"/>
  <c r="N2474" i="1"/>
  <c r="M2474" i="1"/>
  <c r="S2473" i="1"/>
  <c r="O2473" i="1"/>
  <c r="N2473" i="1"/>
  <c r="M2473" i="1"/>
  <c r="S2472" i="1"/>
  <c r="O2472" i="1"/>
  <c r="N2472" i="1"/>
  <c r="M2472" i="1"/>
  <c r="S2471" i="1"/>
  <c r="O2471" i="1"/>
  <c r="N2471" i="1"/>
  <c r="M2471" i="1"/>
  <c r="S2470" i="1"/>
  <c r="O2470" i="1"/>
  <c r="N2470" i="1"/>
  <c r="M2470" i="1"/>
  <c r="S2468" i="1"/>
  <c r="O2468" i="1"/>
  <c r="N2468" i="1"/>
  <c r="M2468" i="1"/>
  <c r="S2467" i="1"/>
  <c r="O2467" i="1"/>
  <c r="N2467" i="1"/>
  <c r="M2467" i="1"/>
  <c r="S2466" i="1"/>
  <c r="O2466" i="1"/>
  <c r="N2466" i="1"/>
  <c r="M2466" i="1"/>
  <c r="S2465" i="1"/>
  <c r="O2465" i="1"/>
  <c r="N2465" i="1"/>
  <c r="M2465" i="1"/>
  <c r="S2463" i="1"/>
  <c r="O2463" i="1"/>
  <c r="N2463" i="1"/>
  <c r="M2463" i="1"/>
  <c r="S2462" i="1"/>
  <c r="O2462" i="1"/>
  <c r="N2462" i="1"/>
  <c r="M2462" i="1"/>
  <c r="S2461" i="1"/>
  <c r="O2461" i="1"/>
  <c r="N2461" i="1"/>
  <c r="M2461" i="1"/>
  <c r="S2460" i="1"/>
  <c r="O2460" i="1"/>
  <c r="N2460" i="1"/>
  <c r="M2460" i="1"/>
  <c r="S2456" i="1"/>
  <c r="O2456" i="1"/>
  <c r="N2456" i="1"/>
  <c r="M2456" i="1"/>
  <c r="S2454" i="1"/>
  <c r="O2454" i="1"/>
  <c r="N2454" i="1"/>
  <c r="M2454" i="1"/>
  <c r="S2453" i="1"/>
  <c r="O2453" i="1"/>
  <c r="N2453" i="1"/>
  <c r="M2453" i="1"/>
  <c r="S2452" i="1"/>
  <c r="O2452" i="1"/>
  <c r="N2452" i="1"/>
  <c r="M2452" i="1"/>
  <c r="S2449" i="1"/>
  <c r="O2449" i="1"/>
  <c r="N2449" i="1"/>
  <c r="M2449" i="1"/>
  <c r="S2448" i="1"/>
  <c r="O2448" i="1"/>
  <c r="N2448" i="1"/>
  <c r="M2448" i="1"/>
  <c r="S2447" i="1"/>
  <c r="O2447" i="1"/>
  <c r="N2447" i="1"/>
  <c r="M2447" i="1"/>
  <c r="S2445" i="1"/>
  <c r="O2445" i="1"/>
  <c r="N2445" i="1"/>
  <c r="M2445" i="1"/>
  <c r="S2442" i="1"/>
  <c r="O2442" i="1"/>
  <c r="N2442" i="1"/>
  <c r="M2442" i="1"/>
  <c r="S2441" i="1"/>
  <c r="O2441" i="1"/>
  <c r="N2441" i="1"/>
  <c r="M2441" i="1"/>
  <c r="S2440" i="1"/>
  <c r="O2440" i="1"/>
  <c r="N2440" i="1"/>
  <c r="M2440" i="1"/>
  <c r="S2439" i="1"/>
  <c r="O2439" i="1"/>
  <c r="N2439" i="1"/>
  <c r="M2439" i="1"/>
  <c r="S2438" i="1"/>
  <c r="O2438" i="1"/>
  <c r="N2438" i="1"/>
  <c r="M2438" i="1"/>
  <c r="S2437" i="1"/>
  <c r="O2437" i="1"/>
  <c r="N2437" i="1"/>
  <c r="M2437" i="1"/>
  <c r="S2435" i="1"/>
  <c r="O2435" i="1"/>
  <c r="N2435" i="1"/>
  <c r="M2435" i="1"/>
  <c r="S2434" i="1"/>
  <c r="O2434" i="1"/>
  <c r="N2434" i="1"/>
  <c r="M2434" i="1"/>
  <c r="S2433" i="1"/>
  <c r="O2433" i="1"/>
  <c r="N2433" i="1"/>
  <c r="M2433" i="1"/>
  <c r="S2432" i="1"/>
  <c r="O2432" i="1"/>
  <c r="N2432" i="1"/>
  <c r="M2432" i="1"/>
  <c r="S2431" i="1"/>
  <c r="O2431" i="1"/>
  <c r="N2431" i="1"/>
  <c r="M2431" i="1"/>
  <c r="S2430" i="1"/>
  <c r="O2430" i="1"/>
  <c r="N2430" i="1"/>
  <c r="M2430" i="1"/>
  <c r="S2429" i="1"/>
  <c r="O2429" i="1"/>
  <c r="N2429" i="1"/>
  <c r="M2429" i="1"/>
  <c r="S2428" i="1"/>
  <c r="O2428" i="1"/>
  <c r="N2428" i="1"/>
  <c r="M2428" i="1"/>
  <c r="S2427" i="1"/>
  <c r="O2427" i="1"/>
  <c r="N2427" i="1"/>
  <c r="M2427" i="1"/>
  <c r="S2426" i="1"/>
  <c r="O2426" i="1"/>
  <c r="N2426" i="1"/>
  <c r="M2426" i="1"/>
  <c r="S2425" i="1"/>
  <c r="O2425" i="1"/>
  <c r="N2425" i="1"/>
  <c r="M2425" i="1"/>
  <c r="S2424" i="1"/>
  <c r="O2424" i="1"/>
  <c r="N2424" i="1"/>
  <c r="M2424" i="1"/>
  <c r="S2423" i="1"/>
  <c r="O2423" i="1"/>
  <c r="N2423" i="1"/>
  <c r="M2423" i="1"/>
  <c r="S2422" i="1"/>
  <c r="O2422" i="1"/>
  <c r="N2422" i="1"/>
  <c r="M2422" i="1"/>
  <c r="S2421" i="1"/>
  <c r="O2421" i="1"/>
  <c r="N2421" i="1"/>
  <c r="M2421" i="1"/>
  <c r="S2420" i="1"/>
  <c r="O2420" i="1"/>
  <c r="N2420" i="1"/>
  <c r="M2420" i="1"/>
  <c r="S2419" i="1"/>
  <c r="O2419" i="1"/>
  <c r="N2419" i="1"/>
  <c r="M2419" i="1"/>
  <c r="S2417" i="1"/>
  <c r="O2417" i="1"/>
  <c r="N2417" i="1"/>
  <c r="M2417" i="1"/>
  <c r="S2416" i="1"/>
  <c r="O2416" i="1"/>
  <c r="N2416" i="1"/>
  <c r="M2416" i="1"/>
  <c r="S2415" i="1"/>
  <c r="O2415" i="1"/>
  <c r="N2415" i="1"/>
  <c r="M2415" i="1"/>
  <c r="S2414" i="1"/>
  <c r="O2414" i="1"/>
  <c r="N2414" i="1"/>
  <c r="M2414" i="1"/>
  <c r="S2413" i="1"/>
  <c r="O2413" i="1"/>
  <c r="N2413" i="1"/>
  <c r="M2413" i="1"/>
  <c r="S2412" i="1"/>
  <c r="O2412" i="1"/>
  <c r="N2412" i="1"/>
  <c r="M2412" i="1"/>
  <c r="S2411" i="1"/>
  <c r="O2411" i="1"/>
  <c r="N2411" i="1"/>
  <c r="M2411" i="1"/>
  <c r="S2410" i="1"/>
  <c r="O2410" i="1"/>
  <c r="N2410" i="1"/>
  <c r="M2410" i="1"/>
  <c r="S2409" i="1"/>
  <c r="O2409" i="1"/>
  <c r="N2409" i="1"/>
  <c r="M2409" i="1"/>
  <c r="S2408" i="1"/>
  <c r="O2408" i="1"/>
  <c r="N2408" i="1"/>
  <c r="M2408" i="1"/>
  <c r="S2407" i="1"/>
  <c r="O2407" i="1"/>
  <c r="N2407" i="1"/>
  <c r="M2407" i="1"/>
  <c r="S2406" i="1"/>
  <c r="O2406" i="1"/>
  <c r="N2406" i="1"/>
  <c r="M2406" i="1"/>
  <c r="S2405" i="1"/>
  <c r="O2405" i="1"/>
  <c r="N2405" i="1"/>
  <c r="M2405" i="1"/>
  <c r="S2404" i="1"/>
  <c r="O2404" i="1"/>
  <c r="N2404" i="1"/>
  <c r="M2404" i="1"/>
  <c r="S2403" i="1"/>
  <c r="O2403" i="1"/>
  <c r="N2403" i="1"/>
  <c r="M2403" i="1"/>
  <c r="S2402" i="1"/>
  <c r="O2402" i="1"/>
  <c r="N2402" i="1"/>
  <c r="M2402" i="1"/>
  <c r="S2401" i="1"/>
  <c r="O2401" i="1"/>
  <c r="N2401" i="1"/>
  <c r="M2401" i="1"/>
  <c r="S2399" i="1"/>
  <c r="O2399" i="1"/>
  <c r="N2399" i="1"/>
  <c r="M2399" i="1"/>
  <c r="S2398" i="1"/>
  <c r="O2398" i="1"/>
  <c r="N2398" i="1"/>
  <c r="M2398" i="1"/>
  <c r="S2397" i="1"/>
  <c r="O2397" i="1"/>
  <c r="N2397" i="1"/>
  <c r="M2397" i="1"/>
  <c r="S2396" i="1"/>
  <c r="O2396" i="1"/>
  <c r="N2396" i="1"/>
  <c r="M2396" i="1"/>
  <c r="S2395" i="1"/>
  <c r="O2395" i="1"/>
  <c r="N2395" i="1"/>
  <c r="M2395" i="1"/>
  <c r="S2394" i="1"/>
  <c r="O2394" i="1"/>
  <c r="N2394" i="1"/>
  <c r="M2394" i="1"/>
  <c r="S2393" i="1"/>
  <c r="O2393" i="1"/>
  <c r="N2393" i="1"/>
  <c r="M2393" i="1"/>
  <c r="S2392" i="1"/>
  <c r="O2392" i="1"/>
  <c r="N2392" i="1"/>
  <c r="M2392" i="1"/>
  <c r="S2391" i="1"/>
  <c r="O2391" i="1"/>
  <c r="N2391" i="1"/>
  <c r="M2391" i="1"/>
  <c r="S2390" i="1"/>
  <c r="O2390" i="1"/>
  <c r="N2390" i="1"/>
  <c r="M2390" i="1"/>
  <c r="S2389" i="1"/>
  <c r="O2389" i="1"/>
  <c r="N2389" i="1"/>
  <c r="M2389" i="1"/>
  <c r="S2388" i="1"/>
  <c r="O2388" i="1"/>
  <c r="N2388" i="1"/>
  <c r="M2388" i="1"/>
  <c r="S2387" i="1"/>
  <c r="O2387" i="1"/>
  <c r="N2387" i="1"/>
  <c r="M2387" i="1"/>
  <c r="S2386" i="1"/>
  <c r="O2386" i="1"/>
  <c r="N2386" i="1"/>
  <c r="M2386" i="1"/>
  <c r="S2385" i="1"/>
  <c r="O2385" i="1"/>
  <c r="N2385" i="1"/>
  <c r="M2385" i="1"/>
  <c r="S2384" i="1"/>
  <c r="O2384" i="1"/>
  <c r="N2384" i="1"/>
  <c r="M2384" i="1"/>
  <c r="S2383" i="1"/>
  <c r="O2383" i="1"/>
  <c r="N2383" i="1"/>
  <c r="M2383" i="1"/>
  <c r="S2382" i="1"/>
  <c r="O2382" i="1"/>
  <c r="N2382" i="1"/>
  <c r="M2382" i="1"/>
  <c r="S2381" i="1"/>
  <c r="O2381" i="1"/>
  <c r="N2381" i="1"/>
  <c r="M2381" i="1"/>
  <c r="S2380" i="1"/>
  <c r="O2380" i="1"/>
  <c r="N2380" i="1"/>
  <c r="M2380" i="1"/>
  <c r="S2378" i="1"/>
  <c r="O2378" i="1"/>
  <c r="N2378" i="1"/>
  <c r="M2378" i="1"/>
  <c r="S2377" i="1"/>
  <c r="O2377" i="1"/>
  <c r="N2377" i="1"/>
  <c r="M2377" i="1"/>
  <c r="S2373" i="1"/>
  <c r="O2373" i="1"/>
  <c r="N2373" i="1"/>
  <c r="M2373" i="1"/>
  <c r="S2372" i="1"/>
  <c r="O2372" i="1"/>
  <c r="N2372" i="1"/>
  <c r="M2372" i="1"/>
  <c r="S2371" i="1"/>
  <c r="O2371" i="1"/>
  <c r="N2371" i="1"/>
  <c r="M2371" i="1"/>
  <c r="S2370" i="1"/>
  <c r="O2370" i="1"/>
  <c r="N2370" i="1"/>
  <c r="M2370" i="1"/>
  <c r="S2369" i="1"/>
  <c r="O2369" i="1"/>
  <c r="N2369" i="1"/>
  <c r="M2369" i="1"/>
  <c r="S2367" i="1"/>
  <c r="O2367" i="1"/>
  <c r="N2367" i="1"/>
  <c r="M2367" i="1"/>
  <c r="S2365" i="1"/>
  <c r="O2365" i="1"/>
  <c r="N2365" i="1"/>
  <c r="M2365" i="1"/>
  <c r="S2364" i="1"/>
  <c r="O2364" i="1"/>
  <c r="N2364" i="1"/>
  <c r="M2364" i="1"/>
  <c r="S2363" i="1"/>
  <c r="O2363" i="1"/>
  <c r="N2363" i="1"/>
  <c r="M2363" i="1"/>
  <c r="S2362" i="1"/>
  <c r="O2362" i="1"/>
  <c r="N2362" i="1"/>
  <c r="M2362" i="1"/>
  <c r="S2361" i="1"/>
  <c r="O2361" i="1"/>
  <c r="N2361" i="1"/>
  <c r="M2361" i="1"/>
  <c r="S2357" i="1"/>
  <c r="O2357" i="1"/>
  <c r="N2357" i="1"/>
  <c r="M2357" i="1"/>
  <c r="S2356" i="1"/>
  <c r="O2356" i="1"/>
  <c r="N2356" i="1"/>
  <c r="M2356" i="1"/>
  <c r="S2355" i="1"/>
  <c r="O2355" i="1"/>
  <c r="N2355" i="1"/>
  <c r="M2355" i="1"/>
  <c r="S2352" i="1"/>
  <c r="O2352" i="1"/>
  <c r="N2352" i="1"/>
  <c r="M2352" i="1"/>
  <c r="S2350" i="1"/>
  <c r="O2350" i="1"/>
  <c r="N2350" i="1"/>
  <c r="M2350" i="1"/>
  <c r="S2349" i="1"/>
  <c r="O2349" i="1"/>
  <c r="N2349" i="1"/>
  <c r="M2349" i="1"/>
  <c r="S2348" i="1"/>
  <c r="O2348" i="1"/>
  <c r="N2348" i="1"/>
  <c r="M2348" i="1"/>
  <c r="S2347" i="1"/>
  <c r="O2347" i="1"/>
  <c r="N2347" i="1"/>
  <c r="M2347" i="1"/>
  <c r="S2346" i="1"/>
  <c r="O2346" i="1"/>
  <c r="N2346" i="1"/>
  <c r="M2346" i="1"/>
  <c r="S2345" i="1"/>
  <c r="O2345" i="1"/>
  <c r="N2345" i="1"/>
  <c r="M2345" i="1"/>
  <c r="S2344" i="1"/>
  <c r="O2344" i="1"/>
  <c r="N2344" i="1"/>
  <c r="M2344" i="1"/>
  <c r="S2343" i="1"/>
  <c r="O2343" i="1"/>
  <c r="N2343" i="1"/>
  <c r="M2343" i="1"/>
  <c r="O2342" i="1"/>
  <c r="N2342" i="1"/>
  <c r="M2342" i="1"/>
  <c r="S2341" i="1"/>
  <c r="O2341" i="1"/>
  <c r="N2341" i="1"/>
  <c r="M2341" i="1"/>
  <c r="S2340" i="1"/>
  <c r="O2340" i="1"/>
  <c r="N2340" i="1"/>
  <c r="M2340" i="1"/>
  <c r="S2339" i="1"/>
  <c r="O2339" i="1"/>
  <c r="N2339" i="1"/>
  <c r="M2339" i="1"/>
  <c r="S2338" i="1"/>
  <c r="O2338" i="1"/>
  <c r="N2338" i="1"/>
  <c r="M2338" i="1"/>
  <c r="S2337" i="1"/>
  <c r="O2337" i="1"/>
  <c r="N2337" i="1"/>
  <c r="M2337" i="1"/>
  <c r="S2336" i="1"/>
  <c r="O2336" i="1"/>
  <c r="N2336" i="1"/>
  <c r="M2336" i="1"/>
  <c r="S2335" i="1"/>
  <c r="O2335" i="1"/>
  <c r="N2335" i="1"/>
  <c r="M2335" i="1"/>
  <c r="S2334" i="1"/>
  <c r="O2334" i="1"/>
  <c r="N2334" i="1"/>
  <c r="M2334" i="1"/>
  <c r="S2331" i="1"/>
  <c r="O2331" i="1"/>
  <c r="N2331" i="1"/>
  <c r="M2331" i="1"/>
  <c r="S2330" i="1"/>
  <c r="O2330" i="1"/>
  <c r="N2330" i="1"/>
  <c r="M2330" i="1"/>
  <c r="S2329" i="1"/>
  <c r="O2329" i="1"/>
  <c r="N2329" i="1"/>
  <c r="M2329" i="1"/>
  <c r="S2328" i="1"/>
  <c r="O2328" i="1"/>
  <c r="N2328" i="1"/>
  <c r="M2328" i="1"/>
  <c r="S2327" i="1"/>
  <c r="O2327" i="1"/>
  <c r="N2327" i="1"/>
  <c r="M2327" i="1"/>
  <c r="S2326" i="1"/>
  <c r="O2326" i="1"/>
  <c r="N2326" i="1"/>
  <c r="M2326" i="1"/>
  <c r="S2325" i="1"/>
  <c r="O2325" i="1"/>
  <c r="N2325" i="1"/>
  <c r="M2325" i="1"/>
  <c r="S2324" i="1"/>
  <c r="O2324" i="1"/>
  <c r="N2324" i="1"/>
  <c r="M2324" i="1"/>
  <c r="S2323" i="1"/>
  <c r="O2323" i="1"/>
  <c r="N2323" i="1"/>
  <c r="M2323" i="1"/>
  <c r="S2322" i="1"/>
  <c r="O2322" i="1"/>
  <c r="N2322" i="1"/>
  <c r="M2322" i="1"/>
  <c r="S2321" i="1"/>
  <c r="O2321" i="1"/>
  <c r="N2321" i="1"/>
  <c r="M2321" i="1"/>
  <c r="S2320" i="1"/>
  <c r="O2320" i="1"/>
  <c r="N2320" i="1"/>
  <c r="M2320" i="1"/>
  <c r="S2319" i="1"/>
  <c r="O2319" i="1"/>
  <c r="N2319" i="1"/>
  <c r="M2319" i="1"/>
  <c r="S2317" i="1"/>
  <c r="O2317" i="1"/>
  <c r="N2317" i="1"/>
  <c r="M2317" i="1"/>
  <c r="S2316" i="1"/>
  <c r="O2316" i="1"/>
  <c r="N2316" i="1"/>
  <c r="M2316" i="1"/>
  <c r="S2315" i="1"/>
  <c r="O2315" i="1"/>
  <c r="N2315" i="1"/>
  <c r="M2315" i="1"/>
  <c r="S2314" i="1"/>
  <c r="O2314" i="1"/>
  <c r="N2314" i="1"/>
  <c r="M2314" i="1"/>
  <c r="S2308" i="1"/>
  <c r="O2308" i="1"/>
  <c r="N2308" i="1"/>
  <c r="M2308" i="1"/>
  <c r="S2307" i="1"/>
  <c r="O2307" i="1"/>
  <c r="N2307" i="1"/>
  <c r="M2307" i="1"/>
  <c r="S2305" i="1"/>
  <c r="O2305" i="1"/>
  <c r="N2305" i="1"/>
  <c r="M2305" i="1"/>
  <c r="S2304" i="1"/>
  <c r="O2304" i="1"/>
  <c r="N2304" i="1"/>
  <c r="M2304" i="1"/>
  <c r="S2303" i="1"/>
  <c r="O2303" i="1"/>
  <c r="N2303" i="1"/>
  <c r="M2303" i="1"/>
  <c r="S2302" i="1"/>
  <c r="O2302" i="1"/>
  <c r="N2302" i="1"/>
  <c r="M2302" i="1"/>
  <c r="S2301" i="1"/>
  <c r="O2301" i="1"/>
  <c r="N2301" i="1"/>
  <c r="M2301" i="1"/>
  <c r="S2300" i="1"/>
  <c r="O2300" i="1"/>
  <c r="N2300" i="1"/>
  <c r="M2300" i="1"/>
  <c r="S2299" i="1"/>
  <c r="O2299" i="1"/>
  <c r="N2299" i="1"/>
  <c r="M2299" i="1"/>
  <c r="S2297" i="1"/>
  <c r="O2297" i="1"/>
  <c r="N2297" i="1"/>
  <c r="M2297" i="1"/>
  <c r="S2296" i="1"/>
  <c r="O2296" i="1"/>
  <c r="N2296" i="1"/>
  <c r="M2296" i="1"/>
  <c r="S2295" i="1"/>
  <c r="O2295" i="1"/>
  <c r="N2295" i="1"/>
  <c r="M2295" i="1"/>
  <c r="S2294" i="1"/>
  <c r="O2294" i="1"/>
  <c r="N2294" i="1"/>
  <c r="M2294" i="1"/>
  <c r="S2293" i="1"/>
  <c r="O2293" i="1"/>
  <c r="N2293" i="1"/>
  <c r="M2293" i="1"/>
  <c r="S2292" i="1"/>
  <c r="O2292" i="1"/>
  <c r="N2292" i="1"/>
  <c r="M2292" i="1"/>
  <c r="S2290" i="1"/>
  <c r="O2290" i="1"/>
  <c r="N2290" i="1"/>
  <c r="M2290" i="1"/>
  <c r="S2288" i="1"/>
  <c r="O2288" i="1"/>
  <c r="N2288" i="1"/>
  <c r="M2288" i="1"/>
  <c r="S2286" i="1"/>
  <c r="O2286" i="1"/>
  <c r="N2286" i="1"/>
  <c r="M2286" i="1"/>
  <c r="S2285" i="1"/>
  <c r="O2285" i="1"/>
  <c r="N2285" i="1"/>
  <c r="M2285" i="1"/>
  <c r="S2284" i="1"/>
  <c r="O2284" i="1"/>
  <c r="N2284" i="1"/>
  <c r="M2284" i="1"/>
  <c r="S2283" i="1"/>
  <c r="O2283" i="1"/>
  <c r="N2283" i="1"/>
  <c r="M2283" i="1"/>
  <c r="S2281" i="1"/>
  <c r="O2281" i="1"/>
  <c r="N2281" i="1"/>
  <c r="M2281" i="1"/>
  <c r="S2280" i="1"/>
  <c r="O2280" i="1"/>
  <c r="N2280" i="1"/>
  <c r="M2280" i="1"/>
  <c r="S2277" i="1"/>
  <c r="O2277" i="1"/>
  <c r="N2277" i="1"/>
  <c r="M2277" i="1"/>
  <c r="S2276" i="1"/>
  <c r="O2276" i="1"/>
  <c r="N2276" i="1"/>
  <c r="M2276" i="1"/>
  <c r="S2275" i="1"/>
  <c r="O2275" i="1"/>
  <c r="N2275" i="1"/>
  <c r="M2275" i="1"/>
  <c r="S2274" i="1"/>
  <c r="O2274" i="1"/>
  <c r="N2274" i="1"/>
  <c r="M2274" i="1"/>
  <c r="S2272" i="1"/>
  <c r="O2272" i="1"/>
  <c r="N2272" i="1"/>
  <c r="M2272" i="1"/>
  <c r="S2271" i="1"/>
  <c r="O2271" i="1"/>
  <c r="N2271" i="1"/>
  <c r="M2271" i="1"/>
  <c r="S2270" i="1"/>
  <c r="O2270" i="1"/>
  <c r="N2270" i="1"/>
  <c r="M2270" i="1"/>
  <c r="S2269" i="1"/>
  <c r="O2269" i="1"/>
  <c r="N2269" i="1"/>
  <c r="M2269" i="1"/>
  <c r="S2268" i="1"/>
  <c r="O2268" i="1"/>
  <c r="N2268" i="1"/>
  <c r="M2268" i="1"/>
  <c r="S2267" i="1"/>
  <c r="O2267" i="1"/>
  <c r="N2267" i="1"/>
  <c r="M2267" i="1"/>
  <c r="S2265" i="1"/>
  <c r="O2265" i="1"/>
  <c r="N2265" i="1"/>
  <c r="M2265" i="1"/>
  <c r="S2264" i="1"/>
  <c r="N2264" i="1"/>
  <c r="M2264" i="1"/>
  <c r="S2262" i="1"/>
  <c r="O2262" i="1"/>
  <c r="N2262" i="1"/>
  <c r="M2262" i="1"/>
  <c r="S2261" i="1"/>
  <c r="O2261" i="1"/>
  <c r="N2261" i="1"/>
  <c r="M2261" i="1"/>
  <c r="S2258" i="1"/>
  <c r="O2258" i="1"/>
  <c r="N2258" i="1"/>
  <c r="M2258" i="1"/>
  <c r="S2257" i="1"/>
  <c r="O2257" i="1"/>
  <c r="N2257" i="1"/>
  <c r="M2257" i="1"/>
  <c r="S2256" i="1"/>
  <c r="O2256" i="1"/>
  <c r="N2256" i="1"/>
  <c r="M2256" i="1"/>
  <c r="S2255" i="1"/>
  <c r="O2255" i="1"/>
  <c r="N2255" i="1"/>
  <c r="M2255" i="1"/>
  <c r="S2253" i="1"/>
  <c r="O2253" i="1"/>
  <c r="N2253" i="1"/>
  <c r="M2253" i="1"/>
  <c r="S2252" i="1"/>
  <c r="O2252" i="1"/>
  <c r="N2252" i="1"/>
  <c r="M2252" i="1"/>
  <c r="S2251" i="1"/>
  <c r="O2251" i="1"/>
  <c r="N2251" i="1"/>
  <c r="M2251" i="1"/>
  <c r="S2250" i="1"/>
  <c r="O2250" i="1"/>
  <c r="N2250" i="1"/>
  <c r="M2250" i="1"/>
  <c r="S2249" i="1"/>
  <c r="O2249" i="1"/>
  <c r="N2249" i="1"/>
  <c r="M2249" i="1"/>
  <c r="S2248" i="1"/>
  <c r="O2248" i="1"/>
  <c r="N2248" i="1"/>
  <c r="M2248" i="1"/>
  <c r="S2247" i="1"/>
  <c r="O2247" i="1"/>
  <c r="N2247" i="1"/>
  <c r="M2247" i="1"/>
  <c r="S2246" i="1"/>
  <c r="O2246" i="1"/>
  <c r="N2246" i="1"/>
  <c r="M2246" i="1"/>
  <c r="S2245" i="1"/>
  <c r="O2245" i="1"/>
  <c r="N2245" i="1"/>
  <c r="M2245" i="1"/>
  <c r="S2241" i="1"/>
  <c r="O2241" i="1"/>
  <c r="N2241" i="1"/>
  <c r="M2241" i="1"/>
  <c r="S2239" i="1"/>
  <c r="O2239" i="1"/>
  <c r="N2239" i="1"/>
  <c r="M2239" i="1"/>
  <c r="S2237" i="1"/>
  <c r="N2237" i="1"/>
  <c r="M2237" i="1"/>
  <c r="S2236" i="1"/>
  <c r="O2236" i="1"/>
  <c r="N2236" i="1"/>
  <c r="M2236" i="1"/>
  <c r="S2235" i="1"/>
  <c r="O2235" i="1"/>
  <c r="N2235" i="1"/>
  <c r="M2235" i="1"/>
  <c r="S2234" i="1"/>
  <c r="O2234" i="1"/>
  <c r="N2234" i="1"/>
  <c r="M2234" i="1"/>
  <c r="S2233" i="1"/>
  <c r="N2233" i="1"/>
  <c r="M2233" i="1"/>
  <c r="S2232" i="1"/>
  <c r="O2232" i="1"/>
  <c r="N2232" i="1"/>
  <c r="M2232" i="1"/>
  <c r="S2230" i="1"/>
  <c r="O2230" i="1"/>
  <c r="N2230" i="1"/>
  <c r="M2230" i="1"/>
  <c r="S2229" i="1"/>
  <c r="O2229" i="1"/>
  <c r="N2229" i="1"/>
  <c r="M2229" i="1"/>
  <c r="S2228" i="1"/>
  <c r="O2228" i="1"/>
  <c r="N2228" i="1"/>
  <c r="M2228" i="1"/>
  <c r="S2227" i="1"/>
  <c r="O2227" i="1"/>
  <c r="N2227" i="1"/>
  <c r="M2227" i="1"/>
  <c r="S2225" i="1"/>
  <c r="O2225" i="1"/>
  <c r="N2225" i="1"/>
  <c r="M2225" i="1"/>
  <c r="S2222" i="1"/>
  <c r="O2222" i="1"/>
  <c r="N2222" i="1"/>
  <c r="M2222" i="1"/>
  <c r="S2220" i="1"/>
  <c r="O2220" i="1"/>
  <c r="N2220" i="1"/>
  <c r="M2220" i="1"/>
  <c r="S2218" i="1"/>
  <c r="O2218" i="1"/>
  <c r="N2218" i="1"/>
  <c r="M2218" i="1"/>
  <c r="S2217" i="1"/>
  <c r="O2217" i="1"/>
  <c r="N2217" i="1"/>
  <c r="M2217" i="1"/>
  <c r="S2216" i="1"/>
  <c r="O2216" i="1"/>
  <c r="N2216" i="1"/>
  <c r="M2216" i="1"/>
  <c r="S2215" i="1"/>
  <c r="O2215" i="1"/>
  <c r="N2215" i="1"/>
  <c r="M2215" i="1"/>
  <c r="S2214" i="1"/>
  <c r="O2214" i="1"/>
  <c r="N2214" i="1"/>
  <c r="M2214" i="1"/>
  <c r="S2213" i="1"/>
  <c r="O2213" i="1"/>
  <c r="N2213" i="1"/>
  <c r="M2213" i="1"/>
  <c r="S2211" i="1"/>
  <c r="O2211" i="1"/>
  <c r="N2211" i="1"/>
  <c r="M2211" i="1"/>
  <c r="S2210" i="1"/>
  <c r="O2210" i="1"/>
  <c r="N2210" i="1"/>
  <c r="M2210" i="1"/>
  <c r="S2207" i="1"/>
  <c r="O2207" i="1"/>
  <c r="N2207" i="1"/>
  <c r="M2207" i="1"/>
  <c r="S2205" i="1"/>
  <c r="O2205" i="1"/>
  <c r="N2205" i="1"/>
  <c r="M2205" i="1"/>
  <c r="S2204" i="1"/>
  <c r="O2204" i="1"/>
  <c r="N2204" i="1"/>
  <c r="M2204" i="1"/>
  <c r="S2203" i="1"/>
  <c r="O2203" i="1"/>
  <c r="N2203" i="1"/>
  <c r="M2203" i="1"/>
  <c r="S2202" i="1"/>
  <c r="O2202" i="1"/>
  <c r="N2202" i="1"/>
  <c r="M2202" i="1"/>
  <c r="S2201" i="1"/>
  <c r="O2201" i="1"/>
  <c r="N2201" i="1"/>
  <c r="M2201" i="1"/>
  <c r="S2200" i="1"/>
  <c r="O2200" i="1"/>
  <c r="N2200" i="1"/>
  <c r="M2200" i="1"/>
  <c r="S2199" i="1"/>
  <c r="O2199" i="1"/>
  <c r="N2199" i="1"/>
  <c r="M2199" i="1"/>
  <c r="S2198" i="1"/>
  <c r="O2198" i="1"/>
  <c r="N2198" i="1"/>
  <c r="M2198" i="1"/>
  <c r="S2197" i="1"/>
  <c r="O2197" i="1"/>
  <c r="N2197" i="1"/>
  <c r="M2197" i="1"/>
  <c r="S2196" i="1"/>
  <c r="O2196" i="1"/>
  <c r="N2196" i="1"/>
  <c r="M2196" i="1"/>
  <c r="S2194" i="1"/>
  <c r="O2194" i="1"/>
  <c r="N2194" i="1"/>
  <c r="M2194" i="1"/>
  <c r="S2193" i="1"/>
  <c r="O2193" i="1"/>
  <c r="N2193" i="1"/>
  <c r="M2193" i="1"/>
  <c r="S2192" i="1"/>
  <c r="O2192" i="1"/>
  <c r="N2192" i="1"/>
  <c r="M2192" i="1"/>
  <c r="S2191" i="1"/>
  <c r="O2191" i="1"/>
  <c r="N2191" i="1"/>
  <c r="M2191" i="1"/>
  <c r="S2188" i="1"/>
  <c r="M2188" i="1"/>
  <c r="S2186" i="1"/>
  <c r="O2186" i="1"/>
  <c r="N2186" i="1"/>
  <c r="M2186" i="1"/>
  <c r="S2185" i="1"/>
  <c r="O2185" i="1"/>
  <c r="N2185" i="1"/>
  <c r="M2185" i="1"/>
  <c r="S2184" i="1"/>
  <c r="O2184" i="1"/>
  <c r="N2184" i="1"/>
  <c r="M2184" i="1"/>
  <c r="S2182" i="1"/>
  <c r="O2182" i="1"/>
  <c r="N2182" i="1"/>
  <c r="M2182" i="1"/>
  <c r="S2181" i="1"/>
  <c r="O2181" i="1"/>
  <c r="N2181" i="1"/>
  <c r="M2181" i="1"/>
  <c r="S2180" i="1"/>
  <c r="O2180" i="1"/>
  <c r="N2180" i="1"/>
  <c r="M2180" i="1"/>
  <c r="S2179" i="1"/>
  <c r="O2179" i="1"/>
  <c r="N2179" i="1"/>
  <c r="M2179" i="1"/>
  <c r="S2178" i="1"/>
  <c r="O2178" i="1"/>
  <c r="N2178" i="1"/>
  <c r="M2178" i="1"/>
  <c r="S2177" i="1"/>
  <c r="O2177" i="1"/>
  <c r="N2177" i="1"/>
  <c r="M2177" i="1"/>
  <c r="S2176" i="1"/>
  <c r="O2176" i="1"/>
  <c r="N2176" i="1"/>
  <c r="M2176" i="1"/>
  <c r="S2175" i="1"/>
  <c r="O2175" i="1"/>
  <c r="N2175" i="1"/>
  <c r="M2175" i="1"/>
  <c r="S2174" i="1"/>
  <c r="O2174" i="1"/>
  <c r="N2174" i="1"/>
  <c r="M2174" i="1"/>
  <c r="S2173" i="1"/>
  <c r="O2173" i="1"/>
  <c r="N2173" i="1"/>
  <c r="M2173" i="1"/>
  <c r="S2171" i="1"/>
  <c r="O2171" i="1"/>
  <c r="N2171" i="1"/>
  <c r="M2171" i="1"/>
  <c r="S2170" i="1"/>
  <c r="O2170" i="1"/>
  <c r="N2170" i="1"/>
  <c r="M2170" i="1"/>
  <c r="S2169" i="1"/>
  <c r="O2169" i="1"/>
  <c r="N2169" i="1"/>
  <c r="M2169" i="1"/>
  <c r="S2168" i="1"/>
  <c r="O2168" i="1"/>
  <c r="N2168" i="1"/>
  <c r="M2168" i="1"/>
  <c r="S2167" i="1"/>
  <c r="O2167" i="1"/>
  <c r="N2167" i="1"/>
  <c r="M2167" i="1"/>
  <c r="S2166" i="1"/>
  <c r="O2166" i="1"/>
  <c r="N2166" i="1"/>
  <c r="M2166" i="1"/>
  <c r="S2165" i="1"/>
  <c r="O2165" i="1"/>
  <c r="N2165" i="1"/>
  <c r="M2165" i="1"/>
  <c r="S2163" i="1"/>
  <c r="O2163" i="1"/>
  <c r="N2163" i="1"/>
  <c r="M2163" i="1"/>
  <c r="S2162" i="1"/>
  <c r="O2162" i="1"/>
  <c r="N2162" i="1"/>
  <c r="M2162" i="1"/>
  <c r="S2160" i="1"/>
  <c r="O2160" i="1"/>
  <c r="N2160" i="1"/>
  <c r="M2160" i="1"/>
  <c r="S2159" i="1"/>
  <c r="O2159" i="1"/>
  <c r="N2159" i="1"/>
  <c r="M2159" i="1"/>
  <c r="S2158" i="1"/>
  <c r="O2158" i="1"/>
  <c r="N2158" i="1"/>
  <c r="M2158" i="1"/>
  <c r="S2155" i="1"/>
  <c r="O2155" i="1"/>
  <c r="N2155" i="1"/>
  <c r="M2155" i="1"/>
  <c r="S2153" i="1"/>
  <c r="O2153" i="1"/>
  <c r="N2153" i="1"/>
  <c r="M2153" i="1"/>
  <c r="S2150" i="1"/>
  <c r="O2150" i="1"/>
  <c r="N2150" i="1"/>
  <c r="M2150" i="1"/>
  <c r="S2149" i="1"/>
  <c r="O2149" i="1"/>
  <c r="N2149" i="1"/>
  <c r="M2149" i="1"/>
  <c r="S2148" i="1"/>
  <c r="O2148" i="1"/>
  <c r="N2148" i="1"/>
  <c r="M2148" i="1"/>
  <c r="S2147" i="1"/>
  <c r="O2147" i="1"/>
  <c r="N2147" i="1"/>
  <c r="M2147" i="1"/>
  <c r="S2146" i="1"/>
  <c r="O2146" i="1"/>
  <c r="N2146" i="1"/>
  <c r="M2146" i="1"/>
  <c r="S2145" i="1"/>
  <c r="O2145" i="1"/>
  <c r="N2145" i="1"/>
  <c r="M2145" i="1"/>
  <c r="S2144" i="1"/>
  <c r="O2144" i="1"/>
  <c r="N2144" i="1"/>
  <c r="M2144" i="1"/>
  <c r="S2143" i="1"/>
  <c r="O2143" i="1"/>
  <c r="N2143" i="1"/>
  <c r="M2143" i="1"/>
  <c r="S2142" i="1"/>
  <c r="O2142" i="1"/>
  <c r="N2142" i="1"/>
  <c r="M2142" i="1"/>
  <c r="S2141" i="1"/>
  <c r="O2141" i="1"/>
  <c r="N2141" i="1"/>
  <c r="M2141" i="1"/>
  <c r="S2140" i="1"/>
  <c r="O2140" i="1"/>
  <c r="N2140" i="1"/>
  <c r="M2140" i="1"/>
  <c r="S2139" i="1"/>
  <c r="O2139" i="1"/>
  <c r="N2139" i="1"/>
  <c r="M2139" i="1"/>
  <c r="S2138" i="1"/>
  <c r="O2138" i="1"/>
  <c r="N2138" i="1"/>
  <c r="M2138" i="1"/>
  <c r="S2136" i="1"/>
  <c r="O2136" i="1"/>
  <c r="N2136" i="1"/>
  <c r="M2136" i="1"/>
  <c r="S2135" i="1"/>
  <c r="O2135" i="1"/>
  <c r="N2135" i="1"/>
  <c r="M2135" i="1"/>
  <c r="S2134" i="1"/>
  <c r="O2134" i="1"/>
  <c r="N2134" i="1"/>
  <c r="M2134" i="1"/>
  <c r="S2133" i="1"/>
  <c r="O2133" i="1"/>
  <c r="N2133" i="1"/>
  <c r="M2133" i="1"/>
  <c r="S2132" i="1"/>
  <c r="O2132" i="1"/>
  <c r="N2132" i="1"/>
  <c r="M2132" i="1"/>
  <c r="S2131" i="1"/>
  <c r="O2131" i="1"/>
  <c r="N2131" i="1"/>
  <c r="M2131" i="1"/>
  <c r="S2130" i="1"/>
  <c r="O2130" i="1"/>
  <c r="N2130" i="1"/>
  <c r="M2130" i="1"/>
  <c r="S2129" i="1"/>
  <c r="O2129" i="1"/>
  <c r="N2129" i="1"/>
  <c r="M2129" i="1"/>
  <c r="S2128" i="1"/>
  <c r="O2128" i="1"/>
  <c r="N2128" i="1"/>
  <c r="M2128" i="1"/>
  <c r="S2127" i="1"/>
  <c r="O2127" i="1"/>
  <c r="N2127" i="1"/>
  <c r="M2127" i="1"/>
  <c r="S2126" i="1"/>
  <c r="O2126" i="1"/>
  <c r="N2126" i="1"/>
  <c r="M2126" i="1"/>
  <c r="S2125" i="1"/>
  <c r="O2125" i="1"/>
  <c r="N2125" i="1"/>
  <c r="M2125" i="1"/>
  <c r="S2123" i="1"/>
  <c r="O2123" i="1"/>
  <c r="N2123" i="1"/>
  <c r="M2123" i="1"/>
  <c r="S2122" i="1"/>
  <c r="O2122" i="1"/>
  <c r="N2122" i="1"/>
  <c r="M2122" i="1"/>
  <c r="S2121" i="1"/>
  <c r="O2121" i="1"/>
  <c r="N2121" i="1"/>
  <c r="M2121" i="1"/>
  <c r="S2120" i="1"/>
  <c r="O2120" i="1"/>
  <c r="N2120" i="1"/>
  <c r="M2120" i="1"/>
  <c r="S2119" i="1"/>
  <c r="O2119" i="1"/>
  <c r="N2119" i="1"/>
  <c r="M2119" i="1"/>
  <c r="S2118" i="1"/>
  <c r="O2118" i="1"/>
  <c r="N2118" i="1"/>
  <c r="M2118" i="1"/>
  <c r="S2117" i="1"/>
  <c r="O2117" i="1"/>
  <c r="N2117" i="1"/>
  <c r="M2117" i="1"/>
  <c r="S2116" i="1"/>
  <c r="O2116" i="1"/>
  <c r="N2116" i="1"/>
  <c r="M2116" i="1"/>
  <c r="S2115" i="1"/>
  <c r="O2115" i="1"/>
  <c r="N2115" i="1"/>
  <c r="M2115" i="1"/>
  <c r="S2114" i="1"/>
  <c r="O2114" i="1"/>
  <c r="N2114" i="1"/>
  <c r="M2114" i="1"/>
  <c r="S2112" i="1"/>
  <c r="O2112" i="1"/>
  <c r="N2112" i="1"/>
  <c r="M2112" i="1"/>
  <c r="S2111" i="1"/>
  <c r="O2111" i="1"/>
  <c r="N2111" i="1"/>
  <c r="M2111" i="1"/>
  <c r="S2110" i="1"/>
  <c r="O2110" i="1"/>
  <c r="N2110" i="1"/>
  <c r="M2110" i="1"/>
  <c r="S2109" i="1"/>
  <c r="O2109" i="1"/>
  <c r="N2109" i="1"/>
  <c r="M2109" i="1"/>
  <c r="S2108" i="1"/>
  <c r="O2108" i="1"/>
  <c r="N2108" i="1"/>
  <c r="M2108" i="1"/>
  <c r="S2107" i="1"/>
  <c r="O2107" i="1"/>
  <c r="N2107" i="1"/>
  <c r="M2107" i="1"/>
  <c r="S2106" i="1"/>
  <c r="O2106" i="1"/>
  <c r="N2106" i="1"/>
  <c r="M2106" i="1"/>
  <c r="S2105" i="1"/>
  <c r="O2105" i="1"/>
  <c r="N2105" i="1"/>
  <c r="M2105" i="1"/>
  <c r="S2104" i="1"/>
  <c r="O2104" i="1"/>
  <c r="N2104" i="1"/>
  <c r="M2104" i="1"/>
  <c r="S2103" i="1"/>
  <c r="O2103" i="1"/>
  <c r="N2103" i="1"/>
  <c r="M2103" i="1"/>
  <c r="S2102" i="1"/>
  <c r="O2102" i="1"/>
  <c r="N2102" i="1"/>
  <c r="M2102" i="1"/>
  <c r="S2101" i="1"/>
  <c r="O2101" i="1"/>
  <c r="N2101" i="1"/>
  <c r="M2101" i="1"/>
  <c r="S2096" i="1"/>
  <c r="O2096" i="1"/>
  <c r="N2096" i="1"/>
  <c r="M2096" i="1"/>
  <c r="S2095" i="1"/>
  <c r="O2095" i="1"/>
  <c r="N2095" i="1"/>
  <c r="M2095" i="1"/>
  <c r="S2094" i="1"/>
  <c r="O2094" i="1"/>
  <c r="N2094" i="1"/>
  <c r="M2094" i="1"/>
  <c r="S2093" i="1"/>
  <c r="O2093" i="1"/>
  <c r="N2093" i="1"/>
  <c r="M2093" i="1"/>
  <c r="S2092" i="1"/>
  <c r="O2092" i="1"/>
  <c r="N2092" i="1"/>
  <c r="M2092" i="1"/>
  <c r="S2091" i="1"/>
  <c r="O2091" i="1"/>
  <c r="N2091" i="1"/>
  <c r="M2091" i="1"/>
  <c r="S2090" i="1"/>
  <c r="O2090" i="1"/>
  <c r="N2090" i="1"/>
  <c r="M2090" i="1"/>
  <c r="S2089" i="1"/>
  <c r="O2089" i="1"/>
  <c r="N2089" i="1"/>
  <c r="M2089" i="1"/>
  <c r="S2088" i="1"/>
  <c r="O2088" i="1"/>
  <c r="N2088" i="1"/>
  <c r="M2088" i="1"/>
  <c r="S2087" i="1"/>
  <c r="O2087" i="1"/>
  <c r="N2087" i="1"/>
  <c r="M2087" i="1"/>
  <c r="S2086" i="1"/>
  <c r="O2086" i="1"/>
  <c r="N2086" i="1"/>
  <c r="M2086" i="1"/>
  <c r="S2085" i="1"/>
  <c r="O2085" i="1"/>
  <c r="N2085" i="1"/>
  <c r="M2085" i="1"/>
  <c r="S2084" i="1"/>
  <c r="O2084" i="1"/>
  <c r="N2084" i="1"/>
  <c r="M2084" i="1"/>
  <c r="S2083" i="1"/>
  <c r="O2083" i="1"/>
  <c r="N2083" i="1"/>
  <c r="M2083" i="1"/>
  <c r="S2082" i="1"/>
  <c r="O2082" i="1"/>
  <c r="N2082" i="1"/>
  <c r="M2082" i="1"/>
  <c r="S2081" i="1"/>
  <c r="O2081" i="1"/>
  <c r="N2081" i="1"/>
  <c r="M2081" i="1"/>
  <c r="S2080" i="1"/>
  <c r="O2080" i="1"/>
  <c r="N2080" i="1"/>
  <c r="M2080" i="1"/>
  <c r="S2079" i="1"/>
  <c r="O2079" i="1"/>
  <c r="N2079" i="1"/>
  <c r="M2079" i="1"/>
  <c r="S2078" i="1"/>
  <c r="O2078" i="1"/>
  <c r="N2078" i="1"/>
  <c r="M2078" i="1"/>
  <c r="S2077" i="1"/>
  <c r="O2077" i="1"/>
  <c r="N2077" i="1"/>
  <c r="M2077" i="1"/>
  <c r="S2076" i="1"/>
  <c r="O2076" i="1"/>
  <c r="N2076" i="1"/>
  <c r="M2076" i="1"/>
  <c r="S2075" i="1"/>
  <c r="O2075" i="1"/>
  <c r="N2075" i="1"/>
  <c r="M2075" i="1"/>
  <c r="S2074" i="1"/>
  <c r="O2074" i="1"/>
  <c r="N2074" i="1"/>
  <c r="M2074" i="1"/>
  <c r="S2073" i="1"/>
  <c r="O2073" i="1"/>
  <c r="N2073" i="1"/>
  <c r="M2073" i="1"/>
  <c r="S2071" i="1"/>
  <c r="O2071" i="1"/>
  <c r="N2071" i="1"/>
  <c r="M2071" i="1"/>
  <c r="S2070" i="1"/>
  <c r="O2070" i="1"/>
  <c r="N2070" i="1"/>
  <c r="M2070" i="1"/>
  <c r="S2069" i="1"/>
  <c r="O2069" i="1"/>
  <c r="N2069" i="1"/>
  <c r="M2069" i="1"/>
  <c r="S2068" i="1"/>
  <c r="O2068" i="1"/>
  <c r="N2068" i="1"/>
  <c r="M2068" i="1"/>
  <c r="S2067" i="1"/>
  <c r="O2067" i="1"/>
  <c r="N2067" i="1"/>
  <c r="M2067" i="1"/>
  <c r="S2066" i="1"/>
  <c r="O2066" i="1"/>
  <c r="N2066" i="1"/>
  <c r="M2066" i="1"/>
  <c r="S2065" i="1"/>
  <c r="O2065" i="1"/>
  <c r="N2065" i="1"/>
  <c r="M2065" i="1"/>
  <c r="S2064" i="1"/>
  <c r="O2064" i="1"/>
  <c r="N2064" i="1"/>
  <c r="M2064" i="1"/>
  <c r="S2063" i="1"/>
  <c r="O2063" i="1"/>
  <c r="N2063" i="1"/>
  <c r="M2063" i="1"/>
  <c r="S2062" i="1"/>
  <c r="O2062" i="1"/>
  <c r="N2062" i="1"/>
  <c r="M2062" i="1"/>
  <c r="S2061" i="1"/>
  <c r="O2061" i="1"/>
  <c r="N2061" i="1"/>
  <c r="M2061" i="1"/>
  <c r="S2060" i="1"/>
  <c r="O2060" i="1"/>
  <c r="N2060" i="1"/>
  <c r="M2060" i="1"/>
  <c r="S2059" i="1"/>
  <c r="O2059" i="1"/>
  <c r="N2059" i="1"/>
  <c r="M2059" i="1"/>
  <c r="S2058" i="1"/>
  <c r="O2058" i="1"/>
  <c r="N2058" i="1"/>
  <c r="M2058" i="1"/>
  <c r="S2055" i="1"/>
  <c r="O2055" i="1"/>
  <c r="N2055" i="1"/>
  <c r="M2055" i="1"/>
  <c r="S2054" i="1"/>
  <c r="O2054" i="1"/>
  <c r="N2054" i="1"/>
  <c r="M2054" i="1"/>
  <c r="S2053" i="1"/>
  <c r="O2053" i="1"/>
  <c r="N2053" i="1"/>
  <c r="M2053" i="1"/>
  <c r="S2051" i="1"/>
  <c r="O2051" i="1"/>
  <c r="N2051" i="1"/>
  <c r="M2051" i="1"/>
  <c r="S2050" i="1"/>
  <c r="O2050" i="1"/>
  <c r="N2050" i="1"/>
  <c r="M2050" i="1"/>
  <c r="S2049" i="1"/>
  <c r="O2049" i="1"/>
  <c r="N2049" i="1"/>
  <c r="M2049" i="1"/>
  <c r="S2048" i="1"/>
  <c r="O2048" i="1"/>
  <c r="N2048" i="1"/>
  <c r="M2048" i="1"/>
  <c r="S2047" i="1"/>
  <c r="O2047" i="1"/>
  <c r="N2047" i="1"/>
  <c r="M2047" i="1"/>
  <c r="S2046" i="1"/>
  <c r="O2046" i="1"/>
  <c r="N2046" i="1"/>
  <c r="M2046" i="1"/>
  <c r="S2045" i="1"/>
  <c r="O2045" i="1"/>
  <c r="N2045" i="1"/>
  <c r="M2045" i="1"/>
  <c r="S2044" i="1"/>
  <c r="O2044" i="1"/>
  <c r="N2044" i="1"/>
  <c r="M2044" i="1"/>
  <c r="S2043" i="1"/>
  <c r="O2043" i="1"/>
  <c r="N2043" i="1"/>
  <c r="M2043" i="1"/>
  <c r="S2042" i="1"/>
  <c r="O2042" i="1"/>
  <c r="N2042" i="1"/>
  <c r="M2042" i="1"/>
  <c r="S2041" i="1"/>
  <c r="O2041" i="1"/>
  <c r="N2041" i="1"/>
  <c r="M2041" i="1"/>
  <c r="S2040" i="1"/>
  <c r="O2040" i="1"/>
  <c r="N2040" i="1"/>
  <c r="M2040" i="1"/>
  <c r="S2039" i="1"/>
  <c r="O2039" i="1"/>
  <c r="N2039" i="1"/>
  <c r="M2039" i="1"/>
  <c r="S2038" i="1"/>
  <c r="O2038" i="1"/>
  <c r="N2038" i="1"/>
  <c r="M2038" i="1"/>
  <c r="S2037" i="1"/>
  <c r="O2037" i="1"/>
  <c r="N2037" i="1"/>
  <c r="M2037" i="1"/>
  <c r="S2036" i="1"/>
  <c r="O2036" i="1"/>
  <c r="N2036" i="1"/>
  <c r="M2036" i="1"/>
  <c r="S2035" i="1"/>
  <c r="O2035" i="1"/>
  <c r="N2035" i="1"/>
  <c r="M2035" i="1"/>
  <c r="S2033" i="1"/>
  <c r="O2033" i="1"/>
  <c r="N2033" i="1"/>
  <c r="M2033" i="1"/>
  <c r="S2032" i="1"/>
  <c r="O2032" i="1"/>
  <c r="N2032" i="1"/>
  <c r="M2032" i="1"/>
  <c r="S2031" i="1"/>
  <c r="O2031" i="1"/>
  <c r="N2031" i="1"/>
  <c r="M2031" i="1"/>
  <c r="S2030" i="1"/>
  <c r="O2030" i="1"/>
  <c r="N2030" i="1"/>
  <c r="M2030" i="1"/>
  <c r="S2028" i="1"/>
  <c r="O2028" i="1"/>
  <c r="N2028" i="1"/>
  <c r="M2028" i="1"/>
  <c r="S2027" i="1"/>
  <c r="O2027" i="1"/>
  <c r="N2027" i="1"/>
  <c r="M2027" i="1"/>
  <c r="S2026" i="1"/>
  <c r="O2026" i="1"/>
  <c r="N2026" i="1"/>
  <c r="M2026" i="1"/>
  <c r="S2025" i="1"/>
  <c r="O2025" i="1"/>
  <c r="N2025" i="1"/>
  <c r="M2025" i="1"/>
  <c r="S2022" i="1"/>
  <c r="O2022" i="1"/>
  <c r="N2022" i="1"/>
  <c r="M2022" i="1"/>
  <c r="S2021" i="1"/>
  <c r="O2021" i="1"/>
  <c r="N2021" i="1"/>
  <c r="M2021" i="1"/>
  <c r="S2020" i="1"/>
  <c r="O2020" i="1"/>
  <c r="N2020" i="1"/>
  <c r="M2020" i="1"/>
  <c r="S2019" i="1"/>
  <c r="O2019" i="1"/>
  <c r="N2019" i="1"/>
  <c r="M2019" i="1"/>
  <c r="S2018" i="1"/>
  <c r="O2018" i="1"/>
  <c r="N2018" i="1"/>
  <c r="M2018" i="1"/>
  <c r="S2017" i="1"/>
  <c r="O2017" i="1"/>
  <c r="N2017" i="1"/>
  <c r="M2017" i="1"/>
  <c r="S2016" i="1"/>
  <c r="O2016" i="1"/>
  <c r="N2016" i="1"/>
  <c r="M2016" i="1"/>
  <c r="S2015" i="1"/>
  <c r="O2015" i="1"/>
  <c r="N2015" i="1"/>
  <c r="M2015" i="1"/>
  <c r="S2014" i="1"/>
  <c r="O2014" i="1"/>
  <c r="N2014" i="1"/>
  <c r="M2014" i="1"/>
  <c r="S2013" i="1"/>
  <c r="O2013" i="1"/>
  <c r="N2013" i="1"/>
  <c r="M2013" i="1"/>
  <c r="S2012" i="1"/>
  <c r="O2012" i="1"/>
  <c r="N2012" i="1"/>
  <c r="M2012" i="1"/>
  <c r="S2011" i="1"/>
  <c r="O2011" i="1"/>
  <c r="N2011" i="1"/>
  <c r="M2011" i="1"/>
  <c r="S2009" i="1"/>
  <c r="O2009" i="1"/>
  <c r="N2009" i="1"/>
  <c r="M2009" i="1"/>
  <c r="S2008" i="1"/>
  <c r="O2008" i="1"/>
  <c r="N2008" i="1"/>
  <c r="M2008" i="1"/>
  <c r="S2007" i="1"/>
  <c r="O2007" i="1"/>
  <c r="N2007" i="1"/>
  <c r="M2007" i="1"/>
  <c r="S2006" i="1"/>
  <c r="O2006" i="1"/>
  <c r="N2006" i="1"/>
  <c r="M2006" i="1"/>
  <c r="S2005" i="1"/>
  <c r="O2005" i="1"/>
  <c r="N2005" i="1"/>
  <c r="M2005" i="1"/>
  <c r="S2004" i="1"/>
  <c r="O2004" i="1"/>
  <c r="N2004" i="1"/>
  <c r="M2004" i="1"/>
  <c r="S2003" i="1"/>
  <c r="O2003" i="1"/>
  <c r="N2003" i="1"/>
  <c r="M2003" i="1"/>
  <c r="S2002" i="1"/>
  <c r="O2002" i="1"/>
  <c r="N2002" i="1"/>
  <c r="M2002" i="1"/>
  <c r="S2001" i="1"/>
  <c r="O2001" i="1"/>
  <c r="N2001" i="1"/>
  <c r="M2001" i="1"/>
  <c r="S1997" i="1"/>
  <c r="O1997" i="1"/>
  <c r="N1997" i="1"/>
  <c r="M1997" i="1"/>
  <c r="S1996" i="1"/>
  <c r="O1996" i="1"/>
  <c r="N1996" i="1"/>
  <c r="M1996" i="1"/>
  <c r="S1995" i="1"/>
  <c r="O1995" i="1"/>
  <c r="N1995" i="1"/>
  <c r="M1995" i="1"/>
  <c r="S1994" i="1"/>
  <c r="O1994" i="1"/>
  <c r="N1994" i="1"/>
  <c r="M1994" i="1"/>
  <c r="S1993" i="1"/>
  <c r="O1993" i="1"/>
  <c r="N1993" i="1"/>
  <c r="M1993" i="1"/>
  <c r="S1992" i="1"/>
  <c r="O1992" i="1"/>
  <c r="N1992" i="1"/>
  <c r="M1992" i="1"/>
  <c r="S1991" i="1"/>
  <c r="O1991" i="1"/>
  <c r="N1991" i="1"/>
  <c r="M1991" i="1"/>
  <c r="S1990" i="1"/>
  <c r="O1990" i="1"/>
  <c r="N1990" i="1"/>
  <c r="M1990" i="1"/>
  <c r="S1988" i="1"/>
  <c r="O1988" i="1"/>
  <c r="N1988" i="1"/>
  <c r="M1988" i="1"/>
  <c r="S1986" i="1"/>
  <c r="O1986" i="1"/>
  <c r="N1986" i="1"/>
  <c r="M1986" i="1"/>
  <c r="S1985" i="1"/>
  <c r="O1985" i="1"/>
  <c r="N1985" i="1"/>
  <c r="M1985" i="1"/>
  <c r="S1984" i="1"/>
  <c r="O1984" i="1"/>
  <c r="N1984" i="1"/>
  <c r="M1984" i="1"/>
  <c r="S1982" i="1"/>
  <c r="O1982" i="1"/>
  <c r="N1982" i="1"/>
  <c r="M1982" i="1"/>
  <c r="S1981" i="1"/>
  <c r="O1981" i="1"/>
  <c r="N1981" i="1"/>
  <c r="M1981" i="1"/>
  <c r="S1979" i="1"/>
  <c r="O1979" i="1"/>
  <c r="N1979" i="1"/>
  <c r="M1979" i="1"/>
  <c r="S1977" i="1"/>
  <c r="O1977" i="1"/>
  <c r="N1977" i="1"/>
  <c r="M1977" i="1"/>
  <c r="S1976" i="1"/>
  <c r="O1976" i="1"/>
  <c r="N1976" i="1"/>
  <c r="M1976" i="1"/>
  <c r="S1975" i="1"/>
  <c r="O1975" i="1"/>
  <c r="N1975" i="1"/>
  <c r="M1975" i="1"/>
  <c r="S1974" i="1"/>
  <c r="O1974" i="1"/>
  <c r="N1974" i="1"/>
  <c r="M1974" i="1"/>
  <c r="S1973" i="1"/>
  <c r="O1973" i="1"/>
  <c r="N1973" i="1"/>
  <c r="M1973" i="1"/>
  <c r="S1971" i="1"/>
  <c r="O1971" i="1"/>
  <c r="N1971" i="1"/>
  <c r="M1971" i="1"/>
  <c r="S1970" i="1"/>
  <c r="O1970" i="1"/>
  <c r="N1970" i="1"/>
  <c r="M1970" i="1"/>
  <c r="S1964" i="1"/>
  <c r="O1964" i="1"/>
  <c r="N1964" i="1"/>
  <c r="M1964" i="1"/>
  <c r="S1963" i="1"/>
  <c r="O1963" i="1"/>
  <c r="N1963" i="1"/>
  <c r="M1963" i="1"/>
  <c r="S1962" i="1"/>
  <c r="O1962" i="1"/>
  <c r="N1962" i="1"/>
  <c r="M1962" i="1"/>
  <c r="S1961" i="1"/>
  <c r="O1961" i="1"/>
  <c r="N1961" i="1"/>
  <c r="M1961" i="1"/>
  <c r="S1960" i="1"/>
  <c r="O1960" i="1"/>
  <c r="N1960" i="1"/>
  <c r="M1960" i="1"/>
  <c r="S1959" i="1"/>
  <c r="O1959" i="1"/>
  <c r="N1959" i="1"/>
  <c r="M1959" i="1"/>
  <c r="S1958" i="1"/>
  <c r="O1958" i="1"/>
  <c r="N1958" i="1"/>
  <c r="M1958" i="1"/>
  <c r="S1957" i="1"/>
  <c r="O1957" i="1"/>
  <c r="N1957" i="1"/>
  <c r="M1957" i="1"/>
  <c r="S1956" i="1"/>
  <c r="O1956" i="1"/>
  <c r="N1956" i="1"/>
  <c r="M1956" i="1"/>
  <c r="S1955" i="1"/>
  <c r="O1955" i="1"/>
  <c r="N1955" i="1"/>
  <c r="M1955" i="1"/>
  <c r="S1954" i="1"/>
  <c r="O1954" i="1"/>
  <c r="N1954" i="1"/>
  <c r="M1954" i="1"/>
  <c r="S1953" i="1"/>
  <c r="O1953" i="1"/>
  <c r="N1953" i="1"/>
  <c r="M1953" i="1"/>
  <c r="S1951" i="1"/>
  <c r="O1951" i="1"/>
  <c r="N1951" i="1"/>
  <c r="M1951" i="1"/>
  <c r="S1950" i="1"/>
  <c r="O1950" i="1"/>
  <c r="N1950" i="1"/>
  <c r="M1950" i="1"/>
  <c r="S1949" i="1"/>
  <c r="O1949" i="1"/>
  <c r="N1949" i="1"/>
  <c r="M1949" i="1"/>
  <c r="S1948" i="1"/>
  <c r="O1948" i="1"/>
  <c r="N1948" i="1"/>
  <c r="M1948" i="1"/>
  <c r="S1946" i="1"/>
  <c r="O1946" i="1"/>
  <c r="N1946" i="1"/>
  <c r="M1946" i="1"/>
  <c r="S1944" i="1"/>
  <c r="O1944" i="1"/>
  <c r="N1944" i="1"/>
  <c r="M1944" i="1"/>
  <c r="S1943" i="1"/>
  <c r="O1943" i="1"/>
  <c r="N1943" i="1"/>
  <c r="M1943" i="1"/>
  <c r="S1942" i="1"/>
  <c r="O1942" i="1"/>
  <c r="N1942" i="1"/>
  <c r="M1942" i="1"/>
  <c r="S1941" i="1"/>
  <c r="O1941" i="1"/>
  <c r="N1941" i="1"/>
  <c r="M1941" i="1"/>
  <c r="S1939" i="1"/>
  <c r="O1939" i="1"/>
  <c r="N1939" i="1"/>
  <c r="M1939" i="1"/>
  <c r="S1938" i="1"/>
  <c r="O1938" i="1"/>
  <c r="N1938" i="1"/>
  <c r="M1938" i="1"/>
  <c r="S1937" i="1"/>
  <c r="O1937" i="1"/>
  <c r="N1937" i="1"/>
  <c r="M1937" i="1"/>
  <c r="S1936" i="1"/>
  <c r="O1936" i="1"/>
  <c r="N1936" i="1"/>
  <c r="M1936" i="1"/>
  <c r="S1935" i="1"/>
  <c r="O1935" i="1"/>
  <c r="N1935" i="1"/>
  <c r="M1935" i="1"/>
  <c r="S1934" i="1"/>
  <c r="O1934" i="1"/>
  <c r="N1934" i="1"/>
  <c r="M1934" i="1"/>
  <c r="S1933" i="1"/>
  <c r="O1933" i="1"/>
  <c r="N1933" i="1"/>
  <c r="M1933" i="1"/>
  <c r="S1932" i="1"/>
  <c r="O1932" i="1"/>
  <c r="N1932" i="1"/>
  <c r="M1932" i="1"/>
  <c r="S1931" i="1"/>
  <c r="O1931" i="1"/>
  <c r="N1931" i="1"/>
  <c r="M1931" i="1"/>
  <c r="S1930" i="1"/>
  <c r="O1930" i="1"/>
  <c r="N1930" i="1"/>
  <c r="M1930" i="1"/>
  <c r="S1929" i="1"/>
  <c r="O1929" i="1"/>
  <c r="N1929" i="1"/>
  <c r="M1929" i="1"/>
  <c r="S1928" i="1"/>
  <c r="O1928" i="1"/>
  <c r="N1928" i="1"/>
  <c r="M1928" i="1"/>
  <c r="S1927" i="1"/>
  <c r="O1927" i="1"/>
  <c r="N1927" i="1"/>
  <c r="M1927" i="1"/>
  <c r="S1926" i="1"/>
  <c r="O1926" i="1"/>
  <c r="N1926" i="1"/>
  <c r="M1926" i="1"/>
  <c r="S1924" i="1"/>
  <c r="O1924" i="1"/>
  <c r="N1924" i="1"/>
  <c r="M1924" i="1"/>
  <c r="S1923" i="1"/>
  <c r="O1923" i="1"/>
  <c r="N1923" i="1"/>
  <c r="M1923" i="1"/>
  <c r="S1921" i="1"/>
  <c r="O1921" i="1"/>
  <c r="N1921" i="1"/>
  <c r="M1921" i="1"/>
  <c r="S1920" i="1"/>
  <c r="O1920" i="1"/>
  <c r="N1920" i="1"/>
  <c r="M1920" i="1"/>
  <c r="S1919" i="1"/>
  <c r="O1919" i="1"/>
  <c r="N1919" i="1"/>
  <c r="M1919" i="1"/>
  <c r="S1918" i="1"/>
  <c r="O1918" i="1"/>
  <c r="N1918" i="1"/>
  <c r="M1918" i="1"/>
  <c r="S1916" i="1"/>
  <c r="O1916" i="1"/>
  <c r="N1916" i="1"/>
  <c r="M1916" i="1"/>
  <c r="S1915" i="1"/>
  <c r="O1915" i="1"/>
  <c r="N1915" i="1"/>
  <c r="M1915" i="1"/>
  <c r="S1914" i="1"/>
  <c r="O1914" i="1"/>
  <c r="N1914" i="1"/>
  <c r="M1914" i="1"/>
  <c r="S1913" i="1"/>
  <c r="O1913" i="1"/>
  <c r="N1913" i="1"/>
  <c r="M1913" i="1"/>
  <c r="S1911" i="1"/>
  <c r="O1911" i="1"/>
  <c r="N1911" i="1"/>
  <c r="M1911" i="1"/>
  <c r="S1909" i="1"/>
  <c r="O1909" i="1"/>
  <c r="N1909" i="1"/>
  <c r="M1909" i="1"/>
  <c r="S1908" i="1"/>
  <c r="O1908" i="1"/>
  <c r="N1908" i="1"/>
  <c r="M1908" i="1"/>
  <c r="S1907" i="1"/>
  <c r="O1907" i="1"/>
  <c r="N1907" i="1"/>
  <c r="M1907" i="1"/>
  <c r="S1906" i="1"/>
  <c r="O1906" i="1"/>
  <c r="N1906" i="1"/>
  <c r="M1906" i="1"/>
  <c r="S1905" i="1"/>
  <c r="O1905" i="1"/>
  <c r="N1905" i="1"/>
  <c r="M1905" i="1"/>
  <c r="S1904" i="1"/>
  <c r="O1904" i="1"/>
  <c r="N1904" i="1"/>
  <c r="M1904" i="1"/>
  <c r="S1902" i="1"/>
  <c r="O1902" i="1"/>
  <c r="N1902" i="1"/>
  <c r="M1902" i="1"/>
  <c r="S1899" i="1"/>
  <c r="O1899" i="1"/>
  <c r="N1899" i="1"/>
  <c r="M1899" i="1"/>
  <c r="S1897" i="1"/>
  <c r="O1897" i="1"/>
  <c r="N1897" i="1"/>
  <c r="M1897" i="1"/>
  <c r="S1896" i="1"/>
  <c r="O1896" i="1"/>
  <c r="N1896" i="1"/>
  <c r="M1896" i="1"/>
  <c r="S1894" i="1"/>
  <c r="O1894" i="1"/>
  <c r="N1894" i="1"/>
  <c r="M1894" i="1"/>
  <c r="S1893" i="1"/>
  <c r="O1893" i="1"/>
  <c r="N1893" i="1"/>
  <c r="M1893" i="1"/>
  <c r="S1892" i="1"/>
  <c r="O1892" i="1"/>
  <c r="N1892" i="1"/>
  <c r="M1892" i="1"/>
  <c r="S1891" i="1"/>
  <c r="O1891" i="1"/>
  <c r="N1891" i="1"/>
  <c r="M1891" i="1"/>
  <c r="S1889" i="1"/>
  <c r="O1889" i="1"/>
  <c r="N1889" i="1"/>
  <c r="M1889" i="1"/>
  <c r="S1888" i="1"/>
  <c r="O1888" i="1"/>
  <c r="N1888" i="1"/>
  <c r="M1888" i="1"/>
  <c r="S1887" i="1"/>
  <c r="O1887" i="1"/>
  <c r="N1887" i="1"/>
  <c r="M1887" i="1"/>
  <c r="S1886" i="1"/>
  <c r="O1886" i="1"/>
  <c r="N1886" i="1"/>
  <c r="M1886" i="1"/>
  <c r="S1883" i="1"/>
  <c r="O1883" i="1"/>
  <c r="N1883" i="1"/>
  <c r="M1883" i="1"/>
  <c r="S1882" i="1"/>
  <c r="O1882" i="1"/>
  <c r="N1882" i="1"/>
  <c r="M1882" i="1"/>
  <c r="S1881" i="1"/>
  <c r="O1881" i="1"/>
  <c r="N1881" i="1"/>
  <c r="M1881" i="1"/>
  <c r="S1880" i="1"/>
  <c r="O1880" i="1"/>
  <c r="N1880" i="1"/>
  <c r="M1880" i="1"/>
  <c r="S1878" i="1"/>
  <c r="O1878" i="1"/>
  <c r="N1878" i="1"/>
  <c r="M1878" i="1"/>
  <c r="S1877" i="1"/>
  <c r="O1877" i="1"/>
  <c r="N1877" i="1"/>
  <c r="M1877" i="1"/>
  <c r="S1876" i="1"/>
  <c r="O1876" i="1"/>
  <c r="N1876" i="1"/>
  <c r="M1876" i="1"/>
  <c r="S1875" i="1"/>
  <c r="O1875" i="1"/>
  <c r="N1875" i="1"/>
  <c r="M1875" i="1"/>
  <c r="S1874" i="1"/>
  <c r="O1874" i="1"/>
  <c r="N1874" i="1"/>
  <c r="M1874" i="1"/>
  <c r="S1873" i="1"/>
  <c r="O1873" i="1"/>
  <c r="N1873" i="1"/>
  <c r="M1873" i="1"/>
  <c r="S1871" i="1"/>
  <c r="O1871" i="1"/>
  <c r="N1871" i="1"/>
  <c r="M1871" i="1"/>
  <c r="S1869" i="1"/>
  <c r="O1869" i="1"/>
  <c r="N1869" i="1"/>
  <c r="M1869" i="1"/>
  <c r="S1868" i="1"/>
  <c r="O1868" i="1"/>
  <c r="N1868" i="1"/>
  <c r="M1868" i="1"/>
  <c r="S1867" i="1"/>
  <c r="O1867" i="1"/>
  <c r="N1867" i="1"/>
  <c r="M1867" i="1"/>
  <c r="S1866" i="1"/>
  <c r="O1866" i="1"/>
  <c r="N1866" i="1"/>
  <c r="M1866" i="1"/>
  <c r="S1865" i="1"/>
  <c r="O1865" i="1"/>
  <c r="N1865" i="1"/>
  <c r="M1865" i="1"/>
  <c r="S1864" i="1"/>
  <c r="O1864" i="1"/>
  <c r="N1864" i="1"/>
  <c r="M1864" i="1"/>
  <c r="S1863" i="1"/>
  <c r="O1863" i="1"/>
  <c r="N1863" i="1"/>
  <c r="M1863" i="1"/>
  <c r="S1862" i="1"/>
  <c r="O1862" i="1"/>
  <c r="N1862" i="1"/>
  <c r="M1862" i="1"/>
  <c r="S1859" i="1"/>
  <c r="O1859" i="1"/>
  <c r="N1859" i="1"/>
  <c r="M1859" i="1"/>
  <c r="S1858" i="1"/>
  <c r="O1858" i="1"/>
  <c r="N1858" i="1"/>
  <c r="M1858" i="1"/>
  <c r="S1857" i="1"/>
  <c r="O1857" i="1"/>
  <c r="N1857" i="1"/>
  <c r="M1857" i="1"/>
  <c r="S1856" i="1"/>
  <c r="O1856" i="1"/>
  <c r="N1856" i="1"/>
  <c r="M1856" i="1"/>
  <c r="S1854" i="1"/>
  <c r="O1854" i="1"/>
  <c r="N1854" i="1"/>
  <c r="M1854" i="1"/>
  <c r="S1852" i="1"/>
  <c r="O1852" i="1"/>
  <c r="N1852" i="1"/>
  <c r="M1852" i="1"/>
  <c r="S1850" i="1"/>
  <c r="O1850" i="1"/>
  <c r="N1850" i="1"/>
  <c r="M1850" i="1"/>
  <c r="S1849" i="1"/>
  <c r="O1849" i="1"/>
  <c r="N1849" i="1"/>
  <c r="M1849" i="1"/>
  <c r="S1848" i="1"/>
  <c r="O1848" i="1"/>
  <c r="N1848" i="1"/>
  <c r="M1848" i="1"/>
  <c r="S1846" i="1"/>
  <c r="O1846" i="1"/>
  <c r="N1846" i="1"/>
  <c r="M1846" i="1"/>
  <c r="S1845" i="1"/>
  <c r="O1845" i="1"/>
  <c r="N1845" i="1"/>
  <c r="M1845" i="1"/>
  <c r="S1844" i="1"/>
  <c r="O1844" i="1"/>
  <c r="N1844" i="1"/>
  <c r="M1844" i="1"/>
  <c r="S1842" i="1"/>
  <c r="O1842" i="1"/>
  <c r="N1842" i="1"/>
  <c r="M1842" i="1"/>
  <c r="S1841" i="1"/>
  <c r="O1841" i="1"/>
  <c r="N1841" i="1"/>
  <c r="M1841" i="1"/>
  <c r="S1840" i="1"/>
  <c r="O1840" i="1"/>
  <c r="N1840" i="1"/>
  <c r="M1840" i="1"/>
  <c r="S1839" i="1"/>
  <c r="O1839" i="1"/>
  <c r="N1839" i="1"/>
  <c r="M1839" i="1"/>
  <c r="S1837" i="1"/>
  <c r="O1837" i="1"/>
  <c r="N1837" i="1"/>
  <c r="M1837" i="1"/>
  <c r="S1836" i="1"/>
  <c r="O1836" i="1"/>
  <c r="N1836" i="1"/>
  <c r="M1836" i="1"/>
  <c r="S1835" i="1"/>
  <c r="O1835" i="1"/>
  <c r="N1835" i="1"/>
  <c r="M1835" i="1"/>
  <c r="S1833" i="1"/>
  <c r="O1833" i="1"/>
  <c r="N1833" i="1"/>
  <c r="M1833" i="1"/>
  <c r="S1831" i="1"/>
  <c r="O1831" i="1"/>
  <c r="N1831" i="1"/>
  <c r="M1831" i="1"/>
  <c r="S1830" i="1"/>
  <c r="O1830" i="1"/>
  <c r="N1830" i="1"/>
  <c r="M1830" i="1"/>
  <c r="S1829" i="1"/>
  <c r="O1829" i="1"/>
  <c r="N1829" i="1"/>
  <c r="M1829" i="1"/>
  <c r="S1828" i="1"/>
  <c r="O1828" i="1"/>
  <c r="N1828" i="1"/>
  <c r="M1828" i="1"/>
  <c r="S1827" i="1"/>
  <c r="O1827" i="1"/>
  <c r="N1827" i="1"/>
  <c r="M1827" i="1"/>
  <c r="S1824" i="1"/>
  <c r="O1824" i="1"/>
  <c r="N1824" i="1"/>
  <c r="M1824" i="1"/>
  <c r="S1822" i="1"/>
  <c r="O1822" i="1"/>
  <c r="N1822" i="1"/>
  <c r="M1822" i="1"/>
  <c r="S1821" i="1"/>
  <c r="O1821" i="1"/>
  <c r="N1821" i="1"/>
  <c r="M1821" i="1"/>
  <c r="S1819" i="1"/>
  <c r="O1819" i="1"/>
  <c r="N1819" i="1"/>
  <c r="M1819" i="1"/>
  <c r="S1818" i="1"/>
  <c r="O1818" i="1"/>
  <c r="N1818" i="1"/>
  <c r="M1818" i="1"/>
  <c r="S1817" i="1"/>
  <c r="O1817" i="1"/>
  <c r="N1817" i="1"/>
  <c r="M1817" i="1"/>
  <c r="S1815" i="1"/>
  <c r="O1815" i="1"/>
  <c r="N1815" i="1"/>
  <c r="M1815" i="1"/>
  <c r="S1814" i="1"/>
  <c r="O1814" i="1"/>
  <c r="N1814" i="1"/>
  <c r="M1814" i="1"/>
  <c r="S1813" i="1"/>
  <c r="O1813" i="1"/>
  <c r="N1813" i="1"/>
  <c r="M1813" i="1"/>
  <c r="S1812" i="1"/>
  <c r="O1812" i="1"/>
  <c r="N1812" i="1"/>
  <c r="M1812" i="1"/>
  <c r="S1810" i="1"/>
  <c r="O1810" i="1"/>
  <c r="N1810" i="1"/>
  <c r="M1810" i="1"/>
  <c r="S1809" i="1"/>
  <c r="O1809" i="1"/>
  <c r="N1809" i="1"/>
  <c r="M1809" i="1"/>
  <c r="S1808" i="1"/>
  <c r="O1808" i="1"/>
  <c r="N1808" i="1"/>
  <c r="M1808" i="1"/>
  <c r="S1807" i="1"/>
  <c r="O1807" i="1"/>
  <c r="N1807" i="1"/>
  <c r="M1807" i="1"/>
  <c r="S1803" i="1"/>
  <c r="O1803" i="1"/>
  <c r="N1803" i="1"/>
  <c r="M1803" i="1"/>
  <c r="S1802" i="1"/>
  <c r="O1802" i="1"/>
  <c r="N1802" i="1"/>
  <c r="M1802" i="1"/>
  <c r="S1801" i="1"/>
  <c r="O1801" i="1"/>
  <c r="N1801" i="1"/>
  <c r="M1801" i="1"/>
  <c r="S1799" i="1"/>
  <c r="O1799" i="1"/>
  <c r="N1799" i="1"/>
  <c r="M1799" i="1"/>
  <c r="S1797" i="1"/>
  <c r="O1797" i="1"/>
  <c r="N1797" i="1"/>
  <c r="M1797" i="1"/>
  <c r="S1796" i="1"/>
  <c r="O1796" i="1"/>
  <c r="N1796" i="1"/>
  <c r="M1796" i="1"/>
  <c r="S1795" i="1"/>
  <c r="O1795" i="1"/>
  <c r="N1795" i="1"/>
  <c r="M1795" i="1"/>
  <c r="S1794" i="1"/>
  <c r="O1794" i="1"/>
  <c r="N1794" i="1"/>
  <c r="M1794" i="1"/>
  <c r="S1793" i="1"/>
  <c r="O1793" i="1"/>
  <c r="N1793" i="1"/>
  <c r="M1793" i="1"/>
  <c r="S1792" i="1"/>
  <c r="O1792" i="1"/>
  <c r="N1792" i="1"/>
  <c r="M1792" i="1"/>
  <c r="S1791" i="1"/>
  <c r="O1791" i="1"/>
  <c r="N1791" i="1"/>
  <c r="M1791" i="1"/>
  <c r="S1790" i="1"/>
  <c r="O1790" i="1"/>
  <c r="N1790" i="1"/>
  <c r="M1790" i="1"/>
  <c r="S1788" i="1"/>
  <c r="O1788" i="1"/>
  <c r="N1788" i="1"/>
  <c r="M1788" i="1"/>
  <c r="S1787" i="1"/>
  <c r="O1787" i="1"/>
  <c r="N1787" i="1"/>
  <c r="M1787" i="1"/>
  <c r="S1786" i="1"/>
  <c r="O1786" i="1"/>
  <c r="N1786" i="1"/>
  <c r="M1786" i="1"/>
  <c r="S1785" i="1"/>
  <c r="O1785" i="1"/>
  <c r="N1785" i="1"/>
  <c r="M1785" i="1"/>
  <c r="S1784" i="1"/>
  <c r="O1784" i="1"/>
  <c r="N1784" i="1"/>
  <c r="M1784" i="1"/>
  <c r="S1783" i="1"/>
  <c r="O1783" i="1"/>
  <c r="N1783" i="1"/>
  <c r="M1783" i="1"/>
  <c r="S1780" i="1"/>
  <c r="O1780" i="1"/>
  <c r="N1780" i="1"/>
  <c r="M1780" i="1"/>
  <c r="S1779" i="1"/>
  <c r="O1779" i="1"/>
  <c r="N1779" i="1"/>
  <c r="M1779" i="1"/>
  <c r="S1778" i="1"/>
  <c r="O1778" i="1"/>
  <c r="N1778" i="1"/>
  <c r="M1778" i="1"/>
  <c r="S1777" i="1"/>
  <c r="O1777" i="1"/>
  <c r="N1777" i="1"/>
  <c r="M1777" i="1"/>
  <c r="S1776" i="1"/>
  <c r="O1776" i="1"/>
  <c r="N1776" i="1"/>
  <c r="M1776" i="1"/>
  <c r="S1775" i="1"/>
  <c r="O1775" i="1"/>
  <c r="N1775" i="1"/>
  <c r="M1775" i="1"/>
  <c r="S1774" i="1"/>
  <c r="O1774" i="1"/>
  <c r="N1774" i="1"/>
  <c r="M1774" i="1"/>
  <c r="S1773" i="1"/>
  <c r="O1773" i="1"/>
  <c r="N1773" i="1"/>
  <c r="M1773" i="1"/>
  <c r="S1772" i="1"/>
  <c r="O1772" i="1"/>
  <c r="N1772" i="1"/>
  <c r="M1772" i="1"/>
  <c r="S1770" i="1"/>
  <c r="O1770" i="1"/>
  <c r="N1770" i="1"/>
  <c r="M1770" i="1"/>
  <c r="S1769" i="1"/>
  <c r="O1769" i="1"/>
  <c r="N1769" i="1"/>
  <c r="M1769" i="1"/>
  <c r="S1768" i="1"/>
  <c r="O1768" i="1"/>
  <c r="N1768" i="1"/>
  <c r="M1768" i="1"/>
  <c r="S1767" i="1"/>
  <c r="O1767" i="1"/>
  <c r="N1767" i="1"/>
  <c r="M1767" i="1"/>
  <c r="S1766" i="1"/>
  <c r="O1766" i="1"/>
  <c r="N1766" i="1"/>
  <c r="M1766" i="1"/>
  <c r="S1765" i="1"/>
  <c r="O1765" i="1"/>
  <c r="N1765" i="1"/>
  <c r="M1765" i="1"/>
  <c r="S1764" i="1"/>
  <c r="O1764" i="1"/>
  <c r="N1764" i="1"/>
  <c r="M1764" i="1"/>
  <c r="S1763" i="1"/>
  <c r="O1763" i="1"/>
  <c r="N1763" i="1"/>
  <c r="M1763" i="1"/>
  <c r="S1762" i="1"/>
  <c r="O1762" i="1"/>
  <c r="N1762" i="1"/>
  <c r="M1762" i="1"/>
  <c r="S1757" i="1"/>
  <c r="O1757" i="1"/>
  <c r="N1757" i="1"/>
  <c r="M1757" i="1"/>
  <c r="S1755" i="1"/>
  <c r="O1755" i="1"/>
  <c r="N1755" i="1"/>
  <c r="M1755" i="1"/>
  <c r="S1754" i="1"/>
  <c r="O1754" i="1"/>
  <c r="N1754" i="1"/>
  <c r="M1754" i="1"/>
  <c r="S1753" i="1"/>
  <c r="O1753" i="1"/>
  <c r="N1753" i="1"/>
  <c r="M1753" i="1"/>
  <c r="S1752" i="1"/>
  <c r="O1752" i="1"/>
  <c r="N1752" i="1"/>
  <c r="M1752" i="1"/>
  <c r="S1751" i="1"/>
  <c r="O1751" i="1"/>
  <c r="N1751" i="1"/>
  <c r="M1751" i="1"/>
  <c r="S1750" i="1"/>
  <c r="O1750" i="1"/>
  <c r="N1750" i="1"/>
  <c r="M1750" i="1"/>
  <c r="S1749" i="1"/>
  <c r="O1749" i="1"/>
  <c r="N1749" i="1"/>
  <c r="M1749" i="1"/>
  <c r="S1748" i="1"/>
  <c r="O1748" i="1"/>
  <c r="N1748" i="1"/>
  <c r="M1748" i="1"/>
  <c r="S1747" i="1"/>
  <c r="O1747" i="1"/>
  <c r="N1747" i="1"/>
  <c r="M1747" i="1"/>
  <c r="S1745" i="1"/>
  <c r="O1745" i="1"/>
  <c r="N1745" i="1"/>
  <c r="M1745" i="1"/>
  <c r="S1744" i="1"/>
  <c r="O1744" i="1"/>
  <c r="N1744" i="1"/>
  <c r="M1744" i="1"/>
  <c r="S1743" i="1"/>
  <c r="O1743" i="1"/>
  <c r="N1743" i="1"/>
  <c r="M1743" i="1"/>
  <c r="S1742" i="1"/>
  <c r="O1742" i="1"/>
  <c r="N1742" i="1"/>
  <c r="M1742" i="1"/>
  <c r="S1741" i="1"/>
  <c r="O1741" i="1"/>
  <c r="N1741" i="1"/>
  <c r="M1741" i="1"/>
  <c r="S1740" i="1"/>
  <c r="O1740" i="1"/>
  <c r="N1740" i="1"/>
  <c r="M1740" i="1"/>
  <c r="S1738" i="1"/>
  <c r="O1738" i="1"/>
  <c r="N1738" i="1"/>
  <c r="M1738" i="1"/>
  <c r="S1737" i="1"/>
  <c r="O1737" i="1"/>
  <c r="N1737" i="1"/>
  <c r="M1737" i="1"/>
  <c r="S1736" i="1"/>
  <c r="O1736" i="1"/>
  <c r="N1736" i="1"/>
  <c r="M1736" i="1"/>
  <c r="S1734" i="1"/>
  <c r="O1734" i="1"/>
  <c r="N1734" i="1"/>
  <c r="M1734" i="1"/>
  <c r="S1733" i="1"/>
  <c r="O1733" i="1"/>
  <c r="N1733" i="1"/>
  <c r="M1733" i="1"/>
  <c r="S1732" i="1"/>
  <c r="O1732" i="1"/>
  <c r="N1732" i="1"/>
  <c r="M1732" i="1"/>
  <c r="S1731" i="1"/>
  <c r="O1731" i="1"/>
  <c r="N1731" i="1"/>
  <c r="M1731" i="1"/>
  <c r="S1730" i="1"/>
  <c r="O1730" i="1"/>
  <c r="N1730" i="1"/>
  <c r="M1730" i="1"/>
  <c r="S1729" i="1"/>
  <c r="O1729" i="1"/>
  <c r="N1729" i="1"/>
  <c r="M1729" i="1"/>
  <c r="S1727" i="1"/>
  <c r="O1727" i="1"/>
  <c r="N1727" i="1"/>
  <c r="M1727" i="1"/>
  <c r="S1726" i="1"/>
  <c r="O1726" i="1"/>
  <c r="N1726" i="1"/>
  <c r="M1726" i="1"/>
  <c r="S1725" i="1"/>
  <c r="O1725" i="1"/>
  <c r="N1725" i="1"/>
  <c r="M1725" i="1"/>
  <c r="S1724" i="1"/>
  <c r="O1724" i="1"/>
  <c r="N1724" i="1"/>
  <c r="M1724" i="1"/>
  <c r="S1723" i="1"/>
  <c r="O1723" i="1"/>
  <c r="N1723" i="1"/>
  <c r="M1723" i="1"/>
  <c r="S1722" i="1"/>
  <c r="O1722" i="1"/>
  <c r="N1722" i="1"/>
  <c r="M1722" i="1"/>
  <c r="S1720" i="1"/>
  <c r="O1720" i="1"/>
  <c r="N1720" i="1"/>
  <c r="M1720" i="1"/>
  <c r="S1719" i="1"/>
  <c r="O1719" i="1"/>
  <c r="N1719" i="1"/>
  <c r="M1719" i="1"/>
  <c r="S1718" i="1"/>
  <c r="O1718" i="1"/>
  <c r="N1718" i="1"/>
  <c r="M1718" i="1"/>
  <c r="S1717" i="1"/>
  <c r="O1717" i="1"/>
  <c r="N1717" i="1"/>
  <c r="M1717" i="1"/>
  <c r="S1716" i="1"/>
  <c r="O1716" i="1"/>
  <c r="N1716" i="1"/>
  <c r="M1716" i="1"/>
  <c r="S1715" i="1"/>
  <c r="O1715" i="1"/>
  <c r="N1715" i="1"/>
  <c r="M1715" i="1"/>
  <c r="S1714" i="1"/>
  <c r="O1714" i="1"/>
  <c r="N1714" i="1"/>
  <c r="M1714" i="1"/>
  <c r="S1713" i="1"/>
  <c r="O1713" i="1"/>
  <c r="N1713" i="1"/>
  <c r="M1713" i="1"/>
  <c r="S1712" i="1"/>
  <c r="O1712" i="1"/>
  <c r="N1712" i="1"/>
  <c r="M1712" i="1"/>
  <c r="S1711" i="1"/>
  <c r="O1711" i="1"/>
  <c r="N1711" i="1"/>
  <c r="M1711" i="1"/>
  <c r="S1710" i="1"/>
  <c r="O1710" i="1"/>
  <c r="N1710" i="1"/>
  <c r="M1710" i="1"/>
  <c r="S1709" i="1"/>
  <c r="O1709" i="1"/>
  <c r="N1709" i="1"/>
  <c r="M1709" i="1"/>
  <c r="S1708" i="1"/>
  <c r="O1708" i="1"/>
  <c r="N1708" i="1"/>
  <c r="M1708" i="1"/>
  <c r="S1707" i="1"/>
  <c r="O1707" i="1"/>
  <c r="N1707" i="1"/>
  <c r="M1707" i="1"/>
  <c r="S1706" i="1"/>
  <c r="O1706" i="1"/>
  <c r="N1706" i="1"/>
  <c r="M1706" i="1"/>
  <c r="S1705" i="1"/>
  <c r="O1705" i="1"/>
  <c r="N1705" i="1"/>
  <c r="M1705" i="1"/>
  <c r="S1704" i="1"/>
  <c r="O1704" i="1"/>
  <c r="N1704" i="1"/>
  <c r="M1704" i="1"/>
  <c r="S1703" i="1"/>
  <c r="O1703" i="1"/>
  <c r="N1703" i="1"/>
  <c r="M1703" i="1"/>
  <c r="S1702" i="1"/>
  <c r="O1702" i="1"/>
  <c r="N1702" i="1"/>
  <c r="M1702" i="1"/>
  <c r="S1701" i="1"/>
  <c r="O1701" i="1"/>
  <c r="N1701" i="1"/>
  <c r="M1701" i="1"/>
  <c r="S1700" i="1"/>
  <c r="O1700" i="1"/>
  <c r="N1700" i="1"/>
  <c r="M1700" i="1"/>
  <c r="S1699" i="1"/>
  <c r="O1699" i="1"/>
  <c r="N1699" i="1"/>
  <c r="M1699" i="1"/>
  <c r="S1698" i="1"/>
  <c r="O1698" i="1"/>
  <c r="N1698" i="1"/>
  <c r="M1698" i="1"/>
  <c r="S1697" i="1"/>
  <c r="O1697" i="1"/>
  <c r="N1697" i="1"/>
  <c r="M1697" i="1"/>
  <c r="S1696" i="1"/>
  <c r="O1696" i="1"/>
  <c r="N1696" i="1"/>
  <c r="M1696" i="1"/>
  <c r="S1695" i="1"/>
  <c r="O1695" i="1"/>
  <c r="N1695" i="1"/>
  <c r="M1695" i="1"/>
  <c r="S1691" i="1"/>
  <c r="O1691" i="1"/>
  <c r="N1691" i="1"/>
  <c r="M1691" i="1"/>
  <c r="S1690" i="1"/>
  <c r="O1690" i="1"/>
  <c r="N1690" i="1"/>
  <c r="M1690" i="1"/>
  <c r="S1689" i="1"/>
  <c r="O1689" i="1"/>
  <c r="N1689" i="1"/>
  <c r="M1689" i="1"/>
  <c r="S1688" i="1"/>
  <c r="O1688" i="1"/>
  <c r="N1688" i="1"/>
  <c r="M1688" i="1"/>
  <c r="S1687" i="1"/>
  <c r="O1687" i="1"/>
  <c r="N1687" i="1"/>
  <c r="M1687" i="1"/>
  <c r="S1686" i="1"/>
  <c r="O1686" i="1"/>
  <c r="N1686" i="1"/>
  <c r="M1686" i="1"/>
  <c r="S1685" i="1"/>
  <c r="O1685" i="1"/>
  <c r="N1685" i="1"/>
  <c r="M1685" i="1"/>
  <c r="S1684" i="1"/>
  <c r="O1684" i="1"/>
  <c r="N1684" i="1"/>
  <c r="M1684" i="1"/>
  <c r="S1683" i="1"/>
  <c r="O1683" i="1"/>
  <c r="N1683" i="1"/>
  <c r="M1683" i="1"/>
  <c r="S1682" i="1"/>
  <c r="O1682" i="1"/>
  <c r="N1682" i="1"/>
  <c r="M1682" i="1"/>
  <c r="S1681" i="1"/>
  <c r="O1681" i="1"/>
  <c r="N1681" i="1"/>
  <c r="M1681" i="1"/>
  <c r="S1679" i="1"/>
  <c r="O1679" i="1"/>
  <c r="N1679" i="1"/>
  <c r="M1679" i="1"/>
  <c r="S1678" i="1"/>
  <c r="O1678" i="1"/>
  <c r="N1678" i="1"/>
  <c r="M1678" i="1"/>
  <c r="S1677" i="1"/>
  <c r="O1677" i="1"/>
  <c r="N1677" i="1"/>
  <c r="M1677" i="1"/>
  <c r="S1676" i="1"/>
  <c r="O1676" i="1"/>
  <c r="N1676" i="1"/>
  <c r="M1676" i="1"/>
  <c r="S1675" i="1"/>
  <c r="O1675" i="1"/>
  <c r="N1675" i="1"/>
  <c r="M1675" i="1"/>
  <c r="S1674" i="1"/>
  <c r="O1674" i="1"/>
  <c r="N1674" i="1"/>
  <c r="M1674" i="1"/>
  <c r="S1673" i="1"/>
  <c r="O1673" i="1"/>
  <c r="N1673" i="1"/>
  <c r="M1673" i="1"/>
  <c r="S1672" i="1"/>
  <c r="O1672" i="1"/>
  <c r="N1672" i="1"/>
  <c r="M1672" i="1"/>
  <c r="S1671" i="1"/>
  <c r="O1671" i="1"/>
  <c r="N1671" i="1"/>
  <c r="M1671" i="1"/>
  <c r="S1670" i="1"/>
  <c r="O1670" i="1"/>
  <c r="N1670" i="1"/>
  <c r="M1670" i="1"/>
  <c r="S1669" i="1"/>
  <c r="O1669" i="1"/>
  <c r="N1669" i="1"/>
  <c r="M1669" i="1"/>
  <c r="S1668" i="1"/>
  <c r="O1668" i="1"/>
  <c r="N1668" i="1"/>
  <c r="M1668" i="1"/>
  <c r="S1667" i="1"/>
  <c r="O1667" i="1"/>
  <c r="N1667" i="1"/>
  <c r="M1667" i="1"/>
  <c r="S1666" i="1"/>
  <c r="O1666" i="1"/>
  <c r="N1666" i="1"/>
  <c r="M1666" i="1"/>
  <c r="S1665" i="1"/>
  <c r="O1665" i="1"/>
  <c r="N1665" i="1"/>
  <c r="M1665" i="1"/>
  <c r="S1664" i="1"/>
  <c r="O1664" i="1"/>
  <c r="N1664" i="1"/>
  <c r="M1664" i="1"/>
  <c r="S1663" i="1"/>
  <c r="O1663" i="1"/>
  <c r="N1663" i="1"/>
  <c r="M1663" i="1"/>
  <c r="S1662" i="1"/>
  <c r="O1662" i="1"/>
  <c r="N1662" i="1"/>
  <c r="M1662" i="1"/>
  <c r="S1661" i="1"/>
  <c r="O1661" i="1"/>
  <c r="N1661" i="1"/>
  <c r="M1661" i="1"/>
  <c r="S1660" i="1"/>
  <c r="O1660" i="1"/>
  <c r="N1660" i="1"/>
  <c r="M1660" i="1"/>
  <c r="S1659" i="1"/>
  <c r="O1659" i="1"/>
  <c r="N1659" i="1"/>
  <c r="M1659" i="1"/>
  <c r="S1658" i="1"/>
  <c r="O1658" i="1"/>
  <c r="N1658" i="1"/>
  <c r="M1658" i="1"/>
  <c r="S1656" i="1"/>
  <c r="O1656" i="1"/>
  <c r="N1656" i="1"/>
  <c r="M1656" i="1"/>
  <c r="S1655" i="1"/>
  <c r="O1655" i="1"/>
  <c r="N1655" i="1"/>
  <c r="M1655" i="1"/>
  <c r="S1654" i="1"/>
  <c r="O1654" i="1"/>
  <c r="N1654" i="1"/>
  <c r="M1654" i="1"/>
  <c r="S1653" i="1"/>
  <c r="O1653" i="1"/>
  <c r="N1653" i="1"/>
  <c r="M1653" i="1"/>
  <c r="S1652" i="1"/>
  <c r="O1652" i="1"/>
  <c r="N1652" i="1"/>
  <c r="M1652" i="1"/>
  <c r="S1651" i="1"/>
  <c r="O1651" i="1"/>
  <c r="N1651" i="1"/>
  <c r="M1651" i="1"/>
  <c r="S1650" i="1"/>
  <c r="O1650" i="1"/>
  <c r="N1650" i="1"/>
  <c r="M1650" i="1"/>
  <c r="S1649" i="1"/>
  <c r="O1649" i="1"/>
  <c r="N1649" i="1"/>
  <c r="M1649" i="1"/>
  <c r="S1648" i="1"/>
  <c r="O1648" i="1"/>
  <c r="N1648" i="1"/>
  <c r="M1648" i="1"/>
  <c r="S1645" i="1"/>
  <c r="O1645" i="1"/>
  <c r="N1645" i="1"/>
  <c r="M1645" i="1"/>
  <c r="S1644" i="1"/>
  <c r="O1644" i="1"/>
  <c r="N1644" i="1"/>
  <c r="M1644" i="1"/>
  <c r="S1643" i="1"/>
  <c r="O1643" i="1"/>
  <c r="N1643" i="1"/>
  <c r="M1643" i="1"/>
  <c r="S1642" i="1"/>
  <c r="O1642" i="1"/>
  <c r="N1642" i="1"/>
  <c r="M1642" i="1"/>
  <c r="S1641" i="1"/>
  <c r="O1641" i="1"/>
  <c r="N1641" i="1"/>
  <c r="M1641" i="1"/>
  <c r="S1640" i="1"/>
  <c r="O1640" i="1"/>
  <c r="N1640" i="1"/>
  <c r="M1640" i="1"/>
  <c r="S1639" i="1"/>
  <c r="O1639" i="1"/>
  <c r="N1639" i="1"/>
  <c r="M1639" i="1"/>
  <c r="S1638" i="1"/>
  <c r="O1638" i="1"/>
  <c r="N1638" i="1"/>
  <c r="M1638" i="1"/>
  <c r="S1637" i="1"/>
  <c r="O1637" i="1"/>
  <c r="N1637" i="1"/>
  <c r="M1637" i="1"/>
  <c r="S1636" i="1"/>
  <c r="O1636" i="1"/>
  <c r="N1636" i="1"/>
  <c r="M1636" i="1"/>
  <c r="S1634" i="1"/>
  <c r="O1634" i="1"/>
  <c r="N1634" i="1"/>
  <c r="M1634" i="1"/>
  <c r="S1633" i="1"/>
  <c r="O1633" i="1"/>
  <c r="N1633" i="1"/>
  <c r="M1633" i="1"/>
  <c r="S1632" i="1"/>
  <c r="O1632" i="1"/>
  <c r="N1632" i="1"/>
  <c r="M1632" i="1"/>
  <c r="S1631" i="1"/>
  <c r="O1631" i="1"/>
  <c r="N1631" i="1"/>
  <c r="M1631" i="1"/>
  <c r="S1630" i="1"/>
  <c r="O1630" i="1"/>
  <c r="N1630" i="1"/>
  <c r="M1630" i="1"/>
  <c r="S1629" i="1"/>
  <c r="O1629" i="1"/>
  <c r="N1629" i="1"/>
  <c r="M1629" i="1"/>
  <c r="S1628" i="1"/>
  <c r="O1628" i="1"/>
  <c r="N1628" i="1"/>
  <c r="M1628" i="1"/>
  <c r="S1627" i="1"/>
  <c r="O1627" i="1"/>
  <c r="N1627" i="1"/>
  <c r="M1627" i="1"/>
  <c r="S1626" i="1"/>
  <c r="O1626" i="1"/>
  <c r="N1626" i="1"/>
  <c r="M1626" i="1"/>
  <c r="S1625" i="1"/>
  <c r="O1625" i="1"/>
  <c r="N1625" i="1"/>
  <c r="M1625" i="1"/>
  <c r="S1624" i="1"/>
  <c r="O1624" i="1"/>
  <c r="N1624" i="1"/>
  <c r="M1624" i="1"/>
  <c r="S1623" i="1"/>
  <c r="O1623" i="1"/>
  <c r="N1623" i="1"/>
  <c r="M1623" i="1"/>
  <c r="S1622" i="1"/>
  <c r="O1622" i="1"/>
  <c r="N1622" i="1"/>
  <c r="M1622" i="1"/>
  <c r="S1621" i="1"/>
  <c r="O1621" i="1"/>
  <c r="N1621" i="1"/>
  <c r="M1621" i="1"/>
  <c r="S1620" i="1"/>
  <c r="O1620" i="1"/>
  <c r="N1620" i="1"/>
  <c r="M1620" i="1"/>
  <c r="S1619" i="1"/>
  <c r="O1619" i="1"/>
  <c r="N1619" i="1"/>
  <c r="M1619" i="1"/>
  <c r="S1618" i="1"/>
  <c r="O1618" i="1"/>
  <c r="N1618" i="1"/>
  <c r="M1618" i="1"/>
  <c r="S1617" i="1"/>
  <c r="O1617" i="1"/>
  <c r="N1617" i="1"/>
  <c r="M1617" i="1"/>
  <c r="S1616" i="1"/>
  <c r="O1616" i="1"/>
  <c r="N1616" i="1"/>
  <c r="M1616" i="1"/>
  <c r="S1615" i="1"/>
  <c r="O1615" i="1"/>
  <c r="N1615" i="1"/>
  <c r="M1615" i="1"/>
  <c r="S1614" i="1"/>
  <c r="O1614" i="1"/>
  <c r="N1614" i="1"/>
  <c r="M1614" i="1"/>
  <c r="S1613" i="1"/>
  <c r="O1613" i="1"/>
  <c r="N1613" i="1"/>
  <c r="M1613" i="1"/>
  <c r="S1612" i="1"/>
  <c r="O1612" i="1"/>
  <c r="N1612" i="1"/>
  <c r="M1612" i="1"/>
  <c r="S1610" i="1"/>
  <c r="O1610" i="1"/>
  <c r="N1610" i="1"/>
  <c r="M1610" i="1"/>
  <c r="S1609" i="1"/>
  <c r="O1609" i="1"/>
  <c r="N1609" i="1"/>
  <c r="M1609" i="1"/>
  <c r="S1608" i="1"/>
  <c r="O1608" i="1"/>
  <c r="N1608" i="1"/>
  <c r="M1608" i="1"/>
  <c r="S1607" i="1"/>
  <c r="O1607" i="1"/>
  <c r="N1607" i="1"/>
  <c r="M1607" i="1"/>
  <c r="S1606" i="1"/>
  <c r="O1606" i="1"/>
  <c r="N1606" i="1"/>
  <c r="M1606" i="1"/>
  <c r="S1605" i="1"/>
  <c r="O1605" i="1"/>
  <c r="N1605" i="1"/>
  <c r="M1605" i="1"/>
  <c r="S1604" i="1"/>
  <c r="O1604" i="1"/>
  <c r="N1604" i="1"/>
  <c r="M1604" i="1"/>
  <c r="S1603" i="1"/>
  <c r="O1603" i="1"/>
  <c r="N1603" i="1"/>
  <c r="M1603" i="1"/>
  <c r="S1602" i="1"/>
  <c r="O1602" i="1"/>
  <c r="N1602" i="1"/>
  <c r="M1602" i="1"/>
  <c r="S1601" i="1"/>
  <c r="O1601" i="1"/>
  <c r="N1601" i="1"/>
  <c r="M1601" i="1"/>
  <c r="S1600" i="1"/>
  <c r="O1600" i="1"/>
  <c r="N1600" i="1"/>
  <c r="M1600" i="1"/>
  <c r="S1599" i="1"/>
  <c r="O1599" i="1"/>
  <c r="N1599" i="1"/>
  <c r="M1599" i="1"/>
  <c r="S1598" i="1"/>
  <c r="O1598" i="1"/>
  <c r="N1598" i="1"/>
  <c r="M1598" i="1"/>
  <c r="S1597" i="1"/>
  <c r="O1597" i="1"/>
  <c r="N1597" i="1"/>
  <c r="M1597" i="1"/>
  <c r="S1596" i="1"/>
  <c r="O1596" i="1"/>
  <c r="N1596" i="1"/>
  <c r="M1596" i="1"/>
  <c r="S1595" i="1"/>
  <c r="O1595" i="1"/>
  <c r="N1595" i="1"/>
  <c r="M1595" i="1"/>
  <c r="S1594" i="1"/>
  <c r="O1594" i="1"/>
  <c r="N1594" i="1"/>
  <c r="M1594" i="1"/>
  <c r="S1593" i="1"/>
  <c r="O1593" i="1"/>
  <c r="N1593" i="1"/>
  <c r="M1593" i="1"/>
  <c r="S1592" i="1"/>
  <c r="O1592" i="1"/>
  <c r="N1592" i="1"/>
  <c r="M1592" i="1"/>
  <c r="S1591" i="1"/>
  <c r="O1591" i="1"/>
  <c r="N1591" i="1"/>
  <c r="M1591" i="1"/>
  <c r="S1590" i="1"/>
  <c r="O1590" i="1"/>
  <c r="N1590" i="1"/>
  <c r="M1590" i="1"/>
  <c r="S1589" i="1"/>
  <c r="O1589" i="1"/>
  <c r="N1589" i="1"/>
  <c r="M1589" i="1"/>
  <c r="S1588" i="1"/>
  <c r="O1588" i="1"/>
  <c r="N1588" i="1"/>
  <c r="M1588" i="1"/>
  <c r="S1585" i="1"/>
  <c r="O1585" i="1"/>
  <c r="N1585" i="1"/>
  <c r="M1585" i="1"/>
  <c r="S1584" i="1"/>
  <c r="O1584" i="1"/>
  <c r="N1584" i="1"/>
  <c r="M1584" i="1"/>
  <c r="S1583" i="1"/>
  <c r="O1583" i="1"/>
  <c r="N1583" i="1"/>
  <c r="M1583" i="1"/>
  <c r="S1582" i="1"/>
  <c r="O1582" i="1"/>
  <c r="N1582" i="1"/>
  <c r="M1582" i="1"/>
  <c r="S1581" i="1"/>
  <c r="O1581" i="1"/>
  <c r="N1581" i="1"/>
  <c r="M1581" i="1"/>
  <c r="S1580" i="1"/>
  <c r="O1580" i="1"/>
  <c r="N1580" i="1"/>
  <c r="M1580" i="1"/>
  <c r="S1579" i="1"/>
  <c r="O1579" i="1"/>
  <c r="N1579" i="1"/>
  <c r="M1579" i="1"/>
  <c r="S1578" i="1"/>
  <c r="O1578" i="1"/>
  <c r="N1578" i="1"/>
  <c r="M1578" i="1"/>
  <c r="S1577" i="1"/>
  <c r="O1577" i="1"/>
  <c r="N1577" i="1"/>
  <c r="M1577" i="1"/>
  <c r="S1576" i="1"/>
  <c r="O1576" i="1"/>
  <c r="N1576" i="1"/>
  <c r="M1576" i="1"/>
  <c r="S1575" i="1"/>
  <c r="O1575" i="1"/>
  <c r="N1575" i="1"/>
  <c r="M1575" i="1"/>
  <c r="S1574" i="1"/>
  <c r="O1574" i="1"/>
  <c r="N1574" i="1"/>
  <c r="M1574" i="1"/>
  <c r="S1573" i="1"/>
  <c r="O1573" i="1"/>
  <c r="N1573" i="1"/>
  <c r="M1573" i="1"/>
  <c r="S1572" i="1"/>
  <c r="O1572" i="1"/>
  <c r="N1572" i="1"/>
  <c r="M1572" i="1"/>
  <c r="S1571" i="1"/>
  <c r="O1571" i="1"/>
  <c r="N1571" i="1"/>
  <c r="M1571" i="1"/>
  <c r="S1570" i="1"/>
  <c r="O1570" i="1"/>
  <c r="N1570" i="1"/>
  <c r="M1570" i="1"/>
  <c r="S1569" i="1"/>
  <c r="O1569" i="1"/>
  <c r="N1569" i="1"/>
  <c r="M1569" i="1"/>
  <c r="S1568" i="1"/>
  <c r="O1568" i="1"/>
  <c r="N1568" i="1"/>
  <c r="M1568" i="1"/>
  <c r="S1567" i="1"/>
  <c r="O1567" i="1"/>
  <c r="N1567" i="1"/>
  <c r="M1567" i="1"/>
  <c r="S1566" i="1"/>
  <c r="O1566" i="1"/>
  <c r="N1566" i="1"/>
  <c r="M1566" i="1"/>
  <c r="S1565" i="1"/>
  <c r="O1565" i="1"/>
  <c r="N1565" i="1"/>
  <c r="M1565" i="1"/>
  <c r="S1564" i="1"/>
  <c r="O1564" i="1"/>
  <c r="N1564" i="1"/>
  <c r="M1564" i="1"/>
  <c r="S1563" i="1"/>
  <c r="O1563" i="1"/>
  <c r="N1563" i="1"/>
  <c r="M1563" i="1"/>
  <c r="S1562" i="1"/>
  <c r="O1562" i="1"/>
  <c r="N1562" i="1"/>
  <c r="M1562" i="1"/>
  <c r="S1560" i="1"/>
  <c r="O1560" i="1"/>
  <c r="N1560" i="1"/>
  <c r="M1560" i="1"/>
  <c r="S1559" i="1"/>
  <c r="O1559" i="1"/>
  <c r="N1559" i="1"/>
  <c r="M1559" i="1"/>
  <c r="S1558" i="1"/>
  <c r="O1558" i="1"/>
  <c r="N1558" i="1"/>
  <c r="M1558" i="1"/>
  <c r="S1557" i="1"/>
  <c r="O1557" i="1"/>
  <c r="N1557" i="1"/>
  <c r="M1557" i="1"/>
  <c r="S1556" i="1"/>
  <c r="O1556" i="1"/>
  <c r="N1556" i="1"/>
  <c r="M1556" i="1"/>
  <c r="S1555" i="1"/>
  <c r="O1555" i="1"/>
  <c r="N1555" i="1"/>
  <c r="M1555" i="1"/>
  <c r="S1553" i="1"/>
  <c r="O1553" i="1"/>
  <c r="N1553" i="1"/>
  <c r="M1553" i="1"/>
  <c r="S1552" i="1"/>
  <c r="O1552" i="1"/>
  <c r="N1552" i="1"/>
  <c r="M1552" i="1"/>
  <c r="S1551" i="1"/>
  <c r="O1551" i="1"/>
  <c r="N1551" i="1"/>
  <c r="M1551" i="1"/>
  <c r="S1550" i="1"/>
  <c r="O1550" i="1"/>
  <c r="N1550" i="1"/>
  <c r="M1550" i="1"/>
  <c r="S1549" i="1"/>
  <c r="O1549" i="1"/>
  <c r="N1549" i="1"/>
  <c r="M1549" i="1"/>
  <c r="S1548" i="1"/>
  <c r="O1548" i="1"/>
  <c r="N1548" i="1"/>
  <c r="M1548" i="1"/>
  <c r="S1547" i="1"/>
  <c r="O1547" i="1"/>
  <c r="N1547" i="1"/>
  <c r="M1547" i="1"/>
  <c r="S1546" i="1"/>
  <c r="O1546" i="1"/>
  <c r="N1546" i="1"/>
  <c r="M1546" i="1"/>
  <c r="S1545" i="1"/>
  <c r="O1545" i="1"/>
  <c r="N1545" i="1"/>
  <c r="M1545" i="1"/>
  <c r="S1544" i="1"/>
  <c r="O1544" i="1"/>
  <c r="N1544" i="1"/>
  <c r="M1544" i="1"/>
  <c r="S1543" i="1"/>
  <c r="O1543" i="1"/>
  <c r="N1543" i="1"/>
  <c r="M1543" i="1"/>
  <c r="S1541" i="1"/>
  <c r="O1541" i="1"/>
  <c r="N1541" i="1"/>
  <c r="M1541" i="1"/>
  <c r="S1540" i="1"/>
  <c r="O1540" i="1"/>
  <c r="N1540" i="1"/>
  <c r="M1540" i="1"/>
  <c r="S1539" i="1"/>
  <c r="O1539" i="1"/>
  <c r="N1539" i="1"/>
  <c r="M1539" i="1"/>
  <c r="S1538" i="1"/>
  <c r="O1538" i="1"/>
  <c r="N1538" i="1"/>
  <c r="M1538" i="1"/>
  <c r="S1537" i="1"/>
  <c r="O1537" i="1"/>
  <c r="N1537" i="1"/>
  <c r="M1537" i="1"/>
  <c r="S1536" i="1"/>
  <c r="O1536" i="1"/>
  <c r="N1536" i="1"/>
  <c r="M1536" i="1"/>
  <c r="S1535" i="1"/>
  <c r="O1535" i="1"/>
  <c r="N1535" i="1"/>
  <c r="M1535" i="1"/>
  <c r="S1534" i="1"/>
  <c r="O1534" i="1"/>
  <c r="N1534" i="1"/>
  <c r="M1534" i="1"/>
  <c r="S1533" i="1"/>
  <c r="O1533" i="1"/>
  <c r="N1533" i="1"/>
  <c r="M1533" i="1"/>
  <c r="S1531" i="1"/>
  <c r="O1531" i="1"/>
  <c r="N1531" i="1"/>
  <c r="M1531" i="1"/>
  <c r="S1530" i="1"/>
  <c r="O1530" i="1"/>
  <c r="N1530" i="1"/>
  <c r="M1530" i="1"/>
  <c r="S1529" i="1"/>
  <c r="O1529" i="1"/>
  <c r="N1529" i="1"/>
  <c r="M1529" i="1"/>
  <c r="S1528" i="1"/>
  <c r="O1528" i="1"/>
  <c r="N1528" i="1"/>
  <c r="M1528" i="1"/>
  <c r="S1527" i="1"/>
  <c r="O1527" i="1"/>
  <c r="N1527" i="1"/>
  <c r="M1527" i="1"/>
  <c r="S1524" i="1"/>
  <c r="O1524" i="1"/>
  <c r="N1524" i="1"/>
  <c r="M1524" i="1"/>
  <c r="S1523" i="1"/>
  <c r="O1523" i="1"/>
  <c r="N1523" i="1"/>
  <c r="M1523" i="1"/>
  <c r="S1522" i="1"/>
  <c r="O1522" i="1"/>
  <c r="N1522" i="1"/>
  <c r="M1522" i="1"/>
  <c r="S1521" i="1"/>
  <c r="O1521" i="1"/>
  <c r="N1521" i="1"/>
  <c r="M1521" i="1"/>
  <c r="S1520" i="1"/>
  <c r="O1520" i="1"/>
  <c r="N1520" i="1"/>
  <c r="M1520" i="1"/>
  <c r="S1519" i="1"/>
  <c r="O1519" i="1"/>
  <c r="N1519" i="1"/>
  <c r="M1519" i="1"/>
  <c r="S1518" i="1"/>
  <c r="O1518" i="1"/>
  <c r="N1518" i="1"/>
  <c r="M1518" i="1"/>
  <c r="S1517" i="1"/>
  <c r="O1517" i="1"/>
  <c r="N1517" i="1"/>
  <c r="M1517" i="1"/>
  <c r="S1516" i="1"/>
  <c r="O1516" i="1"/>
  <c r="N1516" i="1"/>
  <c r="M1516" i="1"/>
  <c r="S1515" i="1"/>
  <c r="O1515" i="1"/>
  <c r="N1515" i="1"/>
  <c r="M1515" i="1"/>
  <c r="S1513" i="1"/>
  <c r="O1513" i="1"/>
  <c r="N1513" i="1"/>
  <c r="M1513" i="1"/>
  <c r="S1512" i="1"/>
  <c r="O1512" i="1"/>
  <c r="N1512" i="1"/>
  <c r="M1512" i="1"/>
  <c r="S1509" i="1"/>
  <c r="O1509" i="1"/>
  <c r="N1509" i="1"/>
  <c r="M1509" i="1"/>
  <c r="S1508" i="1"/>
  <c r="O1508" i="1"/>
  <c r="N1508" i="1"/>
  <c r="M1508" i="1"/>
  <c r="S1507" i="1"/>
  <c r="O1507" i="1"/>
  <c r="N1507" i="1"/>
  <c r="M1507" i="1"/>
  <c r="S1504" i="1"/>
  <c r="O1504" i="1"/>
  <c r="N1504" i="1"/>
  <c r="M1504" i="1"/>
  <c r="S1503" i="1"/>
  <c r="O1503" i="1"/>
  <c r="N1503" i="1"/>
  <c r="M1503" i="1"/>
  <c r="S1500" i="1"/>
  <c r="O1500" i="1"/>
  <c r="N1500" i="1"/>
  <c r="M1500" i="1"/>
  <c r="S1499" i="1"/>
  <c r="O1499" i="1"/>
  <c r="N1499" i="1"/>
  <c r="M1499" i="1"/>
  <c r="S1498" i="1"/>
  <c r="O1498" i="1"/>
  <c r="N1498" i="1"/>
  <c r="M1498" i="1"/>
  <c r="S1497" i="1"/>
  <c r="O1497" i="1"/>
  <c r="N1497" i="1"/>
  <c r="M1497" i="1"/>
  <c r="S1496" i="1"/>
  <c r="O1496" i="1"/>
  <c r="N1496" i="1"/>
  <c r="M1496" i="1"/>
  <c r="S1495" i="1"/>
  <c r="O1495" i="1"/>
  <c r="N1495" i="1"/>
  <c r="M1495" i="1"/>
  <c r="S1494" i="1"/>
  <c r="O1494" i="1"/>
  <c r="N1494" i="1"/>
  <c r="M1494" i="1"/>
  <c r="S1493" i="1"/>
  <c r="O1493" i="1"/>
  <c r="N1493" i="1"/>
  <c r="M1493" i="1"/>
  <c r="S1492" i="1"/>
  <c r="O1492" i="1"/>
  <c r="N1492" i="1"/>
  <c r="M1492" i="1"/>
  <c r="S1490" i="1"/>
  <c r="O1490" i="1"/>
  <c r="N1490" i="1"/>
  <c r="M1490" i="1"/>
  <c r="S1489" i="1"/>
  <c r="O1489" i="1"/>
  <c r="N1489" i="1"/>
  <c r="M1489" i="1"/>
  <c r="S1488" i="1"/>
  <c r="O1488" i="1"/>
  <c r="N1488" i="1"/>
  <c r="M1488" i="1"/>
  <c r="S1487" i="1"/>
  <c r="O1487" i="1"/>
  <c r="N1487" i="1"/>
  <c r="M1487" i="1"/>
  <c r="S1485" i="1"/>
  <c r="O1485" i="1"/>
  <c r="N1485" i="1"/>
  <c r="M1485" i="1"/>
  <c r="S1484" i="1"/>
  <c r="O1484" i="1"/>
  <c r="N1484" i="1"/>
  <c r="M1484" i="1"/>
  <c r="S1483" i="1"/>
  <c r="O1483" i="1"/>
  <c r="N1483" i="1"/>
  <c r="M1483" i="1"/>
  <c r="S1482" i="1"/>
  <c r="O1482" i="1"/>
  <c r="N1482" i="1"/>
  <c r="M1482" i="1"/>
  <c r="S1481" i="1"/>
  <c r="O1481" i="1"/>
  <c r="N1481" i="1"/>
  <c r="M1481" i="1"/>
  <c r="S1480" i="1"/>
  <c r="O1480" i="1"/>
  <c r="N1480" i="1"/>
  <c r="M1480" i="1"/>
  <c r="S1479" i="1"/>
  <c r="O1479" i="1"/>
  <c r="N1479" i="1"/>
  <c r="M1479" i="1"/>
  <c r="S1477" i="1"/>
  <c r="O1477" i="1"/>
  <c r="N1477" i="1"/>
  <c r="M1477" i="1"/>
  <c r="S1476" i="1"/>
  <c r="O1476" i="1"/>
  <c r="N1476" i="1"/>
  <c r="M1476" i="1"/>
  <c r="S1475" i="1"/>
  <c r="O1475" i="1"/>
  <c r="N1475" i="1"/>
  <c r="M1475" i="1"/>
  <c r="S1474" i="1"/>
  <c r="O1474" i="1"/>
  <c r="N1474" i="1"/>
  <c r="M1474" i="1"/>
  <c r="S1473" i="1"/>
  <c r="O1473" i="1"/>
  <c r="N1473" i="1"/>
  <c r="M1473" i="1"/>
  <c r="S1472" i="1"/>
  <c r="O1472" i="1"/>
  <c r="N1472" i="1"/>
  <c r="M1472" i="1"/>
  <c r="S1471" i="1"/>
  <c r="O1471" i="1"/>
  <c r="N1471" i="1"/>
  <c r="M1471" i="1"/>
  <c r="S1470" i="1"/>
  <c r="O1470" i="1"/>
  <c r="N1470" i="1"/>
  <c r="M1470" i="1"/>
  <c r="S1469" i="1"/>
  <c r="O1469" i="1"/>
  <c r="N1469" i="1"/>
  <c r="M1469" i="1"/>
  <c r="S1468" i="1"/>
  <c r="O1468" i="1"/>
  <c r="N1468" i="1"/>
  <c r="M1468" i="1"/>
  <c r="S1467" i="1"/>
  <c r="O1467" i="1"/>
  <c r="N1467" i="1"/>
  <c r="M1467" i="1"/>
  <c r="S1466" i="1"/>
  <c r="O1466" i="1"/>
  <c r="N1466" i="1"/>
  <c r="M1466" i="1"/>
  <c r="S1465" i="1"/>
  <c r="O1465" i="1"/>
  <c r="N1465" i="1"/>
  <c r="M1465" i="1"/>
  <c r="S1464" i="1"/>
  <c r="O1464" i="1"/>
  <c r="N1464" i="1"/>
  <c r="M1464" i="1"/>
  <c r="S1463" i="1"/>
  <c r="O1463" i="1"/>
  <c r="N1463" i="1"/>
  <c r="M1463" i="1"/>
  <c r="S1462" i="1"/>
  <c r="O1462" i="1"/>
  <c r="N1462" i="1"/>
  <c r="M1462" i="1"/>
  <c r="S1461" i="1"/>
  <c r="O1461" i="1"/>
  <c r="N1461" i="1"/>
  <c r="M1461" i="1"/>
  <c r="S1460" i="1"/>
  <c r="O1460" i="1"/>
  <c r="N1460" i="1"/>
  <c r="M1460" i="1"/>
  <c r="S1459" i="1"/>
  <c r="O1459" i="1"/>
  <c r="N1459" i="1"/>
  <c r="M1459" i="1"/>
  <c r="S1458" i="1"/>
  <c r="O1458" i="1"/>
  <c r="N1458" i="1"/>
  <c r="M1458" i="1"/>
  <c r="S1457" i="1"/>
  <c r="O1457" i="1"/>
  <c r="N1457" i="1"/>
  <c r="M1457" i="1"/>
  <c r="S1455" i="1"/>
  <c r="O1455" i="1"/>
  <c r="N1455" i="1"/>
  <c r="M1455" i="1"/>
  <c r="S1454" i="1"/>
  <c r="O1454" i="1"/>
  <c r="N1454" i="1"/>
  <c r="M1454" i="1"/>
  <c r="S1453" i="1"/>
  <c r="O1453" i="1"/>
  <c r="N1453" i="1"/>
  <c r="M1453" i="1"/>
  <c r="S1452" i="1"/>
  <c r="O1452" i="1"/>
  <c r="N1452" i="1"/>
  <c r="M1452" i="1"/>
  <c r="S1451" i="1"/>
  <c r="O1451" i="1"/>
  <c r="N1451" i="1"/>
  <c r="M1451" i="1"/>
  <c r="S1448" i="1"/>
  <c r="O1448" i="1"/>
  <c r="N1448" i="1"/>
  <c r="M1448" i="1"/>
  <c r="S1447" i="1"/>
  <c r="O1447" i="1"/>
  <c r="N1447" i="1"/>
  <c r="M1447" i="1"/>
  <c r="S1446" i="1"/>
  <c r="O1446" i="1"/>
  <c r="N1446" i="1"/>
  <c r="M1446" i="1"/>
  <c r="S1445" i="1"/>
  <c r="O1445" i="1"/>
  <c r="N1445" i="1"/>
  <c r="M1445" i="1"/>
  <c r="S1444" i="1"/>
  <c r="O1444" i="1"/>
  <c r="N1444" i="1"/>
  <c r="M1444" i="1"/>
  <c r="S1443" i="1"/>
  <c r="O1443" i="1"/>
  <c r="N1443" i="1"/>
  <c r="M1443" i="1"/>
  <c r="S1442" i="1"/>
  <c r="O1442" i="1"/>
  <c r="N1442" i="1"/>
  <c r="M1442" i="1"/>
  <c r="S1441" i="1"/>
  <c r="O1441" i="1"/>
  <c r="N1441" i="1"/>
  <c r="M1441" i="1"/>
  <c r="S1440" i="1"/>
  <c r="O1440" i="1"/>
  <c r="N1440" i="1"/>
  <c r="M1440" i="1"/>
  <c r="S1439" i="1"/>
  <c r="O1439" i="1"/>
  <c r="N1439" i="1"/>
  <c r="M1439" i="1"/>
  <c r="S1438" i="1"/>
  <c r="O1438" i="1"/>
  <c r="N1438" i="1"/>
  <c r="M1438" i="1"/>
  <c r="S1437" i="1"/>
  <c r="O1437" i="1"/>
  <c r="N1437" i="1"/>
  <c r="M1437" i="1"/>
  <c r="S1436" i="1"/>
  <c r="O1436" i="1"/>
  <c r="N1436" i="1"/>
  <c r="M1436" i="1"/>
  <c r="S1434" i="1"/>
  <c r="O1434" i="1"/>
  <c r="N1434" i="1"/>
  <c r="M1434" i="1"/>
  <c r="S1433" i="1"/>
  <c r="O1433" i="1"/>
  <c r="N1433" i="1"/>
  <c r="M1433" i="1"/>
  <c r="S1432" i="1"/>
  <c r="O1432" i="1"/>
  <c r="N1432" i="1"/>
  <c r="M1432" i="1"/>
  <c r="S1431" i="1"/>
  <c r="O1431" i="1"/>
  <c r="N1431" i="1"/>
  <c r="M1431" i="1"/>
  <c r="S1430" i="1"/>
  <c r="O1430" i="1"/>
  <c r="N1430" i="1"/>
  <c r="M1430" i="1"/>
  <c r="S1428" i="1"/>
  <c r="O1428" i="1"/>
  <c r="N1428" i="1"/>
  <c r="M1428" i="1"/>
  <c r="S1427" i="1"/>
  <c r="O1427" i="1"/>
  <c r="N1427" i="1"/>
  <c r="M1427" i="1"/>
  <c r="S1426" i="1"/>
  <c r="O1426" i="1"/>
  <c r="N1426" i="1"/>
  <c r="M1426" i="1"/>
  <c r="S1425" i="1"/>
  <c r="O1425" i="1"/>
  <c r="N1425" i="1"/>
  <c r="M1425" i="1"/>
  <c r="S1424" i="1"/>
  <c r="O1424" i="1"/>
  <c r="N1424" i="1"/>
  <c r="M1424" i="1"/>
  <c r="S1423" i="1"/>
  <c r="O1423" i="1"/>
  <c r="N1423" i="1"/>
  <c r="M1423" i="1"/>
  <c r="S1420" i="1"/>
  <c r="O1420" i="1"/>
  <c r="N1420" i="1"/>
  <c r="M1420" i="1"/>
  <c r="S1419" i="1"/>
  <c r="O1419" i="1"/>
  <c r="N1419" i="1"/>
  <c r="M1419" i="1"/>
  <c r="S1418" i="1"/>
  <c r="O1418" i="1"/>
  <c r="N1418" i="1"/>
  <c r="M1418" i="1"/>
  <c r="S1417" i="1"/>
  <c r="O1417" i="1"/>
  <c r="N1417" i="1"/>
  <c r="M1417" i="1"/>
  <c r="S1416" i="1"/>
  <c r="O1416" i="1"/>
  <c r="N1416" i="1"/>
  <c r="M1416" i="1"/>
  <c r="S1415" i="1"/>
  <c r="O1415" i="1"/>
  <c r="N1415" i="1"/>
  <c r="M1415" i="1"/>
  <c r="S1413" i="1"/>
  <c r="O1413" i="1"/>
  <c r="N1413" i="1"/>
  <c r="M1413" i="1"/>
  <c r="S1411" i="1"/>
  <c r="O1411" i="1"/>
  <c r="N1411" i="1"/>
  <c r="M1411" i="1"/>
  <c r="S1410" i="1"/>
  <c r="O1410" i="1"/>
  <c r="N1410" i="1"/>
  <c r="M1410" i="1"/>
  <c r="S1409" i="1"/>
  <c r="O1409" i="1"/>
  <c r="N1409" i="1"/>
  <c r="M1409" i="1"/>
  <c r="S1408" i="1"/>
  <c r="O1408" i="1"/>
  <c r="N1408" i="1"/>
  <c r="M1408" i="1"/>
  <c r="S1407" i="1"/>
  <c r="O1407" i="1"/>
  <c r="N1407" i="1"/>
  <c r="M1407" i="1"/>
  <c r="S1406" i="1"/>
  <c r="O1406" i="1"/>
  <c r="N1406" i="1"/>
  <c r="M1406" i="1"/>
  <c r="S1405" i="1"/>
  <c r="O1405" i="1"/>
  <c r="N1405" i="1"/>
  <c r="M1405" i="1"/>
  <c r="S1404" i="1"/>
  <c r="O1404" i="1"/>
  <c r="N1404" i="1"/>
  <c r="M1404" i="1"/>
  <c r="S1403" i="1"/>
  <c r="O1403" i="1"/>
  <c r="N1403" i="1"/>
  <c r="M1403" i="1"/>
  <c r="S1402" i="1"/>
  <c r="O1402" i="1"/>
  <c r="N1402" i="1"/>
  <c r="M1402" i="1"/>
  <c r="S1401" i="1"/>
  <c r="O1401" i="1"/>
  <c r="N1401" i="1"/>
  <c r="M1401" i="1"/>
  <c r="S1400" i="1"/>
  <c r="O1400" i="1"/>
  <c r="N1400" i="1"/>
  <c r="M1400" i="1"/>
  <c r="S1399" i="1"/>
  <c r="O1399" i="1"/>
  <c r="N1399" i="1"/>
  <c r="M1399" i="1"/>
  <c r="S1398" i="1"/>
  <c r="O1398" i="1"/>
  <c r="N1398" i="1"/>
  <c r="M1398" i="1"/>
  <c r="S1397" i="1"/>
  <c r="O1397" i="1"/>
  <c r="N1397" i="1"/>
  <c r="M1397" i="1"/>
  <c r="S1396" i="1"/>
  <c r="O1396" i="1"/>
  <c r="N1396" i="1"/>
  <c r="M1396" i="1"/>
  <c r="S1395" i="1"/>
  <c r="O1395" i="1"/>
  <c r="N1395" i="1"/>
  <c r="M1395" i="1"/>
  <c r="S1394" i="1"/>
  <c r="O1394" i="1"/>
  <c r="N1394" i="1"/>
  <c r="M1394" i="1"/>
  <c r="S1393" i="1"/>
  <c r="O1393" i="1"/>
  <c r="N1393" i="1"/>
  <c r="M1393" i="1"/>
  <c r="S1391" i="1"/>
  <c r="O1391" i="1"/>
  <c r="N1391" i="1"/>
  <c r="M1391" i="1"/>
  <c r="S1390" i="1"/>
  <c r="O1390" i="1"/>
  <c r="N1390" i="1"/>
  <c r="M1390" i="1"/>
  <c r="S1389" i="1"/>
  <c r="O1389" i="1"/>
  <c r="N1389" i="1"/>
  <c r="M1389" i="1"/>
  <c r="S1387" i="1"/>
  <c r="O1387" i="1"/>
  <c r="N1387" i="1"/>
  <c r="M1387" i="1"/>
  <c r="S1384" i="1"/>
  <c r="O1384" i="1"/>
  <c r="N1384" i="1"/>
  <c r="M1384" i="1"/>
  <c r="S1383" i="1"/>
  <c r="O1383" i="1"/>
  <c r="N1383" i="1"/>
  <c r="M1383" i="1"/>
  <c r="S1382" i="1"/>
  <c r="O1382" i="1"/>
  <c r="N1382" i="1"/>
  <c r="M1382" i="1"/>
  <c r="S1381" i="1"/>
  <c r="O1381" i="1"/>
  <c r="N1381" i="1"/>
  <c r="M1381" i="1"/>
  <c r="S1379" i="1"/>
  <c r="O1379" i="1"/>
  <c r="N1379" i="1"/>
  <c r="M1379" i="1"/>
  <c r="S1377" i="1"/>
  <c r="O1377" i="1"/>
  <c r="N1377" i="1"/>
  <c r="M1377" i="1"/>
  <c r="S1376" i="1"/>
  <c r="O1376" i="1"/>
  <c r="N1376" i="1"/>
  <c r="M1376" i="1"/>
  <c r="S1374" i="1"/>
  <c r="O1374" i="1"/>
  <c r="N1374" i="1"/>
  <c r="M1374" i="1"/>
  <c r="S1373" i="1"/>
  <c r="O1373" i="1"/>
  <c r="N1373" i="1"/>
  <c r="M1373" i="1"/>
  <c r="S1371" i="1"/>
  <c r="O1371" i="1"/>
  <c r="N1371" i="1"/>
  <c r="M1371" i="1"/>
  <c r="S1370" i="1"/>
  <c r="O1370" i="1"/>
  <c r="N1370" i="1"/>
  <c r="M1370" i="1"/>
  <c r="S1369" i="1"/>
  <c r="O1369" i="1"/>
  <c r="N1369" i="1"/>
  <c r="M1369" i="1"/>
  <c r="S1367" i="1"/>
  <c r="O1367" i="1"/>
  <c r="N1367" i="1"/>
  <c r="M1367" i="1"/>
  <c r="S1366" i="1"/>
  <c r="O1366" i="1"/>
  <c r="N1366" i="1"/>
  <c r="M1366" i="1"/>
  <c r="S1365" i="1"/>
  <c r="O1365" i="1"/>
  <c r="N1365" i="1"/>
  <c r="M1365" i="1"/>
  <c r="S1364" i="1"/>
  <c r="O1364" i="1"/>
  <c r="N1364" i="1"/>
  <c r="M1364" i="1"/>
  <c r="S1363" i="1"/>
  <c r="O1363" i="1"/>
  <c r="N1363" i="1"/>
  <c r="M1363" i="1"/>
  <c r="S1362" i="1"/>
  <c r="O1362" i="1"/>
  <c r="N1362" i="1"/>
  <c r="M1362" i="1"/>
  <c r="S1361" i="1"/>
  <c r="O1361" i="1"/>
  <c r="N1361" i="1"/>
  <c r="M1361" i="1"/>
  <c r="S1360" i="1"/>
  <c r="O1360" i="1"/>
  <c r="N1360" i="1"/>
  <c r="M1360" i="1"/>
  <c r="S1359" i="1"/>
  <c r="O1359" i="1"/>
  <c r="N1359" i="1"/>
  <c r="M1359" i="1"/>
  <c r="S1358" i="1"/>
  <c r="O1358" i="1"/>
  <c r="N1358" i="1"/>
  <c r="M1358" i="1"/>
  <c r="S1357" i="1"/>
  <c r="O1357" i="1"/>
  <c r="N1357" i="1"/>
  <c r="M1357" i="1"/>
  <c r="S1356" i="1"/>
  <c r="O1356" i="1"/>
  <c r="N1356" i="1"/>
  <c r="M1356" i="1"/>
  <c r="S1354" i="1"/>
  <c r="O1354" i="1"/>
  <c r="N1354" i="1"/>
  <c r="M1354" i="1"/>
  <c r="S1353" i="1"/>
  <c r="O1353" i="1"/>
  <c r="N1353" i="1"/>
  <c r="M1353" i="1"/>
  <c r="S1352" i="1"/>
  <c r="O1352" i="1"/>
  <c r="N1352" i="1"/>
  <c r="M1352" i="1"/>
  <c r="S1351" i="1"/>
  <c r="O1351" i="1"/>
  <c r="N1351" i="1"/>
  <c r="M1351" i="1"/>
  <c r="S1350" i="1"/>
  <c r="O1350" i="1"/>
  <c r="N1350" i="1"/>
  <c r="M1350" i="1"/>
  <c r="S1349" i="1"/>
  <c r="O1349" i="1"/>
  <c r="N1349" i="1"/>
  <c r="M1349" i="1"/>
  <c r="S1348" i="1"/>
  <c r="O1348" i="1"/>
  <c r="N1348" i="1"/>
  <c r="M1348" i="1"/>
  <c r="S1347" i="1"/>
  <c r="O1347" i="1"/>
  <c r="N1347" i="1"/>
  <c r="M1347" i="1"/>
  <c r="S1346" i="1"/>
  <c r="O1346" i="1"/>
  <c r="N1346" i="1"/>
  <c r="M1346" i="1"/>
  <c r="S1345" i="1"/>
  <c r="O1345" i="1"/>
  <c r="N1345" i="1"/>
  <c r="M1345" i="1"/>
  <c r="S1344" i="1"/>
  <c r="O1344" i="1"/>
  <c r="N1344" i="1"/>
  <c r="M1344" i="1"/>
  <c r="S1343" i="1"/>
  <c r="O1343" i="1"/>
  <c r="N1343" i="1"/>
  <c r="M1343" i="1"/>
  <c r="S1342" i="1"/>
  <c r="O1342" i="1"/>
  <c r="N1342" i="1"/>
  <c r="M1342" i="1"/>
  <c r="S1341" i="1"/>
  <c r="O1341" i="1"/>
  <c r="N1341" i="1"/>
  <c r="M1341" i="1"/>
  <c r="S1340" i="1"/>
  <c r="O1340" i="1"/>
  <c r="N1340" i="1"/>
  <c r="M1340" i="1"/>
  <c r="S1337" i="1"/>
  <c r="O1337" i="1"/>
  <c r="N1337" i="1"/>
  <c r="M1337" i="1"/>
  <c r="S1335" i="1"/>
  <c r="O1335" i="1"/>
  <c r="N1335" i="1"/>
  <c r="M1335" i="1"/>
  <c r="S1334" i="1"/>
  <c r="O1334" i="1"/>
  <c r="N1334" i="1"/>
  <c r="M1334" i="1"/>
  <c r="S1333" i="1"/>
  <c r="O1333" i="1"/>
  <c r="N1333" i="1"/>
  <c r="M1333" i="1"/>
  <c r="S1332" i="1"/>
  <c r="O1332" i="1"/>
  <c r="N1332" i="1"/>
  <c r="M1332" i="1"/>
  <c r="S1329" i="1"/>
  <c r="O1329" i="1"/>
  <c r="N1329" i="1"/>
  <c r="M1329" i="1"/>
  <c r="S1328" i="1"/>
  <c r="O1328" i="1"/>
  <c r="N1328" i="1"/>
  <c r="M1328" i="1"/>
  <c r="S1327" i="1"/>
  <c r="O1327" i="1"/>
  <c r="N1327" i="1"/>
  <c r="M1327" i="1"/>
  <c r="S1326" i="1"/>
  <c r="O1326" i="1"/>
  <c r="N1326" i="1"/>
  <c r="M1326" i="1"/>
  <c r="S1324" i="1"/>
  <c r="O1324" i="1"/>
  <c r="N1324" i="1"/>
  <c r="M1324" i="1"/>
  <c r="S1323" i="1"/>
  <c r="O1323" i="1"/>
  <c r="N1323" i="1"/>
  <c r="M1323" i="1"/>
  <c r="S1322" i="1"/>
  <c r="O1322" i="1"/>
  <c r="N1322" i="1"/>
  <c r="M1322" i="1"/>
  <c r="S1321" i="1"/>
  <c r="O1321" i="1"/>
  <c r="N1321" i="1"/>
  <c r="M1321" i="1"/>
  <c r="S1319" i="1"/>
  <c r="O1319" i="1"/>
  <c r="N1319" i="1"/>
  <c r="M1319" i="1"/>
  <c r="S1318" i="1"/>
  <c r="O1318" i="1"/>
  <c r="N1318" i="1"/>
  <c r="M1318" i="1"/>
  <c r="S1317" i="1"/>
  <c r="O1317" i="1"/>
  <c r="N1317" i="1"/>
  <c r="M1317" i="1"/>
  <c r="S1316" i="1"/>
  <c r="O1316" i="1"/>
  <c r="N1316" i="1"/>
  <c r="M1316" i="1"/>
  <c r="S1315" i="1"/>
  <c r="O1315" i="1"/>
  <c r="N1315" i="1"/>
  <c r="M1315" i="1"/>
  <c r="S1314" i="1"/>
  <c r="O1314" i="1"/>
  <c r="N1314" i="1"/>
  <c r="M1314" i="1"/>
  <c r="S1313" i="1"/>
  <c r="O1313" i="1"/>
  <c r="N1313" i="1"/>
  <c r="M1313" i="1"/>
  <c r="S1312" i="1"/>
  <c r="O1312" i="1"/>
  <c r="N1312" i="1"/>
  <c r="M1312" i="1"/>
  <c r="S1311" i="1"/>
  <c r="O1311" i="1"/>
  <c r="N1311" i="1"/>
  <c r="M1311" i="1"/>
  <c r="S1308" i="1"/>
  <c r="O1308" i="1"/>
  <c r="N1308" i="1"/>
  <c r="M1308" i="1"/>
  <c r="S1307" i="1"/>
  <c r="O1307" i="1"/>
  <c r="N1307" i="1"/>
  <c r="M1307" i="1"/>
  <c r="S1306" i="1"/>
  <c r="O1306" i="1"/>
  <c r="N1306" i="1"/>
  <c r="M1306" i="1"/>
  <c r="S1305" i="1"/>
  <c r="O1305" i="1"/>
  <c r="N1305" i="1"/>
  <c r="M1305" i="1"/>
  <c r="S1304" i="1"/>
  <c r="O1304" i="1"/>
  <c r="N1304" i="1"/>
  <c r="M1304" i="1"/>
  <c r="S1303" i="1"/>
  <c r="O1303" i="1"/>
  <c r="N1303" i="1"/>
  <c r="M1303" i="1"/>
  <c r="S1302" i="1"/>
  <c r="O1302" i="1"/>
  <c r="N1302" i="1"/>
  <c r="M1302" i="1"/>
  <c r="S1301" i="1"/>
  <c r="O1301" i="1"/>
  <c r="N1301" i="1"/>
  <c r="M1301" i="1"/>
  <c r="S1300" i="1"/>
  <c r="O1300" i="1"/>
  <c r="N1300" i="1"/>
  <c r="M1300" i="1"/>
  <c r="S1299" i="1"/>
  <c r="O1299" i="1"/>
  <c r="N1299" i="1"/>
  <c r="M1299" i="1"/>
  <c r="S1296" i="1"/>
  <c r="O1296" i="1"/>
  <c r="N1296" i="1"/>
  <c r="M1296" i="1"/>
  <c r="S1295" i="1"/>
  <c r="O1295" i="1"/>
  <c r="N1295" i="1"/>
  <c r="M1295" i="1"/>
  <c r="S1294" i="1"/>
  <c r="O1294" i="1"/>
  <c r="N1294" i="1"/>
  <c r="M1294" i="1"/>
  <c r="S1293" i="1"/>
  <c r="O1293" i="1"/>
  <c r="N1293" i="1"/>
  <c r="M1293" i="1"/>
  <c r="S1291" i="1"/>
  <c r="O1291" i="1"/>
  <c r="N1291" i="1"/>
  <c r="M1291" i="1"/>
  <c r="S1290" i="1"/>
  <c r="O1290" i="1"/>
  <c r="N1290" i="1"/>
  <c r="M1290" i="1"/>
  <c r="S1289" i="1"/>
  <c r="O1289" i="1"/>
  <c r="N1289" i="1"/>
  <c r="M1289" i="1"/>
  <c r="S1288" i="1"/>
  <c r="O1288" i="1"/>
  <c r="N1288" i="1"/>
  <c r="M1288" i="1"/>
  <c r="S1286" i="1"/>
  <c r="O1286" i="1"/>
  <c r="N1286" i="1"/>
  <c r="M1286" i="1"/>
  <c r="S1285" i="1"/>
  <c r="O1285" i="1"/>
  <c r="N1285" i="1"/>
  <c r="M1285" i="1"/>
  <c r="S1284" i="1"/>
  <c r="O1284" i="1"/>
  <c r="N1284" i="1"/>
  <c r="M1284" i="1"/>
  <c r="S1283" i="1"/>
  <c r="O1283" i="1"/>
  <c r="N1283" i="1"/>
  <c r="M1283" i="1"/>
  <c r="S1282" i="1"/>
  <c r="O1282" i="1"/>
  <c r="N1282" i="1"/>
  <c r="M1282" i="1"/>
  <c r="S1280" i="1"/>
  <c r="O1280" i="1"/>
  <c r="N1280" i="1"/>
  <c r="M1280" i="1"/>
  <c r="S1279" i="1"/>
  <c r="O1279" i="1"/>
  <c r="N1279" i="1"/>
  <c r="M1279" i="1"/>
  <c r="S1278" i="1"/>
  <c r="O1278" i="1"/>
  <c r="N1278" i="1"/>
  <c r="M1278" i="1"/>
  <c r="S1277" i="1"/>
  <c r="O1277" i="1"/>
  <c r="N1277" i="1"/>
  <c r="M1277" i="1"/>
  <c r="S1276" i="1"/>
  <c r="O1276" i="1"/>
  <c r="N1276" i="1"/>
  <c r="M1276" i="1"/>
  <c r="S1274" i="1"/>
  <c r="O1274" i="1"/>
  <c r="N1274" i="1"/>
  <c r="M1274" i="1"/>
  <c r="S1273" i="1"/>
  <c r="O1273" i="1"/>
  <c r="N1273" i="1"/>
  <c r="M1273" i="1"/>
  <c r="S1272" i="1"/>
  <c r="O1272" i="1"/>
  <c r="N1272" i="1"/>
  <c r="M1272" i="1"/>
  <c r="S1271" i="1"/>
  <c r="O1271" i="1"/>
  <c r="N1271" i="1"/>
  <c r="M1271" i="1"/>
  <c r="S1270" i="1"/>
  <c r="O1270" i="1"/>
  <c r="N1270" i="1"/>
  <c r="M1270" i="1"/>
  <c r="S1268" i="1"/>
  <c r="O1268" i="1"/>
  <c r="N1268" i="1"/>
  <c r="M1268" i="1"/>
  <c r="S1267" i="1"/>
  <c r="O1267" i="1"/>
  <c r="N1267" i="1"/>
  <c r="M1267" i="1"/>
  <c r="S1266" i="1"/>
  <c r="O1266" i="1"/>
  <c r="N1266" i="1"/>
  <c r="M1266" i="1"/>
  <c r="S1265" i="1"/>
  <c r="O1265" i="1"/>
  <c r="N1265" i="1"/>
  <c r="M1265" i="1"/>
  <c r="S1263" i="1"/>
  <c r="O1263" i="1"/>
  <c r="N1263" i="1"/>
  <c r="M1263" i="1"/>
  <c r="S1262" i="1"/>
  <c r="O1262" i="1"/>
  <c r="N1262" i="1"/>
  <c r="M1262" i="1"/>
  <c r="S1261" i="1"/>
  <c r="O1261" i="1"/>
  <c r="N1261" i="1"/>
  <c r="M1261" i="1"/>
  <c r="S1259" i="1"/>
  <c r="O1259" i="1"/>
  <c r="N1259" i="1"/>
  <c r="M1259" i="1"/>
  <c r="S1257" i="1"/>
  <c r="O1257" i="1"/>
  <c r="N1257" i="1"/>
  <c r="M1257" i="1"/>
  <c r="S1256" i="1"/>
  <c r="O1256" i="1"/>
  <c r="N1256" i="1"/>
  <c r="M1256" i="1"/>
  <c r="S1254" i="1"/>
  <c r="O1254" i="1"/>
  <c r="N1254" i="1"/>
  <c r="M1254" i="1"/>
  <c r="S1253" i="1"/>
  <c r="O1253" i="1"/>
  <c r="N1253" i="1"/>
  <c r="M1253" i="1"/>
  <c r="S1252" i="1"/>
  <c r="O1252" i="1"/>
  <c r="N1252" i="1"/>
  <c r="M1252" i="1"/>
  <c r="S1251" i="1"/>
  <c r="O1251" i="1"/>
  <c r="N1251" i="1"/>
  <c r="M1251" i="1"/>
  <c r="S1249" i="1"/>
  <c r="O1249" i="1"/>
  <c r="N1249" i="1"/>
  <c r="M1249" i="1"/>
  <c r="S1247" i="1"/>
  <c r="O1247" i="1"/>
  <c r="N1247" i="1"/>
  <c r="M1247" i="1"/>
  <c r="S1246" i="1"/>
  <c r="O1246" i="1"/>
  <c r="N1246" i="1"/>
  <c r="M1246" i="1"/>
  <c r="S1245" i="1"/>
  <c r="O1245" i="1"/>
  <c r="N1245" i="1"/>
  <c r="M1245" i="1"/>
  <c r="S1244" i="1"/>
  <c r="O1244" i="1"/>
  <c r="N1244" i="1"/>
  <c r="M1244" i="1"/>
  <c r="S1243" i="1"/>
  <c r="O1243" i="1"/>
  <c r="N1243" i="1"/>
  <c r="M1243" i="1"/>
  <c r="S1241" i="1"/>
  <c r="O1241" i="1"/>
  <c r="N1241" i="1"/>
  <c r="M1241" i="1"/>
  <c r="S1240" i="1"/>
  <c r="O1240" i="1"/>
  <c r="N1240" i="1"/>
  <c r="M1240" i="1"/>
  <c r="S1239" i="1"/>
  <c r="O1239" i="1"/>
  <c r="N1239" i="1"/>
  <c r="M1239" i="1"/>
  <c r="S1238" i="1"/>
  <c r="O1238" i="1"/>
  <c r="N1238" i="1"/>
  <c r="M1238" i="1"/>
  <c r="S1237" i="1"/>
  <c r="O1237" i="1"/>
  <c r="N1237" i="1"/>
  <c r="M1237" i="1"/>
  <c r="S1235" i="1"/>
  <c r="O1235" i="1"/>
  <c r="N1235" i="1"/>
  <c r="M1235" i="1"/>
  <c r="S1234" i="1"/>
  <c r="O1234" i="1"/>
  <c r="N1234" i="1"/>
  <c r="M1234" i="1"/>
  <c r="S1233" i="1"/>
  <c r="O1233" i="1"/>
  <c r="N1233" i="1"/>
  <c r="M1233" i="1"/>
  <c r="S1232" i="1"/>
  <c r="O1232" i="1"/>
  <c r="N1232" i="1"/>
  <c r="M1232" i="1"/>
  <c r="S1230" i="1"/>
  <c r="O1230" i="1"/>
  <c r="N1230" i="1"/>
  <c r="M1230" i="1"/>
  <c r="S1229" i="1"/>
  <c r="O1229" i="1"/>
  <c r="N1229" i="1"/>
  <c r="M1229" i="1"/>
  <c r="S1228" i="1"/>
  <c r="O1228" i="1"/>
  <c r="N1228" i="1"/>
  <c r="M1228" i="1"/>
  <c r="S1227" i="1"/>
  <c r="O1227" i="1"/>
  <c r="N1227" i="1"/>
  <c r="M1227" i="1"/>
  <c r="S1226" i="1"/>
  <c r="O1226" i="1"/>
  <c r="N1226" i="1"/>
  <c r="M1226" i="1"/>
  <c r="S1224" i="1"/>
  <c r="O1224" i="1"/>
  <c r="N1224" i="1"/>
  <c r="M1224" i="1"/>
  <c r="S1223" i="1"/>
  <c r="O1223" i="1"/>
  <c r="N1223" i="1"/>
  <c r="M1223" i="1"/>
  <c r="S1222" i="1"/>
  <c r="O1222" i="1"/>
  <c r="N1222" i="1"/>
  <c r="M1222" i="1"/>
  <c r="S1221" i="1"/>
  <c r="O1221" i="1"/>
  <c r="N1221" i="1"/>
  <c r="M1221" i="1"/>
  <c r="S1219" i="1"/>
  <c r="O1219" i="1"/>
  <c r="N1219" i="1"/>
  <c r="M1219" i="1"/>
  <c r="S1218" i="1"/>
  <c r="O1218" i="1"/>
  <c r="N1218" i="1"/>
  <c r="M1218" i="1"/>
  <c r="S1217" i="1"/>
  <c r="O1217" i="1"/>
  <c r="N1217" i="1"/>
  <c r="M1217" i="1"/>
  <c r="S1216" i="1"/>
  <c r="O1216" i="1"/>
  <c r="N1216" i="1"/>
  <c r="M1216" i="1"/>
  <c r="S1215" i="1"/>
  <c r="O1215" i="1"/>
  <c r="N1215" i="1"/>
  <c r="M1215" i="1"/>
  <c r="S1213" i="1"/>
  <c r="O1213" i="1"/>
  <c r="N1213" i="1"/>
  <c r="M1213" i="1"/>
  <c r="S1212" i="1"/>
  <c r="O1212" i="1"/>
  <c r="N1212" i="1"/>
  <c r="M1212" i="1"/>
  <c r="S1211" i="1"/>
  <c r="O1211" i="1"/>
  <c r="N1211" i="1"/>
  <c r="M1211" i="1"/>
  <c r="S1210" i="1"/>
  <c r="O1210" i="1"/>
  <c r="N1210" i="1"/>
  <c r="M1210" i="1"/>
  <c r="S1208" i="1"/>
  <c r="O1208" i="1"/>
  <c r="N1208" i="1"/>
  <c r="M1208" i="1"/>
  <c r="S1207" i="1"/>
  <c r="O1207" i="1"/>
  <c r="N1207" i="1"/>
  <c r="M1207" i="1"/>
  <c r="S1206" i="1"/>
  <c r="O1206" i="1"/>
  <c r="N1206" i="1"/>
  <c r="M1206" i="1"/>
  <c r="S1205" i="1"/>
  <c r="O1205" i="1"/>
  <c r="N1205" i="1"/>
  <c r="M1205" i="1"/>
  <c r="S1204" i="1"/>
  <c r="O1204" i="1"/>
  <c r="N1204" i="1"/>
  <c r="M1204" i="1"/>
  <c r="S1202" i="1"/>
  <c r="O1202" i="1"/>
  <c r="N1202" i="1"/>
  <c r="M1202" i="1"/>
  <c r="S1201" i="1"/>
  <c r="O1201" i="1"/>
  <c r="N1201" i="1"/>
  <c r="M1201" i="1"/>
  <c r="S1200" i="1"/>
  <c r="O1200" i="1"/>
  <c r="N1200" i="1"/>
  <c r="M1200" i="1"/>
  <c r="S1198" i="1"/>
  <c r="O1198" i="1"/>
  <c r="N1198" i="1"/>
  <c r="M1198" i="1"/>
  <c r="S1197" i="1"/>
  <c r="O1197" i="1"/>
  <c r="N1197" i="1"/>
  <c r="M1197" i="1"/>
  <c r="S1196" i="1"/>
  <c r="O1196" i="1"/>
  <c r="N1196" i="1"/>
  <c r="M1196" i="1"/>
  <c r="S1194" i="1"/>
  <c r="O1194" i="1"/>
  <c r="N1194" i="1"/>
  <c r="M1194" i="1"/>
  <c r="S1193" i="1"/>
  <c r="O1193" i="1"/>
  <c r="N1193" i="1"/>
  <c r="M1193" i="1"/>
  <c r="S1192" i="1"/>
  <c r="O1192" i="1"/>
  <c r="N1192" i="1"/>
  <c r="M1192" i="1"/>
  <c r="S1191" i="1"/>
  <c r="O1191" i="1"/>
  <c r="N1191" i="1"/>
  <c r="M1191" i="1"/>
  <c r="S1190" i="1"/>
  <c r="O1190" i="1"/>
  <c r="N1190" i="1"/>
  <c r="M1190" i="1"/>
  <c r="S1188" i="1"/>
  <c r="O1188" i="1"/>
  <c r="N1188" i="1"/>
  <c r="M1188" i="1"/>
  <c r="S1187" i="1"/>
  <c r="O1187" i="1"/>
  <c r="N1187" i="1"/>
  <c r="M1187" i="1"/>
  <c r="S1186" i="1"/>
  <c r="O1186" i="1"/>
  <c r="N1186" i="1"/>
  <c r="M1186" i="1"/>
  <c r="S1184" i="1"/>
  <c r="O1184" i="1"/>
  <c r="N1184" i="1"/>
  <c r="M1184" i="1"/>
  <c r="S1182" i="1"/>
  <c r="O1182" i="1"/>
  <c r="N1182" i="1"/>
  <c r="M1182" i="1"/>
  <c r="S1181" i="1"/>
  <c r="O1181" i="1"/>
  <c r="N1181" i="1"/>
  <c r="M1181" i="1"/>
  <c r="S1180" i="1"/>
  <c r="O1180" i="1"/>
  <c r="N1180" i="1"/>
  <c r="M1180" i="1"/>
  <c r="S1179" i="1"/>
  <c r="O1179" i="1"/>
  <c r="N1179" i="1"/>
  <c r="M1179" i="1"/>
  <c r="S1178" i="1"/>
  <c r="O1178" i="1"/>
  <c r="N1178" i="1"/>
  <c r="M1178" i="1"/>
  <c r="S1176" i="1"/>
  <c r="O1176" i="1"/>
  <c r="N1176" i="1"/>
  <c r="M1176" i="1"/>
  <c r="S1175" i="1"/>
  <c r="O1175" i="1"/>
  <c r="N1175" i="1"/>
  <c r="M1175" i="1"/>
  <c r="S1172" i="1"/>
  <c r="O1172" i="1"/>
  <c r="N1172" i="1"/>
  <c r="M1172" i="1"/>
  <c r="S1171" i="1"/>
  <c r="O1171" i="1"/>
  <c r="N1171" i="1"/>
  <c r="M1171" i="1"/>
  <c r="S1170" i="1"/>
  <c r="O1170" i="1"/>
  <c r="N1170" i="1"/>
  <c r="M1170" i="1"/>
  <c r="S1169" i="1"/>
  <c r="O1169" i="1"/>
  <c r="N1169" i="1"/>
  <c r="M1169" i="1"/>
  <c r="S1168" i="1"/>
  <c r="O1168" i="1"/>
  <c r="N1168" i="1"/>
  <c r="M1168" i="1"/>
  <c r="S1166" i="1"/>
  <c r="O1166" i="1"/>
  <c r="N1166" i="1"/>
  <c r="M1166" i="1"/>
  <c r="S1165" i="1"/>
  <c r="O1165" i="1"/>
  <c r="N1165" i="1"/>
  <c r="M1165" i="1"/>
  <c r="S1164" i="1"/>
  <c r="O1164" i="1"/>
  <c r="N1164" i="1"/>
  <c r="M1164" i="1"/>
  <c r="S1163" i="1"/>
  <c r="O1163" i="1"/>
  <c r="N1163" i="1"/>
  <c r="M1163" i="1"/>
  <c r="S1162" i="1"/>
  <c r="O1162" i="1"/>
  <c r="N1162" i="1"/>
  <c r="M1162" i="1"/>
  <c r="S1160" i="1"/>
  <c r="O1160" i="1"/>
  <c r="N1160" i="1"/>
  <c r="M1160" i="1"/>
  <c r="S1159" i="1"/>
  <c r="O1159" i="1"/>
  <c r="N1159" i="1"/>
  <c r="M1159" i="1"/>
  <c r="S1158" i="1"/>
  <c r="O1158" i="1"/>
  <c r="N1158" i="1"/>
  <c r="M1158" i="1"/>
  <c r="S1157" i="1"/>
  <c r="O1157" i="1"/>
  <c r="N1157" i="1"/>
  <c r="M1157" i="1"/>
  <c r="S1155" i="1"/>
  <c r="O1155" i="1"/>
  <c r="N1155" i="1"/>
  <c r="M1155" i="1"/>
  <c r="S1154" i="1"/>
  <c r="O1154" i="1"/>
  <c r="N1154" i="1"/>
  <c r="M1154" i="1"/>
  <c r="S1153" i="1"/>
  <c r="O1153" i="1"/>
  <c r="N1153" i="1"/>
  <c r="M1153" i="1"/>
  <c r="S1152" i="1"/>
  <c r="O1152" i="1"/>
  <c r="N1152" i="1"/>
  <c r="M1152" i="1"/>
  <c r="S1151" i="1"/>
  <c r="O1151" i="1"/>
  <c r="N1151" i="1"/>
  <c r="M1151" i="1"/>
  <c r="S1149" i="1"/>
  <c r="O1149" i="1"/>
  <c r="N1149" i="1"/>
  <c r="M1149" i="1"/>
  <c r="S1148" i="1"/>
  <c r="O1148" i="1"/>
  <c r="N1148" i="1"/>
  <c r="M1148" i="1"/>
  <c r="S1147" i="1"/>
  <c r="O1147" i="1"/>
  <c r="N1147" i="1"/>
  <c r="M1147" i="1"/>
  <c r="S1146" i="1"/>
  <c r="O1146" i="1"/>
  <c r="N1146" i="1"/>
  <c r="M1146" i="1"/>
  <c r="S1144" i="1"/>
  <c r="O1144" i="1"/>
  <c r="N1144" i="1"/>
  <c r="M1144" i="1"/>
  <c r="S1143" i="1"/>
  <c r="O1143" i="1"/>
  <c r="N1143" i="1"/>
  <c r="M1143" i="1"/>
  <c r="S1142" i="1"/>
  <c r="O1142" i="1"/>
  <c r="N1142" i="1"/>
  <c r="M1142" i="1"/>
  <c r="S1141" i="1"/>
  <c r="O1141" i="1"/>
  <c r="N1141" i="1"/>
  <c r="M1141" i="1"/>
  <c r="S1139" i="1"/>
  <c r="O1139" i="1"/>
  <c r="N1139" i="1"/>
  <c r="M1139" i="1"/>
  <c r="S1138" i="1"/>
  <c r="O1138" i="1"/>
  <c r="N1138" i="1"/>
  <c r="M1138" i="1"/>
  <c r="S1137" i="1"/>
  <c r="O1137" i="1"/>
  <c r="N1137" i="1"/>
  <c r="M1137" i="1"/>
  <c r="S1136" i="1"/>
  <c r="O1136" i="1"/>
  <c r="N1136" i="1"/>
  <c r="M1136" i="1"/>
  <c r="S1135" i="1"/>
  <c r="O1135" i="1"/>
  <c r="N1135" i="1"/>
  <c r="M1135" i="1"/>
  <c r="S1130" i="1"/>
  <c r="O1130" i="1"/>
  <c r="N1130" i="1"/>
  <c r="M1130" i="1"/>
  <c r="S1129" i="1"/>
  <c r="O1129" i="1"/>
  <c r="N1129" i="1"/>
  <c r="M1129" i="1"/>
  <c r="S1128" i="1"/>
  <c r="O1128" i="1"/>
  <c r="N1128" i="1"/>
  <c r="M1128" i="1"/>
  <c r="S1126" i="1"/>
  <c r="O1126" i="1"/>
  <c r="N1126" i="1"/>
  <c r="M1126" i="1"/>
  <c r="S1125" i="1"/>
  <c r="O1125" i="1"/>
  <c r="N1125" i="1"/>
  <c r="M1125" i="1"/>
  <c r="S1124" i="1"/>
  <c r="O1124" i="1"/>
  <c r="N1124" i="1"/>
  <c r="M1124" i="1"/>
  <c r="S1123" i="1"/>
  <c r="O1123" i="1"/>
  <c r="N1123" i="1"/>
  <c r="M1123" i="1"/>
  <c r="S1122" i="1"/>
  <c r="O1122" i="1"/>
  <c r="N1122" i="1"/>
  <c r="M1122" i="1"/>
  <c r="S1120" i="1"/>
  <c r="O1120" i="1"/>
  <c r="N1120" i="1"/>
  <c r="M1120" i="1"/>
  <c r="S1119" i="1"/>
  <c r="O1119" i="1"/>
  <c r="N1119" i="1"/>
  <c r="M1119" i="1"/>
  <c r="S1117" i="1"/>
  <c r="O1117" i="1"/>
  <c r="N1117" i="1"/>
  <c r="M1117" i="1"/>
  <c r="S1116" i="1"/>
  <c r="O1116" i="1"/>
  <c r="N1116" i="1"/>
  <c r="M1116" i="1"/>
  <c r="S1115" i="1"/>
  <c r="O1115" i="1"/>
  <c r="N1115" i="1"/>
  <c r="M1115" i="1"/>
  <c r="S1114" i="1"/>
  <c r="O1114" i="1"/>
  <c r="N1114" i="1"/>
  <c r="M1114" i="1"/>
  <c r="S1113" i="1"/>
  <c r="O1113" i="1"/>
  <c r="N1113" i="1"/>
  <c r="M1113" i="1"/>
  <c r="S1112" i="1"/>
  <c r="O1112" i="1"/>
  <c r="N1112" i="1"/>
  <c r="M1112" i="1"/>
  <c r="S1111" i="1"/>
  <c r="O1111" i="1"/>
  <c r="N1111" i="1"/>
  <c r="M1111" i="1"/>
  <c r="S1110" i="1"/>
  <c r="O1110" i="1"/>
  <c r="N1110" i="1"/>
  <c r="M1110" i="1"/>
  <c r="S1109" i="1"/>
  <c r="O1109" i="1"/>
  <c r="N1109" i="1"/>
  <c r="M1109" i="1"/>
  <c r="S1108" i="1"/>
  <c r="O1108" i="1"/>
  <c r="N1108" i="1"/>
  <c r="M1108" i="1"/>
  <c r="S1107" i="1"/>
  <c r="O1107" i="1"/>
  <c r="N1107" i="1"/>
  <c r="M1107" i="1"/>
  <c r="S1106" i="1"/>
  <c r="O1106" i="1"/>
  <c r="N1106" i="1"/>
  <c r="M1106" i="1"/>
  <c r="S1104" i="1"/>
  <c r="O1104" i="1"/>
  <c r="N1104" i="1"/>
  <c r="M1104" i="1"/>
  <c r="S1103" i="1"/>
  <c r="O1103" i="1"/>
  <c r="N1103" i="1"/>
  <c r="M1103" i="1"/>
  <c r="S1102" i="1"/>
  <c r="O1102" i="1"/>
  <c r="N1102" i="1"/>
  <c r="M1102" i="1"/>
  <c r="S1101" i="1"/>
  <c r="O1101" i="1"/>
  <c r="N1101" i="1"/>
  <c r="M1101" i="1"/>
  <c r="S1100" i="1"/>
  <c r="O1100" i="1"/>
  <c r="N1100" i="1"/>
  <c r="M1100" i="1"/>
  <c r="S1099" i="1"/>
  <c r="O1099" i="1"/>
  <c r="N1099" i="1"/>
  <c r="M1099" i="1"/>
  <c r="S1098" i="1"/>
  <c r="O1098" i="1"/>
  <c r="N1098" i="1"/>
  <c r="M1098" i="1"/>
  <c r="S1097" i="1"/>
  <c r="O1097" i="1"/>
  <c r="N1097" i="1"/>
  <c r="M1097" i="1"/>
  <c r="S1096" i="1"/>
  <c r="O1096" i="1"/>
  <c r="N1096" i="1"/>
  <c r="M1096" i="1"/>
  <c r="S1095" i="1"/>
  <c r="O1095" i="1"/>
  <c r="N1095" i="1"/>
  <c r="M1095" i="1"/>
  <c r="S1094" i="1"/>
  <c r="O1094" i="1"/>
  <c r="N1094" i="1"/>
  <c r="M1094" i="1"/>
  <c r="S1093" i="1"/>
  <c r="O1093" i="1"/>
  <c r="N1093" i="1"/>
  <c r="M1093" i="1"/>
  <c r="S1092" i="1"/>
  <c r="O1092" i="1"/>
  <c r="N1092" i="1"/>
  <c r="M1092" i="1"/>
  <c r="S1090" i="1"/>
  <c r="O1090" i="1"/>
  <c r="N1090" i="1"/>
  <c r="M1090" i="1"/>
  <c r="S1089" i="1"/>
  <c r="O1089" i="1"/>
  <c r="N1089" i="1"/>
  <c r="M1089" i="1"/>
  <c r="S1088" i="1"/>
  <c r="O1088" i="1"/>
  <c r="N1088" i="1"/>
  <c r="M1088" i="1"/>
  <c r="S1085" i="1"/>
  <c r="O1085" i="1"/>
  <c r="N1085" i="1"/>
  <c r="M1085" i="1"/>
  <c r="S1084" i="1"/>
  <c r="O1084" i="1"/>
  <c r="N1084" i="1"/>
  <c r="M1084" i="1"/>
  <c r="S1083" i="1"/>
  <c r="O1083" i="1"/>
  <c r="N1083" i="1"/>
  <c r="M1083" i="1"/>
  <c r="S1082" i="1"/>
  <c r="O1082" i="1"/>
  <c r="N1082" i="1"/>
  <c r="M1082" i="1"/>
  <c r="S1081" i="1"/>
  <c r="O1081" i="1"/>
  <c r="N1081" i="1"/>
  <c r="M1081" i="1"/>
  <c r="S1080" i="1"/>
  <c r="O1080" i="1"/>
  <c r="N1080" i="1"/>
  <c r="M1080" i="1"/>
  <c r="S1079" i="1"/>
  <c r="O1079" i="1"/>
  <c r="N1079" i="1"/>
  <c r="M1079" i="1"/>
  <c r="S1078" i="1"/>
  <c r="O1078" i="1"/>
  <c r="N1078" i="1"/>
  <c r="M1078" i="1"/>
  <c r="S1077" i="1"/>
  <c r="O1077" i="1"/>
  <c r="N1077" i="1"/>
  <c r="M1077" i="1"/>
  <c r="S1076" i="1"/>
  <c r="O1076" i="1"/>
  <c r="N1076" i="1"/>
  <c r="M1076" i="1"/>
  <c r="S1075" i="1"/>
  <c r="O1075" i="1"/>
  <c r="N1075" i="1"/>
  <c r="M1075" i="1"/>
  <c r="S1074" i="1"/>
  <c r="O1074" i="1"/>
  <c r="N1074" i="1"/>
  <c r="M1074" i="1"/>
  <c r="S1073" i="1"/>
  <c r="O1073" i="1"/>
  <c r="N1073" i="1"/>
  <c r="M1073" i="1"/>
  <c r="S1072" i="1"/>
  <c r="O1072" i="1"/>
  <c r="N1072" i="1"/>
  <c r="M1072" i="1"/>
  <c r="S1071" i="1"/>
  <c r="O1071" i="1"/>
  <c r="N1071" i="1"/>
  <c r="M1071" i="1"/>
  <c r="S1070" i="1"/>
  <c r="O1070" i="1"/>
  <c r="N1070" i="1"/>
  <c r="M1070" i="1"/>
  <c r="S1069" i="1"/>
  <c r="O1069" i="1"/>
  <c r="N1069" i="1"/>
  <c r="M1069" i="1"/>
  <c r="S1067" i="1"/>
  <c r="O1067" i="1"/>
  <c r="N1067" i="1"/>
  <c r="M1067" i="1"/>
  <c r="S1066" i="1"/>
  <c r="O1066" i="1"/>
  <c r="N1066" i="1"/>
  <c r="M1066" i="1"/>
  <c r="S1065" i="1"/>
  <c r="O1065" i="1"/>
  <c r="N1065" i="1"/>
  <c r="M1065" i="1"/>
  <c r="S1064" i="1"/>
  <c r="O1064" i="1"/>
  <c r="N1064" i="1"/>
  <c r="M1064" i="1"/>
  <c r="S1063" i="1"/>
  <c r="O1063" i="1"/>
  <c r="N1063" i="1"/>
  <c r="M1063" i="1"/>
  <c r="S1062" i="1"/>
  <c r="O1062" i="1"/>
  <c r="N1062" i="1"/>
  <c r="M1062" i="1"/>
  <c r="S1061" i="1"/>
  <c r="O1061" i="1"/>
  <c r="N1061" i="1"/>
  <c r="M1061" i="1"/>
  <c r="S1060" i="1"/>
  <c r="O1060" i="1"/>
  <c r="N1060" i="1"/>
  <c r="M1060" i="1"/>
  <c r="S1059" i="1"/>
  <c r="O1059" i="1"/>
  <c r="N1059" i="1"/>
  <c r="M1059" i="1"/>
  <c r="S1058" i="1"/>
  <c r="O1058" i="1"/>
  <c r="N1058" i="1"/>
  <c r="M1058" i="1"/>
  <c r="S1057" i="1"/>
  <c r="O1057" i="1"/>
  <c r="N1057" i="1"/>
  <c r="M1057" i="1"/>
  <c r="S1056" i="1"/>
  <c r="O1056" i="1"/>
  <c r="N1056" i="1"/>
  <c r="M1056" i="1"/>
  <c r="S1053" i="1"/>
  <c r="O1053" i="1"/>
  <c r="N1053" i="1"/>
  <c r="M1053" i="1"/>
  <c r="S1052" i="1"/>
  <c r="O1052" i="1"/>
  <c r="N1052" i="1"/>
  <c r="M1052" i="1"/>
  <c r="S1051" i="1"/>
  <c r="O1051" i="1"/>
  <c r="N1051" i="1"/>
  <c r="M1051" i="1"/>
  <c r="S1050" i="1"/>
  <c r="O1050" i="1"/>
  <c r="N1050" i="1"/>
  <c r="M1050" i="1"/>
  <c r="S1049" i="1"/>
  <c r="O1049" i="1"/>
  <c r="N1049" i="1"/>
  <c r="M1049" i="1"/>
  <c r="S1048" i="1"/>
  <c r="O1048" i="1"/>
  <c r="N1048" i="1"/>
  <c r="M1048" i="1"/>
  <c r="S1047" i="1"/>
  <c r="O1047" i="1"/>
  <c r="N1047" i="1"/>
  <c r="M1047" i="1"/>
  <c r="S1046" i="1"/>
  <c r="O1046" i="1"/>
  <c r="N1046" i="1"/>
  <c r="M1046" i="1"/>
  <c r="S1045" i="1"/>
  <c r="O1045" i="1"/>
  <c r="N1045" i="1"/>
  <c r="M1045" i="1"/>
  <c r="S1044" i="1"/>
  <c r="O1044" i="1"/>
  <c r="N1044" i="1"/>
  <c r="M1044" i="1"/>
  <c r="S1043" i="1"/>
  <c r="O1043" i="1"/>
  <c r="N1043" i="1"/>
  <c r="M1043" i="1"/>
  <c r="S1042" i="1"/>
  <c r="O1042" i="1"/>
  <c r="N1042" i="1"/>
  <c r="M1042" i="1"/>
  <c r="S1041" i="1"/>
  <c r="O1041" i="1"/>
  <c r="N1041" i="1"/>
  <c r="M1041" i="1"/>
  <c r="S1040" i="1"/>
  <c r="O1040" i="1"/>
  <c r="N1040" i="1"/>
  <c r="M1040" i="1"/>
  <c r="S1038" i="1"/>
  <c r="O1038" i="1"/>
  <c r="N1038" i="1"/>
  <c r="M1038" i="1"/>
  <c r="S1037" i="1"/>
  <c r="O1037" i="1"/>
  <c r="N1037" i="1"/>
  <c r="M1037" i="1"/>
  <c r="S1036" i="1"/>
  <c r="O1036" i="1"/>
  <c r="N1036" i="1"/>
  <c r="M1036" i="1"/>
  <c r="S1035" i="1"/>
  <c r="O1035" i="1"/>
  <c r="N1035" i="1"/>
  <c r="M1035" i="1"/>
  <c r="S1034" i="1"/>
  <c r="O1034" i="1"/>
  <c r="N1034" i="1"/>
  <c r="M1034" i="1"/>
  <c r="S1033" i="1"/>
  <c r="O1033" i="1"/>
  <c r="N1033" i="1"/>
  <c r="M1033" i="1"/>
  <c r="S1032" i="1"/>
  <c r="O1032" i="1"/>
  <c r="N1032" i="1"/>
  <c r="M1032" i="1"/>
  <c r="S1031" i="1"/>
  <c r="O1031" i="1"/>
  <c r="N1031" i="1"/>
  <c r="M1031" i="1"/>
  <c r="S1030" i="1"/>
  <c r="O1030" i="1"/>
  <c r="N1030" i="1"/>
  <c r="M1030" i="1"/>
  <c r="S1029" i="1"/>
  <c r="O1029" i="1"/>
  <c r="N1029" i="1"/>
  <c r="M1029" i="1"/>
  <c r="S1028" i="1"/>
  <c r="O1028" i="1"/>
  <c r="N1028" i="1"/>
  <c r="M1028" i="1"/>
  <c r="S1027" i="1"/>
  <c r="O1027" i="1"/>
  <c r="N1027" i="1"/>
  <c r="M1027" i="1"/>
  <c r="S1026" i="1"/>
  <c r="N1026" i="1"/>
  <c r="M1026" i="1"/>
  <c r="S1025" i="1"/>
  <c r="O1025" i="1"/>
  <c r="N1025" i="1"/>
  <c r="M1025" i="1"/>
  <c r="S1024" i="1"/>
  <c r="N1024" i="1"/>
  <c r="M1024" i="1"/>
  <c r="S1023" i="1"/>
  <c r="O1023" i="1"/>
  <c r="N1023" i="1"/>
  <c r="M1023" i="1"/>
  <c r="S1022" i="1"/>
  <c r="O1022" i="1"/>
  <c r="N1022" i="1"/>
  <c r="M1022" i="1"/>
  <c r="S1021" i="1"/>
  <c r="O1021" i="1"/>
  <c r="N1021" i="1"/>
  <c r="M1021" i="1"/>
  <c r="S1020" i="1"/>
  <c r="O1020" i="1"/>
  <c r="N1020" i="1"/>
  <c r="M1020" i="1"/>
  <c r="S1019" i="1"/>
  <c r="O1019" i="1"/>
  <c r="N1019" i="1"/>
  <c r="M1019" i="1"/>
  <c r="S1018" i="1"/>
  <c r="O1018" i="1"/>
  <c r="N1018" i="1"/>
  <c r="M1018" i="1"/>
  <c r="S1017" i="1"/>
  <c r="O1017" i="1"/>
  <c r="N1017" i="1"/>
  <c r="M1017" i="1"/>
  <c r="S1016" i="1"/>
  <c r="O1016" i="1"/>
  <c r="N1016" i="1"/>
  <c r="M1016" i="1"/>
  <c r="S1015" i="1"/>
  <c r="O1015" i="1"/>
  <c r="N1015" i="1"/>
  <c r="M1015" i="1"/>
  <c r="S1014" i="1"/>
  <c r="O1014" i="1"/>
  <c r="N1014" i="1"/>
  <c r="M1014" i="1"/>
  <c r="S1013" i="1"/>
  <c r="O1013" i="1"/>
  <c r="N1013" i="1"/>
  <c r="M1013" i="1"/>
  <c r="S1012" i="1"/>
  <c r="O1012" i="1"/>
  <c r="N1012" i="1"/>
  <c r="M1012" i="1"/>
  <c r="S1011" i="1"/>
  <c r="O1011" i="1"/>
  <c r="N1011" i="1"/>
  <c r="M1011" i="1"/>
  <c r="S1010" i="1"/>
  <c r="O1010" i="1"/>
  <c r="N1010" i="1"/>
  <c r="M1010" i="1"/>
  <c r="S1009" i="1"/>
  <c r="O1009" i="1"/>
  <c r="N1009" i="1"/>
  <c r="M1009" i="1"/>
  <c r="S1007" i="1"/>
  <c r="O1007" i="1"/>
  <c r="N1007" i="1"/>
  <c r="M1007" i="1"/>
  <c r="S1006" i="1"/>
  <c r="O1006" i="1"/>
  <c r="N1006" i="1"/>
  <c r="M1006" i="1"/>
  <c r="S1005" i="1"/>
  <c r="O1005" i="1"/>
  <c r="N1005" i="1"/>
  <c r="M1005" i="1"/>
  <c r="S1004" i="1"/>
  <c r="O1004" i="1"/>
  <c r="N1004" i="1"/>
  <c r="M1004" i="1"/>
  <c r="S1003" i="1"/>
  <c r="O1003" i="1"/>
  <c r="N1003" i="1"/>
  <c r="M1003" i="1"/>
  <c r="S1001" i="1"/>
  <c r="O1001" i="1"/>
  <c r="N1001" i="1"/>
  <c r="M1001" i="1"/>
  <c r="S1000" i="1"/>
  <c r="O1000" i="1"/>
  <c r="N1000" i="1"/>
  <c r="M1000" i="1"/>
  <c r="S997" i="1"/>
  <c r="O997" i="1"/>
  <c r="N997" i="1"/>
  <c r="M997" i="1"/>
  <c r="S996" i="1"/>
  <c r="O996" i="1"/>
  <c r="N996" i="1"/>
  <c r="M996" i="1"/>
  <c r="S995" i="1"/>
  <c r="O995" i="1"/>
  <c r="N995" i="1"/>
  <c r="M995" i="1"/>
  <c r="S994" i="1"/>
  <c r="O994" i="1"/>
  <c r="N994" i="1"/>
  <c r="M994" i="1"/>
  <c r="S993" i="1"/>
  <c r="O993" i="1"/>
  <c r="N993" i="1"/>
  <c r="M993" i="1"/>
  <c r="S992" i="1"/>
  <c r="O992" i="1"/>
  <c r="N992" i="1"/>
  <c r="M992" i="1"/>
  <c r="S991" i="1"/>
  <c r="O991" i="1"/>
  <c r="N991" i="1"/>
  <c r="M991" i="1"/>
  <c r="S990" i="1"/>
  <c r="O990" i="1"/>
  <c r="N990" i="1"/>
  <c r="M990" i="1"/>
  <c r="S989" i="1"/>
  <c r="O989" i="1"/>
  <c r="N989" i="1"/>
  <c r="M989" i="1"/>
  <c r="S988" i="1"/>
  <c r="O988" i="1"/>
  <c r="N988" i="1"/>
  <c r="M988" i="1"/>
  <c r="S987" i="1"/>
  <c r="O987" i="1"/>
  <c r="N987" i="1"/>
  <c r="M987" i="1"/>
  <c r="S986" i="1"/>
  <c r="O986" i="1"/>
  <c r="N986" i="1"/>
  <c r="M986" i="1"/>
  <c r="S985" i="1"/>
  <c r="O985" i="1"/>
  <c r="N985" i="1"/>
  <c r="M985" i="1"/>
  <c r="S984" i="1"/>
  <c r="O984" i="1"/>
  <c r="N984" i="1"/>
  <c r="M984" i="1"/>
  <c r="S983" i="1"/>
  <c r="O983" i="1"/>
  <c r="N983" i="1"/>
  <c r="M983" i="1"/>
  <c r="S982" i="1"/>
  <c r="O982" i="1"/>
  <c r="N982" i="1"/>
  <c r="M982" i="1"/>
  <c r="S981" i="1"/>
  <c r="O981" i="1"/>
  <c r="N981" i="1"/>
  <c r="M981" i="1"/>
  <c r="S980" i="1"/>
  <c r="O980" i="1"/>
  <c r="N980" i="1"/>
  <c r="M980" i="1"/>
  <c r="S979" i="1"/>
  <c r="O979" i="1"/>
  <c r="N979" i="1"/>
  <c r="M979" i="1"/>
  <c r="S978" i="1"/>
  <c r="O978" i="1"/>
  <c r="N978" i="1"/>
  <c r="M978" i="1"/>
  <c r="S977" i="1"/>
  <c r="O977" i="1"/>
  <c r="N977" i="1"/>
  <c r="M977" i="1"/>
  <c r="S976" i="1"/>
  <c r="O976" i="1"/>
  <c r="N976" i="1"/>
  <c r="M976" i="1"/>
  <c r="S975" i="1"/>
  <c r="O975" i="1"/>
  <c r="N975" i="1"/>
  <c r="M975" i="1"/>
  <c r="S974" i="1"/>
  <c r="O974" i="1"/>
  <c r="N974" i="1"/>
  <c r="M974" i="1"/>
  <c r="S973" i="1"/>
  <c r="O973" i="1"/>
  <c r="N973" i="1"/>
  <c r="M973" i="1"/>
  <c r="S970" i="1"/>
  <c r="O970" i="1"/>
  <c r="N970" i="1"/>
  <c r="M970" i="1"/>
  <c r="S969" i="1"/>
  <c r="O969" i="1"/>
  <c r="N969" i="1"/>
  <c r="M969" i="1"/>
  <c r="S968" i="1"/>
  <c r="O968" i="1"/>
  <c r="N968" i="1"/>
  <c r="M968" i="1"/>
  <c r="S966" i="1"/>
  <c r="O966" i="1"/>
  <c r="N966" i="1"/>
  <c r="M966" i="1"/>
  <c r="S965" i="1"/>
  <c r="O965" i="1"/>
  <c r="N965" i="1"/>
  <c r="M965" i="1"/>
  <c r="S963" i="1"/>
  <c r="O963" i="1"/>
  <c r="N963" i="1"/>
  <c r="M963" i="1"/>
  <c r="S962" i="1"/>
  <c r="O962" i="1"/>
  <c r="N962" i="1"/>
  <c r="M962" i="1"/>
  <c r="S960" i="1"/>
  <c r="O960" i="1"/>
  <c r="N960" i="1"/>
  <c r="M960" i="1"/>
  <c r="S959" i="1"/>
  <c r="O959" i="1"/>
  <c r="N959" i="1"/>
  <c r="M959" i="1"/>
  <c r="S958" i="1"/>
  <c r="O958" i="1"/>
  <c r="N958" i="1"/>
  <c r="M958" i="1"/>
  <c r="S957" i="1"/>
  <c r="O957" i="1"/>
  <c r="N957" i="1"/>
  <c r="M957" i="1"/>
  <c r="S955" i="1"/>
  <c r="O955" i="1"/>
  <c r="N955" i="1"/>
  <c r="M955" i="1"/>
  <c r="S954" i="1"/>
  <c r="O954" i="1"/>
  <c r="N954" i="1"/>
  <c r="M954" i="1"/>
  <c r="S953" i="1"/>
  <c r="O953" i="1"/>
  <c r="N953" i="1"/>
  <c r="M953" i="1"/>
  <c r="S952" i="1"/>
  <c r="O952" i="1"/>
  <c r="N952" i="1"/>
  <c r="M952" i="1"/>
  <c r="S951" i="1"/>
  <c r="O951" i="1"/>
  <c r="N951" i="1"/>
  <c r="M951" i="1"/>
  <c r="S950" i="1"/>
  <c r="O950" i="1"/>
  <c r="N950" i="1"/>
  <c r="M950" i="1"/>
  <c r="S949" i="1"/>
  <c r="O949" i="1"/>
  <c r="N949" i="1"/>
  <c r="M949" i="1"/>
  <c r="S948" i="1"/>
  <c r="O948" i="1"/>
  <c r="N948" i="1"/>
  <c r="M948" i="1"/>
  <c r="S947" i="1"/>
  <c r="O947" i="1"/>
  <c r="N947" i="1"/>
  <c r="M947" i="1"/>
  <c r="S943" i="1"/>
  <c r="O943" i="1"/>
  <c r="N943" i="1"/>
  <c r="M943" i="1"/>
  <c r="S942" i="1"/>
  <c r="O942" i="1"/>
  <c r="N942" i="1"/>
  <c r="M942" i="1"/>
  <c r="S941" i="1"/>
  <c r="O941" i="1"/>
  <c r="N941" i="1"/>
  <c r="M941" i="1"/>
  <c r="S940" i="1"/>
  <c r="O940" i="1"/>
  <c r="N940" i="1"/>
  <c r="M940" i="1"/>
  <c r="S939" i="1"/>
  <c r="O939" i="1"/>
  <c r="N939" i="1"/>
  <c r="M939" i="1"/>
  <c r="S938" i="1"/>
  <c r="O938" i="1"/>
  <c r="N938" i="1"/>
  <c r="M938" i="1"/>
  <c r="S937" i="1"/>
  <c r="O937" i="1"/>
  <c r="N937" i="1"/>
  <c r="M937" i="1"/>
  <c r="S936" i="1"/>
  <c r="O936" i="1"/>
  <c r="N936" i="1"/>
  <c r="M936" i="1"/>
  <c r="S935" i="1"/>
  <c r="O935" i="1"/>
  <c r="N935" i="1"/>
  <c r="M935" i="1"/>
  <c r="S934" i="1"/>
  <c r="O934" i="1"/>
  <c r="N934" i="1"/>
  <c r="M934" i="1"/>
  <c r="S933" i="1"/>
  <c r="O933" i="1"/>
  <c r="N933" i="1"/>
  <c r="M933" i="1"/>
  <c r="S932" i="1"/>
  <c r="O932" i="1"/>
  <c r="N932" i="1"/>
  <c r="M932" i="1"/>
  <c r="S931" i="1"/>
  <c r="O931" i="1"/>
  <c r="N931" i="1"/>
  <c r="M931" i="1"/>
  <c r="S930" i="1"/>
  <c r="O930" i="1"/>
  <c r="N930" i="1"/>
  <c r="M930" i="1"/>
  <c r="S929" i="1"/>
  <c r="O929" i="1"/>
  <c r="N929" i="1"/>
  <c r="M929" i="1"/>
  <c r="S928" i="1"/>
  <c r="O928" i="1"/>
  <c r="N928" i="1"/>
  <c r="M928" i="1"/>
  <c r="S927" i="1"/>
  <c r="O927" i="1"/>
  <c r="N927" i="1"/>
  <c r="M927" i="1"/>
  <c r="S926" i="1"/>
  <c r="O926" i="1"/>
  <c r="N926" i="1"/>
  <c r="M926" i="1"/>
  <c r="S925" i="1"/>
  <c r="O925" i="1"/>
  <c r="N925" i="1"/>
  <c r="M925" i="1"/>
  <c r="S924" i="1"/>
  <c r="O924" i="1"/>
  <c r="N924" i="1"/>
  <c r="M924" i="1"/>
  <c r="S923" i="1"/>
  <c r="O923" i="1"/>
  <c r="N923" i="1"/>
  <c r="M923" i="1"/>
  <c r="S922" i="1"/>
  <c r="O922" i="1"/>
  <c r="N922" i="1"/>
  <c r="M922" i="1"/>
  <c r="S920" i="1"/>
  <c r="O920" i="1"/>
  <c r="N920" i="1"/>
  <c r="M920" i="1"/>
  <c r="S918" i="1"/>
  <c r="O918" i="1"/>
  <c r="N918" i="1"/>
  <c r="M918" i="1"/>
  <c r="S916" i="1"/>
  <c r="O916" i="1"/>
  <c r="N916" i="1"/>
  <c r="M916" i="1"/>
  <c r="S915" i="1"/>
  <c r="O915" i="1"/>
  <c r="N915" i="1"/>
  <c r="M915" i="1"/>
  <c r="S914" i="1"/>
  <c r="O914" i="1"/>
  <c r="N914" i="1"/>
  <c r="M914" i="1"/>
  <c r="S913" i="1"/>
  <c r="O913" i="1"/>
  <c r="N913" i="1"/>
  <c r="M913" i="1"/>
  <c r="S912" i="1"/>
  <c r="O912" i="1"/>
  <c r="N912" i="1"/>
  <c r="M912" i="1"/>
  <c r="S910" i="1"/>
  <c r="O910" i="1"/>
  <c r="N910" i="1"/>
  <c r="M910" i="1"/>
  <c r="S907" i="1"/>
  <c r="M907" i="1"/>
  <c r="S906" i="1"/>
  <c r="O906" i="1"/>
  <c r="N906" i="1"/>
  <c r="M906" i="1"/>
  <c r="S905" i="1"/>
  <c r="O905" i="1"/>
  <c r="N905" i="1"/>
  <c r="M905" i="1"/>
  <c r="S904" i="1"/>
  <c r="O904" i="1"/>
  <c r="N904" i="1"/>
  <c r="M904" i="1"/>
  <c r="S899" i="1"/>
  <c r="O899" i="1"/>
  <c r="N899" i="1"/>
  <c r="M899" i="1"/>
  <c r="S898" i="1"/>
  <c r="O898" i="1"/>
  <c r="N898" i="1"/>
  <c r="M898" i="1"/>
  <c r="S897" i="1"/>
  <c r="O897" i="1"/>
  <c r="N897" i="1"/>
  <c r="M897" i="1"/>
  <c r="S895" i="1"/>
  <c r="O895" i="1"/>
  <c r="N895" i="1"/>
  <c r="M895" i="1"/>
  <c r="S894" i="1"/>
  <c r="O894" i="1"/>
  <c r="N894" i="1"/>
  <c r="M894" i="1"/>
  <c r="S893" i="1"/>
  <c r="O893" i="1"/>
  <c r="N893" i="1"/>
  <c r="M893" i="1"/>
  <c r="S892" i="1"/>
  <c r="O892" i="1"/>
  <c r="N892" i="1"/>
  <c r="M892" i="1"/>
  <c r="S888" i="1"/>
  <c r="O888" i="1"/>
  <c r="N888" i="1"/>
  <c r="M888" i="1"/>
  <c r="S887" i="1"/>
  <c r="O887" i="1"/>
  <c r="N887" i="1"/>
  <c r="M887" i="1"/>
  <c r="S886" i="1"/>
  <c r="O886" i="1"/>
  <c r="N886" i="1"/>
  <c r="M886" i="1"/>
  <c r="S885" i="1"/>
  <c r="O885" i="1"/>
  <c r="N885" i="1"/>
  <c r="M885" i="1"/>
  <c r="S883" i="1"/>
  <c r="O883" i="1"/>
  <c r="N883" i="1"/>
  <c r="M883" i="1"/>
  <c r="S882" i="1"/>
  <c r="O882" i="1"/>
  <c r="N882" i="1"/>
  <c r="M882" i="1"/>
  <c r="S881" i="1"/>
  <c r="O881" i="1"/>
  <c r="N881" i="1"/>
  <c r="M881" i="1"/>
  <c r="S880" i="1"/>
  <c r="O880" i="1"/>
  <c r="N880" i="1"/>
  <c r="M880" i="1"/>
  <c r="S878" i="1"/>
  <c r="O878" i="1"/>
  <c r="N878" i="1"/>
  <c r="M878" i="1"/>
  <c r="S877" i="1"/>
  <c r="O877" i="1"/>
  <c r="N877" i="1"/>
  <c r="M877" i="1"/>
  <c r="S876" i="1"/>
  <c r="O876" i="1"/>
  <c r="N876" i="1"/>
  <c r="M876" i="1"/>
  <c r="S875" i="1"/>
  <c r="O875" i="1"/>
  <c r="N875" i="1"/>
  <c r="M875" i="1"/>
  <c r="S873" i="1"/>
  <c r="O873" i="1"/>
  <c r="N873" i="1"/>
  <c r="M873" i="1"/>
  <c r="S872" i="1"/>
  <c r="O872" i="1"/>
  <c r="N872" i="1"/>
  <c r="M872" i="1"/>
  <c r="S870" i="1"/>
  <c r="O870" i="1"/>
  <c r="N870" i="1"/>
  <c r="M870" i="1"/>
  <c r="S868" i="1"/>
  <c r="O868" i="1"/>
  <c r="N868" i="1"/>
  <c r="M868" i="1"/>
  <c r="S867" i="1"/>
  <c r="O867" i="1"/>
  <c r="N867" i="1"/>
  <c r="M867" i="1"/>
  <c r="S866" i="1"/>
  <c r="O866" i="1"/>
  <c r="N866" i="1"/>
  <c r="M866" i="1"/>
  <c r="S865" i="1"/>
  <c r="O865" i="1"/>
  <c r="N865" i="1"/>
  <c r="M865" i="1"/>
  <c r="S863" i="1"/>
  <c r="O863" i="1"/>
  <c r="N863" i="1"/>
  <c r="M863" i="1"/>
  <c r="S862" i="1"/>
  <c r="O862" i="1"/>
  <c r="N862" i="1"/>
  <c r="M862" i="1"/>
  <c r="S861" i="1"/>
  <c r="O861" i="1"/>
  <c r="N861" i="1"/>
  <c r="M861" i="1"/>
  <c r="S860" i="1"/>
  <c r="O860" i="1"/>
  <c r="N860" i="1"/>
  <c r="M860" i="1"/>
  <c r="S858" i="1"/>
  <c r="O858" i="1"/>
  <c r="N858" i="1"/>
  <c r="M858" i="1"/>
  <c r="S857" i="1"/>
  <c r="O857" i="1"/>
  <c r="N857" i="1"/>
  <c r="M857" i="1"/>
  <c r="S856" i="1"/>
  <c r="O856" i="1"/>
  <c r="N856" i="1"/>
  <c r="M856" i="1"/>
  <c r="S855" i="1"/>
  <c r="O855" i="1"/>
  <c r="N855" i="1"/>
  <c r="M855" i="1"/>
  <c r="S853" i="1"/>
  <c r="O853" i="1"/>
  <c r="N853" i="1"/>
  <c r="M853" i="1"/>
  <c r="S852" i="1"/>
  <c r="O852" i="1"/>
  <c r="N852" i="1"/>
  <c r="M852" i="1"/>
  <c r="S851" i="1"/>
  <c r="O851" i="1"/>
  <c r="N851" i="1"/>
  <c r="M851" i="1"/>
  <c r="S850" i="1"/>
  <c r="O850" i="1"/>
  <c r="N850" i="1"/>
  <c r="M850" i="1"/>
  <c r="S849" i="1"/>
  <c r="O849" i="1"/>
  <c r="N849" i="1"/>
  <c r="M849" i="1"/>
  <c r="S848" i="1"/>
  <c r="O848" i="1"/>
  <c r="N848" i="1"/>
  <c r="M848" i="1"/>
  <c r="S846" i="1"/>
  <c r="O846" i="1"/>
  <c r="N846" i="1"/>
  <c r="M846" i="1"/>
  <c r="S845" i="1"/>
  <c r="O845" i="1"/>
  <c r="N845" i="1"/>
  <c r="M845" i="1"/>
  <c r="S844" i="1"/>
  <c r="O844" i="1"/>
  <c r="N844" i="1"/>
  <c r="M844" i="1"/>
  <c r="S843" i="1"/>
  <c r="O843" i="1"/>
  <c r="N843" i="1"/>
  <c r="M843" i="1"/>
  <c r="S842" i="1"/>
  <c r="O842" i="1"/>
  <c r="N842" i="1"/>
  <c r="M842" i="1"/>
  <c r="S841" i="1"/>
  <c r="O841" i="1"/>
  <c r="N841" i="1"/>
  <c r="M841" i="1"/>
  <c r="S840" i="1"/>
  <c r="O840" i="1"/>
  <c r="N840" i="1"/>
  <c r="M840" i="1"/>
  <c r="S839" i="1"/>
  <c r="O839" i="1"/>
  <c r="N839" i="1"/>
  <c r="M839" i="1"/>
  <c r="S837" i="1"/>
  <c r="O837" i="1"/>
  <c r="N837" i="1"/>
  <c r="M837" i="1"/>
  <c r="S836" i="1"/>
  <c r="O836" i="1"/>
  <c r="N836" i="1"/>
  <c r="M836" i="1"/>
  <c r="S835" i="1"/>
  <c r="O835" i="1"/>
  <c r="N835" i="1"/>
  <c r="M835" i="1"/>
  <c r="S834" i="1"/>
  <c r="O834" i="1"/>
  <c r="N834" i="1"/>
  <c r="M834" i="1"/>
  <c r="S833" i="1"/>
  <c r="O833" i="1"/>
  <c r="N833" i="1"/>
  <c r="M833" i="1"/>
  <c r="S831" i="1"/>
  <c r="O831" i="1"/>
  <c r="N831" i="1"/>
  <c r="M831" i="1"/>
  <c r="S830" i="1"/>
  <c r="O830" i="1"/>
  <c r="N830" i="1"/>
  <c r="M830" i="1"/>
  <c r="S829" i="1"/>
  <c r="O829" i="1"/>
  <c r="N829" i="1"/>
  <c r="M829" i="1"/>
  <c r="S828" i="1"/>
  <c r="O828" i="1"/>
  <c r="N828" i="1"/>
  <c r="M828" i="1"/>
  <c r="S827" i="1"/>
  <c r="O827" i="1"/>
  <c r="N827" i="1"/>
  <c r="M827" i="1"/>
  <c r="S826" i="1"/>
  <c r="O826" i="1"/>
  <c r="N826" i="1"/>
  <c r="M826" i="1"/>
  <c r="S825" i="1"/>
  <c r="O825" i="1"/>
  <c r="N825" i="1"/>
  <c r="M825" i="1"/>
  <c r="S824" i="1"/>
  <c r="O824" i="1"/>
  <c r="N824" i="1"/>
  <c r="M824" i="1"/>
  <c r="S823" i="1"/>
  <c r="O823" i="1"/>
  <c r="N823" i="1"/>
  <c r="M823" i="1"/>
  <c r="S822" i="1"/>
  <c r="O822" i="1"/>
  <c r="N822" i="1"/>
  <c r="M822" i="1"/>
  <c r="S821" i="1"/>
  <c r="O821" i="1"/>
  <c r="N821" i="1"/>
  <c r="M821" i="1"/>
  <c r="S820" i="1"/>
  <c r="O820" i="1"/>
  <c r="N820" i="1"/>
  <c r="M820" i="1"/>
  <c r="S819" i="1"/>
  <c r="O819" i="1"/>
  <c r="N819" i="1"/>
  <c r="M819" i="1"/>
  <c r="S818" i="1"/>
  <c r="O818" i="1"/>
  <c r="N818" i="1"/>
  <c r="M818" i="1"/>
  <c r="S816" i="1"/>
  <c r="O816" i="1"/>
  <c r="N816" i="1"/>
  <c r="M816" i="1"/>
  <c r="S815" i="1"/>
  <c r="O815" i="1"/>
  <c r="N815" i="1"/>
  <c r="M815" i="1"/>
  <c r="S814" i="1"/>
  <c r="O814" i="1"/>
  <c r="N814" i="1"/>
  <c r="M814" i="1"/>
  <c r="S813" i="1"/>
  <c r="M813" i="1"/>
  <c r="S811" i="1"/>
  <c r="O811" i="1"/>
  <c r="N811" i="1"/>
  <c r="M811" i="1"/>
  <c r="S810" i="1"/>
  <c r="O810" i="1"/>
  <c r="N810" i="1"/>
  <c r="M810" i="1"/>
  <c r="S809" i="1"/>
  <c r="O809" i="1"/>
  <c r="N809" i="1"/>
  <c r="M809" i="1"/>
  <c r="S808" i="1"/>
  <c r="O808" i="1"/>
  <c r="N808" i="1"/>
  <c r="M808" i="1"/>
  <c r="S807" i="1"/>
  <c r="O807" i="1"/>
  <c r="N807" i="1"/>
  <c r="M807" i="1"/>
  <c r="S805" i="1"/>
  <c r="O805" i="1"/>
  <c r="N805" i="1"/>
  <c r="M805" i="1"/>
  <c r="S804" i="1"/>
  <c r="O804" i="1"/>
  <c r="N804" i="1"/>
  <c r="M804" i="1"/>
  <c r="S803" i="1"/>
  <c r="O803" i="1"/>
  <c r="N803" i="1"/>
  <c r="M803" i="1"/>
  <c r="S802" i="1"/>
  <c r="O802" i="1"/>
  <c r="N802" i="1"/>
  <c r="M802" i="1"/>
  <c r="S801" i="1"/>
  <c r="O801" i="1"/>
  <c r="N801" i="1"/>
  <c r="M801" i="1"/>
  <c r="S800" i="1"/>
  <c r="O800" i="1"/>
  <c r="N800" i="1"/>
  <c r="M800" i="1"/>
  <c r="S797" i="1"/>
  <c r="O797" i="1"/>
  <c r="N797" i="1"/>
  <c r="M797" i="1"/>
  <c r="S796" i="1"/>
  <c r="O796" i="1"/>
  <c r="N796" i="1"/>
  <c r="M796" i="1"/>
  <c r="S795" i="1"/>
  <c r="O795" i="1"/>
  <c r="N795" i="1"/>
  <c r="M795" i="1"/>
  <c r="S794" i="1"/>
  <c r="O794" i="1"/>
  <c r="N794" i="1"/>
  <c r="M794" i="1"/>
  <c r="S793" i="1"/>
  <c r="O793" i="1"/>
  <c r="N793" i="1"/>
  <c r="M793" i="1"/>
  <c r="S792" i="1"/>
  <c r="O792" i="1"/>
  <c r="N792" i="1"/>
  <c r="M792" i="1"/>
  <c r="S791" i="1"/>
  <c r="O791" i="1"/>
  <c r="N791" i="1"/>
  <c r="M791" i="1"/>
  <c r="S790" i="1"/>
  <c r="O790" i="1"/>
  <c r="N790" i="1"/>
  <c r="M790" i="1"/>
  <c r="S789" i="1"/>
  <c r="O789" i="1"/>
  <c r="N789" i="1"/>
  <c r="M789" i="1"/>
  <c r="S788" i="1"/>
  <c r="O788" i="1"/>
  <c r="N788" i="1"/>
  <c r="M788" i="1"/>
  <c r="S787" i="1"/>
  <c r="O787" i="1"/>
  <c r="N787" i="1"/>
  <c r="M787" i="1"/>
  <c r="S786" i="1"/>
  <c r="O786" i="1"/>
  <c r="N786" i="1"/>
  <c r="M786" i="1"/>
  <c r="S785" i="1"/>
  <c r="O785" i="1"/>
  <c r="N785" i="1"/>
  <c r="M785" i="1"/>
  <c r="S781" i="1"/>
  <c r="O781" i="1"/>
  <c r="N781" i="1"/>
  <c r="M781" i="1"/>
  <c r="S780" i="1"/>
  <c r="O780" i="1"/>
  <c r="N780" i="1"/>
  <c r="M780" i="1"/>
  <c r="S779" i="1"/>
  <c r="O779" i="1"/>
  <c r="N779" i="1"/>
  <c r="M779" i="1"/>
  <c r="S778" i="1"/>
  <c r="O778" i="1"/>
  <c r="N778" i="1"/>
  <c r="M778" i="1"/>
  <c r="S777" i="1"/>
  <c r="O777" i="1"/>
  <c r="N777" i="1"/>
  <c r="M777" i="1"/>
  <c r="S776" i="1"/>
  <c r="O776" i="1"/>
  <c r="N776" i="1"/>
  <c r="M776" i="1"/>
  <c r="S775" i="1"/>
  <c r="O775" i="1"/>
  <c r="N775" i="1"/>
  <c r="M775" i="1"/>
  <c r="S774" i="1"/>
  <c r="O774" i="1"/>
  <c r="N774" i="1"/>
  <c r="M774" i="1"/>
  <c r="S773" i="1"/>
  <c r="O773" i="1"/>
  <c r="N773" i="1"/>
  <c r="M773" i="1"/>
  <c r="S771" i="1"/>
  <c r="O771" i="1"/>
  <c r="N771" i="1"/>
  <c r="M771" i="1"/>
  <c r="S770" i="1"/>
  <c r="O770" i="1"/>
  <c r="N770" i="1"/>
  <c r="M770" i="1"/>
  <c r="S769" i="1"/>
  <c r="O769" i="1"/>
  <c r="N769" i="1"/>
  <c r="M769" i="1"/>
  <c r="S768" i="1"/>
  <c r="O768" i="1"/>
  <c r="N768" i="1"/>
  <c r="M768" i="1"/>
  <c r="S767" i="1"/>
  <c r="O767" i="1"/>
  <c r="N767" i="1"/>
  <c r="M767" i="1"/>
  <c r="S766" i="1"/>
  <c r="O766" i="1"/>
  <c r="N766" i="1"/>
  <c r="M766" i="1"/>
  <c r="S765" i="1"/>
  <c r="O765" i="1"/>
  <c r="N765" i="1"/>
  <c r="M765" i="1"/>
  <c r="S764" i="1"/>
  <c r="O764" i="1"/>
  <c r="N764" i="1"/>
  <c r="M764" i="1"/>
  <c r="S763" i="1"/>
  <c r="O763" i="1"/>
  <c r="N763" i="1"/>
  <c r="M763" i="1"/>
  <c r="S762" i="1"/>
  <c r="O762" i="1"/>
  <c r="N762" i="1"/>
  <c r="M762" i="1"/>
  <c r="S761" i="1"/>
  <c r="O761" i="1"/>
  <c r="N761" i="1"/>
  <c r="M761" i="1"/>
  <c r="S760" i="1"/>
  <c r="O760" i="1"/>
  <c r="N760" i="1"/>
  <c r="M760" i="1"/>
  <c r="S759" i="1"/>
  <c r="O759" i="1"/>
  <c r="N759" i="1"/>
  <c r="M759" i="1"/>
  <c r="S758" i="1"/>
  <c r="O758" i="1"/>
  <c r="N758" i="1"/>
  <c r="M758" i="1"/>
  <c r="S757" i="1"/>
  <c r="O757" i="1"/>
  <c r="N757" i="1"/>
  <c r="M757" i="1"/>
  <c r="S755" i="1"/>
  <c r="O755" i="1"/>
  <c r="N755" i="1"/>
  <c r="M755" i="1"/>
  <c r="S754" i="1"/>
  <c r="O754" i="1"/>
  <c r="N754" i="1"/>
  <c r="M754" i="1"/>
  <c r="S753" i="1"/>
  <c r="O753" i="1"/>
  <c r="N753" i="1"/>
  <c r="M753" i="1"/>
  <c r="S752" i="1"/>
  <c r="O752" i="1"/>
  <c r="N752" i="1"/>
  <c r="M752" i="1"/>
  <c r="S751" i="1"/>
  <c r="O751" i="1"/>
  <c r="N751" i="1"/>
  <c r="M751" i="1"/>
  <c r="S750" i="1"/>
  <c r="O750" i="1"/>
  <c r="N750" i="1"/>
  <c r="M750" i="1"/>
  <c r="S749" i="1"/>
  <c r="O749" i="1"/>
  <c r="N749" i="1"/>
  <c r="M749" i="1"/>
  <c r="S748" i="1"/>
  <c r="O748" i="1"/>
  <c r="N748" i="1"/>
  <c r="M748" i="1"/>
  <c r="S747" i="1"/>
  <c r="O747" i="1"/>
  <c r="N747" i="1"/>
  <c r="M747" i="1"/>
  <c r="S746" i="1"/>
  <c r="O746" i="1"/>
  <c r="N746" i="1"/>
  <c r="M746" i="1"/>
  <c r="S745" i="1"/>
  <c r="O745" i="1"/>
  <c r="N745" i="1"/>
  <c r="M745" i="1"/>
  <c r="S744" i="1"/>
  <c r="O744" i="1"/>
  <c r="N744" i="1"/>
  <c r="M744" i="1"/>
  <c r="S743" i="1"/>
  <c r="O743" i="1"/>
  <c r="N743" i="1"/>
  <c r="M743" i="1"/>
  <c r="S742" i="1"/>
  <c r="O742" i="1"/>
  <c r="N742" i="1"/>
  <c r="M742" i="1"/>
  <c r="S741" i="1"/>
  <c r="O741" i="1"/>
  <c r="N741" i="1"/>
  <c r="M741" i="1"/>
  <c r="S739" i="1"/>
  <c r="O739" i="1"/>
  <c r="N739" i="1"/>
  <c r="M739" i="1"/>
  <c r="S738" i="1"/>
  <c r="O738" i="1"/>
  <c r="N738" i="1"/>
  <c r="M738" i="1"/>
  <c r="S737" i="1"/>
  <c r="O737" i="1"/>
  <c r="N737" i="1"/>
  <c r="M737" i="1"/>
  <c r="S735" i="1"/>
  <c r="O735" i="1"/>
  <c r="N735" i="1"/>
  <c r="M735" i="1"/>
  <c r="S734" i="1"/>
  <c r="O734" i="1"/>
  <c r="N734" i="1"/>
  <c r="M734" i="1"/>
  <c r="S733" i="1"/>
  <c r="O733" i="1"/>
  <c r="N733" i="1"/>
  <c r="M733" i="1"/>
  <c r="S732" i="1"/>
  <c r="O732" i="1"/>
  <c r="N732" i="1"/>
  <c r="M732" i="1"/>
  <c r="S731" i="1"/>
  <c r="O731" i="1"/>
  <c r="N731" i="1"/>
  <c r="M731" i="1"/>
  <c r="S729" i="1"/>
  <c r="O729" i="1"/>
  <c r="N729" i="1"/>
  <c r="M729" i="1"/>
  <c r="S727" i="1"/>
  <c r="O727" i="1"/>
  <c r="N727" i="1"/>
  <c r="M727" i="1"/>
  <c r="S726" i="1"/>
  <c r="O726" i="1"/>
  <c r="N726" i="1"/>
  <c r="M726" i="1"/>
  <c r="S725" i="1"/>
  <c r="O725" i="1"/>
  <c r="N725" i="1"/>
  <c r="M725" i="1"/>
  <c r="S724" i="1"/>
  <c r="O724" i="1"/>
  <c r="N724" i="1"/>
  <c r="M724" i="1"/>
  <c r="S723" i="1"/>
  <c r="O723" i="1"/>
  <c r="N723" i="1"/>
  <c r="M723" i="1"/>
  <c r="S722" i="1"/>
  <c r="O722" i="1"/>
  <c r="N722" i="1"/>
  <c r="M722" i="1"/>
  <c r="S721" i="1"/>
  <c r="O721" i="1"/>
  <c r="N721" i="1"/>
  <c r="M721" i="1"/>
  <c r="S720" i="1"/>
  <c r="O720" i="1"/>
  <c r="N720" i="1"/>
  <c r="M720" i="1"/>
  <c r="S719" i="1"/>
  <c r="O719" i="1"/>
  <c r="N719" i="1"/>
  <c r="M719" i="1"/>
  <c r="S718" i="1"/>
  <c r="O718" i="1"/>
  <c r="N718" i="1"/>
  <c r="M718" i="1"/>
  <c r="S717" i="1"/>
  <c r="O717" i="1"/>
  <c r="N717" i="1"/>
  <c r="M717" i="1"/>
  <c r="S716" i="1"/>
  <c r="O716" i="1"/>
  <c r="N716" i="1"/>
  <c r="M716" i="1"/>
  <c r="S715" i="1"/>
  <c r="O715" i="1"/>
  <c r="N715" i="1"/>
  <c r="M715" i="1"/>
  <c r="S714" i="1"/>
  <c r="O714" i="1"/>
  <c r="N714" i="1"/>
  <c r="M714" i="1"/>
  <c r="S713" i="1"/>
  <c r="O713" i="1"/>
  <c r="N713" i="1"/>
  <c r="M713" i="1"/>
  <c r="S711" i="1"/>
  <c r="O711" i="1"/>
  <c r="N711" i="1"/>
  <c r="M711" i="1"/>
  <c r="S708" i="1"/>
  <c r="O708" i="1"/>
  <c r="N708" i="1"/>
  <c r="M708" i="1"/>
  <c r="S707" i="1"/>
  <c r="O707" i="1"/>
  <c r="N707" i="1"/>
  <c r="M707" i="1"/>
  <c r="S706" i="1"/>
  <c r="O706" i="1"/>
  <c r="N706" i="1"/>
  <c r="M706" i="1"/>
  <c r="S705" i="1"/>
  <c r="O705" i="1"/>
  <c r="N705" i="1"/>
  <c r="M705" i="1"/>
  <c r="S704" i="1"/>
  <c r="O704" i="1"/>
  <c r="N704" i="1"/>
  <c r="M704" i="1"/>
  <c r="S703" i="1"/>
  <c r="O703" i="1"/>
  <c r="N703" i="1"/>
  <c r="M703" i="1"/>
  <c r="S702" i="1"/>
  <c r="O702" i="1"/>
  <c r="N702" i="1"/>
  <c r="M702" i="1"/>
  <c r="S700" i="1"/>
  <c r="O700" i="1"/>
  <c r="N700" i="1"/>
  <c r="M700" i="1"/>
  <c r="S699" i="1"/>
  <c r="O699" i="1"/>
  <c r="N699" i="1"/>
  <c r="M699" i="1"/>
  <c r="S698" i="1"/>
  <c r="O698" i="1"/>
  <c r="N698" i="1"/>
  <c r="M698" i="1"/>
  <c r="S696" i="1"/>
  <c r="O696" i="1"/>
  <c r="N696" i="1"/>
  <c r="M696" i="1"/>
  <c r="S693" i="1"/>
  <c r="O693" i="1"/>
  <c r="N693" i="1"/>
  <c r="M693" i="1"/>
  <c r="S691" i="1"/>
  <c r="O691" i="1"/>
  <c r="N691" i="1"/>
  <c r="M691" i="1"/>
  <c r="S689" i="1"/>
  <c r="O689" i="1"/>
  <c r="N689" i="1"/>
  <c r="M689" i="1"/>
  <c r="S687" i="1"/>
  <c r="O687" i="1"/>
  <c r="N687" i="1"/>
  <c r="M687" i="1"/>
  <c r="S684" i="1"/>
  <c r="O684" i="1"/>
  <c r="N684" i="1"/>
  <c r="M684" i="1"/>
  <c r="S683" i="1"/>
  <c r="O683" i="1"/>
  <c r="N683" i="1"/>
  <c r="M683" i="1"/>
  <c r="S682" i="1"/>
  <c r="O682" i="1"/>
  <c r="N682" i="1"/>
  <c r="M682" i="1"/>
  <c r="S681" i="1"/>
  <c r="O681" i="1"/>
  <c r="N681" i="1"/>
  <c r="M681" i="1"/>
  <c r="S680" i="1"/>
  <c r="O680" i="1"/>
  <c r="N680" i="1"/>
  <c r="M680" i="1"/>
  <c r="S679" i="1"/>
  <c r="O679" i="1"/>
  <c r="N679" i="1"/>
  <c r="M679" i="1"/>
  <c r="S678" i="1"/>
  <c r="O678" i="1"/>
  <c r="N678" i="1"/>
  <c r="M678" i="1"/>
  <c r="S677" i="1"/>
  <c r="O677" i="1"/>
  <c r="N677" i="1"/>
  <c r="M677" i="1"/>
  <c r="S675" i="1"/>
  <c r="O675" i="1"/>
  <c r="N675" i="1"/>
  <c r="M675" i="1"/>
  <c r="S674" i="1"/>
  <c r="O674" i="1"/>
  <c r="N674" i="1"/>
  <c r="M674" i="1"/>
  <c r="S672" i="1"/>
  <c r="O672" i="1"/>
  <c r="N672" i="1"/>
  <c r="M672" i="1"/>
  <c r="S670" i="1"/>
  <c r="O670" i="1"/>
  <c r="N670" i="1"/>
  <c r="M670" i="1"/>
  <c r="S669" i="1"/>
  <c r="O669" i="1"/>
  <c r="N669" i="1"/>
  <c r="M669" i="1"/>
  <c r="S668" i="1"/>
  <c r="O668" i="1"/>
  <c r="N668" i="1"/>
  <c r="M668" i="1"/>
  <c r="S665" i="1"/>
  <c r="O665" i="1"/>
  <c r="N665" i="1"/>
  <c r="M665" i="1"/>
  <c r="S664" i="1"/>
  <c r="O664" i="1"/>
  <c r="N664" i="1"/>
  <c r="M664" i="1"/>
  <c r="S663" i="1"/>
  <c r="O663" i="1"/>
  <c r="N663" i="1"/>
  <c r="M663" i="1"/>
  <c r="S662" i="1"/>
  <c r="O662" i="1"/>
  <c r="N662" i="1"/>
  <c r="M662" i="1"/>
  <c r="S660" i="1"/>
  <c r="O660" i="1"/>
  <c r="N660" i="1"/>
  <c r="M660" i="1"/>
  <c r="S659" i="1"/>
  <c r="O659" i="1"/>
  <c r="N659" i="1"/>
  <c r="M659" i="1"/>
  <c r="S658" i="1"/>
  <c r="O658" i="1"/>
  <c r="N658" i="1"/>
  <c r="M658" i="1"/>
  <c r="S657" i="1"/>
  <c r="O657" i="1"/>
  <c r="N657" i="1"/>
  <c r="M657" i="1"/>
  <c r="S655" i="1"/>
  <c r="O655" i="1"/>
  <c r="N655" i="1"/>
  <c r="M655" i="1"/>
  <c r="S654" i="1"/>
  <c r="O654" i="1"/>
  <c r="N654" i="1"/>
  <c r="M654" i="1"/>
  <c r="S653" i="1"/>
  <c r="O653" i="1"/>
  <c r="N653" i="1"/>
  <c r="M653" i="1"/>
  <c r="S651" i="1"/>
  <c r="O651" i="1"/>
  <c r="N651" i="1"/>
  <c r="M651" i="1"/>
  <c r="S650" i="1"/>
  <c r="O650" i="1"/>
  <c r="N650" i="1"/>
  <c r="M650" i="1"/>
  <c r="S649" i="1"/>
  <c r="O649" i="1"/>
  <c r="N649" i="1"/>
  <c r="M649" i="1"/>
  <c r="S648" i="1"/>
  <c r="O648" i="1"/>
  <c r="N648" i="1"/>
  <c r="M648" i="1"/>
  <c r="S647" i="1"/>
  <c r="O647" i="1"/>
  <c r="N647" i="1"/>
  <c r="M647" i="1"/>
  <c r="S646" i="1"/>
  <c r="O646" i="1"/>
  <c r="N646" i="1"/>
  <c r="M646" i="1"/>
  <c r="S644" i="1"/>
  <c r="O644" i="1"/>
  <c r="N644" i="1"/>
  <c r="M644" i="1"/>
  <c r="S643" i="1"/>
  <c r="O643" i="1"/>
  <c r="N643" i="1"/>
  <c r="M643" i="1"/>
  <c r="S642" i="1"/>
  <c r="O642" i="1"/>
  <c r="N642" i="1"/>
  <c r="M642" i="1"/>
  <c r="S641" i="1"/>
  <c r="O641" i="1"/>
  <c r="N641" i="1"/>
  <c r="M641" i="1"/>
  <c r="S639" i="1"/>
  <c r="O639" i="1"/>
  <c r="N639" i="1"/>
  <c r="M639" i="1"/>
  <c r="S636" i="1"/>
  <c r="O636" i="1"/>
  <c r="N636" i="1"/>
  <c r="M636" i="1"/>
  <c r="S635" i="1"/>
  <c r="O635" i="1"/>
  <c r="N635" i="1"/>
  <c r="M635" i="1"/>
  <c r="S634" i="1"/>
  <c r="O634" i="1"/>
  <c r="N634" i="1"/>
  <c r="M634" i="1"/>
  <c r="S633" i="1"/>
  <c r="O633" i="1"/>
  <c r="N633" i="1"/>
  <c r="M633" i="1"/>
  <c r="S632" i="1"/>
  <c r="O632" i="1"/>
  <c r="N632" i="1"/>
  <c r="M632" i="1"/>
  <c r="S631" i="1"/>
  <c r="O631" i="1"/>
  <c r="N631" i="1"/>
  <c r="M631" i="1"/>
  <c r="S630" i="1"/>
  <c r="O630" i="1"/>
  <c r="N630" i="1"/>
  <c r="M630" i="1"/>
  <c r="S628" i="1"/>
  <c r="O628" i="1"/>
  <c r="N628" i="1"/>
  <c r="M628" i="1"/>
  <c r="S627" i="1"/>
  <c r="O627" i="1"/>
  <c r="N627" i="1"/>
  <c r="M627" i="1"/>
  <c r="S626" i="1"/>
  <c r="O626" i="1"/>
  <c r="N626" i="1"/>
  <c r="M626" i="1"/>
  <c r="S625" i="1"/>
  <c r="O625" i="1"/>
  <c r="N625" i="1"/>
  <c r="M625" i="1"/>
  <c r="S624" i="1"/>
  <c r="O624" i="1"/>
  <c r="N624" i="1"/>
  <c r="M624" i="1"/>
  <c r="S623" i="1"/>
  <c r="O623" i="1"/>
  <c r="N623" i="1"/>
  <c r="M623" i="1"/>
  <c r="S620" i="1"/>
  <c r="O620" i="1"/>
  <c r="N620" i="1"/>
  <c r="M620" i="1"/>
  <c r="S619" i="1"/>
  <c r="O619" i="1"/>
  <c r="N619" i="1"/>
  <c r="M619" i="1"/>
  <c r="S618" i="1"/>
  <c r="O618" i="1"/>
  <c r="N618" i="1"/>
  <c r="M618" i="1"/>
  <c r="S617" i="1"/>
  <c r="O617" i="1"/>
  <c r="N617" i="1"/>
  <c r="M617" i="1"/>
  <c r="S616" i="1"/>
  <c r="O616" i="1"/>
  <c r="N616" i="1"/>
  <c r="M616" i="1"/>
  <c r="S615" i="1"/>
  <c r="O615" i="1"/>
  <c r="N615" i="1"/>
  <c r="M615" i="1"/>
  <c r="S614" i="1"/>
  <c r="O614" i="1"/>
  <c r="N614" i="1"/>
  <c r="M614" i="1"/>
  <c r="S612" i="1"/>
  <c r="O612" i="1"/>
  <c r="N612" i="1"/>
  <c r="M612" i="1"/>
  <c r="S611" i="1"/>
  <c r="O611" i="1"/>
  <c r="N611" i="1"/>
  <c r="M611" i="1"/>
  <c r="S610" i="1"/>
  <c r="O610" i="1"/>
  <c r="N610" i="1"/>
  <c r="M610" i="1"/>
  <c r="S609" i="1"/>
  <c r="O609" i="1"/>
  <c r="N609" i="1"/>
  <c r="M609" i="1"/>
  <c r="S608" i="1"/>
  <c r="O608" i="1"/>
  <c r="N608" i="1"/>
  <c r="M608" i="1"/>
  <c r="S607" i="1"/>
  <c r="O607" i="1"/>
  <c r="N607" i="1"/>
  <c r="M607" i="1"/>
  <c r="S606" i="1"/>
  <c r="O606" i="1"/>
  <c r="N606" i="1"/>
  <c r="M606" i="1"/>
  <c r="S605" i="1"/>
  <c r="O605" i="1"/>
  <c r="N605" i="1"/>
  <c r="M605" i="1"/>
  <c r="S604" i="1"/>
  <c r="O604" i="1"/>
  <c r="N604" i="1"/>
  <c r="M604" i="1"/>
  <c r="S603" i="1"/>
  <c r="O603" i="1"/>
  <c r="N603" i="1"/>
  <c r="M603" i="1"/>
  <c r="S602" i="1"/>
  <c r="O602" i="1"/>
  <c r="N602" i="1"/>
  <c r="M602" i="1"/>
  <c r="S601" i="1"/>
  <c r="O601" i="1"/>
  <c r="N601" i="1"/>
  <c r="M601" i="1"/>
  <c r="S600" i="1"/>
  <c r="O600" i="1"/>
  <c r="N600" i="1"/>
  <c r="M600" i="1"/>
  <c r="S599" i="1"/>
  <c r="O599" i="1"/>
  <c r="N599" i="1"/>
  <c r="M599" i="1"/>
  <c r="S598" i="1"/>
  <c r="O598" i="1"/>
  <c r="N598" i="1"/>
  <c r="M598" i="1"/>
  <c r="S597" i="1"/>
  <c r="O597" i="1"/>
  <c r="N597" i="1"/>
  <c r="M597" i="1"/>
  <c r="S596" i="1"/>
  <c r="O596" i="1"/>
  <c r="N596" i="1"/>
  <c r="M596" i="1"/>
  <c r="S595" i="1"/>
  <c r="O595" i="1"/>
  <c r="N595" i="1"/>
  <c r="M595" i="1"/>
  <c r="S594" i="1"/>
  <c r="O594" i="1"/>
  <c r="N594" i="1"/>
  <c r="M594" i="1"/>
  <c r="S593" i="1"/>
  <c r="O593" i="1"/>
  <c r="N593" i="1"/>
  <c r="M593" i="1"/>
  <c r="S592" i="1"/>
  <c r="O592" i="1"/>
  <c r="N592" i="1"/>
  <c r="M592" i="1"/>
  <c r="S591" i="1"/>
  <c r="O591" i="1"/>
  <c r="N591" i="1"/>
  <c r="M591" i="1"/>
  <c r="S590" i="1"/>
  <c r="O590" i="1"/>
  <c r="N590" i="1"/>
  <c r="M590" i="1"/>
  <c r="S589" i="1"/>
  <c r="O589" i="1"/>
  <c r="N589" i="1"/>
  <c r="M589" i="1"/>
  <c r="S588" i="1"/>
  <c r="O588" i="1"/>
  <c r="N588" i="1"/>
  <c r="M588" i="1"/>
  <c r="S587" i="1"/>
  <c r="O587" i="1"/>
  <c r="N587" i="1"/>
  <c r="M587" i="1"/>
  <c r="S586" i="1"/>
  <c r="O586" i="1"/>
  <c r="N586" i="1"/>
  <c r="M586" i="1"/>
  <c r="S585" i="1"/>
  <c r="O585" i="1"/>
  <c r="N585" i="1"/>
  <c r="M585" i="1"/>
  <c r="S584" i="1"/>
  <c r="O584" i="1"/>
  <c r="N584" i="1"/>
  <c r="M584" i="1"/>
  <c r="S581" i="1"/>
  <c r="O581" i="1"/>
  <c r="N581" i="1"/>
  <c r="M581" i="1"/>
  <c r="S580" i="1"/>
  <c r="O580" i="1"/>
  <c r="N580" i="1"/>
  <c r="M580" i="1"/>
  <c r="S579" i="1"/>
  <c r="O579" i="1"/>
  <c r="N579" i="1"/>
  <c r="M579" i="1"/>
  <c r="S578" i="1"/>
  <c r="O578" i="1"/>
  <c r="N578" i="1"/>
  <c r="M578" i="1"/>
  <c r="S576" i="1"/>
  <c r="O576" i="1"/>
  <c r="N576" i="1"/>
  <c r="M576" i="1"/>
  <c r="S575" i="1"/>
  <c r="O575" i="1"/>
  <c r="N575" i="1"/>
  <c r="M575" i="1"/>
  <c r="S574" i="1"/>
  <c r="O574" i="1"/>
  <c r="N574" i="1"/>
  <c r="M574" i="1"/>
  <c r="S573" i="1"/>
  <c r="O573" i="1"/>
  <c r="N573" i="1"/>
  <c r="M573" i="1"/>
  <c r="S572" i="1"/>
  <c r="O572" i="1"/>
  <c r="N572" i="1"/>
  <c r="M572" i="1"/>
  <c r="S571" i="1"/>
  <c r="O571" i="1"/>
  <c r="N571" i="1"/>
  <c r="M571" i="1"/>
  <c r="S569" i="1"/>
  <c r="O569" i="1"/>
  <c r="N569" i="1"/>
  <c r="M569" i="1"/>
  <c r="S567" i="1"/>
  <c r="O567" i="1"/>
  <c r="N567" i="1"/>
  <c r="M567" i="1"/>
  <c r="S566" i="1"/>
  <c r="O566" i="1"/>
  <c r="N566" i="1"/>
  <c r="M566" i="1"/>
  <c r="S564" i="1"/>
  <c r="O564" i="1"/>
  <c r="N564" i="1"/>
  <c r="M564" i="1"/>
  <c r="S562" i="1"/>
  <c r="O562" i="1"/>
  <c r="N562" i="1"/>
  <c r="M562" i="1"/>
  <c r="S561" i="1"/>
  <c r="O561" i="1"/>
  <c r="N561" i="1"/>
  <c r="M561" i="1"/>
  <c r="S560" i="1"/>
  <c r="O560" i="1"/>
  <c r="N560" i="1"/>
  <c r="M560" i="1"/>
  <c r="S558" i="1"/>
  <c r="O558" i="1"/>
  <c r="N558" i="1"/>
  <c r="M558" i="1"/>
  <c r="S557" i="1"/>
  <c r="O557" i="1"/>
  <c r="N557" i="1"/>
  <c r="M557" i="1"/>
  <c r="S556" i="1"/>
  <c r="O556" i="1"/>
  <c r="N556" i="1"/>
  <c r="M556" i="1"/>
  <c r="S555" i="1"/>
  <c r="O555" i="1"/>
  <c r="N555" i="1"/>
  <c r="M555" i="1"/>
  <c r="S552" i="1"/>
  <c r="O552" i="1"/>
  <c r="N552" i="1"/>
  <c r="M552" i="1"/>
  <c r="S551" i="1"/>
  <c r="O551" i="1"/>
  <c r="N551" i="1"/>
  <c r="M551" i="1"/>
  <c r="S550" i="1"/>
  <c r="O550" i="1"/>
  <c r="N550" i="1"/>
  <c r="M550" i="1"/>
  <c r="S549" i="1"/>
  <c r="O549" i="1"/>
  <c r="N549" i="1"/>
  <c r="M549" i="1"/>
  <c r="S548" i="1"/>
  <c r="O548" i="1"/>
  <c r="N548" i="1"/>
  <c r="M548" i="1"/>
  <c r="S547" i="1"/>
  <c r="O547" i="1"/>
  <c r="N547" i="1"/>
  <c r="M547" i="1"/>
  <c r="S546" i="1"/>
  <c r="O546" i="1"/>
  <c r="N546" i="1"/>
  <c r="M546" i="1"/>
  <c r="S545" i="1"/>
  <c r="O545" i="1"/>
  <c r="N545" i="1"/>
  <c r="M545" i="1"/>
  <c r="S544" i="1"/>
  <c r="O544" i="1"/>
  <c r="N544" i="1"/>
  <c r="M544" i="1"/>
  <c r="S542" i="1"/>
  <c r="O542" i="1"/>
  <c r="N542" i="1"/>
  <c r="M542" i="1"/>
  <c r="S541" i="1"/>
  <c r="O541" i="1"/>
  <c r="N541" i="1"/>
  <c r="M541" i="1"/>
  <c r="S540" i="1"/>
  <c r="O540" i="1"/>
  <c r="N540" i="1"/>
  <c r="M540" i="1"/>
  <c r="S539" i="1"/>
  <c r="O539" i="1"/>
  <c r="N539" i="1"/>
  <c r="M539" i="1"/>
  <c r="S538" i="1"/>
  <c r="O538" i="1"/>
  <c r="N538" i="1"/>
  <c r="M538" i="1"/>
  <c r="S537" i="1"/>
  <c r="O537" i="1"/>
  <c r="N537" i="1"/>
  <c r="M537" i="1"/>
  <c r="S536" i="1"/>
  <c r="O536" i="1"/>
  <c r="N536" i="1"/>
  <c r="M536" i="1"/>
  <c r="S535" i="1"/>
  <c r="O535" i="1"/>
  <c r="N535" i="1"/>
  <c r="M535" i="1"/>
  <c r="S534" i="1"/>
  <c r="O534" i="1"/>
  <c r="N534" i="1"/>
  <c r="M534" i="1"/>
  <c r="S533" i="1"/>
  <c r="O533" i="1"/>
  <c r="N533" i="1"/>
  <c r="M533" i="1"/>
  <c r="S532" i="1"/>
  <c r="O532" i="1"/>
  <c r="N532" i="1"/>
  <c r="M532" i="1"/>
  <c r="S531" i="1"/>
  <c r="O531" i="1"/>
  <c r="N531" i="1"/>
  <c r="M531" i="1"/>
  <c r="S530" i="1"/>
  <c r="O530" i="1"/>
  <c r="N530" i="1"/>
  <c r="M530" i="1"/>
  <c r="S529" i="1"/>
  <c r="O529" i="1"/>
  <c r="N529" i="1"/>
  <c r="M529" i="1"/>
  <c r="S528" i="1"/>
  <c r="O528" i="1"/>
  <c r="N528" i="1"/>
  <c r="M528" i="1"/>
  <c r="S527" i="1"/>
  <c r="O527" i="1"/>
  <c r="N527" i="1"/>
  <c r="M527" i="1"/>
  <c r="S525" i="1"/>
  <c r="O525" i="1"/>
  <c r="N525" i="1"/>
  <c r="M525" i="1"/>
  <c r="S524" i="1"/>
  <c r="O524" i="1"/>
  <c r="N524" i="1"/>
  <c r="M524" i="1"/>
  <c r="S523" i="1"/>
  <c r="O523" i="1"/>
  <c r="N523" i="1"/>
  <c r="M523" i="1"/>
  <c r="S522" i="1"/>
  <c r="O522" i="1"/>
  <c r="N522" i="1"/>
  <c r="M522" i="1"/>
  <c r="S521" i="1"/>
  <c r="O521" i="1"/>
  <c r="N521" i="1"/>
  <c r="M521" i="1"/>
  <c r="S520" i="1"/>
  <c r="O520" i="1"/>
  <c r="N520" i="1"/>
  <c r="M520" i="1"/>
  <c r="S519" i="1"/>
  <c r="O519" i="1"/>
  <c r="N519" i="1"/>
  <c r="M519" i="1"/>
  <c r="S518" i="1"/>
  <c r="O518" i="1"/>
  <c r="N518" i="1"/>
  <c r="M518" i="1"/>
  <c r="S517" i="1"/>
  <c r="O517" i="1"/>
  <c r="N517" i="1"/>
  <c r="M517" i="1"/>
  <c r="S514" i="1"/>
  <c r="O514" i="1"/>
  <c r="N514" i="1"/>
  <c r="M514" i="1"/>
  <c r="S513" i="1"/>
  <c r="O513" i="1"/>
  <c r="N513" i="1"/>
  <c r="M513" i="1"/>
  <c r="S512" i="1"/>
  <c r="O512" i="1"/>
  <c r="N512" i="1"/>
  <c r="M512" i="1"/>
  <c r="S511" i="1"/>
  <c r="O511" i="1"/>
  <c r="N511" i="1"/>
  <c r="M511" i="1"/>
  <c r="S510" i="1"/>
  <c r="O510" i="1"/>
  <c r="N510" i="1"/>
  <c r="M510" i="1"/>
  <c r="S509" i="1"/>
  <c r="O509" i="1"/>
  <c r="N509" i="1"/>
  <c r="M509" i="1"/>
  <c r="S508" i="1"/>
  <c r="O508" i="1"/>
  <c r="N508" i="1"/>
  <c r="M508" i="1"/>
  <c r="S507" i="1"/>
  <c r="O507" i="1"/>
  <c r="N507" i="1"/>
  <c r="M507" i="1"/>
  <c r="S505" i="1"/>
  <c r="O505" i="1"/>
  <c r="N505" i="1"/>
  <c r="M505" i="1"/>
  <c r="S504" i="1"/>
  <c r="O504" i="1"/>
  <c r="N504" i="1"/>
  <c r="M504" i="1"/>
  <c r="S503" i="1"/>
  <c r="O503" i="1"/>
  <c r="N503" i="1"/>
  <c r="M503" i="1"/>
  <c r="S502" i="1"/>
  <c r="O502" i="1"/>
  <c r="N502" i="1"/>
  <c r="M502" i="1"/>
  <c r="S501" i="1"/>
  <c r="O501" i="1"/>
  <c r="N501" i="1"/>
  <c r="M501" i="1"/>
  <c r="S500" i="1"/>
  <c r="O500" i="1"/>
  <c r="N500" i="1"/>
  <c r="M500" i="1"/>
  <c r="S498" i="1"/>
  <c r="O498" i="1"/>
  <c r="N498" i="1"/>
  <c r="M498" i="1"/>
  <c r="S497" i="1"/>
  <c r="O497" i="1"/>
  <c r="N497" i="1"/>
  <c r="M497" i="1"/>
  <c r="S496" i="1"/>
  <c r="O496" i="1"/>
  <c r="N496" i="1"/>
  <c r="M496" i="1"/>
  <c r="S495" i="1"/>
  <c r="O495" i="1"/>
  <c r="N495" i="1"/>
  <c r="M495" i="1"/>
  <c r="S494" i="1"/>
  <c r="O494" i="1"/>
  <c r="N494" i="1"/>
  <c r="M494" i="1"/>
  <c r="S493" i="1"/>
  <c r="O493" i="1"/>
  <c r="N493" i="1"/>
  <c r="M493" i="1"/>
  <c r="S492" i="1"/>
  <c r="O492" i="1"/>
  <c r="N492" i="1"/>
  <c r="M492" i="1"/>
  <c r="S491" i="1"/>
  <c r="O491" i="1"/>
  <c r="N491" i="1"/>
  <c r="M491" i="1"/>
  <c r="S490" i="1"/>
  <c r="O490" i="1"/>
  <c r="N490" i="1"/>
  <c r="M490" i="1"/>
  <c r="S489" i="1"/>
  <c r="O489" i="1"/>
  <c r="N489" i="1"/>
  <c r="M489" i="1"/>
  <c r="S488" i="1"/>
  <c r="O488" i="1"/>
  <c r="N488" i="1"/>
  <c r="M488" i="1"/>
  <c r="S487" i="1"/>
  <c r="O487" i="1"/>
  <c r="N487" i="1"/>
  <c r="M487" i="1"/>
  <c r="S486" i="1"/>
  <c r="O486" i="1"/>
  <c r="N486" i="1"/>
  <c r="M486" i="1"/>
  <c r="S485" i="1"/>
  <c r="O485" i="1"/>
  <c r="N485" i="1"/>
  <c r="M485" i="1"/>
  <c r="S484" i="1"/>
  <c r="O484" i="1"/>
  <c r="N484" i="1"/>
  <c r="M484" i="1"/>
  <c r="S483" i="1"/>
  <c r="O483" i="1"/>
  <c r="N483" i="1"/>
  <c r="M483" i="1"/>
  <c r="S482" i="1"/>
  <c r="O482" i="1"/>
  <c r="N482" i="1"/>
  <c r="M482" i="1"/>
  <c r="S481" i="1"/>
  <c r="O481" i="1"/>
  <c r="N481" i="1"/>
  <c r="M481" i="1"/>
  <c r="S479" i="1"/>
  <c r="O479" i="1"/>
  <c r="N479" i="1"/>
  <c r="M479" i="1"/>
  <c r="S478" i="1"/>
  <c r="O478" i="1"/>
  <c r="N478" i="1"/>
  <c r="M478" i="1"/>
  <c r="S477" i="1"/>
  <c r="O477" i="1"/>
  <c r="N477" i="1"/>
  <c r="M477" i="1"/>
  <c r="S476" i="1"/>
  <c r="O476" i="1"/>
  <c r="N476" i="1"/>
  <c r="M476" i="1"/>
  <c r="S475" i="1"/>
  <c r="O475" i="1"/>
  <c r="N475" i="1"/>
  <c r="M475" i="1"/>
  <c r="S474" i="1"/>
  <c r="O474" i="1"/>
  <c r="N474" i="1"/>
  <c r="M474" i="1"/>
  <c r="S473" i="1"/>
  <c r="O473" i="1"/>
  <c r="N473" i="1"/>
  <c r="M473" i="1"/>
  <c r="S472" i="1"/>
  <c r="O472" i="1"/>
  <c r="N472" i="1"/>
  <c r="M472" i="1"/>
  <c r="S470" i="1"/>
  <c r="O470" i="1"/>
  <c r="N470" i="1"/>
  <c r="M470" i="1"/>
  <c r="S469" i="1"/>
  <c r="O469" i="1"/>
  <c r="N469" i="1"/>
  <c r="M469" i="1"/>
  <c r="S468" i="1"/>
  <c r="O468" i="1"/>
  <c r="N468" i="1"/>
  <c r="M468" i="1"/>
  <c r="S463" i="1"/>
  <c r="O463" i="1"/>
  <c r="N463" i="1"/>
  <c r="M463" i="1"/>
  <c r="S462" i="1"/>
  <c r="O462" i="1"/>
  <c r="N462" i="1"/>
  <c r="M462" i="1"/>
  <c r="S461" i="1"/>
  <c r="O461" i="1"/>
  <c r="N461" i="1"/>
  <c r="M461" i="1"/>
  <c r="S460" i="1"/>
  <c r="O460" i="1"/>
  <c r="N460" i="1"/>
  <c r="M460" i="1"/>
  <c r="S459" i="1"/>
  <c r="O459" i="1"/>
  <c r="N459" i="1"/>
  <c r="M459" i="1"/>
  <c r="S458" i="1"/>
  <c r="O458" i="1"/>
  <c r="N458" i="1"/>
  <c r="M458" i="1"/>
  <c r="S457" i="1"/>
  <c r="O457" i="1"/>
  <c r="N457" i="1"/>
  <c r="M457" i="1"/>
  <c r="S456" i="1"/>
  <c r="O456" i="1"/>
  <c r="N456" i="1"/>
  <c r="M456" i="1"/>
  <c r="S454" i="1"/>
  <c r="O454" i="1"/>
  <c r="N454" i="1"/>
  <c r="M454" i="1"/>
  <c r="S453" i="1"/>
  <c r="O453" i="1"/>
  <c r="N453" i="1"/>
  <c r="M453" i="1"/>
  <c r="S452" i="1"/>
  <c r="O452" i="1"/>
  <c r="N452" i="1"/>
  <c r="M452" i="1"/>
  <c r="S451" i="1"/>
  <c r="O451" i="1"/>
  <c r="N451" i="1"/>
  <c r="M451" i="1"/>
  <c r="S450" i="1"/>
  <c r="O450" i="1"/>
  <c r="N450" i="1"/>
  <c r="M450" i="1"/>
  <c r="S445" i="1"/>
  <c r="O445" i="1"/>
  <c r="N445" i="1"/>
  <c r="M445" i="1"/>
  <c r="S444" i="1"/>
  <c r="O444" i="1"/>
  <c r="N444" i="1"/>
  <c r="M444" i="1"/>
  <c r="S443" i="1"/>
  <c r="O443" i="1"/>
  <c r="N443" i="1"/>
  <c r="M443" i="1"/>
  <c r="S442" i="1"/>
  <c r="O442" i="1"/>
  <c r="N442" i="1"/>
  <c r="M442" i="1"/>
  <c r="S441" i="1"/>
  <c r="O441" i="1"/>
  <c r="N441" i="1"/>
  <c r="M441" i="1"/>
  <c r="S440" i="1"/>
  <c r="O440" i="1"/>
  <c r="N440" i="1"/>
  <c r="M440" i="1"/>
  <c r="S439" i="1"/>
  <c r="O439" i="1"/>
  <c r="N439" i="1"/>
  <c r="M439" i="1"/>
  <c r="S438" i="1"/>
  <c r="O438" i="1"/>
  <c r="N438" i="1"/>
  <c r="M438" i="1"/>
  <c r="S436" i="1"/>
  <c r="O436" i="1"/>
  <c r="N436" i="1"/>
  <c r="M436" i="1"/>
  <c r="S435" i="1"/>
  <c r="O435" i="1"/>
  <c r="N435" i="1"/>
  <c r="M435" i="1"/>
  <c r="S434" i="1"/>
  <c r="O434" i="1"/>
  <c r="N434" i="1"/>
  <c r="M434" i="1"/>
  <c r="S431" i="1"/>
  <c r="O431" i="1"/>
  <c r="N431" i="1"/>
  <c r="M431" i="1"/>
  <c r="S430" i="1"/>
  <c r="O430" i="1"/>
  <c r="N430" i="1"/>
  <c r="M430" i="1"/>
  <c r="S429" i="1"/>
  <c r="O429" i="1"/>
  <c r="N429" i="1"/>
  <c r="M429" i="1"/>
  <c r="S428" i="1"/>
  <c r="O428" i="1"/>
  <c r="N428" i="1"/>
  <c r="M428" i="1"/>
  <c r="S427" i="1"/>
  <c r="O427" i="1"/>
  <c r="N427" i="1"/>
  <c r="M427" i="1"/>
  <c r="S425" i="1"/>
  <c r="O425" i="1"/>
  <c r="N425" i="1"/>
  <c r="M425" i="1"/>
  <c r="S424" i="1"/>
  <c r="O424" i="1"/>
  <c r="N424" i="1"/>
  <c r="M424" i="1"/>
  <c r="S423" i="1"/>
  <c r="O423" i="1"/>
  <c r="N423" i="1"/>
  <c r="M423" i="1"/>
  <c r="S422" i="1"/>
  <c r="O422" i="1"/>
  <c r="N422" i="1"/>
  <c r="M422" i="1"/>
  <c r="S421" i="1"/>
  <c r="O421" i="1"/>
  <c r="N421" i="1"/>
  <c r="M421" i="1"/>
  <c r="S420" i="1"/>
  <c r="O420" i="1"/>
  <c r="N420" i="1"/>
  <c r="M420" i="1"/>
  <c r="S418" i="1"/>
  <c r="O418" i="1"/>
  <c r="N418" i="1"/>
  <c r="M418" i="1"/>
  <c r="S417" i="1"/>
  <c r="O417" i="1"/>
  <c r="N417" i="1"/>
  <c r="M417" i="1"/>
  <c r="S416" i="1"/>
  <c r="O416" i="1"/>
  <c r="N416" i="1"/>
  <c r="M416" i="1"/>
  <c r="S415" i="1"/>
  <c r="O415" i="1"/>
  <c r="N415" i="1"/>
  <c r="M415" i="1"/>
  <c r="S414" i="1"/>
  <c r="O414" i="1"/>
  <c r="N414" i="1"/>
  <c r="M414" i="1"/>
  <c r="S413" i="1"/>
  <c r="O413" i="1"/>
  <c r="N413" i="1"/>
  <c r="M413" i="1"/>
  <c r="S412" i="1"/>
  <c r="O412" i="1"/>
  <c r="N412" i="1"/>
  <c r="M412" i="1"/>
  <c r="S408" i="1"/>
  <c r="O408" i="1"/>
  <c r="N408" i="1"/>
  <c r="M408" i="1"/>
  <c r="S407" i="1"/>
  <c r="O407" i="1"/>
  <c r="N407" i="1"/>
  <c r="M407" i="1"/>
  <c r="S406" i="1"/>
  <c r="O406" i="1"/>
  <c r="N406" i="1"/>
  <c r="M406" i="1"/>
  <c r="S404" i="1"/>
  <c r="O404" i="1"/>
  <c r="N404" i="1"/>
  <c r="M404" i="1"/>
  <c r="S403" i="1"/>
  <c r="O403" i="1"/>
  <c r="N403" i="1"/>
  <c r="M403" i="1"/>
  <c r="S402" i="1"/>
  <c r="O402" i="1"/>
  <c r="N402" i="1"/>
  <c r="M402" i="1"/>
  <c r="S400" i="1"/>
  <c r="O400" i="1"/>
  <c r="N400" i="1"/>
  <c r="M400" i="1"/>
  <c r="S399" i="1"/>
  <c r="O399" i="1"/>
  <c r="N399" i="1"/>
  <c r="M399" i="1"/>
  <c r="S398" i="1"/>
  <c r="O398" i="1"/>
  <c r="N398" i="1"/>
  <c r="M398" i="1"/>
  <c r="S397" i="1"/>
  <c r="O397" i="1"/>
  <c r="N397" i="1"/>
  <c r="M397" i="1"/>
  <c r="S396" i="1"/>
  <c r="O396" i="1"/>
  <c r="N396" i="1"/>
  <c r="M396" i="1"/>
  <c r="S395" i="1"/>
  <c r="O395" i="1"/>
  <c r="N395" i="1"/>
  <c r="M395" i="1"/>
  <c r="S394" i="1"/>
  <c r="O394" i="1"/>
  <c r="N394" i="1"/>
  <c r="M394" i="1"/>
  <c r="S392" i="1"/>
  <c r="O392" i="1"/>
  <c r="N392" i="1"/>
  <c r="M392" i="1"/>
  <c r="S388" i="1"/>
  <c r="O388" i="1"/>
  <c r="N388" i="1"/>
  <c r="M388" i="1"/>
  <c r="S387" i="1"/>
  <c r="O387" i="1"/>
  <c r="N387" i="1"/>
  <c r="M387" i="1"/>
  <c r="S386" i="1"/>
  <c r="O386" i="1"/>
  <c r="N386" i="1"/>
  <c r="M386" i="1"/>
  <c r="S385" i="1"/>
  <c r="O385" i="1"/>
  <c r="N385" i="1"/>
  <c r="M385" i="1"/>
  <c r="S384" i="1"/>
  <c r="O384" i="1"/>
  <c r="N384" i="1"/>
  <c r="M384" i="1"/>
  <c r="S382" i="1"/>
  <c r="O382" i="1"/>
  <c r="N382" i="1"/>
  <c r="M382" i="1"/>
  <c r="S376" i="1"/>
  <c r="O376" i="1"/>
  <c r="N376" i="1"/>
  <c r="M376" i="1"/>
  <c r="S375" i="1"/>
  <c r="O375" i="1"/>
  <c r="N375" i="1"/>
  <c r="M375" i="1"/>
  <c r="S374" i="1"/>
  <c r="O374" i="1"/>
  <c r="N374" i="1"/>
  <c r="M374" i="1"/>
  <c r="S372" i="1"/>
  <c r="O372" i="1"/>
  <c r="N372" i="1"/>
  <c r="M372" i="1"/>
  <c r="S371" i="1"/>
  <c r="O371" i="1"/>
  <c r="N371" i="1"/>
  <c r="M371" i="1"/>
  <c r="S369" i="1"/>
  <c r="O369" i="1"/>
  <c r="N369" i="1"/>
  <c r="M369" i="1"/>
  <c r="S368" i="1"/>
  <c r="O368" i="1"/>
  <c r="N368" i="1"/>
  <c r="M368" i="1"/>
  <c r="S367" i="1"/>
  <c r="O367" i="1"/>
  <c r="N367" i="1"/>
  <c r="M367" i="1"/>
  <c r="S366" i="1"/>
  <c r="O366" i="1"/>
  <c r="N366" i="1"/>
  <c r="M366" i="1"/>
  <c r="S365" i="1"/>
  <c r="O365" i="1"/>
  <c r="N365" i="1"/>
  <c r="M365" i="1"/>
  <c r="S363" i="1"/>
  <c r="O363" i="1"/>
  <c r="N363" i="1"/>
  <c r="M363" i="1"/>
  <c r="S361" i="1"/>
  <c r="O361" i="1"/>
  <c r="N361" i="1"/>
  <c r="M361" i="1"/>
  <c r="S360" i="1"/>
  <c r="O360" i="1"/>
  <c r="N360" i="1"/>
  <c r="M360" i="1"/>
  <c r="S359" i="1"/>
  <c r="O359" i="1"/>
  <c r="N359" i="1"/>
  <c r="M359" i="1"/>
  <c r="S358" i="1"/>
  <c r="O358" i="1"/>
  <c r="N358" i="1"/>
  <c r="M358" i="1"/>
  <c r="S357" i="1"/>
  <c r="O357" i="1"/>
  <c r="N357" i="1"/>
  <c r="M357" i="1"/>
  <c r="S356" i="1"/>
  <c r="O356" i="1"/>
  <c r="N356" i="1"/>
  <c r="M356" i="1"/>
  <c r="S355" i="1"/>
  <c r="O355" i="1"/>
  <c r="N355" i="1"/>
  <c r="M355" i="1"/>
  <c r="S354" i="1"/>
  <c r="O354" i="1"/>
  <c r="N354" i="1"/>
  <c r="M354" i="1"/>
  <c r="S353" i="1"/>
  <c r="O353" i="1"/>
  <c r="N353" i="1"/>
  <c r="M353" i="1"/>
  <c r="S350" i="1"/>
  <c r="O350" i="1"/>
  <c r="N350" i="1"/>
  <c r="M350" i="1"/>
  <c r="S347" i="1"/>
  <c r="O347" i="1"/>
  <c r="N347" i="1"/>
  <c r="M347" i="1"/>
  <c r="S345" i="1"/>
  <c r="O345" i="1"/>
  <c r="N345" i="1"/>
  <c r="M345" i="1"/>
  <c r="S344" i="1"/>
  <c r="O344" i="1"/>
  <c r="N344" i="1"/>
  <c r="M344" i="1"/>
  <c r="S341" i="1"/>
  <c r="O341" i="1"/>
  <c r="N341" i="1"/>
  <c r="M341" i="1"/>
  <c r="S340" i="1"/>
  <c r="O340" i="1"/>
  <c r="N340" i="1"/>
  <c r="M340" i="1"/>
  <c r="S339" i="1"/>
  <c r="O339" i="1"/>
  <c r="N339" i="1"/>
  <c r="M339" i="1"/>
  <c r="S338" i="1"/>
  <c r="O338" i="1"/>
  <c r="N338" i="1"/>
  <c r="M338" i="1"/>
  <c r="S337" i="1"/>
  <c r="O337" i="1"/>
  <c r="N337" i="1"/>
  <c r="M337" i="1"/>
  <c r="S336" i="1"/>
  <c r="O336" i="1"/>
  <c r="N336" i="1"/>
  <c r="M336" i="1"/>
  <c r="S335" i="1"/>
  <c r="O335" i="1"/>
  <c r="N335" i="1"/>
  <c r="M335" i="1"/>
  <c r="S334" i="1"/>
  <c r="O334" i="1"/>
  <c r="N334" i="1"/>
  <c r="M334" i="1"/>
  <c r="S330" i="1"/>
  <c r="O330" i="1"/>
  <c r="N330" i="1"/>
  <c r="M330" i="1"/>
  <c r="S328" i="1"/>
  <c r="O328" i="1"/>
  <c r="N328" i="1"/>
  <c r="M328" i="1"/>
  <c r="S327" i="1"/>
  <c r="O327" i="1"/>
  <c r="N327" i="1"/>
  <c r="M327" i="1"/>
  <c r="S326" i="1"/>
  <c r="O326" i="1"/>
  <c r="N326" i="1"/>
  <c r="M326" i="1"/>
  <c r="S325" i="1"/>
  <c r="O325" i="1"/>
  <c r="N325" i="1"/>
  <c r="M325" i="1"/>
  <c r="S324" i="1"/>
  <c r="O324" i="1"/>
  <c r="N324" i="1"/>
  <c r="M324" i="1"/>
  <c r="S323" i="1"/>
  <c r="O323" i="1"/>
  <c r="N323" i="1"/>
  <c r="M323" i="1"/>
  <c r="S322" i="1"/>
  <c r="O322" i="1"/>
  <c r="N322" i="1"/>
  <c r="M322" i="1"/>
  <c r="S321" i="1"/>
  <c r="O321" i="1"/>
  <c r="N321" i="1"/>
  <c r="M321" i="1"/>
  <c r="S318" i="1"/>
  <c r="O318" i="1"/>
  <c r="N318" i="1"/>
  <c r="M318" i="1"/>
  <c r="S315" i="1"/>
  <c r="O315" i="1"/>
  <c r="N315" i="1"/>
  <c r="M315" i="1"/>
  <c r="S313" i="1"/>
  <c r="O313" i="1"/>
  <c r="N313" i="1"/>
  <c r="M313" i="1"/>
  <c r="S312" i="1"/>
  <c r="O312" i="1"/>
  <c r="N312" i="1"/>
  <c r="M312" i="1"/>
  <c r="S311" i="1"/>
  <c r="O311" i="1"/>
  <c r="N311" i="1"/>
  <c r="M311" i="1"/>
  <c r="S310" i="1"/>
  <c r="O310" i="1"/>
  <c r="N310" i="1"/>
  <c r="M310" i="1"/>
  <c r="S309" i="1"/>
  <c r="O309" i="1"/>
  <c r="N309" i="1"/>
  <c r="M309" i="1"/>
  <c r="S308" i="1"/>
  <c r="O308" i="1"/>
  <c r="N308" i="1"/>
  <c r="M308" i="1"/>
  <c r="S307" i="1"/>
  <c r="O307" i="1"/>
  <c r="N307" i="1"/>
  <c r="M307" i="1"/>
  <c r="S305" i="1"/>
  <c r="O305" i="1"/>
  <c r="N305" i="1"/>
  <c r="M305" i="1"/>
  <c r="S301" i="1"/>
  <c r="O301" i="1"/>
  <c r="N301" i="1"/>
  <c r="M301" i="1"/>
  <c r="S298" i="1"/>
  <c r="O298" i="1"/>
  <c r="N298" i="1"/>
  <c r="M298" i="1"/>
  <c r="S296" i="1"/>
  <c r="O296" i="1"/>
  <c r="N296" i="1"/>
  <c r="M296" i="1"/>
  <c r="S295" i="1"/>
  <c r="O295" i="1"/>
  <c r="N295" i="1"/>
  <c r="M295" i="1"/>
  <c r="S294" i="1"/>
  <c r="O294" i="1"/>
  <c r="N294" i="1"/>
  <c r="M294" i="1"/>
  <c r="S293" i="1"/>
  <c r="O293" i="1"/>
  <c r="N293" i="1"/>
  <c r="M293" i="1"/>
  <c r="S292" i="1"/>
  <c r="O292" i="1"/>
  <c r="N292" i="1"/>
  <c r="M292" i="1"/>
  <c r="S291" i="1"/>
  <c r="O291" i="1"/>
  <c r="N291" i="1"/>
  <c r="M291" i="1"/>
  <c r="S287" i="1"/>
  <c r="O287" i="1"/>
  <c r="N287" i="1"/>
  <c r="M287" i="1"/>
  <c r="S284" i="1"/>
  <c r="O284" i="1"/>
  <c r="N284" i="1"/>
  <c r="M284" i="1"/>
  <c r="S283" i="1"/>
  <c r="O283" i="1"/>
  <c r="N283" i="1"/>
  <c r="M283" i="1"/>
  <c r="S282" i="1"/>
  <c r="O282" i="1"/>
  <c r="N282" i="1"/>
  <c r="M282" i="1"/>
  <c r="S280" i="1"/>
  <c r="O280" i="1"/>
  <c r="N280" i="1"/>
  <c r="M280" i="1"/>
  <c r="S276" i="1"/>
  <c r="O276" i="1"/>
  <c r="N276" i="1"/>
  <c r="M276" i="1"/>
  <c r="S274" i="1"/>
  <c r="O274" i="1"/>
  <c r="N274" i="1"/>
  <c r="M274" i="1"/>
  <c r="S273" i="1"/>
  <c r="O273" i="1"/>
  <c r="N273" i="1"/>
  <c r="M273" i="1"/>
  <c r="S270" i="1"/>
  <c r="O270" i="1"/>
  <c r="N270" i="1"/>
  <c r="M270" i="1"/>
  <c r="S267" i="1"/>
  <c r="O267" i="1"/>
  <c r="N267" i="1"/>
  <c r="M267" i="1"/>
  <c r="S265" i="1"/>
  <c r="O265" i="1"/>
  <c r="N265" i="1"/>
  <c r="M265" i="1"/>
  <c r="S263" i="1"/>
  <c r="O263" i="1"/>
  <c r="N263" i="1"/>
  <c r="M263" i="1"/>
  <c r="S262" i="1"/>
  <c r="O262" i="1"/>
  <c r="N262" i="1"/>
  <c r="M262" i="1"/>
  <c r="S261" i="1"/>
  <c r="O261" i="1"/>
  <c r="N261" i="1"/>
  <c r="M261" i="1"/>
  <c r="S260" i="1"/>
  <c r="O260" i="1"/>
  <c r="N260" i="1"/>
  <c r="M260" i="1"/>
  <c r="S258" i="1"/>
  <c r="O258" i="1"/>
  <c r="N258" i="1"/>
  <c r="M258" i="1"/>
  <c r="S256" i="1"/>
  <c r="O256" i="1"/>
  <c r="N256" i="1"/>
  <c r="M256" i="1"/>
  <c r="S255" i="1"/>
  <c r="O255" i="1"/>
  <c r="N255" i="1"/>
  <c r="M255" i="1"/>
  <c r="S252" i="1"/>
  <c r="O252" i="1"/>
  <c r="N252" i="1"/>
  <c r="M252" i="1"/>
  <c r="S250" i="1"/>
  <c r="O250" i="1"/>
  <c r="N250" i="1"/>
  <c r="M250" i="1"/>
  <c r="S247" i="1"/>
  <c r="O247" i="1"/>
  <c r="N247" i="1"/>
  <c r="M247" i="1"/>
  <c r="S244" i="1"/>
  <c r="O244" i="1"/>
  <c r="N244" i="1"/>
  <c r="M244" i="1"/>
  <c r="S243" i="1"/>
  <c r="O243" i="1"/>
  <c r="N243" i="1"/>
  <c r="M243" i="1"/>
  <c r="S241" i="1"/>
  <c r="O241" i="1"/>
  <c r="N241" i="1"/>
  <c r="M241" i="1"/>
  <c r="S239" i="1"/>
  <c r="O239" i="1"/>
  <c r="N239" i="1"/>
  <c r="M239" i="1"/>
  <c r="S238" i="1"/>
  <c r="O238" i="1"/>
  <c r="N238" i="1"/>
  <c r="M238" i="1"/>
  <c r="S236" i="1"/>
  <c r="O236" i="1"/>
  <c r="N236" i="1"/>
  <c r="M236" i="1"/>
  <c r="S235" i="1"/>
  <c r="O235" i="1"/>
  <c r="N235" i="1"/>
  <c r="M235" i="1"/>
  <c r="S234" i="1"/>
  <c r="O234" i="1"/>
  <c r="N234" i="1"/>
  <c r="M234" i="1"/>
  <c r="S232" i="1"/>
  <c r="O232" i="1"/>
  <c r="N232" i="1"/>
  <c r="M232" i="1"/>
  <c r="S230" i="1"/>
  <c r="O230" i="1"/>
  <c r="N230" i="1"/>
  <c r="M230" i="1"/>
  <c r="S229" i="1"/>
  <c r="O229" i="1"/>
  <c r="N229" i="1"/>
  <c r="M229" i="1"/>
  <c r="S228" i="1"/>
  <c r="O228" i="1"/>
  <c r="N228" i="1"/>
  <c r="M228" i="1"/>
  <c r="S227" i="1"/>
  <c r="O227" i="1"/>
  <c r="N227" i="1"/>
  <c r="M227" i="1"/>
  <c r="S224" i="1"/>
  <c r="O224" i="1"/>
  <c r="N224" i="1"/>
  <c r="M224" i="1"/>
  <c r="S222" i="1"/>
  <c r="O222" i="1"/>
  <c r="N222" i="1"/>
  <c r="M222" i="1"/>
  <c r="S219" i="1"/>
  <c r="O219" i="1"/>
  <c r="N219" i="1"/>
  <c r="M219" i="1"/>
  <c r="S218" i="1"/>
  <c r="O218" i="1"/>
  <c r="N218" i="1"/>
  <c r="M218" i="1"/>
  <c r="S216" i="1"/>
  <c r="O216" i="1"/>
  <c r="N216" i="1"/>
  <c r="M216" i="1"/>
  <c r="S213" i="1"/>
  <c r="O213" i="1"/>
  <c r="N213" i="1"/>
  <c r="M213" i="1"/>
  <c r="S212" i="1"/>
  <c r="O212" i="1"/>
  <c r="N212" i="1"/>
  <c r="M212" i="1"/>
  <c r="S211" i="1"/>
  <c r="O211" i="1"/>
  <c r="N211" i="1"/>
  <c r="M211" i="1"/>
  <c r="S207" i="1"/>
  <c r="O207" i="1"/>
  <c r="N207" i="1"/>
  <c r="M207" i="1"/>
  <c r="S206" i="1"/>
  <c r="O206" i="1"/>
  <c r="N206" i="1"/>
  <c r="M206" i="1"/>
  <c r="S204" i="1"/>
  <c r="O204" i="1"/>
  <c r="N204" i="1"/>
  <c r="M204" i="1"/>
  <c r="S203" i="1"/>
  <c r="O203" i="1"/>
  <c r="N203" i="1"/>
  <c r="M203" i="1"/>
  <c r="S202" i="1"/>
  <c r="O202" i="1"/>
  <c r="N202" i="1"/>
  <c r="M202" i="1"/>
  <c r="S200" i="1"/>
  <c r="O200" i="1"/>
  <c r="N200" i="1"/>
  <c r="M200" i="1"/>
  <c r="S197" i="1"/>
  <c r="O197" i="1"/>
  <c r="N197" i="1"/>
  <c r="M197" i="1"/>
  <c r="S192" i="1"/>
  <c r="O192" i="1"/>
  <c r="N192" i="1"/>
  <c r="M192" i="1"/>
  <c r="S191" i="1"/>
  <c r="O191" i="1"/>
  <c r="N191" i="1"/>
  <c r="M191" i="1"/>
  <c r="S189" i="1"/>
  <c r="O189" i="1"/>
  <c r="N189" i="1"/>
  <c r="M189" i="1"/>
  <c r="S188" i="1"/>
  <c r="O188" i="1"/>
  <c r="N188" i="1"/>
  <c r="M188" i="1"/>
  <c r="S186" i="1"/>
  <c r="O186" i="1"/>
  <c r="N186" i="1"/>
  <c r="M186" i="1"/>
  <c r="S184" i="1"/>
  <c r="O184" i="1"/>
  <c r="N184" i="1"/>
  <c r="M184" i="1"/>
  <c r="S183" i="1"/>
  <c r="O183" i="1"/>
  <c r="N183" i="1"/>
  <c r="M183" i="1"/>
  <c r="S182" i="1"/>
  <c r="O182" i="1"/>
  <c r="N182" i="1"/>
  <c r="M182" i="1"/>
  <c r="S179" i="1"/>
  <c r="O179" i="1"/>
  <c r="N179" i="1"/>
  <c r="M179" i="1"/>
  <c r="S178" i="1"/>
  <c r="O178" i="1"/>
  <c r="N178" i="1"/>
  <c r="M178" i="1"/>
  <c r="S176" i="1"/>
  <c r="O176" i="1"/>
  <c r="N176" i="1"/>
  <c r="M176" i="1"/>
  <c r="S173" i="1"/>
  <c r="O173" i="1"/>
  <c r="N173" i="1"/>
  <c r="M173" i="1"/>
  <c r="S171" i="1"/>
  <c r="O171" i="1"/>
  <c r="N171" i="1"/>
  <c r="M171" i="1"/>
  <c r="S167" i="1"/>
  <c r="O167" i="1"/>
  <c r="N167" i="1"/>
  <c r="M167" i="1"/>
  <c r="S164" i="1"/>
  <c r="O164" i="1"/>
  <c r="N164" i="1"/>
  <c r="M164" i="1"/>
  <c r="S163" i="1"/>
  <c r="O163" i="1"/>
  <c r="N163" i="1"/>
  <c r="M163" i="1"/>
  <c r="S162" i="1"/>
  <c r="O162" i="1"/>
  <c r="N162" i="1"/>
  <c r="M162" i="1"/>
  <c r="S161" i="1"/>
  <c r="O161" i="1"/>
  <c r="N161" i="1"/>
  <c r="M161" i="1"/>
  <c r="S160" i="1"/>
  <c r="O160" i="1"/>
  <c r="N160" i="1"/>
  <c r="M160" i="1"/>
  <c r="S159" i="1"/>
  <c r="O159" i="1"/>
  <c r="N159" i="1"/>
  <c r="M159" i="1"/>
  <c r="S158" i="1"/>
  <c r="O158" i="1"/>
  <c r="N158" i="1"/>
  <c r="M158" i="1"/>
  <c r="S156" i="1"/>
  <c r="O156" i="1"/>
  <c r="N156" i="1"/>
  <c r="M156" i="1"/>
  <c r="S155" i="1"/>
  <c r="O155" i="1"/>
  <c r="N155" i="1"/>
  <c r="M155" i="1"/>
  <c r="S154" i="1"/>
  <c r="O154" i="1"/>
  <c r="N154" i="1"/>
  <c r="M154" i="1"/>
  <c r="S153" i="1"/>
  <c r="O153" i="1"/>
  <c r="N153" i="1"/>
  <c r="M153" i="1"/>
  <c r="S150" i="1"/>
  <c r="O150" i="1"/>
  <c r="N150" i="1"/>
  <c r="M150" i="1"/>
  <c r="S148" i="1"/>
  <c r="O148" i="1"/>
  <c r="N148" i="1"/>
  <c r="M148" i="1"/>
  <c r="S147" i="1"/>
  <c r="O147" i="1"/>
  <c r="N147" i="1"/>
  <c r="M147" i="1"/>
  <c r="S146" i="1"/>
  <c r="O146" i="1"/>
  <c r="N146" i="1"/>
  <c r="M146" i="1"/>
  <c r="S145" i="1"/>
  <c r="O145" i="1"/>
  <c r="N145" i="1"/>
  <c r="M145" i="1"/>
  <c r="S144" i="1"/>
  <c r="O144" i="1"/>
  <c r="N144" i="1"/>
  <c r="M144" i="1"/>
  <c r="S142" i="1"/>
  <c r="O142" i="1"/>
  <c r="N142" i="1"/>
  <c r="M142" i="1"/>
  <c r="S141" i="1"/>
  <c r="O141" i="1"/>
  <c r="N141" i="1"/>
  <c r="M141" i="1"/>
  <c r="S139" i="1"/>
  <c r="O139" i="1"/>
  <c r="N139" i="1"/>
  <c r="M139" i="1"/>
  <c r="S138" i="1"/>
  <c r="O138" i="1"/>
  <c r="N138" i="1"/>
  <c r="M138" i="1"/>
  <c r="S137" i="1"/>
  <c r="O137" i="1"/>
  <c r="N137" i="1"/>
  <c r="M137" i="1"/>
  <c r="S136" i="1"/>
  <c r="O136" i="1"/>
  <c r="N136" i="1"/>
  <c r="M136" i="1"/>
  <c r="S135" i="1"/>
  <c r="O135" i="1"/>
  <c r="N135" i="1"/>
  <c r="M135" i="1"/>
  <c r="S134" i="1"/>
  <c r="O134" i="1"/>
  <c r="N134" i="1"/>
  <c r="M134" i="1"/>
  <c r="S133" i="1"/>
  <c r="O133" i="1"/>
  <c r="N133" i="1"/>
  <c r="M133" i="1"/>
  <c r="S132" i="1"/>
  <c r="O132" i="1"/>
  <c r="N132" i="1"/>
  <c r="M132" i="1"/>
  <c r="S131" i="1"/>
  <c r="O131" i="1"/>
  <c r="N131" i="1"/>
  <c r="M131" i="1"/>
  <c r="S130" i="1"/>
  <c r="O130" i="1"/>
  <c r="N130" i="1"/>
  <c r="M130" i="1"/>
  <c r="S128" i="1"/>
  <c r="O128" i="1"/>
  <c r="N128" i="1"/>
  <c r="M128" i="1"/>
  <c r="S127" i="1"/>
  <c r="O127" i="1"/>
  <c r="N127" i="1"/>
  <c r="M127" i="1"/>
  <c r="S126" i="1"/>
  <c r="O126" i="1"/>
  <c r="N126" i="1"/>
  <c r="M126" i="1"/>
  <c r="S125" i="1"/>
  <c r="O125" i="1"/>
  <c r="N125" i="1"/>
  <c r="M125" i="1"/>
  <c r="S124" i="1"/>
  <c r="O124" i="1"/>
  <c r="N124" i="1"/>
  <c r="M124" i="1"/>
  <c r="S122" i="1"/>
  <c r="O122" i="1"/>
  <c r="N122" i="1"/>
  <c r="M122" i="1"/>
  <c r="S121" i="1"/>
  <c r="O121" i="1"/>
  <c r="N121" i="1"/>
  <c r="M121" i="1"/>
  <c r="S120" i="1"/>
  <c r="O120" i="1"/>
  <c r="N120" i="1"/>
  <c r="M120" i="1"/>
  <c r="S119" i="1"/>
  <c r="O119" i="1"/>
  <c r="N119" i="1"/>
  <c r="M119" i="1"/>
  <c r="S118" i="1"/>
  <c r="O118" i="1"/>
  <c r="N118" i="1"/>
  <c r="M118" i="1"/>
  <c r="S117" i="1"/>
  <c r="O117" i="1"/>
  <c r="N117" i="1"/>
  <c r="M117" i="1"/>
  <c r="S116" i="1"/>
  <c r="O116" i="1"/>
  <c r="N116" i="1"/>
  <c r="M116" i="1"/>
  <c r="S113" i="1"/>
  <c r="N113" i="1"/>
  <c r="M113" i="1"/>
  <c r="S112" i="1"/>
  <c r="O112" i="1"/>
  <c r="N112" i="1"/>
  <c r="M112" i="1"/>
  <c r="S111" i="1"/>
  <c r="O111" i="1"/>
  <c r="N111" i="1"/>
  <c r="M111" i="1"/>
  <c r="S110" i="1"/>
  <c r="N110" i="1"/>
  <c r="M110" i="1"/>
  <c r="S109" i="1"/>
  <c r="O109" i="1"/>
  <c r="N109" i="1"/>
  <c r="M109" i="1"/>
  <c r="S108" i="1"/>
  <c r="N108" i="1"/>
  <c r="M108" i="1"/>
  <c r="S107" i="1"/>
  <c r="O107" i="1"/>
  <c r="N107" i="1"/>
  <c r="M107" i="1"/>
  <c r="S106" i="1"/>
  <c r="O106" i="1"/>
  <c r="N106" i="1"/>
  <c r="M106" i="1"/>
  <c r="S102" i="1"/>
  <c r="O102" i="1"/>
  <c r="N102" i="1"/>
  <c r="M102" i="1"/>
  <c r="S101" i="1"/>
  <c r="O101" i="1"/>
  <c r="N101" i="1"/>
  <c r="M101" i="1"/>
  <c r="S99" i="1"/>
  <c r="O99" i="1"/>
  <c r="N99" i="1"/>
  <c r="M99" i="1"/>
  <c r="S97" i="1"/>
  <c r="O97" i="1"/>
  <c r="N97" i="1"/>
  <c r="M97" i="1"/>
  <c r="S95" i="1"/>
  <c r="O95" i="1"/>
  <c r="N95" i="1"/>
  <c r="M95" i="1"/>
  <c r="S94" i="1"/>
  <c r="O94" i="1"/>
  <c r="N94" i="1"/>
  <c r="M94" i="1"/>
  <c r="S93" i="1"/>
  <c r="O93" i="1"/>
  <c r="N93" i="1"/>
  <c r="M93" i="1"/>
  <c r="S92" i="1"/>
  <c r="O92" i="1"/>
  <c r="N92" i="1"/>
  <c r="M92" i="1"/>
  <c r="S91" i="1"/>
  <c r="O91" i="1"/>
  <c r="N91" i="1"/>
  <c r="M91" i="1"/>
  <c r="S90" i="1"/>
  <c r="O90" i="1"/>
  <c r="N90" i="1"/>
  <c r="M90" i="1"/>
  <c r="S89" i="1"/>
  <c r="O89" i="1"/>
  <c r="N89" i="1"/>
  <c r="M89" i="1"/>
  <c r="S88" i="1"/>
  <c r="O88" i="1"/>
  <c r="N88" i="1"/>
  <c r="M88" i="1"/>
  <c r="S87" i="1"/>
  <c r="O87" i="1"/>
  <c r="N87" i="1"/>
  <c r="M87" i="1"/>
  <c r="S86" i="1"/>
  <c r="O86" i="1"/>
  <c r="N86" i="1"/>
  <c r="M86" i="1"/>
  <c r="S85" i="1"/>
  <c r="O85" i="1"/>
  <c r="N85" i="1"/>
  <c r="M85" i="1"/>
  <c r="S84" i="1"/>
  <c r="O84" i="1"/>
  <c r="N84" i="1"/>
  <c r="M84" i="1"/>
  <c r="S83" i="1"/>
  <c r="O83" i="1"/>
  <c r="N83" i="1"/>
  <c r="M83" i="1"/>
  <c r="S82" i="1"/>
  <c r="O82" i="1"/>
  <c r="N82" i="1"/>
  <c r="M82" i="1"/>
  <c r="S81" i="1"/>
  <c r="O81" i="1"/>
  <c r="N81" i="1"/>
  <c r="M81" i="1"/>
  <c r="S79" i="1"/>
  <c r="O79" i="1"/>
  <c r="N79" i="1"/>
  <c r="M79" i="1"/>
  <c r="S77" i="1"/>
  <c r="O77" i="1"/>
  <c r="N77" i="1"/>
  <c r="M77" i="1"/>
  <c r="S76" i="1"/>
  <c r="O76" i="1"/>
  <c r="N76" i="1"/>
  <c r="M76" i="1"/>
  <c r="S74" i="1"/>
  <c r="O74" i="1"/>
  <c r="N74" i="1"/>
  <c r="M74" i="1"/>
  <c r="S71" i="1"/>
  <c r="O71" i="1"/>
  <c r="N71" i="1"/>
  <c r="M71" i="1"/>
  <c r="S70" i="1"/>
  <c r="O70" i="1"/>
  <c r="N70" i="1"/>
  <c r="M70" i="1"/>
  <c r="S69" i="1"/>
  <c r="O69" i="1"/>
  <c r="N69" i="1"/>
  <c r="M69" i="1"/>
  <c r="S68" i="1"/>
  <c r="O68" i="1"/>
  <c r="N68" i="1"/>
  <c r="M68" i="1"/>
  <c r="S67" i="1"/>
  <c r="O67" i="1"/>
  <c r="N67" i="1"/>
  <c r="M67" i="1"/>
  <c r="S66" i="1"/>
  <c r="O66" i="1"/>
  <c r="N66" i="1"/>
  <c r="M66" i="1"/>
  <c r="S64" i="1"/>
  <c r="O64" i="1"/>
  <c r="N64" i="1"/>
  <c r="M64" i="1"/>
  <c r="S63" i="1"/>
  <c r="O63" i="1"/>
  <c r="N63" i="1"/>
  <c r="M63" i="1"/>
  <c r="S62" i="1"/>
  <c r="O62" i="1"/>
  <c r="N62" i="1"/>
  <c r="M62" i="1"/>
  <c r="S61" i="1"/>
  <c r="O61" i="1"/>
  <c r="N61" i="1"/>
  <c r="M61" i="1"/>
  <c r="S60" i="1"/>
  <c r="O60" i="1"/>
  <c r="N60" i="1"/>
  <c r="M60" i="1"/>
  <c r="S58" i="1"/>
  <c r="O58" i="1"/>
  <c r="N58" i="1"/>
  <c r="M58" i="1"/>
  <c r="S56" i="1"/>
  <c r="O56" i="1"/>
  <c r="N56" i="1"/>
  <c r="M56" i="1"/>
  <c r="S54" i="1"/>
  <c r="O54" i="1"/>
  <c r="N54" i="1"/>
  <c r="M54" i="1"/>
  <c r="S53" i="1"/>
  <c r="O53" i="1"/>
  <c r="N53" i="1"/>
  <c r="M53" i="1"/>
  <c r="S52" i="1"/>
  <c r="O52" i="1"/>
  <c r="N52" i="1"/>
  <c r="M52" i="1"/>
  <c r="S51" i="1"/>
  <c r="O51" i="1"/>
  <c r="N51" i="1"/>
  <c r="M51" i="1"/>
  <c r="S50" i="1"/>
  <c r="O50" i="1"/>
  <c r="N50" i="1"/>
  <c r="M50" i="1"/>
  <c r="S48" i="1"/>
  <c r="O48" i="1"/>
  <c r="N48" i="1"/>
  <c r="M48" i="1"/>
  <c r="S47" i="1"/>
  <c r="O47" i="1"/>
  <c r="N47" i="1"/>
  <c r="M47" i="1"/>
  <c r="S46" i="1"/>
  <c r="O46" i="1"/>
  <c r="N46" i="1"/>
  <c r="M46" i="1"/>
  <c r="S44" i="1"/>
  <c r="O44" i="1"/>
  <c r="N44" i="1"/>
  <c r="M44" i="1"/>
  <c r="S43" i="1"/>
  <c r="O43" i="1"/>
  <c r="N43" i="1"/>
  <c r="M43" i="1"/>
  <c r="S42" i="1"/>
  <c r="O42" i="1"/>
  <c r="N42" i="1"/>
  <c r="M42" i="1"/>
  <c r="S41" i="1"/>
  <c r="O41" i="1"/>
  <c r="N41" i="1"/>
  <c r="M41" i="1"/>
  <c r="S40" i="1"/>
  <c r="O40" i="1"/>
  <c r="N40" i="1"/>
  <c r="M40" i="1"/>
  <c r="S39" i="1"/>
  <c r="O39" i="1"/>
  <c r="N39" i="1"/>
  <c r="M39" i="1"/>
  <c r="S37" i="1"/>
  <c r="O37" i="1"/>
  <c r="N37" i="1"/>
  <c r="M37" i="1"/>
  <c r="S36" i="1"/>
  <c r="O36" i="1"/>
  <c r="N36" i="1"/>
  <c r="M36" i="1"/>
  <c r="S35" i="1"/>
  <c r="O35" i="1"/>
  <c r="N35" i="1"/>
  <c r="M35" i="1"/>
  <c r="S34" i="1"/>
  <c r="O34" i="1"/>
  <c r="N34" i="1"/>
  <c r="M34" i="1"/>
  <c r="S33" i="1"/>
  <c r="O33" i="1"/>
  <c r="N33" i="1"/>
  <c r="M33" i="1"/>
  <c r="S32" i="1"/>
  <c r="O32" i="1"/>
  <c r="N32" i="1"/>
  <c r="M32" i="1"/>
  <c r="S31" i="1"/>
  <c r="O31" i="1"/>
  <c r="N31" i="1"/>
  <c r="M31" i="1"/>
  <c r="S27" i="1"/>
  <c r="O27" i="1"/>
  <c r="N27" i="1"/>
  <c r="M27" i="1"/>
  <c r="S26" i="1"/>
  <c r="O26" i="1"/>
  <c r="N26" i="1"/>
  <c r="M26" i="1"/>
  <c r="S25" i="1"/>
  <c r="O25" i="1"/>
  <c r="N25" i="1"/>
  <c r="M25" i="1"/>
  <c r="S24" i="1"/>
  <c r="O24" i="1"/>
  <c r="N24" i="1"/>
  <c r="M24" i="1"/>
  <c r="S22" i="1"/>
  <c r="O22" i="1"/>
  <c r="N22" i="1"/>
  <c r="M22" i="1"/>
  <c r="S19" i="1"/>
  <c r="O19" i="1"/>
  <c r="N19" i="1"/>
  <c r="M19" i="1"/>
  <c r="S18" i="1"/>
  <c r="O18" i="1"/>
  <c r="N18" i="1"/>
  <c r="M18" i="1"/>
  <c r="S17" i="1"/>
  <c r="O17" i="1"/>
  <c r="N17" i="1"/>
  <c r="M17" i="1"/>
  <c r="S15" i="1"/>
  <c r="O15" i="1"/>
  <c r="N15" i="1"/>
  <c r="M15" i="1"/>
  <c r="S13" i="1"/>
  <c r="O13" i="1"/>
  <c r="N13" i="1"/>
  <c r="M13" i="1"/>
  <c r="S12" i="1"/>
  <c r="O12" i="1"/>
  <c r="N12" i="1"/>
  <c r="M12" i="1"/>
  <c r="S11" i="1"/>
  <c r="O11" i="1"/>
  <c r="N11" i="1"/>
  <c r="M11" i="1"/>
  <c r="S10" i="1"/>
  <c r="O10" i="1"/>
  <c r="N10" i="1"/>
  <c r="M10" i="1"/>
</calcChain>
</file>

<file path=xl/sharedStrings.xml><?xml version="1.0" encoding="utf-8"?>
<sst xmlns="http://schemas.openxmlformats.org/spreadsheetml/2006/main" count="22284" uniqueCount="17674">
  <si>
    <t>Прайс-лист</t>
  </si>
  <si>
    <t>26.10.2026</t>
  </si>
  <si>
    <t>ООО "МИЛЕНД"</t>
  </si>
  <si>
    <t>Номер</t>
  </si>
  <si>
    <t>Код</t>
  </si>
  <si>
    <t>Наименование</t>
  </si>
  <si>
    <t>Артикул</t>
  </si>
  <si>
    <t>Кол-во на складах</t>
  </si>
  <si>
    <t>Изображение</t>
  </si>
  <si>
    <t>Минимальный Заказ</t>
  </si>
  <si>
    <t>Цена</t>
  </si>
  <si>
    <t>ЗАКАЗ</t>
  </si>
  <si>
    <t>Сумма заказа</t>
  </si>
  <si>
    <t>Масса</t>
  </si>
  <si>
    <t>Объем</t>
  </si>
  <si>
    <t>Новинка</t>
  </si>
  <si>
    <t>Штрихкод</t>
  </si>
  <si>
    <t>Статус печати</t>
  </si>
  <si>
    <t>Картинка на сайте</t>
  </si>
  <si>
    <t>05. ГК Проф-Пресс ООО "Миленд"  ТОВАРЫ ДЛЯ ПРАЗДНИКА</t>
  </si>
  <si>
    <t>00 НОВЫЙ ГОД. СУВЕНИРЫ, УПАКОВКА, ПОСУДА 2027</t>
  </si>
  <si>
    <t>01 СИМВОЛ ГОДА 2027</t>
  </si>
  <si>
    <t>Брелоки  со стразами</t>
  </si>
  <si>
    <t>274996</t>
  </si>
  <si>
    <t>Брелок со стразами. "Барашек ", 6.7х5.8см Т-3476</t>
  </si>
  <si>
    <t>Т-3476</t>
  </si>
  <si>
    <t>НОВИНКА</t>
  </si>
  <si>
    <t>4680942634769</t>
  </si>
  <si>
    <t>274997</t>
  </si>
  <si>
    <t>Брелок со стразами. "Гламурный барашек ", 5.8х4.8см Т-3477</t>
  </si>
  <si>
    <t>Т-3477</t>
  </si>
  <si>
    <t>4680942634776</t>
  </si>
  <si>
    <t>274998</t>
  </si>
  <si>
    <t>Брелок со стразами. "Горный козел ", 4.5х4.5см Т-3478</t>
  </si>
  <si>
    <t>Т-3478</t>
  </si>
  <si>
    <t>4680942634783</t>
  </si>
  <si>
    <t>274994</t>
  </si>
  <si>
    <t>Брелок со стразами. "Огненный баран", 4.5х5см Т-3475</t>
  </si>
  <si>
    <t>Т-3475</t>
  </si>
  <si>
    <t>4680942634752</t>
  </si>
  <si>
    <t>Брелоки из полирезины</t>
  </si>
  <si>
    <t>272638</t>
  </si>
  <si>
    <t>Брелок из полирезины  "Символ 2027-Овца"  4х4,5 см 12 шт в ш/б (4 диз.по 3 шт.) (собс.разр) Т-2148</t>
  </si>
  <si>
    <t>Т-2148</t>
  </si>
  <si>
    <t>МНОГО</t>
  </si>
  <si>
    <t>4680942621196</t>
  </si>
  <si>
    <t>Календари</t>
  </si>
  <si>
    <t>272004</t>
  </si>
  <si>
    <t>Календарь карманный 65х95 мм "Новогодние Козочки/Барашки " кр.20 шт "Собственная разработка" КК-1782</t>
  </si>
  <si>
    <t>КК-1782</t>
  </si>
  <si>
    <t>4680942617823</t>
  </si>
  <si>
    <t>271895</t>
  </si>
  <si>
    <t>Календарь-трансформер Символ Года 2027 "Времена года" (собс.разр) КУБ-7986</t>
  </si>
  <si>
    <t>КУБ-7986</t>
  </si>
  <si>
    <t>4640520779862</t>
  </si>
  <si>
    <t>271894</t>
  </si>
  <si>
    <t>Календарь-трансформер Символ Года 2027 "Гороскопы" (собс.разр) КУБ-7985</t>
  </si>
  <si>
    <t>КУБ-7985</t>
  </si>
  <si>
    <t>4640520779855</t>
  </si>
  <si>
    <t>Магниты</t>
  </si>
  <si>
    <t>Виниловые магниты</t>
  </si>
  <si>
    <t>267320</t>
  </si>
  <si>
    <t>Виниловый магнит 65,5х77 мм "Новогодние козочки/ барашки " (соб.раз) кр.10 шт, НУ-7768</t>
  </si>
  <si>
    <t>НУ-7768</t>
  </si>
  <si>
    <t>4640520776755</t>
  </si>
  <si>
    <t>Полирезиновые</t>
  </si>
  <si>
    <t>272668</t>
  </si>
  <si>
    <t>Магниты из полирезины Символ года с пожеланиями, 7см, 12шт в кор (4 диз. по 3 шт.)соб.раз ННУ-2115</t>
  </si>
  <si>
    <t>ННУ-2115</t>
  </si>
  <si>
    <t>4680942621158</t>
  </si>
  <si>
    <t>272675</t>
  </si>
  <si>
    <t>Магниты из полирезины Символ года, 7 см, 12 шт в кор (4 диз. по 3 шт.)соб.раз ННУ-2117</t>
  </si>
  <si>
    <t>ННУ-2117</t>
  </si>
  <si>
    <t>4680942621172</t>
  </si>
  <si>
    <t>272655</t>
  </si>
  <si>
    <t>Магниты из полирезины Символ достатка, 7 см, 12 шт в кор (4 диз. по 3 шт.) соб.раз ННУ-2113</t>
  </si>
  <si>
    <t>ННУ-2113</t>
  </si>
  <si>
    <t>4680942621134</t>
  </si>
  <si>
    <t>272662</t>
  </si>
  <si>
    <t>Магниты из полирезины Символ удачи, 7 см, 12 шт в кор (4 диз. по 3 шт.) соб.раз ННУ-2114</t>
  </si>
  <si>
    <t>ННУ-2114</t>
  </si>
  <si>
    <t>4680942621141</t>
  </si>
  <si>
    <t>Новогодний декор</t>
  </si>
  <si>
    <t>Декоративные фигуры</t>
  </si>
  <si>
    <t>Немузыкальные</t>
  </si>
  <si>
    <t>269110</t>
  </si>
  <si>
    <t>Новогодняя фигура "Барашек в пиджаке", 36 см, НФ-0116</t>
  </si>
  <si>
    <t>НФ-0116</t>
  </si>
  <si>
    <t>4680942601167</t>
  </si>
  <si>
    <t>269076</t>
  </si>
  <si>
    <t>Новогодняя фигура "Добрая овечка", 36 см, НФ-0098</t>
  </si>
  <si>
    <t>НФ-0098</t>
  </si>
  <si>
    <t>4680942600986</t>
  </si>
  <si>
    <t>269111</t>
  </si>
  <si>
    <t>Новогодняя фигура "Овечка в пиджаке", 36 см, НФ-0117</t>
  </si>
  <si>
    <t>НФ-0117</t>
  </si>
  <si>
    <t>4680942601174</t>
  </si>
  <si>
    <t>269072</t>
  </si>
  <si>
    <t>Новогодняя фигура "Овечка в шпагате", 20 см, НФ-0096</t>
  </si>
  <si>
    <t>НФ-0096</t>
  </si>
  <si>
    <t>4680942600962</t>
  </si>
  <si>
    <t>269109</t>
  </si>
  <si>
    <t>Новогодняя фигура "Стильная овечка", 33 см, НФ-0115</t>
  </si>
  <si>
    <t>НФ-0115</t>
  </si>
  <si>
    <t>4680942601150</t>
  </si>
  <si>
    <t>269108</t>
  </si>
  <si>
    <t>Новогодняя фигура "Стильный барашек", 33 см, НФ-0114</t>
  </si>
  <si>
    <t>НФ-0114</t>
  </si>
  <si>
    <t>4680942601143</t>
  </si>
  <si>
    <t>269079</t>
  </si>
  <si>
    <t>Новогодняя фигура "Счастливая овечка", 30 см, НФ-0099</t>
  </si>
  <si>
    <t>НФ-0099</t>
  </si>
  <si>
    <t>4680942600993</t>
  </si>
  <si>
    <t>Статуэтки из полирезины</t>
  </si>
  <si>
    <t>272630</t>
  </si>
  <si>
    <t>Статуэтка — фигурка из полирезины новогодняя Баран с монетами, 8 см, соб.раз Т-2143</t>
  </si>
  <si>
    <t>Т-2143</t>
  </si>
  <si>
    <t>4680942621295</t>
  </si>
  <si>
    <t>272629</t>
  </si>
  <si>
    <t>Статуэтка — фигурка из полирезины новогодняя Баран с подковой, 7,5 см, соб.раз Т-2142</t>
  </si>
  <si>
    <t>Т-2142</t>
  </si>
  <si>
    <t>4680942621288</t>
  </si>
  <si>
    <t>272627</t>
  </si>
  <si>
    <t>Статуэтка — фигурка из полирезины новогодняя Козёл с мешком, 6 см, соб.раз Т-2141</t>
  </si>
  <si>
    <t>Т-2141</t>
  </si>
  <si>
    <t>4680942621271</t>
  </si>
  <si>
    <t>272623</t>
  </si>
  <si>
    <t>Статуэтка — фигурка из полирезины новогодняя Козёл с сундуком, 7 см, соб.разТ-2140</t>
  </si>
  <si>
    <t>Т-2140</t>
  </si>
  <si>
    <t>4680942621264</t>
  </si>
  <si>
    <t>272633</t>
  </si>
  <si>
    <t>Статуэтка — фигурка из полирезины новогодняя Овечка в сундуке, 6 см, соб.раз Т-2146</t>
  </si>
  <si>
    <t>Т-2146</t>
  </si>
  <si>
    <t>4680942621325</t>
  </si>
  <si>
    <t>272631</t>
  </si>
  <si>
    <t>Статуэтка — фигурка из полирезины новогодняя Овечка с подарками, 7 см, соб.раз Т-2144</t>
  </si>
  <si>
    <t>Т-2144</t>
  </si>
  <si>
    <t>4680942621301</t>
  </si>
  <si>
    <t>Интерьерные наклейки</t>
  </si>
  <si>
    <t>271488</t>
  </si>
  <si>
    <t>Новогоднее оконное украшение с раскраской "Козлик с ёлочкой", 30*40см, соб/разраб. НУ-6382</t>
  </si>
  <si>
    <t>НУ-6382</t>
  </si>
  <si>
    <t>4680942615799</t>
  </si>
  <si>
    <t>271485</t>
  </si>
  <si>
    <t>Новогоднее оконное украшение с раскраской "Козлик с подарками", 30*40см, соб/разраб. НУ-6380</t>
  </si>
  <si>
    <t>НУ-6380</t>
  </si>
  <si>
    <t>4680942615775</t>
  </si>
  <si>
    <t>271487</t>
  </si>
  <si>
    <t>Новогоднее оконное украшение с раскраской "Овечка снегурочка", 30*40см, соб/разраб. НУ-6381</t>
  </si>
  <si>
    <t>НУ-6381</t>
  </si>
  <si>
    <t>4680942615782</t>
  </si>
  <si>
    <t>Интерьерные наклейки светящиеся</t>
  </si>
  <si>
    <t>271481</t>
  </si>
  <si>
    <t>Наклейки оформит.,светящ. в темноте, с раскраской из ПВХ "Волшебный козел" соб.раз 21*30см НУ-6377</t>
  </si>
  <si>
    <t>НУ-6377</t>
  </si>
  <si>
    <t>4680942615744</t>
  </si>
  <si>
    <t>271478</t>
  </si>
  <si>
    <t>Наклейки оформит.,светящ. в темноте, с раскраской из ПВХ "Новогодний козлик" соб.раз 15*21см НУ-6375</t>
  </si>
  <si>
    <t>НУ-6375</t>
  </si>
  <si>
    <t>4680942615720</t>
  </si>
  <si>
    <t>271479</t>
  </si>
  <si>
    <t>Наклейки оформит.,светящ. в темноте, с раскраской из ПВХ "Новогодняя козочка"соб.раз 15*21см НУ-6376</t>
  </si>
  <si>
    <t>НУ-6376</t>
  </si>
  <si>
    <t>4680942615737</t>
  </si>
  <si>
    <t>271482</t>
  </si>
  <si>
    <t>Наклейки оформит.,светящ. в темноте, с раскраской из ПВХ "Сказочный козлик" соб.раз 21*30см НУ-6378</t>
  </si>
  <si>
    <t>НУ-6378</t>
  </si>
  <si>
    <t>4680942615751</t>
  </si>
  <si>
    <t>271483</t>
  </si>
  <si>
    <t>Наклейки оформит.,светящ. в темноте,с раскраской из ПВХ "Новогодний козленок"соб.раз 30*42см НУ-6379</t>
  </si>
  <si>
    <t>НУ-6379</t>
  </si>
  <si>
    <t>4680942615768</t>
  </si>
  <si>
    <t>Копилки</t>
  </si>
  <si>
    <t>266919</t>
  </si>
  <si>
    <t>Копилка "Милая овечка" 15*9см КС-7546</t>
  </si>
  <si>
    <t>КС-7546</t>
  </si>
  <si>
    <t>4640520775468</t>
  </si>
  <si>
    <t>Светильники</t>
  </si>
  <si>
    <t>266876</t>
  </si>
  <si>
    <t>Светильник декоративный "Милая овечка", белый, пластик на батарейках 3*LR44, 9х9 см СВП-0203</t>
  </si>
  <si>
    <t>СВП-0203</t>
  </si>
  <si>
    <t>4640520775024</t>
  </si>
  <si>
    <t>Силиконовые наклейки "Собственная разработка"</t>
  </si>
  <si>
    <t>271550</t>
  </si>
  <si>
    <t>Силиконовая новогодняя наклейка "Барашек с подарками" собств.разраб, 25*25 см НУ-6153</t>
  </si>
  <si>
    <t>НУ-6153</t>
  </si>
  <si>
    <t>4680942615201</t>
  </si>
  <si>
    <t>271551</t>
  </si>
  <si>
    <t>Силиконовая новогодняя наклейка "Барашек с подарками" собств.разраб, 25*25 см НУ-6154</t>
  </si>
  <si>
    <t>НУ-6154</t>
  </si>
  <si>
    <t>4680942615218</t>
  </si>
  <si>
    <t>271552</t>
  </si>
  <si>
    <t>Силиконовая новогодняя наклейка "Барашек с подарками" собств.разраб, 25*25 см НУ-6155</t>
  </si>
  <si>
    <t>НУ-6155</t>
  </si>
  <si>
    <t>4680942615225</t>
  </si>
  <si>
    <t>271553</t>
  </si>
  <si>
    <t>Силиконовая новогодняя наклейка "Барашек с подарками" собств.разраб, 25*25 см НУ-6156</t>
  </si>
  <si>
    <t>НУ-6156</t>
  </si>
  <si>
    <t>4680942615232</t>
  </si>
  <si>
    <t>271548</t>
  </si>
  <si>
    <t>Силиконовая новогодняя наклейка "Козленок с шариком" собств.разраб, 20*20 см НУ-6151</t>
  </si>
  <si>
    <t>НУ-6151</t>
  </si>
  <si>
    <t>4680942615188</t>
  </si>
  <si>
    <t>Снежные шары</t>
  </si>
  <si>
    <t>272704</t>
  </si>
  <si>
    <t>Новогодний сувенир Снежный шар Барашек с ёлочкой, 4,5 см, соб.раз НСШ-2104</t>
  </si>
  <si>
    <t>НСШ-2104</t>
  </si>
  <si>
    <t>4680942621042</t>
  </si>
  <si>
    <t>272702</t>
  </si>
  <si>
    <t>Новогодний сувенир Снежный шар Барашек с подарком, 4,5 см, соб.раз НСШ-2103</t>
  </si>
  <si>
    <t>НСШ-2103</t>
  </si>
  <si>
    <t>4680942621035</t>
  </si>
  <si>
    <t>272698</t>
  </si>
  <si>
    <t>Новогодний сувенир Снежный шар Козлик с монетами, 6,5 см, соб.раз НСШ-2100</t>
  </si>
  <si>
    <t>НСШ-2100</t>
  </si>
  <si>
    <t>4680942621004</t>
  </si>
  <si>
    <t>272701</t>
  </si>
  <si>
    <t>Новогодний сувенир Снежный шар Новогодний барашек, 4,5 см, соб.раз НСШ-2102</t>
  </si>
  <si>
    <t>НСШ-2102</t>
  </si>
  <si>
    <t>4680942621028</t>
  </si>
  <si>
    <t>272697</t>
  </si>
  <si>
    <t>Новогодний сувенир Снежный шар Овечка с ёлкой, 6,5 см, соб.раз НСШ-2099</t>
  </si>
  <si>
    <t>НСШ-2099</t>
  </si>
  <si>
    <t>4680942620991</t>
  </si>
  <si>
    <t>272696</t>
  </si>
  <si>
    <t>Новогодний сувенир Снежный шар Символ года, 6,5 см, соб.раз НСШ-2098</t>
  </si>
  <si>
    <t>НСШ-2098</t>
  </si>
  <si>
    <t>4680942620984</t>
  </si>
  <si>
    <t>Товары с предсказаниями</t>
  </si>
  <si>
    <t>Капсулы с предсказаниями, фантами, пожеланиями</t>
  </si>
  <si>
    <t>270433</t>
  </si>
  <si>
    <t>Новогодние витамины СИМВОЛ года КОЗА в капсулах (3 в 1) соб.раз НЖ-0716</t>
  </si>
  <si>
    <t>НЖ-0716</t>
  </si>
  <si>
    <t>4680942607169</t>
  </si>
  <si>
    <t>Коробочки с предсказаниями</t>
  </si>
  <si>
    <t>270130</t>
  </si>
  <si>
    <t>Коробочка с предсказ."Предсказания от Барашка, которые ты заслужил""Собств. раз." (20 свит) КП-0724</t>
  </si>
  <si>
    <t>КП-0724</t>
  </si>
  <si>
    <t>4680942607244</t>
  </si>
  <si>
    <t>270129</t>
  </si>
  <si>
    <t>Коробочка с предсказаниями "Предсказания от Барашка" "Собств. раз." (20 свитков) КП-0723</t>
  </si>
  <si>
    <t>КП-0723</t>
  </si>
  <si>
    <t>4680942607237</t>
  </si>
  <si>
    <t>Пазлы с предсказаниями</t>
  </si>
  <si>
    <t>270430</t>
  </si>
  <si>
    <t>Новогодний пазл с предсказаниями 24 элемента "Символ 2027 - Коза"(10 шт в шоубоксе) ИН-0713</t>
  </si>
  <si>
    <t>ИН-0713</t>
  </si>
  <si>
    <t>4680942607138</t>
  </si>
  <si>
    <t>Подвески с предсказанием под скретч слоем</t>
  </si>
  <si>
    <t>267203</t>
  </si>
  <si>
    <t>Подвеска с предсказ. под скретч слоем(100х80мм) "Козочки и овечки",соб.разр,18 шт в ш/б, НУ-7690</t>
  </si>
  <si>
    <t>НУ-7690</t>
  </si>
  <si>
    <t>267208</t>
  </si>
  <si>
    <t>Подвеска с предсказанием под скретч слоем Девочка с овечкой, 100х80мм, собст.разр., НУ-7695</t>
  </si>
  <si>
    <t>НУ-7695</t>
  </si>
  <si>
    <t>4640520776427</t>
  </si>
  <si>
    <t>267209</t>
  </si>
  <si>
    <t>Подвеска с предсказанием под скретч слоем Козочка с венком, 100х80мм, собст.разр., НУ-7696</t>
  </si>
  <si>
    <t>НУ-7696</t>
  </si>
  <si>
    <t>4640520776434</t>
  </si>
  <si>
    <t>267206</t>
  </si>
  <si>
    <t>Подвеска с предсказанием под скретч слоем Козочка с подарком, 100х80мм, собст.разр., НУ-7693</t>
  </si>
  <si>
    <t>НУ-7693</t>
  </si>
  <si>
    <t>4640520776403</t>
  </si>
  <si>
    <t>267210</t>
  </si>
  <si>
    <t>Подвеска с предсказанием под скретч слоем Овечка в костюме, 100х80мм, собст.разр., НУ-7697</t>
  </si>
  <si>
    <t>НУ-7697</t>
  </si>
  <si>
    <t>4640520776441</t>
  </si>
  <si>
    <t>267205</t>
  </si>
  <si>
    <t>Подвеска с предсказанием под скретч слоем Овечка в шапке, 100х80мм, собст.разр., НУ-7692</t>
  </si>
  <si>
    <t>НУ-7692</t>
  </si>
  <si>
    <t>4640520776397</t>
  </si>
  <si>
    <t>267213</t>
  </si>
  <si>
    <t>Подвеска с предсказанием под скретч слоем Овечка и снежок, 100х80мм, собст.разр., НУ-7700</t>
  </si>
  <si>
    <t>НУ-7700</t>
  </si>
  <si>
    <t>4640520776472</t>
  </si>
  <si>
    <t>267221</t>
  </si>
  <si>
    <t>Подвеска с предсказанием под скретч слоем Овечка на льду, 100х80мм, собст.разр., НУ-7767</t>
  </si>
  <si>
    <t>НУ-7767</t>
  </si>
  <si>
    <t>4640520776557</t>
  </si>
  <si>
    <t>267219</t>
  </si>
  <si>
    <t>Подвеска с предсказанием под скретч слоем Овечка с бантиком, 100х80мм, собст.разр., НУ-7765</t>
  </si>
  <si>
    <t>НУ-7765</t>
  </si>
  <si>
    <t>4640520776533</t>
  </si>
  <si>
    <t>267212</t>
  </si>
  <si>
    <t>Подвеска с предсказанием под скретч слоем Овечка с гитарой, 100х80мм, собст.разр., НУ-7699</t>
  </si>
  <si>
    <t>НУ-7699</t>
  </si>
  <si>
    <t>4640520776465</t>
  </si>
  <si>
    <t>267218</t>
  </si>
  <si>
    <t>Подвеска с предсказанием под скретч слоем Овечка с елкой, 100х80мм, собст.разр., НУ-7764</t>
  </si>
  <si>
    <t>НУ-7764</t>
  </si>
  <si>
    <t>4640520776526</t>
  </si>
  <si>
    <t>267214</t>
  </si>
  <si>
    <t>Подвеска с предсказанием под скретч слоем Овечка с подарками, 100х80мм, собст.разр., НУ-7701</t>
  </si>
  <si>
    <t>НУ-7701</t>
  </si>
  <si>
    <t>4640520776489</t>
  </si>
  <si>
    <t>267216</t>
  </si>
  <si>
    <t>Подвеска с предсказанием под скретч слоем Овечка с фонарем, 100х80мм, собст.разр., НУ-7703</t>
  </si>
  <si>
    <t>НУ-7703</t>
  </si>
  <si>
    <t>4640520776502</t>
  </si>
  <si>
    <t>267211</t>
  </si>
  <si>
    <t>Подвеска с предсказанием под скретч слоем Овечка у елки, 100х80мм, собст.разр., НУ-7698</t>
  </si>
  <si>
    <t>НУ-7698</t>
  </si>
  <si>
    <t>4640520776458</t>
  </si>
  <si>
    <t>267217</t>
  </si>
  <si>
    <t>Подвеска с предсказанием под скретч слоем Овечки и снеговик, 100х80мм, собст.разр., НУ-7704</t>
  </si>
  <si>
    <t>НУ-7704</t>
  </si>
  <si>
    <t>4640520776519</t>
  </si>
  <si>
    <t>Свитки в мешочках с предсказаниями</t>
  </si>
  <si>
    <t>272983</t>
  </si>
  <si>
    <t>Свитки в мешочках для всей семьи СИМВОЛ 2027/ Предсказания (мешок 24х18см,20 свитков) НЖ-2481</t>
  </si>
  <si>
    <t>НЖ-2481</t>
  </si>
  <si>
    <t>4680942624814</t>
  </si>
  <si>
    <t>Хлопушки 15 см</t>
  </si>
  <si>
    <t>274264</t>
  </si>
  <si>
    <t>Хлопушка. Символ года."Новогодняя сказка" с предск, фол.серп.пруж. 4 диз.в ш/б (соб.раз) 15см Х-2741</t>
  </si>
  <si>
    <t>Х-2741</t>
  </si>
  <si>
    <t>4680942627495</t>
  </si>
  <si>
    <t>Хлопушки 20 см</t>
  </si>
  <si>
    <t>274257</t>
  </si>
  <si>
    <t>Хлопушка.Символ года. "Восточный козёл" с предсказ., фол.конф.пружин. 4 диз. ш/б(соб.раз)20см Х-2740</t>
  </si>
  <si>
    <t>Х-2740</t>
  </si>
  <si>
    <t>4680942627488</t>
  </si>
  <si>
    <t>274265</t>
  </si>
  <si>
    <t>Хлопушка.Символ года."Сказочные овечки" с сюрпиз. фол.серп.пружин., 4 диз.в ш/б(соб.раз)20см Х-2742</t>
  </si>
  <si>
    <t>Х-2742</t>
  </si>
  <si>
    <t>4680942627501</t>
  </si>
  <si>
    <t>Украшения на елку</t>
  </si>
  <si>
    <t>Подвески</t>
  </si>
  <si>
    <t>Подвески из акрила</t>
  </si>
  <si>
    <t>273957</t>
  </si>
  <si>
    <t>Набор подвесных украшений из акрила "Символ года 2027", золотистые, собс.раз. 110 мм НУП-2691</t>
  </si>
  <si>
    <t>НУП-2691</t>
  </si>
  <si>
    <t>4680942626917</t>
  </si>
  <si>
    <t>273958</t>
  </si>
  <si>
    <t>Набор подвесных украшений из акрила "Символ года 2027", серебристые, собс.раз. 110 мм НУП-2692</t>
  </si>
  <si>
    <t>НУП-2692</t>
  </si>
  <si>
    <t>4680942626924</t>
  </si>
  <si>
    <t>273949</t>
  </si>
  <si>
    <t>Новогоднее подвесное украшение из акрила "Барашек", золотистый, собс.раз. 110 мм НУП-2685</t>
  </si>
  <si>
    <t>НУП-2685</t>
  </si>
  <si>
    <t>4680942626856</t>
  </si>
  <si>
    <t>273956</t>
  </si>
  <si>
    <t>Новогоднее подвесное украшение из акрила "Зимний козлик", серебритстый, собс.раз. 110 мм НУП-2690</t>
  </si>
  <si>
    <t>НУП-2690</t>
  </si>
  <si>
    <t>4680942626900</t>
  </si>
  <si>
    <t>273950</t>
  </si>
  <si>
    <t>Новогоднее подвесное украшение из акрила "Козлёнок", золотистый, собс.раз. 110 мм НУП-2686</t>
  </si>
  <si>
    <t>НУП-2686</t>
  </si>
  <si>
    <t>4680942626863</t>
  </si>
  <si>
    <t>273954</t>
  </si>
  <si>
    <t>Новогоднее подвесное украшение из акрила "Милая овечка", серебристый, собс.раз. 110 мм НУП-2688</t>
  </si>
  <si>
    <t>НУП-2688</t>
  </si>
  <si>
    <t>4680942626887</t>
  </si>
  <si>
    <t>273955</t>
  </si>
  <si>
    <t>Новогоднее подвесное украшение из акрила "Милый козлёнок", серебритстый, собс.раз. 110 мм НУП-2689</t>
  </si>
  <si>
    <t>НУП-2689</t>
  </si>
  <si>
    <t>4680942626894</t>
  </si>
  <si>
    <t>273953</t>
  </si>
  <si>
    <t>Новогоднее подвесное украшение из акрила "Сказочный козёл", золотистый, собс.раз. 110 мм НУП-2687</t>
  </si>
  <si>
    <t>НУП-2687</t>
  </si>
  <si>
    <t>4680942626870</t>
  </si>
  <si>
    <t>Подвески из дерева</t>
  </si>
  <si>
    <t>Двухслойные</t>
  </si>
  <si>
    <t>272482</t>
  </si>
  <si>
    <t>Набор двухслойн. подвесок из дерева "Счастливый символ года" соб.разр. 6шт НУ-2052</t>
  </si>
  <si>
    <t>НУ-2052</t>
  </si>
  <si>
    <t>4680942619810</t>
  </si>
  <si>
    <t>272508</t>
  </si>
  <si>
    <t>Новогодняя ёлочная подвеска из дерева двухслойн "Баран Богатства" 9 см(собс.разр.) НУ-2064</t>
  </si>
  <si>
    <t>НУ-2064</t>
  </si>
  <si>
    <t>4680942619933</t>
  </si>
  <si>
    <t>272526</t>
  </si>
  <si>
    <t>Новогодняя ёлочная подвеска из дерева двухслойн "Баран Достатка" 9 см(собс.разр.) НУ-2068</t>
  </si>
  <si>
    <t>НУ-2068</t>
  </si>
  <si>
    <t>4680942619971</t>
  </si>
  <si>
    <t>272509</t>
  </si>
  <si>
    <t>Новогодняя ёлочная подвеска из дерева двухслойн "Баран Удачи" 9 см(собс.разр.) НУ-2065</t>
  </si>
  <si>
    <t>НУ-2065</t>
  </si>
  <si>
    <t>4680942619940</t>
  </si>
  <si>
    <t>272515</t>
  </si>
  <si>
    <t>Новогодняя ёлочная подвеска из дерева двухслойн "Баран Успехов" 9 см(собс.разр.) НУ-2067</t>
  </si>
  <si>
    <t>НУ-2067</t>
  </si>
  <si>
    <t>4680942619964</t>
  </si>
  <si>
    <t>272510</t>
  </si>
  <si>
    <t>Новогодняя ёлочная подвеска из дерева двухслойн "Козочка Любви" 9 см(собс.разр.) НУ-2066</t>
  </si>
  <si>
    <t>НУ-2066</t>
  </si>
  <si>
    <t>4680942619957</t>
  </si>
  <si>
    <t>272507</t>
  </si>
  <si>
    <t>Новогодняя ёлочная подвеска из дерева двухслойн "Овца Удачи" 9 см(собс.разр.) НУ-2063</t>
  </si>
  <si>
    <t>НУ-2063</t>
  </si>
  <si>
    <t>4680942619926</t>
  </si>
  <si>
    <t>Двухсторонние</t>
  </si>
  <si>
    <t>275617</t>
  </si>
  <si>
    <t>Новогодняя ёлочная подвеска "Козочка с ёлочкой" 9см.Модель из дерева. 2-х стор.(соб.раз.) 127170</t>
  </si>
  <si>
    <t>127170</t>
  </si>
  <si>
    <t>4680788242364</t>
  </si>
  <si>
    <t>275614</t>
  </si>
  <si>
    <t>Новогодняя ёлочная подвеска "Козочка с шариком" 9см.Модель из дерева. 2-х стор. (соб.раз.) 127167</t>
  </si>
  <si>
    <t>127167</t>
  </si>
  <si>
    <t>4680788242333</t>
  </si>
  <si>
    <t>275615</t>
  </si>
  <si>
    <t>Новогодняя ёлочная подвеска "Овечка и снежинка" 9см.Модель из дерева. 2-х стор. (соб.раз.) 127168</t>
  </si>
  <si>
    <t>127168</t>
  </si>
  <si>
    <t>4680788242340</t>
  </si>
  <si>
    <t>275616</t>
  </si>
  <si>
    <t>Новогодняя ёлочная подвеска "Овечка с подарками" 9см.Модель из дерева. 2-х стор.(соб.раз.) 127169</t>
  </si>
  <si>
    <t>127169</t>
  </si>
  <si>
    <t>4680788242357</t>
  </si>
  <si>
    <t>275610</t>
  </si>
  <si>
    <t>Новогодняя ёлочная подвеска"Баран с мандаринами" 10см.Модель из дерева. 2-х стор. (соб.раз.) 127163</t>
  </si>
  <si>
    <t>127163</t>
  </si>
  <si>
    <t>4680788242289</t>
  </si>
  <si>
    <t>С мехом</t>
  </si>
  <si>
    <t>272466</t>
  </si>
  <si>
    <t>Елочная подвеска однослойная из дерева с мехом Добрый барашек  соб.разр. НУ-2040</t>
  </si>
  <si>
    <t>НУ-2040</t>
  </si>
  <si>
    <t>4680942619698</t>
  </si>
  <si>
    <t>272468</t>
  </si>
  <si>
    <t>Елочная подвеска однослойная из дерева с мехом Дружелюбный барашек, соб.раз НУ-2042</t>
  </si>
  <si>
    <t>НУ-2042</t>
  </si>
  <si>
    <t>4680942619711</t>
  </si>
  <si>
    <t>272473</t>
  </si>
  <si>
    <t>Елочная подвеска однослойная из дерева с мехом Милая овечка  соб.разр. НУ-2046</t>
  </si>
  <si>
    <t>НУ-2046</t>
  </si>
  <si>
    <t>4680942619759</t>
  </si>
  <si>
    <t>272465</t>
  </si>
  <si>
    <t>Елочная подвеска однослойная из дерева с мехом Милый барашек  соб.разр. НУ-2039</t>
  </si>
  <si>
    <t>НУ-2039</t>
  </si>
  <si>
    <t>4680942619681</t>
  </si>
  <si>
    <t>272471</t>
  </si>
  <si>
    <t>Елочная подвеска однослойная из дерева с мехом Нежный барашек, соб.раз НУ-2044</t>
  </si>
  <si>
    <t>НУ-2044</t>
  </si>
  <si>
    <t>4680942619735</t>
  </si>
  <si>
    <t>272467</t>
  </si>
  <si>
    <t>Елочная подвеска однослойная из дерева с мехом Обаятельный барашек  соб.разр. НУ-2041</t>
  </si>
  <si>
    <t>НУ-2041</t>
  </si>
  <si>
    <t>4680942619704</t>
  </si>
  <si>
    <t>272472</t>
  </si>
  <si>
    <t>Елочная подвеска однослойная из дерева с мехом Пушистый барашек  соб.разр. НУ-2045</t>
  </si>
  <si>
    <t>НУ-2045</t>
  </si>
  <si>
    <t>4680942619742</t>
  </si>
  <si>
    <t>272469</t>
  </si>
  <si>
    <t>Елочная подвеска однослойная из дерева с мехом Славный барашек  соб.разр. НУ-2043</t>
  </si>
  <si>
    <t>НУ-2043</t>
  </si>
  <si>
    <t>4680942619728</t>
  </si>
  <si>
    <t>272477</t>
  </si>
  <si>
    <t>Набор ёлочн. подвесок однослойн. из дерева с мехом Волшебные овечки  соб.разр. 2шт НУ-2050</t>
  </si>
  <si>
    <t>НУ-2050</t>
  </si>
  <si>
    <t>4680942619797</t>
  </si>
  <si>
    <t>272476</t>
  </si>
  <si>
    <t>Набор ёлочн. подвесок однослойн. из дерева с мехом Добрые овечки  соб.разр. 2шт НУ-2049</t>
  </si>
  <si>
    <t>НУ-2049</t>
  </si>
  <si>
    <t>4680942619780</t>
  </si>
  <si>
    <t>Подвески из пластика</t>
  </si>
  <si>
    <t>275065</t>
  </si>
  <si>
    <t>Новогоднее подвесное украшение из пластика "Барашек со звездочкой" 6,9*5,7*10 см НУП-3331</t>
  </si>
  <si>
    <t>НУП-3331</t>
  </si>
  <si>
    <t>4680942633311</t>
  </si>
  <si>
    <t>268665</t>
  </si>
  <si>
    <t>Новогоднее подвесное украшение из пластика "Снежный бараш" 9,5*6,6*7,3 см НУ-7948</t>
  </si>
  <si>
    <t>НУ-7948</t>
  </si>
  <si>
    <t>4640520779480</t>
  </si>
  <si>
    <t>Подвески из полирезины</t>
  </si>
  <si>
    <t>272612</t>
  </si>
  <si>
    <t>Новогоднее украшение Полирезиновая подвеска Барашек с венком, 6,5 см, соб.раз НУП-2061</t>
  </si>
  <si>
    <t>НУП-2061</t>
  </si>
  <si>
    <t>4680942620618</t>
  </si>
  <si>
    <t>272613</t>
  </si>
  <si>
    <t>Новогоднее украшение Полирезиновая подвеска Барашек с подарком, 6,5 см, соб.раз НУП-2062</t>
  </si>
  <si>
    <t>НУП-2062</t>
  </si>
  <si>
    <t>4680942620625</t>
  </si>
  <si>
    <t>272604</t>
  </si>
  <si>
    <t>Новогоднее украшение Полирезиновая подвеска Забавная овечка, 7 см, соб.раз НУП-2056</t>
  </si>
  <si>
    <t>НУП-2056</t>
  </si>
  <si>
    <t>4680942620564</t>
  </si>
  <si>
    <t>272603</t>
  </si>
  <si>
    <t>Новогоднее украшение Полирезиновая подвеска Милая овечка, 7 см, соб.раз НУП-2055</t>
  </si>
  <si>
    <t>НУП-2055</t>
  </si>
  <si>
    <t>4680942620557</t>
  </si>
  <si>
    <t>272607</t>
  </si>
  <si>
    <t>Новогоднее украшение Полирезиновая подвеска Новогодняя овечка, 7 см, соб.раз НУП-2058</t>
  </si>
  <si>
    <t>НУП-2058</t>
  </si>
  <si>
    <t>4680942620588</t>
  </si>
  <si>
    <t>Подвески из фарфора</t>
  </si>
  <si>
    <t>276141</t>
  </si>
  <si>
    <t>Новогоднее украшение. Набор подвесок 2 шт. "Барашки" 6,3см и 4,8см, фарфор, бело-золотой НУП-4253</t>
  </si>
  <si>
    <t>НУП-4253</t>
  </si>
  <si>
    <t>4680942642535</t>
  </si>
  <si>
    <t>Стеклянные шары</t>
  </si>
  <si>
    <t>Стеклянные шары 6см</t>
  </si>
  <si>
    <t>270381</t>
  </si>
  <si>
    <t>Новогоднее украшение. Елочный стеклянный шар  "Козлик с мешком подарков", 6 см,  соб.разб. НУ-0713</t>
  </si>
  <si>
    <t>НУ-0713</t>
  </si>
  <si>
    <t>4680942608951</t>
  </si>
  <si>
    <t>270379</t>
  </si>
  <si>
    <t>Новогоднее украшение. Елочный стеклянный шар  "Козлик у ёлки", 6 см,  соб.разб. НУ-0711</t>
  </si>
  <si>
    <t>НУ-0711</t>
  </si>
  <si>
    <t>4680942608937</t>
  </si>
  <si>
    <t>270378</t>
  </si>
  <si>
    <t>Новогоднее украшение. Елочный стеклянный шар  "Козочка с подарками", 6 см,  соб.разб. НУ-0710</t>
  </si>
  <si>
    <t>НУ-0710</t>
  </si>
  <si>
    <t>4680942608920</t>
  </si>
  <si>
    <t>270380</t>
  </si>
  <si>
    <t>Новогоднее украшение. Елочный стеклянный шар  "Пушистая снегурочка", 6 см,  соб.разб. НУ-0712</t>
  </si>
  <si>
    <t>НУ-0712</t>
  </si>
  <si>
    <t>4680942608944</t>
  </si>
  <si>
    <t>Стеклянные шары 8 см</t>
  </si>
  <si>
    <t>270377</t>
  </si>
  <si>
    <t>Новогоднее украшение. Елочный стеклянный шар  "Барашек удачи", 8 см,  соб.разб. НУ-0709</t>
  </si>
  <si>
    <t>НУ-0709</t>
  </si>
  <si>
    <t>4680942608913</t>
  </si>
  <si>
    <t>270363</t>
  </si>
  <si>
    <t>Новогоднее украшение. Елочный стеклянный шар  "Новогодний ягненок", 8 см,  соб.разб. НУ-0700</t>
  </si>
  <si>
    <t>НУ-0700</t>
  </si>
  <si>
    <t>4680942608821</t>
  </si>
  <si>
    <t>270365</t>
  </si>
  <si>
    <t>Новогоднее украшение. Елочный стеклянный шар  "Новогодняя овечка", 8 см,  соб.разб. НУ-0701</t>
  </si>
  <si>
    <t>НУ-0701</t>
  </si>
  <si>
    <t>4680942608838</t>
  </si>
  <si>
    <t>270375</t>
  </si>
  <si>
    <t>Новогоднее украшение. Елочный стеклянный шар  "Пушистая зима", 8 см,  соб.разб. НУ-0708</t>
  </si>
  <si>
    <t>НУ-0708</t>
  </si>
  <si>
    <t>4680942608906</t>
  </si>
  <si>
    <t>270374</t>
  </si>
  <si>
    <t>Новогоднее украшение. Елочный стеклянный шар  "Рога удачи", 8 см,  соб.разб. НУ-0707</t>
  </si>
  <si>
    <t>НУ-0707</t>
  </si>
  <si>
    <t>4680942608890</t>
  </si>
  <si>
    <t>270359</t>
  </si>
  <si>
    <t>Новогоднее украшение. Елочный стеклянный шар  "Символ года", 8 см,  соб.разб. НУ-0698</t>
  </si>
  <si>
    <t>НУ-0698</t>
  </si>
  <si>
    <t>4680942608807</t>
  </si>
  <si>
    <t>270372</t>
  </si>
  <si>
    <t>Новогоднее украшение. Елочный стеклянный шар  "Сказочный баран", 8 см,  соб.разб. НУ-0706</t>
  </si>
  <si>
    <t>НУ-0706</t>
  </si>
  <si>
    <t>4680942608883</t>
  </si>
  <si>
    <t>Упаковка</t>
  </si>
  <si>
    <t>Мешочки для подарков "Собственная разработка"</t>
  </si>
  <si>
    <t>273924</t>
  </si>
  <si>
    <t>Мешочек Символ года, красный 24*18*9 см "Собственная разработка" НУ-2639</t>
  </si>
  <si>
    <t>НУ-2639</t>
  </si>
  <si>
    <t>4680942626504</t>
  </si>
  <si>
    <t>Пакеты бумажные</t>
  </si>
  <si>
    <t>Размер L</t>
  </si>
  <si>
    <t>Dream Cards</t>
  </si>
  <si>
    <t>271114</t>
  </si>
  <si>
    <t>Dream cards Пакет подар. с мат.лам и тис.фол 26,4х32х13,6см Золотистый баран, 190г соб.раз ППК-0903</t>
  </si>
  <si>
    <t>ППК-0903</t>
  </si>
  <si>
    <t>4680942610732</t>
  </si>
  <si>
    <t>Глянцевая ламинация</t>
  </si>
  <si>
    <t>271116</t>
  </si>
  <si>
    <t>Пакет подарочный с глянц.лам. 26,4х32,7х13,6 см (L) Новогодняя овечка, 157г соб.раз. ППК-0905</t>
  </si>
  <si>
    <t>ППК-0905</t>
  </si>
  <si>
    <t>4680942610756</t>
  </si>
  <si>
    <t>Размер XL</t>
  </si>
  <si>
    <t>271117</t>
  </si>
  <si>
    <t>Dream cards Пакет подар. с мат.лам и тис.фол 32,4х44,5х10,2см Сказочный козёл 190г соб.раз. ППК-0906</t>
  </si>
  <si>
    <t>ППК-0906</t>
  </si>
  <si>
    <t>4680942610763</t>
  </si>
  <si>
    <t>271119</t>
  </si>
  <si>
    <t>Пакет подарочный с глянц.ламин. 32,4х44,5х10,2 см (XL) Новогодний баран, 157г соб.раз. ППК-0908</t>
  </si>
  <si>
    <t>ППК-0908</t>
  </si>
  <si>
    <t>4680942610787</t>
  </si>
  <si>
    <t>271118</t>
  </si>
  <si>
    <t>Пакет подарочный с глянц.ламин. 32,4х44,5х10,2 см (XL) Семейная прогулка, 157г соб.раз. ППК-0907</t>
  </si>
  <si>
    <t>ППК-0907</t>
  </si>
  <si>
    <t>4680942610770</t>
  </si>
  <si>
    <t>Пакеты полиэтиленовые</t>
  </si>
  <si>
    <t>Пакеты с вырубной ручкой</t>
  </si>
  <si>
    <t>275994</t>
  </si>
  <si>
    <t>Пакет вырубной  Лесной козленок 45х38/60 мкм лам н00313629</t>
  </si>
  <si>
    <t>н00313629</t>
  </si>
  <si>
    <t>4630201703569</t>
  </si>
  <si>
    <t>275981</t>
  </si>
  <si>
    <t>Пакет вырубной Коза-чудесница 31х40/30мкм н00313703</t>
  </si>
  <si>
    <t>н00313703</t>
  </si>
  <si>
    <t>4630201703774</t>
  </si>
  <si>
    <t>275976</t>
  </si>
  <si>
    <t>Пакет вырубной Новогодние коньки 30х23/30 мкм н00314012</t>
  </si>
  <si>
    <t>н00314012</t>
  </si>
  <si>
    <t>4630201703903</t>
  </si>
  <si>
    <t>Пакеты с петлевой ручкой</t>
  </si>
  <si>
    <t>275997</t>
  </si>
  <si>
    <t>Пакет петлевой  Зимний вальс 42x38/35 мкм н00313932</t>
  </si>
  <si>
    <t>н00313932</t>
  </si>
  <si>
    <t>4630201703828</t>
  </si>
  <si>
    <t>Подарочные коробки</t>
  </si>
  <si>
    <t>270787</t>
  </si>
  <si>
    <t>Набор квадратных коробок 3в1 Козочки с подарками (19,5х19,5х11-15,5х15,5х9) "Соб.разраб" КОР-1016</t>
  </si>
  <si>
    <t>КОР-1016</t>
  </si>
  <si>
    <t>4680942610169</t>
  </si>
  <si>
    <t>270806</t>
  </si>
  <si>
    <t>Набор прямоугольных коробок 10в1 Козочки с подарками (30,5х20х13-12х6,5х4 см) "Соб. раз."КОР-1035</t>
  </si>
  <si>
    <t>КОР-1035</t>
  </si>
  <si>
    <t>4680942610541</t>
  </si>
  <si>
    <t>Упаковочная бумага</t>
  </si>
  <si>
    <t>270549</t>
  </si>
  <si>
    <t>Упаковочная бумага Символ года Барашки, в ассорт. (70х100см, 1л, 5 дизайнов в Ш/Б) соб.раз УБ-0988</t>
  </si>
  <si>
    <t>УБ-0988</t>
  </si>
  <si>
    <t>4680942609880</t>
  </si>
  <si>
    <t>270527</t>
  </si>
  <si>
    <t>Упаковочная бумага Символ года с подарками (70х100, 10 л, 5+0 золото) "Собств. разраб." УБ-0960</t>
  </si>
  <si>
    <t>УБ-0960</t>
  </si>
  <si>
    <t>4680942609606</t>
  </si>
  <si>
    <t>02 ЛИЦЕНЗИОННАЯ ПРОДУКЦИЯ</t>
  </si>
  <si>
    <t xml:space="preserve"> СОЮЗМУЛЬТФИЛЬМ</t>
  </si>
  <si>
    <t>1 ВИННИ-ПУХ</t>
  </si>
  <si>
    <t>254425</t>
  </si>
  <si>
    <t>Новогоднее оконное украш. с раскраской"Веселые друзья"30х40см ЛИЦЕНЗИЯ/Винни-Пух(соб. разр.) НУ-2957</t>
  </si>
  <si>
    <t>НУ-2957</t>
  </si>
  <si>
    <t>4640306929573</t>
  </si>
  <si>
    <t>НЕПЕЧАТНАЯ</t>
  </si>
  <si>
    <t>Подвесные украшения</t>
  </si>
  <si>
    <t>Деревянные</t>
  </si>
  <si>
    <t>256537</t>
  </si>
  <si>
    <t>Набор флажков "Приключения мишки" 11*7см,10шт, 2м бечев. Модель из дерева,ЛИЦЕНЗИЯ/Винни-Пух МД00089</t>
  </si>
  <si>
    <t>МД00089</t>
  </si>
  <si>
    <t>4630166469401</t>
  </si>
  <si>
    <t>Пластиковые</t>
  </si>
  <si>
    <t>255388</t>
  </si>
  <si>
    <t>Новогоднее подвес. украшение из пластика "Поросёнок" 7,5*3,5*8см(соб.раз.)ЛИЦЕНЗИЯ/Винни-Пух НУ-8041</t>
  </si>
  <si>
    <t>НУ-8041</t>
  </si>
  <si>
    <t>4630493770041</t>
  </si>
  <si>
    <t>255387</t>
  </si>
  <si>
    <t>Новогоднее подвесное украшение из пластика "Медведь" 5х5х6 (собств.раз.) ЛИЦЕНЗИЯ/Винни-Пух НУ-8040</t>
  </si>
  <si>
    <t>НУ-8040</t>
  </si>
  <si>
    <t>4630493770034</t>
  </si>
  <si>
    <t>274519</t>
  </si>
  <si>
    <t>Новогоднее украшение Набор подвесок из пластика в наборе "Мишка и свинка"ЛИЦЕНЗИЯ/Винни-Пух НУП-2959</t>
  </si>
  <si>
    <t>НУП-2959</t>
  </si>
  <si>
    <t>4680942629598</t>
  </si>
  <si>
    <t>256421</t>
  </si>
  <si>
    <t>Новогодний cнежный шар. Медвежонок в колпаке, d=6,5 см (соб.раз)ЛИЦЕНЗИЯ/Винни-Пух НУ-7127</t>
  </si>
  <si>
    <t>НУ-7127</t>
  </si>
  <si>
    <t>4630493771277</t>
  </si>
  <si>
    <t>256422</t>
  </si>
  <si>
    <t>Новогодний cнежный шар. Поросёнок с подарком, d=6,5 см (соб.раз)ЛИЦЕНЗИЯ/Винни-Пух НУ-7128</t>
  </si>
  <si>
    <t>НУ-7128</t>
  </si>
  <si>
    <t>4630493771284</t>
  </si>
  <si>
    <t>2 КОТЕНОК ПО ИМЕНИ ГАВ</t>
  </si>
  <si>
    <t>274520</t>
  </si>
  <si>
    <t>Новог. украш. Набор подвесок из пласт.в наборе "Котик и щенок"ЛИЦЕНЗИЯ/Котенок по имени Гав НУП-2960</t>
  </si>
  <si>
    <t>НУП-2960</t>
  </si>
  <si>
    <t>4680942629604</t>
  </si>
  <si>
    <t>255389</t>
  </si>
  <si>
    <t>Новогод. подвес. украш. из пластика"Котёнок"7*4,5 см(соб.раз.)ЛИЦЕНЗИЯ/Котёнок по имени Гав НУ-8042</t>
  </si>
  <si>
    <t>НУ-8042</t>
  </si>
  <si>
    <t>4630493770058</t>
  </si>
  <si>
    <t>255390</t>
  </si>
  <si>
    <t>Новогоднее подвес. украш. из пластика "Щенок"7*4,5см (соб.раз.)ЛИЦЕНЗИЯ/Котёнок по имени Гав НУ-8043</t>
  </si>
  <si>
    <t>НУ-8043</t>
  </si>
  <si>
    <t>4630493770065</t>
  </si>
  <si>
    <t>3 НУ, ПОГОДИ!</t>
  </si>
  <si>
    <t>254413</t>
  </si>
  <si>
    <t>Новогоднее оконное украшение "Маскарад" 25х25 см (собств. разр) ЛИЦЕНЗИЯ/Ну-Погоди! НУ-2933</t>
  </si>
  <si>
    <t>НУ-2933</t>
  </si>
  <si>
    <t>4640306929337</t>
  </si>
  <si>
    <t>253995</t>
  </si>
  <si>
    <t>Магнит из полирезины Волк в шубе, 8,5 см (собств. разр) ЛИЦЕНЗИЯ/Ну-Погоди! Т-2760</t>
  </si>
  <si>
    <t>Т-2760</t>
  </si>
  <si>
    <t>4640306927968</t>
  </si>
  <si>
    <t>253996</t>
  </si>
  <si>
    <t>Магнит из полирезины Заяц в шубе, 7 см (собств. разр) ЛИЦЕНЗИЯ/Ну-Погоди! Т-2761</t>
  </si>
  <si>
    <t>Т-2761</t>
  </si>
  <si>
    <t>4640306927975</t>
  </si>
  <si>
    <t>Печатная продукция</t>
  </si>
  <si>
    <t>Адвент-календарь</t>
  </si>
  <si>
    <t>254270</t>
  </si>
  <si>
    <t>НГ Адвент-календарь "Волк и заяц!" ЛИЦЕНЗИЯ/ Ну погоди! АК-6862</t>
  </si>
  <si>
    <t>АК-6862</t>
  </si>
  <si>
    <t>4670159268628</t>
  </si>
  <si>
    <t>Квест по поиску подарка</t>
  </si>
  <si>
    <t>254275</t>
  </si>
  <si>
    <t>НГ Квест по поиску подарка с наклейками "Волк и заяц!" ЛИЦЕНЗИЯ/ Ну погоди! ИКВ-6860</t>
  </si>
  <si>
    <t>ИКВ-6860</t>
  </si>
  <si>
    <t>4670159268604</t>
  </si>
  <si>
    <t>256536</t>
  </si>
  <si>
    <t>Набор флажков "Заяц, Волк", 11*7см, 10шт, 2м бечевки. Модель из дерева,ЛИЦЕНЗИЯ/Ну-Погоди! МД00088</t>
  </si>
  <si>
    <t>МД00088</t>
  </si>
  <si>
    <t>4630166469395</t>
  </si>
  <si>
    <t>275630</t>
  </si>
  <si>
    <t>Новогодняя ёлочная подвеска "Волк".Модель из дерева.10см 2х стр. ЛИЦЕНЗИЯ/Ну-Погоди 127182</t>
  </si>
  <si>
    <t>127182</t>
  </si>
  <si>
    <t>4680788242487</t>
  </si>
  <si>
    <t>275632</t>
  </si>
  <si>
    <t>Новогодняя ёлочная подвеска "Заяц Волк".Модель из дерева.2шт 2х стр. ЛИЦЕНЗИЯ/Ну-Погоди 127184</t>
  </si>
  <si>
    <t>127184</t>
  </si>
  <si>
    <t>4680788242500</t>
  </si>
  <si>
    <t>275631</t>
  </si>
  <si>
    <t>Новогодняя ёлочная подвеска "Заяц".Модель из дерева. 8см 2х стр. ЛИЦЕНЗИЯ/Ну-Погоди 127183</t>
  </si>
  <si>
    <t>127183</t>
  </si>
  <si>
    <t>4680788242494</t>
  </si>
  <si>
    <t>Деревянные на прищепке</t>
  </si>
  <si>
    <t>272415</t>
  </si>
  <si>
    <t>Набор дер. ёлочных украшений с прищепкой "Заяц и Волк" 5 шт ЛИЦЕНЗИЯ/Ну-Погоди! НУ-1868</t>
  </si>
  <si>
    <t>НУ-1868</t>
  </si>
  <si>
    <t>4680942618684</t>
  </si>
  <si>
    <t>255392</t>
  </si>
  <si>
    <t>Новогоднее подвесное украшение из пластика "Волк" 8,5*4см (соб.раз.) ЛИЦЕНЗИЯ/Ну-Погоди! НУ-8045</t>
  </si>
  <si>
    <t>НУ-8045</t>
  </si>
  <si>
    <t>4630493770089</t>
  </si>
  <si>
    <t>255393</t>
  </si>
  <si>
    <t>Новогоднее подвесное украшение из пластика "Заяц" 7*4,5см (соб.раз.) ЛИЦЕНЗИЯ/Ну-Погоди! НУ-8046</t>
  </si>
  <si>
    <t>НУ-8046</t>
  </si>
  <si>
    <t>4630493770096</t>
  </si>
  <si>
    <t>274552</t>
  </si>
  <si>
    <t>Новогоднее подвесное украшение из пластика "ТВ" (соб.раз.) ЛИЦЕНЗИЯ/Ну-Погоди НУП-2997</t>
  </si>
  <si>
    <t>НУП-2997</t>
  </si>
  <si>
    <t>4680942629970</t>
  </si>
  <si>
    <t>Силиконовые наклейки</t>
  </si>
  <si>
    <t>255383</t>
  </si>
  <si>
    <t>Силиконовая новогодняя наклейка "Веселый волк" (соб.раз), 25*33 см ЛИЦЕНЗИЯ/Ну-Погоди! НУ-0364</t>
  </si>
  <si>
    <t>НУ-0364</t>
  </si>
  <si>
    <t>4630493770386</t>
  </si>
  <si>
    <t>255382</t>
  </si>
  <si>
    <t>Силиконовая новогодняя наклейка "Зайчик у ёлки"20*25 см (соб.раз) ЛИЦЕНЗИЯ/Ну-Погоди! НУ-0363</t>
  </si>
  <si>
    <t>НУ-0363</t>
  </si>
  <si>
    <t>4630493770379</t>
  </si>
  <si>
    <t>256418</t>
  </si>
  <si>
    <t>Новогодний cнежный шар. Заяц в шубе, d=6,5 см (соб.раз) ЛИЦЕНЗИЯ/Ну-Погоди! НУ-7124</t>
  </si>
  <si>
    <t>НУ-7124</t>
  </si>
  <si>
    <t>4630493771246</t>
  </si>
  <si>
    <t>Хлопушки с конфетти</t>
  </si>
  <si>
    <t>256313</t>
  </si>
  <si>
    <t>Хлопушка пружинная. Волк и Заяц конф. фольг. 11,5см 4 диз в ш/б (соб.раз) ЛИЦЕНЗИЯ/Ну-Погоди! Х-7093</t>
  </si>
  <si>
    <t>Х-7093</t>
  </si>
  <si>
    <t>4630493770836</t>
  </si>
  <si>
    <t>256314</t>
  </si>
  <si>
    <t>Хлопушка пружинная. Волк и Заяц конф. фольг. 15см 4 диз в ш/б (соб.раз) ЛИЦЕНЗИЯ/Ну-Погоди! Х-7094</t>
  </si>
  <si>
    <t>Х-7094</t>
  </si>
  <si>
    <t>4630493770843</t>
  </si>
  <si>
    <t>4 ПРОСТОКВАШИНО</t>
  </si>
  <si>
    <t>254418</t>
  </si>
  <si>
    <t>Новог. оконное украш. с раскраской "Новогодний котик"30х40см(соб.раз.)ЛИЦЕНЗИЯ/Простоквашино НУ-2937</t>
  </si>
  <si>
    <t>НУ-2937</t>
  </si>
  <si>
    <t>4640306929375</t>
  </si>
  <si>
    <t>254273</t>
  </si>
  <si>
    <t>НГ Адвент-календарь "Весёлая деревня" ЛИЦЕНЗИЯ/ Простоквашино АК-6861</t>
  </si>
  <si>
    <t>АК-6861</t>
  </si>
  <si>
    <t>4670159268611</t>
  </si>
  <si>
    <t>254276</t>
  </si>
  <si>
    <t>НГ Квест по поиску подарка с наклейками "Весёлая деревня" ЛИЦЕНЗИЯ/ Простоквашино ИКВ-6859</t>
  </si>
  <si>
    <t>ИКВ-6859</t>
  </si>
  <si>
    <t>4670159268598</t>
  </si>
  <si>
    <t>256535</t>
  </si>
  <si>
    <t>Набор флажков "Веселая деревня" 11*7см 10шт,2м бечев.Модель из дерева ЛИЦЕНЗИЯ/Простоквашино МД00087</t>
  </si>
  <si>
    <t>МД00087</t>
  </si>
  <si>
    <t>4630166469388</t>
  </si>
  <si>
    <t>275633</t>
  </si>
  <si>
    <t>Новогодняя ёлочная подвеска "Полосатый кот"Модель из дерева.8см 2х стр.ЛИЦЕНЗИЯ/Простоквашино 127185</t>
  </si>
  <si>
    <t>127185</t>
  </si>
  <si>
    <t>4680788242524</t>
  </si>
  <si>
    <t>272414</t>
  </si>
  <si>
    <t>Набор дер. ёлочных украш. с прищепкой "Веселая деревня" 5 шт ЛИЦЕНЗИЯ/Простоквашино НУ-1867</t>
  </si>
  <si>
    <t>НУ-1867</t>
  </si>
  <si>
    <t>4680942618677</t>
  </si>
  <si>
    <t>274814</t>
  </si>
  <si>
    <t>Новогоднее подвесное украшение из пластика "Жёлтый телевизор"соб.раз ЛИЦЕНЗИЯ/Простоквашино НУП-3198</t>
  </si>
  <si>
    <t>НУП-3198</t>
  </si>
  <si>
    <t>4680942631980</t>
  </si>
  <si>
    <t>255394</t>
  </si>
  <si>
    <t>Новогоднее подвесное украшение из пластика "Кот" 7*4,5см (собс.раз.) ЛИЦЕНЗИЯ/Простоквашино НУ-8047</t>
  </si>
  <si>
    <t>НУ-8047</t>
  </si>
  <si>
    <t>4630493770102</t>
  </si>
  <si>
    <t>255395</t>
  </si>
  <si>
    <t>Новогоднее подвесное украшение из пластика"Собака" 7,5*4см (соб.раз.) ЛИЦЕНЗИЯ/Простоквашино НУ-8048</t>
  </si>
  <si>
    <t>НУ-8048</t>
  </si>
  <si>
    <t>4630493770119</t>
  </si>
  <si>
    <t>274522</t>
  </si>
  <si>
    <t>Новогоднее украш. Набор подвесок из пластика в наборе "Кот и собака" ЛИЦЕНЗИЯ/Простоквашино НУП-2962</t>
  </si>
  <si>
    <t>НУП-2962</t>
  </si>
  <si>
    <t>4680942629628</t>
  </si>
  <si>
    <t>253992</t>
  </si>
  <si>
    <t>Подвеска из полирезины  Новогодний почтальон, 8 см (соб.раз.) ЛИЦЕНЗИЯ/Простоквашино Т-2757</t>
  </si>
  <si>
    <t>Т-2757</t>
  </si>
  <si>
    <t>4640306927937</t>
  </si>
  <si>
    <t>Шары папье-маше</t>
  </si>
  <si>
    <t>274372</t>
  </si>
  <si>
    <t>Набор ёлочных шаров 14 шт "Весёлые друзья", 8 см, (собств. разр) ЛИЦЕНЗИЯ/Простоквашино ШЁН-2903</t>
  </si>
  <si>
    <t>ШЁН-2903</t>
  </si>
  <si>
    <t>4680942629031</t>
  </si>
  <si>
    <t>5 УМКА</t>
  </si>
  <si>
    <t>Квесты</t>
  </si>
  <si>
    <t>274776</t>
  </si>
  <si>
    <t>Новогодний квест по поиску подарка (детский) "Медвежонок" с наклейками ЛИЦЕНЗИЯ/Умка ИКВ-2958</t>
  </si>
  <si>
    <t>ИКВ-2958</t>
  </si>
  <si>
    <t>4680942629581</t>
  </si>
  <si>
    <t>255391</t>
  </si>
  <si>
    <t>Новогоднее подвесное украшение из пластика "Медведь" 7,5*4,5 см (собств.раз.) ЛИЦЕНЗИЯ/Умка НУ-8044</t>
  </si>
  <si>
    <t>НУ-8044</t>
  </si>
  <si>
    <t>4630493770072</t>
  </si>
  <si>
    <t>274597</t>
  </si>
  <si>
    <t>Новогоднее подвесное украшение из пластика "Медвежонок" 10х3 см (собс.раз.) ЛИЦЕНЗИЯ/ Умка НУП-3064</t>
  </si>
  <si>
    <t>НУП-3064</t>
  </si>
  <si>
    <t>4680942630648</t>
  </si>
  <si>
    <t>274301</t>
  </si>
  <si>
    <t>Силиконовая новогодняя наклейка "Белый мишка" 20*25см(собс.раз) ЛИЦЕНЗИЯ/Умка СН-2913</t>
  </si>
  <si>
    <t>СН-2913</t>
  </si>
  <si>
    <t>4680942629130</t>
  </si>
  <si>
    <t>6 ЩЕЛКУНЧИК</t>
  </si>
  <si>
    <t>274287</t>
  </si>
  <si>
    <t>Новогоднее подвесн.украш. из пластика "Солдат в мундире"8*4см (соб.раз.) ЛИЦЕНЗИЯ/Щелкунчик НУП-2759</t>
  </si>
  <si>
    <t>НУП-2759</t>
  </si>
  <si>
    <t>4680942627594</t>
  </si>
  <si>
    <t>270952</t>
  </si>
  <si>
    <t>Новог. украш. Елочный стеклянный шар "Солдатик и девочка",8см,соб.разб.ЛИЦЕНЗИЯ/Щелкунчик НУ-1065</t>
  </si>
  <si>
    <t>НУ-1065</t>
  </si>
  <si>
    <t>4680942610657</t>
  </si>
  <si>
    <t>270951</t>
  </si>
  <si>
    <t>Новог. украш. Елочный стеклянный шар "Солдатик с елкой",8см,соб.разб.ЛИЦЕНЗИЯ/Щелкунчик НУ-1064</t>
  </si>
  <si>
    <t>НУ-1064</t>
  </si>
  <si>
    <t>4680942610640</t>
  </si>
  <si>
    <t>270954</t>
  </si>
  <si>
    <t>Новог. украш. Елочный стеклянный шар "Танец",8см,соб.разб.ЛИЦЕНЗИЯ/Щелкунчик НУ-1066</t>
  </si>
  <si>
    <t>НУ-1066</t>
  </si>
  <si>
    <t>4680942610664</t>
  </si>
  <si>
    <t>7 ЭКСКЛЮЗИВНАЯ КОЛЛЕКЦИЯ СОЮЗМУЛЬТФИЛЬМ</t>
  </si>
  <si>
    <t>Подвесные украшения пластиковые</t>
  </si>
  <si>
    <t>274523</t>
  </si>
  <si>
    <t>Новогоднее украшение Набор подвесок из пластика "Друзья" (6шт) ЛИЦЕНЗИЯ/Союзмультфильм НУП-2963</t>
  </si>
  <si>
    <t>НУП-2963</t>
  </si>
  <si>
    <t>4680942629635</t>
  </si>
  <si>
    <t>ВОЛШЕБНИК ИЗУМРУДНОГО ГОРОДА</t>
  </si>
  <si>
    <t>280753</t>
  </si>
  <si>
    <t>Набор новогод. ёлочных подвесок"Отважные Герои".Модель из дерева. 6шт 2х стр. ЛИЦЕНЗИЯ/ВИГ НУП-6098</t>
  </si>
  <si>
    <t>НУП-6098</t>
  </si>
  <si>
    <t>4680942660980</t>
  </si>
  <si>
    <t>280760</t>
  </si>
  <si>
    <t>Набор флажков "Отважные герои", 11*7см, 10шт, 2м бечевки. Модель из дерева,ЛИЦЕНЗИЯ/ВИГ НФ-6104</t>
  </si>
  <si>
    <t>НФ-6104</t>
  </si>
  <si>
    <t>4680942661048</t>
  </si>
  <si>
    <t>280754</t>
  </si>
  <si>
    <t>Новогод ёлоч подвеска "Дровосек".Модель из дерева. 8см 2х стр. ЛИЦЕНЗИЯ/ВИГ НУП-6099</t>
  </si>
  <si>
    <t>НУП-6099</t>
  </si>
  <si>
    <t>4680942660997</t>
  </si>
  <si>
    <t>280756</t>
  </si>
  <si>
    <t>Новогод ёлоч подвеска "Лев".Модель из дерева. 8см 2х стр. ЛИЦЕНЗИЯ/ВИГ НУП-6101</t>
  </si>
  <si>
    <t>НУП-6101</t>
  </si>
  <si>
    <t>4680942661017</t>
  </si>
  <si>
    <t>280755</t>
  </si>
  <si>
    <t>Новогод ёлоч подвеска "Пугало".Модель из дерева. 8см 2х стр. ЛИЦЕНЗИЯ/ВИГ НУП-6100</t>
  </si>
  <si>
    <t>НУП-6100</t>
  </si>
  <si>
    <t>4680942661000</t>
  </si>
  <si>
    <t>280757</t>
  </si>
  <si>
    <t>Новогод ёлоч подвеска "Эли и Тотошка".Модель из дерева. 8см 2х стр. ЛИЦЕНЗИЯ/ВИГ НУП-6102</t>
  </si>
  <si>
    <t>НУП-6102</t>
  </si>
  <si>
    <t>4680942661024</t>
  </si>
  <si>
    <t>278137</t>
  </si>
  <si>
    <t>Набор дер. ёлочных украшений с прищепкой "Герои" 5шт ЛИЦЕНЗИЯ/Волшебник изумрудного города НУП-5120</t>
  </si>
  <si>
    <t>НУП-5120</t>
  </si>
  <si>
    <t>4680942651209</t>
  </si>
  <si>
    <t>Маша и Медведь</t>
  </si>
  <si>
    <t>278727</t>
  </si>
  <si>
    <t>Новогодний квест по поиску подарка "Новый год с Машей" с наклейками ЛИЦЕНЗИЯ/Маша и Медведь ИКВ-5118</t>
  </si>
  <si>
    <t>ИКВ-5118</t>
  </si>
  <si>
    <t>4680942651186</t>
  </si>
  <si>
    <t>280264</t>
  </si>
  <si>
    <t>Набор дер. ёлочных украшений с прищепкой "Новогодние друзья" 5 шт ЛИЦЕНЗИЯ/Маша и Медведь НУП-6051</t>
  </si>
  <si>
    <t>НУП-6051</t>
  </si>
  <si>
    <t>4680942660515</t>
  </si>
  <si>
    <t>Деревянные подвески</t>
  </si>
  <si>
    <t>280510</t>
  </si>
  <si>
    <t>Набор новогод. ёлочных подвесок"Озорные друзья" 6шт 2х стр. ЛИЦЕНЗИЯ/Маша и Медведь НУП-6053</t>
  </si>
  <si>
    <t>НУП-6053</t>
  </si>
  <si>
    <t>4680942660539</t>
  </si>
  <si>
    <t>280517</t>
  </si>
  <si>
    <t>Новогодняя ёлочная подвеска "Белочка" 2-х стор ЛИЦЕНЗИЯ/Маша и Медведь НУП-6073</t>
  </si>
  <si>
    <t>НУП-6073</t>
  </si>
  <si>
    <t>4680942660737</t>
  </si>
  <si>
    <t>280513</t>
  </si>
  <si>
    <t>Новогодняя ёлочная подвеска "Братья Волки" 2-х стор ЛИЦЕНЗИЯ/Маша и Медведь НУП-6055</t>
  </si>
  <si>
    <t>НУП-6055</t>
  </si>
  <si>
    <t>4680942660553</t>
  </si>
  <si>
    <t>280515</t>
  </si>
  <si>
    <t>Новогодняя ёлочная подвеска "Девочка Снегурочка" 2-х стор ЛИЦЕНЗИЯ/Маша и Медведь НУП-6057</t>
  </si>
  <si>
    <t>НУП-6057</t>
  </si>
  <si>
    <t>4680942660577</t>
  </si>
  <si>
    <t>280514</t>
  </si>
  <si>
    <t>Новогодняя ёлочная подвеска "Дедушка Мороз" 2-х стор ЛИЦЕНЗИЯ/Маша и Медведь НУП-6056</t>
  </si>
  <si>
    <t>НУП-6056</t>
  </si>
  <si>
    <t>4680942660560</t>
  </si>
  <si>
    <t>280511</t>
  </si>
  <si>
    <t>Новогодняя ёлочная подвеска "Мишка" 2-х стор ЛИЦЕНЗИЯ/Маша и Медведь НУП-6054</t>
  </si>
  <si>
    <t>НУП-6054</t>
  </si>
  <si>
    <t>4680942660546</t>
  </si>
  <si>
    <t>280516</t>
  </si>
  <si>
    <t>Новогодняя ёлочная подвеска "Поросенок" 2-х стор ЛИЦЕНЗИЯ/Маша и Медведь НУП-6058</t>
  </si>
  <si>
    <t>НУП-6058</t>
  </si>
  <si>
    <t>4680942660584</t>
  </si>
  <si>
    <t>Деревянные флажки</t>
  </si>
  <si>
    <t>279333</t>
  </si>
  <si>
    <t>Набор флажков "Маша и Медведь" 11*7см,10шт,2м бечев.Модель из дерева,ЛИЦЕНЗИЯ/Маша и Медведь НФ-5426</t>
  </si>
  <si>
    <t>НФ-5426</t>
  </si>
  <si>
    <t>4680942654262</t>
  </si>
  <si>
    <t>МИ-МИ-МИшки</t>
  </si>
  <si>
    <t>280213</t>
  </si>
  <si>
    <t>НГ квест по поиску подарка "Зимние забавы Мимимишек" с наклейками ЛИЦЕНЗИЯ/МИ-МИ-Мишки ИКВ-5944</t>
  </si>
  <si>
    <t>ИКВ-5944</t>
  </si>
  <si>
    <t>4680942659441</t>
  </si>
  <si>
    <t>280743</t>
  </si>
  <si>
    <t>Набор новог. ёлоч подвесок"Мишки и друзья".Модель из дерева. 6шт 2х стр.ЛИЦЕНЗИЯ/Ми-ми-мишкиНУП-6091</t>
  </si>
  <si>
    <t>НУП-6091</t>
  </si>
  <si>
    <t>4680942660911</t>
  </si>
  <si>
    <t>280759</t>
  </si>
  <si>
    <t>Набор флажков "Мишки", 11*7см, 10шт, 2м бечевки. Модель из дерева,ЛИЦЕНЗИЯ/Ми-ми-мишки НФ-6103</t>
  </si>
  <si>
    <t>НФ-6103</t>
  </si>
  <si>
    <t>4680942661031</t>
  </si>
  <si>
    <t>280749</t>
  </si>
  <si>
    <t>Новогод ёлоч подвеска "Белый мишка".Модель из дерева. 8см 2х стр. ЛИЦЕНЗИЯ/Ми-ми-мишки НУП-6096</t>
  </si>
  <si>
    <t>НУП-6096</t>
  </si>
  <si>
    <t>4680942660966</t>
  </si>
  <si>
    <t>280747</t>
  </si>
  <si>
    <t>Новогод ёлоч подвеска "Бурый мишка".Модель из дерева. 8см 2х стр. ЛИЦЕНЗИЯ/Ми-ми-мишки НУП-6094</t>
  </si>
  <si>
    <t>НУП-6094</t>
  </si>
  <si>
    <t>4680942660942</t>
  </si>
  <si>
    <t>280746</t>
  </si>
  <si>
    <t>Новогод ёлоч подвеска "Зайка".Модель из дерева. 8см 2х стр. ЛИЦЕНЗИЯ/Ми-ми-мишки НУП-6093</t>
  </si>
  <si>
    <t>НУП-6093</t>
  </si>
  <si>
    <t>4680942660935</t>
  </si>
  <si>
    <t>280748</t>
  </si>
  <si>
    <t>Новогод ёлоч подвеска "Лисичка".Модель из дерева. 8см 2х стр. ЛИЦЕНЗИЯ/Ми-ми-мишки НУП-6095</t>
  </si>
  <si>
    <t>НУП-6095</t>
  </si>
  <si>
    <t>4680942660959</t>
  </si>
  <si>
    <t>280745</t>
  </si>
  <si>
    <t>Новогод ёлоч подвеска "Лучшие друзья".Модель из дерева. 8см 2х стр. ЛИЦЕНЗИЯ/Ми-ми-мишки НУП-6092</t>
  </si>
  <si>
    <t>НУП-6092</t>
  </si>
  <si>
    <t>4680942660928</t>
  </si>
  <si>
    <t>280751</t>
  </si>
  <si>
    <t>Новогод ёлоч подвеска "Цыпленок".Модель из дерева. 8см 2х стр. ЛИЦЕНЗИЯ/Ми-ми-мишки НУП-6097</t>
  </si>
  <si>
    <t>НУП-6097</t>
  </si>
  <si>
    <t>4680942660973</t>
  </si>
  <si>
    <t>279637</t>
  </si>
  <si>
    <t>Набор дер. ёлочных украшений с прищепкой "Милые друзья" 5 шт ЛИЦЕНЗИЯ/Ми-Ми-Мишки! НУ-5730</t>
  </si>
  <si>
    <t>НУ-5730</t>
  </si>
  <si>
    <t>4680942657300</t>
  </si>
  <si>
    <t>МОСФИЛЬМ</t>
  </si>
  <si>
    <t>278211</t>
  </si>
  <si>
    <t>Новогоднее подвес. украш. из пластика "Джентельмены удачи" 6*8 см соб.раз ЛИЦЕНЗИЯ/Мосфильм НУП-5138</t>
  </si>
  <si>
    <t>НУП-5138</t>
  </si>
  <si>
    <t>4680942651384</t>
  </si>
  <si>
    <t>278213</t>
  </si>
  <si>
    <t>Новогоднее подвес. украш. из пластика "Кавказская пленница"6*8 см соб.раз ЛИЦЕНЗИЯ/Мосфильм НУП-5140</t>
  </si>
  <si>
    <t>НУП-5140</t>
  </si>
  <si>
    <t>4680942651407</t>
  </si>
  <si>
    <t>278209</t>
  </si>
  <si>
    <t>Новогоднее подвес. украшение из пластика"Карнавальная ночь"6*8 см соб.раз ЛИЦЕНЗИЯ/Мосфильм НУП-5136</t>
  </si>
  <si>
    <t>НУП-5136</t>
  </si>
  <si>
    <t>4680942651360</t>
  </si>
  <si>
    <t>278210</t>
  </si>
  <si>
    <t>Новогоднее подвес.украш. из пластика "Бриллиантовая рука"6*8 см соб.раз ЛИЦЕНЗИЯ/Мосфильм НУП-5137</t>
  </si>
  <si>
    <t>НУП-5137</t>
  </si>
  <si>
    <t>4680942651377</t>
  </si>
  <si>
    <t>278208</t>
  </si>
  <si>
    <t>Новогоднее подвесное украшение из пластика "Ирония судьбы" 6*8 см соб.раз ЛИЦЕНЗИЯ/Мосфильм НУП-5135</t>
  </si>
  <si>
    <t>НУП-5135</t>
  </si>
  <si>
    <t>4680942651353</t>
  </si>
  <si>
    <t>278212</t>
  </si>
  <si>
    <t>Новогоднее подвесное украшение из пластика "С легким паром"6*8 см соб.раз ЛИЦЕНЗИЯ/Мосфильм НУП-5139</t>
  </si>
  <si>
    <t>НУП-5139</t>
  </si>
  <si>
    <t>4680942651391</t>
  </si>
  <si>
    <t>278214</t>
  </si>
  <si>
    <t>Новогоднее подвесное украшение из пластика "Шурик" 6*8 см соб.раз ЛИЦЕНЗИЯ/Мосфильм НУП-5141</t>
  </si>
  <si>
    <t>НУП-5141</t>
  </si>
  <si>
    <t>4680942651414</t>
  </si>
  <si>
    <t>278206</t>
  </si>
  <si>
    <t>Новогоднее подвесное украшение из пластика"Иван Васильевич"6*8 см соб.раз ЛИЦЕНЗИЯ/Мосфильм НУП-5134</t>
  </si>
  <si>
    <t>НУП-5134</t>
  </si>
  <si>
    <t>4680942651346</t>
  </si>
  <si>
    <t>ТРИ КОТА</t>
  </si>
  <si>
    <t>267495</t>
  </si>
  <si>
    <t>Новогоднее окон укр  с раскраской "Коты у ёлки" 30х40 см(собств.разработка)ЛИЦЕНЗИЯ/Три кота НУ-7775</t>
  </si>
  <si>
    <t>НУ-7775</t>
  </si>
  <si>
    <t>4640520777318</t>
  </si>
  <si>
    <t>267494</t>
  </si>
  <si>
    <t>Новогоднее оконное украш. "Коты с подарками" 25х25 см (собств. разработка) ЛИЦЕНЗИЯ/Три кота НУ-7774</t>
  </si>
  <si>
    <t>НУ-7774</t>
  </si>
  <si>
    <t>4640520777301</t>
  </si>
  <si>
    <t>272644</t>
  </si>
  <si>
    <t>Магниты из полирезины "Дружные котята" 12шт 3диз.4шт в кор, соб.раз, ЛИЦЕНЗИЯ/Три кота ННУ-2118</t>
  </si>
  <si>
    <t>ННУ-2118</t>
  </si>
  <si>
    <t>4680942621189</t>
  </si>
  <si>
    <t>266041</t>
  </si>
  <si>
    <t>Квест по поиску подарка с наклейками "Котята и Новый год"ЛИЦЕНЗИЯ/"Три кота.Зимние каникулы"ИКВ-9151</t>
  </si>
  <si>
    <t>ИКВ-9151</t>
  </si>
  <si>
    <t>4670159291510</t>
  </si>
  <si>
    <t>275628</t>
  </si>
  <si>
    <t>Набор новогод. ёлочных подвесок"Добрые котики".Модель из дерева.3шт 2х стр. ЛИЦЕНЗИЯ/Три кота 127180</t>
  </si>
  <si>
    <t>127180</t>
  </si>
  <si>
    <t>4680788242463</t>
  </si>
  <si>
    <t>275627</t>
  </si>
  <si>
    <t>Набор новогод. ёлочных подвесок"Милые котята".Модель из дерева. 6шт 2х стр. ЛИЦЕНЗИЯ/Три кота 127179</t>
  </si>
  <si>
    <t>127179</t>
  </si>
  <si>
    <t>4680788242456</t>
  </si>
  <si>
    <t>275762</t>
  </si>
  <si>
    <t>Набор флажков "Новогодние котята" 11*7см,10шт, 2м бечев. Модель из дерева,ЛИЦЕНЗИЯ/Три-Кота 127205</t>
  </si>
  <si>
    <t>127205</t>
  </si>
  <si>
    <t>4680788242319</t>
  </si>
  <si>
    <t>275626</t>
  </si>
  <si>
    <t>Новогодняя ёлочная подвеска "Котенок и подарки" Модель из дерева. 2-х стор ЛИЦЕНЗИЯ/Три кота 127178</t>
  </si>
  <si>
    <t>127178</t>
  </si>
  <si>
    <t>4680788242449</t>
  </si>
  <si>
    <t>275622</t>
  </si>
  <si>
    <t>Новогодняя ёлочная подвеска "Котик и Снеговик" Модель из дерева. 2-х стор ЛИЦЕНЗИЯ/Три кота 127175</t>
  </si>
  <si>
    <t>127175</t>
  </si>
  <si>
    <t>4680788242418</t>
  </si>
  <si>
    <t>275620</t>
  </si>
  <si>
    <t>Новогодняя ёлочная подвеска "Котик с подарком" Модель из дерева. 2-х стор ЛИЦЕНЗИЯ/Три кота 127173</t>
  </si>
  <si>
    <t>127173</t>
  </si>
  <si>
    <t>4680788242395</t>
  </si>
  <si>
    <t>275621</t>
  </si>
  <si>
    <t>Новогодняя ёлочная подвеска "Кошечка с ёлочкой" Модель из дерева. 2-х стор ЛИЦЕНЗИЯ/Три кота 127174</t>
  </si>
  <si>
    <t>127174</t>
  </si>
  <si>
    <t>4680788242401</t>
  </si>
  <si>
    <t>275625</t>
  </si>
  <si>
    <t>Новогодняя ёлочная подвеска "Кошечка с подарками"Модель из дерева. 2-х стор ЛИЦЕНЗИЯ/Три кота 127177</t>
  </si>
  <si>
    <t>127177</t>
  </si>
  <si>
    <t>4680788242432</t>
  </si>
  <si>
    <t>275623</t>
  </si>
  <si>
    <t>Новогодняя ёлочная подвеска "Уютный котик"Модель из дерева. 2-х стор ЛИЦЕНЗИЯ/Три кота 127176</t>
  </si>
  <si>
    <t>127176</t>
  </si>
  <si>
    <t>4680788242425</t>
  </si>
  <si>
    <t>272418</t>
  </si>
  <si>
    <t>Набор дер. ёлочных украшений с прищепкой 5 шт "Дружные котики" ЛИЦЕНЗИЯ/Три Кота НУ-1871</t>
  </si>
  <si>
    <t>НУ-1871</t>
  </si>
  <si>
    <t>4680942618714</t>
  </si>
  <si>
    <t>274556</t>
  </si>
  <si>
    <t>Набор новог. подвесных украш. из пластика "Три котенка" 3шт (собс.раз.) ЛИЦЕНЗИЯ/Три кота НУП-2993</t>
  </si>
  <si>
    <t>НУП-2993</t>
  </si>
  <si>
    <t>4680942629932</t>
  </si>
  <si>
    <t>274555</t>
  </si>
  <si>
    <t>Набор новогодних подвесных украшений из пластика "Семья" 5шт (собс.раз.) ЛИЦЕНЗИЯ/Три кота НУП-2992</t>
  </si>
  <si>
    <t>НУП-2992</t>
  </si>
  <si>
    <t>4680942629925</t>
  </si>
  <si>
    <t>274560</t>
  </si>
  <si>
    <t>Новогоднее подвесное украшение из пластика "Котенок сынок"(собств.раз.) ЛИЦЕНЗИЯ/Три кота НУП-2979</t>
  </si>
  <si>
    <t>НУП-2979</t>
  </si>
  <si>
    <t>4680942629796</t>
  </si>
  <si>
    <t>274559</t>
  </si>
  <si>
    <t>Новогоднее подвесное украшение из пластика "Котёнок" (собств.раз.) ЛИЦЕНЗИЯ/Три кота НУП-2978</t>
  </si>
  <si>
    <t>НУП-2978</t>
  </si>
  <si>
    <t>4680942629789</t>
  </si>
  <si>
    <t>274561</t>
  </si>
  <si>
    <t>Новогоднее подвесное украшение из пластика "Кошечка" (собств.раз.) ЛИЦЕНЗИЯ/Три кота НУП-2980</t>
  </si>
  <si>
    <t>НУП-2980</t>
  </si>
  <si>
    <t>4680942629802</t>
  </si>
  <si>
    <t>272615</t>
  </si>
  <si>
    <t>Полирезиновая подвеска Компот с кружкой , 6,5х3,8 см соб.разб. ЛИЦЕНЗИЯ/Три кота НУП-2063</t>
  </si>
  <si>
    <t>НУП-2063</t>
  </si>
  <si>
    <t>4680942620632</t>
  </si>
  <si>
    <t>272618</t>
  </si>
  <si>
    <t>Полирезиновая подвеска Коржик с подарком, 6х2,9 см, соб.разб. ЛИЦЕНЗИЯ/Три кота НУП-2064</t>
  </si>
  <si>
    <t>НУП-2064</t>
  </si>
  <si>
    <t>4680942620649</t>
  </si>
  <si>
    <t>270721</t>
  </si>
  <si>
    <t>Новог. украш.. Елочный стеклянный шар  "Кот у ёлочки", 8 см,  соб.разб. ЛИЦЕНЗИЯ/Три кота НУ-0715</t>
  </si>
  <si>
    <t>НУ-0715</t>
  </si>
  <si>
    <t>4680942609316</t>
  </si>
  <si>
    <t>270719</t>
  </si>
  <si>
    <t>Новог. украш.. Елочный стеклянный шар  "Коты у ёлки", 8 см,  соб.разб. ЛИЦЕНЗИЯ/Три кота НУ-0714</t>
  </si>
  <si>
    <t>НУ-0714</t>
  </si>
  <si>
    <t>4680942609309</t>
  </si>
  <si>
    <t>270723</t>
  </si>
  <si>
    <t>Новог. украш.. Елочный стеклянный шар  "Кошечка у ёлки", 8 см,  соб.разб. ЛИЦЕНЗИЯ/Три кота НУ-0717</t>
  </si>
  <si>
    <t>НУ-0717</t>
  </si>
  <si>
    <t>4680942609330</t>
  </si>
  <si>
    <t>ЧЕБУРАШКА</t>
  </si>
  <si>
    <t>ЧЕБУРАШКА (МУЛЬТСЕРИАЛ)</t>
  </si>
  <si>
    <t>279633</t>
  </si>
  <si>
    <t>Набор дер. ёлочных украшений с прищепкой "Веселая компания" 5 шт ЛИЦЕНЗИЯ/Чебурашка! НУ-5729</t>
  </si>
  <si>
    <t>НУ-5729</t>
  </si>
  <si>
    <t>4680942657294</t>
  </si>
  <si>
    <t>280518</t>
  </si>
  <si>
    <t>Набор новогод.ёлочных подвесок"Милые друзья".Модель из дерева.6шт 2х стр.ЛИЦЕНЗИЯ/Чебурашка НУП-6059</t>
  </si>
  <si>
    <t>НУП-6059</t>
  </si>
  <si>
    <t>4680942660591</t>
  </si>
  <si>
    <t>279345</t>
  </si>
  <si>
    <t>Набор флажков "Чебурашка", 11*7см, 10шт, 2м бечевки. Модель из дерева,ЛИЦЕНЗИЯ/Чебурашка м/с НФ-5427</t>
  </si>
  <si>
    <t>НФ-5427</t>
  </si>
  <si>
    <t>4680942654279</t>
  </si>
  <si>
    <t>280524</t>
  </si>
  <si>
    <t>Новогод. ёлоч.подвес"Чебурашка на апельсине".Модель из дерева.10см 2х ст. ЛИЦЕНЗИЯ/ЧебурашкаНУП-6061</t>
  </si>
  <si>
    <t>НУП-6061</t>
  </si>
  <si>
    <t>4680942660614</t>
  </si>
  <si>
    <t>280519</t>
  </si>
  <si>
    <t>Новогодняя ёлочная подвеска "Крокодил".Модель из дерева. 8см 2х стр. ЛИЦЕНЗИЯ/Чебурашка НУП-6060</t>
  </si>
  <si>
    <t>НУП-6060</t>
  </si>
  <si>
    <t>4680942660607</t>
  </si>
  <si>
    <t>280521</t>
  </si>
  <si>
    <t>Новогодняя ёлочная подвеска "Шапокляк".Модель из дерева. 9см 2х стр. ЛИЦЕНЗИЯ/Чебурашка НУП-6062</t>
  </si>
  <si>
    <t>НУП-6062</t>
  </si>
  <si>
    <t>4680942660621</t>
  </si>
  <si>
    <t>ЧЕБУРАШКА (ФИЛЬМ)</t>
  </si>
  <si>
    <t>Винил</t>
  </si>
  <si>
    <t>237458</t>
  </si>
  <si>
    <t>Виниловый магнит круглый 67 мм "Новогодний Чебурашка" кр.8 шт, ЛИЦЕНЗИЯ/Чебурашка Т-1246</t>
  </si>
  <si>
    <t>Т-1246</t>
  </si>
  <si>
    <t>4670159212461</t>
  </si>
  <si>
    <t>Полирезина</t>
  </si>
  <si>
    <t>234983</t>
  </si>
  <si>
    <t>Магнит из полирезины  Озорной Чебурашка, 7 см ЛИЦЕНЗИЯ/Чебурашка Т-9966</t>
  </si>
  <si>
    <t>Т-9966</t>
  </si>
  <si>
    <t>4670159199540</t>
  </si>
  <si>
    <t>234984</t>
  </si>
  <si>
    <t>Магнит из полирезины  Чебурашка с подарочком, 7 см ЛИЦЕНЗИЯ/Чебурашка Т-9967</t>
  </si>
  <si>
    <t>Т-9967</t>
  </si>
  <si>
    <t>4670159199557</t>
  </si>
  <si>
    <t>234986</t>
  </si>
  <si>
    <t>Магнит из полирезины  Чебурашка с шариком, 7 см ЛИЦЕНЗИЯ/Чебурашка Т-9969</t>
  </si>
  <si>
    <t>Т-9969</t>
  </si>
  <si>
    <t>4670159199571</t>
  </si>
  <si>
    <t>234985</t>
  </si>
  <si>
    <t>Магнит из полирезины  Чебурашка со снежком, 7 см ЛИЦЕНЗИЯ/Чебурашка Т-9968</t>
  </si>
  <si>
    <t>Т-9968</t>
  </si>
  <si>
    <t>4670159199564</t>
  </si>
  <si>
    <t>252854</t>
  </si>
  <si>
    <t>Магнит из полирезины Чебурашка в шапке, 7 см ЛИЦЕНЗИЯ/Чебурашка Т-2781</t>
  </si>
  <si>
    <t>Т-2781</t>
  </si>
  <si>
    <t>4640306927821</t>
  </si>
  <si>
    <t>234979</t>
  </si>
  <si>
    <t>Магнит из полирезины Чебурашка в шлеме, 7 см ЛИЦЕНЗИЯ/Чебурашка Т-9962</t>
  </si>
  <si>
    <t>Т-9962</t>
  </si>
  <si>
    <t>4670159199502</t>
  </si>
  <si>
    <t>252853</t>
  </si>
  <si>
    <t>Магнит из полирезины Чебурашка с леденцом, 7 см ЛИЦЕНЗИЯ/Чебурашка Т-2780</t>
  </si>
  <si>
    <t>Т-2780</t>
  </si>
  <si>
    <t>4640306927814</t>
  </si>
  <si>
    <t>237437</t>
  </si>
  <si>
    <t>Адвент-календарь с крафт-пакетами "Чебурашка и Новый год",  ЛИЦЕНЗИЯ/Чебурашка АК-9102</t>
  </si>
  <si>
    <t>АК-9102</t>
  </si>
  <si>
    <t>4670159211020</t>
  </si>
  <si>
    <t>228299</t>
  </si>
  <si>
    <t>Игра-квест по поиску подарка(детский) "Новогодние приключения Чебурашки" ЛИЦЕНЗИЯ/Чебурашка ИКВ-7067</t>
  </si>
  <si>
    <t>ИКВ-7067</t>
  </si>
  <si>
    <t>4670159170679</t>
  </si>
  <si>
    <t>237438</t>
  </si>
  <si>
    <t>Новог пазл с пожел("Новогодние пожелания от Чебурашки") 24 эл.(10шт в ш/б)ЛИЦЕНЗИЯ/Чебурашка ИН-9101</t>
  </si>
  <si>
    <t>ИН-9101</t>
  </si>
  <si>
    <t>4670159211013</t>
  </si>
  <si>
    <t>261122</t>
  </si>
  <si>
    <t>Снежный шар "Чебурашка с подарками", 10 см, (Собс.разр) ЛИЦЕНЗИЯ/Чебурашка, Т-7808</t>
  </si>
  <si>
    <t>Т-7808</t>
  </si>
  <si>
    <t>4630493778085</t>
  </si>
  <si>
    <t>261120</t>
  </si>
  <si>
    <t>Снежный шар "Чебурашка с шаром", 6,5 см (Собс.разр) ЛИЦЕНЗИЯ/Чебурашка, Т-7806</t>
  </si>
  <si>
    <t>Т-7806</t>
  </si>
  <si>
    <t>4630493778061</t>
  </si>
  <si>
    <t>261121</t>
  </si>
  <si>
    <t>Снежный шар. "Чебурашка со снежком", 6,5см (собс.разр.) ЛИЦЕНЗИЯ/Чебурашка Т-7807</t>
  </si>
  <si>
    <t>Т-7807</t>
  </si>
  <si>
    <t>4630493778078</t>
  </si>
  <si>
    <t>236249</t>
  </si>
  <si>
    <t>Набор новогод. двухслой. ёлоч. подвес. из дерева"Чебурашка"6шт. Cоб.раз. ЛИЦЕНЗИЯ/Чебурашка НДУ-0606</t>
  </si>
  <si>
    <t>НДУ-0606</t>
  </si>
  <si>
    <t>4670159206064</t>
  </si>
  <si>
    <t>236247</t>
  </si>
  <si>
    <t>Новог. ёлоч. подвес.из дерева двухс."Чебурашка в шарфике"9х7,5см Cоб.раз.ЛИЦЕНЗИЯ/Чебурашка НДУ-0605</t>
  </si>
  <si>
    <t>НДУ-0605</t>
  </si>
  <si>
    <t>4670159206057</t>
  </si>
  <si>
    <t>236242</t>
  </si>
  <si>
    <t>Новог. ёлоч.подвес.из дерева двух."Чебурашка и снеговик"9х6,5см Cоб.раз. ЛИЦЕНЗИЯ/Чебурашка НДУ-0602</t>
  </si>
  <si>
    <t>НДУ-0602</t>
  </si>
  <si>
    <t>4670159206026</t>
  </si>
  <si>
    <t>236244</t>
  </si>
  <si>
    <t>Новог. ёлоч.подвес.из дерева двухс."Чебурашка с подарком"9х7,5см Cоб.раз.ЛИЦЕНЗИЯ/Чебурашка НДУ-0603</t>
  </si>
  <si>
    <t>НДУ-0603</t>
  </si>
  <si>
    <t>4670159206033</t>
  </si>
  <si>
    <t>236241</t>
  </si>
  <si>
    <t>Новог.ёлоч. подвес из дерева двухсл. "Чебурашка с шариком"9х7см Cоб.раз. ЛИЦЕНЗИЯ/Чебурашка НДУ-0601</t>
  </si>
  <si>
    <t>НДУ-0601</t>
  </si>
  <si>
    <t>4670159206019</t>
  </si>
  <si>
    <t>236246</t>
  </si>
  <si>
    <t>Новогод. ёлоч. подвес. из дерева двухс. "Чебурашка и апельсины" Cоб.раз. ЛИЦЕНЗИЯ/Чебурашка НДУ-0604</t>
  </si>
  <si>
    <t>НДУ-0604</t>
  </si>
  <si>
    <t>4670159206040</t>
  </si>
  <si>
    <t>236239</t>
  </si>
  <si>
    <t>Новогод.ёлоч.подвес.из дерева двухс."Чебурашка в шапке"9х7,5см Cобс.раз. ЛИЦЕНЗИЯ/Чебурашка НДУ-0600</t>
  </si>
  <si>
    <t>НДУ-0600</t>
  </si>
  <si>
    <t>4670159206002</t>
  </si>
  <si>
    <t>234987</t>
  </si>
  <si>
    <t>Подвеска из полирезины Озорной Чебурашка, 7,5 *8 см ЛИЦЕНЗИЯ/Чебурашка Т-9970</t>
  </si>
  <si>
    <t>Т-9970</t>
  </si>
  <si>
    <t>4670159199588</t>
  </si>
  <si>
    <t>252851</t>
  </si>
  <si>
    <t>Подвеска из полирезины Чебурашка в  шапке, 8 см ЛИЦЕНЗИЯ/Чебурашка Т-2778</t>
  </si>
  <si>
    <t>Т-2778</t>
  </si>
  <si>
    <t>4640306927791</t>
  </si>
  <si>
    <t>234988</t>
  </si>
  <si>
    <t>Подвеска из полирезины Чебурашка в  шарфике, 7,5 *8 см ЛИЦЕНЗИЯ/Чебурашка Т-9971</t>
  </si>
  <si>
    <t>Т-9971</t>
  </si>
  <si>
    <t>4670159199595</t>
  </si>
  <si>
    <t>252852</t>
  </si>
  <si>
    <t>Подвеска из полирезины Чебурашка с леденцом, 8 см ЛИЦЕНЗИЯ/Чебурашка Т-2779</t>
  </si>
  <si>
    <t>Т-2779</t>
  </si>
  <si>
    <t>4640306927807</t>
  </si>
  <si>
    <t>234989</t>
  </si>
  <si>
    <t>Подвеска из полирезины Чебурашка с подарочком, 7,5 *8 см ЛИЦЕНЗИЯ/Чебурашка Т-9972</t>
  </si>
  <si>
    <t>Т-9972</t>
  </si>
  <si>
    <t>4670159199601</t>
  </si>
  <si>
    <t>234990</t>
  </si>
  <si>
    <t>Подвеска из полирезины Чебурашка с шариком, 7,5 *8 см ЛИЦЕНЗИЯ/Чебурашка Т-9973</t>
  </si>
  <si>
    <t>Т-9973</t>
  </si>
  <si>
    <t>4670159199618</t>
  </si>
  <si>
    <t>Формовой пластик</t>
  </si>
  <si>
    <t>255399</t>
  </si>
  <si>
    <t>Новог. подвес. украш. из пластика "Чебурашка с подарком" 8см соб.раз. ЛИЦЕНЗИЯ/Чебурашка НУ-0366</t>
  </si>
  <si>
    <t>НУ-0366</t>
  </si>
  <si>
    <t>4630493770409</t>
  </si>
  <si>
    <t>235058</t>
  </si>
  <si>
    <t>Новог. подвес. украш. из пластика "Чебурашка с шариком" 10*9см ЛИЦЕНЗИЯ/Чебурашка НУ-9903</t>
  </si>
  <si>
    <t>НУ-9903</t>
  </si>
  <si>
    <t>4670159197966</t>
  </si>
  <si>
    <t>255398</t>
  </si>
  <si>
    <t>Новог. подвес.украш.из пластика "Чебурашка с мешком подарков" 8см соб.раз ЛИЦЕНЗИЯ/Чебурашка НУ-0365</t>
  </si>
  <si>
    <t>НУ-0365</t>
  </si>
  <si>
    <t>4630493770393</t>
  </si>
  <si>
    <t>274551</t>
  </si>
  <si>
    <t>Новогоднее подвесное украшение из пластика "Телевизор" (соб.раз.) ЛИЦЕНЗИЯ/Чебурашка НУП-2996</t>
  </si>
  <si>
    <t>НУП-2996</t>
  </si>
  <si>
    <t>4680942629963</t>
  </si>
  <si>
    <t>235059</t>
  </si>
  <si>
    <t>Новогоднее подвесное украшение из пластика "Чебурашка в шарфике", 10*9 см ЛИЦЕНЗИЯ/Чебурашка НУ-9904</t>
  </si>
  <si>
    <t>НУ-9904</t>
  </si>
  <si>
    <t>4670159197973</t>
  </si>
  <si>
    <t>Стеклянные ёлочные шары</t>
  </si>
  <si>
    <t>Стеклянные ёлочные шары 6 см</t>
  </si>
  <si>
    <t>235709</t>
  </si>
  <si>
    <t>Елочный стеклянный шар "Чебурашка и звездочка", 6 см (собств.разраб.) ЛИЦЕНЗИЯ/Чебурашка НУ-0340</t>
  </si>
  <si>
    <t>НУ-0340</t>
  </si>
  <si>
    <t>4670159203407</t>
  </si>
  <si>
    <t>235710</t>
  </si>
  <si>
    <t>Елочный стеклянный шар "Чебурашка и подарки", 6 см (собств.разраб.) ЛИЦЕНЗИЯ/Чебурашка НУ-0341</t>
  </si>
  <si>
    <t>НУ-0341</t>
  </si>
  <si>
    <t>4670159203414</t>
  </si>
  <si>
    <t>246237</t>
  </si>
  <si>
    <t>Набор ёлочных стеклянных шаров "Чебурашка", 6 см, 4 шт, ЛИЦЕНЗИЯ/Чебурашка НУ-2147</t>
  </si>
  <si>
    <t>НУ-2147</t>
  </si>
  <si>
    <t>4640306921492</t>
  </si>
  <si>
    <t>Стеклянные ёлочные шары 8 см</t>
  </si>
  <si>
    <t>276476</t>
  </si>
  <si>
    <t>Елочный стеклянный шар  " Чебурашка с апельсином",синий, 8см, (соб.разб.)ЛИЦЕНЗИЯ/Чебурашка ШЕН-4297</t>
  </si>
  <si>
    <t>ШЕН-4297</t>
  </si>
  <si>
    <t>4680942642979</t>
  </si>
  <si>
    <t>276474</t>
  </si>
  <si>
    <t>Елочный стеклянный шар  "Чебурашка в колпаке",золотистый,8см,(соб.разб.)ЛИЦЕНЗИЯ/Чебурашка ШЕН-4295</t>
  </si>
  <si>
    <t>ШЕН-4295</t>
  </si>
  <si>
    <t>4680942642955</t>
  </si>
  <si>
    <t>235707</t>
  </si>
  <si>
    <t>Елочный стеклянный шар "Чебурашка и апельсины", 8 см (собств.разраб.) ЛИЦЕНЗИЯ/Чебурашка НУ-0339</t>
  </si>
  <si>
    <t>НУ-0339</t>
  </si>
  <si>
    <t>4670159203391</t>
  </si>
  <si>
    <t>276470</t>
  </si>
  <si>
    <t>Елочный стеклянный шар "Чебурашка и апельсины", красный, 8 см,(соб.разб.)ЛИЦЕНЗИЯ/Чебурашка ШЕН-4294</t>
  </si>
  <si>
    <t>ШЕН-4294</t>
  </si>
  <si>
    <t>4680942642948</t>
  </si>
  <si>
    <t>235706</t>
  </si>
  <si>
    <t>Елочный стеклянный шар "Чебурашка и клюшка", 8 см (собств.разраб.) ЛИЦЕНЗИЯ/Чебурашка НУ-0338</t>
  </si>
  <si>
    <t>НУ-0338</t>
  </si>
  <si>
    <t>4670159203384</t>
  </si>
  <si>
    <t>235702</t>
  </si>
  <si>
    <t>Елочный стеклянный шар "Чебурашка и снеговик", 8 см (собств.разраб.) ЛИЦЕНЗИЯ/Чебурашка НУ-0336</t>
  </si>
  <si>
    <t>НУ-0336</t>
  </si>
  <si>
    <t>4670159203360</t>
  </si>
  <si>
    <t>235704</t>
  </si>
  <si>
    <t>Елочный стеклянный шар "Чебурашка и шарик", 8 см (собств.разраб.) ЛИЦЕНЗИЯ/Чебурашка НУ-0337</t>
  </si>
  <si>
    <t>НУ-0337</t>
  </si>
  <si>
    <t>4670159203377</t>
  </si>
  <si>
    <t>246236</t>
  </si>
  <si>
    <t>Набор ёлочных стеклянных шаров "Чебурашка", 8 см, 4шт, ЛИЦЕНЗИЯ/Чебурашка НУ-2146</t>
  </si>
  <si>
    <t>НУ-2146</t>
  </si>
  <si>
    <t>4640306921485</t>
  </si>
  <si>
    <t>03 СУВЕНИРЫ, ПОДАРКИ, ДЕКОР</t>
  </si>
  <si>
    <t>01 Гирлянды</t>
  </si>
  <si>
    <t>Гирлянды из ёлки</t>
  </si>
  <si>
    <t>Литые</t>
  </si>
  <si>
    <t>200650</t>
  </si>
  <si>
    <t>Ёлочная гирлянда "Сваг", без украшений, 100*12*38 см,155 веток, литая НУ-1948</t>
  </si>
  <si>
    <t>НУ-1948</t>
  </si>
  <si>
    <t>4670159019985</t>
  </si>
  <si>
    <t>200652</t>
  </si>
  <si>
    <t>Ёлочная гирлянда "Сваг", заснеженная с ягодами, 113*18*35 см,155 веток, литая НУ-2030</t>
  </si>
  <si>
    <t>НУ-2030</t>
  </si>
  <si>
    <t>4670159020004</t>
  </si>
  <si>
    <t>200651</t>
  </si>
  <si>
    <t>Ёлочная гирлянда "Сваг", заснеженная, 108*18*35 см,155 веток, литая НУ-1949</t>
  </si>
  <si>
    <t>НУ-1949</t>
  </si>
  <si>
    <t>4670159019992</t>
  </si>
  <si>
    <t>200653</t>
  </si>
  <si>
    <t>Ёлочная гирлянда без украшений Классика, 18*10*200 см,195 веток. НУ-2031</t>
  </si>
  <si>
    <t>НУ-2031</t>
  </si>
  <si>
    <t>4670159020011</t>
  </si>
  <si>
    <t>200654</t>
  </si>
  <si>
    <t>Ёлочная гирлянда без украшений Классика, заснеженная, 20*20*200 см,284 ветки. НУ-2032</t>
  </si>
  <si>
    <t>НУ-2032</t>
  </si>
  <si>
    <t>4670159020028</t>
  </si>
  <si>
    <t>ПВХ</t>
  </si>
  <si>
    <t>203376</t>
  </si>
  <si>
    <t>Ёлочная гирлянда "Зимняя сказка", 150см, 155 веток. НУ-1967</t>
  </si>
  <si>
    <t>НУ-1967</t>
  </si>
  <si>
    <t>4670159019671</t>
  </si>
  <si>
    <t>187674</t>
  </si>
  <si>
    <t>Ёлочная гирлянда без украшений 250 см 180 веток НГУ-5546</t>
  </si>
  <si>
    <t>НГУ-5546</t>
  </si>
  <si>
    <t>4620129755467</t>
  </si>
  <si>
    <t>187676</t>
  </si>
  <si>
    <t>Ёлочная гирлянда без украшений 250 см 220 веток НГУ-5547</t>
  </si>
  <si>
    <t>НГУ-5547</t>
  </si>
  <si>
    <t>4620129755474</t>
  </si>
  <si>
    <t>187683</t>
  </si>
  <si>
    <t>Ёлочная гирлянда без украшений 3 м, 300 веток. НГУ-5550</t>
  </si>
  <si>
    <t>НГУ-5550</t>
  </si>
  <si>
    <t>4620129755504</t>
  </si>
  <si>
    <t>187689</t>
  </si>
  <si>
    <t>Ёлочная гирлянда с шишками 3 м, 300 веток. НГУ-5553</t>
  </si>
  <si>
    <t>НГУ-5553</t>
  </si>
  <si>
    <t>4620129755535</t>
  </si>
  <si>
    <t>187684</t>
  </si>
  <si>
    <t>Ёлочная гирлянда с шишками и красными ягодами 3 м, 300 веток. НГУ-5551</t>
  </si>
  <si>
    <t>НГУ-5551</t>
  </si>
  <si>
    <t>4620129755511</t>
  </si>
  <si>
    <t>187691</t>
  </si>
  <si>
    <t>Ёлочная гирлянда с шишками, заснеженная 3 м,280 веток. НГУ-5554</t>
  </si>
  <si>
    <t>НГУ-5554</t>
  </si>
  <si>
    <t>4620129755542</t>
  </si>
  <si>
    <t>187686</t>
  </si>
  <si>
    <t>Ёлочная гирлянда шишками и красными ягодами, пышная 3 м,300 веток. НГУ-5552</t>
  </si>
  <si>
    <t>НГУ-5552</t>
  </si>
  <si>
    <t>4620129755528</t>
  </si>
  <si>
    <t>Электрические гирлянды</t>
  </si>
  <si>
    <t>1 MiLED (СТМ )</t>
  </si>
  <si>
    <t>Для помещений</t>
  </si>
  <si>
    <t>Занавесы</t>
  </si>
  <si>
    <t>232638</t>
  </si>
  <si>
    <t>MILED Гирлянда Занавес. 2*1,5 м 80 ламп, холодный белый свет, 8 режимов ГЗ-0036</t>
  </si>
  <si>
    <t>ГЗ-0036</t>
  </si>
  <si>
    <t>4670159184904</t>
  </si>
  <si>
    <t>232644</t>
  </si>
  <si>
    <t>MILED Гирлянда Занавес. 3*2,7 м 210 ламп, тёплый белый свет, 8 режимов ГЗ-0039</t>
  </si>
  <si>
    <t>ГЗ-0039</t>
  </si>
  <si>
    <t>4670159184935</t>
  </si>
  <si>
    <t>232645</t>
  </si>
  <si>
    <t>MILED Гирлянда Занавес. 3*2,7 м 210 ламп, холодный белый свет, 8 режимов ГЗ-0044</t>
  </si>
  <si>
    <t>ГЗ-0044</t>
  </si>
  <si>
    <t>4670159187714</t>
  </si>
  <si>
    <t>Метражные</t>
  </si>
  <si>
    <t>232631</t>
  </si>
  <si>
    <t>MILED Гирлянда метражная. 10 м 100 ламп, разноцветный свет, 8 режимов НУ-9781</t>
  </si>
  <si>
    <t>НУ-9781</t>
  </si>
  <si>
    <t>4670159184843</t>
  </si>
  <si>
    <t>232632</t>
  </si>
  <si>
    <t>MILED Гирлянда метражная. 10 м 100 ламп, синий свет, 8 режимов НУ-9782</t>
  </si>
  <si>
    <t>НУ-9782</t>
  </si>
  <si>
    <t>4670159184850</t>
  </si>
  <si>
    <t>232628</t>
  </si>
  <si>
    <t>MILED Гирлянда метражная. 10 м 100 ламп, тёплый белый свет, 8 режимов НУ-9790</t>
  </si>
  <si>
    <t>НУ-9790</t>
  </si>
  <si>
    <t>4670159184829</t>
  </si>
  <si>
    <t>232630</t>
  </si>
  <si>
    <t>MILED Гирлянда метражная. 10 м 100 ламп, холодный белый свет, 8 режимов НУ-9780</t>
  </si>
  <si>
    <t>НУ-9780</t>
  </si>
  <si>
    <t>4670159184836</t>
  </si>
  <si>
    <t>232636</t>
  </si>
  <si>
    <t>MILED Гирлянда метражная. 25 м 250 ламп, разноцветный свет, 8 режимов НУ-9785</t>
  </si>
  <si>
    <t>НУ-9785</t>
  </si>
  <si>
    <t>4670159184881</t>
  </si>
  <si>
    <t>232633</t>
  </si>
  <si>
    <t>MILED Гирлянда метражная. 25 м 250 ламп, тёплый белый свет, 8 режимов НУ-9783</t>
  </si>
  <si>
    <t>НУ-9783</t>
  </si>
  <si>
    <t>4670159184867</t>
  </si>
  <si>
    <t>232635</t>
  </si>
  <si>
    <t>MILED Гирлянда метражная. 25 м 250 ламп, холодный белый свет, 8 режимов НУ-9784</t>
  </si>
  <si>
    <t>НУ-9784</t>
  </si>
  <si>
    <t>4670159184874</t>
  </si>
  <si>
    <t>257570</t>
  </si>
  <si>
    <t>MILED Светодиодная "Умная" лента, 10м, 100 ламп RGB, IP44,16млн цветов, пульт,Bluetooth,APP, НУ-9799</t>
  </si>
  <si>
    <t>НУ-9799</t>
  </si>
  <si>
    <t>4630493773646</t>
  </si>
  <si>
    <t>Проволоки</t>
  </si>
  <si>
    <t>257478</t>
  </si>
  <si>
    <t>MILED гирлянда роса "Хвойная лапа", 10м, 300ламп,8 реж, зелёный провод, хол.белый свет,220V, ГП-0007</t>
  </si>
  <si>
    <t>ГП-0007</t>
  </si>
  <si>
    <t>4630493773592</t>
  </si>
  <si>
    <t>232705</t>
  </si>
  <si>
    <t>MILED Гирлянда-проволока. 10 м 100 ламп, 8 режимов, разноцветный свет, USB 5V НУ-3024</t>
  </si>
  <si>
    <t>НУ-3024</t>
  </si>
  <si>
    <t>4670159185055</t>
  </si>
  <si>
    <t>232702</t>
  </si>
  <si>
    <t>MILED Гирлянда-проволока. 10 м 100 ламп, 8 режимов, тёплый белый свет, USB 5V НУ-3022</t>
  </si>
  <si>
    <t>НУ-3022</t>
  </si>
  <si>
    <t>4670159185031</t>
  </si>
  <si>
    <t>232704</t>
  </si>
  <si>
    <t>MILED Гирлянда-проволока. 10 м 100 ламп, 8 режимов, холодный белый свет, USB 5V НУ-3023</t>
  </si>
  <si>
    <t>НУ-3023</t>
  </si>
  <si>
    <t>4670159185048</t>
  </si>
  <si>
    <t>232716</t>
  </si>
  <si>
    <t>MILED Гирлянда-проволока. 100 м 1000 ламп, 8 режимов, пульт, тёплый белый свет, 220V НУ-3030</t>
  </si>
  <si>
    <t>НУ-3030</t>
  </si>
  <si>
    <t>4670159185116</t>
  </si>
  <si>
    <t>232718</t>
  </si>
  <si>
    <t>MILED Гирлянда-проволока. 100 м 1000 ламп, 8 режимов, пульт, холодный белый свет, 220V НУ-3031</t>
  </si>
  <si>
    <t>НУ-3031</t>
  </si>
  <si>
    <t>4670159185123</t>
  </si>
  <si>
    <t>232711</t>
  </si>
  <si>
    <t>MILED Гирлянда-проволока. 20 м 200 ламп, 8 режимов, пульт, разноцветный свет, USB 5V НУ-3027</t>
  </si>
  <si>
    <t>НУ-3027</t>
  </si>
  <si>
    <t>4670159185086</t>
  </si>
  <si>
    <t>232707</t>
  </si>
  <si>
    <t>MILED Гирлянда-проволока. 20 м 200 ламп, 8 режимов, пульт, тёплый белый свет, USB 5V НУ-3025</t>
  </si>
  <si>
    <t>НУ-3025</t>
  </si>
  <si>
    <t>4670159185062</t>
  </si>
  <si>
    <t>232709</t>
  </si>
  <si>
    <t>MILED Гирлянда-проволока. 20 м 200 ламп, 8 режимов, пульт, холодный белый свет, USB 5V НУ-3026</t>
  </si>
  <si>
    <t>НУ-3026</t>
  </si>
  <si>
    <t>4670159185079</t>
  </si>
  <si>
    <t>232719</t>
  </si>
  <si>
    <t>MILED Гирлянда-проволока. 200 м 2000 ламп, 8 режимов, пульт, тёплый белый свет, 220V НУ-3032</t>
  </si>
  <si>
    <t>НУ-3032</t>
  </si>
  <si>
    <t>4670159185130</t>
  </si>
  <si>
    <t>232722</t>
  </si>
  <si>
    <t>MILED Гирлянда-проволока. 3*3 м 300 ламп, тёплый белый свет, 220 V НУ-3035</t>
  </si>
  <si>
    <t>НУ-3035</t>
  </si>
  <si>
    <t>4670159185161</t>
  </si>
  <si>
    <t>232720</t>
  </si>
  <si>
    <t>MILED Гирлянда-проволока. 3*3 м 300 ламп, тёплый белый свет, USB 5V НУ-3033</t>
  </si>
  <si>
    <t>НУ-3033</t>
  </si>
  <si>
    <t>4670159185147</t>
  </si>
  <si>
    <t>232721</t>
  </si>
  <si>
    <t>MILED Гирлянда-проволока. 3*3 м 300 ламп, холодный белый свет, USB 5V НУ-3034</t>
  </si>
  <si>
    <t>НУ-3034</t>
  </si>
  <si>
    <t>4670159185154</t>
  </si>
  <si>
    <t>232700</t>
  </si>
  <si>
    <t>MILED Гирлянда-проволока. 5 м 50 ламп, разноцветный свет, USB 5V НУ-3021</t>
  </si>
  <si>
    <t>НУ-3021</t>
  </si>
  <si>
    <t>4670159185024</t>
  </si>
  <si>
    <t>232697</t>
  </si>
  <si>
    <t>MILED Гирлянда-проволока. 5 м 50 ламп, тёплый белый свет, USB 5V НУ-3019</t>
  </si>
  <si>
    <t>НУ-3019</t>
  </si>
  <si>
    <t>4670159185000</t>
  </si>
  <si>
    <t>232699</t>
  </si>
  <si>
    <t>MILED Гирлянда-проволока. 5 м 50 ламп, холодный белый свет, USB 5V НУ-3020</t>
  </si>
  <si>
    <t>НУ-3020</t>
  </si>
  <si>
    <t>4670159185017</t>
  </si>
  <si>
    <t>232715</t>
  </si>
  <si>
    <t>MILED Гирлянда-проволока. 50 м 500 ламп, 8 режимов, пульт, холодный белый свет, 220V НУ-3029</t>
  </si>
  <si>
    <t>НУ-3029</t>
  </si>
  <si>
    <t>4670159185109</t>
  </si>
  <si>
    <t>232713</t>
  </si>
  <si>
    <t>Гирлянда-проволока. 50м 500 ламп,8реж., пульт, тёплый белый свет, 220V НУ-3028</t>
  </si>
  <si>
    <t>НУ-3028</t>
  </si>
  <si>
    <t>4670159185093</t>
  </si>
  <si>
    <t>Шторы</t>
  </si>
  <si>
    <t>232687</t>
  </si>
  <si>
    <t>MILED Гирлянда светодиодная. Штора. С фигур. 2,5*1 м , 92 ламп, , 8 реж., тепл. бел. свет ГШ-0024</t>
  </si>
  <si>
    <t>ГШ-0024</t>
  </si>
  <si>
    <t>4670159184966</t>
  </si>
  <si>
    <t>232688</t>
  </si>
  <si>
    <t>MILED Гирлянда светодиодная. Штора. С фигур. 2,5*1 м , 92 ламп, , 8 режим., холод. бел. свет ГШ-0025</t>
  </si>
  <si>
    <t>ГШ-0025</t>
  </si>
  <si>
    <t>4670159184973</t>
  </si>
  <si>
    <t>237435</t>
  </si>
  <si>
    <t>MILED Гирлянда светодиодная. Штора. С фигур. 2,5*1 м , 92 ламп, 8 режим., разноцветный свет  ГШ-0028</t>
  </si>
  <si>
    <t>ГШ-0028</t>
  </si>
  <si>
    <t>4670159206958</t>
  </si>
  <si>
    <t>237436</t>
  </si>
  <si>
    <t>MILED Гирлянда Штора. "Звездное небо" 2,5*1м 92 лампы,8реж., разноцветный свет ГШ-0029</t>
  </si>
  <si>
    <t>ГШ-0029</t>
  </si>
  <si>
    <t>4670159206965</t>
  </si>
  <si>
    <t>232690</t>
  </si>
  <si>
    <t>MILED Гирлянда Штора. "Звездное небо" 2,5*1м 92 лампы,8реж., тёплый белый свет ГШ-0026</t>
  </si>
  <si>
    <t>ГШ-0026</t>
  </si>
  <si>
    <t>4670159184980</t>
  </si>
  <si>
    <t>232693</t>
  </si>
  <si>
    <t>MILED Гирлянда Штора. "Звездное небо" 2,5*1м 92 лампы,8реж., холодный белый свет ГШ-0027</t>
  </si>
  <si>
    <t>ГШ-0027</t>
  </si>
  <si>
    <t>4670159184997</t>
  </si>
  <si>
    <t>С насадками</t>
  </si>
  <si>
    <t>275951</t>
  </si>
  <si>
    <t>MILED Гирлянда с насадками "Сосульки", 7 блоков 21,5см, разноцв. 1,5м+2м, 8 реж. соб.раз. ГН-0041</t>
  </si>
  <si>
    <t>ГН-0041</t>
  </si>
  <si>
    <t>4680942640999</t>
  </si>
  <si>
    <t>275952</t>
  </si>
  <si>
    <t>MILED Гирлянда с насадками "Сосульки", 7 блоков 21,5см, синий 1,5м+2м, 220В, 8 реж. соб.раз ГН-0042</t>
  </si>
  <si>
    <t>ГН-0042</t>
  </si>
  <si>
    <t>4680942641002</t>
  </si>
  <si>
    <t>275950</t>
  </si>
  <si>
    <t>MILED Гирлянда с насадками "Сосульки", 7 блоков 21,5см, хол.бел, 1,5м+2м, 8 реж, соб.раз.ГН-0040</t>
  </si>
  <si>
    <t>ГН-0040</t>
  </si>
  <si>
    <t>4680942640982</t>
  </si>
  <si>
    <t>275954</t>
  </si>
  <si>
    <t>MILED Гирлянда с насадками "Сосульки", 9 блоков, 21,5см, разноцвет.,  2м+2м, 8 реж. соб.раз. ГН-0044</t>
  </si>
  <si>
    <t>ГН-0044</t>
  </si>
  <si>
    <t>4680942641026</t>
  </si>
  <si>
    <t>275955</t>
  </si>
  <si>
    <t>MILED Гирлянда с насадками "Сосульки", 9 блоков, 21,5см, синий,  2м+2м, 220В, 8 реж. соб.раз ГН-0045</t>
  </si>
  <si>
    <t>ГН-0045</t>
  </si>
  <si>
    <t>4680942641033</t>
  </si>
  <si>
    <t>275953</t>
  </si>
  <si>
    <t>MILED Гирлянда с насадками "Сосульки", 9 блоков, 21,5см, хол. белый,  2м+2м, 8 реж. соб.раз. ГН-0043</t>
  </si>
  <si>
    <t>ГН-0043</t>
  </si>
  <si>
    <t>4680942641019</t>
  </si>
  <si>
    <t>257428</t>
  </si>
  <si>
    <t>Новогодняя гирлянда светодиод. с насадками 2м,10 ламп."Снегири" тип питания от сети(соб.раз) ГН-0039</t>
  </si>
  <si>
    <t>ГН-0039</t>
  </si>
  <si>
    <t>4630493773561</t>
  </si>
  <si>
    <t>257427</t>
  </si>
  <si>
    <t>Новогодняя гирлянда светодиод.с насадками 2м,10ламп."Снегири"работает от батар.2*AA(соб.раз) ГН-0038</t>
  </si>
  <si>
    <t>ГН-0038</t>
  </si>
  <si>
    <t>4630493773554</t>
  </si>
  <si>
    <t>Уличные</t>
  </si>
  <si>
    <t>Бахрома</t>
  </si>
  <si>
    <t>232745</t>
  </si>
  <si>
    <t>MILED Гирлянда Уличная. 12 м, 240 ламп, разноцветный свет НГУ-0086</t>
  </si>
  <si>
    <t>НГУ-0086</t>
  </si>
  <si>
    <t>4670159185277</t>
  </si>
  <si>
    <t>232743</t>
  </si>
  <si>
    <t>MILED Гирлянда Уличная. 12 м, 240 ламп, тёплый белый свет НГУ-0084</t>
  </si>
  <si>
    <t>НГУ-0084</t>
  </si>
  <si>
    <t>4670159185253</t>
  </si>
  <si>
    <t>232744</t>
  </si>
  <si>
    <t>MILED Гирлянда Уличная. 12 м, 240 ламп, холодный белый свет НГУ-0085</t>
  </si>
  <si>
    <t>НГУ-0085</t>
  </si>
  <si>
    <t>4670159185260</t>
  </si>
  <si>
    <t>232742</t>
  </si>
  <si>
    <t>MILED Гирлянда Уличная. 25 м, 120 линий, 600 ламп, тёплый белый свет НГУ-0083</t>
  </si>
  <si>
    <t>НГУ-0083</t>
  </si>
  <si>
    <t>4670159185246</t>
  </si>
  <si>
    <t>232741</t>
  </si>
  <si>
    <t>MILED Гирлянда Уличная. 4*0,7 м, 108 ламп, разноцветный свет, 8 режимов НГУ-0082</t>
  </si>
  <si>
    <t>НГУ-0082</t>
  </si>
  <si>
    <t>4670159185239</t>
  </si>
  <si>
    <t>232739</t>
  </si>
  <si>
    <t>MILED Гирлянда Уличная. 4*0,7 м, 108 ламп, холодный белый свет, 1 режим НГУ-0081</t>
  </si>
  <si>
    <t>НГУ-0081</t>
  </si>
  <si>
    <t>4670159185222</t>
  </si>
  <si>
    <t>232737</t>
  </si>
  <si>
    <t>MILED Гирлянда Уличная. 4*0,7 м, 72 лампы, разноцветный свет, 8 режимов НГУ-0079</t>
  </si>
  <si>
    <t>НГУ-0079</t>
  </si>
  <si>
    <t>4670159185208</t>
  </si>
  <si>
    <t>232732</t>
  </si>
  <si>
    <t>MILED Гирлянда Уличная. 4*0,7 м, 72 лампы, тёплый белый свет, 8 режимов НГУ-0077</t>
  </si>
  <si>
    <t>НГУ-0077</t>
  </si>
  <si>
    <t>4670159185185</t>
  </si>
  <si>
    <t>232734</t>
  </si>
  <si>
    <t>MILED Гирлянда Уличная. 4*0,7 м, 72 лампы, холодный белый свет, 8 режимов НГУ-0078</t>
  </si>
  <si>
    <t>НГУ-0078</t>
  </si>
  <si>
    <t>4670159185192</t>
  </si>
  <si>
    <t>235793</t>
  </si>
  <si>
    <t>MiLED Гирлянда с насадками"Метеоритный дождь"8шт.,30см,мульти свет,220В,3м тип пит:от сети ГН-0015</t>
  </si>
  <si>
    <t>ГН-0015</t>
  </si>
  <si>
    <t>4670159198901</t>
  </si>
  <si>
    <t>235794</t>
  </si>
  <si>
    <t>MiLED Гирлянда с насадками"Метеоритный дождь"8шт.30см, синий свет,220В,3м,тип пит:от сети ГН-0016</t>
  </si>
  <si>
    <t>ГН-0016</t>
  </si>
  <si>
    <t>4670159198918</t>
  </si>
  <si>
    <t>235791</t>
  </si>
  <si>
    <t>MiLED Гирлянда с насадками"Метеоритный дождь"8шт.30см, хол.бел.свет,3м,220В,тип пит:от сети ГН-0013</t>
  </si>
  <si>
    <t>ГН-0013</t>
  </si>
  <si>
    <t>4670159198888</t>
  </si>
  <si>
    <t>235792</t>
  </si>
  <si>
    <t>MiLED Гирлянда с насадками"Метеоритный дождь"8шт.30см,тепл.бел.свет,220В,3м тип пит:от сети ГН-0014</t>
  </si>
  <si>
    <t>ГН-0014</t>
  </si>
  <si>
    <t>4670159198895</t>
  </si>
  <si>
    <t>235797</t>
  </si>
  <si>
    <t>MiLED Гирлянда с насадками"Метеоритный дождь"8шт.50см, мульти свет,220В,3м тип пит:от сети ГН-0019</t>
  </si>
  <si>
    <t>ГН-0019</t>
  </si>
  <si>
    <t>4670159198949</t>
  </si>
  <si>
    <t>235798</t>
  </si>
  <si>
    <t>MiLED Гирлянда с насадками"Метеоритный дождь"8шт.50см, синий свет,220В,3м тип пит:от сети ГН-0020</t>
  </si>
  <si>
    <t>ГН-0020</t>
  </si>
  <si>
    <t>4670159198956</t>
  </si>
  <si>
    <t>235795</t>
  </si>
  <si>
    <t>MiLED Гирлянда с насадками"Метеоритный дождь"8шт.50см, хол.бел.свет,3м 220В,тип пит:от сети ГН-0017</t>
  </si>
  <si>
    <t>ГН-0017</t>
  </si>
  <si>
    <t>4670159198925</t>
  </si>
  <si>
    <t>235796</t>
  </si>
  <si>
    <t>MiLED Гирлянда с насадками"Метеоритный дождь"8шт.50см,тепл.бел.свет,220В,3м тип пит:от сети ГН-0018</t>
  </si>
  <si>
    <t>ГН-0018</t>
  </si>
  <si>
    <t>4670159198932</t>
  </si>
  <si>
    <t>235785</t>
  </si>
  <si>
    <t>MiLED Гирлянда с насадками"Морозные сосульки"8шт.30см, синий свет,220В,2,5м,тип пит:от сети ГН-0008</t>
  </si>
  <si>
    <t>ГН-0008</t>
  </si>
  <si>
    <t>4670159198833</t>
  </si>
  <si>
    <t>235783</t>
  </si>
  <si>
    <t>MiLED Гирлянда с насадками"Морозные сосульки"8шт.30см, теп.бел.свет,220В,3м,тип пит:от сети ГН-0006</t>
  </si>
  <si>
    <t>ГН-0006</t>
  </si>
  <si>
    <t>4670159198819</t>
  </si>
  <si>
    <t>235784</t>
  </si>
  <si>
    <t>MiLED Гирлянда с насадками"Морозные сосульки"8шт.30см,мул. свет,220В,3м,тип пит:от сети ГН-0007</t>
  </si>
  <si>
    <t>ГН-0007</t>
  </si>
  <si>
    <t>4670159198826</t>
  </si>
  <si>
    <t>235782</t>
  </si>
  <si>
    <t>MiLED Гирлянда с насадками"Морозные сосульки"8шт.30см.хол.бел.свет,3м,220В,тип пит:от сети ГН-0005</t>
  </si>
  <si>
    <t>ГН-0005</t>
  </si>
  <si>
    <t>4670159198802</t>
  </si>
  <si>
    <t>235789</t>
  </si>
  <si>
    <t>MiLED Гирлянда с насадками"Морозные сосульки"8шт.50см, мульти свет,220В,3м тип пит:от сети ГН-0011</t>
  </si>
  <si>
    <t>ГН-0011</t>
  </si>
  <si>
    <t>4670159198864</t>
  </si>
  <si>
    <t>235790</t>
  </si>
  <si>
    <t>MiLED Гирлянда с насадками"Морозные сосульки"8шт.50см, синий свет,220В,3м тип пит:от сети ГН-0012</t>
  </si>
  <si>
    <t>ГН-0012</t>
  </si>
  <si>
    <t>4670159198871</t>
  </si>
  <si>
    <t>235788</t>
  </si>
  <si>
    <t>MiLED Гирлянда с насадками"Морозные сосульки"8шт.50см, тёпл.бел.свет,220В,3м тип пит:от сети ГН-0010</t>
  </si>
  <si>
    <t>ГН-0010</t>
  </si>
  <si>
    <t>4670159198857</t>
  </si>
  <si>
    <t>235786</t>
  </si>
  <si>
    <t>MiLED Гирлянда с насадками"Морозные сосульки"8шт.50см, хол.бел.свет,3м 220В,тип пит:от сети ГН-0009</t>
  </si>
  <si>
    <t>ГН-0009</t>
  </si>
  <si>
    <t>4670159198840</t>
  </si>
  <si>
    <t>232751</t>
  </si>
  <si>
    <t>MILED Гирлянда-проволока. 10 м 100 ламп,8 режимов, разноцветный свет, от сети НУ-3039</t>
  </si>
  <si>
    <t>НУ-3039</t>
  </si>
  <si>
    <t>4670159185307</t>
  </si>
  <si>
    <t>232748</t>
  </si>
  <si>
    <t>MILED Гирлянда-проволока. 10 м 100 ламп,8 режимов, тёплый белый свет, от сети НУ-3037</t>
  </si>
  <si>
    <t>НУ-3037</t>
  </si>
  <si>
    <t>4670159185284</t>
  </si>
  <si>
    <t>232749</t>
  </si>
  <si>
    <t>MILED Гирлянда-проволока. 10 м 100 ламп,8 режимов, холодный белый свет, от сети НУ-3038</t>
  </si>
  <si>
    <t>НУ-3038</t>
  </si>
  <si>
    <t>4670159185291</t>
  </si>
  <si>
    <t>232760</t>
  </si>
  <si>
    <t>MILED Гирлянда-проволока. 50 м 500 ламп, разноцветный свет, 220 V НУ-3042</t>
  </si>
  <si>
    <t>НУ-3042</t>
  </si>
  <si>
    <t>4670159185338</t>
  </si>
  <si>
    <t>232753</t>
  </si>
  <si>
    <t>MILED Гирлянда-проволока. 50 м 500 ламп, тёплый белый свет, 220 V НУ-3040</t>
  </si>
  <si>
    <t>НУ-3040</t>
  </si>
  <si>
    <t>4670159185314</t>
  </si>
  <si>
    <t>232756</t>
  </si>
  <si>
    <t>MILED Гирлянда-проволока. 50 м 500 ламп, холодный белый свет, 220 V НУ-3041</t>
  </si>
  <si>
    <t>НУ-3041</t>
  </si>
  <si>
    <t>4670159185321</t>
  </si>
  <si>
    <t>232762</t>
  </si>
  <si>
    <t>MILED Гирлянда-проволока. 80 м 500 ламп, тёплый белый свет, 220 V НУ-3043</t>
  </si>
  <si>
    <t>НУ-3043</t>
  </si>
  <si>
    <t>4670159185345</t>
  </si>
  <si>
    <t>232764</t>
  </si>
  <si>
    <t>MILED Гирлянда-проволока. 80 м 800 ламп, разноцветный свет, 220 V НУ-3045</t>
  </si>
  <si>
    <t>НУ-3045</t>
  </si>
  <si>
    <t>4670159185369</t>
  </si>
  <si>
    <t>232763</t>
  </si>
  <si>
    <t>MILED Гирлянда-проволока. 80 м 800 ламп, холодный белый свет, 220 V НУ-3044</t>
  </si>
  <si>
    <t>НУ-3044</t>
  </si>
  <si>
    <t>4670159185352</t>
  </si>
  <si>
    <t>2 Для помещений</t>
  </si>
  <si>
    <t>Гирлянда Занавес</t>
  </si>
  <si>
    <t>188373</t>
  </si>
  <si>
    <t>Гирлянда Занавес 1,8х1,8 м, прозрачная нить,144 лампы, холодный белый свет, 8 режимов ГЗ-0007</t>
  </si>
  <si>
    <t>ГЗ-0007</t>
  </si>
  <si>
    <t>4620129753470</t>
  </si>
  <si>
    <t>213742</t>
  </si>
  <si>
    <t>Гирлянда Занавес 2*2 м 100 ламп, холодный белый свет, 8 режимов.ГЗ-0031</t>
  </si>
  <si>
    <t>ГЗ-0031</t>
  </si>
  <si>
    <t>4670159087069</t>
  </si>
  <si>
    <t>213528</t>
  </si>
  <si>
    <t>Гирлянда Занавес 3*2,7 м 180 ламп, разноцветные, 8 режимов  ГЗ-0029</t>
  </si>
  <si>
    <t>ГЗ-0029</t>
  </si>
  <si>
    <t>4670159065203</t>
  </si>
  <si>
    <t>165120</t>
  </si>
  <si>
    <t>Гирлянда Занавес 3х3 м, прозрачная нить, 600 белых ламп. Для использования в доме НУ-3658</t>
  </si>
  <si>
    <t>НУ-3658</t>
  </si>
  <si>
    <t>4610144816588</t>
  </si>
  <si>
    <t>Гирлянда Сетка</t>
  </si>
  <si>
    <t>165085</t>
  </si>
  <si>
    <t>Гирлянда Сетка 3х2м, прозр.нить, 192 теплых белых лампы, 8 реж. Для использования в доме НУ-3636</t>
  </si>
  <si>
    <t>НУ-3636</t>
  </si>
  <si>
    <t>4610144816366</t>
  </si>
  <si>
    <t>173529</t>
  </si>
  <si>
    <t>Гирлянда. Сетка 3х2 м, прозрачная нить,192 лампы, тёплый белый свет, 8 режимов  ГС-0002</t>
  </si>
  <si>
    <t>ГС-0002</t>
  </si>
  <si>
    <t>4610144856126</t>
  </si>
  <si>
    <t>173528</t>
  </si>
  <si>
    <t>Гирлянда. Сетка 3х2 м, прозрачная нить,192 лампы, холодный белый свет, 8 режимов ГС-0001</t>
  </si>
  <si>
    <t>ГС-0001</t>
  </si>
  <si>
    <t>4610144856119</t>
  </si>
  <si>
    <t>Гирлянда Штора</t>
  </si>
  <si>
    <t>188425</t>
  </si>
  <si>
    <t>Гирлянда Штора 3 м, длины 40 см и 65 см, тёмная нить, 140 разноцветных ламп, 8 режимов ГШ-0012</t>
  </si>
  <si>
    <t>ГШ-0012</t>
  </si>
  <si>
    <t>4620129753616</t>
  </si>
  <si>
    <t>Гирлянды метражные</t>
  </si>
  <si>
    <t>173541</t>
  </si>
  <si>
    <t>Гирлянда метражная 10 м, тёмная нить, 100  ламп, разноцветный свет. НУ-9702</t>
  </si>
  <si>
    <t>НУ-9702</t>
  </si>
  <si>
    <t>4610144871600</t>
  </si>
  <si>
    <t>194344</t>
  </si>
  <si>
    <t>Гирлянда светодиодная. Метражная 10 м, 100 ламп, теплый белый свет, 8 режимов НУ-9728</t>
  </si>
  <si>
    <t>НУ-9728</t>
  </si>
  <si>
    <t>4620129785174</t>
  </si>
  <si>
    <t>Гирлянды с насадками</t>
  </si>
  <si>
    <t>171756</t>
  </si>
  <si>
    <t>Гирлянда с насадками Звездочки 1,6 м 10 фигур работает от батареек 2*АА ГН-0031</t>
  </si>
  <si>
    <t>ГН-0031</t>
  </si>
  <si>
    <t>4610144857857</t>
  </si>
  <si>
    <t>Гирлянды-проволоки</t>
  </si>
  <si>
    <t>213758</t>
  </si>
  <si>
    <t>Гирлянда-проволока 10 м 100 ламп, разноцветные, USB 5V, с пультом управления.НУ-3018</t>
  </si>
  <si>
    <t>НУ-3018</t>
  </si>
  <si>
    <t>4670159087205</t>
  </si>
  <si>
    <t>240494</t>
  </si>
  <si>
    <t>Гирлянда-проволока 50 м 500 ламп, разноцветный свет, 220V НУ-3055</t>
  </si>
  <si>
    <t>НУ-3055</t>
  </si>
  <si>
    <t>4670159201052</t>
  </si>
  <si>
    <t>240492</t>
  </si>
  <si>
    <t>Гирлянда-проволока 50 м 500 ламп, тёплый белый свет, 220V НУ-3053</t>
  </si>
  <si>
    <t>НУ-3053</t>
  </si>
  <si>
    <t>4670159201038</t>
  </si>
  <si>
    <t>240493</t>
  </si>
  <si>
    <t>Гирлянда-проволока 50 м 500 ламп, холод.бел. свет, 220V НУ-3054</t>
  </si>
  <si>
    <t>НУ-3054</t>
  </si>
  <si>
    <t>4670159201045</t>
  </si>
  <si>
    <t>165110</t>
  </si>
  <si>
    <t>Новогоднее украшение Гирлянда-проволока 1,9 м, 20 красных ламп, на батарейках 2*CR2032 НУ-3651</t>
  </si>
  <si>
    <t>НУ-3651</t>
  </si>
  <si>
    <t>4610144816519</t>
  </si>
  <si>
    <t>165109</t>
  </si>
  <si>
    <t>Новогоднее украшение Гирлянда-проволока 1,9 м, 20 фиолетовых ламп, на батарейках 2*CR2032 НУ-3650</t>
  </si>
  <si>
    <t>НУ-3650</t>
  </si>
  <si>
    <t>4610144816502</t>
  </si>
  <si>
    <t>Другие</t>
  </si>
  <si>
    <t>237146</t>
  </si>
  <si>
    <t>Гирлянда метражная с верхушкой "Елка"  9м, 100 ламп, разноцветная, 8 режимов, от сети 220В ГМВ-0003</t>
  </si>
  <si>
    <t>ГМВ-0003</t>
  </si>
  <si>
    <t>4670159207924</t>
  </si>
  <si>
    <t>237145</t>
  </si>
  <si>
    <t>Набор гирлянда с верхушкой "Елка" 9м, 100 л, 8 реж, от сети, 3м веревка, 30шт крюч, 9м миш ГМВ-0002</t>
  </si>
  <si>
    <t>ГМВ-0002</t>
  </si>
  <si>
    <t>4670159207917</t>
  </si>
  <si>
    <t>237144</t>
  </si>
  <si>
    <t>Набор гирлянда с верхушкой "Елка", 8м, 90 ламп, 8 реж, от сети, 2 веревки 1,5м 30шт стяжек ГМВ-0001</t>
  </si>
  <si>
    <t>ГМВ-0001</t>
  </si>
  <si>
    <t>4670159207900</t>
  </si>
  <si>
    <t>251760</t>
  </si>
  <si>
    <t>Светодиодная гирлянда "Веточки" 3 шт.в комплекте, 70 см, от батареек (6*АА, не в комплекте) ГСВ-2677</t>
  </si>
  <si>
    <t>ГСВ-2677</t>
  </si>
  <si>
    <t>4640306926770</t>
  </si>
  <si>
    <t>3 Универсальные</t>
  </si>
  <si>
    <t>212360</t>
  </si>
  <si>
    <t>Гирлянда  "Закат".  Уличная 10м, 20 ламп, мульти свет, режим питания: от сети 220В НГУ-0065</t>
  </si>
  <si>
    <t>НГУ-0065</t>
  </si>
  <si>
    <t>4670159087434</t>
  </si>
  <si>
    <t>212358</t>
  </si>
  <si>
    <t>Гирлянда  "Закат".  Уличная 5м, 25 ламп, мульти свет, режим питания: от сети 220В НГУ-0063</t>
  </si>
  <si>
    <t>НГУ-0063</t>
  </si>
  <si>
    <t>4670159087410</t>
  </si>
  <si>
    <t>212359</t>
  </si>
  <si>
    <t>Гирлянда  "Закат".  Уличная 7,5м, 25 ламп, мульти свет, режим питания: от сети 220В НГУ-0064</t>
  </si>
  <si>
    <t>НГУ-0064</t>
  </si>
  <si>
    <t>4670159087427</t>
  </si>
  <si>
    <t>212366</t>
  </si>
  <si>
    <t>Гирлянда  "Яркий свет".  Уличная 5м, 25 ламп, мульти свет, режим питания: от сети 220В НГУ-0071</t>
  </si>
  <si>
    <t>НГУ-0071</t>
  </si>
  <si>
    <t>4670159087496</t>
  </si>
  <si>
    <t>212363</t>
  </si>
  <si>
    <t>Гирлянда  "Яркий свет".  Уличная 7,5м, 25 ламп, теплый свет, режим питания: от сети 220В НГУ-0068</t>
  </si>
  <si>
    <t>НГУ-0068</t>
  </si>
  <si>
    <t>4670159087465</t>
  </si>
  <si>
    <t>212339</t>
  </si>
  <si>
    <t>Гирлянда  Уличная 10м, 20 ламп, мульти свет, режим питания: от сети 220В НУ-9750</t>
  </si>
  <si>
    <t>НУ-9750</t>
  </si>
  <si>
    <t>4670159087274</t>
  </si>
  <si>
    <t>212337</t>
  </si>
  <si>
    <t>Гирлянда  Уличная 5м, 25 ламп, мульти свет, режим питания: от сети 220В НУ-9748</t>
  </si>
  <si>
    <t>НУ-9748</t>
  </si>
  <si>
    <t>4670159087250</t>
  </si>
  <si>
    <t>212338</t>
  </si>
  <si>
    <t>Гирлянда  Уличная 7,5м, 25 ламп, мульти свет, режим питания: от сети 220В НУ-9749</t>
  </si>
  <si>
    <t>НУ-9749</t>
  </si>
  <si>
    <t>4670159087267</t>
  </si>
  <si>
    <t>212344</t>
  </si>
  <si>
    <t>Гирлянда "Звездная пыль". Уличная 10м, 20 ламп, мульти свет, режим питания: от сети 220В НУ-9753</t>
  </si>
  <si>
    <t>НУ-9753</t>
  </si>
  <si>
    <t>4670159087304</t>
  </si>
  <si>
    <t>212342</t>
  </si>
  <si>
    <t>Гирлянда "Звездная пыль". Уличная 5м, 25 ламп, мульти свет, режим питания: от сети 220В НУ-9751</t>
  </si>
  <si>
    <t>НУ-9751</t>
  </si>
  <si>
    <t>4670159087281</t>
  </si>
  <si>
    <t>212343</t>
  </si>
  <si>
    <t>Гирлянда "Звездная пыль". Уличная 7,5м, 25 ламп, мульти свет, режим питания: от сети 220В НУ-9752</t>
  </si>
  <si>
    <t>НУ-9752</t>
  </si>
  <si>
    <t>4670159087298</t>
  </si>
  <si>
    <t>212382</t>
  </si>
  <si>
    <t>Гирлянда "Звездный свет". Уличная 15м, 50 ламп, теплый свет, режим питания: от сети 220В НУ-9771</t>
  </si>
  <si>
    <t>НУ-9771</t>
  </si>
  <si>
    <t>4670159087601</t>
  </si>
  <si>
    <t>212378</t>
  </si>
  <si>
    <t>Гирлянда "Звездный свет". Уличная 5м, 25ламп, теплый свет, режим питания: от сети 220В НУ-9768</t>
  </si>
  <si>
    <t>НУ-9768</t>
  </si>
  <si>
    <t>4670159087571</t>
  </si>
  <si>
    <t>212345</t>
  </si>
  <si>
    <t>Гирлянда "Капля". Уличная 5м, 25 ламп, теплый свет, режим питания: от сети 220В НУ-9754</t>
  </si>
  <si>
    <t>НУ-9754</t>
  </si>
  <si>
    <t>4670159087311</t>
  </si>
  <si>
    <t>212346</t>
  </si>
  <si>
    <t>Гирлянда "Капля". Уличная 7,5м, 25 ламп, теплый свет, режим питания: от сети 220В НУ-9755</t>
  </si>
  <si>
    <t>НУ-9755</t>
  </si>
  <si>
    <t>4670159087328</t>
  </si>
  <si>
    <t>212377</t>
  </si>
  <si>
    <t>Гирлянда "Лунный свет". Уличная 15м, 50ламп, теплый свет, режим питания: от сети 220В НУ-9767</t>
  </si>
  <si>
    <t>НУ-9767</t>
  </si>
  <si>
    <t>4670159087564</t>
  </si>
  <si>
    <t>212374</t>
  </si>
  <si>
    <t>Гирлянда "Лунный свет". Уличная 5м, 25ламп, теплый свет, режим питания: от сети 220В НУ-9764</t>
  </si>
  <si>
    <t>НУ-9764</t>
  </si>
  <si>
    <t>4670159087533</t>
  </si>
  <si>
    <t>212375</t>
  </si>
  <si>
    <t>Гирлянда "Лунный свет". Уличная 7,5м, 25ламп, теплый свет, режим питания: от сети 220В НУ-9765</t>
  </si>
  <si>
    <t>НУ-9765</t>
  </si>
  <si>
    <t>4670159087540</t>
  </si>
  <si>
    <t>212334</t>
  </si>
  <si>
    <t>Гирлянда "Праздничная". Уличная 5м, 25 ламп, теплый свет, режим питания: от сети 220В НУ-9745</t>
  </si>
  <si>
    <t>НУ-9745</t>
  </si>
  <si>
    <t>4670159087229</t>
  </si>
  <si>
    <t>212335</t>
  </si>
  <si>
    <t>Гирлянда "Праздничная". Уличная 7,5м, 25 ламп, теплый свет, режим питания: от сети 220В НУ-9746</t>
  </si>
  <si>
    <t>НУ-9746</t>
  </si>
  <si>
    <t>4670159087236</t>
  </si>
  <si>
    <t>212391</t>
  </si>
  <si>
    <t>Гирлянда "Рябь". Уличная 10м, 20ламп, теплый свет, режим питания: от сети 220В НУ-9777</t>
  </si>
  <si>
    <t>НУ-9777</t>
  </si>
  <si>
    <t>4670159087663</t>
  </si>
  <si>
    <t>212389</t>
  </si>
  <si>
    <t>Гирлянда "Рябь". Уличная 5м, 25ламп, теплый свет, режим питания: от сети 220В НУ-9775</t>
  </si>
  <si>
    <t>НУ-9775</t>
  </si>
  <si>
    <t>4670159087649</t>
  </si>
  <si>
    <t>212390</t>
  </si>
  <si>
    <t>Гирлянда "Рябь". Уличная 7,5м, 25ламп, теплый свет, режим питания: от сети 220В НУ-9776</t>
  </si>
  <si>
    <t>НУ-9776</t>
  </si>
  <si>
    <t>4670159087656</t>
  </si>
  <si>
    <t>212357</t>
  </si>
  <si>
    <t>Гирлянда "Уютный вечер". Уличная 15м, 50ламп, мульти свет, режим питания: от сети 220В НУ-9763</t>
  </si>
  <si>
    <t>НУ-9763</t>
  </si>
  <si>
    <t>4670159087403</t>
  </si>
  <si>
    <t>212353</t>
  </si>
  <si>
    <t>Гирлянда "Уютный вечер". Уличная 5м, 25ламп, мульти свет, режим питания: от сети 220В НУ-9760</t>
  </si>
  <si>
    <t>НУ-9760</t>
  </si>
  <si>
    <t>4670159087373</t>
  </si>
  <si>
    <t>212355</t>
  </si>
  <si>
    <t>Гирлянда "Уютный вечер". Уличная 7,5м, 25ламп, мульти свет, режим питания: от сети 220В НУ-9761</t>
  </si>
  <si>
    <t>НУ-9761</t>
  </si>
  <si>
    <t>4670159087380</t>
  </si>
  <si>
    <t>194804</t>
  </si>
  <si>
    <t>Гирлянда светодиодная. Уличная "Ретро", 15 м, 50 ламп, теплый свет НГУ-0050</t>
  </si>
  <si>
    <t>НГУ-0050</t>
  </si>
  <si>
    <t>4620129786829</t>
  </si>
  <si>
    <t>194801</t>
  </si>
  <si>
    <t>Гирлянда светодиодная. Уличная "Ретро", 5 м, 25 ламп, теплый свет НГУ-0047</t>
  </si>
  <si>
    <t>НГУ-0047</t>
  </si>
  <si>
    <t>4620129786799</t>
  </si>
  <si>
    <t>194802</t>
  </si>
  <si>
    <t>Гирлянда светодиодная. Уличная "Ретро", 7,5 м, 25 ламп, теплый свет НГУ-0048</t>
  </si>
  <si>
    <t>НГУ-0048</t>
  </si>
  <si>
    <t>4620129786805</t>
  </si>
  <si>
    <t>164800</t>
  </si>
  <si>
    <t>Гирлянда Дюралайт, 8 м, прозрачный, 80 теплых белых ламп, на батарейках 3*AA  НУ-3672</t>
  </si>
  <si>
    <t>НУ-3672</t>
  </si>
  <si>
    <t>4610144816724</t>
  </si>
  <si>
    <t>165122</t>
  </si>
  <si>
    <t>Гирлянда с нас.Звездочки,прозр.нить,4м, LED-40,1режим,разноцветные. Для исп. в доме и на ул. НУ-3662</t>
  </si>
  <si>
    <t>НУ-3662</t>
  </si>
  <si>
    <t>4610144816625</t>
  </si>
  <si>
    <t>165126</t>
  </si>
  <si>
    <t>Гирлянда с нас.Шарики рельефные,прозр.нить,4м, LED-40,1реж,разноцвет. Для исп.в доме и на ул.НУ-3664</t>
  </si>
  <si>
    <t>НУ-3664</t>
  </si>
  <si>
    <t>4610144816649</t>
  </si>
  <si>
    <t>165124</t>
  </si>
  <si>
    <t>Гирлянда с нас.Шишки,прозр.нить,4м,LED-40, 1реж,разноцветные. Для исп. в доме и на ул. НУ-3663</t>
  </si>
  <si>
    <t>НУ-3663</t>
  </si>
  <si>
    <t>4610144816632</t>
  </si>
  <si>
    <t>213744</t>
  </si>
  <si>
    <t>Гирлянда Уличная 5*0,7 м, 92 лампы, тёплый белый свет, 8 режимов.НГУ-0060</t>
  </si>
  <si>
    <t>НГУ-0060</t>
  </si>
  <si>
    <t>4670159087083</t>
  </si>
  <si>
    <t>213745</t>
  </si>
  <si>
    <t>Гирлянда Уличная 5*0,7 м, 92 лампы, холодный белый свет, 8 режимов.НГУ-0061</t>
  </si>
  <si>
    <t>НГУ-0061</t>
  </si>
  <si>
    <t>4670159087090</t>
  </si>
  <si>
    <t>164799</t>
  </si>
  <si>
    <t>Гирлянда. Дюралайт, 8 м, прозрачный, 80 разноцветных ламп, на батарейках 3*AA. НУ-3671</t>
  </si>
  <si>
    <t>НУ-3671</t>
  </si>
  <si>
    <t>4610144816717</t>
  </si>
  <si>
    <t>Аксессуары для электрических гирлянд</t>
  </si>
  <si>
    <t>187395</t>
  </si>
  <si>
    <t>Набор самоклеящихся крючков (для гирлянд), 18 шт. соб.раз НУ-5504</t>
  </si>
  <si>
    <t>НУ-5504</t>
  </si>
  <si>
    <t>4620129745048</t>
  </si>
  <si>
    <t>203556</t>
  </si>
  <si>
    <t>Набор самоклеящихся крючков (для гирлянд), 54 шт. соб.раз НУ-5507</t>
  </si>
  <si>
    <t>НУ-5507</t>
  </si>
  <si>
    <t>4620129745079</t>
  </si>
  <si>
    <t>203558</t>
  </si>
  <si>
    <t>Набор самоклеящихся крючков (для гирлянд), 72 шт.соб.раз  НУ-2261</t>
  </si>
  <si>
    <t>НУ-2261</t>
  </si>
  <si>
    <t>4670159022619</t>
  </si>
  <si>
    <t>203559</t>
  </si>
  <si>
    <t>Набор самоклеящихся крючков (для гирлянд), 90 шт. соб.раз НУ-2262</t>
  </si>
  <si>
    <t>НУ-2262</t>
  </si>
  <si>
    <t>4670159022626</t>
  </si>
  <si>
    <t>165099</t>
  </si>
  <si>
    <t>Удлинитель для гирлянды, 3 м, прозрачная нить НУ-3646</t>
  </si>
  <si>
    <t>НУ-3646</t>
  </si>
  <si>
    <t>4610144816465</t>
  </si>
  <si>
    <t>165100</t>
  </si>
  <si>
    <t>Удлинитель для гирлянды, 5 м, прозрачная нить НУ-3647</t>
  </si>
  <si>
    <t>НУ-3647</t>
  </si>
  <si>
    <t>4610144816472</t>
  </si>
  <si>
    <t>Аксессуары для электрических гирлянд (собственная разработка)</t>
  </si>
  <si>
    <t>243434</t>
  </si>
  <si>
    <t>Набор самоклеющихся крючков (для гирлянд), прозрачные, 1,3х1,9 см, 100 шт (Собс. разраб.) СКЧ-3221</t>
  </si>
  <si>
    <t>СКЧ-3221</t>
  </si>
  <si>
    <t>4670159232216</t>
  </si>
  <si>
    <t>278699</t>
  </si>
  <si>
    <t>Набор самоклеющихся крючков (для гирлянд), прозрачные, 1,3х1,9 см, 140 шт (Собс. разраб.) СКЧ-5234</t>
  </si>
  <si>
    <t>СКЧ-5234</t>
  </si>
  <si>
    <t>4680942652343</t>
  </si>
  <si>
    <t>278708</t>
  </si>
  <si>
    <t>Набор самоклеющихся крючков (для гирлянд), прозрачные, 1,3х1,9 см, 180 шт (Собс. разраб.) СКЧ-5235</t>
  </si>
  <si>
    <t>СКЧ-5235</t>
  </si>
  <si>
    <t>4680942652350</t>
  </si>
  <si>
    <t>243430</t>
  </si>
  <si>
    <t>Набор самоклеющихся крючков (для гирлянд), прозрачные, 1,3х1,9 см, 20 шт (Собс. разраб.) СКЧ-3217</t>
  </si>
  <si>
    <t>СКЧ-3217</t>
  </si>
  <si>
    <t>4670159232179</t>
  </si>
  <si>
    <t>243431</t>
  </si>
  <si>
    <t>Набор самоклеющихся крючков (для гирлянд), прозрачные, 1,3х1,9 см, 40 шт (Собс. разраб.) СКЧ-3218</t>
  </si>
  <si>
    <t>СКЧ-3218</t>
  </si>
  <si>
    <t>4670159232186</t>
  </si>
  <si>
    <t>243432</t>
  </si>
  <si>
    <t>Набор самоклеющихся крючков (для гирлянд), прозрачные, 1,3х1,9 см, 60 шт (Собс. разраб.) СКЧ-3219</t>
  </si>
  <si>
    <t>СКЧ-3219</t>
  </si>
  <si>
    <t>4670159232193</t>
  </si>
  <si>
    <t>243433</t>
  </si>
  <si>
    <t>Набор самоклеющихся крючков (для гирлянд), прозрачные, 1,3х1,9 см, 80 шт (Собс. разраб.) СКЧ-3220</t>
  </si>
  <si>
    <t>СКЧ-3220</t>
  </si>
  <si>
    <t>4670159232209</t>
  </si>
  <si>
    <t>02 Товары с предсказаниями</t>
  </si>
  <si>
    <t xml:space="preserve"> 1 Капсулы с предсказаниями, фантами, пожеланиями</t>
  </si>
  <si>
    <t>270432</t>
  </si>
  <si>
    <t>Новогодние МУЛЬТИвитамины "Огонёк" в капсулах (3 в 1) соб.раз нж-0715</t>
  </si>
  <si>
    <t>НЖ-0715</t>
  </si>
  <si>
    <t>4680942607152</t>
  </si>
  <si>
    <t>2 Коробочки с предсказаниями  "Собственная разработка"</t>
  </si>
  <si>
    <t>227274</t>
  </si>
  <si>
    <t>Коробочка с предсказаниями  "20 "плохих" предсказаний" "Собственная разработка" КП-6393</t>
  </si>
  <si>
    <t>КП-6393</t>
  </si>
  <si>
    <t>4670159163930</t>
  </si>
  <si>
    <t>227273</t>
  </si>
  <si>
    <t>Коробочка с предсказаниями  "20 предсказаний гадалки" "Собственная разработка" КП-6392</t>
  </si>
  <si>
    <t>КП-6392</t>
  </si>
  <si>
    <t>4670159163923</t>
  </si>
  <si>
    <t>227272</t>
  </si>
  <si>
    <t>Коробочка с предсказаниями  "20 традиционных предсказаний" "Собственная разработка" КП-6391</t>
  </si>
  <si>
    <t>КП-6391</t>
  </si>
  <si>
    <t>4670159163916</t>
  </si>
  <si>
    <t>227271</t>
  </si>
  <si>
    <t>Коробочка с предсказаниями  "Чем заняться на новогодние праздники" "Собственная разработка" КП-6390</t>
  </si>
  <si>
    <t>КП-6390</t>
  </si>
  <si>
    <t>4670159163909</t>
  </si>
  <si>
    <t>3 Подвеска с предсказанием под скретч-слоем</t>
  </si>
  <si>
    <t>278011</t>
  </si>
  <si>
    <t>Подвеска с предс.под скретч-слоем(100х80мм)"Елочный шарик",Северн.столица,соб.раз,18шт в ш/б НУ-5403</t>
  </si>
  <si>
    <t>НУ-5403</t>
  </si>
  <si>
    <t>4680942651155</t>
  </si>
  <si>
    <t>226016</t>
  </si>
  <si>
    <t>Подвеска с предсказ. под скретч слоем(100х80мм)"Ёлочный шарик", соб.разраб,18 шт в ш/б НУ-5972</t>
  </si>
  <si>
    <t>НУ-5972</t>
  </si>
  <si>
    <t>4670159159728</t>
  </si>
  <si>
    <t>271892</t>
  </si>
  <si>
    <t>Подвеска с предсказ. под скретч слоем(100х80мм)"Ёлочный шарик",ретро, соб.разраб,18 шт в ш/б НУ-1747</t>
  </si>
  <si>
    <t>НУ-1747</t>
  </si>
  <si>
    <t>4680942617472</t>
  </si>
  <si>
    <t>226015</t>
  </si>
  <si>
    <t>Подвеска с предсказ. под скретч слоем(100х85мм)"Снежный шар", собст.разраб,15 шт в ш/б НУ-5971</t>
  </si>
  <si>
    <t>НУ-5971</t>
  </si>
  <si>
    <t>4670159159711</t>
  </si>
  <si>
    <t>226017</t>
  </si>
  <si>
    <t>Подвеска с предсказ. под скретч слоем(100х90мм)"Ёлочки", собст.разраб, 20 шт в ш/б НУ-5973</t>
  </si>
  <si>
    <t>НУ-5973</t>
  </si>
  <si>
    <t>4670159159735</t>
  </si>
  <si>
    <t>210729</t>
  </si>
  <si>
    <t>Подвески с предсказ. под скретч слоем(95х85мм)"Новый Год", собств.разраб.,15 шт,шоубокс НУ-7834</t>
  </si>
  <si>
    <t>НУ-7834</t>
  </si>
  <si>
    <t>4670159078340</t>
  </si>
  <si>
    <t>4 Пазлы с предсказаниями "Собственная разработка"</t>
  </si>
  <si>
    <t>191289</t>
  </si>
  <si>
    <t>Новогодний пазл с предсказаниями 24 эл. Предсказания в картинках (10 шт в шоубоксе)  соб.раз ИН-7036</t>
  </si>
  <si>
    <t>ИН-7036</t>
  </si>
  <si>
    <t>4620129770361</t>
  </si>
  <si>
    <t>270431</t>
  </si>
  <si>
    <t>Новогодний пазл с предсказаниями 24 элемента "Ретро"(10 шт в шоубоксе) ИН-0714</t>
  </si>
  <si>
    <t>ИН-0714</t>
  </si>
  <si>
    <t>4680942607145</t>
  </si>
  <si>
    <t>191567</t>
  </si>
  <si>
    <t>Новогодний пазл с предсказаниями 24 элемента (10 шт в шоубоксе) соб.раз ИН-4009</t>
  </si>
  <si>
    <t>ИН-4009</t>
  </si>
  <si>
    <t>4610144840095</t>
  </si>
  <si>
    <t>5 Свитки в мешочках с предсказаниями и фантами "Собственная разработка"</t>
  </si>
  <si>
    <t>191294</t>
  </si>
  <si>
    <t>Свитки в мешочках ДЛЯ ВСЕЙ СЕМЬИ Предсказания (в прозе) (мешок 24х18см,20 свитков) собст.раз.НЖ-7047</t>
  </si>
  <si>
    <t>НЖ-7047</t>
  </si>
  <si>
    <t>4620129770477</t>
  </si>
  <si>
    <t>191293</t>
  </si>
  <si>
    <t>Свитки в мешочках ДЛЯ ВСЕЙ СЕМЬИ Предсказания(в стихах)(мешок 24х18см,20 свитков)собст.разр. НЖ-7046</t>
  </si>
  <si>
    <t>НЖ-7046</t>
  </si>
  <si>
    <t>4620129770460</t>
  </si>
  <si>
    <t>191296</t>
  </si>
  <si>
    <t>Свитки в мешочках ДЛЯ ВСЕЙ СЕМЬИ Фанты (в прозе) (мешок 24х18см,20 свитков) собст. разр. НЖ-7048</t>
  </si>
  <si>
    <t>НЖ-7048</t>
  </si>
  <si>
    <t>4620129770484</t>
  </si>
  <si>
    <t>191297</t>
  </si>
  <si>
    <t>Свитки в мешочках ДЛЯ ВСЕЙ СЕМЬИ Фанты (в стихах) (мешок 24х18см,20 свитков) собст. разр. НЖ-7049</t>
  </si>
  <si>
    <t>НЖ-7049</t>
  </si>
  <si>
    <t>4620129770491</t>
  </si>
  <si>
    <t>6 Шары с предсказаниями пластиковые "Собственная разработка"</t>
  </si>
  <si>
    <t>227381</t>
  </si>
  <si>
    <t>Шар со свитками-предсказаниями 30 предсказаний гадалки(30шт), 8см (Собс. разр.) ШС-6384</t>
  </si>
  <si>
    <t>ШС-6384</t>
  </si>
  <si>
    <t>4670159163848</t>
  </si>
  <si>
    <t>227382</t>
  </si>
  <si>
    <t>Шар со свитками-предсказаниями 30 предсказаний для компании друзей(30 шт), 8см (Собс. разр.) ШС-6385</t>
  </si>
  <si>
    <t>ШС-6385</t>
  </si>
  <si>
    <t>4670159163855</t>
  </si>
  <si>
    <t>227380</t>
  </si>
  <si>
    <t>Шар со свитками-предсказаниями Предсказания для тебя и твоих коллег(30шт), 8см (Собс. разр.) ШС-6383</t>
  </si>
  <si>
    <t>ШС-6383</t>
  </si>
  <si>
    <t>4670159163831</t>
  </si>
  <si>
    <t>227384</t>
  </si>
  <si>
    <t>Шар со свитками-предсказаниями Чем заняться на новогодние праздники(30шт), 8см (Собс. разр.) ШС-6387</t>
  </si>
  <si>
    <t>ШС-6387</t>
  </si>
  <si>
    <t>4670159163879</t>
  </si>
  <si>
    <t>7 Металлические украшения с предсказаниями "Собственная разработка"</t>
  </si>
  <si>
    <t>Шары</t>
  </si>
  <si>
    <t>227257</t>
  </si>
  <si>
    <t>Новогод. подвес.украш. метал.шар с предск. (5шт)"Внучка Деда Мороза", 6,8см (Собс. разраб) НУ-6317</t>
  </si>
  <si>
    <t>НУ-6317</t>
  </si>
  <si>
    <t>4670159163541</t>
  </si>
  <si>
    <t>227260</t>
  </si>
  <si>
    <t>Новогод. подвес.украш. метал.шар с предск. (5шт)"Зимние олени", 6,8см (Собс. разраб) НУ-6320</t>
  </si>
  <si>
    <t>НУ-6320</t>
  </si>
  <si>
    <t>4670159163572</t>
  </si>
  <si>
    <t>252509</t>
  </si>
  <si>
    <t>Новогодний шар с 12 предсказаниями Белочка (металл, 6,8см, собст. разр) НУ-2724</t>
  </si>
  <si>
    <t>НУ-2724</t>
  </si>
  <si>
    <t>4640306927241</t>
  </si>
  <si>
    <t>8 Хлопушки "Собственная разработка"</t>
  </si>
  <si>
    <t>223703</t>
  </si>
  <si>
    <t>Хлопушка "Классика".Пружинная с предсказ, фольг.серп. и конфетти, 6диз.в ш/б,11,5см(соб.разр) Х-4830</t>
  </si>
  <si>
    <t>Х-4830</t>
  </si>
  <si>
    <t>4670159148302</t>
  </si>
  <si>
    <t>9 Новогодняя лотерея "Собственная разработка"</t>
  </si>
  <si>
    <t>249779</t>
  </si>
  <si>
    <t>Новогодняя лотерея 12 листов со скретч слоем 1 соб.раз НЛ-5962</t>
  </si>
  <si>
    <t>НЛ-5962</t>
  </si>
  <si>
    <t>4670159259626</t>
  </si>
  <si>
    <t>249780</t>
  </si>
  <si>
    <t>Новогодняя лотерея 12 листов со скретч слоем 2 соб.раз НЛ-5963</t>
  </si>
  <si>
    <t>НЛ-5963</t>
  </si>
  <si>
    <t>4670159259633</t>
  </si>
  <si>
    <t>Свечи ароматические с пожеланиями</t>
  </si>
  <si>
    <t>203532</t>
  </si>
  <si>
    <t>Свеча аромат.  с дерев. фитилём  "Запах кондитерской" с пожеланием 6.5*6 см (собств. разраб) УД-3923</t>
  </si>
  <si>
    <t>УД-3923</t>
  </si>
  <si>
    <t>4670159039235</t>
  </si>
  <si>
    <t>203535</t>
  </si>
  <si>
    <t>Свеча аромат. с дерев. фитилём  "Ваниль и кокос"  с пожеланием  .6.5*6 см (собств. разраб) УД-3924</t>
  </si>
  <si>
    <t>УД-3924</t>
  </si>
  <si>
    <t>4670159039242</t>
  </si>
  <si>
    <t>203537</t>
  </si>
  <si>
    <t>Свеча аромат. с дерев. фитилём "Сандал. дерево и мускус" с пожел. 6.5*6см (собств. разраб) УД-3925</t>
  </si>
  <si>
    <t>УД-3925</t>
  </si>
  <si>
    <t>4670159039259</t>
  </si>
  <si>
    <t>203545</t>
  </si>
  <si>
    <t>Свеча аромат. с дерев. фитилём "Сосна, кедр и бергамот"с пожеланием 6.5*6 см(собств. разраб) УД-3930</t>
  </si>
  <si>
    <t>УД-3930</t>
  </si>
  <si>
    <t>4670159039303</t>
  </si>
  <si>
    <t>203541</t>
  </si>
  <si>
    <t>Свеча аромат. с деревянным фитилём  "Ваниль" с пожеланием    6.5*6 см .(собств. разраб) УД-3928</t>
  </si>
  <si>
    <t>УД-3928</t>
  </si>
  <si>
    <t>4670159039280</t>
  </si>
  <si>
    <t>203540</t>
  </si>
  <si>
    <t>Свеча аромат. с деревянным фитилём  "Жасмин" с пожеланием 6.5*6 см (собств. разраб) УД-3927</t>
  </si>
  <si>
    <t>УД-3927</t>
  </si>
  <si>
    <t>4670159039273</t>
  </si>
  <si>
    <t>203538</t>
  </si>
  <si>
    <t>Свеча аромат. с деревянным фитилём  "Хлопок"  с пожеланием   6.5*6 см (собств. разраб) УД-3926</t>
  </si>
  <si>
    <t>УД-3926</t>
  </si>
  <si>
    <t>4670159039266</t>
  </si>
  <si>
    <t>203544</t>
  </si>
  <si>
    <t>Свеча аромат. с деревянным фитилём  "Цитрусовая цедра"с пожеланием 6.5*6 см (собств. разраб) УД-3929</t>
  </si>
  <si>
    <t>УД-3929</t>
  </si>
  <si>
    <t>4670159039297</t>
  </si>
  <si>
    <t>03 Печатная продукция "Собственная разработка"</t>
  </si>
  <si>
    <t>Адвент- календари "Собственная разработка"</t>
  </si>
  <si>
    <t>191803</t>
  </si>
  <si>
    <t>Адвент - календарь в крафт пакетах  АК-7515</t>
  </si>
  <si>
    <t>АК-7515</t>
  </si>
  <si>
    <t>4620129775151</t>
  </si>
  <si>
    <t>Виниловые магниты "Собственная разработка"</t>
  </si>
  <si>
    <t>239579</t>
  </si>
  <si>
    <t>Виниловый магнит 65,5х77 мм "С Новым годом" кр.10 шт соб.раз НУ-1994</t>
  </si>
  <si>
    <t>НУ-1994</t>
  </si>
  <si>
    <t>4670159219668</t>
  </si>
  <si>
    <t>Гирлянда-флажки "Собственная разработка"</t>
  </si>
  <si>
    <t>269993</t>
  </si>
  <si>
    <t>Гирлянда-флажки картон. двустор. "С Новым годом!"11,3х7,5см, 32шт,4м бечевка соб.разр. арт. ГФ-0717</t>
  </si>
  <si>
    <t>ГФ-0717</t>
  </si>
  <si>
    <t>4680942607176</t>
  </si>
  <si>
    <t>Календари "Собственная разработка"</t>
  </si>
  <si>
    <t>249928</t>
  </si>
  <si>
    <t>Календарь карманный 65х95 мм "Ретро" кр.20 шт (Собственная разработка) КК-5967</t>
  </si>
  <si>
    <t>КК-5967</t>
  </si>
  <si>
    <t>4670159259671</t>
  </si>
  <si>
    <t>Конверты для денег  "Собственная разработка"</t>
  </si>
  <si>
    <t>1 Optima уф-лак</t>
  </si>
  <si>
    <t>270162</t>
  </si>
  <si>
    <t>Optima Конверт для денег Сказочных моментов. Олень УФ-лак 1-04-0633</t>
  </si>
  <si>
    <t>1-04-0633</t>
  </si>
  <si>
    <t>4680942608173</t>
  </si>
  <si>
    <t>2 Стандарт (без обработки)</t>
  </si>
  <si>
    <t>270135</t>
  </si>
  <si>
    <t>Конверт для денег Подарок от Деда Мороза 1-05-0330</t>
  </si>
  <si>
    <t>1-05-0330</t>
  </si>
  <si>
    <t>4680942607312</t>
  </si>
  <si>
    <t>270131</t>
  </si>
  <si>
    <t>Конверт для денег Счастливого нового года! Дед Мороз 1-05-0326</t>
  </si>
  <si>
    <t>1-05-0326</t>
  </si>
  <si>
    <t>4680942607275</t>
  </si>
  <si>
    <t>270132</t>
  </si>
  <si>
    <t>Конверт для денег Счастливого нового года! Поезд 1-05-0327</t>
  </si>
  <si>
    <t>1-05-0327</t>
  </si>
  <si>
    <t>4680942607282</t>
  </si>
  <si>
    <t>3 Стандарт (5+0 (золото))</t>
  </si>
  <si>
    <t>270149</t>
  </si>
  <si>
    <t>Конверт для денег  Волшебству быть! (5+0 (золото)) ЗСС-0775</t>
  </si>
  <si>
    <t>ЗСС-0775</t>
  </si>
  <si>
    <t>4680942607756</t>
  </si>
  <si>
    <t>270147</t>
  </si>
  <si>
    <t>Конверт для денег  С Новым годом! Внучка ДМ (5+0 (золото)) ЗСС-0773</t>
  </si>
  <si>
    <t>ЗСС-0773</t>
  </si>
  <si>
    <t>4680942607732</t>
  </si>
  <si>
    <t>270146</t>
  </si>
  <si>
    <t>Конверт для денег  С Новым годом! Дед Мороз  (5+0 (золото)) ЗСС-0772</t>
  </si>
  <si>
    <t>ЗСС-0772</t>
  </si>
  <si>
    <t>4680942607725</t>
  </si>
  <si>
    <t>270154</t>
  </si>
  <si>
    <t>Конверт для денег  С Новым годом! Елочки (5+0 (золото)) ЗСС-0780</t>
  </si>
  <si>
    <t>ЗСС-0780</t>
  </si>
  <si>
    <t>4680942607800</t>
  </si>
  <si>
    <t>270151</t>
  </si>
  <si>
    <t>Конверт для денег  С Новым годом! Медвежонок (5+0 (золото)) ЗСС-0777</t>
  </si>
  <si>
    <t>ЗСС-0777</t>
  </si>
  <si>
    <t>4680942607770</t>
  </si>
  <si>
    <t>270153</t>
  </si>
  <si>
    <t>Конверт для денег На веселье. Елка  (5+0 (золото)) ЗСС-0779</t>
  </si>
  <si>
    <t>ЗСС-0779</t>
  </si>
  <si>
    <t>4680942607794</t>
  </si>
  <si>
    <t>270152</t>
  </si>
  <si>
    <t>Конверт для денег С Новым годом! Подарки (5+0 (золото)) ЗСС-0778</t>
  </si>
  <si>
    <t>ЗСС-0778</t>
  </si>
  <si>
    <t>4680942607787</t>
  </si>
  <si>
    <t>5 Soft Touch</t>
  </si>
  <si>
    <t xml:space="preserve"> Стандарт</t>
  </si>
  <si>
    <t>206247</t>
  </si>
  <si>
    <t>Конверт для денег Soft Touch  Без текста (Зимний вечер) КСТ-5329</t>
  </si>
  <si>
    <t>КСТ-5329</t>
  </si>
  <si>
    <t>4670159053293</t>
  </si>
  <si>
    <t>Dream Cards (Soft Touch, фольга, 4+4)</t>
  </si>
  <si>
    <t>263869</t>
  </si>
  <si>
    <t>Dream Cards Конверт для денег Soft Touch Волшебного Нового года 4+4, фольга (елка) КОН-7236</t>
  </si>
  <si>
    <t>КОН-7236</t>
  </si>
  <si>
    <t>4640520772368</t>
  </si>
  <si>
    <t>263862</t>
  </si>
  <si>
    <t>Dream Cards Конверт для денег Soft Touch С Новым годом! 4+4, фольга (Дед Мороз) КОН-7229</t>
  </si>
  <si>
    <t>КОН-7229</t>
  </si>
  <si>
    <t>4640520772290</t>
  </si>
  <si>
    <t>263875</t>
  </si>
  <si>
    <t>Dream Cards Конверт для денег Soft Touch С Новым годом! 4+4, фольга (елочные украшения) КОН-7241</t>
  </si>
  <si>
    <t>КОН-7241</t>
  </si>
  <si>
    <t>4640520772412</t>
  </si>
  <si>
    <t>263859</t>
  </si>
  <si>
    <t>Dream Cards Конверт для денег Soft Touch С Новым годом! 4+4, фольга (зайчики в снегу) КОН-7228</t>
  </si>
  <si>
    <t>КОН-7228</t>
  </si>
  <si>
    <t>4640520772283</t>
  </si>
  <si>
    <t>263872</t>
  </si>
  <si>
    <t>Dream Cards Конверт для денег Soft Touch С Новым годом! 4+4, фольга (заснеженный дом) КОН-7238</t>
  </si>
  <si>
    <t>КОН-7238</t>
  </si>
  <si>
    <t>4640520772382</t>
  </si>
  <si>
    <t>263858</t>
  </si>
  <si>
    <t>Dream Cards Конверт для денег Soft Touch С Новым годом! 4+4, фольга (звезды на синем) КОН-7227</t>
  </si>
  <si>
    <t>КОН-7227</t>
  </si>
  <si>
    <t>4640520772276</t>
  </si>
  <si>
    <t>263867</t>
  </si>
  <si>
    <t>Dream Cards Конверт для денег Soft Touch С Новым годом! 4+4, фольга (красные шары) КОН-7234</t>
  </si>
  <si>
    <t>КОН-7234</t>
  </si>
  <si>
    <t>4640520772344</t>
  </si>
  <si>
    <t>263868</t>
  </si>
  <si>
    <t>Dream Cards Конверт для денег Soft Touch С Новым годом! 4+4, фольга (куранты) КОН-7235</t>
  </si>
  <si>
    <t>КОН-7235</t>
  </si>
  <si>
    <t>4640520772351</t>
  </si>
  <si>
    <t>263873</t>
  </si>
  <si>
    <t>Dream Cards Конверт для денег Soft Touch С Новым годом! 4+4, фольга (морозное утро) КОН-7239</t>
  </si>
  <si>
    <t>КОН-7239</t>
  </si>
  <si>
    <t>4640520772399</t>
  </si>
  <si>
    <t>263870</t>
  </si>
  <si>
    <t>Dream Cards Конверт для денег Soft Touch С Новым годом! 4+4, фольга (новогодние шары) КОН-7237</t>
  </si>
  <si>
    <t>КОН-7237</t>
  </si>
  <si>
    <t>4640520772375</t>
  </si>
  <si>
    <t>263863</t>
  </si>
  <si>
    <t>Dream Cards Конверт для денег Soft Touch С Новым годом! 4+4, фольга (северные олени) КОН-7230</t>
  </si>
  <si>
    <t>КОН-7230</t>
  </si>
  <si>
    <t>4640520772306</t>
  </si>
  <si>
    <t>263866</t>
  </si>
  <si>
    <t>Dream Cards Конверт для денег Soft Touch С Новым годом! 4+4, фольга (синие шары) КОН-7233</t>
  </si>
  <si>
    <t>КОН-7233</t>
  </si>
  <si>
    <t>4640520772337</t>
  </si>
  <si>
    <t>263874</t>
  </si>
  <si>
    <t>Dream Cards Конверт для денег Soft Touch С Новым годом! 4+4, фольга (снегири) КОН-7240</t>
  </si>
  <si>
    <t>КОН-7240</t>
  </si>
  <si>
    <t>4640520772405</t>
  </si>
  <si>
    <t>263864</t>
  </si>
  <si>
    <t>Dream Cards Конверт для денег Soft Touch С Новым годом! 4+4, фольга (Снегурочка) КОН-7231</t>
  </si>
  <si>
    <t>КОН-7231</t>
  </si>
  <si>
    <t>4640520772313</t>
  </si>
  <si>
    <t>263865</t>
  </si>
  <si>
    <t>Dream Cards Конверт для денег Soft Touch Счастливого Нового года 4+4, фольга (подарки) КОН-7232</t>
  </si>
  <si>
    <t>КОН-7232</t>
  </si>
  <si>
    <t>4640520772320</t>
  </si>
  <si>
    <t>6 Dream Cards (холодная фольга+твин лак)</t>
  </si>
  <si>
    <t>206310</t>
  </si>
  <si>
    <t>Dream Cards Конверт для денег   "С Новым годом. Абстактные елочки" (хол.фольга+ твин лак)  ФХЛ-00050</t>
  </si>
  <si>
    <t>ФХЛ-00050</t>
  </si>
  <si>
    <t>466530672064700050</t>
  </si>
  <si>
    <t>7 Dream Cards (фольга)</t>
  </si>
  <si>
    <t>267637</t>
  </si>
  <si>
    <t>Dream Cards Конверт для денег С Новым годом! 4+0, фольга , (Часы), КОН-7748</t>
  </si>
  <si>
    <t>КОН-7748</t>
  </si>
  <si>
    <t>4640520777486</t>
  </si>
  <si>
    <t>267633</t>
  </si>
  <si>
    <t>Dream Cards Конверт для денег С Новым годом! 4+0, фольга, (Дед Мороз собирает подарки), КОН-7744</t>
  </si>
  <si>
    <t>КОН-7744</t>
  </si>
  <si>
    <t>4640520777448</t>
  </si>
  <si>
    <t>267634</t>
  </si>
  <si>
    <t>Dream Cards Конверт для денег С Новым годом! 4+0, фольга, (Елочка), КОН-7745</t>
  </si>
  <si>
    <t>КОН-7745</t>
  </si>
  <si>
    <t>4640520777455</t>
  </si>
  <si>
    <t>267635</t>
  </si>
  <si>
    <t>Dream Cards Конверт для денег С Новым годом! 4+0, фольга, (Зимнее волшебство), КОН-7746</t>
  </si>
  <si>
    <t>КОН-7746</t>
  </si>
  <si>
    <t>4640520777462</t>
  </si>
  <si>
    <t>267636</t>
  </si>
  <si>
    <t>Dream Cards Конверт для денег С Новым годом! 4+0, фольга, (Новогодний венок), КОН-7747</t>
  </si>
  <si>
    <t>КОН-7747</t>
  </si>
  <si>
    <t>4640520777479</t>
  </si>
  <si>
    <t>Мини-открытки "Собственная разработка"</t>
  </si>
  <si>
    <t>246147</t>
  </si>
  <si>
    <t>Набор новогодних мини-открыток "С Новым Годом №2" (40 шт) собств.разраб О-4685</t>
  </si>
  <si>
    <t>О-4685</t>
  </si>
  <si>
    <t>4670159246855</t>
  </si>
  <si>
    <t>269702</t>
  </si>
  <si>
    <t>Набор новогодних мини-открыток "С Новым Годом №3" (40 шт) собств.разраб НМО-0705</t>
  </si>
  <si>
    <t>НМО-0705</t>
  </si>
  <si>
    <t>4680942607053</t>
  </si>
  <si>
    <t>227340</t>
  </si>
  <si>
    <t>Набор новогодних мини-открыток "С Новым годом" (30 шт) 70*100 мм соб.раз НМО-6484</t>
  </si>
  <si>
    <t>НМО-6484</t>
  </si>
  <si>
    <t>4670159164845</t>
  </si>
  <si>
    <t>Новогодние квесты "Собственная разработка"</t>
  </si>
  <si>
    <t>173482</t>
  </si>
  <si>
    <t>Игра по поиску подарка "Новогодний квест" "Собственная разработка" ИКВ-8204</t>
  </si>
  <si>
    <t>ИКВ-8204</t>
  </si>
  <si>
    <t>4610144882040</t>
  </si>
  <si>
    <t>173481</t>
  </si>
  <si>
    <t>Игра-квест по поиску подарка (детский) НОВОГОДНИЙ ЗООПАРК "Собственная разработка" ИКВ-8203</t>
  </si>
  <si>
    <t>ИКВ-8203</t>
  </si>
  <si>
    <t>4610144882033</t>
  </si>
  <si>
    <t>191804</t>
  </si>
  <si>
    <t>Игра-квест по поиску подарка (детский) НОВЫЙ ГОД и БУКВЫ соб.раз ИКВ-7516</t>
  </si>
  <si>
    <t>ИКВ-7516</t>
  </si>
  <si>
    <t>4620129775168</t>
  </si>
  <si>
    <t>228300</t>
  </si>
  <si>
    <t>Игра-квест с наклейками "ЗИМНИЕ ЧУДЕСА ПРИРОДЫ" соб.раз ИКВ-7068</t>
  </si>
  <si>
    <t>ИКВ-7068</t>
  </si>
  <si>
    <t>4670159170686</t>
  </si>
  <si>
    <t>270421</t>
  </si>
  <si>
    <t>Квест по поиску подарка (детский) "Дети ждут подарков!" соб.раз ИКВ-7481</t>
  </si>
  <si>
    <t>ИКВ-7481</t>
  </si>
  <si>
    <t>4640520774812</t>
  </si>
  <si>
    <t>270429</t>
  </si>
  <si>
    <t>Квест по поиску подарка (детский) "Зимние забавы" соб.раз ИКВ-7483</t>
  </si>
  <si>
    <t>ИКВ-7483</t>
  </si>
  <si>
    <t>4640520774836</t>
  </si>
  <si>
    <t>270428</t>
  </si>
  <si>
    <t>Квест по поиску подарка (детский) "Космический Новый Год", соб.раз ИКВ-7482</t>
  </si>
  <si>
    <t>ИКВ-7482</t>
  </si>
  <si>
    <t>4640520774829</t>
  </si>
  <si>
    <t>270178</t>
  </si>
  <si>
    <t>Квест по поиску подарка (детский) "Снежный английский" соб.раз ИКВ-7480</t>
  </si>
  <si>
    <t>ИКВ-7480</t>
  </si>
  <si>
    <t>4640520774805</t>
  </si>
  <si>
    <t>228175</t>
  </si>
  <si>
    <t>Новогодний квест по поиску подарка "Вкусный Новый год" соб.раз ИКВ-5956</t>
  </si>
  <si>
    <t>ИКВ-5956</t>
  </si>
  <si>
    <t>4670159159568</t>
  </si>
  <si>
    <t>228172</t>
  </si>
  <si>
    <t>Новогодний квест по поиску подарка "Для самых внимательных" соб.раз ИКВ-5953</t>
  </si>
  <si>
    <t>ИКВ-5953</t>
  </si>
  <si>
    <t>4670159159537</t>
  </si>
  <si>
    <t>228174</t>
  </si>
  <si>
    <t>Новогодний квест по поиску подарка (взрослый 1) соб.раз ИКВ-5955</t>
  </si>
  <si>
    <t>ИКВ-5955</t>
  </si>
  <si>
    <t>4670159159551</t>
  </si>
  <si>
    <t>273759</t>
  </si>
  <si>
    <t>Новогодний квест по поиску подарка (детский) "Зимний спорт" соб.раз ИКВ-2579</t>
  </si>
  <si>
    <t>ИКВ-2579</t>
  </si>
  <si>
    <t>4680942625798</t>
  </si>
  <si>
    <t>273760</t>
  </si>
  <si>
    <t>Новогодний квест по поиску подарка (детский) "Новогоднее путешествие" соб.раз ИКВ-2580</t>
  </si>
  <si>
    <t>ИКВ-2580</t>
  </si>
  <si>
    <t>4680942625804</t>
  </si>
  <si>
    <t>273757</t>
  </si>
  <si>
    <t>Новогодний квест по поиску подарка (детский) "Новогодние котята" соб.раз ИКВ-2577</t>
  </si>
  <si>
    <t>ИКВ-2577</t>
  </si>
  <si>
    <t>4680942625774</t>
  </si>
  <si>
    <t>273758</t>
  </si>
  <si>
    <t>Новогодний квест по поиску подарка (детский) "Новогодняя сказка" соб.раз ИКВ-2578</t>
  </si>
  <si>
    <t>ИКВ-2578</t>
  </si>
  <si>
    <t>4680942625781</t>
  </si>
  <si>
    <t>Письма Деду Морозу "Собственная разработка"</t>
  </si>
  <si>
    <t>267610</t>
  </si>
  <si>
    <t>Письмо Деду Морозу "Дед Мороз и Внучка дарят подарки" (уф-лак) "Собственная разработка", ПД-7787</t>
  </si>
  <si>
    <t>ПД-7787</t>
  </si>
  <si>
    <t>4640520777875</t>
  </si>
  <si>
    <t>267611</t>
  </si>
  <si>
    <t>Письмо Деду Морозу "Дед Мороз и Внучка на утреннике" (уф-лак) "Собственная разработка", ПД-7788</t>
  </si>
  <si>
    <t>ПД-7788</t>
  </si>
  <si>
    <t>4640520777882</t>
  </si>
  <si>
    <t>249877</t>
  </si>
  <si>
    <t>Письмо Деду Морозу "Дед Мороз и Снегурочка готовят подарки"(уф-лак) "Собственная разработка" ПД-5978</t>
  </si>
  <si>
    <t>ПД-5978</t>
  </si>
  <si>
    <t>4670159259787</t>
  </si>
  <si>
    <t>249866</t>
  </si>
  <si>
    <t>Письмо Деду Морозу "Дедушка Мороз и лесные звери на катке" (уф-лак) "Собственная разработка" ПД-5970</t>
  </si>
  <si>
    <t>ПД-5970</t>
  </si>
  <si>
    <t>4670159259701</t>
  </si>
  <si>
    <t>226325</t>
  </si>
  <si>
    <t>Письмо Деду Морозу "Дети играют в снегу" (уф-лак) "Собственная разработка" ПД-6035</t>
  </si>
  <si>
    <t>ПД-6035</t>
  </si>
  <si>
    <t>4670159160359</t>
  </si>
  <si>
    <t>267613</t>
  </si>
  <si>
    <t>Письмо Деду Морозу "Новогодняя сказка у ёлки" (уф-лак) "Собственная разработка", ПД-7789</t>
  </si>
  <si>
    <t>ПД-7789</t>
  </si>
  <si>
    <t>4640520777899</t>
  </si>
  <si>
    <t>267606</t>
  </si>
  <si>
    <t>Письмо Деду Морозу «Дед Мороз и весёлый оркестр лесных друзей» (уф-лак) Собст. разработка, ПД-7786</t>
  </si>
  <si>
    <t>ПД-7786</t>
  </si>
  <si>
    <t>4640520777868</t>
  </si>
  <si>
    <t>267593</t>
  </si>
  <si>
    <t>Письмо Деду Морозу «Дед мороз и лесные друзья у ёлки» (уф-лак) Собст. разработка, ПД-7780</t>
  </si>
  <si>
    <t>ПД-7780</t>
  </si>
  <si>
    <t>4640520777806</t>
  </si>
  <si>
    <t>267595</t>
  </si>
  <si>
    <t>Письмо Деду Морозу «Дед Мороз на тройке» (уф-лак) Собст. разработка, ПД-7781</t>
  </si>
  <si>
    <t>ПД-7781</t>
  </si>
  <si>
    <t>4640520777813</t>
  </si>
  <si>
    <t>267604</t>
  </si>
  <si>
    <t>Письмо Деду Морозу «Дед мороз раздает угощения» (уф-лак) Собст. разработка, ПД-7785</t>
  </si>
  <si>
    <t>ПД-7785</t>
  </si>
  <si>
    <t>4640520777851</t>
  </si>
  <si>
    <t>267603</t>
  </si>
  <si>
    <t>Письмо Деду Морозу «Дед мороз читает письма» (уф-лак) Собст. разработка, ПД-7784</t>
  </si>
  <si>
    <t>ПД-7784</t>
  </si>
  <si>
    <t>4640520777844</t>
  </si>
  <si>
    <t>267588</t>
  </si>
  <si>
    <t>Письмо Деду Морозу «Дед мороз, елка, подарки и весёлые зверята» (уф-лак) Собст. разработка, ПД-7779</t>
  </si>
  <si>
    <t>ПД-7779</t>
  </si>
  <si>
    <t>4640520777790</t>
  </si>
  <si>
    <t>267599</t>
  </si>
  <si>
    <t>Письмо Деду Морозу «Лесные зверята приглашают на праздник» (уф-лак) Собст. разработка, ПД-7782</t>
  </si>
  <si>
    <t>ПД-7782</t>
  </si>
  <si>
    <t>4640520777820</t>
  </si>
  <si>
    <t>267614</t>
  </si>
  <si>
    <t>Письмо от Деда Мороза «Дед Мороз разбирает почту» (уф-лак) Собст. разработка, ПД-7790</t>
  </si>
  <si>
    <t>ПД-7790</t>
  </si>
  <si>
    <t>4640520777905</t>
  </si>
  <si>
    <t>267601</t>
  </si>
  <si>
    <t>Письмо от Деда Мороза «Дед Мороз спешит с подарками» (уф-лак) Собст. разработка, ПД-7783</t>
  </si>
  <si>
    <t>ПД-7783</t>
  </si>
  <si>
    <t>4640520777837</t>
  </si>
  <si>
    <t>Подарочные наборы "Собственная разработка"</t>
  </si>
  <si>
    <t>271843</t>
  </si>
  <si>
    <t>Подар.набор Письмо ДМ+письмо от ДМ+кор. д/ конфет "Дед Мороз и Внучка на утреннике" Соб.раз ПД-1724</t>
  </si>
  <si>
    <t>ПД-1724</t>
  </si>
  <si>
    <t>4680942617335</t>
  </si>
  <si>
    <t>252296</t>
  </si>
  <si>
    <t>Подар.набор Письмо ДМ+письмо от ДМ+кор. для конфет "Дед Мороз и звери на катке" Собств.раз ПД-6261</t>
  </si>
  <si>
    <t>ПД-6261</t>
  </si>
  <si>
    <t>4670159262619</t>
  </si>
  <si>
    <t>271842</t>
  </si>
  <si>
    <t>Подар.набор Письмо ДМ+письмо от ДМ+кор. для конфет "Дед Мороз и оркестр друзей" Соб.раз ПД-1723</t>
  </si>
  <si>
    <t>ПД-1723</t>
  </si>
  <si>
    <t>4680942617328</t>
  </si>
  <si>
    <t>271840</t>
  </si>
  <si>
    <t>Подар.набор Письмо ДМ+письмо от ДМ+кор. для конфет "Новогодняя сказка у ёлки" Собств.раз ПД-1722</t>
  </si>
  <si>
    <t>ПД-1722</t>
  </si>
  <si>
    <t>4680942617311</t>
  </si>
  <si>
    <t>252297</t>
  </si>
  <si>
    <t>Подар.набор Письмо ДМ+письмо от ДМ+кор. для конфет "Песни и пляски у елки" Собств.разраб ПД-6262</t>
  </si>
  <si>
    <t>ПД-6262</t>
  </si>
  <si>
    <t>4670159262626</t>
  </si>
  <si>
    <t>252298</t>
  </si>
  <si>
    <t>Подар.набор Письмо ДМ+письмо от ДМ+кор. для конфет "Чаепитие в лесу" Собств.разраб ПД-6263</t>
  </si>
  <si>
    <t>ПД-6263</t>
  </si>
  <si>
    <t>4670159262633</t>
  </si>
  <si>
    <t>252299</t>
  </si>
  <si>
    <t>Подар.набор Письмо ДМ+письмо от ДМ+кор.для конфет "Дед Мороз собирает подарки" Собств.раз ПД-6264</t>
  </si>
  <si>
    <t>ПД-6264</t>
  </si>
  <si>
    <t>4670159262640</t>
  </si>
  <si>
    <t>271844</t>
  </si>
  <si>
    <t>Подар.набор Письмо ДМ+письмо от ДМ+кор.для конфет "ДМ, елка, подарки и зверята" Соб.раз ПД-1725</t>
  </si>
  <si>
    <t>ПД-1725</t>
  </si>
  <si>
    <t>4680942617342</t>
  </si>
  <si>
    <t>230703</t>
  </si>
  <si>
    <t>Подар.набор Письмо ДМ+письмо от ДМ+кор.для конфет"Гномы наряжают елку" Собст.разр. ПД-7941</t>
  </si>
  <si>
    <t>ПД-7941</t>
  </si>
  <si>
    <t>4670159179412</t>
  </si>
  <si>
    <t>04 Украшения для ёлки</t>
  </si>
  <si>
    <t>01 Подвесные украшения на елку</t>
  </si>
  <si>
    <t>00 Фарфоровые</t>
  </si>
  <si>
    <t>251216</t>
  </si>
  <si>
    <t>Новогоднее украшение Набор подвесок 2 шт "Дедушки Морозы в санях" 6*5*8см фарфор, бело-синий НУ-2650</t>
  </si>
  <si>
    <t>НУ-2650</t>
  </si>
  <si>
    <t>4640306926190</t>
  </si>
  <si>
    <t>251222</t>
  </si>
  <si>
    <t>Новогоднее украшение Набор подвесок 3шт"Коты-музыканты" 7.5х3.3х2.5см фарфор бел,голуб,золот НУ-2653</t>
  </si>
  <si>
    <t>НУ-2653</t>
  </si>
  <si>
    <t>4640306926220</t>
  </si>
  <si>
    <t>251225</t>
  </si>
  <si>
    <t>Новогоднее украшение Подвеска LED"Снеговик в шляпе" 8.7х5.2х4.2см, 2*LR44 фарфор, бело-синий НУ-2655</t>
  </si>
  <si>
    <t>НУ-2655</t>
  </si>
  <si>
    <t>4640306926244</t>
  </si>
  <si>
    <t>251221</t>
  </si>
  <si>
    <t>Новогоднее украшение. Набор подвесок 2 шт. "Волшебные олени" 10х7х3см, фарфор, бело-синий НУ-2652</t>
  </si>
  <si>
    <t>НУ-2652</t>
  </si>
  <si>
    <t>4640306926213</t>
  </si>
  <si>
    <t>276139</t>
  </si>
  <si>
    <t>Новогоднее украшение. Набор подвесок 2 шт. "Подарочки" 5,2 см и 7,3 см, фарфор, бело-синий НУП-4251</t>
  </si>
  <si>
    <t>НУП-4251</t>
  </si>
  <si>
    <t>4680942642511</t>
  </si>
  <si>
    <t>276142</t>
  </si>
  <si>
    <t>Новогоднее украшение. Набор подвесок 2 шт. "Подсвечники" 3,2*8,3см, фарфор, бело-синий НУП-4254</t>
  </si>
  <si>
    <t>НУП-4254</t>
  </si>
  <si>
    <t>4680942642542</t>
  </si>
  <si>
    <t>276140</t>
  </si>
  <si>
    <t>Новогоднее украшение. Набор подвесок 2 шт."Лошадки" 8,3*6,6см, 7,8*7,8см,фарфор, бело-синий НУП-4252</t>
  </si>
  <si>
    <t>НУП-4252</t>
  </si>
  <si>
    <t>4680942642528</t>
  </si>
  <si>
    <t>251214</t>
  </si>
  <si>
    <t>Новогоднее украшение. Набор подвесок 3 шт. "Дедушки Морозы" 8.2х3,7х3.5см фарфор, бело-золот НУ-2649</t>
  </si>
  <si>
    <t>НУ-2649</t>
  </si>
  <si>
    <t>4640306926183</t>
  </si>
  <si>
    <t>251206</t>
  </si>
  <si>
    <t>Новогоднее украшение. Набор подвесок 3 шт. "Домики" 7.5х5х3.8 см, фарфор, бело-синий НУ-2648</t>
  </si>
  <si>
    <t>НУ-2648</t>
  </si>
  <si>
    <t>4640306926176</t>
  </si>
  <si>
    <t>276120</t>
  </si>
  <si>
    <t>Новогоднее украшение. Набор подвесок 3 шт. "Резные кресла" 5.5*4.8*8 см, фарфор, бело-синий НУП-4250</t>
  </si>
  <si>
    <t>НУП-4250</t>
  </si>
  <si>
    <t>4680942642504</t>
  </si>
  <si>
    <t>251219</t>
  </si>
  <si>
    <t>Новогоднее украшение. Набор подвесок 3 шт. "Сказочные щелкунчики" 8х4.5х3.4см фарфор цветной НУ-2651</t>
  </si>
  <si>
    <t>НУ-2651</t>
  </si>
  <si>
    <t>4640306926206</t>
  </si>
  <si>
    <t>251224</t>
  </si>
  <si>
    <t>Новогоднее украшение. Набор подвесок 3 шт. "Снеговички" 8.2х5х7см, фарфор, цветной НУ-2654</t>
  </si>
  <si>
    <t>НУ-2654</t>
  </si>
  <si>
    <t>4640306926237</t>
  </si>
  <si>
    <t>276143</t>
  </si>
  <si>
    <t>Новогоднее украшение. Набор подвесок 3 шт. "Столовый сервиз" 7 см, фарфор, бело-синий НУП-4255</t>
  </si>
  <si>
    <t>НУП-4255</t>
  </si>
  <si>
    <t>4680942642559</t>
  </si>
  <si>
    <t>01 Полирезина</t>
  </si>
  <si>
    <t>01 КОЛЛЕКЦИЯ "В ГОСТЯХ У СКАЗКИ"</t>
  </si>
  <si>
    <t>272626</t>
  </si>
  <si>
    <t>Новогоднее украшение Полирезиновая подвеска Деревянный мальчик с ключом, 8 см, соб.раз НУП-2069</t>
  </si>
  <si>
    <t>НУП-2069</t>
  </si>
  <si>
    <t>4680942620694</t>
  </si>
  <si>
    <t>272625</t>
  </si>
  <si>
    <t>Новогоднее украшение Полирезиновая подвеска Деревянный мальчик с книгами, 8 см, соб.раз НУП-2068</t>
  </si>
  <si>
    <t>НУП-2068</t>
  </si>
  <si>
    <t>4680942620687</t>
  </si>
  <si>
    <t>272624</t>
  </si>
  <si>
    <t>Новогоднее украшение Полирезиновая подвеска Деревянный мальчик с монетами, 8 см, соб.раз НУП-2067</t>
  </si>
  <si>
    <t>НУП-2067</t>
  </si>
  <si>
    <t>4680942620670</t>
  </si>
  <si>
    <t>201815</t>
  </si>
  <si>
    <t>Полирезиновая подвеска Волшебная сказка, 7 см, собственная разработка НУ-1662</t>
  </si>
  <si>
    <t>НУ-1662</t>
  </si>
  <si>
    <t>4670159016328</t>
  </si>
  <si>
    <t>201814</t>
  </si>
  <si>
    <t>Полирезиновая подвеска Новогодняя сказка, 7 см, собственная разработка Щелкунчик НУ-1661</t>
  </si>
  <si>
    <t>НУ-1661</t>
  </si>
  <si>
    <t>4670159016311</t>
  </si>
  <si>
    <t>201813</t>
  </si>
  <si>
    <t>Полирезиновая подвеска Сказочный ключик, 7 см, собственная разработка НУ-1660</t>
  </si>
  <si>
    <t>НУ-1660</t>
  </si>
  <si>
    <t>4670159016304</t>
  </si>
  <si>
    <t>02 КОЛЛЕКЦИЯ "31 декабря"</t>
  </si>
  <si>
    <t>272597</t>
  </si>
  <si>
    <t>Новогоднее украшение Полирезиновая подвеска Снегирь с календарём, 7 см, соб.раз НУП-2050</t>
  </si>
  <si>
    <t>НУП-2050</t>
  </si>
  <si>
    <t>4680942620502</t>
  </si>
  <si>
    <t>251762</t>
  </si>
  <si>
    <t>Полирезиновая подвеска Ежонок с календарем 7*4,5см (собс.разр) НУ-2512</t>
  </si>
  <si>
    <t>НУ-2512</t>
  </si>
  <si>
    <t>4640306924998</t>
  </si>
  <si>
    <t>251763</t>
  </si>
  <si>
    <t>Полирезиновая подвеска Зайчонок с календарем 7*4см (собс.разр) НУ-2513</t>
  </si>
  <si>
    <t>НУ-2513</t>
  </si>
  <si>
    <t>4640306925001</t>
  </si>
  <si>
    <t>251761</t>
  </si>
  <si>
    <t>Полирезиновая подвеска Лисичка с календарем 7*4,5см (собс.разр) НУ-2511</t>
  </si>
  <si>
    <t>НУ-2511</t>
  </si>
  <si>
    <t>4640306924981</t>
  </si>
  <si>
    <t>251759</t>
  </si>
  <si>
    <t>Полирезиновая подвеска Мишутка с календарем 7*4,5см (собс.разр) НУ-2510</t>
  </si>
  <si>
    <t>НУ-2510</t>
  </si>
  <si>
    <t>4640306924974</t>
  </si>
  <si>
    <t>03 КОЛЛЕКЦИЯ "НАСТОЯЩИЙ НОВЫЙ ГОД"</t>
  </si>
  <si>
    <t>272594</t>
  </si>
  <si>
    <t>Новогоднее украшение Полирезиновая подвеска Дед Мороз с белочкой, 7 см, соб.раз НУП-2048</t>
  </si>
  <si>
    <t>НУП-2048</t>
  </si>
  <si>
    <t>4680942620489</t>
  </si>
  <si>
    <t>272674</t>
  </si>
  <si>
    <t>Новогоднее украшение Полирезиновая подвеска Часы со снегирём, 5 см, соб.раз НУП-2095</t>
  </si>
  <si>
    <t>НУП-2095</t>
  </si>
  <si>
    <t>4680942620953</t>
  </si>
  <si>
    <t>251758</t>
  </si>
  <si>
    <t>Полирезиновая подвеска Внучка деда мороза 7*5см (собс.разр) НУ-2509</t>
  </si>
  <si>
    <t>НУ-2509</t>
  </si>
  <si>
    <t>4640306924967</t>
  </si>
  <si>
    <t>251757</t>
  </si>
  <si>
    <t>Полирезиновая подвеска Дедушка мороз 7*5см (собс.разр) НУ-2508</t>
  </si>
  <si>
    <t>НУ-2508</t>
  </si>
  <si>
    <t>4640306924950</t>
  </si>
  <si>
    <t>04 КОЛЛЕКЦИЯ "ШКОЛА МАГИИ"</t>
  </si>
  <si>
    <t>272643</t>
  </si>
  <si>
    <t>Новогоднее украшение Полирезиновая подвеска Волшебное письмо, 6 см, соб.раз НУП-2072</t>
  </si>
  <si>
    <t>НУП-2072</t>
  </si>
  <si>
    <t>4680942620724</t>
  </si>
  <si>
    <t>272648</t>
  </si>
  <si>
    <t>Новогоднее украшение Полирезиновая подвеска Волшебный автобус, 6 см, соб.раз НУП-2075</t>
  </si>
  <si>
    <t>НУП-2075</t>
  </si>
  <si>
    <t>4680942620755</t>
  </si>
  <si>
    <t>272645</t>
  </si>
  <si>
    <t>Новогоднее украшение Полирезиновая подвеска Загадочная книга, 6 см, соб.раз НУП-2073</t>
  </si>
  <si>
    <t>НУП-2073</t>
  </si>
  <si>
    <t>4680942620731</t>
  </si>
  <si>
    <t>272653</t>
  </si>
  <si>
    <t>Новогоднее украшение Полирезиновая подвеска Мистический дух, 8 см, соб.раз НУП-2079</t>
  </si>
  <si>
    <t>НУП-2079</t>
  </si>
  <si>
    <t>4680942620793</t>
  </si>
  <si>
    <t>272654</t>
  </si>
  <si>
    <t>Новогоднее украшение Полирезиновая подвеска Палочка волшебника, 8 см, соб.раз НУП-2080</t>
  </si>
  <si>
    <t>НУП-2080</t>
  </si>
  <si>
    <t>4680942620809</t>
  </si>
  <si>
    <t>272650</t>
  </si>
  <si>
    <t>Новогоднее украшение Полирезиновая подвеска Полосатый носок, 8 см, соб.раз НУП-2077</t>
  </si>
  <si>
    <t>НУП-2077</t>
  </si>
  <si>
    <t>4680942620779</t>
  </si>
  <si>
    <t>272641</t>
  </si>
  <si>
    <t>Новогоднее украшение Полирезиновая подвеска Символ волшебства, 6 см, соб.раз НУП-2070</t>
  </si>
  <si>
    <t>НУП-2070</t>
  </si>
  <si>
    <t>4680942620700</t>
  </si>
  <si>
    <t>227863</t>
  </si>
  <si>
    <t>Полирезиновая подвеска Волшебная шляпа, 7*6см (собс.разр) НУ-6943</t>
  </si>
  <si>
    <t>НУ-6943</t>
  </si>
  <si>
    <t>4670159169413</t>
  </si>
  <si>
    <t>251780</t>
  </si>
  <si>
    <t>Полирезиновая подвеска Волшебное путешествие 7см (собс.разр) НУ-2523</t>
  </si>
  <si>
    <t>НУ-2523</t>
  </si>
  <si>
    <t>4640306925100</t>
  </si>
  <si>
    <t>227850</t>
  </si>
  <si>
    <t>Полирезиновая подвеска Книжная стопка, 6*2.5*7см (собс.разр) НУ-6940</t>
  </si>
  <si>
    <t>НУ-6940</t>
  </si>
  <si>
    <t>4670159169383</t>
  </si>
  <si>
    <t>251772</t>
  </si>
  <si>
    <t>Полирезиновая подвеска Летающая машина 8см соб.раз НУ-2521</t>
  </si>
  <si>
    <t>НУ-2521</t>
  </si>
  <si>
    <t>4640306925087</t>
  </si>
  <si>
    <t>251783</t>
  </si>
  <si>
    <t>Полирезиновая подвеска Локомотив 8см (собс.разр) НУ-2524</t>
  </si>
  <si>
    <t>НУ-2524</t>
  </si>
  <si>
    <t>4640306925117</t>
  </si>
  <si>
    <t>251778</t>
  </si>
  <si>
    <t>Полирезиновая подвеска Сова со свитком 8см (собс.разр) НУ-2522</t>
  </si>
  <si>
    <t>НУ-2522</t>
  </si>
  <si>
    <t>4640306925094</t>
  </si>
  <si>
    <t>227862</t>
  </si>
  <si>
    <t>Полирезиновая подвеска Совушка с письмом, 4*7см  (собс.разр) НУ-6942</t>
  </si>
  <si>
    <t>НУ-6942</t>
  </si>
  <si>
    <t>4670159169406</t>
  </si>
  <si>
    <t>05 КОЛЛЕКЦИЯ "ПРИМЫ БАЛЕРИНЫ"</t>
  </si>
  <si>
    <t>201796</t>
  </si>
  <si>
    <t>Полирезиновая подвеска Балерина Анастасия, 7 см, собственная разработка НУ-1618</t>
  </si>
  <si>
    <t>НУ-1618</t>
  </si>
  <si>
    <t>4670159016182</t>
  </si>
  <si>
    <t>201798</t>
  </si>
  <si>
    <t>Полирезиновая подвеска Балерина Анна, 7 см, собственная разработка НУ-1619</t>
  </si>
  <si>
    <t>НУ-1619</t>
  </si>
  <si>
    <t>4670159016199</t>
  </si>
  <si>
    <t>201799</t>
  </si>
  <si>
    <t>Полирезиновая подвеска Балерина Диана, 7 см, собственная разработка НУ-1620</t>
  </si>
  <si>
    <t>НУ-1620</t>
  </si>
  <si>
    <t>4670159016205</t>
  </si>
  <si>
    <t>201800</t>
  </si>
  <si>
    <t>Полирезиновая подвеска Балерина Майя, 7 см, собственная разработка НУ-1621</t>
  </si>
  <si>
    <t>НУ-1621</t>
  </si>
  <si>
    <t>4670159016212</t>
  </si>
  <si>
    <t>251767</t>
  </si>
  <si>
    <t>Полирезиновая подвеска Балерина Роза 8*3см (собс.разр) НУ-2516</t>
  </si>
  <si>
    <t>НУ-2516</t>
  </si>
  <si>
    <t>4640306925032</t>
  </si>
  <si>
    <t>06 КОЛЛЕКЦИЯ "СНЕГИРИ"</t>
  </si>
  <si>
    <t>230124</t>
  </si>
  <si>
    <t>Полирезиновая подвеска Снегирь в полете, 7,5*4,5см (собственная разработка) НУ-7773</t>
  </si>
  <si>
    <t>НУ-7773</t>
  </si>
  <si>
    <t>4670159177432</t>
  </si>
  <si>
    <t>230123</t>
  </si>
  <si>
    <t>Полирезиновая подвеска Снегирь и рябина, 7*5см (собственная разработка) НУ-7772</t>
  </si>
  <si>
    <t>НУ-7772</t>
  </si>
  <si>
    <t>4670159177425</t>
  </si>
  <si>
    <t>230121</t>
  </si>
  <si>
    <t>Полирезиновая подвеска Снегирь с бантиком, 4,5*7см (собственная разработка) НУ-7771</t>
  </si>
  <si>
    <t>НУ-7771</t>
  </si>
  <si>
    <t>4670159177418</t>
  </si>
  <si>
    <t>251770</t>
  </si>
  <si>
    <t>Полирезиновая подвеска Снегирь с венком 7*7см (собс.разр) НУ-2519</t>
  </si>
  <si>
    <t>НУ-2519</t>
  </si>
  <si>
    <t>4640306925063</t>
  </si>
  <si>
    <t>230120</t>
  </si>
  <si>
    <t>Полирезиновая подвеска Снегирь с календариком, 4*8см (собственная разработка) НУ-7770</t>
  </si>
  <si>
    <t>НУ-7770</t>
  </si>
  <si>
    <t>4670159177401</t>
  </si>
  <si>
    <t>251771</t>
  </si>
  <si>
    <t>Полирезиновая подвеска Снегирь с леденцом 7*5см (собс.разр) НУ-2520</t>
  </si>
  <si>
    <t>НУ-2520</t>
  </si>
  <si>
    <t>4640306925070</t>
  </si>
  <si>
    <t>251768</t>
  </si>
  <si>
    <t>Полирезиновая подвеска Снегирь с подарком 8*4,5см (собс.разр) НУ-2517</t>
  </si>
  <si>
    <t>НУ-2517</t>
  </si>
  <si>
    <t>4640306925049</t>
  </si>
  <si>
    <t>251769</t>
  </si>
  <si>
    <t>Полирезиновая подвеска Снегирь с шишкой 8*4,5см (собс.разр) НУ-2518</t>
  </si>
  <si>
    <t>НУ-2518</t>
  </si>
  <si>
    <t>4640306925056</t>
  </si>
  <si>
    <t>07 КОЛЛЕКЦИЯ "ОЗОРНЫЕ КОТЯТА"</t>
  </si>
  <si>
    <t>272598</t>
  </si>
  <si>
    <t>Новогоднее украшение Полирезиновая подвеска Котик в носке, 7 см, соб.раз НУП-2051</t>
  </si>
  <si>
    <t>НУП-2051</t>
  </si>
  <si>
    <t>4680942620519</t>
  </si>
  <si>
    <t>272599</t>
  </si>
  <si>
    <t>Новогоднее украшение Полирезиновая подвеска Котик с венком, 7 см, соб.раз НУП-2052</t>
  </si>
  <si>
    <t>НУП-2052</t>
  </si>
  <si>
    <t>4680942620526</t>
  </si>
  <si>
    <t>272601</t>
  </si>
  <si>
    <t>Новогоднее украшение Полирезиновая подвеска Котик с подарками, 7 см, соб.раз НУП-2053</t>
  </si>
  <si>
    <t>НУП-2053</t>
  </si>
  <si>
    <t>4680942620533</t>
  </si>
  <si>
    <t>272602</t>
  </si>
  <si>
    <t>Новогоднее украшение Полирезиновая подвеска Котик с чашкой, 7 см, соб.раз НУП-2054</t>
  </si>
  <si>
    <t>НУП-2054</t>
  </si>
  <si>
    <t>4680942620540</t>
  </si>
  <si>
    <t>201811</t>
  </si>
  <si>
    <t>Полирезиновая подвеска Котик на веточке, 7 см, собственная разработка НУ-1628</t>
  </si>
  <si>
    <t>НУ-1628</t>
  </si>
  <si>
    <t>4670159016281</t>
  </si>
  <si>
    <t>201812</t>
  </si>
  <si>
    <t>Полирезиновая подвеска Котик с шариком, 7 см, собственная разработка НУ-1629</t>
  </si>
  <si>
    <t>НУ-1629</t>
  </si>
  <si>
    <t>4670159016298</t>
  </si>
  <si>
    <t>08 КОЛЛЕКЦИЯ "ЭЛЬФЫ"</t>
  </si>
  <si>
    <t>272657</t>
  </si>
  <si>
    <t>Новогоднее украшение Полирезиновая подвеска Эльф с дудкой, 8 см, соб.раз НУП-2081</t>
  </si>
  <si>
    <t>НУП-2081</t>
  </si>
  <si>
    <t>4680942620816</t>
  </si>
  <si>
    <t>272658</t>
  </si>
  <si>
    <t>Новогоднее украшение Полирезиновая подвеска Эльф с ёлкой, 8 см, соб.раз НУП-2082</t>
  </si>
  <si>
    <t>НУП-2082</t>
  </si>
  <si>
    <t>4680942620823</t>
  </si>
  <si>
    <t>272660</t>
  </si>
  <si>
    <t>Новогоднее украшение Полирезиновая подвеска Эльф с карамелькой, 7 см, соб.раз НУП-2084</t>
  </si>
  <si>
    <t>НУП-2084</t>
  </si>
  <si>
    <t>4680942620847</t>
  </si>
  <si>
    <t>272659</t>
  </si>
  <si>
    <t>Новогоднее украшение Полирезиновая подвеска Эльф с подарком, 8 см, соб.раз НУП-2083</t>
  </si>
  <si>
    <t>НУП-2083</t>
  </si>
  <si>
    <t>4680942620830</t>
  </si>
  <si>
    <t>09 КОЛЛЕКЦИЯ "АНГЕЛОЧКИ"</t>
  </si>
  <si>
    <t>272665</t>
  </si>
  <si>
    <t>Новогоднее украшение Полирезиновая подвеска Ангел на луне, 8 см, соб.раз НУП-2088</t>
  </si>
  <si>
    <t>НУП-2088</t>
  </si>
  <si>
    <t>4680942620885</t>
  </si>
  <si>
    <t>272664</t>
  </si>
  <si>
    <t>Новогоднее украшение Полирезиновая подвеска Ангел с лирой, 7 см, соб.раз НУП-2087</t>
  </si>
  <si>
    <t>НУП-2087</t>
  </si>
  <si>
    <t>4680942620878</t>
  </si>
  <si>
    <t>272661</t>
  </si>
  <si>
    <t>Новогоднее украшение Полирезиновая подвеска Ангелочек, 7 см, соб.раз НУП-2085</t>
  </si>
  <si>
    <t>НУП-2085</t>
  </si>
  <si>
    <t>4680942620854</t>
  </si>
  <si>
    <t>272663</t>
  </si>
  <si>
    <t>Новогоднее украшение Полирезиновая подвеска Милый ангел, 7 см, соб.раз НУП-2086</t>
  </si>
  <si>
    <t>НУП-2086</t>
  </si>
  <si>
    <t>4680942620861</t>
  </si>
  <si>
    <t>10 КОЛЛЕКЦИЯ "ФЕИ"</t>
  </si>
  <si>
    <t>272666</t>
  </si>
  <si>
    <t>Новогоднее украшение Полирезиновая подвеска Лесная фея, 7 см, соб.раз НУП-2089</t>
  </si>
  <si>
    <t>НУП-2089</t>
  </si>
  <si>
    <t>4680942620892</t>
  </si>
  <si>
    <t>272667</t>
  </si>
  <si>
    <t>Новогоднее украшение Полирезиновая подвеска Прекрасная фея, 7 см, соб.раз НУП-2090</t>
  </si>
  <si>
    <t>НУП-2090</t>
  </si>
  <si>
    <t>4680942620908</t>
  </si>
  <si>
    <t>272669</t>
  </si>
  <si>
    <t>Новогоднее украшение Полирезиновая подвеска Снежная фея, 8 см, соб.раз НУП-2091</t>
  </si>
  <si>
    <t>НУП-2091</t>
  </si>
  <si>
    <t>4680942620915</t>
  </si>
  <si>
    <t>272670</t>
  </si>
  <si>
    <t>Новогоднее украшение Полирезиновая подвеска Цветочная фея, 8 см, соб.раз НУП-2092</t>
  </si>
  <si>
    <t>НУП-2092</t>
  </si>
  <si>
    <t>4680942620922</t>
  </si>
  <si>
    <t>11 КОЛЛЕКЦИЯ "ЩЕЛКУНЧИК"</t>
  </si>
  <si>
    <t>231899</t>
  </si>
  <si>
    <t>Полирезиновая подвеска Балерина с щелкунчиком, 5,5*10см (собств. разраб.) НУ-8540</t>
  </si>
  <si>
    <t>НУ-8540</t>
  </si>
  <si>
    <t>4670159182528</t>
  </si>
  <si>
    <t>12 КОЛЛЕКЦИЯ "СКАЗОЧНЫЕ ГНОМЫ"</t>
  </si>
  <si>
    <t>201808</t>
  </si>
  <si>
    <t>Полирезиновая подвеска Гном с мешком и елкой, 7 см, собственная разработка НУ-1625</t>
  </si>
  <si>
    <t>НУ-1625</t>
  </si>
  <si>
    <t>4670159016250</t>
  </si>
  <si>
    <t>201801</t>
  </si>
  <si>
    <t>Полирезиновая подвеска Гном с птичкой, 7 см, собственная разработка НУ-1622</t>
  </si>
  <si>
    <t>НУ-1622</t>
  </si>
  <si>
    <t>4670159016229</t>
  </si>
  <si>
    <t>15 КОЛЛЕКЦИЯ "ПОДВЕСКИ-МЕДАЛЬОНЫ"</t>
  </si>
  <si>
    <t>236511</t>
  </si>
  <si>
    <t>Полирезиновая подвеска-медальон "Крысиный король", 8 см соб.раз Т-0670</t>
  </si>
  <si>
    <t>Т-0670</t>
  </si>
  <si>
    <t>4670159206705</t>
  </si>
  <si>
    <t>236512</t>
  </si>
  <si>
    <t>Полирезиновая подвеска-медальон "Мари с Щелкунчиком", 8 см Щелкунчик соб.раз Т-0671</t>
  </si>
  <si>
    <t>Т-0671</t>
  </si>
  <si>
    <t>4670159206712</t>
  </si>
  <si>
    <t>236510</t>
  </si>
  <si>
    <t>Полирезиновая подвеска-медальон "Праздничная ёлочка", 8 см соб.раз Т-0669</t>
  </si>
  <si>
    <t>Т-0669</t>
  </si>
  <si>
    <t>4670159206699</t>
  </si>
  <si>
    <t>236508</t>
  </si>
  <si>
    <t>Полирезиновая подвеска-медальон "Щелкунчик", 8 см Щелкунчик соб.раз Т-0668</t>
  </si>
  <si>
    <t>Т-0668</t>
  </si>
  <si>
    <t>4670159206682</t>
  </si>
  <si>
    <t>16 КОЛЛЕКЦИЯ "ВОСТОЧНАЯ"</t>
  </si>
  <si>
    <t>227787</t>
  </si>
  <si>
    <t>Полирезиновая подвеска "Китайский фонарик необычный", 7,5 *7см (собс.разр) НУ-6890</t>
  </si>
  <si>
    <t>НУ-6890</t>
  </si>
  <si>
    <t>4670159168959</t>
  </si>
  <si>
    <t>227793</t>
  </si>
  <si>
    <t>Полирезиновая подвеска "Китайский фонарик праздничный", 10,5*7см (собс.разр) НУ-6893</t>
  </si>
  <si>
    <t>НУ-6893</t>
  </si>
  <si>
    <t>4670159168980</t>
  </si>
  <si>
    <t>227791</t>
  </si>
  <si>
    <t>Полирезиновая подвеска "Китайский фонарик удивительный", 6*7см (собс.разр) НУ-6891</t>
  </si>
  <si>
    <t>НУ-6891</t>
  </si>
  <si>
    <t>4670159168966</t>
  </si>
  <si>
    <t>227792</t>
  </si>
  <si>
    <t>Полирезиновая подвеска "Китайский фонарик яркий", 3,9*7см (собс.разр) НУ-6892</t>
  </si>
  <si>
    <t>НУ-6892</t>
  </si>
  <si>
    <t>4670159168973</t>
  </si>
  <si>
    <t>17 КОЛЛЕКЦИЯ "ЛОШАДКИ-КАЧАЛКИ"</t>
  </si>
  <si>
    <t>160478</t>
  </si>
  <si>
    <t>Новогоднее подвесное украшение Пони, синее 7,7 см НУ-5029</t>
  </si>
  <si>
    <t>НУ-5029</t>
  </si>
  <si>
    <t>4680088495293</t>
  </si>
  <si>
    <t>251753</t>
  </si>
  <si>
    <t>Полирезиновая подвеска Лошадка каталка, голубая 8*8 см (собс.разр) НУ-2503</t>
  </si>
  <si>
    <t>НУ-2503</t>
  </si>
  <si>
    <t>4640306924905</t>
  </si>
  <si>
    <t>251754</t>
  </si>
  <si>
    <t>Полирезиновая подвеска Лошадка назад в детство 8*8 см (собс.разр) НУ-2504</t>
  </si>
  <si>
    <t>НУ-2504</t>
  </si>
  <si>
    <t>4640306924912</t>
  </si>
  <si>
    <t>251756</t>
  </si>
  <si>
    <t>Полирезиновая подвеска Новогодняя лошадка 8*8 см (собс.разр) НУ-2505</t>
  </si>
  <si>
    <t>НУ-2505</t>
  </si>
  <si>
    <t>4640306924929</t>
  </si>
  <si>
    <t>02 Стеклянные</t>
  </si>
  <si>
    <t>1 Стеклянные формовые (собственная разработка)</t>
  </si>
  <si>
    <t>2 Снежинки "Собственная разработка"</t>
  </si>
  <si>
    <t>204299</t>
  </si>
  <si>
    <t>Елочное украшение из стекла   "Красивая снежинка", 8 см (собственная разработка) ЕШ-4283</t>
  </si>
  <si>
    <t>ЕШ-4283</t>
  </si>
  <si>
    <t>4670159042839</t>
  </si>
  <si>
    <t>204297</t>
  </si>
  <si>
    <t>Елочное украшение из стекла   "Снежинка", 8 см (собственная разработка) ЕШ-4282</t>
  </si>
  <si>
    <t>ЕШ-4282</t>
  </si>
  <si>
    <t>4670159042822</t>
  </si>
  <si>
    <t>204303</t>
  </si>
  <si>
    <t>Елочное украшение из стекла   "Снежный вихрь", 8 см (собственная разработка) ЕШ-4285</t>
  </si>
  <si>
    <t>ЕШ-4285</t>
  </si>
  <si>
    <t>4670159042853</t>
  </si>
  <si>
    <t>204302</t>
  </si>
  <si>
    <t>Елочное украшение из стекла  "Снежный узор", 8 см (собственная разработка) ЕШ-4284</t>
  </si>
  <si>
    <t>ЕШ-4284</t>
  </si>
  <si>
    <t>4670159042846</t>
  </si>
  <si>
    <t>3 Домики "Собственная разработка"</t>
  </si>
  <si>
    <t>204294</t>
  </si>
  <si>
    <t>Елочное украшение из стекла   "Праздничный домик", 8 см (собственная разработка) ЕШ-4279</t>
  </si>
  <si>
    <t>ЕШ-4279</t>
  </si>
  <si>
    <t>4670159042792</t>
  </si>
  <si>
    <t>204295</t>
  </si>
  <si>
    <t>Елочное украшение из стекла   "Сладкий домик", 8 см (собственная разработка) ЕШ-4280</t>
  </si>
  <si>
    <t>ЕШ-4280</t>
  </si>
  <si>
    <t>4670159042808</t>
  </si>
  <si>
    <t>204296</t>
  </si>
  <si>
    <t>Елочное украшение из стекла   "Уютный домик", 8 см (собственная разработка) ЕШ-4281</t>
  </si>
  <si>
    <t>ЕШ-4281</t>
  </si>
  <si>
    <t>4670159042815</t>
  </si>
  <si>
    <t>03 Деревянные</t>
  </si>
  <si>
    <t xml:space="preserve"> Деревянные "Собственная разработка"</t>
  </si>
  <si>
    <t>1 Деревянные подвески</t>
  </si>
  <si>
    <t>Наборы</t>
  </si>
  <si>
    <t>236035</t>
  </si>
  <si>
    <t>Набор двухслойных новогодних ёлочных подвесок из дерева "Русские сказки",6 шт.(Cобств.разр.) НУ-9490</t>
  </si>
  <si>
    <t>НУ-9490</t>
  </si>
  <si>
    <t>4670159194903</t>
  </si>
  <si>
    <t>253468</t>
  </si>
  <si>
    <t>Набор новогодних ёлочн. подвесок из дерева двухсл."Новогодние подковы" 6 шт. (Собс.разр) НУ-2804</t>
  </si>
  <si>
    <t>НУ-2804</t>
  </si>
  <si>
    <t>4640306928040</t>
  </si>
  <si>
    <t>254630</t>
  </si>
  <si>
    <t>Набор новогодних ёлочных подвесок однослойных из дерева "Снегири",8-11см,6 шт(Cоб.раз)НУ-2960</t>
  </si>
  <si>
    <t>НУ-2960</t>
  </si>
  <si>
    <t>4640306929603</t>
  </si>
  <si>
    <t>272527</t>
  </si>
  <si>
    <t>Новогодняя ёлочная подвеска из дерева двухсторон с мехом "Пушистые Снегири" (собс.разр.) 3шт НУ-2069</t>
  </si>
  <si>
    <t>НУ-2069</t>
  </si>
  <si>
    <t>4680942619988</t>
  </si>
  <si>
    <t>Штучные</t>
  </si>
  <si>
    <t>КОЛЛЕКЦИЯ "НАЗАД В ДЕТСТВО"</t>
  </si>
  <si>
    <t>275648</t>
  </si>
  <si>
    <t>Новогодняя ёлочная подвеска"Печенье".Модель из дерева.2х стр.(Cоб.раз) 127198</t>
  </si>
  <si>
    <t>127198</t>
  </si>
  <si>
    <t>4680788242654</t>
  </si>
  <si>
    <t>КОЛЛЕКЦИЯ "ШКОЛА МАГИИ"</t>
  </si>
  <si>
    <t>255182</t>
  </si>
  <si>
    <t>Елочная подвеска однослойная из дерева "Золотой шар с крыльями", 8см, (Собств.разр.) НУ-3105</t>
  </si>
  <si>
    <t>НУ-3105</t>
  </si>
  <si>
    <t>4630493770010</t>
  </si>
  <si>
    <t>255183</t>
  </si>
  <si>
    <t>Елочная подвеска однослойная из дерева "Мандрагора", 9см, (Собств.разр.) НУ-3106</t>
  </si>
  <si>
    <t>НУ-3106</t>
  </si>
  <si>
    <t>4630493770027</t>
  </si>
  <si>
    <t>255179</t>
  </si>
  <si>
    <t>Елочная подвеска однослойная из дерева "Стопка книг", 8см, (Собств.разр.) НУ-3102</t>
  </si>
  <si>
    <t>НУ-3102</t>
  </si>
  <si>
    <t>4640306929986</t>
  </si>
  <si>
    <t>275637</t>
  </si>
  <si>
    <t>Новогодняя ёлочная подвеска "Золотой шар с крыльями".Модель из дерева.2х стр.8 см(Cоб.раз) 127189</t>
  </si>
  <si>
    <t>127189</t>
  </si>
  <si>
    <t>4680788242562</t>
  </si>
  <si>
    <t>275640</t>
  </si>
  <si>
    <t>Новогодняя ёлочная подвеска"Сова с письмом" .Модель из дерева.2х стр.9 см(Cоб.раз) 127192</t>
  </si>
  <si>
    <t>127192</t>
  </si>
  <si>
    <t>4680788242593</t>
  </si>
  <si>
    <t>2 Деревянные флажки</t>
  </si>
  <si>
    <t>239900</t>
  </si>
  <si>
    <t>Набор флажков "С Новым годом!", 11*7см, 10шт в ящике, 2м бечевки. Модель из дерева соб.раз МД00026</t>
  </si>
  <si>
    <t>МД00026</t>
  </si>
  <si>
    <t>4630166466714</t>
  </si>
  <si>
    <t>3 Деревянные прищепки</t>
  </si>
  <si>
    <t>272417</t>
  </si>
  <si>
    <t>Набор новог. дер. ёлочных украшений с прищепкой "Магия" 5 шт соб.раз НУ-1870</t>
  </si>
  <si>
    <t>НУ-1870</t>
  </si>
  <si>
    <t>4680942618707</t>
  </si>
  <si>
    <t>203457</t>
  </si>
  <si>
    <t xml:space="preserve"> Деревянная подвеска Зимняя опушка, 10 см, НУ-3895</t>
  </si>
  <si>
    <t>НУ-3895</t>
  </si>
  <si>
    <t>4670159038955</t>
  </si>
  <si>
    <t>203449</t>
  </si>
  <si>
    <t xml:space="preserve"> Деревянная подвеска с led-подсветкой Веселые колокольчики, 11 см, на батар  НУ-3892</t>
  </si>
  <si>
    <t>НУ-3892</t>
  </si>
  <si>
    <t>4670159038924</t>
  </si>
  <si>
    <t>258175</t>
  </si>
  <si>
    <t>Деревянная подвеска "Елка" белая, 10 см НУ-7501</t>
  </si>
  <si>
    <t>НУ-7501</t>
  </si>
  <si>
    <t>4630493776067</t>
  </si>
  <si>
    <t>258173</t>
  </si>
  <si>
    <t>Деревянная подвеска "Снежинка", белая, 10 см НУ-7500</t>
  </si>
  <si>
    <t>НУ-7500</t>
  </si>
  <si>
    <t>4630493776050</t>
  </si>
  <si>
    <t>227873</t>
  </si>
  <si>
    <t>Деревянная подвеска c led-подсветкой Сказочный домик , 14*12.5*2.5см, на батар. НУ-7021</t>
  </si>
  <si>
    <t>НУ-7021</t>
  </si>
  <si>
    <t>4670159169703</t>
  </si>
  <si>
    <t>227874</t>
  </si>
  <si>
    <t>Деревянная подвеска c led-подсветкой Чудесный домик , 14*12.5*2.5см, на батар. НУ-7022</t>
  </si>
  <si>
    <t>НУ-7022</t>
  </si>
  <si>
    <t>4670159169710</t>
  </si>
  <si>
    <t>227875</t>
  </si>
  <si>
    <t>Деревянная подвеска Метель в лесу, 10см НУ-7023</t>
  </si>
  <si>
    <t>НУ-7023</t>
  </si>
  <si>
    <t>4670159169727</t>
  </si>
  <si>
    <t>203442</t>
  </si>
  <si>
    <t>Деревянная подвеска Полярная звездочка,10*22 см, НУ-3889</t>
  </si>
  <si>
    <t>НУ-3889</t>
  </si>
  <si>
    <t>4670159038894</t>
  </si>
  <si>
    <t>203440</t>
  </si>
  <si>
    <t>Деревянная подвеска Праздничная ель, 9 см, НУ-3887</t>
  </si>
  <si>
    <t>НУ-3887</t>
  </si>
  <si>
    <t>4670159038870</t>
  </si>
  <si>
    <t>227877</t>
  </si>
  <si>
    <t>Деревянная подвеска с led-подсветкой "Необыкновенные огни", 9см, на батар. CR2032 НУ-7025</t>
  </si>
  <si>
    <t>НУ-7025</t>
  </si>
  <si>
    <t>4670159169741</t>
  </si>
  <si>
    <t>251501</t>
  </si>
  <si>
    <t>Деревянная подвеска с led-подсветкой "Чудесный домик", 7.5*9 см, батар. в компл. (AG10*3 шт) НУ-2638</t>
  </si>
  <si>
    <t>НУ-2638</t>
  </si>
  <si>
    <t>4640306926329</t>
  </si>
  <si>
    <t>227876</t>
  </si>
  <si>
    <t>Деревянная подвеска с led-подсветкой Сказочный колокольчик, 11см, на батар. НУ-7024</t>
  </si>
  <si>
    <t>НУ-7024</t>
  </si>
  <si>
    <t>4670159169734</t>
  </si>
  <si>
    <t>231875</t>
  </si>
  <si>
    <t>Новогоднее украшение. Деревянная подвеска "Веселые медвежата",10*10см НУ-8216</t>
  </si>
  <si>
    <t>НУ-8216</t>
  </si>
  <si>
    <t>4670159182429</t>
  </si>
  <si>
    <t>231873</t>
  </si>
  <si>
    <t>Новогоднее украшение. Деревянная подвеска "Дед Мороз в окошке",12*10см НУ-8215</t>
  </si>
  <si>
    <t>НУ-8215</t>
  </si>
  <si>
    <t>4670159182412</t>
  </si>
  <si>
    <t>203444</t>
  </si>
  <si>
    <t>Новогоднее украшение. Деревянная подвеска "Праздничные коньки",8*6.5 см НУ-3915</t>
  </si>
  <si>
    <t>НУ-3915</t>
  </si>
  <si>
    <t>4670159039150</t>
  </si>
  <si>
    <t>203445</t>
  </si>
  <si>
    <t>Новогоднее украшение. Деревянная подвеска "Серебристая ель",12.5 см НУ-3916</t>
  </si>
  <si>
    <t>НУ-3916</t>
  </si>
  <si>
    <t>4670159039167</t>
  </si>
  <si>
    <t>203446</t>
  </si>
  <si>
    <t>Новогоднее украшение. Деревянная подвеска "Снежные санки",10см НУ-3917</t>
  </si>
  <si>
    <t>НУ-3917</t>
  </si>
  <si>
    <t>4670159039174</t>
  </si>
  <si>
    <t>233458</t>
  </si>
  <si>
    <t>Новогоднее украшение. Деревянная подвеска 6см ( 12шт в наборе). "Щелкунчики" НУ-8956</t>
  </si>
  <si>
    <t>НУ-8956</t>
  </si>
  <si>
    <t>4670159189848</t>
  </si>
  <si>
    <t>160363</t>
  </si>
  <si>
    <t>Новогоднее украшение. Ёлочная подвеска Снежинка, 15 см, в ассортименте НУ-5322</t>
  </si>
  <si>
    <t>НУ-5322</t>
  </si>
  <si>
    <t>4680088498225</t>
  </si>
  <si>
    <t>226288</t>
  </si>
  <si>
    <t>Новогоднее украшение. Ёлочная подвеска Снежинка, 15 см, светло-коричневая НУ-5928</t>
  </si>
  <si>
    <t>НУ-5928</t>
  </si>
  <si>
    <t>4670159159285</t>
  </si>
  <si>
    <t>251500</t>
  </si>
  <si>
    <t>Новогоднее украшение. Набор "Сказочные домики" 3 шт.,7*8.5 см НУ-2637</t>
  </si>
  <si>
    <t>НУ-2637</t>
  </si>
  <si>
    <t>4640306926312</t>
  </si>
  <si>
    <t>231877</t>
  </si>
  <si>
    <t>Новогоднее украшение. Набор деревянных подвесок "Праздник минимализма",6*5,5см, 12шт./сэт НУ-8218</t>
  </si>
  <si>
    <t>НУ-8218</t>
  </si>
  <si>
    <t>4670159182443</t>
  </si>
  <si>
    <t>04 Пластиковые</t>
  </si>
  <si>
    <t xml:space="preserve"> 1 Формовой пластик (собственная разработка)</t>
  </si>
  <si>
    <t>1 КОЛЛЕКЦИЯ "РЕТРО"</t>
  </si>
  <si>
    <t>228120</t>
  </si>
  <si>
    <t>Новогоднее подвесное украшение из пластика "Белочка"(собств.разр.)4*6*8см НУ-6768</t>
  </si>
  <si>
    <t>НУ-6768</t>
  </si>
  <si>
    <t>4670159167556</t>
  </si>
  <si>
    <t>228119</t>
  </si>
  <si>
    <t>Новогоднее подвесное украшение из пластика "Внучка Деда Мороза"(собст.разр.)5*7*10см НУ-6767</t>
  </si>
  <si>
    <t>НУ-6767</t>
  </si>
  <si>
    <t>4670159167549</t>
  </si>
  <si>
    <t>274532</t>
  </si>
  <si>
    <t>Новогоднее подвесное украшение из пластика "Дед Мороз" 10х5 см (собс.разр) НУП-2938</t>
  </si>
  <si>
    <t>НУП-2938</t>
  </si>
  <si>
    <t>4680942629383</t>
  </si>
  <si>
    <t>228117</t>
  </si>
  <si>
    <t>Новогоднее подвесное украшение из пластика "Дедушка Мороз"(собств.разр.)5,5*10см НУ-6765</t>
  </si>
  <si>
    <t>НУ-6765</t>
  </si>
  <si>
    <t>4670159167525</t>
  </si>
  <si>
    <t>228116</t>
  </si>
  <si>
    <t>Новогоднее подвесное украшение из пластика "Дети"(собств.разр.)2,5*10*8см НУ-6764</t>
  </si>
  <si>
    <t>НУ-6764</t>
  </si>
  <si>
    <t>4670159167518</t>
  </si>
  <si>
    <t>274534</t>
  </si>
  <si>
    <t>Новогоднее подвесное украшение из пластика "Ёлочка" 9х6,5 см (собс.разр) НУП-2939</t>
  </si>
  <si>
    <t>НУП-2939</t>
  </si>
  <si>
    <t>4680942629390</t>
  </si>
  <si>
    <t>274535</t>
  </si>
  <si>
    <t>Новогоднее подвесное украшение из пластика "Заяц" 8х5 см (собс.разр) НУП-2940</t>
  </si>
  <si>
    <t>НУП-2940</t>
  </si>
  <si>
    <t>4680942629406</t>
  </si>
  <si>
    <t>274536</t>
  </si>
  <si>
    <t>Новогоднее подвесное украшение из пластика "Снеговик" 9х5 см (собс.разр) НУП-2941</t>
  </si>
  <si>
    <t>НУП-2941</t>
  </si>
  <si>
    <t>4680942629413</t>
  </si>
  <si>
    <t>279385</t>
  </si>
  <si>
    <t>Новогоднее подвесное украшение из пластика "Телефонная будка" 8,5х3 см (собс.разр) НУП-5433</t>
  </si>
  <si>
    <t>НУП-5433</t>
  </si>
  <si>
    <t>4680942654330</t>
  </si>
  <si>
    <t>2 КОЛЛЕКЦИЯ "МАТРЕШКИ"</t>
  </si>
  <si>
    <t>278197</t>
  </si>
  <si>
    <t>Новогоднее подвесное украшение из пластика "Внучка" (собс.разработка) 5*9см НУП-5123</t>
  </si>
  <si>
    <t>НУП-5123</t>
  </si>
  <si>
    <t>4680942651230</t>
  </si>
  <si>
    <t>278196</t>
  </si>
  <si>
    <t>Новогоднее подвесное украшение из пластика "Дедушка" (собс.разработка)  5*9см НУП-5122</t>
  </si>
  <si>
    <t>НУП-5122</t>
  </si>
  <si>
    <t>4680942651223</t>
  </si>
  <si>
    <t>278199</t>
  </si>
  <si>
    <t>Новогоднее подвесное украшение из пластика "Матрёшка со снегирем" (собс.разработка) 5*9см НУП-5125</t>
  </si>
  <si>
    <t>НУП-5125</t>
  </si>
  <si>
    <t>4680942651254</t>
  </si>
  <si>
    <t>278198</t>
  </si>
  <si>
    <t>Новогоднее подвесное украшение из пластика "Матрёшка" (собс.разработка) 5*9см НУП-5124</t>
  </si>
  <si>
    <t>НУП-5124</t>
  </si>
  <si>
    <t>4680942651247</t>
  </si>
  <si>
    <t>3 КОЛЛЕКЦИЯ "СНЕГИРИ"</t>
  </si>
  <si>
    <t>228112</t>
  </si>
  <si>
    <t>Новогоднее подвесное украшение из пластика "Красногрудый снегирь"(собств.разр.) 8,8*5.5см НУ-6760</t>
  </si>
  <si>
    <t>НУ-6760</t>
  </si>
  <si>
    <t>4670159167471</t>
  </si>
  <si>
    <t>228122</t>
  </si>
  <si>
    <t>Новогоднее подвесное украшение из пластика "Летящий снегирь"(собст.разр.)10*10см НУ-6770</t>
  </si>
  <si>
    <t>НУ-6770</t>
  </si>
  <si>
    <t>4670159167570</t>
  </si>
  <si>
    <t>5 КОЛЛЕКЦИЯ "ШКОЛА МАГИИ"</t>
  </si>
  <si>
    <t>255397</t>
  </si>
  <si>
    <t>Новогоднее подвесное украшение из пластика "Сова с письмом" 8*5 см (собств.раз.) НУ-8050</t>
  </si>
  <si>
    <t>НУ-8050</t>
  </si>
  <si>
    <t>4630493770133</t>
  </si>
  <si>
    <t>255396</t>
  </si>
  <si>
    <t>Новогоднее подвесное украшение из пластика"Волшебная шляпа" 6*7 см (собств.раз.) НУ-8049</t>
  </si>
  <si>
    <t>НУ-8049</t>
  </si>
  <si>
    <t>4630493770126</t>
  </si>
  <si>
    <t>6 Другое</t>
  </si>
  <si>
    <t>228121</t>
  </si>
  <si>
    <t>Новогоднее подвесное украшение из пластика "Зимнее мороженое"(собств.разр.)3,5*8см НУ-6769</t>
  </si>
  <si>
    <t>НУ-6769</t>
  </si>
  <si>
    <t>4670159167563</t>
  </si>
  <si>
    <t>228113</t>
  </si>
  <si>
    <t>Новогоднее подвесное украшение из пластика "Кот бандит"(собств.разр.)8*5см НУ-6761</t>
  </si>
  <si>
    <t>НУ-6761</t>
  </si>
  <si>
    <t>4670159167488</t>
  </si>
  <si>
    <t>236788</t>
  </si>
  <si>
    <t>Новогоднее подвесное украшение из пластика (2 шт.) "Голубки" (собст. разр.) 7,5х10см НУ-0809</t>
  </si>
  <si>
    <t>НУ-0809</t>
  </si>
  <si>
    <t>4670159208099</t>
  </si>
  <si>
    <t>2 Формовой пластик</t>
  </si>
  <si>
    <t>211147</t>
  </si>
  <si>
    <t>Набор ёлочных подвесок  ( в наборе), 2 шт, " Сказочный Дед Мороз", 7см НУ-7476</t>
  </si>
  <si>
    <t>НУ-7476</t>
  </si>
  <si>
    <t>4670159074762</t>
  </si>
  <si>
    <t>251174</t>
  </si>
  <si>
    <t>Набор ёлочных подвесок "Блестящие игрушки" 4.5*4.5*7см, 2 шт НУ-2643</t>
  </si>
  <si>
    <t>НУ-2643</t>
  </si>
  <si>
    <t>4640306926121</t>
  </si>
  <si>
    <t>251154</t>
  </si>
  <si>
    <t>Набор ёлочных подвесок "Блестящие сапожки" 9.5*5*8см, 2 шт НУ-2612</t>
  </si>
  <si>
    <t>НУ-2612</t>
  </si>
  <si>
    <t>4640306925926</t>
  </si>
  <si>
    <t>251145</t>
  </si>
  <si>
    <t>Набор ёлочных подвесок "Весёлые олени" 6*6*11см, 2 шт НУ-2603</t>
  </si>
  <si>
    <t>НУ-2603</t>
  </si>
  <si>
    <t>4640306925834</t>
  </si>
  <si>
    <t>251148</t>
  </si>
  <si>
    <t>Набор ёлочных подвесок "Дед Мороз с подарками" 5*6*9см, 2 шт НУ-2606</t>
  </si>
  <si>
    <t>НУ-2606</t>
  </si>
  <si>
    <t>4640306925865</t>
  </si>
  <si>
    <t>251147</t>
  </si>
  <si>
    <t>Набор ёлочных подвесок "Дед на скутере" 9.5*4*10см, 2 шт НУ-2605</t>
  </si>
  <si>
    <t>НУ-2605</t>
  </si>
  <si>
    <t>4640306925858</t>
  </si>
  <si>
    <t>274924</t>
  </si>
  <si>
    <t>Набор ёлочных подвесок "Звезды" 24 шт, 6 см, красный НУШ-3122</t>
  </si>
  <si>
    <t>НУШ-3122</t>
  </si>
  <si>
    <t>4680942631225</t>
  </si>
  <si>
    <t>251161</t>
  </si>
  <si>
    <t>Набор ёлочных подвесок "Золотистые кристаллики" 4*4*11см, 2 шт НУ-2619</t>
  </si>
  <si>
    <t>НУ-2619</t>
  </si>
  <si>
    <t>4640306925995</t>
  </si>
  <si>
    <t>251176</t>
  </si>
  <si>
    <t>Набор ёлочных подвесок "Золотистые шарики"6 см, 2 шт НУ-2645</t>
  </si>
  <si>
    <t>НУ-2645</t>
  </si>
  <si>
    <t>4640306926145</t>
  </si>
  <si>
    <t>251160</t>
  </si>
  <si>
    <t>Набор ёлочных подвесок "Золотистые шишки" 4*4*12см, 2 шт НУ-2618</t>
  </si>
  <si>
    <t>НУ-2618</t>
  </si>
  <si>
    <t>4640306925988</t>
  </si>
  <si>
    <t>251155</t>
  </si>
  <si>
    <t>Набор ёлочных подвесок "Красные сапожки" 9.5*5*8см, 2 шт НУ-2613</t>
  </si>
  <si>
    <t>НУ-2613</t>
  </si>
  <si>
    <t>4640306925933</t>
  </si>
  <si>
    <t>251159</t>
  </si>
  <si>
    <t>Набор ёлочных подвесок "Красные украшения" 4*4*14см, 2 шт НУ-2617</t>
  </si>
  <si>
    <t>НУ-2617</t>
  </si>
  <si>
    <t>4640306925971</t>
  </si>
  <si>
    <t>251175</t>
  </si>
  <si>
    <t>Набор ёлочных подвесок "Красные шарики" 6 см, 2 шт НУ-2644</t>
  </si>
  <si>
    <t>НУ-2644</t>
  </si>
  <si>
    <t>4640306926138</t>
  </si>
  <si>
    <t>251168</t>
  </si>
  <si>
    <t>Набор ёлочных подвесок "Красный колокольчик" 4.5*4.5*5см, 2 шт НУ-2626</t>
  </si>
  <si>
    <t>НУ-2626</t>
  </si>
  <si>
    <t>4640306926060</t>
  </si>
  <si>
    <t>251178</t>
  </si>
  <si>
    <t>Набор ёлочных подвесок "Мерцающие шарики" 6 см, 2 шт НУ-2647</t>
  </si>
  <si>
    <t>НУ-2647</t>
  </si>
  <si>
    <t>4640306926169</t>
  </si>
  <si>
    <t>251172</t>
  </si>
  <si>
    <t>Набор ёлочных подвесок "Новогодние конфетки" 4*4*8см, 2 шт НУ-2641</t>
  </si>
  <si>
    <t>НУ-2641</t>
  </si>
  <si>
    <t>4640306926107</t>
  </si>
  <si>
    <t>251169</t>
  </si>
  <si>
    <t>Набор ёлочных подвесок "Новогодний леденец" 6*2*12см, 2 шт НУ-2640</t>
  </si>
  <si>
    <t>НУ-2640</t>
  </si>
  <si>
    <t>4640306926077</t>
  </si>
  <si>
    <t>251149</t>
  </si>
  <si>
    <t>Набор ёлочных подвесок "Пузатый Дед Мороз" 5*5*7см, 2 шт НУ-2607</t>
  </si>
  <si>
    <t>НУ-2607</t>
  </si>
  <si>
    <t>4640306925872</t>
  </si>
  <si>
    <t>251177</t>
  </si>
  <si>
    <t>Набор ёлочных подвесок "Расписные шарики" 6 см, 2 шт НУ-2646</t>
  </si>
  <si>
    <t>НУ-2646</t>
  </si>
  <si>
    <t>4640306926152</t>
  </si>
  <si>
    <t>251167</t>
  </si>
  <si>
    <t>Набор ёлочных подвесок "Снежная ёлочка" 6*5*9см, 2 шт НУ-2625</t>
  </si>
  <si>
    <t>НУ-2625</t>
  </si>
  <si>
    <t>4640306926053</t>
  </si>
  <si>
    <t>251156</t>
  </si>
  <si>
    <t>Набор ёлочных подвесок "Снежные домики" 5*4*6см, 2 шт НУ-2614</t>
  </si>
  <si>
    <t>НУ-2614</t>
  </si>
  <si>
    <t>4640306925940</t>
  </si>
  <si>
    <t>251166</t>
  </si>
  <si>
    <t>Набор ёлочных подвесок "Яркая звездочка" 9*2*9см, 2 шт НУ-2624</t>
  </si>
  <si>
    <t>НУ-2624</t>
  </si>
  <si>
    <t>4640306926046</t>
  </si>
  <si>
    <t>104479</t>
  </si>
  <si>
    <t>Набор ёлочных подвесок, 2 шт. Золотистые шишки, 11 см НУ-0050</t>
  </si>
  <si>
    <t>НУ-0050</t>
  </si>
  <si>
    <t>4665306700502</t>
  </si>
  <si>
    <t>251463</t>
  </si>
  <si>
    <t>Набор новогодних ёлочных подвесок "Красные мишки", 9х5 см, 3 шт, пластик НУ-2666</t>
  </si>
  <si>
    <t>НУ-2666</t>
  </si>
  <si>
    <t>4640306926497</t>
  </si>
  <si>
    <t>173050</t>
  </si>
  <si>
    <t>Набор новогодних украшений "Праздничный" (14 шт золотой / серебряный ) НУ-5789</t>
  </si>
  <si>
    <t>НУ-5789</t>
  </si>
  <si>
    <t>4610144857895</t>
  </si>
  <si>
    <t>Балерины</t>
  </si>
  <si>
    <t>203006</t>
  </si>
  <si>
    <t>Новогоднее подвесное украшение "Балерина" 8*4*13,5см НУ-3382</t>
  </si>
  <si>
    <t>НУ-3382</t>
  </si>
  <si>
    <t>4670159033820</t>
  </si>
  <si>
    <t>203024</t>
  </si>
  <si>
    <t>Новогоднее подвесное украшение "Изящная балерина"  5*4,9*13,4см НУ-3392</t>
  </si>
  <si>
    <t>НУ-3392</t>
  </si>
  <si>
    <t>4670159033929</t>
  </si>
  <si>
    <t>Золотая коллекция</t>
  </si>
  <si>
    <t>203011</t>
  </si>
  <si>
    <t>Новогоднее подвесное украшение "Желудь "6*6*7,8см НУ-3385</t>
  </si>
  <si>
    <t>НУ-3385</t>
  </si>
  <si>
    <t>4670159033851</t>
  </si>
  <si>
    <t>203008</t>
  </si>
  <si>
    <t>Новогоднее подвесное украшение "Золотистый поезд" 10,2*4,5*8,7см НУ-3383</t>
  </si>
  <si>
    <t>НУ-3383</t>
  </si>
  <si>
    <t>4670159033837</t>
  </si>
  <si>
    <t>203013</t>
  </si>
  <si>
    <t>Новогоднее подвесное украшение "Ключик "4,6*0,8*14,6см НУ-3386</t>
  </si>
  <si>
    <t>НУ-3386</t>
  </si>
  <si>
    <t>4670159033868</t>
  </si>
  <si>
    <t>203015</t>
  </si>
  <si>
    <t>Новогоднее подвесное украшение "Ключик от желаний "4,5*1,3*14,6см НУ-3387</t>
  </si>
  <si>
    <t>НУ-3387</t>
  </si>
  <si>
    <t>4670159033875</t>
  </si>
  <si>
    <t>203009</t>
  </si>
  <si>
    <t>Новогоднее подвесное украшение "Лесная шишка" 6,7*6,7*12см НУ-3384</t>
  </si>
  <si>
    <t>НУ-3384</t>
  </si>
  <si>
    <t>4670159033844</t>
  </si>
  <si>
    <t>Полноцветные</t>
  </si>
  <si>
    <t>202917</t>
  </si>
  <si>
    <t>Новогоднее подвесное украшение " Веселый снеговичок", 5,6*5,6*11,2 см НУ-3360</t>
  </si>
  <si>
    <t>НУ-3360</t>
  </si>
  <si>
    <t>4670159033608</t>
  </si>
  <si>
    <t>202918</t>
  </si>
  <si>
    <t>Новогоднее подвесное украшение " Карамельный поезд", 9,3*5,4*9,2 см НУ-3361</t>
  </si>
  <si>
    <t>НУ-3361</t>
  </si>
  <si>
    <t>4670159033615</t>
  </si>
  <si>
    <t>202906</t>
  </si>
  <si>
    <t>Новогоднее подвесное украшение " Поезд желаний", 11,8*4,3*6,6см НУ-3351</t>
  </si>
  <si>
    <t>НУ-3351</t>
  </si>
  <si>
    <t>4670159033516</t>
  </si>
  <si>
    <t>202966</t>
  </si>
  <si>
    <t>Новогоднее подвесное украшение "Дедушка Мороз",8,3*5,9*10,8см НУ-3363</t>
  </si>
  <si>
    <t>НУ-3363</t>
  </si>
  <si>
    <t>4670159033639</t>
  </si>
  <si>
    <t>202985</t>
  </si>
  <si>
    <t>Новогоднее подвесное украшение "Звон праздника" 11*5,2*9,3см НУ-3373</t>
  </si>
  <si>
    <t>НУ-3373</t>
  </si>
  <si>
    <t>4670159033738</t>
  </si>
  <si>
    <t>203019</t>
  </si>
  <si>
    <t>Новогоднее подвесное украшение "Лесной хранитель"9,7*5*11,8см НУ-3389</t>
  </si>
  <si>
    <t>НУ-3389</t>
  </si>
  <si>
    <t>4670159033899</t>
  </si>
  <si>
    <t>251322</t>
  </si>
  <si>
    <t>Новогоднее подвесное украшение "Новогодний мишка" 6*5*10,2см НУ-2661</t>
  </si>
  <si>
    <t>НУ-2661</t>
  </si>
  <si>
    <t>4640306926442</t>
  </si>
  <si>
    <t>202910</t>
  </si>
  <si>
    <t>Новогоднее подвесное украшение "Новогодний часовой", 5,7*3,7*12,9 см НУ-3355</t>
  </si>
  <si>
    <t>НУ-3355</t>
  </si>
  <si>
    <t>4670159033554</t>
  </si>
  <si>
    <t>202999</t>
  </si>
  <si>
    <t>Новогоднее подвесное украшение "Орех желаний" 7*7*9см НУ-3378</t>
  </si>
  <si>
    <t>НУ-3378</t>
  </si>
  <si>
    <t>4670159033783</t>
  </si>
  <si>
    <t>202980</t>
  </si>
  <si>
    <t>Новогоднее подвесное украшение "Полярный Мишка с подарком" 8,6*7*9,8см НУ-3370</t>
  </si>
  <si>
    <t>НУ-3370</t>
  </si>
  <si>
    <t>4670159033707</t>
  </si>
  <si>
    <t>202916</t>
  </si>
  <si>
    <t>Новогоднее подвесное украшение "Праздничный фонарь", 8*6,7*13,8 см НУ-3359</t>
  </si>
  <si>
    <t>НУ-3359</t>
  </si>
  <si>
    <t>4670159033592</t>
  </si>
  <si>
    <t>251321</t>
  </si>
  <si>
    <t>Новогоднее подвесное украшение "Снеговик" 5,7*5,1*10,3см НУ-2660</t>
  </si>
  <si>
    <t>НУ-2660</t>
  </si>
  <si>
    <t>4640306926435</t>
  </si>
  <si>
    <t>251323</t>
  </si>
  <si>
    <t>Новогоднее подвесное украшение "Футбольный мяч" 7.3*7.1*9.3см НУ-2662</t>
  </si>
  <si>
    <t>НУ-2662</t>
  </si>
  <si>
    <t>4640306926459</t>
  </si>
  <si>
    <t>275063</t>
  </si>
  <si>
    <t>Новогоднее подвесное украшение из пластика "Апельсин" 7,3*7,2*7 см НУП-3329</t>
  </si>
  <si>
    <t>НУП-3329</t>
  </si>
  <si>
    <t>4680942633298</t>
  </si>
  <si>
    <t>228123</t>
  </si>
  <si>
    <t>Новогоднее подвесное украшение из пластика "Главный подарок" 8*3см НУ-7026</t>
  </si>
  <si>
    <t>НУ-7026</t>
  </si>
  <si>
    <t>4670159169857</t>
  </si>
  <si>
    <t>268655</t>
  </si>
  <si>
    <t>Новогоднее подвесное украшение из пластика "Грибочек" 6,7*6,1*10 см НУ-7942</t>
  </si>
  <si>
    <t>НУ-7942</t>
  </si>
  <si>
    <t>4640520779428</t>
  </si>
  <si>
    <t>275058</t>
  </si>
  <si>
    <t>Новогоднее подвесное украшение из пластика "Гусь с ёлкой" 8,7*3,7*13 см НУП-3325</t>
  </si>
  <si>
    <t>НУП-3325</t>
  </si>
  <si>
    <t>4680942633250</t>
  </si>
  <si>
    <t>275068</t>
  </si>
  <si>
    <t>Новогоднее подвесное украшение из пластика "Жёлудь" 6*7,8 см НУП-3334</t>
  </si>
  <si>
    <t>НУП-3334</t>
  </si>
  <si>
    <t>4680942633342</t>
  </si>
  <si>
    <t>275057</t>
  </si>
  <si>
    <t>Новогоднее подвесное украшение из пластика "Заснеженный дом" 6,5*4,8*9,2 см НУП-3324</t>
  </si>
  <si>
    <t>НУП-3324</t>
  </si>
  <si>
    <t>4680942633243</t>
  </si>
  <si>
    <t>268656</t>
  </si>
  <si>
    <t>Новогоднее подвесное украшение из пластика "Заснеженный домик" 8*4,8*7,9 НУ-7943</t>
  </si>
  <si>
    <t>НУ-7943</t>
  </si>
  <si>
    <t>4640520779435</t>
  </si>
  <si>
    <t>268663</t>
  </si>
  <si>
    <t>Новогоднее подвесное украшение из пластика "Зимний гном" 5,5*4,6*11,4 см НУ-7947</t>
  </si>
  <si>
    <t>НУ-7947</t>
  </si>
  <si>
    <t>4640520779473</t>
  </si>
  <si>
    <t>268652</t>
  </si>
  <si>
    <t>Новогоднее подвесное украшение из пластика "Зимняя лисица" 7,2*6*10,4 см НУ-7940</t>
  </si>
  <si>
    <t>НУ-7940</t>
  </si>
  <si>
    <t>4640520779404</t>
  </si>
  <si>
    <t>275061</t>
  </si>
  <si>
    <t>Новогоднее подвесное украшение из пластика "Лимон" 6,4*8,9 см НУП-3328</t>
  </si>
  <si>
    <t>НУП-3328</t>
  </si>
  <si>
    <t>4680942633281</t>
  </si>
  <si>
    <t>268661</t>
  </si>
  <si>
    <t>Новогоднее подвесное украшение из пластика "Матрёшка" 5,3*5*10,5 см НУ-7946</t>
  </si>
  <si>
    <t>НУ-7946</t>
  </si>
  <si>
    <t>4640520779466</t>
  </si>
  <si>
    <t>268649</t>
  </si>
  <si>
    <t>Новогоднее подвесное украшение из пластика "Новогодний экспресс" 12,8*4,8*6,7см НУ-7939</t>
  </si>
  <si>
    <t>НУ-7939</t>
  </si>
  <si>
    <t>4640520779398</t>
  </si>
  <si>
    <t>268653</t>
  </si>
  <si>
    <t>Новогоднее подвесное украшение из пластика "Новогодняя уточка" 9,1*7,2*9,4 см НУ-7941</t>
  </si>
  <si>
    <t>НУ-7941</t>
  </si>
  <si>
    <t>4640520779411</t>
  </si>
  <si>
    <t>275059</t>
  </si>
  <si>
    <t>Новогоднее подвесное украшение из пластика "Ребенок с мячом" 7,2*4,6*11,3 см НУП-3326</t>
  </si>
  <si>
    <t>НУП-3326</t>
  </si>
  <si>
    <t>4680942633267</t>
  </si>
  <si>
    <t>275064</t>
  </si>
  <si>
    <t>Новогоднее подвесное украшение из пластика "Сердце" 8,5*3*10 см НУП-3330</t>
  </si>
  <si>
    <t>НУП-3330</t>
  </si>
  <si>
    <t>4680942633304</t>
  </si>
  <si>
    <t>275060</t>
  </si>
  <si>
    <t>Новогоднее подвесное украшение из пластика "Стопка книг" 6,1*6,7*7,9 см НУП-3327</t>
  </si>
  <si>
    <t>НУП-3327</t>
  </si>
  <si>
    <t>4680942633274</t>
  </si>
  <si>
    <t>228115</t>
  </si>
  <si>
    <t>Новогоднее подвесное украшение из пластика "Шампань", 8*3см НУ-6763</t>
  </si>
  <si>
    <t>НУ-6763</t>
  </si>
  <si>
    <t>4670159167501</t>
  </si>
  <si>
    <t>Флокированные</t>
  </si>
  <si>
    <t>275053</t>
  </si>
  <si>
    <t>Новогоднее подвесное украшение из пластика "Волшебный шар" 8,5 см НУП-3320</t>
  </si>
  <si>
    <t>НУП-3320</t>
  </si>
  <si>
    <t>4680942633205</t>
  </si>
  <si>
    <t>275047</t>
  </si>
  <si>
    <t>Новогоднее подвесное украшение из пластика "Новогодний кофе" 6*6*9см НУП-3315</t>
  </si>
  <si>
    <t>НУП-3315</t>
  </si>
  <si>
    <t>4680942633151</t>
  </si>
  <si>
    <t>275049</t>
  </si>
  <si>
    <t>Новогоднее подвесное украшение из пластика "Новогодний подарок" 7,8*7,8*8 см НУП-3316</t>
  </si>
  <si>
    <t>НУП-3316</t>
  </si>
  <si>
    <t>4680942633168</t>
  </si>
  <si>
    <t>275050</t>
  </si>
  <si>
    <t>Новогоднее подвесное украшение из пластика "Новогодняя конфета" 2,8*2,8*10,5 см НУП-3317</t>
  </si>
  <si>
    <t>НУП-3317</t>
  </si>
  <si>
    <t>4680942633175</t>
  </si>
  <si>
    <t>268658</t>
  </si>
  <si>
    <t>Новогоднее подвесное украшение из пластика "Новогодняя собака" 5,9*4,4*10 см НУ-7945</t>
  </si>
  <si>
    <t>НУ-7945</t>
  </si>
  <si>
    <t>4640520779459</t>
  </si>
  <si>
    <t>275055</t>
  </si>
  <si>
    <t>Новогоднее подвесное украшение из пластика "Олененок" 8,5 см НУП-3322</t>
  </si>
  <si>
    <t>НУП-3322</t>
  </si>
  <si>
    <t>4680942633229</t>
  </si>
  <si>
    <t>275054</t>
  </si>
  <si>
    <t>Новогоднее подвесное украшение из пластика "Полярный мишка" 8,5 см НУП-3321</t>
  </si>
  <si>
    <t>НУП-3321</t>
  </si>
  <si>
    <t>4680942633212</t>
  </si>
  <si>
    <t>275056</t>
  </si>
  <si>
    <t>Новогоднее подвесное украшение из пластика "Праздничный дом" 6,5*4,8*9,2 см НУП-3323</t>
  </si>
  <si>
    <t>НУП-3323</t>
  </si>
  <si>
    <t>4680942633236</t>
  </si>
  <si>
    <t>275052</t>
  </si>
  <si>
    <t>Новогоднее подвесное украшение из пластика "Рождественская звезда" 11*3,3*11,3 см НУП-3319</t>
  </si>
  <si>
    <t>НУП-3319</t>
  </si>
  <si>
    <t>4680942633199</t>
  </si>
  <si>
    <t>275051</t>
  </si>
  <si>
    <t>Новогоднее подвесное украшение из пластика "Чудесный шар" 8см НУП-3318</t>
  </si>
  <si>
    <t>НУП-3318</t>
  </si>
  <si>
    <t>4680942633182</t>
  </si>
  <si>
    <t>274750</t>
  </si>
  <si>
    <t>Подвесное украшение Блестящие колокольчики 8 см, красные НУ-2949</t>
  </si>
  <si>
    <t>НУ-2949</t>
  </si>
  <si>
    <t>4680942629499</t>
  </si>
  <si>
    <t>274751</t>
  </si>
  <si>
    <t>Подвесное украшение Звенящие колокольчики 10 см шар 4 см, 22х30 см, красные НУ-2950</t>
  </si>
  <si>
    <t>НУ-2950</t>
  </si>
  <si>
    <t>4680942629505</t>
  </si>
  <si>
    <t>274752</t>
  </si>
  <si>
    <t>Подвесное украшение Звонкие колокольчики 15 см, 3 шара 8 см, 60х37см красные НУ-2951</t>
  </si>
  <si>
    <t>НУ-2951</t>
  </si>
  <si>
    <t>4680942629512</t>
  </si>
  <si>
    <t>274726</t>
  </si>
  <si>
    <t>Подвесное украшение Колокольчики 2шт 15см, с веткой, 20х35 см, 15 см, красные НУ-2946</t>
  </si>
  <si>
    <t>НУ-2946</t>
  </si>
  <si>
    <t>4680942629468</t>
  </si>
  <si>
    <t>3 Пластик (+ глиттер, флок)</t>
  </si>
  <si>
    <t>064826</t>
  </si>
  <si>
    <t>Набор ёлочных подвесок "Новогдние олени" 9см 2 шт НУ-8335</t>
  </si>
  <si>
    <t>НУ-8335</t>
  </si>
  <si>
    <t>4665301783357</t>
  </si>
  <si>
    <t>064810</t>
  </si>
  <si>
    <t>Набор ёлочных подвесок "Новогодние ёлочки" 9,5 см 4 шт НУ-8320</t>
  </si>
  <si>
    <t>НУ-8320</t>
  </si>
  <si>
    <t>4665301783203</t>
  </si>
  <si>
    <t>064832</t>
  </si>
  <si>
    <t>Набор ёлочных подвесок "Разноцветные колокольчики" 6 см 6 шт НУ-8341</t>
  </si>
  <si>
    <t>НУ-8341</t>
  </si>
  <si>
    <t>4665301783418</t>
  </si>
  <si>
    <t>064802</t>
  </si>
  <si>
    <t>Набор ёлочных подвесок "Сказочные снежинки" 10,5см 4 шт НУ-8312</t>
  </si>
  <si>
    <t>НУ-8312</t>
  </si>
  <si>
    <t>4665301783128</t>
  </si>
  <si>
    <t>106804</t>
  </si>
  <si>
    <t>Набор ёлочных подвесок Изящные снежинки 10 см, 3 шт НУ-1118</t>
  </si>
  <si>
    <t>НУ-1118</t>
  </si>
  <si>
    <t>4665306711188</t>
  </si>
  <si>
    <t>203590</t>
  </si>
  <si>
    <t>Набор ёлочных подвесок, 2 шт. Блестящие снежинки, 15 см НУ-3827</t>
  </si>
  <si>
    <t>НУ-3827</t>
  </si>
  <si>
    <t>4670159038276</t>
  </si>
  <si>
    <t>203588</t>
  </si>
  <si>
    <t>Набор ёлочных подвесок, 2 шт. Яркие банты, 9 см  НУ-3825</t>
  </si>
  <si>
    <t>НУ-3825</t>
  </si>
  <si>
    <t>4670159038252</t>
  </si>
  <si>
    <t>203587</t>
  </si>
  <si>
    <t>Набор ёлочных подвесок, 2 шт. Яркие звёзды, 13 см НУ-3824</t>
  </si>
  <si>
    <t>НУ-3824</t>
  </si>
  <si>
    <t>4670159038245</t>
  </si>
  <si>
    <t>203589</t>
  </si>
  <si>
    <t>Набор ёлочных подвесок, 2 шт. Яркие шары, 8 см  НУ-3826</t>
  </si>
  <si>
    <t>НУ-3826</t>
  </si>
  <si>
    <t>4670159038269</t>
  </si>
  <si>
    <t>104411</t>
  </si>
  <si>
    <t>Набор ёлочных подвесок, 4 шт. Красивые снежинки, 8 см НУ-0031</t>
  </si>
  <si>
    <t>НУ-0031</t>
  </si>
  <si>
    <t>4665306700311</t>
  </si>
  <si>
    <t>104444</t>
  </si>
  <si>
    <t>Набор ёлочных подвесок, 4 шт. Нарядные снежинки, 7 см НУ-0035</t>
  </si>
  <si>
    <t>НУ-0035</t>
  </si>
  <si>
    <t>4665306700359</t>
  </si>
  <si>
    <t>082811</t>
  </si>
  <si>
    <t>Новогоднее украшение.Набор ёлочных подвесок, 4 шт. Ёлочки.Микс, 8 см НУ-4446</t>
  </si>
  <si>
    <t>НУ-4446</t>
  </si>
  <si>
    <t>4665303244467</t>
  </si>
  <si>
    <t>064809</t>
  </si>
  <si>
    <t>Набор ёлочных подвесок "Ажурные снежинки" 9,5 см 4 шт НУ-8319</t>
  </si>
  <si>
    <t>НУ-8319</t>
  </si>
  <si>
    <t>4665301783197</t>
  </si>
  <si>
    <t>064805</t>
  </si>
  <si>
    <t>Набор ёлочных подвесок "Волшебные снежинки" 10,5см 4 шт НУ-8315</t>
  </si>
  <si>
    <t>НУ-8315</t>
  </si>
  <si>
    <t>4665301783159</t>
  </si>
  <si>
    <t>064808</t>
  </si>
  <si>
    <t>Набор ёлочных подвесок "Искрящиеся снежинки" 10,5см 3 шт НУ-8318</t>
  </si>
  <si>
    <t>НУ-8318</t>
  </si>
  <si>
    <t>4665301783180</t>
  </si>
  <si>
    <t>251325</t>
  </si>
  <si>
    <t>Новогоднее подвесное украшение "Бантик" 12*1.5*10см НУ-2664</t>
  </si>
  <si>
    <t>НУ-2664</t>
  </si>
  <si>
    <t>4640306926473</t>
  </si>
  <si>
    <t>202914</t>
  </si>
  <si>
    <t>Новогоднее подвесное украшение "Веселый пряня", 8,3*3*10 см НУ-3357</t>
  </si>
  <si>
    <t>НУ-3357</t>
  </si>
  <si>
    <t>4670159033578</t>
  </si>
  <si>
    <t>203001</t>
  </si>
  <si>
    <t>Новогоднее подвесное украшение "Кленовый лист" 10,7*1,3*12,5см НУ-3379</t>
  </si>
  <si>
    <t>НУ-3379</t>
  </si>
  <si>
    <t>4670159033790</t>
  </si>
  <si>
    <t>193755</t>
  </si>
  <si>
    <t>Новогоднее подвесное украшение "Розовый бант" 12*1.5*10 см НУ-8227</t>
  </si>
  <si>
    <t>НУ-8227</t>
  </si>
  <si>
    <t>4620129782272</t>
  </si>
  <si>
    <t>160575</t>
  </si>
  <si>
    <t>Новогоднее подвесное украшение Елка с шишкой в ассортименте 16 см НУ-5150</t>
  </si>
  <si>
    <t>НУ-5150</t>
  </si>
  <si>
    <t>4680088496504</t>
  </si>
  <si>
    <t>275067</t>
  </si>
  <si>
    <t>Новогоднее подвесное украшение из пластика "Резной ключ" 4,9*0,9*14,7 см НУП-3333</t>
  </si>
  <si>
    <t>НУП-3333</t>
  </si>
  <si>
    <t>4680942633335</t>
  </si>
  <si>
    <t>251324</t>
  </si>
  <si>
    <t>Новогоднее подвесное украшение"Снежинка" 12*1*12см НУ-2663</t>
  </si>
  <si>
    <t>НУ-2663</t>
  </si>
  <si>
    <t>4640306926466</t>
  </si>
  <si>
    <t>255710</t>
  </si>
  <si>
    <t>Подвесное украшение "Ажурная звезда золотистая" 10.5*10.3*3 см НУ-7073</t>
  </si>
  <si>
    <t>НУ-7073</t>
  </si>
  <si>
    <t>4630493770553</t>
  </si>
  <si>
    <t>255709</t>
  </si>
  <si>
    <t>Подвесное украшение "Ажурная звезда" 10.5*10.3*3 см НУ-7072</t>
  </si>
  <si>
    <t>НУ-7072</t>
  </si>
  <si>
    <t>4630493770546</t>
  </si>
  <si>
    <t>255712</t>
  </si>
  <si>
    <t>Подвесное украшение "Жемчужная сосулька" 22.5*3.5 см НУ-7075</t>
  </si>
  <si>
    <t>НУ-7075</t>
  </si>
  <si>
    <t>4630493770577</t>
  </si>
  <si>
    <t>255711</t>
  </si>
  <si>
    <t>Подвесное украшение "Золотисая сосулька" 22.5*3.5 см НУ-7074</t>
  </si>
  <si>
    <t>НУ-7074</t>
  </si>
  <si>
    <t>4630493770560</t>
  </si>
  <si>
    <t>255704</t>
  </si>
  <si>
    <t>Подвесное украшение "Серебряная звезда" 14*10 см НУ-7067</t>
  </si>
  <si>
    <t>НУ-7067</t>
  </si>
  <si>
    <t>4630493770492</t>
  </si>
  <si>
    <t>255707</t>
  </si>
  <si>
    <t>Подвесное украшение "Серебряный ключик" 15*7*1.3 см НУ-7070</t>
  </si>
  <si>
    <t>НУ-7070</t>
  </si>
  <si>
    <t>4630493770522</t>
  </si>
  <si>
    <t>255703</t>
  </si>
  <si>
    <t>Подвесное украшение "Снежная сосулька" 16.5*6.5 см НУ-7066</t>
  </si>
  <si>
    <t>НУ-7066</t>
  </si>
  <si>
    <t>4630493770485</t>
  </si>
  <si>
    <t>05  Акриловые</t>
  </si>
  <si>
    <t>275430</t>
  </si>
  <si>
    <t>Новогоднее подвесное украшение из акрила "Сосульки", 2 шт, 17 см НУП-3660</t>
  </si>
  <si>
    <t>НУП-3660</t>
  </si>
  <si>
    <t>4680942636602</t>
  </si>
  <si>
    <t>234441</t>
  </si>
  <si>
    <t>Новогоднее подвесное украшение сосульки из акрила "Зимняя история" набор 24 шт, 13 см НУ-9901</t>
  </si>
  <si>
    <t>НУ-9901</t>
  </si>
  <si>
    <t>4670159197263</t>
  </si>
  <si>
    <t>234439</t>
  </si>
  <si>
    <t>Новогоднее подвесное украшение сосульки из акрила "Ледяная сказка" набор 12 шт, 13 см НУ-9900</t>
  </si>
  <si>
    <t>НУ-9900</t>
  </si>
  <si>
    <t>4670159197256</t>
  </si>
  <si>
    <t>275426</t>
  </si>
  <si>
    <t>Новогоднее подвесное украшение из акрила "Балерина", 16 см НУП-3656</t>
  </si>
  <si>
    <t>НУП-3656</t>
  </si>
  <si>
    <t>4680942636565</t>
  </si>
  <si>
    <t>275415</t>
  </si>
  <si>
    <t>Новогоднее подвесное украшение из акрила "Восхитительный узор", 14 см НУП-3645</t>
  </si>
  <si>
    <t>НУП-3645</t>
  </si>
  <si>
    <t>4680942636459</t>
  </si>
  <si>
    <t>275405</t>
  </si>
  <si>
    <t>Новогоднее подвесное украшение из акрила "Заветный ключ", 16 см НУП-3635</t>
  </si>
  <si>
    <t>НУП-3635</t>
  </si>
  <si>
    <t>4680942636350</t>
  </si>
  <si>
    <t>211084</t>
  </si>
  <si>
    <t>Новогоднее подвесное украшение из акрила "Ключик счастья", золотистый, 15.5*7.5см НУ-7467</t>
  </si>
  <si>
    <t>НУ-7467</t>
  </si>
  <si>
    <t>4670159074670</t>
  </si>
  <si>
    <t>211088</t>
  </si>
  <si>
    <t>Новогоднее подвесное украшение из акрила "Ключик счастья", серебристый,15.5*7.5см НУ-7468</t>
  </si>
  <si>
    <t>НУ-7468</t>
  </si>
  <si>
    <t>4670159074687</t>
  </si>
  <si>
    <t>211094</t>
  </si>
  <si>
    <t>Новогоднее подвесное украшение из акрила "Королевская снежинка", 12.5*12.5см НУ-7469</t>
  </si>
  <si>
    <t>НУ-7469</t>
  </si>
  <si>
    <t>4670159074694</t>
  </si>
  <si>
    <t>211080</t>
  </si>
  <si>
    <t>Новогоднее подвесное украшение из акрила "Нежная снежинка",12.5*12.5см НУ-7466</t>
  </si>
  <si>
    <t>НУ-7466</t>
  </si>
  <si>
    <t>4670159074663</t>
  </si>
  <si>
    <t>275420</t>
  </si>
  <si>
    <t>Новогоднее подвесное украшение из акрила "Оленёнок", 9 см НУП-3650</t>
  </si>
  <si>
    <t>НУП-3650</t>
  </si>
  <si>
    <t>4680942636503</t>
  </si>
  <si>
    <t>275411</t>
  </si>
  <si>
    <t>Новогоднее подвесное украшение из акрила "Прекрасная снежинка", 13 см НУП-3641</t>
  </si>
  <si>
    <t>НУП-3641</t>
  </si>
  <si>
    <t>4680942636411</t>
  </si>
  <si>
    <t>275410</t>
  </si>
  <si>
    <t>Новогоднее подвесное украшение из акрила "Прекрасный узор", 12 см НУП-3640</t>
  </si>
  <si>
    <t>НУП-3640</t>
  </si>
  <si>
    <t>4680942636404</t>
  </si>
  <si>
    <t>275406</t>
  </si>
  <si>
    <t>Новогоднее подвесное украшение из акрила "Саксофон", 12 см НУП-3636</t>
  </si>
  <si>
    <t>НУП-3636</t>
  </si>
  <si>
    <t>4680942636367</t>
  </si>
  <si>
    <t>275407</t>
  </si>
  <si>
    <t>Новогоднее подвесное украшение из акрила "Солдатик", 13 см НУП-3637</t>
  </si>
  <si>
    <t>НУП-3637</t>
  </si>
  <si>
    <t>4680942636374</t>
  </si>
  <si>
    <t>211075</t>
  </si>
  <si>
    <t>Новогоднее подвесное украшение из акрила "Хранитель леса",11*11*15.5см НУ-7464</t>
  </si>
  <si>
    <t>НУ-7464</t>
  </si>
  <si>
    <t>4670159074649</t>
  </si>
  <si>
    <t>06 Зеркальные</t>
  </si>
  <si>
    <t>251196</t>
  </si>
  <si>
    <t>Набор Новогодних подв. украш.из акрила "Милые лошадки"(3 шт),золотистые, 100*150 мм соб.раз НУ-2237</t>
  </si>
  <si>
    <t>НУ-2237</t>
  </si>
  <si>
    <t>4670159222965</t>
  </si>
  <si>
    <t>251199</t>
  </si>
  <si>
    <t>Набор Новогодних подвесных украшений из акрила "Милые лошадки", серебр, 100*150 мм соб.раз НУ-2100</t>
  </si>
  <si>
    <t>НУ-2100</t>
  </si>
  <si>
    <t>4640306921072</t>
  </si>
  <si>
    <t>223955</t>
  </si>
  <si>
    <t>Новогоднее подвесное украшение из акрила "Волшебная змея",серебристый,собст.разр.150*105мм НУ-5412</t>
  </si>
  <si>
    <t>НУ-5412</t>
  </si>
  <si>
    <t>4670159149026</t>
  </si>
  <si>
    <t>223960</t>
  </si>
  <si>
    <t>Новогоднее подвесное украшение из акрила "Зеркальная змея",серебристый, собс.разр.150*105мм НУ-5417</t>
  </si>
  <si>
    <t>НУ-5417</t>
  </si>
  <si>
    <t>4670159149071</t>
  </si>
  <si>
    <t>223956</t>
  </si>
  <si>
    <t>Новогоднее подвесное украшение из акрила "Зимняя змея",серебристый,собст.разр.150*115мм НУ-5413</t>
  </si>
  <si>
    <t>НУ-5413</t>
  </si>
  <si>
    <t>4670159149033</t>
  </si>
  <si>
    <t>223958</t>
  </si>
  <si>
    <t>Новогоднее подвесное украшение из акрила "Мерцающая змея",золотистый,собст.разр.150*110мм НУ-5415</t>
  </si>
  <si>
    <t>НУ-5415</t>
  </si>
  <si>
    <t>4670159149057</t>
  </si>
  <si>
    <t>223962</t>
  </si>
  <si>
    <t>Новогоднее подвесное украшение из акрила "Мудрая змея",серебристый,собст.разр.150*65мм НУ-5419</t>
  </si>
  <si>
    <t>НУ-5419</t>
  </si>
  <si>
    <t>4670159149095</t>
  </si>
  <si>
    <t>223957</t>
  </si>
  <si>
    <t>Новогоднее подвесное украшение из акрила "Новогодняя змея",золотистый,собст.разр.150*100мм НУ-5414</t>
  </si>
  <si>
    <t>НУ-5414</t>
  </si>
  <si>
    <t>4670159149040</t>
  </si>
  <si>
    <t>223959</t>
  </si>
  <si>
    <t>Новогоднее подвесное украшение из акрила "Сверкающая змея",золотистый,собст.разр.150*100мм НУ-5416</t>
  </si>
  <si>
    <t>НУ-5416</t>
  </si>
  <si>
    <t>4670159149064</t>
  </si>
  <si>
    <t>251195</t>
  </si>
  <si>
    <t>Новогоднее подвесное украшение из акрила "Сверкающая лошадка", серебристый, 100*150 мм НУ-2236</t>
  </si>
  <si>
    <t>НУ-2236</t>
  </si>
  <si>
    <t>4670159222958</t>
  </si>
  <si>
    <t>223953</t>
  </si>
  <si>
    <t>Новогоднее подвесное украшение из акрила "Сказочная змея",золотистый,собст.разр.150*105мм НУ-5410</t>
  </si>
  <si>
    <t>НУ-5410</t>
  </si>
  <si>
    <t>4670159149002</t>
  </si>
  <si>
    <t>223954</t>
  </si>
  <si>
    <t>Новогоднее подвесное украшение из акрила "Чудесная змея",серебристый,собст.разр.150*120мм НУ-5411</t>
  </si>
  <si>
    <t>НУ-5411</t>
  </si>
  <si>
    <t>4670159149019</t>
  </si>
  <si>
    <t>07 Текстильные</t>
  </si>
  <si>
    <t>273917</t>
  </si>
  <si>
    <t>Новогоднее украшение. Набор подвесок Милые девочки,  8 шт, 7*2 см НУП-2614</t>
  </si>
  <si>
    <t>НУП-2614</t>
  </si>
  <si>
    <t>4680942626146</t>
  </si>
  <si>
    <t>273918</t>
  </si>
  <si>
    <t>Новогоднее украшение. Набор подвесок Милые девочки, 4 шт, 8*3 см НУП-2615</t>
  </si>
  <si>
    <t>НУП-2615</t>
  </si>
  <si>
    <t>4680942626153</t>
  </si>
  <si>
    <t>08 Металлические</t>
  </si>
  <si>
    <t>275471</t>
  </si>
  <si>
    <t>Новогоднее подвесное украшение из металла "Ёлка", 17 см НУП-3697</t>
  </si>
  <si>
    <t>НУП-3697</t>
  </si>
  <si>
    <t>4680942636978</t>
  </si>
  <si>
    <t>275470</t>
  </si>
  <si>
    <t>Новогоднее подвесное украшение из металла "Звезда", 16 см НУП-3696</t>
  </si>
  <si>
    <t>НУП-3696</t>
  </si>
  <si>
    <t>4680942636961</t>
  </si>
  <si>
    <t>275468</t>
  </si>
  <si>
    <t>Новогоднее подвесное украшение из металла "Звездочка", 16 см НУП-3694</t>
  </si>
  <si>
    <t>НУП-3694</t>
  </si>
  <si>
    <t>4680942636947</t>
  </si>
  <si>
    <t>275474</t>
  </si>
  <si>
    <t>Новогоднее подвесное украшение из металла "Новогодняя звёздочка", 16 см НУП-3700</t>
  </si>
  <si>
    <t>НУП-3700</t>
  </si>
  <si>
    <t>4680942637005</t>
  </si>
  <si>
    <t>275472</t>
  </si>
  <si>
    <t>Новогоднее подвесное украшение из металла "Снежинка", 18 см НУП-3698</t>
  </si>
  <si>
    <t>НУП-3698</t>
  </si>
  <si>
    <t>4680942636985</t>
  </si>
  <si>
    <t>09 Эпоксидные</t>
  </si>
  <si>
    <t>276484</t>
  </si>
  <si>
    <t>Набор новог. подвесок 3шт. из эпоксидной смолы:Матрешка, Петушок, Лошадка 8-10см (соб.раз.) НУП-4289</t>
  </si>
  <si>
    <t>НУП-4289</t>
  </si>
  <si>
    <t>4680942642894</t>
  </si>
  <si>
    <t>276483</t>
  </si>
  <si>
    <t>Набор новогод. подвесок 3шт. из эпоксидной смолы: Ёлочка, Внучка, Дедушка 8-10см (соб.раз) НУП-4288</t>
  </si>
  <si>
    <t>НУП-4288</t>
  </si>
  <si>
    <t>4680942642887</t>
  </si>
  <si>
    <t>276486</t>
  </si>
  <si>
    <t>Набор новогодних подвесок 6шт. из эпоксидной смолы: Русский сувенир 8-10см (соб.раз) НУП-4290</t>
  </si>
  <si>
    <t>НУП-4290</t>
  </si>
  <si>
    <t>4680942642900</t>
  </si>
  <si>
    <t>02 Ёлочные шары</t>
  </si>
  <si>
    <t>1 Шары стеклянные "Собственная разработка"</t>
  </si>
  <si>
    <t>Шары стеклянные "Собственная разработка" 6см</t>
  </si>
  <si>
    <t>КОЛЛЕКЦИЯ " ЗИМА"</t>
  </si>
  <si>
    <t>227748</t>
  </si>
  <si>
    <t>Новогоднее украшение. Елочный стеклянный шар  "Ледяная пушинка",6см, зеленый (соб.разб.) НУ-7686</t>
  </si>
  <si>
    <t>НУ-7686</t>
  </si>
  <si>
    <t>4670159168478</t>
  </si>
  <si>
    <t>227750</t>
  </si>
  <si>
    <t>Новогоднее украшение. Елочный стеклянный шар  "Ледяная пушинка",6см, золотистый (соб.разб.) НУ-7687</t>
  </si>
  <si>
    <t>НУ-7687</t>
  </si>
  <si>
    <t>4670159168485</t>
  </si>
  <si>
    <t>227743</t>
  </si>
  <si>
    <t>Новогоднее украшение. Елочный стеклянный шар  "Ледяная пушинка",6см, красный (соб.разб.) НУ-7684</t>
  </si>
  <si>
    <t>НУ-7684</t>
  </si>
  <si>
    <t>4670159168454</t>
  </si>
  <si>
    <t>227747</t>
  </si>
  <si>
    <t>Новогоднее украшение. Елочный стеклянный шар  "Ледяная пушинка",6см, синий (соб.разб.) НУ-7685</t>
  </si>
  <si>
    <t>НУ-7685</t>
  </si>
  <si>
    <t>4670159168461</t>
  </si>
  <si>
    <t>246257</t>
  </si>
  <si>
    <t>Новогоднее украшение. Набор ёлочных стеклянных шаров  КОЛЛЕКЦИЯ " ЗИМА", 4 шт НУ-2166</t>
  </si>
  <si>
    <t>НУ-2166</t>
  </si>
  <si>
    <t>4640306921683</t>
  </si>
  <si>
    <t>КОЛЛЕКЦИЯ "ЗИМНИЕ ЩЕНКИ"</t>
  </si>
  <si>
    <t>227723</t>
  </si>
  <si>
    <t>Новогоднее украшение. Елочный стеклянный шар  "Милый бигль",6см (соб.разб.) НУ-7669</t>
  </si>
  <si>
    <t>НУ-7669</t>
  </si>
  <si>
    <t>4670159168300</t>
  </si>
  <si>
    <t>227722</t>
  </si>
  <si>
    <t>Новогоднее украшение. Елочный стеклянный шар  "Милый бульдог",6см (соб.разб.) НУ-7668</t>
  </si>
  <si>
    <t>НУ-7668</t>
  </si>
  <si>
    <t>4670159168294</t>
  </si>
  <si>
    <t>227725</t>
  </si>
  <si>
    <t>Новогоднее украшение. Елочный стеклянный шар  "Милый песик",6см (соб.разб.) НУ-7671</t>
  </si>
  <si>
    <t>НУ-7671</t>
  </si>
  <si>
    <t>4670159168324</t>
  </si>
  <si>
    <t>227724</t>
  </si>
  <si>
    <t>Новогоднее украшение. Елочный стеклянный шар  "Милый чау-чау",6см (соб.разб.) НУ-7670</t>
  </si>
  <si>
    <t>НУ-7670</t>
  </si>
  <si>
    <t>4670159168317</t>
  </si>
  <si>
    <t>КОЛЛЕКЦИЯ "КОТЯТА"</t>
  </si>
  <si>
    <t>227733</t>
  </si>
  <si>
    <t>Новогоднее украшение. Елочный стеклянный шар  "Котик в свитерке",6см (соб.разб.) НУ-7677</t>
  </si>
  <si>
    <t>НУ-7677</t>
  </si>
  <si>
    <t>4670159168386</t>
  </si>
  <si>
    <t>227734</t>
  </si>
  <si>
    <t>Новогоднее украшение. Елочный стеклянный шар  "Котик в шапочке",6см (соб.разб.) НУ-7678</t>
  </si>
  <si>
    <t>НУ-7678</t>
  </si>
  <si>
    <t>4670159168393</t>
  </si>
  <si>
    <t>227735</t>
  </si>
  <si>
    <t>Новогоднее украшение. Елочный стеклянный шар  "Котик в шарфике",6см (соб.разб.) НУ-7679</t>
  </si>
  <si>
    <t>НУ-7679</t>
  </si>
  <si>
    <t>4670159168409</t>
  </si>
  <si>
    <t>227732</t>
  </si>
  <si>
    <t>Новогоднее украшение. Елочный стеклянный шар  "Серый котик",6см (соб.разб.) НУ-7676</t>
  </si>
  <si>
    <t>НУ-7676</t>
  </si>
  <si>
    <t>4670159168379</t>
  </si>
  <si>
    <t>КОЛЛЕКЦИЯ "МРАМОРНАЯ" 6см</t>
  </si>
  <si>
    <t>227713</t>
  </si>
  <si>
    <t>Новогоднее украшение. Елочный стеклянный шар  "Бирюзовый мрамор",6см (соб.разб.) НУ-7662</t>
  </si>
  <si>
    <t>НУ-7662</t>
  </si>
  <si>
    <t>4670159168232</t>
  </si>
  <si>
    <t>227712</t>
  </si>
  <si>
    <t>Новогоднее украшение. Елочный стеклянный шар  "Красный мрамор",6см (соб.разб.) НУ-7661</t>
  </si>
  <si>
    <t>НУ-7661</t>
  </si>
  <si>
    <t>4670159168225</t>
  </si>
  <si>
    <t>227710</t>
  </si>
  <si>
    <t>Новогоднее украшение. Елочный стеклянный шар  "Розовый мрамор",6см (соб.разб.) НУ-7660</t>
  </si>
  <si>
    <t>НУ-7660</t>
  </si>
  <si>
    <t>4670159168218</t>
  </si>
  <si>
    <t>227715</t>
  </si>
  <si>
    <t>Новогоднее украшение. Елочный стеклянный шар  "Синий мрамор",6см (соб.разб.) НУ-7663</t>
  </si>
  <si>
    <t>НУ-7663</t>
  </si>
  <si>
    <t>4670159168249</t>
  </si>
  <si>
    <t>246246</t>
  </si>
  <si>
    <t>Новогоднее украшение. Набор ёлочных стеклянных шаров  КОЛЛЕКЦИЯ "МРАМОРНАЯ", 4 шт НУ-2156</t>
  </si>
  <si>
    <t>НУ-2156</t>
  </si>
  <si>
    <t>4640306921584</t>
  </si>
  <si>
    <t>КОЛЛЕКЦИЯ "НОВОГОДНИЕ ПЕРСОНАЖИ"</t>
  </si>
  <si>
    <t>227727</t>
  </si>
  <si>
    <t>Новогоднее украшение. Елочный стеклянный шар  "Веселая белка",6см (соб.разб.) НУ-7672</t>
  </si>
  <si>
    <t>НУ-7672</t>
  </si>
  <si>
    <t>4670159168331</t>
  </si>
  <si>
    <t>227729</t>
  </si>
  <si>
    <t>Новогоднее украшение. Елочный стеклянный шар  "Зимний дедушка",6см (соб.разб.) НУ-7675</t>
  </si>
  <si>
    <t>НУ-7675</t>
  </si>
  <si>
    <t>4670159168362</t>
  </si>
  <si>
    <t>227730</t>
  </si>
  <si>
    <t>Новогоднее украшение. Елочный стеклянный шар  "Зимняя красавица",6см (соб.разб.) НУ-7673</t>
  </si>
  <si>
    <t>НУ-7673</t>
  </si>
  <si>
    <t>4670159168348</t>
  </si>
  <si>
    <t>246245</t>
  </si>
  <si>
    <t>Новогоднее украшение. Набор ёлочных стеклянных шаров  КОЛЛЕКЦИЯ "НОВОГОДНИЕ ПЕРСОНАЖИ", 3 шт НУ-2155</t>
  </si>
  <si>
    <t>НУ-2155</t>
  </si>
  <si>
    <t>4640306921577</t>
  </si>
  <si>
    <t>КОЛЛЕКЦИЯ "СМАЙЛЫ"</t>
  </si>
  <si>
    <t>228660</t>
  </si>
  <si>
    <t>Новогоднее украшение. Елочный стеклянный шар  "Веселый смайлик", 6см (соб.разб.) НУ-7195</t>
  </si>
  <si>
    <t>НУ-7195</t>
  </si>
  <si>
    <t>4670159171959</t>
  </si>
  <si>
    <t>228661</t>
  </si>
  <si>
    <t>Новогоднее украшение. Елочный стеклянный шар  "Влюбленный смайлик", 6см (соб.разб.) НУ-7196</t>
  </si>
  <si>
    <t>НУ-7196</t>
  </si>
  <si>
    <t>4670159171966</t>
  </si>
  <si>
    <t>228664</t>
  </si>
  <si>
    <t>Новогоднее украшение. Елочный стеклянный шар  "Крутой смайлик", 6см (соб.разб.) НУ-7198</t>
  </si>
  <si>
    <t>НУ-7198</t>
  </si>
  <si>
    <t>4670159171980</t>
  </si>
  <si>
    <t>228662</t>
  </si>
  <si>
    <t>Новогоднее украшение. Елочный стеклянный шар  "Подмигивающий смайлик", 6см (соб.разб.) НУ-7197</t>
  </si>
  <si>
    <t>НУ-7197</t>
  </si>
  <si>
    <t>4670159171973</t>
  </si>
  <si>
    <t>246243</t>
  </si>
  <si>
    <t>Новогоднее украшение. Набор ёлочных стеклянных шаров  КОЛЛЕКЦИЯ "СМАЙЛЫ", 4 шт НУ-2153</t>
  </si>
  <si>
    <t>НУ-2153</t>
  </si>
  <si>
    <t>4640306921553</t>
  </si>
  <si>
    <t>КОЛЛЕКЦИЯ "ХРУСТАЛЬНЫЕ СНЕГИРИ"</t>
  </si>
  <si>
    <t>232201</t>
  </si>
  <si>
    <t>Новогоднее украшение. Елочный стеклянный шар "Морозный снегирь", 6см, (соб.разб.) НУ-8600</t>
  </si>
  <si>
    <t>НУ-8600</t>
  </si>
  <si>
    <t>4670159184157</t>
  </si>
  <si>
    <t>232205</t>
  </si>
  <si>
    <t>Новогоднее украшение. Елочный стеклянный шар "Пламенный снегирь", 6см, (соб.разб.) НУ-8603</t>
  </si>
  <si>
    <t>НУ-8603</t>
  </si>
  <si>
    <t>4670159184188</t>
  </si>
  <si>
    <t>232202</t>
  </si>
  <si>
    <t>Новогоднее украшение. Елочный стеклянный шар "Пушистый снегирь", 6см, (соб.разб.) НУ-8601</t>
  </si>
  <si>
    <t>НУ-8601</t>
  </si>
  <si>
    <t>4670159184164</t>
  </si>
  <si>
    <t>232204</t>
  </si>
  <si>
    <t>Новогоднее украшение. Елочный стеклянный шар "Яркий снегирь", 6см, (соб.разб.) НУ-8602</t>
  </si>
  <si>
    <t>НУ-8602</t>
  </si>
  <si>
    <t>4670159184171</t>
  </si>
  <si>
    <t>246239</t>
  </si>
  <si>
    <t>Новогоднее украшение. Набор ёлочных стеклянных шаров КОЛЛЕКЦИЯ "ХРУСТАЛЬНЫЕ СНЕГИРИ",  4 шт НУ-2149</t>
  </si>
  <si>
    <t>НУ-2149</t>
  </si>
  <si>
    <t>4640306921515</t>
  </si>
  <si>
    <t>Шары стеклянные "Собственная разработка" 8см</t>
  </si>
  <si>
    <t>КОЛЛЕКЦИЯ "2027"</t>
  </si>
  <si>
    <t>270333</t>
  </si>
  <si>
    <t>Новогоднее украшение. Елочный стеклянный шар  "Счастливого нового года", 8 см,  соб.разб. НУ-0680</t>
  </si>
  <si>
    <t>НУ-0680</t>
  </si>
  <si>
    <t>4680942608623</t>
  </si>
  <si>
    <t>270335</t>
  </si>
  <si>
    <t>Новогоднее украшение. Елочный стеклянный шар  "Тёплых объятий", 8 см,  соб.разб. НУ-0681</t>
  </si>
  <si>
    <t>НУ-0681</t>
  </si>
  <si>
    <t>4680942608630</t>
  </si>
  <si>
    <t>КОЛЛЕКЦИЯ "АСТРОЛОГИЯ"</t>
  </si>
  <si>
    <t>227692</t>
  </si>
  <si>
    <t>Новогоднее украшение. Елочный стеклянный шар  "Лунная богиня",8см (соб.разб.) НУ-7649</t>
  </si>
  <si>
    <t>НУ-7649</t>
  </si>
  <si>
    <t>4670159168102</t>
  </si>
  <si>
    <t>227694</t>
  </si>
  <si>
    <t>Новогоднее украшение. Елочный стеклянный шар  "Лунный месяц",8см (соб.разб.) НУ-7650</t>
  </si>
  <si>
    <t>НУ-7650</t>
  </si>
  <si>
    <t>4670159168119</t>
  </si>
  <si>
    <t>227690</t>
  </si>
  <si>
    <t>Новогоднее украшение. Елочный стеклянный шар  "Поцелуй луны",8см (соб.разб.) НУ-7648</t>
  </si>
  <si>
    <t>НУ-7648</t>
  </si>
  <si>
    <t>4670159168096</t>
  </si>
  <si>
    <t>227696</t>
  </si>
  <si>
    <t>Новогоднее украшение. Елочный стеклянный шар  "Солнцестояние",8см (соб.разб.) НУ-7651</t>
  </si>
  <si>
    <t>НУ-7651</t>
  </si>
  <si>
    <t>4670159168126</t>
  </si>
  <si>
    <t>246256</t>
  </si>
  <si>
    <t>Новогоднее украшение. Набор ёлочных стеклянных шаров  КОЛЛЕКЦИЯ "АСТРОЛОГИЯ", 4 шт НУ-2165</t>
  </si>
  <si>
    <t>НУ-2165</t>
  </si>
  <si>
    <t>4640306921676</t>
  </si>
  <si>
    <t>КОЛЛЕКЦИЯ "БАЛЕТ"</t>
  </si>
  <si>
    <t>270337</t>
  </si>
  <si>
    <t>Новогоднее украшение. Елочный стеклянный шар  "Балерина в пачке", 8 см,  соб.разб. НУ-0683</t>
  </si>
  <si>
    <t>НУ-0683</t>
  </si>
  <si>
    <t>4680942608654</t>
  </si>
  <si>
    <t>КОЛЛЕКЦИЯ "В ГОСТЯХ У СКАЗКИ"</t>
  </si>
  <si>
    <t>204274</t>
  </si>
  <si>
    <t>Елочный стеклянный шар  "Волшебный ключик",8 см (собственная разработка) ЕШ-4266</t>
  </si>
  <si>
    <t>ЕШ-4266</t>
  </si>
  <si>
    <t>4670159042662</t>
  </si>
  <si>
    <t>204278</t>
  </si>
  <si>
    <t>Елочный стеклянный шар  "Снежная королева", 8 см (собственная разработка) ЕШ-4269</t>
  </si>
  <si>
    <t>ЕШ-4269</t>
  </si>
  <si>
    <t>4670159042693</t>
  </si>
  <si>
    <t>204275</t>
  </si>
  <si>
    <t>Елочный стеклянный шар  "Щелкунчик", 8 см (собственная разработка) Щелкунчик ЕШ-4267</t>
  </si>
  <si>
    <t>ЕШ-4267</t>
  </si>
  <si>
    <t>4670159042679</t>
  </si>
  <si>
    <t>КОЛЛЕКЦИЯ "ВИНТАЖ"</t>
  </si>
  <si>
    <t>227679</t>
  </si>
  <si>
    <t>Новогоднее украшение. Елочный стеклянный шар  "Винтажный енотик",8см (соб.разб.) НУ-7639</t>
  </si>
  <si>
    <t>НУ-7639</t>
  </si>
  <si>
    <t>4670159168003</t>
  </si>
  <si>
    <t>227678</t>
  </si>
  <si>
    <t>Новогоднее украшение. Елочный стеклянный шар  "Винтажный зайка",8см (соб.разб.) НУ-7638</t>
  </si>
  <si>
    <t>НУ-7638</t>
  </si>
  <si>
    <t>4670159167990</t>
  </si>
  <si>
    <t>227674</t>
  </si>
  <si>
    <t>Новогоднее украшение. Елочный стеклянный шар  "Винтажный зайчик",8см (соб.разб.) НУ-7636</t>
  </si>
  <si>
    <t>НУ-7636</t>
  </si>
  <si>
    <t>4670159167976</t>
  </si>
  <si>
    <t>227676</t>
  </si>
  <si>
    <t>Новогоднее украшение. Елочный стеклянный шар  "Винтажный мишка",8см (соб.разб.) НУ-7637</t>
  </si>
  <si>
    <t>НУ-7637</t>
  </si>
  <si>
    <t>4670159167983</t>
  </si>
  <si>
    <t>246255</t>
  </si>
  <si>
    <t>Новогоднее украшение. Набор ёлочных стеклянных шаров  КОЛЛЕКЦИЯ "ВИНТАЖ", 4 шт НУ-2164</t>
  </si>
  <si>
    <t>НУ-2164</t>
  </si>
  <si>
    <t>4640306921669</t>
  </si>
  <si>
    <t>КОЛЛЕКЦИЯ "ВОСТОЧНАЯ ЗМЕЯ"</t>
  </si>
  <si>
    <t>227646</t>
  </si>
  <si>
    <t>Новогоднее украшение. Елочный стеклянный шар  "Благородная змея",8см (соб.разб.) НУ-7612</t>
  </si>
  <si>
    <t>НУ-7612</t>
  </si>
  <si>
    <t>4670159167730</t>
  </si>
  <si>
    <t>230595</t>
  </si>
  <si>
    <t>Новогоднее украшение. Елочный стеклянный шар  "Желтая змея", 8см  (соб.разб.) НУ-9149</t>
  </si>
  <si>
    <t>НУ-9149</t>
  </si>
  <si>
    <t>4670159179177</t>
  </si>
  <si>
    <t>227649</t>
  </si>
  <si>
    <t>Новогоднее украшение. Елочный стеклянный шар  "Мудрая змея",8см (соб.разб.) НУ-7615</t>
  </si>
  <si>
    <t>НУ-7615</t>
  </si>
  <si>
    <t>4670159167761</t>
  </si>
  <si>
    <t>КОЛЛЕКЦИЯ "ДЕДЫ МОРОЗЫ"</t>
  </si>
  <si>
    <t>230599</t>
  </si>
  <si>
    <t>Новогоднее украшение. Елочный стеклянный шар  " Дед Мороз со снегирем", 8см (соб.разб.) НУ-9152</t>
  </si>
  <si>
    <t>НУ-9152</t>
  </si>
  <si>
    <t>4670159179207</t>
  </si>
  <si>
    <t>230597</t>
  </si>
  <si>
    <t>Новогоднее украшение. Елочный стеклянный шар  "Дедушка с подарками", 8см (соб.разб.) НУ-9150</t>
  </si>
  <si>
    <t>НУ-9150</t>
  </si>
  <si>
    <t>4670159179184</t>
  </si>
  <si>
    <t>230598</t>
  </si>
  <si>
    <t>Новогоднее украшение. Елочный стеклянный шар  "Новогодний Дед Мороз", 8см (соб.разб.) НУ-9151</t>
  </si>
  <si>
    <t>НУ-9151</t>
  </si>
  <si>
    <t>4670159179191</t>
  </si>
  <si>
    <t>КОЛЛЕКЦИЯ "ЗВЕРЯТА С ПОДАРКАМИ"</t>
  </si>
  <si>
    <t>227671</t>
  </si>
  <si>
    <t>Новогоднее украшение. Елочный стеклянный шар  "Новогодний бельчонок",8см (соб.разб.) НУ-7633</t>
  </si>
  <si>
    <t>НУ-7633</t>
  </si>
  <si>
    <t>4670159167945</t>
  </si>
  <si>
    <t>227672</t>
  </si>
  <si>
    <t>Новогоднее украшение. Елочный стеклянный шар  "Новогодний зайчонок",8см (соб.разб.) НУ-7634</t>
  </si>
  <si>
    <t>НУ-7634</t>
  </si>
  <si>
    <t>4670159167952</t>
  </si>
  <si>
    <t>227673</t>
  </si>
  <si>
    <t>Новогоднее украшение. Елочный стеклянный шар  "Новогодний лисенок",8см (соб.разб.) НУ-7635</t>
  </si>
  <si>
    <t>НУ-7635</t>
  </si>
  <si>
    <t>4670159167969</t>
  </si>
  <si>
    <t>227669</t>
  </si>
  <si>
    <t>Новогоднее украшение. Елочный стеклянный шар  "Новогодний сурок",8см (соб.разб.) НУ-7632</t>
  </si>
  <si>
    <t>НУ-7632</t>
  </si>
  <si>
    <t>4670159167938</t>
  </si>
  <si>
    <t>246254</t>
  </si>
  <si>
    <t>Новогоднее украшение. Набор ёлочных стеклянных шаров  КОЛЛЕКЦИЯ "ЗВЕРЯТА С ПОДАРКАМИ", 4 шт НУ-2163</t>
  </si>
  <si>
    <t>НУ-2163</t>
  </si>
  <si>
    <t>4640306921652</t>
  </si>
  <si>
    <t>КОЛЛЕКЦИЯ "ЗИМНИЙ ВЕЧЕР"</t>
  </si>
  <si>
    <t>227689</t>
  </si>
  <si>
    <t>Новогоднее украшение. Елочный стеклянный шар  "Домик в лесу",8см (соб.разб.) НУ-7647</t>
  </si>
  <si>
    <t>НУ-7647</t>
  </si>
  <si>
    <t>4670159168089</t>
  </si>
  <si>
    <t>227686</t>
  </si>
  <si>
    <t>Новогоднее украшение. Елочный стеклянный шар  "Домик в снегу",8см (соб.разб.) НУ-7644</t>
  </si>
  <si>
    <t>НУ-7644</t>
  </si>
  <si>
    <t>4670159168058</t>
  </si>
  <si>
    <t>227688</t>
  </si>
  <si>
    <t>Новогоднее украшение. Елочный стеклянный шар  "Зимний домик",8см (соб.разб.) НУ-7646</t>
  </si>
  <si>
    <t>НУ-7646</t>
  </si>
  <si>
    <t>4670159168072</t>
  </si>
  <si>
    <t>227687</t>
  </si>
  <si>
    <t>Новогоднее украшение. Елочный стеклянный шар  "Уютный домик",8см (соб.разб.) НУ-7645</t>
  </si>
  <si>
    <t>НУ-7645</t>
  </si>
  <si>
    <t>4670159168065</t>
  </si>
  <si>
    <t>КОЛЛЕКЦИЯ "ЗОЛОТОЙ МИНИМАЛИЗМ"</t>
  </si>
  <si>
    <t>227652</t>
  </si>
  <si>
    <t>Новогоднее украшение. Елочный стеклянный шар  "Золотистая опушка",8см (соб.разб.) НУ-7618</t>
  </si>
  <si>
    <t>НУ-7618</t>
  </si>
  <si>
    <t>4670159167792</t>
  </si>
  <si>
    <t>227653</t>
  </si>
  <si>
    <t>Новогоднее украшение. Елочный стеклянный шар  "Золотистые колокольчики",8см (соб.разб.) НУ-7619</t>
  </si>
  <si>
    <t>НУ-7619</t>
  </si>
  <si>
    <t>4670159167808</t>
  </si>
  <si>
    <t>227651</t>
  </si>
  <si>
    <t>Новогоднее украшение. Елочный стеклянный шар  "Золотистые сани",8см (соб.разб.) НУ-7616</t>
  </si>
  <si>
    <t>НУ-7616</t>
  </si>
  <si>
    <t>4670159167778</t>
  </si>
  <si>
    <t>227757</t>
  </si>
  <si>
    <t>Новогоднее украшение. Елочный стеклянный шар  "Золотистый олень",8см (соб.разб.) НУ-7617</t>
  </si>
  <si>
    <t>НУ-7617</t>
  </si>
  <si>
    <t>4670159167785</t>
  </si>
  <si>
    <t>246253</t>
  </si>
  <si>
    <t>Новогоднее украшение. Набор ёлочных стеклянных шаров  КОЛЛЕКЦИЯ "ЗОЛОТОЙ МИНИМАЛИЗМ", 4 шт НУ-2162</t>
  </si>
  <si>
    <t>НУ-2162</t>
  </si>
  <si>
    <t>4640306921645</t>
  </si>
  <si>
    <t>КОЛЛЕКЦИЯ "ЗОЛОТОЙ ШТРИХ"</t>
  </si>
  <si>
    <t>204273</t>
  </si>
  <si>
    <t>Елочный стеклянный шар  "Волшебный олень", 8 см (собственная разработка) ЕШ-4265</t>
  </si>
  <si>
    <t>ЕШ-4265</t>
  </si>
  <si>
    <t>4670159042655</t>
  </si>
  <si>
    <t>204272</t>
  </si>
  <si>
    <t>Елочный стеклянный шар  "Елочка желаний", 8 см (собственная разработка) ЕШ-4264</t>
  </si>
  <si>
    <t>ЕШ-4264</t>
  </si>
  <si>
    <t>4670159042648</t>
  </si>
  <si>
    <t>204269</t>
  </si>
  <si>
    <t>Елочный стеклянный шар  "Зимний снеговичок", 8 см (собственная разработка) ЕШ-4262</t>
  </si>
  <si>
    <t>ЕШ-4262</t>
  </si>
  <si>
    <t>4670159042624</t>
  </si>
  <si>
    <t>204270</t>
  </si>
  <si>
    <t>Елочный стеклянный шар  "Праздничный Дед Мороз", 8 см (собственная разработка) ЕШ-4263</t>
  </si>
  <si>
    <t>ЕШ-4263</t>
  </si>
  <si>
    <t>4670159042631</t>
  </si>
  <si>
    <t>КОЛЛЕКЦИЯ "ИЕРОГЛИФЫ"</t>
  </si>
  <si>
    <t>227683</t>
  </si>
  <si>
    <t>Новогоднее украшение. Елочный стеклянный шар  "Здоровья",8см (соб.разб.) НУ-7642</t>
  </si>
  <si>
    <t>НУ-7642</t>
  </si>
  <si>
    <t>4670159168034</t>
  </si>
  <si>
    <t>227681</t>
  </si>
  <si>
    <t>Новогоднее украшение. Елочный стеклянный шар  "Любви",8см (соб.разб.) НУ-7640</t>
  </si>
  <si>
    <t>НУ-7640</t>
  </si>
  <si>
    <t>4670159168010</t>
  </si>
  <si>
    <t>227682</t>
  </si>
  <si>
    <t>Новогоднее украшение. Елочный стеклянный шар  "Счастья",8см (соб.разб.) НУ-7641</t>
  </si>
  <si>
    <t>НУ-7641</t>
  </si>
  <si>
    <t>4670159168027</t>
  </si>
  <si>
    <t>227684</t>
  </si>
  <si>
    <t>Новогоднее украшение. Елочный стеклянный шар  "Удачи",8см (соб.разб.) НУ-7643</t>
  </si>
  <si>
    <t>НУ-7643</t>
  </si>
  <si>
    <t>4670159168041</t>
  </si>
  <si>
    <t>246252</t>
  </si>
  <si>
    <t>Новогоднее украшение. Набор ёлочных стеклянных шаров  КОЛЛЕКЦИЯ "ИЕРОГЛИФЫ", 4 шт НУ-2161</t>
  </si>
  <si>
    <t>НУ-2161</t>
  </si>
  <si>
    <t>4640306921638</t>
  </si>
  <si>
    <t>КОЛЛЕКЦИЯ "КЛАССИКА"</t>
  </si>
  <si>
    <t>227641</t>
  </si>
  <si>
    <t>Новогоднее украшение. Елочный стеклянный шар  "Белочка у ёлочки",8см (соб.разб.) НУ-7610</t>
  </si>
  <si>
    <t>НУ-7610</t>
  </si>
  <si>
    <t>4670159167716</t>
  </si>
  <si>
    <t>227637</t>
  </si>
  <si>
    <t>Новогоднее украшение. Елочный стеклянный шар  "Медвежонок в шапочке",8см (соб.разб.) НУ-7608</t>
  </si>
  <si>
    <t>НУ-7608</t>
  </si>
  <si>
    <t>4670159167693</t>
  </si>
  <si>
    <t>227642</t>
  </si>
  <si>
    <t>Новогоднее украшение. Елочный стеклянный шар  "Праздничная ёлочка",8см (соб.разб.) НУ-7611</t>
  </si>
  <si>
    <t>НУ-7611</t>
  </si>
  <si>
    <t>4670159167723</t>
  </si>
  <si>
    <t>246249</t>
  </si>
  <si>
    <t>Новогоднее украшение. Набор ёлочных стеклянных шаров  КОЛЛЕКЦИЯ "КЛАССИКА", 4 шт НУ-2159</t>
  </si>
  <si>
    <t>НУ-2159</t>
  </si>
  <si>
    <t>4640306921614</t>
  </si>
  <si>
    <t>КОЛЛЕКЦИЯ "КУРАНТЫ"</t>
  </si>
  <si>
    <t>227661</t>
  </si>
  <si>
    <t>Новогоднее украшение. Елочный стеклянный шар  "Бой курантов",8см (соб.разб.) НУ-7625</t>
  </si>
  <si>
    <t>НУ-7625</t>
  </si>
  <si>
    <t>4670159167860</t>
  </si>
  <si>
    <t>227663</t>
  </si>
  <si>
    <t>Новогоднее украшение. Елочный стеклянный шар  "Время чудес",8см (соб.разб.) НУ-7627</t>
  </si>
  <si>
    <t>НУ-7627</t>
  </si>
  <si>
    <t>4670159167884</t>
  </si>
  <si>
    <t>227662</t>
  </si>
  <si>
    <t>Новогоднее украшение. Елочный стеклянный шар  "Праздничные куранты",8см (соб.разб.) НУ-7626</t>
  </si>
  <si>
    <t>НУ-7626</t>
  </si>
  <si>
    <t>4670159167877</t>
  </si>
  <si>
    <t>227660</t>
  </si>
  <si>
    <t>Новогоднее украшение. Елочный стеклянный шар  "Пять минут",8см (соб.разб.) НУ-7624</t>
  </si>
  <si>
    <t>НУ-7624</t>
  </si>
  <si>
    <t>4670159167853</t>
  </si>
  <si>
    <t>246248</t>
  </si>
  <si>
    <t>Новогоднее украшение. Набор ёлочных стеклянных шаров  КОЛЛЕКЦИЯ "КУРАНТЫ", 4 шт НУ-2158</t>
  </si>
  <si>
    <t>НУ-2158</t>
  </si>
  <si>
    <t>4640306921607</t>
  </si>
  <si>
    <t>КОЛЛЕКЦИЯ "ЛЕСНЫЕ ЗВЕРЯТА"</t>
  </si>
  <si>
    <t>227665</t>
  </si>
  <si>
    <t>Новогоднее украшение. Елочный стеклянный шар  "Белочка с шишкой",8см (соб.разб.) НУ-7628</t>
  </si>
  <si>
    <t>НУ-7628</t>
  </si>
  <si>
    <t>4670159167891</t>
  </si>
  <si>
    <t>227666</t>
  </si>
  <si>
    <t>Новогоднее украшение. Елочный стеклянный шар  "Зайки на опушке",8см (соб.разб.) НУ-7629</t>
  </si>
  <si>
    <t>НУ-7629</t>
  </si>
  <si>
    <t>4670159167907</t>
  </si>
  <si>
    <t>227668</t>
  </si>
  <si>
    <t>Новогоднее украшение. Елочный стеклянный шар  "Лесной житель",8см (соб.разб.) НУ-7631</t>
  </si>
  <si>
    <t>НУ-7631</t>
  </si>
  <si>
    <t>4670159167921</t>
  </si>
  <si>
    <t>227667</t>
  </si>
  <si>
    <t>Новогоднее украшение. Елочный стеклянный шар  "Румяный снегирь",8см (соб.разб.) НУ-7630</t>
  </si>
  <si>
    <t>НУ-7630</t>
  </si>
  <si>
    <t>4670159167914</t>
  </si>
  <si>
    <t>246247</t>
  </si>
  <si>
    <t>Новогоднее украшение. Набор ёлочных стеклянных шаров  КОЛЛЕКЦИЯ "ЛЕСНЫЕ ЗВЕРЯТА", 4 шт НУ-2157</t>
  </si>
  <si>
    <t>НУ-2157</t>
  </si>
  <si>
    <t>4640306921591</t>
  </si>
  <si>
    <t>КОЛЛЕКЦИЯ "МАГИЧЕСКАЯ"</t>
  </si>
  <si>
    <t>204221</t>
  </si>
  <si>
    <t>Елочный стеклянный шар  "Котик-чародей", 8 см (собственная разработка) ЕШ-4240</t>
  </si>
  <si>
    <t>ЕШ-4240</t>
  </si>
  <si>
    <t>4670159042402</t>
  </si>
  <si>
    <t>КОЛЛЕКЦИЯ "МРАМОРНАЯ" 8см</t>
  </si>
  <si>
    <t>204258</t>
  </si>
  <si>
    <t>Елочный стеклянный шар  "Абстрактность", 8 см (собственная разработка) ЕШ-4253</t>
  </si>
  <si>
    <t>ЕШ-4253</t>
  </si>
  <si>
    <t>4670159042532</t>
  </si>
  <si>
    <t>204255</t>
  </si>
  <si>
    <t>Елочный стеклянный шар  "Зеленый мрамор", 8 см (собственная разработка) ЕШ-4251</t>
  </si>
  <si>
    <t>ЕШ-4251</t>
  </si>
  <si>
    <t>4670159042518</t>
  </si>
  <si>
    <t>204256</t>
  </si>
  <si>
    <t>Елочный стеклянный шар  "Нежность", 8 см (собственная разработка) ЕШ-4252</t>
  </si>
  <si>
    <t>ЕШ-4252</t>
  </si>
  <si>
    <t>4670159042525</t>
  </si>
  <si>
    <t>204231</t>
  </si>
  <si>
    <t>Елочный стеклянный шар  "Синий мрамор", 8 см (собственная разработка) ЕШ-4250</t>
  </si>
  <si>
    <t>ЕШ-4250</t>
  </si>
  <si>
    <t>4670159042501</t>
  </si>
  <si>
    <t>КОЛЛЕКЦИЯ "НОВОГОДНЕЕ ЧУДО"</t>
  </si>
  <si>
    <t>270353</t>
  </si>
  <si>
    <t>Новогоднее украшение. Елочный стеклянный шар  "Зимние узоры", 8 см,  соб.разб. НУ-0694</t>
  </si>
  <si>
    <t>НУ-0694</t>
  </si>
  <si>
    <t>4680942608760</t>
  </si>
  <si>
    <t>270358</t>
  </si>
  <si>
    <t>Новогоднее украшение. Елочный стеклянный шар  "Хоровод снежинок", 8 см,  соб.разб. НУ-0697</t>
  </si>
  <si>
    <t>НУ-0697</t>
  </si>
  <si>
    <t>4680942608791</t>
  </si>
  <si>
    <t>КОЛЛЕКЦИЯ "НОВОГОДНЯЯ КЛАССИКА"</t>
  </si>
  <si>
    <t>270371</t>
  </si>
  <si>
    <t>Новогоднее украшение. Елочный стеклянный шар  "Новогодняя красавица", 8 см,  соб.разб. НУ-0705</t>
  </si>
  <si>
    <t>НУ-0705</t>
  </si>
  <si>
    <t>4680942608876</t>
  </si>
  <si>
    <t>КОЛЛЕКЦИЯ "ПОЛЯРНЫЕ МЕДВЕДИ"</t>
  </si>
  <si>
    <t>227709</t>
  </si>
  <si>
    <t>Новогоднее украшение. Елочный стеклянный шар  "Мишка и пингвин",8см (соб.разб.) НУ-7659</t>
  </si>
  <si>
    <t>НУ-7659</t>
  </si>
  <si>
    <t>4670159168201</t>
  </si>
  <si>
    <t>227706</t>
  </si>
  <si>
    <t>Новогоднее украшение. Елочный стеклянный шар  "Мишка на лыжах",8см (соб.разб.) НУ-7657</t>
  </si>
  <si>
    <t>НУ-7657</t>
  </si>
  <si>
    <t>4670159168188</t>
  </si>
  <si>
    <t>227708</t>
  </si>
  <si>
    <t>Новогоднее украшение. Елочный стеклянный шар  "Мишка на рыбалке",8см (соб.разб.) НУ-7658</t>
  </si>
  <si>
    <t>НУ-7658</t>
  </si>
  <si>
    <t>4670159168195</t>
  </si>
  <si>
    <t>КОЛЛЕКЦИЯ "РЕТРО"</t>
  </si>
  <si>
    <t>270350</t>
  </si>
  <si>
    <t>Новогоднее украшение. Елочный стеклянный шар  "Дедушка и снеговик", 8 см,  соб.разб. НУ-0692</t>
  </si>
  <si>
    <t>НУ-0692</t>
  </si>
  <si>
    <t>4680942608746</t>
  </si>
  <si>
    <t>270349</t>
  </si>
  <si>
    <t>Новогоднее украшение. Елочный стеклянный шар  "Мишка и бельчонок у ёлки", 8 см,  соб.разб. НУ-0691</t>
  </si>
  <si>
    <t>НУ-0691</t>
  </si>
  <si>
    <t>4680942608739</t>
  </si>
  <si>
    <t>270351</t>
  </si>
  <si>
    <t>Новогоднее украшение. Елочный стеклянный шар  "Мишка с корзинкой", 8 см,  соб.разб. НУ-0693</t>
  </si>
  <si>
    <t>НУ-0693</t>
  </si>
  <si>
    <t>4680942608753</t>
  </si>
  <si>
    <t>270348</t>
  </si>
  <si>
    <t>Новогоднее украшение. Елочный стеклянный шар  "Снегурочка у ёлки", 8 см,  соб.разб. НУ-0690</t>
  </si>
  <si>
    <t>НУ-0690</t>
  </si>
  <si>
    <t>4680942608722</t>
  </si>
  <si>
    <t>КОЛЛЕКЦИЯ "СИЯЮЩИЕ  УЗОРЫ"</t>
  </si>
  <si>
    <t>227628</t>
  </si>
  <si>
    <t>Новогоднее украшение. Елочный стеклянный шар  "Сияющий узор",8см, синий (соб.разб.) НУ-7600</t>
  </si>
  <si>
    <t>НУ-7600</t>
  </si>
  <si>
    <t>4670159167617</t>
  </si>
  <si>
    <t>227631</t>
  </si>
  <si>
    <t>Новогоднее украшение. Елочный стеклянный шар  "Сияющий узор",8см,белый (соб.разб.) НУ-7603</t>
  </si>
  <si>
    <t>НУ-7603</t>
  </si>
  <si>
    <t>4670159167648</t>
  </si>
  <si>
    <t>227630</t>
  </si>
  <si>
    <t>Новогоднее украшение. Елочный стеклянный шар  "Сияющий узор",8см,голубой (соб.разб.) НУ-7602</t>
  </si>
  <si>
    <t>НУ-7602</t>
  </si>
  <si>
    <t>4670159167631</t>
  </si>
  <si>
    <t>227629</t>
  </si>
  <si>
    <t>Новогоднее украшение. Елочный стеклянный шар  "Сияющий узор",8см,красный (соб.разб.) НУ-7601</t>
  </si>
  <si>
    <t>НУ-7601</t>
  </si>
  <si>
    <t>4670159167624</t>
  </si>
  <si>
    <t>246244</t>
  </si>
  <si>
    <t>Новогоднее украшение. Набор ёлочных стеклянных шаров  КОЛЛЕКЦИЯ "СИЯЮЩИЕ  УЗОРЫ", 3 шт НУ-2154</t>
  </si>
  <si>
    <t>НУ-2154</t>
  </si>
  <si>
    <t>4640306921560</t>
  </si>
  <si>
    <t>КОЛЛЕКЦИЯ "СНЕГИРИ"</t>
  </si>
  <si>
    <t>227634</t>
  </si>
  <si>
    <t>Новогоднее украшение. Елочный стеклянный шар  "Зимний снегирь",8см (соб.разб.) НУ-7605</t>
  </si>
  <si>
    <t>НУ-7605</t>
  </si>
  <si>
    <t>4670159167662</t>
  </si>
  <si>
    <t>227635</t>
  </si>
  <si>
    <t>Новогоднее украшение. Елочный стеклянный шар  "Снегири на ёлочке",8см (соб.разб.) НУ-7606</t>
  </si>
  <si>
    <t>НУ-7606</t>
  </si>
  <si>
    <t>4670159167679</t>
  </si>
  <si>
    <t>227633</t>
  </si>
  <si>
    <t>Новогоднее украшение. Елочный стеклянный шар  "Снегирь на веточке",8см (соб.разб.) НУ-7604</t>
  </si>
  <si>
    <t>НУ-7604</t>
  </si>
  <si>
    <t>4670159167655</t>
  </si>
  <si>
    <t>227636</t>
  </si>
  <si>
    <t>Новогоднее украшение. Елочный стеклянный шар  "Снегирь с бантиком",8см (соб.разб.) НУ-7607</t>
  </si>
  <si>
    <t>НУ-7607</t>
  </si>
  <si>
    <t>4670159167686</t>
  </si>
  <si>
    <t>246242</t>
  </si>
  <si>
    <t>Новогоднее украшение. Набор ёлочных стеклянных шаров  КОЛЛЕКЦИЯ "СНЕГИРИ", 4 шт НУ-2152</t>
  </si>
  <si>
    <t>НУ-2152</t>
  </si>
  <si>
    <t>4640306921546</t>
  </si>
  <si>
    <t>КОЛЛЕКЦИЯ "СНЕЖИНКИ"</t>
  </si>
  <si>
    <t>227657</t>
  </si>
  <si>
    <t>Новогоднее украшение. Елочный стеклянный шар  "Вихрь снежинок",8см (соб.разб.) НУ-7622</t>
  </si>
  <si>
    <t>НУ-7622</t>
  </si>
  <si>
    <t>4670159167839</t>
  </si>
  <si>
    <t>227654</t>
  </si>
  <si>
    <t>Новогоднее украшение. Елочный стеклянный шар  "Зимние узоры",8см (соб.разб.) НУ-7620</t>
  </si>
  <si>
    <t>НУ-7620</t>
  </si>
  <si>
    <t>4670159167815</t>
  </si>
  <si>
    <t>227656</t>
  </si>
  <si>
    <t>Новогоднее украшение. Елочный стеклянный шар  "Красивые снежинки",8см (соб.разб.) НУ-7621</t>
  </si>
  <si>
    <t>НУ-7621</t>
  </si>
  <si>
    <t>4670159167822</t>
  </si>
  <si>
    <t>227658</t>
  </si>
  <si>
    <t>Новогоднее украшение. Елочный стеклянный шар  "Ледяные узоры",8см (соб.разб.) НУ-7623</t>
  </si>
  <si>
    <t>НУ-7623</t>
  </si>
  <si>
    <t>4670159167846</t>
  </si>
  <si>
    <t>246241</t>
  </si>
  <si>
    <t>Новогоднее украшение. Набор ёлочных стеклянных шаров  КОЛЛЕКЦИЯ "СНЕЖИНКИ", 4 шт НУ-2151</t>
  </si>
  <si>
    <t>НУ-2151</t>
  </si>
  <si>
    <t>4640306921539</t>
  </si>
  <si>
    <t>КОЛЛЕКЦИЯ "ТАИНСТВЕННАЯ"</t>
  </si>
  <si>
    <t>227702</t>
  </si>
  <si>
    <t>Новогоднее украшение. Елочный стеклянный шар  "Волшебная  искра",8см (соб.разб.) НУ-7655</t>
  </si>
  <si>
    <t>НУ-7655</t>
  </si>
  <si>
    <t>4670159168164</t>
  </si>
  <si>
    <t>227700</t>
  </si>
  <si>
    <t>Новогоднее украшение. Елочный стеклянный шар  "Волшебный мотылёк",8см (соб.разб.) НУ-7653</t>
  </si>
  <si>
    <t>НУ-7653</t>
  </si>
  <si>
    <t>4670159168140</t>
  </si>
  <si>
    <t>227701</t>
  </si>
  <si>
    <t>Новогоднее украшение. Елочный стеклянный шар  "Волшебный филин",8см (соб.разб.) НУ-7654</t>
  </si>
  <si>
    <t>НУ-7654</t>
  </si>
  <si>
    <t>4670159168157</t>
  </si>
  <si>
    <t>227698</t>
  </si>
  <si>
    <t>Новогоднее украшение. Елочный стеклянный шар  "Волшебный фонарь",8см (соб.разб.) НУ-7652</t>
  </si>
  <si>
    <t>НУ-7652</t>
  </si>
  <si>
    <t>4670159168133</t>
  </si>
  <si>
    <t>КОЛЛЕКЦИЯ "ЩЕЛКУНЧИК"</t>
  </si>
  <si>
    <t>232279</t>
  </si>
  <si>
    <t>Новог. украш. Елочный стеклян.шар "Сказочное приключение" 8см (соб.разб.) Щелкунчик НУ-8000</t>
  </si>
  <si>
    <t>НУ-8000</t>
  </si>
  <si>
    <t>4670159184454</t>
  </si>
  <si>
    <t>232282</t>
  </si>
  <si>
    <t>Новогоднее украшение. Елочный стеклянный шар "Мари", 8см(соб.разб.) НУ-8003</t>
  </si>
  <si>
    <t>НУ-8003</t>
  </si>
  <si>
    <t>4670159184485</t>
  </si>
  <si>
    <t>232281</t>
  </si>
  <si>
    <t>Новогоднее украшение. Елочный стеклянный шар "Щелкунчик", 8см (соб.разб.) Щелкунчик НУ-8002</t>
  </si>
  <si>
    <t>НУ-8002</t>
  </si>
  <si>
    <t>4670159184478</t>
  </si>
  <si>
    <t>232280</t>
  </si>
  <si>
    <t>Новогоднее украшение.Елочный стеклянный шар "Волшебный танец"8см(соб.раз.) Щелкунчик НУ-8001</t>
  </si>
  <si>
    <t>НУ-8001</t>
  </si>
  <si>
    <t>4670159184461</t>
  </si>
  <si>
    <t>2 Шары пластиковые</t>
  </si>
  <si>
    <t>1 Шары ( d-3см )</t>
  </si>
  <si>
    <t>187064</t>
  </si>
  <si>
    <t>Набор ёлочных шаров 24 шт Новогоднее настроение, 3 см, красный НУ-5618</t>
  </si>
  <si>
    <t>НУ-5618</t>
  </si>
  <si>
    <t>4620129751186</t>
  </si>
  <si>
    <t>187061</t>
  </si>
  <si>
    <t>Набор ёлочных шаров 24 шт Новогоднее настроение, 3 см, розовый НУ-5616</t>
  </si>
  <si>
    <t>НУ-5616</t>
  </si>
  <si>
    <t>4620129751162</t>
  </si>
  <si>
    <t>187059</t>
  </si>
  <si>
    <t>Набор ёлочных шаров 24 шт Новогоднее настроение, 3 см, серебряный НУ-5614</t>
  </si>
  <si>
    <t>НУ-5614</t>
  </si>
  <si>
    <t>4620129751148</t>
  </si>
  <si>
    <t>187058</t>
  </si>
  <si>
    <t>Набор ёлочных шаров 54 шт Волшебство, 3 см, голубой, серебряный НУ-5613</t>
  </si>
  <si>
    <t>НУ-5613</t>
  </si>
  <si>
    <t>4620129751131</t>
  </si>
  <si>
    <t>187055</t>
  </si>
  <si>
    <t>Набор ёлочных шаров 64 шт Волшебство, 3 см, красный, зеленый, золотой НУ-5612</t>
  </si>
  <si>
    <t>НУ-5612</t>
  </si>
  <si>
    <t>4620129751124</t>
  </si>
  <si>
    <t>187054</t>
  </si>
  <si>
    <t>Набор ёлочных шаров 64 шт Волшебство, 3 см, модные оттенки НУ-5611</t>
  </si>
  <si>
    <t>НУ-5611</t>
  </si>
  <si>
    <t>4620129751117</t>
  </si>
  <si>
    <t>082759</t>
  </si>
  <si>
    <t>Набор новогодних украшений,3 см Чудесный Новый год, золотой, 13 шт. НУ-4417</t>
  </si>
  <si>
    <t>НУ-4417</t>
  </si>
  <si>
    <t>4665303244177</t>
  </si>
  <si>
    <t>082757</t>
  </si>
  <si>
    <t>Набор новогодних украшений,3 см Чудесный Новый год, красный, 13 шт. НУ-4416</t>
  </si>
  <si>
    <t>НУ-4416</t>
  </si>
  <si>
    <t>4665303244160</t>
  </si>
  <si>
    <t>163919</t>
  </si>
  <si>
    <t>Новогоднее украшение. Набор белых ёлочных шаров 3 см 12 шт НУ-5357</t>
  </si>
  <si>
    <t>НУ-5357</t>
  </si>
  <si>
    <t>4680088498577</t>
  </si>
  <si>
    <t>163916</t>
  </si>
  <si>
    <t>Новогоднее украшение. Набор синих ёлочных шаров 3 см 12 шт НУ-5356</t>
  </si>
  <si>
    <t>НУ-5356</t>
  </si>
  <si>
    <t>4680088498560</t>
  </si>
  <si>
    <t>2 Шары ( d-4см )</t>
  </si>
  <si>
    <t>1 Наборы 12 шт</t>
  </si>
  <si>
    <t>103692</t>
  </si>
  <si>
    <t xml:space="preserve"> Набор ёлочных шаров 12 шт Красивый домик,4 см, золотой НУ-0460</t>
  </si>
  <si>
    <t>НУ-0460</t>
  </si>
  <si>
    <t>4665306704609</t>
  </si>
  <si>
    <t>103695</t>
  </si>
  <si>
    <t>Набор ёлочных шаров 12 шт Красивый домик,4 см, золотой,красный НУ-0463</t>
  </si>
  <si>
    <t>НУ-0463</t>
  </si>
  <si>
    <t>4665306704630</t>
  </si>
  <si>
    <t>187105</t>
  </si>
  <si>
    <t>Набор ёлочных шаров 12 шт Новогодняя нежность, 4 см НУ-5634</t>
  </si>
  <si>
    <t>НУ-5634</t>
  </si>
  <si>
    <t>4620129751346</t>
  </si>
  <si>
    <t>187075</t>
  </si>
  <si>
    <t>Набор ёлочных шаров 12 шт Чудеса, 4 см, золотой НУ-5621</t>
  </si>
  <si>
    <t>НУ-5621</t>
  </si>
  <si>
    <t>4620129751216</t>
  </si>
  <si>
    <t>187102</t>
  </si>
  <si>
    <t>Набор ёлочных шаров 12 шт Чудеса, 4 см, нежные оттенки НУ-5633</t>
  </si>
  <si>
    <t>НУ-5633</t>
  </si>
  <si>
    <t>4620129751339</t>
  </si>
  <si>
    <t>187082</t>
  </si>
  <si>
    <t>Набор ёлочных шаров 12 шт Чудеса, 4 см, серебряный с узором НУ-5623</t>
  </si>
  <si>
    <t>НУ-5623</t>
  </si>
  <si>
    <t>4620129751230</t>
  </si>
  <si>
    <t>187093</t>
  </si>
  <si>
    <t>Набор ёлочных шаров 12 шт Чудеса, 4 см, черный с узором НУ-5629</t>
  </si>
  <si>
    <t>НУ-5629</t>
  </si>
  <si>
    <t>4620129751292</t>
  </si>
  <si>
    <t>203583</t>
  </si>
  <si>
    <t>Новогоднее украшение. Набор серебрянных ёлочных шаров 4 см 12 шт  НУ-3604</t>
  </si>
  <si>
    <t>НУ-3604</t>
  </si>
  <si>
    <t>4670159036043</t>
  </si>
  <si>
    <t>163922</t>
  </si>
  <si>
    <t>Новогоднее украшение. Набор синих ёлочных шаров 4 см 12 шт НУ-5358</t>
  </si>
  <si>
    <t>НУ-5358</t>
  </si>
  <si>
    <t>4680088498584</t>
  </si>
  <si>
    <t>2 Наборы 20 шт</t>
  </si>
  <si>
    <t>103698</t>
  </si>
  <si>
    <t xml:space="preserve">  Набор ёлочных шаров 20 шт Весёлый праздник!,4 см, красный НУ-0466</t>
  </si>
  <si>
    <t>НУ-0466</t>
  </si>
  <si>
    <t>4665306704661</t>
  </si>
  <si>
    <t>103697</t>
  </si>
  <si>
    <t xml:space="preserve"> Набор ёлочных шаров 20 шт Весёлый праздник!,4 см, золотой НУ-0465</t>
  </si>
  <si>
    <t>НУ-0465</t>
  </si>
  <si>
    <t>4665306704654</t>
  </si>
  <si>
    <t>103699</t>
  </si>
  <si>
    <t xml:space="preserve"> Набор ёлочных шаров 20 шт Весёлый праздник!,4 см, красный,золотой НУ-0467</t>
  </si>
  <si>
    <t>НУ-0467</t>
  </si>
  <si>
    <t>4665306704678</t>
  </si>
  <si>
    <t>103700</t>
  </si>
  <si>
    <t xml:space="preserve"> Набор ёлочных шаров 20 шт Весёлый праздник!,4 см, синий НУ-0468</t>
  </si>
  <si>
    <t>НУ-0468</t>
  </si>
  <si>
    <t>4665306704685</t>
  </si>
  <si>
    <t>203523</t>
  </si>
  <si>
    <t>Набор ёлочных шаров 24 шт Новогоднее настроение, 4 см, красный  (мат, глянец, глиттер) НУ-3433</t>
  </si>
  <si>
    <t>НУ-3433</t>
  </si>
  <si>
    <t>4670159024330</t>
  </si>
  <si>
    <t>187072</t>
  </si>
  <si>
    <t>Набор ёлочных шаров 24 шт Новогоднее настроение, 4 см, розовый НУ-5620</t>
  </si>
  <si>
    <t>НУ-5620</t>
  </si>
  <si>
    <t>4620129751209</t>
  </si>
  <si>
    <t>203527</t>
  </si>
  <si>
    <t>Набор ёлочных шаров 24 шт Новогоднее настроение, 4 см, синий (мат, глянец, глиттер) НУ-3434</t>
  </si>
  <si>
    <t>НУ-3434</t>
  </si>
  <si>
    <t>4670159024347</t>
  </si>
  <si>
    <t>203539</t>
  </si>
  <si>
    <t>Набор ёлочных шаров 25 шт Новогоднее настроение, 4 см,сереб/син (мат,гл, глит,.морозн.узор) НУ-3437</t>
  </si>
  <si>
    <t>НУ-3437</t>
  </si>
  <si>
    <t>4670159024378</t>
  </si>
  <si>
    <t>3 Шары ( d-5cм )</t>
  </si>
  <si>
    <t>1 Наборы 24 шт</t>
  </si>
  <si>
    <t>187133</t>
  </si>
  <si>
    <t>Набор ёлочных шаров 24 шт Новогоднее настроение, 5 см, золотой НУ-5640</t>
  </si>
  <si>
    <t>НУ-5640</t>
  </si>
  <si>
    <t>4620129751407</t>
  </si>
  <si>
    <t>203542</t>
  </si>
  <si>
    <t>Набор ёлочных шаров 24 шт Новогоднее настроение, 5 см, красный НУ-3438</t>
  </si>
  <si>
    <t>НУ-3438</t>
  </si>
  <si>
    <t>4670159024385</t>
  </si>
  <si>
    <t>187110</t>
  </si>
  <si>
    <t>Набор ёлочных шаров 24 шт Новогоднее настроение, 5 см, насыщенный розовый НУ-5635</t>
  </si>
  <si>
    <t>НУ-5635</t>
  </si>
  <si>
    <t>4620129751353</t>
  </si>
  <si>
    <t>187130</t>
  </si>
  <si>
    <t>Набор ёлочных шаров 24 шт Новогоднее настроение, 5 см, синий НУ-5639</t>
  </si>
  <si>
    <t>НУ-5639</t>
  </si>
  <si>
    <t>4620129751391</t>
  </si>
  <si>
    <t>2 Другие</t>
  </si>
  <si>
    <t>186960</t>
  </si>
  <si>
    <t>Набор ёлочных шаров 18 шт Сюрприз, 5 см, золотой НУ-6069</t>
  </si>
  <si>
    <t>НУ-6069</t>
  </si>
  <si>
    <t>4620129750691</t>
  </si>
  <si>
    <t>4 Шары ( d-6см )</t>
  </si>
  <si>
    <t>1 Наборы 6 шт</t>
  </si>
  <si>
    <t>046765</t>
  </si>
  <si>
    <t>Набор новогодних  красных матовых шаров с узором "Снежинка" 6 см (6 шт.) НУ-6954</t>
  </si>
  <si>
    <t>НУ-6954</t>
  </si>
  <si>
    <t>4665299569544</t>
  </si>
  <si>
    <t>275576</t>
  </si>
  <si>
    <t>Набор новогодних елочных шаров "Арктический блеск", 6 см, 6 шт, присыпка, серебряный ШЕН-4029</t>
  </si>
  <si>
    <t>ШЕН-4029</t>
  </si>
  <si>
    <t>4680942640296</t>
  </si>
  <si>
    <t>275573</t>
  </si>
  <si>
    <t>Набор новогодних елочных шаров "Звездная ночь", 6 см, 6 шт, присыпка, синий ШЕН-4026</t>
  </si>
  <si>
    <t>ШЕН-4026</t>
  </si>
  <si>
    <t>4680942640265</t>
  </si>
  <si>
    <t>275582</t>
  </si>
  <si>
    <t>Набор новогодних елочных шаров "Золотая искра", 6 см, 6 шт, присыпка, золотой ШЕН-4035</t>
  </si>
  <si>
    <t>ШЕН-4035</t>
  </si>
  <si>
    <t>4680942640357</t>
  </si>
  <si>
    <t>251465</t>
  </si>
  <si>
    <t>Набор новогодних елочных шаров "Красные звёзды", 6 см, 6 шт, пластик НУ-2667</t>
  </si>
  <si>
    <t>НУ-2667</t>
  </si>
  <si>
    <t>4640306926503</t>
  </si>
  <si>
    <t>046803</t>
  </si>
  <si>
    <t>Набор новогодних золотых ёлочных шаров "Шёлк, бархат, люрекс" 6 см  (6 шт.) НУ-6990</t>
  </si>
  <si>
    <t>НУ-6990</t>
  </si>
  <si>
    <t>4665299569902</t>
  </si>
  <si>
    <t>046792</t>
  </si>
  <si>
    <t>Набор новогодних красных, золотых, серебряных шаров "Шёлк, бархат и люрекс" 6 см (6 шт.) НУ-6979</t>
  </si>
  <si>
    <t>НУ-6979</t>
  </si>
  <si>
    <t>4665299569797</t>
  </si>
  <si>
    <t>046755</t>
  </si>
  <si>
    <t>Набор новогодних матовых ёлочных шаров "Красный бархат" 6 см (6 шт.) НУ-6949</t>
  </si>
  <si>
    <t>НУ-6949</t>
  </si>
  <si>
    <t>4665299569490</t>
  </si>
  <si>
    <t>046799</t>
  </si>
  <si>
    <t>Набор новогодних матовых ёлочных шаров "Серебряный бархат" 6 см (6 шт.) НУ-6986</t>
  </si>
  <si>
    <t>НУ-6986</t>
  </si>
  <si>
    <t>4665299569865</t>
  </si>
  <si>
    <t>046814</t>
  </si>
  <si>
    <t>Набор новогодних матовых ёлочных шаров "Синий бархат" 6 см  (6 шт.) НУ-6997</t>
  </si>
  <si>
    <t>НУ-6997</t>
  </si>
  <si>
    <t>4665299569971</t>
  </si>
  <si>
    <t>046796</t>
  </si>
  <si>
    <t>Набор новогодних матовых ёлочных шаров синий/серебро "Серебряный бархат" 6 см (6 шт.) НУ-6983</t>
  </si>
  <si>
    <t>НУ-6983</t>
  </si>
  <si>
    <t>4665299569834</t>
  </si>
  <si>
    <t>200524</t>
  </si>
  <si>
    <t>Новогоднее украшение Набор золотых дискошаров  6 см 6 шт НШ-1433</t>
  </si>
  <si>
    <t>НШ-1433</t>
  </si>
  <si>
    <t>4670159014331</t>
  </si>
  <si>
    <t>163945</t>
  </si>
  <si>
    <t>Новогоднее украшение Набор серебряных дискошаров 6 см 6 шт НУ-2491</t>
  </si>
  <si>
    <t>НУ-2491</t>
  </si>
  <si>
    <t>4610144814911</t>
  </si>
  <si>
    <t>163936</t>
  </si>
  <si>
    <t>Новогоднее украшение. Набор серебряных спиральных шаров 6 см 6 шт НУ-5364</t>
  </si>
  <si>
    <t>НУ-5364</t>
  </si>
  <si>
    <t>4680088498645</t>
  </si>
  <si>
    <t>200464</t>
  </si>
  <si>
    <t>Новогоднее украшение.Набор  ёлочных шаров 6см. Брызги шампанского Шампань, 6 шт НШ-1400</t>
  </si>
  <si>
    <t>НШ-1400</t>
  </si>
  <si>
    <t>4670159014003</t>
  </si>
  <si>
    <t>2 Наборы 12 шт</t>
  </si>
  <si>
    <t>258181</t>
  </si>
  <si>
    <t xml:space="preserve"> Набор бордовых ёлочных шаров "Бархатный узор", 6 см, 12 шт НУ-7504</t>
  </si>
  <si>
    <t>НУ-7504</t>
  </si>
  <si>
    <t>4630493776098</t>
  </si>
  <si>
    <t>187148</t>
  </si>
  <si>
    <t>Набор ёлочных шаров 12 шт Чудеса, 6 см, серебряный с узором НУ-4187</t>
  </si>
  <si>
    <t>НУ-4187</t>
  </si>
  <si>
    <t>4620129749886</t>
  </si>
  <si>
    <t>082746</t>
  </si>
  <si>
    <t>Набор золотых новогодних украшений, 6 см Снеговик, 12 шт. НУ-4408</t>
  </si>
  <si>
    <t>НУ-4408</t>
  </si>
  <si>
    <t>4665303244085</t>
  </si>
  <si>
    <t>200398</t>
  </si>
  <si>
    <t>Новогоднее украшение Набор ёлочных шаров "Метель" 12 шт 6 см, голубой НШ-1521</t>
  </si>
  <si>
    <t>НШ-1521</t>
  </si>
  <si>
    <t>4670159015215</t>
  </si>
  <si>
    <t>200399</t>
  </si>
  <si>
    <t>Новогоднее украшение Набор ёлочных шаров "Метель" 12 шт 6 см, серебристый НШ-1522</t>
  </si>
  <si>
    <t>НШ-1522</t>
  </si>
  <si>
    <t>4670159015222</t>
  </si>
  <si>
    <t>200396</t>
  </si>
  <si>
    <t>Новогоднее украшение Набор ёлочных шаров "Мечта" 12 шт 6 см, красный НШ-1514</t>
  </si>
  <si>
    <t>НШ-1514</t>
  </si>
  <si>
    <t>4670159015147</t>
  </si>
  <si>
    <t>200393</t>
  </si>
  <si>
    <t>Новогоднее украшение Набор ёлочных шаров "Ожидание" 12 шт 6 см, голубой НШ-1511</t>
  </si>
  <si>
    <t>НШ-1511</t>
  </si>
  <si>
    <t>4670159015116</t>
  </si>
  <si>
    <t>200391</t>
  </si>
  <si>
    <t>Новогоднее украшение Набор ёлочных шаров "Ожидание" 12 шт 6 см, золотистый НШ-1509</t>
  </si>
  <si>
    <t>НШ-1509</t>
  </si>
  <si>
    <t>4670159015093</t>
  </si>
  <si>
    <t>200390</t>
  </si>
  <si>
    <t>Новогоднее украшение Набор ёлочных шаров "Ожидание" 12 шт 6 см, красный НШ-1508</t>
  </si>
  <si>
    <t>НШ-1508</t>
  </si>
  <si>
    <t>4670159015086</t>
  </si>
  <si>
    <t>200392</t>
  </si>
  <si>
    <t>Новогоднее украшение Набор ёлочных шаров "Ожидание" 12 шт 6 см, розовый НШ-1510</t>
  </si>
  <si>
    <t>НШ-1510</t>
  </si>
  <si>
    <t>4670159015109</t>
  </si>
  <si>
    <t>200394</t>
  </si>
  <si>
    <t>Новогоднее украшение Набор ёлочных шаров "Ожидание" 12 шт 6 см, серебристый НШ-1512</t>
  </si>
  <si>
    <t>НШ-1512</t>
  </si>
  <si>
    <t>4670159015123</t>
  </si>
  <si>
    <t>213544</t>
  </si>
  <si>
    <t>Новогоднее украшение. Набор ёлочных шаров ( 12шт, 6см)с бусами на ёлку(2 шт,2м*4мм)розовый.НУ-7794</t>
  </si>
  <si>
    <t>НУ-7794</t>
  </si>
  <si>
    <t>4670159077947</t>
  </si>
  <si>
    <t>4 Наборы 20 шт</t>
  </si>
  <si>
    <t>200371</t>
  </si>
  <si>
    <t>Новогоднее украшение Набор ёлочных шаров "Голубая лагуна" 20 шт, 6 см НШ-1490</t>
  </si>
  <si>
    <t>НШ-1490</t>
  </si>
  <si>
    <t>4670159014904</t>
  </si>
  <si>
    <t>200373</t>
  </si>
  <si>
    <t>Новогоднее украшение Набор ёлочных шаров "Роскошь" 20 шт, 6 см, серебристый НШ-1492</t>
  </si>
  <si>
    <t>НШ-1492</t>
  </si>
  <si>
    <t>4670159014928</t>
  </si>
  <si>
    <t>274908</t>
  </si>
  <si>
    <t>Новогоднее украшение. Набор ёлочных шаров "Красная сказка" 20 шт, 6 см, красный НУШ-3112</t>
  </si>
  <si>
    <t>НУШ-3112</t>
  </si>
  <si>
    <t>4680942631126</t>
  </si>
  <si>
    <t>5 Наборы 25 шт</t>
  </si>
  <si>
    <t>187155</t>
  </si>
  <si>
    <t>Набор ёлочных шаров 25 шт Мечта, 6 см, розовый, серебряный НУ-4191</t>
  </si>
  <si>
    <t>НУ-4191</t>
  </si>
  <si>
    <t>4620129749923</t>
  </si>
  <si>
    <t>274914</t>
  </si>
  <si>
    <t>Новогоднее украшение. Набор  ёлочных шаров "Бордовые линии" 24 шт 6 см, бордовый НУШ-3117</t>
  </si>
  <si>
    <t>НУШ-3117</t>
  </si>
  <si>
    <t>4680942631171</t>
  </si>
  <si>
    <t>6 Наборы 30 шт</t>
  </si>
  <si>
    <t>187346</t>
  </si>
  <si>
    <t>Набор ёлочных шаров 30 шт Праздник в голубых оттенках, 6 см НУ-4203</t>
  </si>
  <si>
    <t>НУ-4203</t>
  </si>
  <si>
    <t>4620129750042</t>
  </si>
  <si>
    <t>187339</t>
  </si>
  <si>
    <t>Набор ёлочных шаров 30 шт Праздник в модных оттенках, 6 см НУ-4202</t>
  </si>
  <si>
    <t>НУ-4202</t>
  </si>
  <si>
    <t>4620129750035</t>
  </si>
  <si>
    <t>7 Наборы 36 шт</t>
  </si>
  <si>
    <t>187169</t>
  </si>
  <si>
    <t>Набор ёлочных шаров 36 шт Фейерверк, 6 см, золотой НУ-4199</t>
  </si>
  <si>
    <t>НУ-4199</t>
  </si>
  <si>
    <t>4620129750004</t>
  </si>
  <si>
    <t>5 Шары ( d-7см)</t>
  </si>
  <si>
    <t>200374</t>
  </si>
  <si>
    <t>Новогоднее украшение Набор ёлочных шаров "Триумф" 12 шт, 7 см, золотистый НШ-1493</t>
  </si>
  <si>
    <t>НШ-1493</t>
  </si>
  <si>
    <t>4670159014935</t>
  </si>
  <si>
    <t>200376</t>
  </si>
  <si>
    <t>Новогоднее украшение Набор ёлочных шаров "Триумф" 12 шт, 7 см, красный НШ-1495</t>
  </si>
  <si>
    <t>НШ-1495</t>
  </si>
  <si>
    <t>4670159014959</t>
  </si>
  <si>
    <t>200375</t>
  </si>
  <si>
    <t>Новогоднее украшение Набор ёлочных шаров "Триумф" 12 шт, 7 см, серебристый НШ-1494</t>
  </si>
  <si>
    <t>НШ-1494</t>
  </si>
  <si>
    <t>4670159014942</t>
  </si>
  <si>
    <t>200377</t>
  </si>
  <si>
    <t>Новогоднее украшение Набор ёлочных шаров "Триумф" 12 шт, 7 см, синий НШ-1496</t>
  </si>
  <si>
    <t>НШ-1496</t>
  </si>
  <si>
    <t>4670159014966</t>
  </si>
  <si>
    <t>6 Шары ( d-8см )</t>
  </si>
  <si>
    <t>1 Наборы 3 шт</t>
  </si>
  <si>
    <t>274936</t>
  </si>
  <si>
    <t>Новогоднее украшение. Набор ёлочных шаров "Перламутр" 3 шт 8 см, красный НУШ-3133</t>
  </si>
  <si>
    <t>НУШ-3133</t>
  </si>
  <si>
    <t>4680942631331</t>
  </si>
  <si>
    <t>2 Наборы 4 шт</t>
  </si>
  <si>
    <t>187177</t>
  </si>
  <si>
    <t>Набор ёлочных шаров 4 шт  Перламутровый узор, 8 см НУ-5643</t>
  </si>
  <si>
    <t>НУ-5643</t>
  </si>
  <si>
    <t>4620129751438</t>
  </si>
  <si>
    <t>251503</t>
  </si>
  <si>
    <t>Набор новогодних елочных шаров "Белый узор на красном", 8 см, 4 шт, пластик НУ-2677</t>
  </si>
  <si>
    <t>НУ-2677</t>
  </si>
  <si>
    <t>4640306926602</t>
  </si>
  <si>
    <t>046781</t>
  </si>
  <si>
    <t>Набор новогодних матовых ёлочных шаров "Красный бархат"8 см (4 шт.) НУ-6970</t>
  </si>
  <si>
    <t>НУ-6970</t>
  </si>
  <si>
    <t>4665299569704</t>
  </si>
  <si>
    <t>3 Наборы 6 шт</t>
  </si>
  <si>
    <t>251505</t>
  </si>
  <si>
    <t>Набор новогодних елочных шаров "Блестящие белые шарики", 8 см, 6 шт, пластик НУ-2679</t>
  </si>
  <si>
    <t>НУ-2679</t>
  </si>
  <si>
    <t>4640306926626</t>
  </si>
  <si>
    <t>251504</t>
  </si>
  <si>
    <t>Набор новогодних елочных шаров "Жемчуг", 8 см, 6 шт, пластик НУ-2678</t>
  </si>
  <si>
    <t>НУ-2678</t>
  </si>
  <si>
    <t>4640306926619</t>
  </si>
  <si>
    <t>275568</t>
  </si>
  <si>
    <t>Набор новогодних елочных шаров "Звезда", 8 см, 6 шт, присыпка, золотой ШЕН-4022</t>
  </si>
  <si>
    <t>ШЕН-4022</t>
  </si>
  <si>
    <t>4680942640227</t>
  </si>
  <si>
    <t>251474</t>
  </si>
  <si>
    <t>Набор новогодних елочных шаров "Зимний узор", 8 см, 6 шт, пластик НУ-2687</t>
  </si>
  <si>
    <t>НУ-2687</t>
  </si>
  <si>
    <t>4640306926589</t>
  </si>
  <si>
    <t>251506</t>
  </si>
  <si>
    <t>Набор новогодних елочных шаров "Золотистые звезды", 8 см, 6 шт, пластик НУ-2680</t>
  </si>
  <si>
    <t>НУ-2680</t>
  </si>
  <si>
    <t>4640306926633</t>
  </si>
  <si>
    <t>275563</t>
  </si>
  <si>
    <t>Набор новогодних елочных шаров "Мороз", 8 см, 6 шт, матовый, серебряный ШЕН-4017</t>
  </si>
  <si>
    <t>ШЕН-4017</t>
  </si>
  <si>
    <t>4680942640173</t>
  </si>
  <si>
    <t>275562</t>
  </si>
  <si>
    <t>Набор новогодних елочных шаров "Снегопад", 8 см, 6 шт, присыпка, серебряный ШЕН-4016</t>
  </si>
  <si>
    <t>ШЕН-4016</t>
  </si>
  <si>
    <t>4680942640166</t>
  </si>
  <si>
    <t>275572</t>
  </si>
  <si>
    <t>Набор новогодних елочных шаров "Снежный", 8 см, 6 шт, матовый, белый ШЕН-4025</t>
  </si>
  <si>
    <t>ШЕН-4025</t>
  </si>
  <si>
    <t>4680942640258</t>
  </si>
  <si>
    <t>275571</t>
  </si>
  <si>
    <t>Набор новогодних елочных шаров "Торжество", 8 см, 6 шт, глянец, золотой ШЕН-4024</t>
  </si>
  <si>
    <t>ШЕН-4024</t>
  </si>
  <si>
    <t>4680942640241</t>
  </si>
  <si>
    <t>275564</t>
  </si>
  <si>
    <t>Набор новогодних елочных шаров "Хрусталь", 8 см, 6 шт, глянец, серебряный ШЕН-4018</t>
  </si>
  <si>
    <t>ШЕН-4018</t>
  </si>
  <si>
    <t>4680942640180</t>
  </si>
  <si>
    <t>275565</t>
  </si>
  <si>
    <t>Набор новогодних елочных шаров "Элегантный", 8 см, 6 шт, присыпка, красный ШЕН-4019</t>
  </si>
  <si>
    <t>ШЕН-4019</t>
  </si>
  <si>
    <t>4680942640197</t>
  </si>
  <si>
    <t>046812</t>
  </si>
  <si>
    <t>Набор новогодних золотых ёлочных шаров "Шёлк, бархат, люрекс" 8 см  (6 шт.) НУ-6995</t>
  </si>
  <si>
    <t>НУ-6995</t>
  </si>
  <si>
    <t>4665299569957</t>
  </si>
  <si>
    <t>046772</t>
  </si>
  <si>
    <t>Набор новогодних матовых ёлочных шаров "Красный бархат" 8 см (6 шт.) НУ-6961</t>
  </si>
  <si>
    <t>НУ-6961</t>
  </si>
  <si>
    <t>4665299569612</t>
  </si>
  <si>
    <t>046819</t>
  </si>
  <si>
    <t>Набор новогодних синих ёлочных шаров "Шёлк, бархат, люрекс" 8 см (6 шт.) НУ-7002</t>
  </si>
  <si>
    <t>НУ-7002</t>
  </si>
  <si>
    <t>4665299570021</t>
  </si>
  <si>
    <t>200525</t>
  </si>
  <si>
    <t>Новогоднее украшение Набор золотых дискошаров  8 см 6 шт НШ-1434</t>
  </si>
  <si>
    <t>НШ-1434</t>
  </si>
  <si>
    <t>4670159014348</t>
  </si>
  <si>
    <t>274910</t>
  </si>
  <si>
    <t>Новогоднее украшение. Набор ёлочных шаров "Волшебство" 6 шт, 8 см, красный НУШ-3113</t>
  </si>
  <si>
    <t>НУШ-3113</t>
  </si>
  <si>
    <t>4680942631133</t>
  </si>
  <si>
    <t>274940</t>
  </si>
  <si>
    <t>Новогоднее украшение. Набор ёлочных шаров "Зимний узор" 6 шт 8 см, красный НУШ-3137</t>
  </si>
  <si>
    <t>НУШ-3137</t>
  </si>
  <si>
    <t>4680942631379</t>
  </si>
  <si>
    <t>274920</t>
  </si>
  <si>
    <t>Новогоднее украшение. Набор ёлочных шаров "Снежинки" 6 шт 8 см, красный НУШ-3121</t>
  </si>
  <si>
    <t>НУШ-3121</t>
  </si>
  <si>
    <t>4680942631218</t>
  </si>
  <si>
    <t>163989</t>
  </si>
  <si>
    <t>Новогоднее украшение. Набор серебряных дискошаров 8 см 6 шт НУ-2493</t>
  </si>
  <si>
    <t>НУ-2493</t>
  </si>
  <si>
    <t>4610144814935</t>
  </si>
  <si>
    <t>4 Наборы 9 шт</t>
  </si>
  <si>
    <t>251467</t>
  </si>
  <si>
    <t>Набор новогодних елочных шаров "Золотистый узор", 8 см, 9 шт, пластик НУ-2668</t>
  </si>
  <si>
    <t>НУ-2668</t>
  </si>
  <si>
    <t>4640306926510</t>
  </si>
  <si>
    <t>5 Другие</t>
  </si>
  <si>
    <t>203557</t>
  </si>
  <si>
    <t>Новогоднее украшение. Елочный шар "Жемчужина", 8см НУ-3441</t>
  </si>
  <si>
    <t>НУ-3441</t>
  </si>
  <si>
    <t>4670159024415</t>
  </si>
  <si>
    <t>203563</t>
  </si>
  <si>
    <t>Новогоднее украшение. Елочный шар "Закат", 8см НУ-3444</t>
  </si>
  <si>
    <t>НУ-3444</t>
  </si>
  <si>
    <t>4670159024446</t>
  </si>
  <si>
    <t>203567</t>
  </si>
  <si>
    <t>Новогоднее украшение. Елочный шар "Иней", 8см НУ-3446</t>
  </si>
  <si>
    <t>НУ-3446</t>
  </si>
  <si>
    <t>4670159024460</t>
  </si>
  <si>
    <t>203561</t>
  </si>
  <si>
    <t>Новогоднее украшение. Елочный шар "Лазурь", 8см  НУ-3442</t>
  </si>
  <si>
    <t>НУ-3442</t>
  </si>
  <si>
    <t>4670159024422</t>
  </si>
  <si>
    <t>203562</t>
  </si>
  <si>
    <t>Новогоднее украшение. Елочный шар "Сияние", 8см НУ-3443</t>
  </si>
  <si>
    <t>НУ-3443</t>
  </si>
  <si>
    <t>4670159024439</t>
  </si>
  <si>
    <t>203580</t>
  </si>
  <si>
    <t>Новогоднее украшение.Набор елочных шаров 3 шт. "Россыпь" 8см НУ-3458</t>
  </si>
  <si>
    <t>НУ-3458</t>
  </si>
  <si>
    <t>4670159024583</t>
  </si>
  <si>
    <t>7 Шары ( d-10см )</t>
  </si>
  <si>
    <t>1 Наборы 2 шт</t>
  </si>
  <si>
    <t>103728</t>
  </si>
  <si>
    <t xml:space="preserve">  Набор ёлочных шаров 2 шт Праздничное настроение, d 10 см, d 10 см,золотой НУ-0497</t>
  </si>
  <si>
    <t>НУ-0497</t>
  </si>
  <si>
    <t>4665306704975</t>
  </si>
  <si>
    <t>103730</t>
  </si>
  <si>
    <t xml:space="preserve">  Набор ёлочных шаров 2 шт Праздничное настроение, d 10 см,серебряный НУ-0498</t>
  </si>
  <si>
    <t>НУ-0498</t>
  </si>
  <si>
    <t>4665306704982</t>
  </si>
  <si>
    <t>103732</t>
  </si>
  <si>
    <t xml:space="preserve">  Набор ёлочных шаров 2 шт Праздничное настроение, d 10 см,синий НУ-0499</t>
  </si>
  <si>
    <t>НУ-0499</t>
  </si>
  <si>
    <t>4665306704999</t>
  </si>
  <si>
    <t>187315</t>
  </si>
  <si>
    <t>Набор ёлочных шаров 2 шт Весёлых праздников!, d 10 см, золотой НУ-4160</t>
  </si>
  <si>
    <t>НУ-4160</t>
  </si>
  <si>
    <t>4620129749602</t>
  </si>
  <si>
    <t>103725</t>
  </si>
  <si>
    <t>Набор ёлочных шаров 2 шт Весёлых праздников!, d 10 см, серебряный НУ-0494</t>
  </si>
  <si>
    <t>НУ-0494</t>
  </si>
  <si>
    <t>4665306704944</t>
  </si>
  <si>
    <t>187317</t>
  </si>
  <si>
    <t>Набор ёлочных шаров 2 шт Весёлых праздников!, d 10 см, синий НУ-4162</t>
  </si>
  <si>
    <t>НУ-4162</t>
  </si>
  <si>
    <t>4620129749633</t>
  </si>
  <si>
    <t>2 Наборы 6 шт</t>
  </si>
  <si>
    <t>275597</t>
  </si>
  <si>
    <t>Набор новогодних елочных шаров "Белая искра", 10 см, 6 шт, матовый, белый ШЕН-4050</t>
  </si>
  <si>
    <t>ШЕН-4050</t>
  </si>
  <si>
    <t>4680942640500</t>
  </si>
  <si>
    <t>275585</t>
  </si>
  <si>
    <t>Набор новогодних елочных шаров "Золотая искра", 10 см, 6 шт, присыпка, синий ШЕН-4038</t>
  </si>
  <si>
    <t>ШЕН-4038</t>
  </si>
  <si>
    <t>4680942640388</t>
  </si>
  <si>
    <t>275589</t>
  </si>
  <si>
    <t>Набор новогодних елочных шаров "Иней",10 см, 6 шт, матовый, серебряный ШЕН-4042</t>
  </si>
  <si>
    <t>ШЕН-4042</t>
  </si>
  <si>
    <t>4680942640425</t>
  </si>
  <si>
    <t>275588</t>
  </si>
  <si>
    <t>Набор новогодних елочных шаров "Сияющий хром", 10 см, 6 шт, присыпка, серебряный ШЕН-4041</t>
  </si>
  <si>
    <t>ШЕН-4041</t>
  </si>
  <si>
    <t>4680942640418</t>
  </si>
  <si>
    <t>274943</t>
  </si>
  <si>
    <t>Новогоднее украшение. Набор ёлочных шаров "Новогоднее настроение" 6 шт 10 см, красный НУШ-3140</t>
  </si>
  <si>
    <t>НУШ-3140</t>
  </si>
  <si>
    <t>4680942631409</t>
  </si>
  <si>
    <t>275450</t>
  </si>
  <si>
    <t>Новогоднее подвесное украшение из акрила "Перламутровое чудо", 10 см НУП-3680</t>
  </si>
  <si>
    <t>НУП-3680</t>
  </si>
  <si>
    <t>4680942636800</t>
  </si>
  <si>
    <t>275449</t>
  </si>
  <si>
    <t>Новогоднее подвесное украшение из акрила "Перламутровый шар со стразами", 10 см НУП-3679</t>
  </si>
  <si>
    <t>НУП-3679</t>
  </si>
  <si>
    <t>4680942636794</t>
  </si>
  <si>
    <t>275448</t>
  </si>
  <si>
    <t>Новогоднее подвесное украшение из акрила "Перламутровый шар", 10 см НУП-3678</t>
  </si>
  <si>
    <t>НУП-3678</t>
  </si>
  <si>
    <t>4680942636787</t>
  </si>
  <si>
    <t>269843</t>
  </si>
  <si>
    <t>Новогоднее украшение. Ёлочный шар "Волшебство", золотистый,  10х10 см НУ-0666</t>
  </si>
  <si>
    <t>НУ-0666</t>
  </si>
  <si>
    <t>4680942606858</t>
  </si>
  <si>
    <t>269836</t>
  </si>
  <si>
    <t>Новогоднее украшение. Ёлочный шар "Жемчужная нежность", 10х10 см НУ-0661</t>
  </si>
  <si>
    <t>НУ-0661</t>
  </si>
  <si>
    <t>4680942606803</t>
  </si>
  <si>
    <t>269838</t>
  </si>
  <si>
    <t>Новогоднее украшение. Ёлочный шар "Морозное чудо", 10х10 см НУ-0662</t>
  </si>
  <si>
    <t>НУ-0662</t>
  </si>
  <si>
    <t>4680942606810</t>
  </si>
  <si>
    <t>269835</t>
  </si>
  <si>
    <t>Новогоднее украшение. Ёлочный шар "Нежность", 10х10 см НУ-0660</t>
  </si>
  <si>
    <t>НУ-0660</t>
  </si>
  <si>
    <t>4680942606797</t>
  </si>
  <si>
    <t>269840</t>
  </si>
  <si>
    <t>Новогоднее украшение. Ёлочный шар "Новогоднее чудо", зелёно-красный, 10х10 см НУ-0663</t>
  </si>
  <si>
    <t>НУ-0663</t>
  </si>
  <si>
    <t>4680942606827</t>
  </si>
  <si>
    <t>269842</t>
  </si>
  <si>
    <t>Новогоднее украшение. Ёлочный шар "Новогоднее чудо", красно-зелёный, 10х10 см НУ-0665</t>
  </si>
  <si>
    <t>НУ-0665</t>
  </si>
  <si>
    <t>4680942606841</t>
  </si>
  <si>
    <t>269832</t>
  </si>
  <si>
    <t>Новогоднее украшение. Ёлочный шар "Розовая нежность", 10х10 см НУ-0658</t>
  </si>
  <si>
    <t>НУ-0658</t>
  </si>
  <si>
    <t>4680942606773</t>
  </si>
  <si>
    <t>269833</t>
  </si>
  <si>
    <t>Новогоднее украшение. Ёлочный шар "Роскошь", 10х10 см НУ-0659</t>
  </si>
  <si>
    <t>НУ-0659</t>
  </si>
  <si>
    <t>4680942606780</t>
  </si>
  <si>
    <t>269841</t>
  </si>
  <si>
    <t>Новогоднее украшение. Ёлочный шар "Сиреневая нежность", 10х10 см НУ-0664</t>
  </si>
  <si>
    <t>НУ-0664</t>
  </si>
  <si>
    <t>4680942606834</t>
  </si>
  <si>
    <t>269844</t>
  </si>
  <si>
    <t>Новогоднее украшение. Ёлочный шар "Сказка", золотисто-белый, 10х10 см НУ-0667</t>
  </si>
  <si>
    <t>НУ-0667</t>
  </si>
  <si>
    <t>4680942606865</t>
  </si>
  <si>
    <t>8 Шары (d-9см )</t>
  </si>
  <si>
    <t>251469</t>
  </si>
  <si>
    <t>Набор новогодних елочных  шаров "Винтажные узоры", 9,5 см, 6 шт, пластик НУ-2676</t>
  </si>
  <si>
    <t>НУ-2676</t>
  </si>
  <si>
    <t>4640306926534</t>
  </si>
  <si>
    <t>251468</t>
  </si>
  <si>
    <t>Набор новогодних елочных  шаров "Жемчужины на белом", 9,5 см, 6 шт, пластик НУ-2669</t>
  </si>
  <si>
    <t>НУ-2669</t>
  </si>
  <si>
    <t>4640306926527</t>
  </si>
  <si>
    <t>251471</t>
  </si>
  <si>
    <t>Набор новогодних елочных  шаров "Золотистые полоски", 9,5 см, 6 шт, пластик НУ-2672</t>
  </si>
  <si>
    <t>НУ-2672</t>
  </si>
  <si>
    <t>4640306926558</t>
  </si>
  <si>
    <t>251470</t>
  </si>
  <si>
    <t>Набор новогодних елочных  шаров "Узор на красном", 9,5 см, 6 шт, пластик НУ-2684</t>
  </si>
  <si>
    <t>НУ-2684</t>
  </si>
  <si>
    <t>4640306926541</t>
  </si>
  <si>
    <t>251472</t>
  </si>
  <si>
    <t>Набор новогодних елочных шаров "Золотистый винтаж", 9,5 см, 6 шт, пластик НУ-2685</t>
  </si>
  <si>
    <t>НУ-2685</t>
  </si>
  <si>
    <t>4640306926565</t>
  </si>
  <si>
    <t>9 Большие шары</t>
  </si>
  <si>
    <t>275546</t>
  </si>
  <si>
    <t>Ёлочный шар 15 см, Алмазная роса, матовый, серебряный ШЕН-4000</t>
  </si>
  <si>
    <t>ШЕН-4000</t>
  </si>
  <si>
    <t>4680942640005</t>
  </si>
  <si>
    <t>275553</t>
  </si>
  <si>
    <t>Ёлочный шар 15 см, Блеск волшебства, присыпка, золотой ШЕН-4007</t>
  </si>
  <si>
    <t>ШЕН-4007</t>
  </si>
  <si>
    <t>4680942640074</t>
  </si>
  <si>
    <t>187323</t>
  </si>
  <si>
    <t>Ёлочный шар 15 см, Весёлых праздников!, синий НУ-4168</t>
  </si>
  <si>
    <t>НУ-4168</t>
  </si>
  <si>
    <t>4620129749695</t>
  </si>
  <si>
    <t>275544</t>
  </si>
  <si>
    <t>Ёлочный шар 15 см, Зимний бал, глянцевый, синий ШЕН-3998</t>
  </si>
  <si>
    <t>ШЕН-3998</t>
  </si>
  <si>
    <t>4680942639986</t>
  </si>
  <si>
    <t>275547</t>
  </si>
  <si>
    <t>Ёлочный шар 15 см, Лунный свет, глянцевый, серебряный ШЕН-4001</t>
  </si>
  <si>
    <t>ШЕН-4001</t>
  </si>
  <si>
    <t>4680942640012</t>
  </si>
  <si>
    <t>275555</t>
  </si>
  <si>
    <t>Ёлочный шар 15 см, Новогоднее сияние, глянцевый, золотой ШЕН-4009</t>
  </si>
  <si>
    <t>ШЕН-4009</t>
  </si>
  <si>
    <t>4680942640098</t>
  </si>
  <si>
    <t>187322</t>
  </si>
  <si>
    <t>Ёлочный шар 15 см, Праздничное настроение, синий НУ-4167</t>
  </si>
  <si>
    <t>НУ-4167</t>
  </si>
  <si>
    <t>275526</t>
  </si>
  <si>
    <t>Ёлочный шар 20 см, Веселое настроение, глянцевый, шампань ШЕН-3980</t>
  </si>
  <si>
    <t>ШЕН-3980</t>
  </si>
  <si>
    <t>4680942639801</t>
  </si>
  <si>
    <t>275537</t>
  </si>
  <si>
    <t>Ёлочный шар 20 см, Мерцание, глянцевый, красный ШЕН-3991</t>
  </si>
  <si>
    <t>ШЕН-3991</t>
  </si>
  <si>
    <t>4680942639917</t>
  </si>
  <si>
    <t>275535</t>
  </si>
  <si>
    <t>Ёлочный шар 20 см, Ностальгия, присыпка, красный ШЕН-3989</t>
  </si>
  <si>
    <t>ШЕН-3989</t>
  </si>
  <si>
    <t>4680942639894</t>
  </si>
  <si>
    <t>275540</t>
  </si>
  <si>
    <t>Ёлочный шар 20 см, Огонек зимы, глянцевый, золотой ШЕН-3994</t>
  </si>
  <si>
    <t>ШЕН-3994</t>
  </si>
  <si>
    <t>4680942639948</t>
  </si>
  <si>
    <t>103736</t>
  </si>
  <si>
    <t>Ёлочный шар 20 см, Праздничное настроение, красный НУ-0503</t>
  </si>
  <si>
    <t>НУ-0503</t>
  </si>
  <si>
    <t>187330</t>
  </si>
  <si>
    <t>Ёлочный шар 20 см, Праздничное настроение, синий НУ-4173</t>
  </si>
  <si>
    <t>НУ-4173</t>
  </si>
  <si>
    <t>4620129749749</t>
  </si>
  <si>
    <t>103738</t>
  </si>
  <si>
    <t>Ёлочный шар 20 см, Праздничное настроение,золотой НУ-0504</t>
  </si>
  <si>
    <t>НУ-0504</t>
  </si>
  <si>
    <t>275532</t>
  </si>
  <si>
    <t>Ёлочный шар 20 см, Сияние, глянцевый, серебряный ШЕН-3986</t>
  </si>
  <si>
    <t>ШЕН-3986</t>
  </si>
  <si>
    <t>4680942639863</t>
  </si>
  <si>
    <t>275529</t>
  </si>
  <si>
    <t>Ёлочный шар 20 см, Сияющее волшебство, глянцевый, синий ШЕН-3983</t>
  </si>
  <si>
    <t>ШЕН-3983</t>
  </si>
  <si>
    <t>4680942639832</t>
  </si>
  <si>
    <t>275536</t>
  </si>
  <si>
    <t>Ёлочный шар 20 см, Уют, матовый, красный ШЕН-3990</t>
  </si>
  <si>
    <t>ШЕН-3990</t>
  </si>
  <si>
    <t>4680942639900</t>
  </si>
  <si>
    <t>200504</t>
  </si>
  <si>
    <t>Ёлочный шар 25 см, Праздничное настроение,серебряный глянец НШ-1412</t>
  </si>
  <si>
    <t>НШ-1412</t>
  </si>
  <si>
    <t>4670159014126</t>
  </si>
  <si>
    <t>200508</t>
  </si>
  <si>
    <t>Ёлочный шар 25 см, Праздничное настроение,синий глянец НШ-1414</t>
  </si>
  <si>
    <t>НШ-1414</t>
  </si>
  <si>
    <t>4670159014140</t>
  </si>
  <si>
    <t>200516</t>
  </si>
  <si>
    <t>Ёлочный шар 30 см, Праздничное настроение, красный глянец НШ-1418</t>
  </si>
  <si>
    <t>НШ-1418</t>
  </si>
  <si>
    <t>4670159014188</t>
  </si>
  <si>
    <t>200519</t>
  </si>
  <si>
    <t>Ёлочный шар 30 см, Праздничное настроение, серебряный глянец НШ-1420</t>
  </si>
  <si>
    <t>НШ-1420</t>
  </si>
  <si>
    <t>4670159014201</t>
  </si>
  <si>
    <t>Наборы ассорти</t>
  </si>
  <si>
    <t>251509</t>
  </si>
  <si>
    <t>Набор новогодних белых елочных шаров 8 шт d-6 см, 32 шт d-3 см, пластик НУ-2683</t>
  </si>
  <si>
    <t>НУ-2683</t>
  </si>
  <si>
    <t>4640306926664</t>
  </si>
  <si>
    <t>200380</t>
  </si>
  <si>
    <t>Новогоднее украш. Набор ёлочных шаров "Яркий праздник" 32 шт 3 см, 12 шт 6 см, красн, золот. НШ-1499</t>
  </si>
  <si>
    <t>НШ-1499</t>
  </si>
  <si>
    <t>4670159014997</t>
  </si>
  <si>
    <t>200383</t>
  </si>
  <si>
    <t>Новогоднее украшение Набор ёлочных шаров "Красный шик" 28 шт 3 см, 2 шт 4.5 см, 12 шт 6 см НШ-1502</t>
  </si>
  <si>
    <t>НШ-1502</t>
  </si>
  <si>
    <t>4670159015024</t>
  </si>
  <si>
    <t>200382</t>
  </si>
  <si>
    <t>Новогоднее украшение Набор ёлочных шаров "Синий шик" 28 шт 3 см, 2 шт 4.5 см, 12 шт 6 см НШ-1501</t>
  </si>
  <si>
    <t>НШ-1501</t>
  </si>
  <si>
    <t>4670159015017</t>
  </si>
  <si>
    <t>203586</t>
  </si>
  <si>
    <t>Новогоднее украшение. Набор ёлочных шаров 21 шт (20 шаров 6 см и верхушка), золотой  НУ-3607</t>
  </si>
  <si>
    <t>НУ-3607</t>
  </si>
  <si>
    <t>4670159036074</t>
  </si>
  <si>
    <t>203585</t>
  </si>
  <si>
    <t>Новогоднее украшение. Набор ёлочных шаров 21 шт (20 шаров 6 см и верхушка), красный  НУ-3606</t>
  </si>
  <si>
    <t>НУ-3606</t>
  </si>
  <si>
    <t>4670159036067</t>
  </si>
  <si>
    <t>203584</t>
  </si>
  <si>
    <t>Новогоднее украшение. Набор ёлочных шаров 21 шт (20 шаров 6 см и верхушка), серебряный НУ-3605</t>
  </si>
  <si>
    <t>НУ-3605</t>
  </si>
  <si>
    <t>4670159036050</t>
  </si>
  <si>
    <t>Шары (d-12 см)</t>
  </si>
  <si>
    <t>275600</t>
  </si>
  <si>
    <t>Ёлочный шар 12 см, Волшебный шар, глянцевый, красный ШЕН-4053</t>
  </si>
  <si>
    <t>ШЕН-4053</t>
  </si>
  <si>
    <t>4680942640531</t>
  </si>
  <si>
    <t>275557</t>
  </si>
  <si>
    <t>Ёлочный шар 12 см, Зимняя фантазия, матовый, серебряный ШЕН-4011</t>
  </si>
  <si>
    <t>ШЕН-4011</t>
  </si>
  <si>
    <t>4680942640111</t>
  </si>
  <si>
    <t>275598</t>
  </si>
  <si>
    <t>Ёлочный шар 12 см, Праздничное волшебство, присыпка, красный ШЕН-4051</t>
  </si>
  <si>
    <t>ШЕН-4051</t>
  </si>
  <si>
    <t>4680942640517</t>
  </si>
  <si>
    <t>275599</t>
  </si>
  <si>
    <t>Ёлочный шар 12 см, Праздничное украшение, матовый, красный ШЕН-4052</t>
  </si>
  <si>
    <t>ШЕН-4052</t>
  </si>
  <si>
    <t>4680942640524</t>
  </si>
  <si>
    <t>3 Шары с подсветкой</t>
  </si>
  <si>
    <t>236552</t>
  </si>
  <si>
    <t>Елочный стеклянный шар с подсветкой "Новогоднее свечение", батар. 2*АА(не в компл.), 10 см НУ-0674</t>
  </si>
  <si>
    <t>НУ-0674</t>
  </si>
  <si>
    <t>4670159206743</t>
  </si>
  <si>
    <t>202536</t>
  </si>
  <si>
    <t>Набор LED-шаров "Сказка" 3 шт, 8 см, на батарейках LR44 (в компл.) НУ-2921</t>
  </si>
  <si>
    <t>НУ-2921</t>
  </si>
  <si>
    <t>4670159029212</t>
  </si>
  <si>
    <t>202538</t>
  </si>
  <si>
    <t>Набор LED-шаров "Снегопад" 3 шт, 8 см, на батарейках LR44 (в компл.) НУ-2923</t>
  </si>
  <si>
    <t>НУ-2923</t>
  </si>
  <si>
    <t>4670159029236</t>
  </si>
  <si>
    <t>202537</t>
  </si>
  <si>
    <t>Набор LED-шаров "Снежный лес" 3 шт, 8 см, на батарейках LR44 (в компл.) НУ-2922</t>
  </si>
  <si>
    <t>НУ-2922</t>
  </si>
  <si>
    <t>4670159029229</t>
  </si>
  <si>
    <t>187190</t>
  </si>
  <si>
    <t>Набор ёлочных украшений Шары с подсветкой 2 шт Золотая метель, 10 см НУ-5655</t>
  </si>
  <si>
    <t>НУ-5655</t>
  </si>
  <si>
    <t>4620129751551</t>
  </si>
  <si>
    <t>187361</t>
  </si>
  <si>
    <t>Набор ёлочных украшений Шары с подсветкой 3 шт Серебряная вьюга, 8 см НУ-4214</t>
  </si>
  <si>
    <t>НУ-4214</t>
  </si>
  <si>
    <t>4620129750158</t>
  </si>
  <si>
    <t>203572</t>
  </si>
  <si>
    <t>Новогоднее украшение. Елочный шар led-подсветкой "Звездопад", 8см НУ-3451</t>
  </si>
  <si>
    <t>НУ-3451</t>
  </si>
  <si>
    <t>4670159024514</t>
  </si>
  <si>
    <t>203578</t>
  </si>
  <si>
    <t>Новогоднее украшение. Елочный шар led-подсветкой "Зимняя ягодка" 8см, с декором НУ-3456</t>
  </si>
  <si>
    <t>НУ-3456</t>
  </si>
  <si>
    <t>4670159024569</t>
  </si>
  <si>
    <t>203571</t>
  </si>
  <si>
    <t>Новогоднее украшение. Елочный шар с led-подсветкой "Конффи", 8см НУ-3450</t>
  </si>
  <si>
    <t>НУ-3450</t>
  </si>
  <si>
    <t>4670159024507</t>
  </si>
  <si>
    <t>4 Шары папье-маше</t>
  </si>
  <si>
    <t>Наборы "Собственная разработка"</t>
  </si>
  <si>
    <t>274374</t>
  </si>
  <si>
    <t>Набор ёлочных шаров 14 шт "Новогоднее чудо", 8 см, (собств. разр) ШЁН-2905</t>
  </si>
  <si>
    <t>ШЁН-2905</t>
  </si>
  <si>
    <t>4680942629055</t>
  </si>
  <si>
    <t>274376</t>
  </si>
  <si>
    <t>Набор ёлочных шаров 14 шт "Снегири", 8 см, (собств. разр) ШЁН-2906</t>
  </si>
  <si>
    <t>ШЁН-2906</t>
  </si>
  <si>
    <t>4680942629062</t>
  </si>
  <si>
    <t>03 Интерактивные украшения</t>
  </si>
  <si>
    <t>Двигающиеся ноги на ёлку</t>
  </si>
  <si>
    <t>257919</t>
  </si>
  <si>
    <t>Новогоднее украшение. Интерактивные ноги Деда Мороза на ёлку. Движение, USB+3AA, 17*13*35см, НУ-7514</t>
  </si>
  <si>
    <t>НУ-7514</t>
  </si>
  <si>
    <t>4630493775145</t>
  </si>
  <si>
    <t>257921</t>
  </si>
  <si>
    <t>Новогоднее украшение. Интерактивные ноги Снегурочки на ёлку. Движение, USB+3AA, 15*14*42см, НУ-7516</t>
  </si>
  <si>
    <t>НУ-7516</t>
  </si>
  <si>
    <t>4630493775169</t>
  </si>
  <si>
    <t>257920</t>
  </si>
  <si>
    <t>Новогоднее украшение. Интерактивные ноги Эльфа на ёлку. Движение, USB+3AA, 15*10*34 см, НУ-7515</t>
  </si>
  <si>
    <t>НУ-7515</t>
  </si>
  <si>
    <t>4630493775152</t>
  </si>
  <si>
    <t>Поезда</t>
  </si>
  <si>
    <t xml:space="preserve"> Поезда новогодние Собственная разработка</t>
  </si>
  <si>
    <t>259280</t>
  </si>
  <si>
    <t>Новогодний музык. поезд Деда Мороза под ёлку со светом d=90см, LED, 2*АА (не комп) (соб.раз) НУ-6470</t>
  </si>
  <si>
    <t>НУ-6470</t>
  </si>
  <si>
    <t>4630493776470</t>
  </si>
  <si>
    <t>259281</t>
  </si>
  <si>
    <t>Новогодний музык.поезд Деда Мороза с крепл.на ёлку со свет.,d=75см,LED,2*АА(не комп)(соб.раз)НУ-6471</t>
  </si>
  <si>
    <t>НУ-6471</t>
  </si>
  <si>
    <t>4630493776487</t>
  </si>
  <si>
    <t>Поезда новогодние</t>
  </si>
  <si>
    <t>231801</t>
  </si>
  <si>
    <t>Ёлочное украшение Новогодняя муз. желез дорога "Чудеса" d=86-88см, 2*АА (не комп.) пластик НУ-8020</t>
  </si>
  <si>
    <t>НУ-8020</t>
  </si>
  <si>
    <t>4670159180029</t>
  </si>
  <si>
    <t>231802</t>
  </si>
  <si>
    <t>Ёлочное украшение Новогодняя муз. железная дорога "Праздник" d=88см, LED, 4*АА(не комп.) НУ-8021</t>
  </si>
  <si>
    <t>НУ-8021</t>
  </si>
  <si>
    <t>4670159180036</t>
  </si>
  <si>
    <t>231804</t>
  </si>
  <si>
    <t>Игровой набор Железная дорога "Новогодний подарок" 68*87см, LED, 2*АА(не комп.) пластик НУ-8023</t>
  </si>
  <si>
    <t>НУ-8023</t>
  </si>
  <si>
    <t>4670159180050</t>
  </si>
  <si>
    <t>231805</t>
  </si>
  <si>
    <t>Игровой набор муз. железная дорога "Винтажный стиль" d=98см, 2*АА(не комп.) пластик, лампа. НУ-8024</t>
  </si>
  <si>
    <t>НУ-8024</t>
  </si>
  <si>
    <t>4670159180067</t>
  </si>
  <si>
    <t>231806</t>
  </si>
  <si>
    <t>Игровой набор муз. железная дорога "Король путей" d=67,5см, LED, 2*АА (не комп.) пластик НУ-8025</t>
  </si>
  <si>
    <t>НУ-8025</t>
  </si>
  <si>
    <t>4670159180074</t>
  </si>
  <si>
    <t>231817</t>
  </si>
  <si>
    <t>Игровой набор муз. железная дорога "Новогоднее чудо" d=90см, 4*АА(не комп.) пластик, лампа НУ-8033</t>
  </si>
  <si>
    <t>НУ-8033</t>
  </si>
  <si>
    <t>4670159180159</t>
  </si>
  <si>
    <t>231818</t>
  </si>
  <si>
    <t>Игровой набор муз. железная дорога "Под ёлочку" d=90см,4*АА(не комп.), пластик, лампа накал. НУ-8034</t>
  </si>
  <si>
    <t>НУ-8034</t>
  </si>
  <si>
    <t>4670159180166</t>
  </si>
  <si>
    <t>231820</t>
  </si>
  <si>
    <t>Игровой набор муз. железная дорога "Праздничный день" d=90см, 2*АА (не комп.) LED, пластик НУ-8036</t>
  </si>
  <si>
    <t>НУ-8036</t>
  </si>
  <si>
    <t>4670159180180</t>
  </si>
  <si>
    <t>231816</t>
  </si>
  <si>
    <t>Игровой набор муз. железная дорога "Рождественское чудо" d=90см, 4*АА(не комп.) пластик НУ-8032</t>
  </si>
  <si>
    <t>НУ-8032</t>
  </si>
  <si>
    <t>4670159180142</t>
  </si>
  <si>
    <t>231819</t>
  </si>
  <si>
    <t>Игровой набор муз. железная дорога "Чудесные приключения" d=90см,4*АА(не комп.),LED,пластик НУ-8035</t>
  </si>
  <si>
    <t>НУ-8035</t>
  </si>
  <si>
    <t>4670159180173</t>
  </si>
  <si>
    <t>04 Верхушки на елку</t>
  </si>
  <si>
    <t xml:space="preserve"> Верхушки ёлочные интерактивные</t>
  </si>
  <si>
    <t>231807</t>
  </si>
  <si>
    <t>Верхушка на елку (с проекцией) "Чудесная звездочка" LED, подключение USB, пластик НВУ-0015</t>
  </si>
  <si>
    <t>НВУ-0015</t>
  </si>
  <si>
    <t>4670159180081</t>
  </si>
  <si>
    <t>231808</t>
  </si>
  <si>
    <t>Верхушка на елку (с проекцией) "Чудесная снежинка" LED, подключение USB, пластик НВУ-0016</t>
  </si>
  <si>
    <t>НВУ-0016</t>
  </si>
  <si>
    <t>4670159180098</t>
  </si>
  <si>
    <t>231809</t>
  </si>
  <si>
    <t>Ёлочное украшение. Музыкальная верхушка на ёлку "Волшебные сани" LED, USB, пластик НУ-8028</t>
  </si>
  <si>
    <t>НУ-8028</t>
  </si>
  <si>
    <t>4670159180104</t>
  </si>
  <si>
    <t>231815</t>
  </si>
  <si>
    <t>Ёлочное украшение. Музыкальная верхушка на ёлку "Волшебный самолет" LED, USB, пластик НУ-8031</t>
  </si>
  <si>
    <t>НУ-8031</t>
  </si>
  <si>
    <t>4670159180135</t>
  </si>
  <si>
    <t>231813</t>
  </si>
  <si>
    <t>Ёлочное украшение. Музыкальная верхушка на ёлку "Праздничные сани" LED, USB, пластик НУ-8029</t>
  </si>
  <si>
    <t>НУ-8029</t>
  </si>
  <si>
    <t>4670159180111</t>
  </si>
  <si>
    <t>LED подсветка</t>
  </si>
  <si>
    <t>202433</t>
  </si>
  <si>
    <t>Верхушка на ёлку "Звездочка", 20 см, 10 LED, 2 режима, мульти, от  батареек. НУ-2592</t>
  </si>
  <si>
    <t>НУ-2592</t>
  </si>
  <si>
    <t>4670159025924</t>
  </si>
  <si>
    <t>202436</t>
  </si>
  <si>
    <t>Верхушка на ёлку "Звездочка", 20 см, 10 LED, 2 режима, теплый желтый свет, от  батареек. НУ-2593</t>
  </si>
  <si>
    <t>НУ-2593</t>
  </si>
  <si>
    <t>4670159025931</t>
  </si>
  <si>
    <t>202443</t>
  </si>
  <si>
    <t>Верхушка на ёлку "Сияние", 17 см, 10 LED, 2 режима,теплый  желтый свет, от сети. НВУ-0014</t>
  </si>
  <si>
    <t>НВУ-0014</t>
  </si>
  <si>
    <t>4670159032175</t>
  </si>
  <si>
    <t>186903</t>
  </si>
  <si>
    <t>Верхушка на ёлку. Белая звезда, 15х15см, 10 LED, 1 режим, мульти НВУ-0001</t>
  </si>
  <si>
    <t>НВУ-0001</t>
  </si>
  <si>
    <t>4620129754538</t>
  </si>
  <si>
    <t>186904</t>
  </si>
  <si>
    <t>Верхушка на ёлку. Белая звезда, 19х19см, 15 LED, 1 режим, мульти НВУ-0002</t>
  </si>
  <si>
    <t>НВУ-0002</t>
  </si>
  <si>
    <t>4620129754545</t>
  </si>
  <si>
    <t>186905</t>
  </si>
  <si>
    <t>Верхушка на ёлку. Белая Звезда, 22х22см, 20 LED, 1 режим, мульти НВУ-0003</t>
  </si>
  <si>
    <t>НВУ-0003</t>
  </si>
  <si>
    <t>4620129754552</t>
  </si>
  <si>
    <t>186906</t>
  </si>
  <si>
    <t>Верхушка на ёлку. Звезда с золотом, 15х15см, 10 LED, 1 режим, мульти НВУ-0004</t>
  </si>
  <si>
    <t>НВУ-0004</t>
  </si>
  <si>
    <t>4620129754569</t>
  </si>
  <si>
    <t>186909</t>
  </si>
  <si>
    <t>Верхушка на ёлку. Красная Звезда, 15х15 см, 10 LED, 1 режим, красный НВУ-0007</t>
  </si>
  <si>
    <t>НВУ-0007</t>
  </si>
  <si>
    <t>4620129754590</t>
  </si>
  <si>
    <t>186911</t>
  </si>
  <si>
    <t>Верхушка на ёлку. Красная звезда, 22х22 см, 20 LED, 1 режим, красный НВУ-0009</t>
  </si>
  <si>
    <t>НВУ-0009</t>
  </si>
  <si>
    <t>4620129754613</t>
  </si>
  <si>
    <t>103708</t>
  </si>
  <si>
    <t>Верхушка на ёлку  Красивая звезда 23х24 см, золотая НУ-0476</t>
  </si>
  <si>
    <t>НУ-0476</t>
  </si>
  <si>
    <t>4665306704760</t>
  </si>
  <si>
    <t>103706</t>
  </si>
  <si>
    <t>Верхушка на ёлку  Красивая звезда 23х24 см, серебряная НУ-0474</t>
  </si>
  <si>
    <t>НУ-0474</t>
  </si>
  <si>
    <t>4665306704746</t>
  </si>
  <si>
    <t>103711</t>
  </si>
  <si>
    <t>Верхушка на ёлку  С праздником!,29 см ,золотая НУ-0480</t>
  </si>
  <si>
    <t>НУ-0480</t>
  </si>
  <si>
    <t>4665306704807</t>
  </si>
  <si>
    <t>064850</t>
  </si>
  <si>
    <t>Верхушка на ёлку "Новогодняя звезда" 20см 1 шт НУ-8358</t>
  </si>
  <si>
    <t>НУ-8358</t>
  </si>
  <si>
    <t>4665301783586</t>
  </si>
  <si>
    <t>103710</t>
  </si>
  <si>
    <t>Верхушка на ёлку Звёздочка 23х24 см,золотой НУ-0478</t>
  </si>
  <si>
    <t>НУ-0478</t>
  </si>
  <si>
    <t>4665306704784</t>
  </si>
  <si>
    <t>082736</t>
  </si>
  <si>
    <t>Новогоднее украшение Верхушка на ёлку Звезда, золотая, 23 см НУ-4399</t>
  </si>
  <si>
    <t>НУ-4399</t>
  </si>
  <si>
    <t>4665303243996</t>
  </si>
  <si>
    <t>082738</t>
  </si>
  <si>
    <t>Новогоднее украшение Верхушка на ёлку Праздничная звезда, золотая, 23 см НУ-4401</t>
  </si>
  <si>
    <t>НУ-4401</t>
  </si>
  <si>
    <t>4665303244016</t>
  </si>
  <si>
    <t>082737</t>
  </si>
  <si>
    <t>Новогоднее украшение Верхушка на ёлку Праздничная звезда, красная, 23 см НУ-4400</t>
  </si>
  <si>
    <t>НУ-4400</t>
  </si>
  <si>
    <t>4665303244009</t>
  </si>
  <si>
    <t>082735</t>
  </si>
  <si>
    <t>Новогоднее украшение. Верхушка на ёлку Звезда, красная, 23 см НУ-4398</t>
  </si>
  <si>
    <t>НУ-4398</t>
  </si>
  <si>
    <t>4665303243989</t>
  </si>
  <si>
    <t>163322</t>
  </si>
  <si>
    <t>Новогоднее украшение.Верхушка на ёлку  Золотая звезда 21х21 см НУ-1440</t>
  </si>
  <si>
    <t>НУ-1440</t>
  </si>
  <si>
    <t>4610144814409</t>
  </si>
  <si>
    <t>163320</t>
  </si>
  <si>
    <t>Новогоднее украшение.Верхушка на ёлку  Красная звезда 20х20 см НУ-1439</t>
  </si>
  <si>
    <t>НУ-1439</t>
  </si>
  <si>
    <t>4610144814393</t>
  </si>
  <si>
    <t>05 Дождик</t>
  </si>
  <si>
    <t>186891</t>
  </si>
  <si>
    <t>Дождик на ёлку "Волшебство" 1,5 м* 10 см, золотой НУ-5497</t>
  </si>
  <si>
    <t>НУ-5497</t>
  </si>
  <si>
    <t>4620129744973</t>
  </si>
  <si>
    <t>186888</t>
  </si>
  <si>
    <t>Дождик на ёлку "Волшебство" 1,5 м* 10 см, красный НУ-5494</t>
  </si>
  <si>
    <t>НУ-5494</t>
  </si>
  <si>
    <t>4620129744942</t>
  </si>
  <si>
    <t>186892</t>
  </si>
  <si>
    <t>Дождик на ёлку "Волшебство" 1,5 м* 10 см, розовое золото НУ-5498</t>
  </si>
  <si>
    <t>НУ-5498</t>
  </si>
  <si>
    <t>4620129744980</t>
  </si>
  <si>
    <t>186889</t>
  </si>
  <si>
    <t>Дождик на ёлку "Волшебство" 1,5 м* 10 см, синий НУ-5495</t>
  </si>
  <si>
    <t>НУ-5495</t>
  </si>
  <si>
    <t>4620129744959</t>
  </si>
  <si>
    <t>186887</t>
  </si>
  <si>
    <t>Дождик на ёлку Волшебство 1,5 м* 10 см, зелёный НУ-5493</t>
  </si>
  <si>
    <t>НУ-5493</t>
  </si>
  <si>
    <t>4620129744935</t>
  </si>
  <si>
    <t>186890</t>
  </si>
  <si>
    <t>Дождик на ёлку Волшебство 1,5 м* 10 см, серебряный НУ-5496</t>
  </si>
  <si>
    <t>НУ-5496</t>
  </si>
  <si>
    <t>4620129744966</t>
  </si>
  <si>
    <t>06 Мишура</t>
  </si>
  <si>
    <t>186865</t>
  </si>
  <si>
    <t>Мишура  Новогодняя, длина 2 м, диаметр 10 см, красная НУ-5489</t>
  </si>
  <si>
    <t>НУ-5489</t>
  </si>
  <si>
    <t>4620129744898</t>
  </si>
  <si>
    <t>186850</t>
  </si>
  <si>
    <t>Мишура  Новогодняя, длина 2 м, диаметр 7 см ,синяя Ну-5478</t>
  </si>
  <si>
    <t>Ну-5478</t>
  </si>
  <si>
    <t>4620129744782</t>
  </si>
  <si>
    <t>186771</t>
  </si>
  <si>
    <t>Мишура белая Новогодняя, длина 2 м, диаметр 10 см НУ-5462</t>
  </si>
  <si>
    <t>НУ-5462</t>
  </si>
  <si>
    <t>4620129744621</t>
  </si>
  <si>
    <t>186769</t>
  </si>
  <si>
    <t>Мишура белая Новогодняя, длина 2 м, диаметр 7 см НУ-5461</t>
  </si>
  <si>
    <t>НУ-5461</t>
  </si>
  <si>
    <t>4620129744614</t>
  </si>
  <si>
    <t>186869</t>
  </si>
  <si>
    <t>Мишура блестящая Новогодняя, длина 2 м, диаметр 10 см НУ-5492</t>
  </si>
  <si>
    <t>НУ-5492</t>
  </si>
  <si>
    <t>4620129744928</t>
  </si>
  <si>
    <t>186868</t>
  </si>
  <si>
    <t>Мишура блестящая Новогодняя, длина 2 м, диаметр 7 см НУ-5491</t>
  </si>
  <si>
    <t>НУ-5491</t>
  </si>
  <si>
    <t>4620129744911</t>
  </si>
  <si>
    <t>186798</t>
  </si>
  <si>
    <t>Мишура жёлтая Новогодняя, длина 2 м, диаметр 10 см НУ-5472</t>
  </si>
  <si>
    <t>НУ-5472</t>
  </si>
  <si>
    <t>4620129744720</t>
  </si>
  <si>
    <t>186796</t>
  </si>
  <si>
    <t>Мишура жёлтая Новогодняя, длина 2 м, диаметр 5 см НУ-5470</t>
  </si>
  <si>
    <t>НУ-5470</t>
  </si>
  <si>
    <t>4620129744706</t>
  </si>
  <si>
    <t>186797</t>
  </si>
  <si>
    <t>Мишура жёлтая Новогодняя, длина 2 м, диаметр 7 см НУ-5471</t>
  </si>
  <si>
    <t>НУ-5471</t>
  </si>
  <si>
    <t>4620129744713</t>
  </si>
  <si>
    <t>186781</t>
  </si>
  <si>
    <t>Мишура зелёная Новогодняя, длина 2 м, диаметр 10 см НУ-5465</t>
  </si>
  <si>
    <t>НУ-5465</t>
  </si>
  <si>
    <t>4620129744652</t>
  </si>
  <si>
    <t>186779</t>
  </si>
  <si>
    <t>Мишура зелёная Новогодняя, длина 2 м, диаметр 7 см НУ-5464</t>
  </si>
  <si>
    <t>НУ-5464</t>
  </si>
  <si>
    <t>4620129744645</t>
  </si>
  <si>
    <t>186793</t>
  </si>
  <si>
    <t>Мишура зелёная с заснеженными кончиками Новогодняя, длина 2 м, диаметр 7 см НУ-5467</t>
  </si>
  <si>
    <t>НУ-5467</t>
  </si>
  <si>
    <t>4620129744676</t>
  </si>
  <si>
    <t>186840</t>
  </si>
  <si>
    <t>Мишура золотая матовая Новогодняя, длина 2 м, диаметр 10 см НУ-5475</t>
  </si>
  <si>
    <t>НУ-5475</t>
  </si>
  <si>
    <t>4620129744751</t>
  </si>
  <si>
    <t>186836</t>
  </si>
  <si>
    <t>Мишура золотая матовая Новогодняя, длина 2 м, диаметр 7 см НУ-5474</t>
  </si>
  <si>
    <t>НУ-5474</t>
  </si>
  <si>
    <t>4620129744744</t>
  </si>
  <si>
    <t>213526</t>
  </si>
  <si>
    <t>Мишура золотистая "Праздничные брызги", длина 2 м,диаметр 4 см НУ-6198</t>
  </si>
  <si>
    <t>НУ-6198</t>
  </si>
  <si>
    <t>4670159060987</t>
  </si>
  <si>
    <t>186852</t>
  </si>
  <si>
    <t>Мишура красная Новогодняя, длина 2 м, диаметр 10 см НУ-5479</t>
  </si>
  <si>
    <t>НУ-5479</t>
  </si>
  <si>
    <t>4620129744799</t>
  </si>
  <si>
    <t>186846</t>
  </si>
  <si>
    <t>Мишура пушистая золотая матовая Новогодняя, длина 2 м, диаметр 10 см НУ-5477</t>
  </si>
  <si>
    <t>НУ-5477</t>
  </si>
  <si>
    <t>4620129744775</t>
  </si>
  <si>
    <t>186862</t>
  </si>
  <si>
    <t>Мишура пушистая серебряная матовая Новогодняя, длина 2 м, диаметр 10 см НУ-5486</t>
  </si>
  <si>
    <t>НУ-5486</t>
  </si>
  <si>
    <t>4620129744867</t>
  </si>
  <si>
    <t>186860</t>
  </si>
  <si>
    <t>Мишура серебряная Новогодняя, длина 2 м, диаметр 10 см НУ-5484</t>
  </si>
  <si>
    <t>НУ-5484</t>
  </si>
  <si>
    <t>4620129744843</t>
  </si>
  <si>
    <t>186855</t>
  </si>
  <si>
    <t>Мишура серебряная Новогодняя, длина 2 м, диаметр 2 см НУ-5481</t>
  </si>
  <si>
    <t>НУ-5481</t>
  </si>
  <si>
    <t>4620129744812</t>
  </si>
  <si>
    <t>186856</t>
  </si>
  <si>
    <t>Мишура серебряная Новогодняя, длина 2 м, диаметр 5 см НУ-5482</t>
  </si>
  <si>
    <t>НУ-5482</t>
  </si>
  <si>
    <t>4620129744829</t>
  </si>
  <si>
    <t>186857</t>
  </si>
  <si>
    <t>Мишура серебряная Новогодняя, длина 2 м, диаметр 7 см НУ-5483</t>
  </si>
  <si>
    <t>НУ-5483</t>
  </si>
  <si>
    <t>4620129744836</t>
  </si>
  <si>
    <t>186863</t>
  </si>
  <si>
    <t>Мишура синяя Новогодняя, длина 2 м, диаметр 5 см НУ-5487</t>
  </si>
  <si>
    <t>НУ-5487</t>
  </si>
  <si>
    <t>4620129744874</t>
  </si>
  <si>
    <t>186864</t>
  </si>
  <si>
    <t>Мишура синяя Новогодняя, длина 2 м, диаметр 7 см НУ-5488</t>
  </si>
  <si>
    <t>НУ-5488</t>
  </si>
  <si>
    <t>4620129744881</t>
  </si>
  <si>
    <t>07 Бусы на ёлку</t>
  </si>
  <si>
    <t>В пакете</t>
  </si>
  <si>
    <t>104519</t>
  </si>
  <si>
    <t>Бусы на ёлку Волшебный праздник,  d 1,4 см, длина 1,8 м, золотые НУ-0064</t>
  </si>
  <si>
    <t>НУ-0064</t>
  </si>
  <si>
    <t>4665306700649</t>
  </si>
  <si>
    <t>104507</t>
  </si>
  <si>
    <t>Бусы на ёлку Волшебный праздник,  d 1,4 см, длина 1,8 м, серебряные НУ-0059</t>
  </si>
  <si>
    <t>НУ-0059</t>
  </si>
  <si>
    <t>4665306700595</t>
  </si>
  <si>
    <t>104516</t>
  </si>
  <si>
    <t>Бусы на ёлку Волшебный праздник,  d 1,4 см, длина 1,8 м, синие НУ-0063</t>
  </si>
  <si>
    <t>НУ-0063</t>
  </si>
  <si>
    <t>4665306700632</t>
  </si>
  <si>
    <t>187375</t>
  </si>
  <si>
    <t>Бусы на ёлку Волшебный праздник, d 1,4 см, длина 1,8 м,  золотистые НУ-4229</t>
  </si>
  <si>
    <t>НУ-4229</t>
  </si>
  <si>
    <t>4620129750301</t>
  </si>
  <si>
    <t>104494</t>
  </si>
  <si>
    <t>Бусы на ёлку Яркий праздник,  d 1 см, длина 1,8 м, зелёные НУ-0054</t>
  </si>
  <si>
    <t>НУ-0054</t>
  </si>
  <si>
    <t>4665306700540</t>
  </si>
  <si>
    <t>104502</t>
  </si>
  <si>
    <t>Бусы на ёлку Яркий праздник,  d 1 см, длина 1,8 м, золотистые НУ-0057</t>
  </si>
  <si>
    <t>НУ-0057</t>
  </si>
  <si>
    <t>4665306700571</t>
  </si>
  <si>
    <t>104491</t>
  </si>
  <si>
    <t>Бусы на ёлку Яркий праздник,  d 1 см, длина 1,8 м, золотые НУ-0053</t>
  </si>
  <si>
    <t>НУ-0053</t>
  </si>
  <si>
    <t>4665306700533</t>
  </si>
  <si>
    <t>104487</t>
  </si>
  <si>
    <t>Бусы на ёлку Яркий праздник,  d 1 см, длина 1,8 м, красные НУ-0052</t>
  </si>
  <si>
    <t>НУ-0052</t>
  </si>
  <si>
    <t>4665306700526</t>
  </si>
  <si>
    <t>104499</t>
  </si>
  <si>
    <t>Бусы на ёлку Яркий праздник,  d 1 см, длина 1,8 м, серебряные НУ-0056</t>
  </si>
  <si>
    <t>НУ-0056</t>
  </si>
  <si>
    <t>4665306700564</t>
  </si>
  <si>
    <t>104498</t>
  </si>
  <si>
    <t>Бусы на ёлку Яркий праздник,  d 1 см, длина 1,8 м, синие НУ-0055</t>
  </si>
  <si>
    <t>НУ-0055</t>
  </si>
  <si>
    <t>4665306700557</t>
  </si>
  <si>
    <t>187380</t>
  </si>
  <si>
    <t>Новогоднее украшение бусы на ёлку зелёные "Новогодние шарики" НУ-4233</t>
  </si>
  <si>
    <t>НУ-4233</t>
  </si>
  <si>
    <t>4620129750349</t>
  </si>
  <si>
    <t>187378</t>
  </si>
  <si>
    <t>Новогоднее украшение бусы на ёлку золотые "Колокольчики" НУ-4231</t>
  </si>
  <si>
    <t>НУ-4231</t>
  </si>
  <si>
    <t>4620129750325</t>
  </si>
  <si>
    <t>187379</t>
  </si>
  <si>
    <t>Новогоднее украшение бусы на ёлку золотые "Новогодние шарики" 2,7 м. НУ-4232</t>
  </si>
  <si>
    <t>НУ-4232</t>
  </si>
  <si>
    <t>4620129750332</t>
  </si>
  <si>
    <t>046674</t>
  </si>
  <si>
    <t>Новогоднее украшение бусы на ёлку золотые "Снежинки" НУ-6752</t>
  </si>
  <si>
    <t>НУ-6752</t>
  </si>
  <si>
    <t>4665299567526</t>
  </si>
  <si>
    <t>046666</t>
  </si>
  <si>
    <t>Новогоднее украшение бусы на ёлку золотые "Яркие звезды" НУ-6744</t>
  </si>
  <si>
    <t>НУ-6744</t>
  </si>
  <si>
    <t>4665299567441</t>
  </si>
  <si>
    <t>046665</t>
  </si>
  <si>
    <t>Новогоднее украшение бусы на ёлку красные "Колокольчики" НУ-6743</t>
  </si>
  <si>
    <t>НУ-6743</t>
  </si>
  <si>
    <t>4665299567434</t>
  </si>
  <si>
    <t>046660</t>
  </si>
  <si>
    <t>Новогоднее украшение бусы на ёлку красные "Новогодние шарики " 2,7 м.НУ-6738</t>
  </si>
  <si>
    <t>НУ-6738</t>
  </si>
  <si>
    <t>4665299567380</t>
  </si>
  <si>
    <t>046664</t>
  </si>
  <si>
    <t>Новогоднее украшение бусы на ёлку серебряные  "Колокольчики" НУ-6742</t>
  </si>
  <si>
    <t>НУ-6742</t>
  </si>
  <si>
    <t>4665299567427</t>
  </si>
  <si>
    <t>046658</t>
  </si>
  <si>
    <t>Новогоднее украшение бусы на ёлку серебряные "Новогодние шарики" 2,7 м. НУ-6736</t>
  </si>
  <si>
    <t>НУ-6736</t>
  </si>
  <si>
    <t>4665299567366</t>
  </si>
  <si>
    <t>046667</t>
  </si>
  <si>
    <t>Новогоднее украшение бусы на ёлку серебряные "Яркие звезды" НУ-6745</t>
  </si>
  <si>
    <t>НУ-6745</t>
  </si>
  <si>
    <t>4665299567458</t>
  </si>
  <si>
    <t>046661</t>
  </si>
  <si>
    <t>Новогоднее украшение бусы на ёлку синие "Новогодние шарики" 2,7 м. НУ-6739</t>
  </si>
  <si>
    <t>НУ-6739</t>
  </si>
  <si>
    <t>4665299567397</t>
  </si>
  <si>
    <t>046675</t>
  </si>
  <si>
    <t>Новогоднее украшение бусы на ёлку синие "Снежинки" НУ-6753</t>
  </si>
  <si>
    <t>НУ-6753</t>
  </si>
  <si>
    <t>4665299567533</t>
  </si>
  <si>
    <t>046668</t>
  </si>
  <si>
    <t>Новогоднее украшение бусы на ёлку синие "Яркие звезды" НУ-6746</t>
  </si>
  <si>
    <t>НУ-6746</t>
  </si>
  <si>
    <t>4665299567465</t>
  </si>
  <si>
    <t>На катушке</t>
  </si>
  <si>
    <t>203239</t>
  </si>
  <si>
    <t>Новогоднее украшение бусы на ёлку жемчужные "Новогоднее чудо", 10 м,  8+3 мм, НУ-3426</t>
  </si>
  <si>
    <t>НУ-3426</t>
  </si>
  <si>
    <t>4670159034261</t>
  </si>
  <si>
    <t>203225</t>
  </si>
  <si>
    <t>Новогоднее украшение бусы на ёлку золотистые  "Сказочный праздник", 10 м, 6 мм, НУ-3412</t>
  </si>
  <si>
    <t>НУ-3412</t>
  </si>
  <si>
    <t>4670159034124</t>
  </si>
  <si>
    <t>203233</t>
  </si>
  <si>
    <t>Новогоднее украшение бусы на ёлку золотистые "Волшебство" , 10 м, 10 мм, НУ-3420</t>
  </si>
  <si>
    <t>НУ-3420</t>
  </si>
  <si>
    <t>4670159034209</t>
  </si>
  <si>
    <t>203237</t>
  </si>
  <si>
    <t>Новогоднее украшение бусы на ёлку золотистые "Новогоднее чудо", 10 м,  8+3 мм, НУ-3424</t>
  </si>
  <si>
    <t>НУ-3424</t>
  </si>
  <si>
    <t>4670159034247</t>
  </si>
  <si>
    <t>203221</t>
  </si>
  <si>
    <t>Новогоднее украшение бусы на ёлку золотистые "Роскошь", 10 м, 4 мм, НУ-3408</t>
  </si>
  <si>
    <t>НУ-3408</t>
  </si>
  <si>
    <t>4670159034087</t>
  </si>
  <si>
    <t>203217</t>
  </si>
  <si>
    <t>Новогоднее украшение бусы на ёлку золотистые "Торжество",10 м, 8 мм, НУ-3404</t>
  </si>
  <si>
    <t>НУ-3404</t>
  </si>
  <si>
    <t>4670159034049</t>
  </si>
  <si>
    <t>203229</t>
  </si>
  <si>
    <t>Новогоднее украшение бусы на ёлку золотистые "Чудеса" , 10 м, 8 мм, НУ-3416</t>
  </si>
  <si>
    <t>НУ-3416</t>
  </si>
  <si>
    <t>4670159034162</t>
  </si>
  <si>
    <t>203218</t>
  </si>
  <si>
    <t>Новогоднее украшение бусы на ёлку красные  "Торжество", 10 м, 8 мм, НУ-3405</t>
  </si>
  <si>
    <t>НУ-3405</t>
  </si>
  <si>
    <t>4670159034056</t>
  </si>
  <si>
    <t>203234</t>
  </si>
  <si>
    <t>Новогоднее украшение бусы на ёлку красные "Волшебство", 10 м, 10 мм, НУ-3421</t>
  </si>
  <si>
    <t>НУ-3421</t>
  </si>
  <si>
    <t>4670159034216</t>
  </si>
  <si>
    <t>203222</t>
  </si>
  <si>
    <t>Новогоднее украшение бусы на ёлку красные "Роскошь", 10 м, 4 мм, НУ-3409</t>
  </si>
  <si>
    <t>НУ-3409</t>
  </si>
  <si>
    <t>4670159034094</t>
  </si>
  <si>
    <t>203226</t>
  </si>
  <si>
    <t>Новогоднее украшение бусы на ёлку красные "Сказочный праздник", 10 м, 6 мм, НУ-3413</t>
  </si>
  <si>
    <t>НУ-3413</t>
  </si>
  <si>
    <t>4670159034131</t>
  </si>
  <si>
    <t>203230</t>
  </si>
  <si>
    <t>Новогоднее украшение бусы на ёлку красные "Чудеса", 10 м, 8 мм, НУ-3417</t>
  </si>
  <si>
    <t>НУ-3417</t>
  </si>
  <si>
    <t>4670159034179</t>
  </si>
  <si>
    <t>203235</t>
  </si>
  <si>
    <t>Новогоднее украшение бусы на ёлку серебристые "Волшебство", 10 м, 10 мм, НУ-3422</t>
  </si>
  <si>
    <t>НУ-3422</t>
  </si>
  <si>
    <t>4670159034223</t>
  </si>
  <si>
    <t>203238</t>
  </si>
  <si>
    <t>Новогоднее украшение бусы на ёлку серебристые "Новогоднее чудо", 10 м,  8+3 мм, НУ-3425</t>
  </si>
  <si>
    <t>НУ-3425</t>
  </si>
  <si>
    <t>4670159034254</t>
  </si>
  <si>
    <t>203223</t>
  </si>
  <si>
    <t>Новогоднее украшение бусы на ёлку серебристые "Роскошь" , 10 м, 4 мм, НУ-3410</t>
  </si>
  <si>
    <t>НУ-3410</t>
  </si>
  <si>
    <t>4670159034100</t>
  </si>
  <si>
    <t>203227</t>
  </si>
  <si>
    <t>Новогоднее украшение бусы на ёлку серебристые "Сказочный праздник", 10 м, 6 мм, НУ-3414</t>
  </si>
  <si>
    <t>НУ-3414</t>
  </si>
  <si>
    <t>4670159034148</t>
  </si>
  <si>
    <t>203231</t>
  </si>
  <si>
    <t>Новогоднее украшение бусы на ёлку серебристые "Чудеса", 10 м, 8 мм, НУ-3418</t>
  </si>
  <si>
    <t>НУ-3418</t>
  </si>
  <si>
    <t>4670159034186</t>
  </si>
  <si>
    <t>203219</t>
  </si>
  <si>
    <t>Новогоднее украшение бусы на ёлку серебряные "Торжество", 10 м,  8 мм, НУ-3406</t>
  </si>
  <si>
    <t>НУ-3406</t>
  </si>
  <si>
    <t>4670159034063</t>
  </si>
  <si>
    <t>203236</t>
  </si>
  <si>
    <t>Новогоднее украшение бусы на ёлку синие "Волшебство", 10 м, 10 мм, НУ-3423</t>
  </si>
  <si>
    <t>НУ-3423</t>
  </si>
  <si>
    <t>4670159034230</t>
  </si>
  <si>
    <t>203224</t>
  </si>
  <si>
    <t>Новогоднее украшение бусы на ёлку синие "Роскошь", 10 м, 4 мм, НУ-3411</t>
  </si>
  <si>
    <t>НУ-3411</t>
  </si>
  <si>
    <t>4670159034117</t>
  </si>
  <si>
    <t>203228</t>
  </si>
  <si>
    <t>Новогоднее украшение бусы на ёлку синие "Сказочный праздник" , 10 м, 6 мм, НУ-3415</t>
  </si>
  <si>
    <t>НУ-3415</t>
  </si>
  <si>
    <t>4670159034155</t>
  </si>
  <si>
    <t>203220</t>
  </si>
  <si>
    <t>Новогоднее украшение бусы на ёлку синие "Торжество", 10 м, 8 мм, НУ-3407</t>
  </si>
  <si>
    <t>НУ-3407</t>
  </si>
  <si>
    <t>4670159034070</t>
  </si>
  <si>
    <t>203232</t>
  </si>
  <si>
    <t>Новогоднее украшение бусы на ёлку синие "Чудеса", 10 м, 8 мм, НУ-3419</t>
  </si>
  <si>
    <t>НУ-3419</t>
  </si>
  <si>
    <t>4670159034193</t>
  </si>
  <si>
    <t>08 Декоративная лента</t>
  </si>
  <si>
    <t>163364</t>
  </si>
  <si>
    <t>Набор новогодних лент Изящный бирюзовый с золотым принтом 24 шт 6.3cm*2.7m НУ-5214</t>
  </si>
  <si>
    <t>НУ-5214</t>
  </si>
  <si>
    <t>4680088497143</t>
  </si>
  <si>
    <t>163387</t>
  </si>
  <si>
    <t>Набор новогодних лент Красный и белый 16 шт 6.3cm*2.7m НУ-5221</t>
  </si>
  <si>
    <t>НУ-5221</t>
  </si>
  <si>
    <t>4680088497211</t>
  </si>
  <si>
    <t>206402</t>
  </si>
  <si>
    <t>Новогодняя лента. "Алые блестки", 6.3см*270см ЛП-5335</t>
  </si>
  <si>
    <t>ЛП-5335</t>
  </si>
  <si>
    <t>4670159053354</t>
  </si>
  <si>
    <t>206398</t>
  </si>
  <si>
    <t>Новогодняя лента. "Гранатовая россыпь", 2.5см*270см ЛП-5332</t>
  </si>
  <si>
    <t>ЛП-5332</t>
  </si>
  <si>
    <t>4670159053323</t>
  </si>
  <si>
    <t>206400</t>
  </si>
  <si>
    <t>Новогодняя лента. "Золотистые брызги", 6.3см*270см ЛП-5333</t>
  </si>
  <si>
    <t>ЛП-5333</t>
  </si>
  <si>
    <t>4670159053330</t>
  </si>
  <si>
    <t>206403</t>
  </si>
  <si>
    <t>Новогодняя лента. "Золотистый блеск", 6.3см*270см ЛП-5336</t>
  </si>
  <si>
    <t>ЛП-5336</t>
  </si>
  <si>
    <t>4670159053361</t>
  </si>
  <si>
    <t>206405</t>
  </si>
  <si>
    <t>Новогодняя лента. "Красный блеск", 6.3см*270см ЛП-5337</t>
  </si>
  <si>
    <t>ЛП-5337</t>
  </si>
  <si>
    <t>4670159053378</t>
  </si>
  <si>
    <t>206406</t>
  </si>
  <si>
    <t>Новогодняя лента. "Праздничное настроение",2.5см*270см ЛП-5338</t>
  </si>
  <si>
    <t>ЛП-5338</t>
  </si>
  <si>
    <t>4670159053385</t>
  </si>
  <si>
    <t>206408</t>
  </si>
  <si>
    <t>Новогодняя лента. "Рождественские оленята",2.5см*270см ЛП-5339</t>
  </si>
  <si>
    <t>ЛП-5339</t>
  </si>
  <si>
    <t>4670159053392</t>
  </si>
  <si>
    <t>206401</t>
  </si>
  <si>
    <t>Новогодняя лента. "Серебристая нежность", 6.3см*270см ЛП-5334</t>
  </si>
  <si>
    <t>ЛП-5334</t>
  </si>
  <si>
    <t>4670159053347</t>
  </si>
  <si>
    <t>09 Ёлочные банты</t>
  </si>
  <si>
    <t>1 Ёлочные банты (штуки)</t>
  </si>
  <si>
    <t>279558</t>
  </si>
  <si>
    <t>Новогоднее украшение. Ёлочный бант Волшебный, полиэфир бархат, бордовый, 15 см НУ-5427</t>
  </si>
  <si>
    <t>НУ-5427</t>
  </si>
  <si>
    <t>4680942674987</t>
  </si>
  <si>
    <t>163888</t>
  </si>
  <si>
    <t>Новогоднее украшение. Ёлочный бант Новогодний, бежевый 27 см НУ-2112</t>
  </si>
  <si>
    <t>НУ-2112</t>
  </si>
  <si>
    <t>4610144812122</t>
  </si>
  <si>
    <t>163884</t>
  </si>
  <si>
    <t>Новогоднее украшение. Ёлочный бант Новогодний, в ассортименте  23 см НУ-2109</t>
  </si>
  <si>
    <t>НУ-2109</t>
  </si>
  <si>
    <t>4610144812092</t>
  </si>
  <si>
    <t>163885</t>
  </si>
  <si>
    <t>Новогоднее украшение. Ёлочный бант Новогодний, золотой 20 см НУ-2110</t>
  </si>
  <si>
    <t>НУ-2110</t>
  </si>
  <si>
    <t>4610144812108</t>
  </si>
  <si>
    <t>163880</t>
  </si>
  <si>
    <t>Новогоднее украшение. Ёлочный бант Новогодний, золотой 38 см НУ-2107</t>
  </si>
  <si>
    <t>НУ-2107</t>
  </si>
  <si>
    <t>4610144812078</t>
  </si>
  <si>
    <t>279557</t>
  </si>
  <si>
    <t>Новогоднее украшение. Ёлочный бант Новогодний, полиэфир бархат, красный, 15 см НУ-5426</t>
  </si>
  <si>
    <t>НУ-5426</t>
  </si>
  <si>
    <t>4680942674970</t>
  </si>
  <si>
    <t>163896</t>
  </si>
  <si>
    <t>Новогоднее украшение. Ёлочный бант Рождественский, 12 см НУ-2117</t>
  </si>
  <si>
    <t>НУ-2117</t>
  </si>
  <si>
    <t>4610144812177</t>
  </si>
  <si>
    <t>163895</t>
  </si>
  <si>
    <t>Новогоднее украшение. Ёлочный бант Рождественский, 20 см в ассортименте НУ-2116</t>
  </si>
  <si>
    <t>НУ-2116</t>
  </si>
  <si>
    <t>4610144812160</t>
  </si>
  <si>
    <t>279556</t>
  </si>
  <si>
    <t>Новогоднее украшение. Ёлочный бант Рождественский, полиэфир бархат, темно-зеленый, 15 см НУ-5425</t>
  </si>
  <si>
    <t>НУ-5425</t>
  </si>
  <si>
    <t>4680942674963</t>
  </si>
  <si>
    <t>2 Ёлочные банты (наборы)</t>
  </si>
  <si>
    <t>201313</t>
  </si>
  <si>
    <t xml:space="preserve"> Новогоднее украшение. Набор ёлочных бантов, 3 шт "Шампань", 10*12 см НУ-2286</t>
  </si>
  <si>
    <t>НУ-2286</t>
  </si>
  <si>
    <t>4670159022862</t>
  </si>
  <si>
    <t>064849</t>
  </si>
  <si>
    <t>Набор ёлочных бантов "Праздничный" 5.5см 12 шт НУ-8357</t>
  </si>
  <si>
    <t>НУ-8357</t>
  </si>
  <si>
    <t>4665301783579</t>
  </si>
  <si>
    <t>064848</t>
  </si>
  <si>
    <t>Набор ёлочных бантов "С Новым Годом" 8см 6 шт НУ-8356</t>
  </si>
  <si>
    <t>НУ-8356</t>
  </si>
  <si>
    <t>4665301783562</t>
  </si>
  <si>
    <t>201318</t>
  </si>
  <si>
    <t>Новогоднее украшение. Набор ёлочных бантов, 2 шт "Веселые снеговички (бежевые)", 13*13 см НУ-2291</t>
  </si>
  <si>
    <t>НУ-2291</t>
  </si>
  <si>
    <t>4670159022916</t>
  </si>
  <si>
    <t>201317</t>
  </si>
  <si>
    <t>Новогоднее украшение. Набор ёлочных бантов, 2 шт "Веселые снеговички (красные)", 13*13 см НУ-2290</t>
  </si>
  <si>
    <t>НУ-2290</t>
  </si>
  <si>
    <t>4670159022909</t>
  </si>
  <si>
    <t>201316</t>
  </si>
  <si>
    <t>Новогоднее украшение. Набор ёлочных бантов, 2 шт "Дух рождества (бежевые)", 14*15 см НУ-2289</t>
  </si>
  <si>
    <t>НУ-2289</t>
  </si>
  <si>
    <t>4670159022893</t>
  </si>
  <si>
    <t>201315</t>
  </si>
  <si>
    <t>Новогоднее украшение. Набор ёлочных бантов, 2 шт "Дух рождества (красные)", 14*15 см НУ-2288</t>
  </si>
  <si>
    <t>НУ-2288</t>
  </si>
  <si>
    <t>4670159022886</t>
  </si>
  <si>
    <t>226261</t>
  </si>
  <si>
    <t>Новогоднее украшение. Набор ёлочных бантов, 2 шт "Рождественский вечер", бежевые, 14*15 см НУ-5931</t>
  </si>
  <si>
    <t>НУ-5931</t>
  </si>
  <si>
    <t>4670159159315</t>
  </si>
  <si>
    <t>284820</t>
  </si>
  <si>
    <t>Новогоднее украшение. Набор ёлочных бантов, 2 шт "Снегопад (красные)", 14*15 см НУ-5433</t>
  </si>
  <si>
    <t>НУ-5433</t>
  </si>
  <si>
    <t>4680942675038</t>
  </si>
  <si>
    <t>284796</t>
  </si>
  <si>
    <t>Новогоднее украшение. Набор ёлочных бантов, 2 шт "Снежинки (серые)" 13*13 см НУ-5432</t>
  </si>
  <si>
    <t>НУ-5432</t>
  </si>
  <si>
    <t>4680942675007</t>
  </si>
  <si>
    <t>201322</t>
  </si>
  <si>
    <t>Новогоднее украшение. Набор ёлочных бантов, 3 шт "Веселье", 11*11 см НУ-2295</t>
  </si>
  <si>
    <t>НУ-2295</t>
  </si>
  <si>
    <t>4670159022954</t>
  </si>
  <si>
    <t>201309</t>
  </si>
  <si>
    <t>Новогоднее украшение. Набор ёлочных бантов, 3 шт "Золотистая россыпь", 11*13 см НУ-2285</t>
  </si>
  <si>
    <t>НУ-2285</t>
  </si>
  <si>
    <t>4670159022855</t>
  </si>
  <si>
    <t>201314</t>
  </si>
  <si>
    <t>Новогоднее украшение. Набор ёлочных бантов, 3 шт "Клетка", 11*11 см НУ-2287</t>
  </si>
  <si>
    <t>НУ-2287</t>
  </si>
  <si>
    <t>4670159022879</t>
  </si>
  <si>
    <t>201321</t>
  </si>
  <si>
    <t>Новогоднее украшение. Набор ёлочных бантов, 3 шт "Праздник", 10*10 см НУ-2294</t>
  </si>
  <si>
    <t>НУ-2294</t>
  </si>
  <si>
    <t>4670159022947</t>
  </si>
  <si>
    <t>201307</t>
  </si>
  <si>
    <t>Новогоднее украшение. Набор ёлочных бантов, 6 шт "Роскошь",  8*9 см НУ-2283</t>
  </si>
  <si>
    <t>НУ-2283</t>
  </si>
  <si>
    <t>4670159022831</t>
  </si>
  <si>
    <t>163899</t>
  </si>
  <si>
    <t>Новогоднее украшение.Набор ёлочных бантов  Яркий праздник, в ассортименте 12 см НУ-2119</t>
  </si>
  <si>
    <t>НУ-2119</t>
  </si>
  <si>
    <t>4610144812191</t>
  </si>
  <si>
    <t>226237</t>
  </si>
  <si>
    <t>Новогоднее украшение.Набор ёлочных бантов, 12 шт. Яркий праздник, золотые 5,5 см НУ-5937</t>
  </si>
  <si>
    <t>НУ-5937</t>
  </si>
  <si>
    <t>4670159159377</t>
  </si>
  <si>
    <t>226250</t>
  </si>
  <si>
    <t>Новогоднее украшение.Набор ёлочных бантов, 12 шт. Яркий праздник, серебряные 5,5 см НУ-5940</t>
  </si>
  <si>
    <t>НУ-5940</t>
  </si>
  <si>
    <t>4670159159407</t>
  </si>
  <si>
    <t>226249</t>
  </si>
  <si>
    <t>Новогоднее украшение.Набор ёлочных бантов, 12 шт. Яркий праздник, синие 5,5 см НУ-5939</t>
  </si>
  <si>
    <t>НУ-5939</t>
  </si>
  <si>
    <t>4670159159391</t>
  </si>
  <si>
    <t>163900</t>
  </si>
  <si>
    <t>Новогоднее украшение.Набор ёлочных бантов, 2 шт., Славное рождество 15 см НУ-2120</t>
  </si>
  <si>
    <t>НУ-2120</t>
  </si>
  <si>
    <t>4610144812207</t>
  </si>
  <si>
    <t>082825</t>
  </si>
  <si>
    <t>Новогоднее украшение.Набор ёлочных бантов, 6 шт. Золотые бантики, 8 см. НУ-4449</t>
  </si>
  <si>
    <t>НУ-4449</t>
  </si>
  <si>
    <t>4665303244498</t>
  </si>
  <si>
    <t>082833</t>
  </si>
  <si>
    <t>Новогоднее украшение.Набор ёлочных бантов,3 шт. Красные банты, 13 см НУ-4452</t>
  </si>
  <si>
    <t>НУ-4452</t>
  </si>
  <si>
    <t>4665303244528</t>
  </si>
  <si>
    <t>10 Крючки для украшений</t>
  </si>
  <si>
    <t>234895</t>
  </si>
  <si>
    <t>Набор металлических крючков (для ёлочных  украшений), 100 шт, серебристые, 3*1,2см соб.раз НУ-9918</t>
  </si>
  <si>
    <t>НУ-9918</t>
  </si>
  <si>
    <t>4670159199182</t>
  </si>
  <si>
    <t>207514</t>
  </si>
  <si>
    <t>Набор металлических крючков (для ёлочных  украшений), 150 шт, серебристые, 4см. соб.раз НУ-6178</t>
  </si>
  <si>
    <t>НУ-6178</t>
  </si>
  <si>
    <t>4670159061786</t>
  </si>
  <si>
    <t>207510</t>
  </si>
  <si>
    <t>Набор металлических крючков (для ёлочных  украшений), 20 шт, золотистые,5*2.5см соб.раз НУ-6174</t>
  </si>
  <si>
    <t>НУ-6174</t>
  </si>
  <si>
    <t>4670159061748</t>
  </si>
  <si>
    <t>207508</t>
  </si>
  <si>
    <t>Набор металлических крючков (для ёлочных  украшений), 20 шт, серебристые, 5*2.5см соб.раз НУ-6172</t>
  </si>
  <si>
    <t>НУ-6172</t>
  </si>
  <si>
    <t>4670159061724</t>
  </si>
  <si>
    <t>207513</t>
  </si>
  <si>
    <t>Набор металлических крючков (для ёлочных  украшений), 40 шт, золотистые,5*2.5см соб.раз НУ-6177</t>
  </si>
  <si>
    <t>НУ-6177</t>
  </si>
  <si>
    <t>4670159061779</t>
  </si>
  <si>
    <t>234890</t>
  </si>
  <si>
    <t>Набор металлических крючков (для ёлочных  украшений), 50 шт, зеленые, 3*1,2см соб.раз НУ-9913</t>
  </si>
  <si>
    <t>НУ-9913</t>
  </si>
  <si>
    <t>4670159199137</t>
  </si>
  <si>
    <t>234891</t>
  </si>
  <si>
    <t>Набор металлических крючков (для ёлочных  украшений), 50 шт, золотистые, 3*1,2cм соб.раз НУ-9914</t>
  </si>
  <si>
    <t>НУ-9914</t>
  </si>
  <si>
    <t>4670159199144</t>
  </si>
  <si>
    <t>234889</t>
  </si>
  <si>
    <t>Набор металлических крючков (для ёлочных  украшений), 50 шт, серебристые, 3*1,2см соб.раз НУ-9912</t>
  </si>
  <si>
    <t>НУ-9912</t>
  </si>
  <si>
    <t>4670159199120</t>
  </si>
  <si>
    <t>234893</t>
  </si>
  <si>
    <t>Набор металлических крючков (для ёлочных  украшений), 80 шт, зеленые, 3*1,2см соб.раз НУ-9916</t>
  </si>
  <si>
    <t>НУ-9916</t>
  </si>
  <si>
    <t>4670159199168</t>
  </si>
  <si>
    <t>234894</t>
  </si>
  <si>
    <t>Набор металлических крючков (для ёлочных  украшений), 80 шт, золотистые, 3*1,2см соб.раз НУ-9917</t>
  </si>
  <si>
    <t>НУ-9917</t>
  </si>
  <si>
    <t>4670159199175</t>
  </si>
  <si>
    <t>234892</t>
  </si>
  <si>
    <t>Набор металлических крючков (для ёлочных  украшений), 80 шт, серебристые, 3*1,2см соб.раз НУ-9915</t>
  </si>
  <si>
    <t>НУ-9915</t>
  </si>
  <si>
    <t>4670159199151</t>
  </si>
  <si>
    <t>05 Напольные и декоративные ёлочки</t>
  </si>
  <si>
    <t>2 Декоративные ёлочки</t>
  </si>
  <si>
    <t>Без света</t>
  </si>
  <si>
    <t>203353</t>
  </si>
  <si>
    <t>Декоративная ёлка  "Благородная ель", 7*20 см. НУ-1959</t>
  </si>
  <si>
    <t>НУ-1959</t>
  </si>
  <si>
    <t>4670159019596</t>
  </si>
  <si>
    <t>227608</t>
  </si>
  <si>
    <t>Декоративная ёлка  "Зимняя красавица", 40 см, золотистая НУ-6732</t>
  </si>
  <si>
    <t>НУ-6732</t>
  </si>
  <si>
    <t>4670159167327</t>
  </si>
  <si>
    <t>275455</t>
  </si>
  <si>
    <t>Декоративная ёлка  "Изящная ёлочка", 20 см. Т-3685</t>
  </si>
  <si>
    <t>Т-3685</t>
  </si>
  <si>
    <t>4680942636855</t>
  </si>
  <si>
    <t>203364</t>
  </si>
  <si>
    <t>Декоративная ёлка  "Снежная сказка", 40 см. НУ-1972</t>
  </si>
  <si>
    <t>НУ-1972</t>
  </si>
  <si>
    <t>4670159019725</t>
  </si>
  <si>
    <t>227141</t>
  </si>
  <si>
    <t>Декоративная ёлка  "Торжество" 8*23 см, зеленая НУ-6334</t>
  </si>
  <si>
    <t>НУ-6334</t>
  </si>
  <si>
    <t>4670159163343</t>
  </si>
  <si>
    <t>203375</t>
  </si>
  <si>
    <t>Декоративная ёлка  "Ягодная красавица",40 см. НУ-1976</t>
  </si>
  <si>
    <t>НУ-1976</t>
  </si>
  <si>
    <t>4670159019763</t>
  </si>
  <si>
    <t>203367</t>
  </si>
  <si>
    <t>Декоративная ёлка  "Яркие краски", 50 см. НУ-1975</t>
  </si>
  <si>
    <t>НУ-1975</t>
  </si>
  <si>
    <t>4670159019756</t>
  </si>
  <si>
    <t>203363</t>
  </si>
  <si>
    <t>Декоративная ёлка в горшке  "Морозные ягоды", 25 см НУ-1971</t>
  </si>
  <si>
    <t>НУ-1971</t>
  </si>
  <si>
    <t>4670159019718</t>
  </si>
  <si>
    <t>203366</t>
  </si>
  <si>
    <t>Декоративная ёлка в горшочке  "Хвойная ель", 40 см. НУ-1974</t>
  </si>
  <si>
    <t>НУ-1974</t>
  </si>
  <si>
    <t>4670159019749</t>
  </si>
  <si>
    <t>103678</t>
  </si>
  <si>
    <t>Декоративная ёлка Лесная красавица, 26х15 см НУ-9986</t>
  </si>
  <si>
    <t>НУ-9986</t>
  </si>
  <si>
    <t>4665306699868</t>
  </si>
  <si>
    <t>187208</t>
  </si>
  <si>
    <t>Декоративная ёлка с золотистыми цветами на подставке, 20 см НУ-5664</t>
  </si>
  <si>
    <t>НУ-5664</t>
  </si>
  <si>
    <t>4620129751643</t>
  </si>
  <si>
    <t>082724</t>
  </si>
  <si>
    <t>Декоративная ёлка с золотым декором в горшке, 30 см Т-4391</t>
  </si>
  <si>
    <t>Т-4391</t>
  </si>
  <si>
    <t>4665303243910</t>
  </si>
  <si>
    <t>082721</t>
  </si>
  <si>
    <t>Декоративная ёлка с серебряным декором в горшке, 23 см Т-4388</t>
  </si>
  <si>
    <t>Т-4388</t>
  </si>
  <si>
    <t>4665303243880</t>
  </si>
  <si>
    <t>233398</t>
  </si>
  <si>
    <t>Елка декоративная "Зимняя красавица", 30см, голубая, размер (S) НУ-9033</t>
  </si>
  <si>
    <t>НУ-9033</t>
  </si>
  <si>
    <t>4670159189985</t>
  </si>
  <si>
    <t>233393</t>
  </si>
  <si>
    <t>Елка декоративная "Зимняя красавица", 30см, золотистая, размер (S) НУ-9030</t>
  </si>
  <si>
    <t>НУ-9030</t>
  </si>
  <si>
    <t>4670159189954</t>
  </si>
  <si>
    <t>233394</t>
  </si>
  <si>
    <t>Елка декоративная "Зимняя красавица", 30см, розовая, размер (S) НУ-9031</t>
  </si>
  <si>
    <t>НУ-9031</t>
  </si>
  <si>
    <t>4670159189961</t>
  </si>
  <si>
    <t>233407</t>
  </si>
  <si>
    <t>Елка декоративная "Зимняя красавица", 40см, голубая, размер (М) НУ-9037</t>
  </si>
  <si>
    <t>НУ-9037</t>
  </si>
  <si>
    <t>4670159190028</t>
  </si>
  <si>
    <t>233400</t>
  </si>
  <si>
    <t>Елка декоративная "Зимняя красавица", 40см, золотистая, размер (М) НУ-9034</t>
  </si>
  <si>
    <t>НУ-9034</t>
  </si>
  <si>
    <t>4670159189992</t>
  </si>
  <si>
    <t>233405</t>
  </si>
  <si>
    <t>Елка декоративная "Зимняя красавица", 40см, красная, размер (М) НУ-9036</t>
  </si>
  <si>
    <t>НУ-9036</t>
  </si>
  <si>
    <t>4670159190011</t>
  </si>
  <si>
    <t>233403</t>
  </si>
  <si>
    <t>Елка декоративная "Зимняя красавица", 40см, розовая, размер (М) НУ-9035</t>
  </si>
  <si>
    <t>НУ-9035</t>
  </si>
  <si>
    <t>4670159190004</t>
  </si>
  <si>
    <t>233419</t>
  </si>
  <si>
    <t>Елка декоративная "Зимняя красавица", 50см, голубая, размер (L) НУ-9041</t>
  </si>
  <si>
    <t>НУ-9041</t>
  </si>
  <si>
    <t>4670159190066</t>
  </si>
  <si>
    <t>233409</t>
  </si>
  <si>
    <t>Елка декоративная "Зимняя красавица", 50см, золотистая, размер (L) НУ-9038</t>
  </si>
  <si>
    <t>НУ-9038</t>
  </si>
  <si>
    <t>4670159190035</t>
  </si>
  <si>
    <t>233417</t>
  </si>
  <si>
    <t>Елка декоративная "Зимняя красавица", 50см, красная, размер (L) НУ-9040</t>
  </si>
  <si>
    <t>НУ-9040</t>
  </si>
  <si>
    <t>4670159190059</t>
  </si>
  <si>
    <t>233411</t>
  </si>
  <si>
    <t>Елка декоративная "Зимняя красавица", 50см, розовая, размер (L) НУ-9039</t>
  </si>
  <si>
    <t>НУ-9039</t>
  </si>
  <si>
    <t>4670159190042</t>
  </si>
  <si>
    <t>081809</t>
  </si>
  <si>
    <t>Ёлка декоративная со снегом, 20 см Т-4259</t>
  </si>
  <si>
    <t>Т-4259</t>
  </si>
  <si>
    <t>4665303242593</t>
  </si>
  <si>
    <t>081811</t>
  </si>
  <si>
    <t>Ёлка декоративная со снегом, 30 см Т-4260</t>
  </si>
  <si>
    <t>Т-4260</t>
  </si>
  <si>
    <t>4665303242609</t>
  </si>
  <si>
    <t>Со светом</t>
  </si>
  <si>
    <t>203355</t>
  </si>
  <si>
    <t>Декоративная ёлка   с подсветкой"Снежная краса" на батарейках  (не в комплекте), 10*27 см. НУ-1961</t>
  </si>
  <si>
    <t>НУ-1961</t>
  </si>
  <si>
    <t>4670159019619</t>
  </si>
  <si>
    <t>227143</t>
  </si>
  <si>
    <t>Декоративная ёлка  "Торжество" с LED подсвет. на бат. (AG 3) (не в комп.), 8*23 см, желтая НУ-6335</t>
  </si>
  <si>
    <t>НУ-6335</t>
  </si>
  <si>
    <t>4670159163350</t>
  </si>
  <si>
    <t>203362</t>
  </si>
  <si>
    <t>Декоративная ёлка  с подсветкой "Зимнее сияние",  на батарейках  (не в комплекте), 35см. НУ-1966</t>
  </si>
  <si>
    <t>НУ-1966</t>
  </si>
  <si>
    <t>4670159019664</t>
  </si>
  <si>
    <t>203358</t>
  </si>
  <si>
    <t>Декоративная ёлка  с подсветкой "Зимний лес" на батарейках  (не в комплекте), 9*26 см. НУ-1962</t>
  </si>
  <si>
    <t>НУ-1962</t>
  </si>
  <si>
    <t>4670159019626</t>
  </si>
  <si>
    <t>203361</t>
  </si>
  <si>
    <t>Декоративная ёлка  с подсветкой "Яркие огни"на батарейках  (не в комплекте), 25 см. НУ-1965</t>
  </si>
  <si>
    <t>НУ-1965</t>
  </si>
  <si>
    <t>4670159019657</t>
  </si>
  <si>
    <t>257766</t>
  </si>
  <si>
    <t>Световой прибор. Елка декоративная. Нарядная красавица 34 см работает от батареек 3AA  СВП-0077</t>
  </si>
  <si>
    <t>СВП-0077</t>
  </si>
  <si>
    <t>4630493774933</t>
  </si>
  <si>
    <t>3 Деревянные ёлочки</t>
  </si>
  <si>
    <t>233654</t>
  </si>
  <si>
    <t>Набор новогодняя фигура деревянная  с подвесками 24шт "Сказочная елочка", 29*20см НУ-9065</t>
  </si>
  <si>
    <t>НУ-9065</t>
  </si>
  <si>
    <t>4670159190653</t>
  </si>
  <si>
    <t>233655</t>
  </si>
  <si>
    <t>Набор новогодняя фигура деревянная  с подвесками 28шт "Дивная елочка", 35*23см НУ-9066</t>
  </si>
  <si>
    <t>НУ-9066</t>
  </si>
  <si>
    <t>4670159190660</t>
  </si>
  <si>
    <t>233656</t>
  </si>
  <si>
    <t>Набор новогодняя фигура деревянная фигурками 15шт "Волшебная елочка", 29*20см НУ-9067</t>
  </si>
  <si>
    <t>НУ-9067</t>
  </si>
  <si>
    <t>4670159190677</t>
  </si>
  <si>
    <t>269075</t>
  </si>
  <si>
    <t>Настольная ажурная деревянная  ёлочка с подвесками, 18.5х14х1.5 см НФ-0160</t>
  </si>
  <si>
    <t>НФ-0160</t>
  </si>
  <si>
    <t>4680942601600</t>
  </si>
  <si>
    <t>269071</t>
  </si>
  <si>
    <t>Настольная деревянная  ёлочка с подвесками, 23.5 см НФ-0158</t>
  </si>
  <si>
    <t>НФ-0158</t>
  </si>
  <si>
    <t>4680942601587</t>
  </si>
  <si>
    <t>269073</t>
  </si>
  <si>
    <t>Настольная деревянная  ёлочка с подвесками, 29.5 см НФ-0159</t>
  </si>
  <si>
    <t>НФ-0159</t>
  </si>
  <si>
    <t>4680942601594</t>
  </si>
  <si>
    <t>4 Металлические елочки</t>
  </si>
  <si>
    <t>255714</t>
  </si>
  <si>
    <t>Декоративная фигура "Елка золотистая" 19.5*6.5см  НУ-7076</t>
  </si>
  <si>
    <t>НУ-7076</t>
  </si>
  <si>
    <t>4630493770584</t>
  </si>
  <si>
    <t>255715</t>
  </si>
  <si>
    <t>Декоративная фигура "Елочка золотистая" 16*6 см НУ-7077</t>
  </si>
  <si>
    <t>НУ-7077</t>
  </si>
  <si>
    <t>4630493770591</t>
  </si>
  <si>
    <t>255716</t>
  </si>
  <si>
    <t>Декоративная фигура "Елочка спиралью" 20*6.5 см НУ-7078</t>
  </si>
  <si>
    <t>НУ-7078</t>
  </si>
  <si>
    <t>4630493770607</t>
  </si>
  <si>
    <t>5 Искусственные напольные ёлки</t>
  </si>
  <si>
    <t>252734</t>
  </si>
  <si>
    <t>Елка искусственная новогодняя двухцветная 180 см ПВХ напольная НУ-2777</t>
  </si>
  <si>
    <t>НУ-2777</t>
  </si>
  <si>
    <t>4640306927784</t>
  </si>
  <si>
    <t>176425</t>
  </si>
  <si>
    <t>Ель искусственная 150 см, 80 веток, зеленая с белым напылением НУ-7936</t>
  </si>
  <si>
    <t>НУ-7936</t>
  </si>
  <si>
    <t>187551</t>
  </si>
  <si>
    <t>Сосна искусственная зелёная пушистая 180 см 230 веток НУ-6600</t>
  </si>
  <si>
    <t>НУ-6600</t>
  </si>
  <si>
    <t>4620129756006</t>
  </si>
  <si>
    <t>187553</t>
  </si>
  <si>
    <t>Сосна искусственная зелёная пушистая 210 см 330 веток НУ-6601</t>
  </si>
  <si>
    <t>НУ-6601</t>
  </si>
  <si>
    <t>187637</t>
  </si>
  <si>
    <t>Сосна искусственная с заснеженными кончиками 210 см 300 веток НУ-6605</t>
  </si>
  <si>
    <t>НУ-6605</t>
  </si>
  <si>
    <t>4620129756051</t>
  </si>
  <si>
    <t>155288</t>
  </si>
  <si>
    <t>Сосна искусственная с шишками и ягодами 210 см 650 веток НУ-7729</t>
  </si>
  <si>
    <t>НУ-7729</t>
  </si>
  <si>
    <t>6 Коврики и корзины под елку</t>
  </si>
  <si>
    <t>227762</t>
  </si>
  <si>
    <t>Коврик под ёлку "Белоснежность", 60 см НУ-6772</t>
  </si>
  <si>
    <t>НУ-6772</t>
  </si>
  <si>
    <t>4670159167594</t>
  </si>
  <si>
    <t>201229</t>
  </si>
  <si>
    <t>Коврик под ёлку "Зимнее утро", 90 см НУ-2137</t>
  </si>
  <si>
    <t>НУ-2137</t>
  </si>
  <si>
    <t>4670159021377</t>
  </si>
  <si>
    <t>227767</t>
  </si>
  <si>
    <t>Коврик под ёлку "Нежные снежинки", 70 см НУ-6773</t>
  </si>
  <si>
    <t>НУ-6773</t>
  </si>
  <si>
    <t>4670159167600</t>
  </si>
  <si>
    <t>201227</t>
  </si>
  <si>
    <t>Коврик под ёлку "Снежная сказка", 80 см НУ-2135</t>
  </si>
  <si>
    <t>НУ-2135</t>
  </si>
  <si>
    <t>4670159021353</t>
  </si>
  <si>
    <t>227760</t>
  </si>
  <si>
    <t>Коврик под ёлку "Снежный", 60 см НУ-6771</t>
  </si>
  <si>
    <t>НУ-6771</t>
  </si>
  <si>
    <t>4670159167587</t>
  </si>
  <si>
    <t>201228</t>
  </si>
  <si>
    <t>Коврик под ёлку "Сочельник", 90 см НУ-2136</t>
  </si>
  <si>
    <t>НУ-2136</t>
  </si>
  <si>
    <t>4670159021360</t>
  </si>
  <si>
    <t>163292</t>
  </si>
  <si>
    <t>Коврик под елку Счастливого нового года, 90 см НУ-5331</t>
  </si>
  <si>
    <t>НУ-5331</t>
  </si>
  <si>
    <t>4680088498317</t>
  </si>
  <si>
    <t>279552</t>
  </si>
  <si>
    <t>Корзина под елку Зимняя до 180см (д-58см, в-24см), спанбонд, белый НУ-5421</t>
  </si>
  <si>
    <t>НУ-5421</t>
  </si>
  <si>
    <t>4680942654491</t>
  </si>
  <si>
    <t>279553</t>
  </si>
  <si>
    <t>Корзина под елку Новогодняя 210-230см (д-74см, в-25см), спанбонд, белый НУ-5422</t>
  </si>
  <si>
    <t>НУ-5422</t>
  </si>
  <si>
    <t>4680942654507</t>
  </si>
  <si>
    <t>7 Аксессуары для елки</t>
  </si>
  <si>
    <t>279554</t>
  </si>
  <si>
    <t>Чехол для елки 120х40х40 см, спанбонд, черный НУ-5423</t>
  </si>
  <si>
    <t>НУ-5423</t>
  </si>
  <si>
    <t>4680942654514</t>
  </si>
  <si>
    <t>06 Фигуры под елку</t>
  </si>
  <si>
    <t>1 Музыкальные</t>
  </si>
  <si>
    <t>1 Снегурочка</t>
  </si>
  <si>
    <t>30 см</t>
  </si>
  <si>
    <t>228012</t>
  </si>
  <si>
    <t>Сувенир музыкальный Внучка Деда Мороза в бело-золотистой шубе,с мелодией, 30см "собс.разр." Т-6010</t>
  </si>
  <si>
    <t>Т-6010</t>
  </si>
  <si>
    <t>4670159160106</t>
  </si>
  <si>
    <t>275370</t>
  </si>
  <si>
    <t>Сувенир музыкальный Внучка Деда Мороза в бело-серебристой шубе, с мелодией, 30 см, собс.разр. Т-3582</t>
  </si>
  <si>
    <t>Т-3582</t>
  </si>
  <si>
    <t>4680942635827</t>
  </si>
  <si>
    <t>228015</t>
  </si>
  <si>
    <t>Сувенир музыкальный Внучка Деда Мороза в бело-серебристой шубе,с мелодией, 30см "собс.разр." Т-6012</t>
  </si>
  <si>
    <t>Т-6012</t>
  </si>
  <si>
    <t>4670159160120</t>
  </si>
  <si>
    <t>187293</t>
  </si>
  <si>
    <t>Сувенир музыкальный Внучка Деда Мороза в белой шубе с поясом, с мелодией, 30 см соб.раз Т-5557</t>
  </si>
  <si>
    <t>Т-5557</t>
  </si>
  <si>
    <t>4620129745574</t>
  </si>
  <si>
    <t>275371</t>
  </si>
  <si>
    <t>Сувенир музыкальный Внучка Деда Мороза в белой шубе, с мелодией, 30 см, собс.разр.Т-3583</t>
  </si>
  <si>
    <t>Т-3583</t>
  </si>
  <si>
    <t>4680942635834</t>
  </si>
  <si>
    <t>228009</t>
  </si>
  <si>
    <t>Сувенир музыкальный Внучка Деда Мороза в голубой шубе с муфтой,с мелодией, 30см "собс.разр." Т-6008</t>
  </si>
  <si>
    <t>Т-6008</t>
  </si>
  <si>
    <t>4670159160083</t>
  </si>
  <si>
    <t>187287</t>
  </si>
  <si>
    <t>Сувенир музыкальный Внучка Деда Мороза в голубой шубе, с мелодией, 30 см, соб.раз Т-5551</t>
  </si>
  <si>
    <t>Т-5551</t>
  </si>
  <si>
    <t>4620129745512</t>
  </si>
  <si>
    <t>187291</t>
  </si>
  <si>
    <t>Сувенир музыкальный Внучка Деда Мороза в синей шубе с поясом, с мелодией, 30 см, соб.раз Т-5555</t>
  </si>
  <si>
    <t>Т-5555</t>
  </si>
  <si>
    <t>4620129745550</t>
  </si>
  <si>
    <t>228005</t>
  </si>
  <si>
    <t>Сувенир музыкальный Внучка Деда Мороза в темно-синей шубе,с мелодией, 30см "собс.разр." Т-6006</t>
  </si>
  <si>
    <t>Т-6006</t>
  </si>
  <si>
    <t>4670159160069</t>
  </si>
  <si>
    <t>40 см</t>
  </si>
  <si>
    <t>228013</t>
  </si>
  <si>
    <t>Сувенир музыкальный Внучка Деда Мороза в бело-золотистой шубе,с мелодией, 40см "собс.разр." Т-6011</t>
  </si>
  <si>
    <t>Т-6011</t>
  </si>
  <si>
    <t>4670159160113</t>
  </si>
  <si>
    <t>275374</t>
  </si>
  <si>
    <t>Сувенир музыкальный Внучка Деда Мороза в бело-серебристой шубе, с мелодией, 40 см, собс.разр.Т-3586</t>
  </si>
  <si>
    <t>Т-3586</t>
  </si>
  <si>
    <t>4680942635865</t>
  </si>
  <si>
    <t>228017</t>
  </si>
  <si>
    <t>Сувенир музыкальный Внучка Деда Мороза в бело-серебристой шубе,с мелодией, 40см "собс.разр." Т-6013</t>
  </si>
  <si>
    <t>Т-6013</t>
  </si>
  <si>
    <t>4670159160137</t>
  </si>
  <si>
    <t>187292</t>
  </si>
  <si>
    <t>Сувенир музыкальный Внучка Деда Мороза в белой шубе с поясом, с мелодией, 40 см, соб.раз Т-5556</t>
  </si>
  <si>
    <t>Т-5556</t>
  </si>
  <si>
    <t>4620129745567</t>
  </si>
  <si>
    <t>275373</t>
  </si>
  <si>
    <t>Сувенир музыкальный Внучка Деда Мороза в белой шубе, с мелодией, 40 см, собс.разр.Т-3585</t>
  </si>
  <si>
    <t>Т-3585</t>
  </si>
  <si>
    <t>4680942635858</t>
  </si>
  <si>
    <t>228010</t>
  </si>
  <si>
    <t>Сувенир музыкальный Внучка Деда Мороза в голубой шубе с муфтой,с мелодией, 40см "собс.разр." Т-6009</t>
  </si>
  <si>
    <t>Т-6009</t>
  </si>
  <si>
    <t>4670159160090</t>
  </si>
  <si>
    <t>154266</t>
  </si>
  <si>
    <t>Сувенир музыкальный Внучка Деда Мороза в голубой шубе, с мелодией, 40 см, соб.раз Т-6821</t>
  </si>
  <si>
    <t>Т-6821</t>
  </si>
  <si>
    <t>4680088468211</t>
  </si>
  <si>
    <t>187290</t>
  </si>
  <si>
    <t>Сувенир музыкальный Внучка Деда Мороза в синей шубе с поясом, с мелодией, 40 см, соб.раз  Т-5554</t>
  </si>
  <si>
    <t>Т-5554</t>
  </si>
  <si>
    <t>4620129745543</t>
  </si>
  <si>
    <t>228007</t>
  </si>
  <si>
    <t>Сувенир музыкальный Внучка Деда Мороза в темно-синей шубе,с мелодией, 40см "собс.разр." Т-6007</t>
  </si>
  <si>
    <t>Т-6007</t>
  </si>
  <si>
    <t>4670159160076</t>
  </si>
  <si>
    <t>2 Дед Мороз</t>
  </si>
  <si>
    <t>275384</t>
  </si>
  <si>
    <t>Дед Мороз в красной шубе с золотистым узором, с мешком подарков, с мелодией, 30см, собс.разр Т-3593</t>
  </si>
  <si>
    <t>Т-3593</t>
  </si>
  <si>
    <t>4680942635933</t>
  </si>
  <si>
    <t>228018</t>
  </si>
  <si>
    <t>Сувенир музыкальный Дед Мороз в бело-золотой шубе,с мелодией, 30см "собс.разр." Т-6014</t>
  </si>
  <si>
    <t>Т-6014</t>
  </si>
  <si>
    <t>4670159160144</t>
  </si>
  <si>
    <t>228021</t>
  </si>
  <si>
    <t>Сувенир музыкальный Дед Мороз в бело-серебристой шубе,с мелодией, 30см "собс.разр." Т-6016</t>
  </si>
  <si>
    <t>Т-6016</t>
  </si>
  <si>
    <t>4670159160168</t>
  </si>
  <si>
    <t>187286</t>
  </si>
  <si>
    <t>Сувенир музыкальный Дед Мороз в золотой шубе, с мелодией, 30 см, соб.раз Т-5550</t>
  </si>
  <si>
    <t>Т-5550</t>
  </si>
  <si>
    <t>4620129745505</t>
  </si>
  <si>
    <t>203614</t>
  </si>
  <si>
    <t>Сувенир музыкальный Дед Мороз в красной богатой шубе, с мешком подарков,30 см собств.раз Т-3627</t>
  </si>
  <si>
    <t>Т-3627</t>
  </si>
  <si>
    <t>4670159036678</t>
  </si>
  <si>
    <t>187289</t>
  </si>
  <si>
    <t>Сувенир музыкальный Дед Мороз в красной шубе с с пайетками, с мелодией, 30 см, соб.раз Т-5553</t>
  </si>
  <si>
    <t>Т-5553</t>
  </si>
  <si>
    <t>4620129745536</t>
  </si>
  <si>
    <t>275386</t>
  </si>
  <si>
    <t>Дед Мороз в красной шубе с золотистым узором, с мешком подарков, с мелодией, 40см, собс.разр. Т-3595</t>
  </si>
  <si>
    <t>Т-3595</t>
  </si>
  <si>
    <t>4680942635957</t>
  </si>
  <si>
    <t>275390</t>
  </si>
  <si>
    <t>Дед Мороз в красной шубе с золотистым узором, с мешком подарков, с мелодией, 40см, собс.разр. Т-3597</t>
  </si>
  <si>
    <t>Т-3597</t>
  </si>
  <si>
    <t>4680942635971</t>
  </si>
  <si>
    <t>154264</t>
  </si>
  <si>
    <t>Сувенир  музыкальный Дед Мороз в золотой шубе, с мелодией, 40 см, соб.раз Т-6820</t>
  </si>
  <si>
    <t>Т-6820</t>
  </si>
  <si>
    <t>4680088468204</t>
  </si>
  <si>
    <t>228019</t>
  </si>
  <si>
    <t>Сувенир музыкальный Дед Мороз в бело-золотой шубе,с мелодией, 40см "собс.разр." Т-6015</t>
  </si>
  <si>
    <t>Т-6015</t>
  </si>
  <si>
    <t>4670159160151</t>
  </si>
  <si>
    <t>228022</t>
  </si>
  <si>
    <t>Сувенир музыкальный Дед Мороз в бело-серебристой шубе,с мелодией, 40см "собс.разр." Т-6017</t>
  </si>
  <si>
    <t>Т-6017</t>
  </si>
  <si>
    <t>4670159160175</t>
  </si>
  <si>
    <t>203616</t>
  </si>
  <si>
    <t>Сувенир музыкальный Дед Мороз в красной богатой шубе, с мешком подарков, 40см собств.разраб Т-3628</t>
  </si>
  <si>
    <t>Т-3628</t>
  </si>
  <si>
    <t>4670159036685</t>
  </si>
  <si>
    <t>187288</t>
  </si>
  <si>
    <t>Сувенир музыкальный Дед Мороз в красной шубе с с пайетками, с мелодией, 40 см, соб.раз Т-5552</t>
  </si>
  <si>
    <t>Т-5552</t>
  </si>
  <si>
    <t>4620129745529</t>
  </si>
  <si>
    <t>154261</t>
  </si>
  <si>
    <t>Сувенир музыкальный Дед Мороз в красной шубе, с новогодним венком, с мелодией, 40 см Т-6817</t>
  </si>
  <si>
    <t>Т-6817</t>
  </si>
  <si>
    <t>4680088468174</t>
  </si>
  <si>
    <t>60 см</t>
  </si>
  <si>
    <t>228026</t>
  </si>
  <si>
    <t>Сувенир музыкальный Дед Мороз в красной шубе,2 песни,2 стих.,60см, собс.разр.,чип на 4произв. Т-6020</t>
  </si>
  <si>
    <t>Т-6020</t>
  </si>
  <si>
    <t>4670159160205</t>
  </si>
  <si>
    <t>3 Набор ДМ и Снегурочка</t>
  </si>
  <si>
    <t>275395</t>
  </si>
  <si>
    <t>Сувениры музыкальные в наборе. 2 шт. Дед Мороз и Внучка, 30+30 см, собс.разр.Т-3601</t>
  </si>
  <si>
    <t>Т-3601</t>
  </si>
  <si>
    <t>4680942636015</t>
  </si>
  <si>
    <t>275396</t>
  </si>
  <si>
    <t>Сувениры музыкальные в наборе. 2 шт. Дед Мороз и Внучка, 40+30 см, собс.разр.Т-3602</t>
  </si>
  <si>
    <t>Т-3602</t>
  </si>
  <si>
    <t>4680942636022</t>
  </si>
  <si>
    <t>275397</t>
  </si>
  <si>
    <t>Сувениры музыкальные в наборе. 2 шт. Дед Мороз и Внучка, 40+40 см, собс.разр.Т-3603</t>
  </si>
  <si>
    <t>Т-3603</t>
  </si>
  <si>
    <t>4680942636039</t>
  </si>
  <si>
    <t>2 Немузыкальные</t>
  </si>
  <si>
    <t xml:space="preserve"> 30 см</t>
  </si>
  <si>
    <t>227222</t>
  </si>
  <si>
    <t>Сувенир Внучка Деда Мороза в бело-золотистой шубке, 30 см, собственная разраб. Т-6351</t>
  </si>
  <si>
    <t>Т-6351</t>
  </si>
  <si>
    <t>4670159163725</t>
  </si>
  <si>
    <t>227221</t>
  </si>
  <si>
    <t>Сувенир Внучка Деда Мороза в богатой синей шубке, 30 см, собственная разраб. Т-6350</t>
  </si>
  <si>
    <t>Т-6350</t>
  </si>
  <si>
    <t>4670159163718</t>
  </si>
  <si>
    <t>227993</t>
  </si>
  <si>
    <t>Сувенир Внучка Деда Мороза в голубой шубе со снежинками, 30см "собс.разр." Т-6581</t>
  </si>
  <si>
    <t>Т-6581</t>
  </si>
  <si>
    <t>4670159165811</t>
  </si>
  <si>
    <t>203638</t>
  </si>
  <si>
    <t>Сувенир Внучка Деда Мороза в голубой шубке, 30 см, собственная разработка Т-3618</t>
  </si>
  <si>
    <t>Т-3618</t>
  </si>
  <si>
    <t>4670159036180</t>
  </si>
  <si>
    <t xml:space="preserve"> 40 см</t>
  </si>
  <si>
    <t>227225</t>
  </si>
  <si>
    <t>Сувенир Внучка Деда Мороза в бело-золотистой шубке, 40 см, собственная разраб. Т-6354</t>
  </si>
  <si>
    <t>Т-6354</t>
  </si>
  <si>
    <t>4670159163756</t>
  </si>
  <si>
    <t>203635</t>
  </si>
  <si>
    <t>Сувенир Внучка Деда Мороза в белой шубке, 40 см, собственная разработка Т-3616</t>
  </si>
  <si>
    <t>Т-3616</t>
  </si>
  <si>
    <t>4670159036166</t>
  </si>
  <si>
    <t>227224</t>
  </si>
  <si>
    <t>Сувенир Внучка Деда Мороза в богатой синей шубке, 40 см, собственная разраб. Т-6353</t>
  </si>
  <si>
    <t>Т-6353</t>
  </si>
  <si>
    <t>4670159163749</t>
  </si>
  <si>
    <t>203639</t>
  </si>
  <si>
    <t>Сувенир Внучка Деда Мороза в голубой шубке, 40 см, собственная разработка Т-3619</t>
  </si>
  <si>
    <t>Т-3619</t>
  </si>
  <si>
    <t>4670159036197</t>
  </si>
  <si>
    <t xml:space="preserve"> 55 см</t>
  </si>
  <si>
    <t>203637</t>
  </si>
  <si>
    <t>Сувенир Внучка Деда Мороза в белой шубке, 55 см, собственная разработка Т-3617</t>
  </si>
  <si>
    <t>Т-3617</t>
  </si>
  <si>
    <t>4670159036173</t>
  </si>
  <si>
    <t>227227</t>
  </si>
  <si>
    <t>Сувенир Внучка Деда Мороза в богатой синей шубке, 55 см, собственная разраб. Т-6355</t>
  </si>
  <si>
    <t>Т-6355</t>
  </si>
  <si>
    <t>4670159163763</t>
  </si>
  <si>
    <t>203640</t>
  </si>
  <si>
    <t>Сувенир Внучка Деда Мороза в голубой шубке, 55 см,соб.раз Т-3620</t>
  </si>
  <si>
    <t>Т-3620</t>
  </si>
  <si>
    <t>4670159036203</t>
  </si>
  <si>
    <t xml:space="preserve"> 74 см</t>
  </si>
  <si>
    <t>227228</t>
  </si>
  <si>
    <t>Сувенир Внучка Деда Мороза в богатой синей шубке, 74 см, собственная разраб. Т-6356</t>
  </si>
  <si>
    <t>Т-6356</t>
  </si>
  <si>
    <t>4670159163770</t>
  </si>
  <si>
    <t>203641</t>
  </si>
  <si>
    <t>Сувенир Внучка Деда Мороза в голубой шубке, 74 см,соб.раз Т-3621</t>
  </si>
  <si>
    <t>Т-3621</t>
  </si>
  <si>
    <t>4670159036210</t>
  </si>
  <si>
    <t xml:space="preserve"> 80 см</t>
  </si>
  <si>
    <t>228004</t>
  </si>
  <si>
    <t>Сувенир Внучка Деда Мороза в голубой шубе со снежинками, 80см "собс.разр." Т-6005</t>
  </si>
  <si>
    <t>Т-6005</t>
  </si>
  <si>
    <t>4670159160052</t>
  </si>
  <si>
    <t>227208</t>
  </si>
  <si>
    <t>Сувенир Дед Мороз в бело-серебристой шубе с посохом, собственная разработка, 30 см Т-6345</t>
  </si>
  <si>
    <t>Т-6345</t>
  </si>
  <si>
    <t>4670159163664</t>
  </si>
  <si>
    <t>227206</t>
  </si>
  <si>
    <t>Сувенир Дед Мороз в богатой синей шубе с посохом, собственная разработка, 30 см Т-6344</t>
  </si>
  <si>
    <t>Т-6344</t>
  </si>
  <si>
    <t>4670159163657</t>
  </si>
  <si>
    <t>186916</t>
  </si>
  <si>
    <t>Сувенир Дед Мороз в красной шубе винтаж, 30 см соб.раз Т-5511</t>
  </si>
  <si>
    <t>Т-5511</t>
  </si>
  <si>
    <t>4620129745116</t>
  </si>
  <si>
    <t>228000</t>
  </si>
  <si>
    <t>Сувенир Дед Мороз в красной шубе с мешком подарков, 30см "собс.разр." Т-6585</t>
  </si>
  <si>
    <t>Т-6585</t>
  </si>
  <si>
    <t>4670159165859</t>
  </si>
  <si>
    <t>227997</t>
  </si>
  <si>
    <t>Сувенир Дед Мороз в красной шубе с пайетками и белым мехом, 30см "собс.разр." Т-6583</t>
  </si>
  <si>
    <t>Т-6583</t>
  </si>
  <si>
    <t>4670159165835</t>
  </si>
  <si>
    <t>228001</t>
  </si>
  <si>
    <t>Сувенир Дед Мороз в красной шубе с мешком подарков, 40см "собс.разр." Т-6586</t>
  </si>
  <si>
    <t>Т-6586</t>
  </si>
  <si>
    <t>4670159165866</t>
  </si>
  <si>
    <t xml:space="preserve"> 45 см</t>
  </si>
  <si>
    <t>227211</t>
  </si>
  <si>
    <t>Сувенир Дед Мороз в бело-золотистой шубе с мешком, собственная разработка, 45 см Т-6358</t>
  </si>
  <si>
    <t>Т-6358</t>
  </si>
  <si>
    <t>4670159163794</t>
  </si>
  <si>
    <t>203642</t>
  </si>
  <si>
    <t>Сувенир Дед Мороз в красной богатой шубе, 45 см, собственная разработка Т-3622</t>
  </si>
  <si>
    <t>Т-3622</t>
  </si>
  <si>
    <t>4670159036227</t>
  </si>
  <si>
    <t>227213</t>
  </si>
  <si>
    <t>Сувенир Дед Мороз в красной шубе с посохом, собственная разработка, 45 см Т-6360</t>
  </si>
  <si>
    <t>Т-6360</t>
  </si>
  <si>
    <t>4670159163817</t>
  </si>
  <si>
    <t xml:space="preserve"> 60 см</t>
  </si>
  <si>
    <t>227204</t>
  </si>
  <si>
    <t>Сувенир Дед Мороз в бело-золотистой шубе с мешком, собственная разработка, 60 см Т-6342</t>
  </si>
  <si>
    <t>Т-6342</t>
  </si>
  <si>
    <t>4670159163633</t>
  </si>
  <si>
    <t>203643</t>
  </si>
  <si>
    <t>Сувенир Дед Мороз в красной богатой шубе, 60 см, собственная разработка Т-3623</t>
  </si>
  <si>
    <t>Т-3623</t>
  </si>
  <si>
    <t>4670159036234</t>
  </si>
  <si>
    <t>186918</t>
  </si>
  <si>
    <t>Сувенир Дед Мороз в красной шубе с посохом, 60 см, соб.раз Т-5513</t>
  </si>
  <si>
    <t>Т-5513</t>
  </si>
  <si>
    <t>4620129745130</t>
  </si>
  <si>
    <t>186919</t>
  </si>
  <si>
    <t>Сувенир Дед Мороз в синей шубе с посохом, 60 см, соб.раз Т-5514</t>
  </si>
  <si>
    <t>Т-5514</t>
  </si>
  <si>
    <t>4620129745147</t>
  </si>
  <si>
    <t xml:space="preserve"> 79 см</t>
  </si>
  <si>
    <t>203644</t>
  </si>
  <si>
    <t>Сувенир Дед Мороз в красной богатой шубе, 79 см, собственная разработка Т-3624</t>
  </si>
  <si>
    <t>Т-3624</t>
  </si>
  <si>
    <t>4670159036241</t>
  </si>
  <si>
    <t>186917</t>
  </si>
  <si>
    <t>Сувенир Дед Мороз в красной шубе винтаж, 79 см,соб.раз Т-5512</t>
  </si>
  <si>
    <t>Т-5512</t>
  </si>
  <si>
    <t>4620129745123</t>
  </si>
  <si>
    <t>186921</t>
  </si>
  <si>
    <t>Сувенир Дед Мороз в серой блестящей шубе с посохом, 79 см, соб.раз Т-5516</t>
  </si>
  <si>
    <t>Т-5516</t>
  </si>
  <si>
    <t>4620129745161</t>
  </si>
  <si>
    <t>110 см</t>
  </si>
  <si>
    <t>227216</t>
  </si>
  <si>
    <t>Сувенир Дед Мороз в богатой синей шубе с посохом, собственная разработка, 110 см Т-6349</t>
  </si>
  <si>
    <t>Т-6349</t>
  </si>
  <si>
    <t>4670159163701</t>
  </si>
  <si>
    <t>203634</t>
  </si>
  <si>
    <t>Сувенир Дед Мороз в красной шубе винтаж, 110 см, собственная разработка Т-3615</t>
  </si>
  <si>
    <t>Т-3615</t>
  </si>
  <si>
    <t>4670159036159</t>
  </si>
  <si>
    <t>227215</t>
  </si>
  <si>
    <t>Сувенир Дед Мороз в красной шубе, с посохом, собственная разработка, 110 см Т-6348</t>
  </si>
  <si>
    <t>Т-6348</t>
  </si>
  <si>
    <t>4670159163695</t>
  </si>
  <si>
    <t>130 см</t>
  </si>
  <si>
    <t>227219</t>
  </si>
  <si>
    <t>Сувенир Дед Мороз в красной шубе с посохом, собственная разработка, 130 см Т-6340</t>
  </si>
  <si>
    <t>Т-6340</t>
  </si>
  <si>
    <t>4670159163619</t>
  </si>
  <si>
    <t>150 см</t>
  </si>
  <si>
    <t>227220</t>
  </si>
  <si>
    <t>Сувенир Дед Мороз в красной шубе с посохом, собственная разработка, 150 см Т-6341</t>
  </si>
  <si>
    <t>Т-6341</t>
  </si>
  <si>
    <t>4670159163626</t>
  </si>
  <si>
    <t>3 Наборы (Дед Мороз и Снегурочка)</t>
  </si>
  <si>
    <t>271980</t>
  </si>
  <si>
    <t>Набор Сувениров Дед Мороз 45 см и Внучка 40 см, соб.раз НУ-1752</t>
  </si>
  <si>
    <t>НУ-1752</t>
  </si>
  <si>
    <t>4680942617526</t>
  </si>
  <si>
    <t>277858</t>
  </si>
  <si>
    <t>Набор Сувениров Дед Мороз в красно-золотистой шубе 40 см и Внучка 30 см (собст.разр) 2 шт Т-5091</t>
  </si>
  <si>
    <t>Т-5091</t>
  </si>
  <si>
    <t>4680942649992</t>
  </si>
  <si>
    <t>277859</t>
  </si>
  <si>
    <t>Набор Сувениров Дед Мороз в красной шубе 30 см и Внучка 30 см (собст.разр) 2 шт Т-5092</t>
  </si>
  <si>
    <t>Т-5092</t>
  </si>
  <si>
    <t>4680942650004</t>
  </si>
  <si>
    <t>277860</t>
  </si>
  <si>
    <t>Набор Сувениров Дед Мороз в красной шубе 40 см и Внучка 40 см (собст.разр) 2 шт Т-5093</t>
  </si>
  <si>
    <t>Т-5093</t>
  </si>
  <si>
    <t>4680942650011</t>
  </si>
  <si>
    <t>4 Санта</t>
  </si>
  <si>
    <t>227061</t>
  </si>
  <si>
    <t>Сувенир Дед Мороз в белой шубе с серым мехом и лыжами, 35см НУ-6276</t>
  </si>
  <si>
    <t>НУ-6276</t>
  </si>
  <si>
    <t>4670159162766</t>
  </si>
  <si>
    <t>227055</t>
  </si>
  <si>
    <t>Сувенир Дед Мороз в клетчатой шубе с серым мехом и лыжами, 35см НУ-6271</t>
  </si>
  <si>
    <t>НУ-6271</t>
  </si>
  <si>
    <t>4670159162711</t>
  </si>
  <si>
    <t>227062</t>
  </si>
  <si>
    <t>Сувенир Дед Мороз в красной шубе с белым мехом и подарками, 35см НУ-6277</t>
  </si>
  <si>
    <t>НУ-6277</t>
  </si>
  <si>
    <t>4670159162773</t>
  </si>
  <si>
    <t>227057</t>
  </si>
  <si>
    <t>Сувенир Дед Мороз в красной шубе с белым мехом и фонарём, 35см НУ-6272</t>
  </si>
  <si>
    <t>НУ-6272</t>
  </si>
  <si>
    <t>4670159162728</t>
  </si>
  <si>
    <t>186913</t>
  </si>
  <si>
    <t>Сувенир Дед Мороз в красной шубе, с санками, 30 см Т-5508</t>
  </si>
  <si>
    <t>Т-5508</t>
  </si>
  <si>
    <t>4620129745086</t>
  </si>
  <si>
    <t>227058</t>
  </si>
  <si>
    <t>Сувенир Дед Мороз в серой шубе с белым мехом и лыжами, 35см НУ-6273</t>
  </si>
  <si>
    <t>НУ-6273</t>
  </si>
  <si>
    <t>4670159162735</t>
  </si>
  <si>
    <t>227060</t>
  </si>
  <si>
    <t>Сувенир Дед Мороз в серой шубе с белым мехом и лыжами, 35см НУ-6275</t>
  </si>
  <si>
    <t>НУ-6275</t>
  </si>
  <si>
    <t>4670159162759</t>
  </si>
  <si>
    <t>227059</t>
  </si>
  <si>
    <t>Сувенир Дед Мороз в сером костюме с коричневым мехом и лыжами, 35см НУ-6274</t>
  </si>
  <si>
    <t>НУ-6274</t>
  </si>
  <si>
    <t>4670159162742</t>
  </si>
  <si>
    <t>154699</t>
  </si>
  <si>
    <t>Сувенир Дед Мороз в красной шубе с пушистым мехом, с лыжами, 45 см Т-9555</t>
  </si>
  <si>
    <t>Т-9555</t>
  </si>
  <si>
    <t>4680088485553</t>
  </si>
  <si>
    <t>154701</t>
  </si>
  <si>
    <t>Сувенир Дед Мороз в красной шубе с пушистым мехом, с лыжами, 60 см Т-9556</t>
  </si>
  <si>
    <t>Т-9556</t>
  </si>
  <si>
    <t>4680088485560</t>
  </si>
  <si>
    <t>186923</t>
  </si>
  <si>
    <t>Сувенир Дед Мороз в красной шубе, с лыжами и мешком, 60 см Т-5518</t>
  </si>
  <si>
    <t>Т-5518</t>
  </si>
  <si>
    <t>4620129745185</t>
  </si>
  <si>
    <t>154684</t>
  </si>
  <si>
    <t>Сувенир Дед Мороз в красной шубе, с лыжами, 60 см Т-9551</t>
  </si>
  <si>
    <t>Т-9551</t>
  </si>
  <si>
    <t>4680088485515</t>
  </si>
  <si>
    <t>154697</t>
  </si>
  <si>
    <t>Сувенир Дед Мороз в красной шубе, с хворостом, 60 см Т-9554</t>
  </si>
  <si>
    <t>Т-9554</t>
  </si>
  <si>
    <t>4680088485546</t>
  </si>
  <si>
    <t>186922</t>
  </si>
  <si>
    <t>Сувенир Дед Мороз в серой шубе с фонариком и мешком, 60 см Т-5517</t>
  </si>
  <si>
    <t>Т-5517</t>
  </si>
  <si>
    <t>4620129745178</t>
  </si>
  <si>
    <t>154686</t>
  </si>
  <si>
    <t>Сувенир Дед Мороз в серой шубе, с фонариком, 60 см Т-9553</t>
  </si>
  <si>
    <t>Т-9553</t>
  </si>
  <si>
    <t>4680088485539</t>
  </si>
  <si>
    <t>154702</t>
  </si>
  <si>
    <t>Сувенир Дед Мороз в красной шубе с пушистым мехом, с лыжами, 79 см Т-9557</t>
  </si>
  <si>
    <t>Т-9557</t>
  </si>
  <si>
    <t>4680088485577</t>
  </si>
  <si>
    <t>154685</t>
  </si>
  <si>
    <t>Сувенир Дед Мороз в красной шубе, с лыжами, 79 см Т-9552</t>
  </si>
  <si>
    <t>Т-9552</t>
  </si>
  <si>
    <t>4680088485522</t>
  </si>
  <si>
    <t>186924</t>
  </si>
  <si>
    <t>Сувенир Дед Мороз в красной шубе, с мешком и подарком, 79 см Т-5519</t>
  </si>
  <si>
    <t>Т-5519</t>
  </si>
  <si>
    <t>4620129745192</t>
  </si>
  <si>
    <t>186915</t>
  </si>
  <si>
    <t>Сувенир Дед Мороз в красной шубе, с санками, 79 см Т-5510</t>
  </si>
  <si>
    <t>Т-5510</t>
  </si>
  <si>
    <t>4620129745109</t>
  </si>
  <si>
    <t>5 Светящиеся</t>
  </si>
  <si>
    <t>1 Дед Мороз</t>
  </si>
  <si>
    <t>256350</t>
  </si>
  <si>
    <t>Фигура декоративная с подсветкой Дед Мороз в красной шубе, батар. 3шт*CR2032, 30 см, соб.раз Т-7089</t>
  </si>
  <si>
    <t>Т-7089</t>
  </si>
  <si>
    <t>4630493770898</t>
  </si>
  <si>
    <t>256353</t>
  </si>
  <si>
    <t>Т-7090</t>
  </si>
  <si>
    <t>4630493770904</t>
  </si>
  <si>
    <t>256354</t>
  </si>
  <si>
    <t>Фигура декоративная с подсветкой Дед Мороз в серебряной шубе, батар. 3шт*CR2032(Соб.раз)30 см Т-7091</t>
  </si>
  <si>
    <t>Т-7091</t>
  </si>
  <si>
    <t>4630493770911</t>
  </si>
  <si>
    <t>256356</t>
  </si>
  <si>
    <t>Фигура декоративная с подсветкой Дед Мороз в серебряной шубе, батар. 3шт*CR2032(соб.раз)40 см Т-7092</t>
  </si>
  <si>
    <t>Т-7092</t>
  </si>
  <si>
    <t>4630493770928</t>
  </si>
  <si>
    <t>2 Снегурочка</t>
  </si>
  <si>
    <t>256361</t>
  </si>
  <si>
    <t>Фигура декор. с подсветкой Внучка деда мороза в голубой шубке, батар.3шт*CR2032(соб.раз)40 см Т-7096</t>
  </si>
  <si>
    <t>Т-7096</t>
  </si>
  <si>
    <t>4630493770966</t>
  </si>
  <si>
    <t>256360</t>
  </si>
  <si>
    <t>Фигура декор. с подсветкой Внучка деда мороза в голубой шубке,батар.3шт*CR2032(Соб.раз)30 см Т-7095</t>
  </si>
  <si>
    <t>Т-7095</t>
  </si>
  <si>
    <t>4630493770959</t>
  </si>
  <si>
    <t>256362</t>
  </si>
  <si>
    <t>Фигура декор.с подсветкой Внучка деда мороза в серебряной шубе,батар.3шт*CR2032(соб.раз)30 см Т-7097</t>
  </si>
  <si>
    <t>Т-7097</t>
  </si>
  <si>
    <t>4630493770973</t>
  </si>
  <si>
    <t>256363</t>
  </si>
  <si>
    <t>Фигура декор.с подсветкой Внучка деда мороза в серебряной шубе,батар.3шт*CR2032(соб.раз)40 см Т-7098</t>
  </si>
  <si>
    <t>Т-7098</t>
  </si>
  <si>
    <t>4630493770980</t>
  </si>
  <si>
    <t>3 Санта</t>
  </si>
  <si>
    <t>256357</t>
  </si>
  <si>
    <t>Фигура декоративная с подсветкой Санта с санями, батар.3шт*CR2032, 30 см Т-7093</t>
  </si>
  <si>
    <t>Т-7093</t>
  </si>
  <si>
    <t>4630493770935</t>
  </si>
  <si>
    <t>256358</t>
  </si>
  <si>
    <t>Фигура декоративная с подсветкой Санта с санями, батар.3шт*CR2032, 40 см Т-7094</t>
  </si>
  <si>
    <t>Т-7094</t>
  </si>
  <si>
    <t>4630493770942</t>
  </si>
  <si>
    <t>4 Гномы</t>
  </si>
  <si>
    <t>229518</t>
  </si>
  <si>
    <t>Светящиеся фигуры Цветное трио, набор 3шт, 20,5*6,3см, на батарейках 3*LR41(в комплекте) НУ-7522</t>
  </si>
  <si>
    <t>НУ-7522</t>
  </si>
  <si>
    <t>4670159174233</t>
  </si>
  <si>
    <t>6 Другие</t>
  </si>
  <si>
    <t>Быки</t>
  </si>
  <si>
    <t>269095</t>
  </si>
  <si>
    <t>Новогодняя фигура "Нежный бычок", 20 см, НФ-0105</t>
  </si>
  <si>
    <t>НФ-0105</t>
  </si>
  <si>
    <t>4680942601051</t>
  </si>
  <si>
    <t>Девочки</t>
  </si>
  <si>
    <t>277190</t>
  </si>
  <si>
    <t>Декоративная фигура Милая девочка, 40 см Т-4519</t>
  </si>
  <si>
    <t>Т-4519</t>
  </si>
  <si>
    <t>4680942645246</t>
  </si>
  <si>
    <t>277191</t>
  </si>
  <si>
    <t>Декоративная фигура Новогодняя девочка, 40 см Т-4520</t>
  </si>
  <si>
    <t>Т-4520</t>
  </si>
  <si>
    <t>4680942645253</t>
  </si>
  <si>
    <t>277195</t>
  </si>
  <si>
    <t>Декоративная фигура Озорная девочка, 40 см Т-4524</t>
  </si>
  <si>
    <t>Т-4524</t>
  </si>
  <si>
    <t>4680942645291</t>
  </si>
  <si>
    <t>277192</t>
  </si>
  <si>
    <t>Декоративная фигура Сказочная девочка, 40 см Т-4521</t>
  </si>
  <si>
    <t>Т-4521</t>
  </si>
  <si>
    <t>4680942645260</t>
  </si>
  <si>
    <t>277189</t>
  </si>
  <si>
    <t>Декоративная фигура Славная девочка, 40 см Т-4518</t>
  </si>
  <si>
    <t>Т-4518</t>
  </si>
  <si>
    <t>4680942645239</t>
  </si>
  <si>
    <t>277196</t>
  </si>
  <si>
    <t>Декоративная фигура Чудесная девочка, 40 см Т-4525</t>
  </si>
  <si>
    <t>Т-4525</t>
  </si>
  <si>
    <t>4680942645307</t>
  </si>
  <si>
    <t>Ежики</t>
  </si>
  <si>
    <t>269115</t>
  </si>
  <si>
    <t>Новогодняя фигура "Новогодний ёжик", 32 см, НФ-0121</t>
  </si>
  <si>
    <t>НФ-0121</t>
  </si>
  <si>
    <t>4680942601211</t>
  </si>
  <si>
    <t>Зайчики</t>
  </si>
  <si>
    <t>269099</t>
  </si>
  <si>
    <t>Декоративная фигура "Зайка с морковкой", 46 см, НФ-0108</t>
  </si>
  <si>
    <t>НФ-0108</t>
  </si>
  <si>
    <t>4680942601082</t>
  </si>
  <si>
    <t>269100</t>
  </si>
  <si>
    <t>Декоративная фигура "Зайка с цветочком", 46 см, НФ-0109</t>
  </si>
  <si>
    <t>НФ-0109</t>
  </si>
  <si>
    <t>4680942601099</t>
  </si>
  <si>
    <t>269098</t>
  </si>
  <si>
    <t>Декоративная фигура "Милая зайка", 45 см, НФ-0107</t>
  </si>
  <si>
    <t>НФ-0107</t>
  </si>
  <si>
    <t>4680942601075</t>
  </si>
  <si>
    <t>269097</t>
  </si>
  <si>
    <t>Декоративная фигура "Стильный заяц", 45 см, НФ-0106</t>
  </si>
  <si>
    <t>НФ-0106</t>
  </si>
  <si>
    <t>4680942601068</t>
  </si>
  <si>
    <t>Лисы</t>
  </si>
  <si>
    <t>269104</t>
  </si>
  <si>
    <t>Новогодняя фигура "Добрая лисичка", 59 см, НФ-0112</t>
  </si>
  <si>
    <t>НФ-0112</t>
  </si>
  <si>
    <t>4680942601129</t>
  </si>
  <si>
    <t>269106</t>
  </si>
  <si>
    <t>Новогодняя фигура "Добрый лис", 59 см, НФ-0113</t>
  </si>
  <si>
    <t>НФ-0113</t>
  </si>
  <si>
    <t>4680942601136</t>
  </si>
  <si>
    <t>269102</t>
  </si>
  <si>
    <t>Новогодняя фигура "Милая лисичка", 26 см, НФ-0110</t>
  </si>
  <si>
    <t>НФ-0110</t>
  </si>
  <si>
    <t>4680942601105</t>
  </si>
  <si>
    <t>269103</t>
  </si>
  <si>
    <t>Новогодняя фигура "Милый лис", 26 см, НФ-0111</t>
  </si>
  <si>
    <t>НФ-0111</t>
  </si>
  <si>
    <t>4680942601112</t>
  </si>
  <si>
    <t>277177</t>
  </si>
  <si>
    <t>Набор декоративных фигур Новогодние Снеговик и Олень, 2 шт, 40 см Т-4506</t>
  </si>
  <si>
    <t>Т-4506</t>
  </si>
  <si>
    <t>4680942645116</t>
  </si>
  <si>
    <t>277180</t>
  </si>
  <si>
    <t>Набор декоративных фигур Озорные Снеговик и Олень, 40 см, 2шт Т-4509</t>
  </si>
  <si>
    <t>Т-4509</t>
  </si>
  <si>
    <t>4680942645147</t>
  </si>
  <si>
    <t>Олени</t>
  </si>
  <si>
    <t>277179</t>
  </si>
  <si>
    <t>Декоративная фигура Озорной олень, 40 см Т-4508</t>
  </si>
  <si>
    <t>Т-4508</t>
  </si>
  <si>
    <t>4680942645130</t>
  </si>
  <si>
    <t>269112</t>
  </si>
  <si>
    <t>Новогодняя фигура "Белоснежный олень", 61 см, НФ-0118</t>
  </si>
  <si>
    <t>НФ-0118</t>
  </si>
  <si>
    <t>4680942601181</t>
  </si>
  <si>
    <t>228297</t>
  </si>
  <si>
    <t>Новогодняя фигура "Зимний олененок в шубе", 55см НУ-0083</t>
  </si>
  <si>
    <t>НУ-0083</t>
  </si>
  <si>
    <t>4670159100836</t>
  </si>
  <si>
    <t>269081</t>
  </si>
  <si>
    <t>Новогодняя фигура "Зимний олень в колпаке", 73 см, НФ-0100</t>
  </si>
  <si>
    <t>НФ-0100</t>
  </si>
  <si>
    <t>4680942601006</t>
  </si>
  <si>
    <t>269122</t>
  </si>
  <si>
    <t>Новогодняя фигура "Милый олень в шарфике", 68.5 см, НФ-0126</t>
  </si>
  <si>
    <t>НФ-0126</t>
  </si>
  <si>
    <t>4680942601266</t>
  </si>
  <si>
    <t>269121</t>
  </si>
  <si>
    <t>Новогодняя фигура "Милый олень", 48 см, НФ-0125</t>
  </si>
  <si>
    <t>НФ-0125</t>
  </si>
  <si>
    <t>4680942601259</t>
  </si>
  <si>
    <t>269086</t>
  </si>
  <si>
    <t>Новогодняя фигура "Олененок в колпаке", 74 см, НФ-0102</t>
  </si>
  <si>
    <t>НФ-0102</t>
  </si>
  <si>
    <t>4680942601020</t>
  </si>
  <si>
    <t>269084</t>
  </si>
  <si>
    <t>Новогодняя фигура "Олень в колпаке", 74 см, НФ-0101</t>
  </si>
  <si>
    <t>НФ-0101</t>
  </si>
  <si>
    <t>4680942601013</t>
  </si>
  <si>
    <t>269120</t>
  </si>
  <si>
    <t>Новогодняя фигура "Рождественский олень в юбке", 63,5 см, НФ-0124</t>
  </si>
  <si>
    <t>НФ-0124</t>
  </si>
  <si>
    <t>4680942601242</t>
  </si>
  <si>
    <t>269113</t>
  </si>
  <si>
    <t>Новогодняя фигура "Рождественский олень", 36 см, НФ-0119</t>
  </si>
  <si>
    <t>НФ-0119</t>
  </si>
  <si>
    <t>4680942601198</t>
  </si>
  <si>
    <t>228295</t>
  </si>
  <si>
    <t>Новогодняя фигура "Снежный олененок", 45см НУ-0081</t>
  </si>
  <si>
    <t>НУ-0081</t>
  </si>
  <si>
    <t>4670159100812</t>
  </si>
  <si>
    <t>269119</t>
  </si>
  <si>
    <t>Новогодняя фигура "Счастливый олень", 76 см, НФ-0123</t>
  </si>
  <si>
    <t>НФ-0123</t>
  </si>
  <si>
    <t>4680942601235</t>
  </si>
  <si>
    <t>269092</t>
  </si>
  <si>
    <t>Новогодняя фигура на телескопических ногах "Олененок в меховой шубе", 62/92 см, НФ-0104</t>
  </si>
  <si>
    <t>НФ-0104</t>
  </si>
  <si>
    <t>4680942601044</t>
  </si>
  <si>
    <t>269088</t>
  </si>
  <si>
    <t>Новогодняя фигура на телескопических ногах "Олень в меховой шубе", 62/92 см, НФ-0103</t>
  </si>
  <si>
    <t>НФ-0103</t>
  </si>
  <si>
    <t>4680942601037</t>
  </si>
  <si>
    <t>Снеговики</t>
  </si>
  <si>
    <t>277178</t>
  </si>
  <si>
    <t>Декоративная фигура Озорной снеговик, 40 см, Т-4507</t>
  </si>
  <si>
    <t>Т-4507</t>
  </si>
  <si>
    <t>4680942645123</t>
  </si>
  <si>
    <t>234878</t>
  </si>
  <si>
    <t>Новогодняя фигура Сувенир "Прелестный Снеговичок в шляпе мишки", 30см Т-9700</t>
  </si>
  <si>
    <t>Т-9700</t>
  </si>
  <si>
    <t>4670159197003</t>
  </si>
  <si>
    <t>234877</t>
  </si>
  <si>
    <t>Новогодняя фигура Сувенир "Прелестный Снеговичок в шляпе олененка", 30см Т-9699</t>
  </si>
  <si>
    <t>Т-9699</t>
  </si>
  <si>
    <t>4670159196990</t>
  </si>
  <si>
    <t>234881</t>
  </si>
  <si>
    <t>Новогодняя фигура Сувенир "Снеговичок в наушниках", 35см Т-9704</t>
  </si>
  <si>
    <t>Т-9704</t>
  </si>
  <si>
    <t>4670159197041</t>
  </si>
  <si>
    <t>Совы</t>
  </si>
  <si>
    <t>269117</t>
  </si>
  <si>
    <t>Новогодняя фигура "Сова в шапке", 46 см, НФ-0122</t>
  </si>
  <si>
    <t>НФ-0122</t>
  </si>
  <si>
    <t>4680942601228</t>
  </si>
  <si>
    <t>Щелкунчик</t>
  </si>
  <si>
    <t>234883</t>
  </si>
  <si>
    <t>Новогодняя фигура Сувенир "Очаровательный щелкунчик в золотистом костюме", 44см Т-9712</t>
  </si>
  <si>
    <t>Т-9712</t>
  </si>
  <si>
    <t>4670159197126</t>
  </si>
  <si>
    <t>234882</t>
  </si>
  <si>
    <t>Новогодняя фигура Сувенир "Смелый щелкунчик в золотистом костюме", 44см Т-9711</t>
  </si>
  <si>
    <t>Т-9711</t>
  </si>
  <si>
    <t>4670159197119</t>
  </si>
  <si>
    <t>234887</t>
  </si>
  <si>
    <t>Новогодняя фигура Сувенир "Смелый щелкунчик в красном костюме", 44см Т-9715</t>
  </si>
  <si>
    <t>Т-9715</t>
  </si>
  <si>
    <t>4670159197157</t>
  </si>
  <si>
    <t>234888</t>
  </si>
  <si>
    <t>Новогодняя фигура Сувенир "Храбрый щелкунчик в красном костюме", 28см Т-9716</t>
  </si>
  <si>
    <t>Т-9716</t>
  </si>
  <si>
    <t>4670159197164</t>
  </si>
  <si>
    <t>Эльфы</t>
  </si>
  <si>
    <t>269114</t>
  </si>
  <si>
    <t>Новогодняя фигура "Розовая девочка", 43 см, НФ-0120</t>
  </si>
  <si>
    <t>НФ-0120</t>
  </si>
  <si>
    <t>4680942601204</t>
  </si>
  <si>
    <t>234861</t>
  </si>
  <si>
    <t>Новогодняя фигура Сувенир "Непоседливый эльф", бело-золотистый, 60см Т-9677</t>
  </si>
  <si>
    <t>Т-9677</t>
  </si>
  <si>
    <t>4670159196778</t>
  </si>
  <si>
    <t>234864</t>
  </si>
  <si>
    <t>Новогодняя фигура Сувенир "Радостный эльф", бело-золотистый, 60см Т-9679</t>
  </si>
  <si>
    <t>Т-9679</t>
  </si>
  <si>
    <t>4670159196792</t>
  </si>
  <si>
    <t>234865</t>
  </si>
  <si>
    <t>Новогодняя фигура Сувенир "Шутливый эльф", бело-золотисты, 60см Т-9680</t>
  </si>
  <si>
    <t>Т-9680</t>
  </si>
  <si>
    <t>4670159196808</t>
  </si>
  <si>
    <t>228781</t>
  </si>
  <si>
    <t>Сувенир Эльф в белом костюме, 50см Т-7064</t>
  </si>
  <si>
    <t>Т-7064</t>
  </si>
  <si>
    <t>4670159170648</t>
  </si>
  <si>
    <t>228780</t>
  </si>
  <si>
    <t>Сувенир Эльф в золотом костюме, 50см Т-7063</t>
  </si>
  <si>
    <t>Т-7063</t>
  </si>
  <si>
    <t>4670159170631</t>
  </si>
  <si>
    <t>269826</t>
  </si>
  <si>
    <t>Фигура декоративная. Эльф волшебник в зелёно-красном костюме, 44 см НУ-0654</t>
  </si>
  <si>
    <t>НУ-0654</t>
  </si>
  <si>
    <t>4680942606735</t>
  </si>
  <si>
    <t>269830</t>
  </si>
  <si>
    <t>Фигура декоративная. Эльф волшебник в красно-белом костюме, 44 см НУ-0656</t>
  </si>
  <si>
    <t>НУ-0656</t>
  </si>
  <si>
    <t>4680942606759</t>
  </si>
  <si>
    <t>269819</t>
  </si>
  <si>
    <t>Фигура декоративная. Эльф волшебник в красно-зелёном костюме, 72 см НУ-0650</t>
  </si>
  <si>
    <t>НУ-0650</t>
  </si>
  <si>
    <t>4680942606698</t>
  </si>
  <si>
    <t>269828</t>
  </si>
  <si>
    <t>Фигура декоративная. Эльф волшебница в зелёно-красном костюме, 44 см НУ-0655</t>
  </si>
  <si>
    <t>НУ-0655</t>
  </si>
  <si>
    <t>4680942606742</t>
  </si>
  <si>
    <t>269831</t>
  </si>
  <si>
    <t>Фигура декоративная. Эльф волшебница в красно-белом костюме, 44 см НУ-0657</t>
  </si>
  <si>
    <t>НУ-0657</t>
  </si>
  <si>
    <t>4680942606766</t>
  </si>
  <si>
    <t>269821</t>
  </si>
  <si>
    <t>Фигура декоративная. Эльф волшебница в красно-зелёном костюме, 72 см НУ-0651</t>
  </si>
  <si>
    <t>НУ-0651</t>
  </si>
  <si>
    <t>4680942606704</t>
  </si>
  <si>
    <t>07 Новогодний декор</t>
  </si>
  <si>
    <t>01 Новогодние фигурки</t>
  </si>
  <si>
    <t>2 Статуэтки из полирезины</t>
  </si>
  <si>
    <t>1 Статуэтки из полирезины собственная разработка</t>
  </si>
  <si>
    <t>1 Механические</t>
  </si>
  <si>
    <t>255916</t>
  </si>
  <si>
    <t>Статуэтка из полирезины "Ёлочка с Дедом Морозом" механическая с музыкой 12*12*16см (соб.раз) НУ-7083</t>
  </si>
  <si>
    <t>НУ-7083</t>
  </si>
  <si>
    <t>4630493770652</t>
  </si>
  <si>
    <t>255915</t>
  </si>
  <si>
    <t>Статуэтка из полирезины "Зеленая красавица" механическая с музыкой 12*12*16см (собс.разр) НУ-7082</t>
  </si>
  <si>
    <t>НУ-7082</t>
  </si>
  <si>
    <t>4630493770645</t>
  </si>
  <si>
    <t>2 Немеханические</t>
  </si>
  <si>
    <t>275108</t>
  </si>
  <si>
    <t>Статуэтка - фигурка из полирезины "Дед Мороз в красной шубе" 26 см соб.раз Т-3058</t>
  </si>
  <si>
    <t>Т-3058</t>
  </si>
  <si>
    <t>4680942630259</t>
  </si>
  <si>
    <t>227871</t>
  </si>
  <si>
    <t>Фигурка из  полирез новогодняя Сказочная елочка, 28*15см (собс.разр) НУ-7005</t>
  </si>
  <si>
    <t>НУ-7005</t>
  </si>
  <si>
    <t>4670159169499</t>
  </si>
  <si>
    <t>227870</t>
  </si>
  <si>
    <t>Фигурка из полирез новогодняя  Дед Мороз в синей шубке, 26см (собс.разр) НУ-7004</t>
  </si>
  <si>
    <t>НУ-7004</t>
  </si>
  <si>
    <t>4670159169482</t>
  </si>
  <si>
    <t>227869</t>
  </si>
  <si>
    <t>Фигурка из полирез новогодняя Дед Мороз в красной шубке с мешочком, 26см (собс.разр) НУ-7003</t>
  </si>
  <si>
    <t>НУ-7003</t>
  </si>
  <si>
    <t>4670159169475</t>
  </si>
  <si>
    <t>227868</t>
  </si>
  <si>
    <t>Фигурка из полирез новогодняя Красна девица, 22см (собс.разр) НУ-6948</t>
  </si>
  <si>
    <t>НУ-6948</t>
  </si>
  <si>
    <t>4670159169468</t>
  </si>
  <si>
    <t>255913</t>
  </si>
  <si>
    <t>Статуэтка из полирезины  "Елочка с подарками"  механическая с музыкой15*14.5*21см НУ-7080</t>
  </si>
  <si>
    <t>НУ-7080</t>
  </si>
  <si>
    <t>4630493770621</t>
  </si>
  <si>
    <t>3 Деревянные фигурки</t>
  </si>
  <si>
    <t>233659</t>
  </si>
  <si>
    <t>Набор новогодних фигур деревянных 3шт "Щелкунчик в золотистых костюмах", 15см НУ-9070</t>
  </si>
  <si>
    <t>НУ-9070</t>
  </si>
  <si>
    <t>4670159190707</t>
  </si>
  <si>
    <t>233661</t>
  </si>
  <si>
    <t>Набор новогодних фигур деревянных 4шт "Четыре гномика", 21*4.5*11см НУ-9072</t>
  </si>
  <si>
    <t>НУ-9072</t>
  </si>
  <si>
    <t>4670159190721</t>
  </si>
  <si>
    <t>4 Деревянные поезда</t>
  </si>
  <si>
    <t>269089</t>
  </si>
  <si>
    <t>Новогодний деревянный поезд "Пряничный", красный, 20х6 см НФ-0163</t>
  </si>
  <si>
    <t>НФ-0163</t>
  </si>
  <si>
    <t>4680942601631</t>
  </si>
  <si>
    <t>269093</t>
  </si>
  <si>
    <t>Новогодний деревянный поезд, белый, 20х5.5 см НФ-0165</t>
  </si>
  <si>
    <t>НФ-0165</t>
  </si>
  <si>
    <t>4680942601655</t>
  </si>
  <si>
    <t>269091</t>
  </si>
  <si>
    <t>Новогодний деревянный поезд, зеленый, 20х5.5 см НФ-0164</t>
  </si>
  <si>
    <t>НФ-0164</t>
  </si>
  <si>
    <t>4680942601648</t>
  </si>
  <si>
    <t>5 Пластиковые фигуры</t>
  </si>
  <si>
    <t>234849</t>
  </si>
  <si>
    <t>Новогодняя фигура пластиковая "Щелкунчик в накидке и кивере", зелено-красный, 38см Т-9670</t>
  </si>
  <si>
    <t>Т-9670</t>
  </si>
  <si>
    <t>4670159196709</t>
  </si>
  <si>
    <t>6 Статуэтки из акрила</t>
  </si>
  <si>
    <t>275152</t>
  </si>
  <si>
    <t>Сувенир интерактивный  "Дед Мороз", 10х5х4 см Т-3358</t>
  </si>
  <si>
    <t>Т-3358</t>
  </si>
  <si>
    <t>4680942632932</t>
  </si>
  <si>
    <t>257878</t>
  </si>
  <si>
    <t>Сувенир интерактивный "Дед Мороз и снеговик", 15х5,2х5,2 см, Т-7428</t>
  </si>
  <si>
    <t>Т-7428</t>
  </si>
  <si>
    <t>4630493774285</t>
  </si>
  <si>
    <t>275151</t>
  </si>
  <si>
    <t>Сувенир интерактивный "Ёлка и Дед Мороз", 10х5х4 см Т-3357</t>
  </si>
  <si>
    <t>Т-3357</t>
  </si>
  <si>
    <t>4680942632925</t>
  </si>
  <si>
    <t>275153</t>
  </si>
  <si>
    <t>Сувенир интерактивный "Новогоднее веселье", 10х5х4 см Т-3359</t>
  </si>
  <si>
    <t>Т-3359</t>
  </si>
  <si>
    <t>4680942632949</t>
  </si>
  <si>
    <t>275150</t>
  </si>
  <si>
    <t>Сувенир интерактивный "Снеговик и Дед Мороз", 10х5х4 см Т-3356</t>
  </si>
  <si>
    <t>Т-3356</t>
  </si>
  <si>
    <t>4680942632918</t>
  </si>
  <si>
    <t>257877</t>
  </si>
  <si>
    <t>Сувенир интерактивный "Снежный день", 15х5,2х5,2 см, Т-7427</t>
  </si>
  <si>
    <t>Т-7427</t>
  </si>
  <si>
    <t>4630493774278</t>
  </si>
  <si>
    <t>275148</t>
  </si>
  <si>
    <t>Сувенир интерактивный Часы-антистресс. "Дед Мороз и ёлка", 16,8х5,8х2,5 см Т-3354</t>
  </si>
  <si>
    <t>Т-3354</t>
  </si>
  <si>
    <t>4680942632895</t>
  </si>
  <si>
    <t>275147</t>
  </si>
  <si>
    <t>Сувенир интерактивный Часы-антистресс. "Дед Мороз и снеговик" 17х5,5х5,5 см Т-3353</t>
  </si>
  <si>
    <t>Т-3353</t>
  </si>
  <si>
    <t>4680942632888</t>
  </si>
  <si>
    <t>02 Декоративные светящиеся фигуры</t>
  </si>
  <si>
    <t>1 Светодиодные фигуры из пластика</t>
  </si>
  <si>
    <t>Движущиеся и музыкальные</t>
  </si>
  <si>
    <t>233449</t>
  </si>
  <si>
    <t>Светильник новогодний музыкальный  "Подарок" 7.5*7.5*14.5, USB, 3*АА не в комплекте СВП-0018</t>
  </si>
  <si>
    <t>СВП-0018</t>
  </si>
  <si>
    <t>4670159189916</t>
  </si>
  <si>
    <t>233448</t>
  </si>
  <si>
    <t>Светильник новогодний музыкальный "Белый камин" 18*10*26, USB, 3*АА не в комплекте СВП-0017</t>
  </si>
  <si>
    <t>СВП-0017</t>
  </si>
  <si>
    <t>4670159189909</t>
  </si>
  <si>
    <t>203318</t>
  </si>
  <si>
    <t>Светильник новогодний музыкальный "Волшебный поезд", 24.5*11*22.5 см, тип питания: USB СВП-0001</t>
  </si>
  <si>
    <t>СВП-0001</t>
  </si>
  <si>
    <t>4670159033936</t>
  </si>
  <si>
    <t>233445</t>
  </si>
  <si>
    <t>Светильник новогодний музыкальный "Дедушка с внучкой" 13*7.5*21, USB, 3*АА не в комплекте СВП-0014</t>
  </si>
  <si>
    <t>СВП-0014</t>
  </si>
  <si>
    <t>4670159189879</t>
  </si>
  <si>
    <t>233451</t>
  </si>
  <si>
    <t>Светильник новогодний музыкальный "Подарочек" 12.4*6.8*20, USB, 3*АА не в комплекте СВП-0020</t>
  </si>
  <si>
    <t>СВП-0020</t>
  </si>
  <si>
    <t>4670159189930</t>
  </si>
  <si>
    <t>233452</t>
  </si>
  <si>
    <t>Светильник новогодний музыкальный "Сюрприз"  12.4*6.8*20, USB, 3*АА не в комплекте СВП-0021</t>
  </si>
  <si>
    <t>СВП-0021</t>
  </si>
  <si>
    <t>4670159189947</t>
  </si>
  <si>
    <t>233447</t>
  </si>
  <si>
    <t>Светильник новогодний музыкальный "Щелкунчик у елки" 10*10*16, USB, 3*АА не в комплекте СВП-0016</t>
  </si>
  <si>
    <t>СВП-0016</t>
  </si>
  <si>
    <t>4670159189893</t>
  </si>
  <si>
    <t>203321</t>
  </si>
  <si>
    <t>Светильник новогодний музыкальный"Волшебный фонарь", 10.5*10.5*28.5 см, тип питания: USB СВП-0003</t>
  </si>
  <si>
    <t>СВП-0003</t>
  </si>
  <si>
    <t>4670159033950</t>
  </si>
  <si>
    <t>203322</t>
  </si>
  <si>
    <t>Светильник новогодний музыкальный"Снежный камин", 16.6*8.8*25 см, тип питания: USB СВП-0004</t>
  </si>
  <si>
    <t>СВП-0004</t>
  </si>
  <si>
    <t>4670159033967</t>
  </si>
  <si>
    <t>Светящиеся</t>
  </si>
  <si>
    <t>226274</t>
  </si>
  <si>
    <t>Подсвечник новогодний  Снеговик, 10*8.6*4.2 см Т-5960</t>
  </si>
  <si>
    <t>Т-5960</t>
  </si>
  <si>
    <t>4670159159469</t>
  </si>
  <si>
    <t>257933</t>
  </si>
  <si>
    <t>Подсвечник новогодний Горка, белый, 3ААА, СВП-0083</t>
  </si>
  <si>
    <t>СВП-0083</t>
  </si>
  <si>
    <t>4630493775220</t>
  </si>
  <si>
    <t>226269</t>
  </si>
  <si>
    <t>Подсвечник новогодний Санта,7*3.8*12.8 см Т-5955</t>
  </si>
  <si>
    <t>Т-5955</t>
  </si>
  <si>
    <t>4670159159414</t>
  </si>
  <si>
    <t>203463</t>
  </si>
  <si>
    <t>Светильник  декоративный"Блеск", красный, 7*7*21, на батарейках CR 44*3 (в комплекте) УД-9899</t>
  </si>
  <si>
    <t>УД-9899</t>
  </si>
  <si>
    <t>4670159038993</t>
  </si>
  <si>
    <t>203469</t>
  </si>
  <si>
    <t>Светильник  новогодний "Рождественские огни", золотистый,7*7*21 на бат  AG13*3 (в компл.)  УД-9905</t>
  </si>
  <si>
    <t>УД-9905</t>
  </si>
  <si>
    <t>4670159039051</t>
  </si>
  <si>
    <t>203464</t>
  </si>
  <si>
    <t>Светильник декоративный "Блеск", золотистый, 7*7*21, на батарейках CR 44*3 (в комплекте) УД-9900</t>
  </si>
  <si>
    <t>УД-9900</t>
  </si>
  <si>
    <t>4670159039006</t>
  </si>
  <si>
    <t>203462</t>
  </si>
  <si>
    <t>Светильник декоративный "Блеск", серебристый, 7*7*21, на батарейках CR 44*3 (в комплекте) УД-9898</t>
  </si>
  <si>
    <t>УД-9898</t>
  </si>
  <si>
    <t>4670159038986</t>
  </si>
  <si>
    <t>203460</t>
  </si>
  <si>
    <t>Светильник декоративный "Теплый вечер", белый, 13*13*33, на батарейках AAA*3 (не в компл) УД-9896</t>
  </si>
  <si>
    <t>УД-9896</t>
  </si>
  <si>
    <t>4670159038962</t>
  </si>
  <si>
    <t>203461</t>
  </si>
  <si>
    <t>Светильник декоративный "Теплый вечер", черный, 13*13*33, на батарейках AAA*3 (не в компл.) УД-9897</t>
  </si>
  <si>
    <t>УД-9897</t>
  </si>
  <si>
    <t>4670159038979</t>
  </si>
  <si>
    <t>253016</t>
  </si>
  <si>
    <t>Световой прибор "Рождественские огни",7*7*15, на батарейках  AG13*3 СВП-0064</t>
  </si>
  <si>
    <t>СВП-0064</t>
  </si>
  <si>
    <t>4640306927838</t>
  </si>
  <si>
    <t>253017</t>
  </si>
  <si>
    <t>Световой прибор "Рождественские огни",7*7*18, на батарейках  AG13*3 СВП-0065</t>
  </si>
  <si>
    <t>СВП-0065</t>
  </si>
  <si>
    <t>4640306927845</t>
  </si>
  <si>
    <t>253018</t>
  </si>
  <si>
    <t>Световой прибор "Теплый вечер", 8*8*22.5, на батарейках AAA*3 ( не в комплекте) СВП-0066</t>
  </si>
  <si>
    <t>СВП-0066</t>
  </si>
  <si>
    <t>4640306927852</t>
  </si>
  <si>
    <t>2 Светодиодные фигуры из полистоуна</t>
  </si>
  <si>
    <t>Светящиеся и музыкальные</t>
  </si>
  <si>
    <t>257922</t>
  </si>
  <si>
    <t>Новогодняя светящаяся фигура "Милый Олень" 17.5*12*22 см, работает от 3AAA+USB, СВП-0078</t>
  </si>
  <si>
    <t>СВП-0078</t>
  </si>
  <si>
    <t>4630493775176</t>
  </si>
  <si>
    <t>257924</t>
  </si>
  <si>
    <t>Новогодняя светящаяся фигура "Милый Пингвин" 15*12*22 см, работает от 3AAA+USB, СВП-0079</t>
  </si>
  <si>
    <t>СВП-0079</t>
  </si>
  <si>
    <t>4630493775183</t>
  </si>
  <si>
    <t>257925</t>
  </si>
  <si>
    <t>Новогодняя светящаяся фигура "Санта" 16.5*12*22 см, работает от 3AAA+USB, СВП-0080</t>
  </si>
  <si>
    <t>СВП-0080</t>
  </si>
  <si>
    <t>4630493775190</t>
  </si>
  <si>
    <t>249089</t>
  </si>
  <si>
    <t>Фигура новогодняя "Елка из Кошек" 14×13.5×19 (LED, 3 AA не в комп.) Т-2466</t>
  </si>
  <si>
    <t>Т-2466</t>
  </si>
  <si>
    <t>4640306924578</t>
  </si>
  <si>
    <t>Светящиеся, музыкальные и движущиеся</t>
  </si>
  <si>
    <t>249087</t>
  </si>
  <si>
    <t>Музыкальная фигура из полирезины подвиж., Шар "Большая Елка" 11×11×19, заводной механизм Т-2465</t>
  </si>
  <si>
    <t>Т-2465</t>
  </si>
  <si>
    <t>4640306924561</t>
  </si>
  <si>
    <t>209990</t>
  </si>
  <si>
    <t>Светил.муз.подвиж,новог."Праздничный вихрь".Тип пит:USB,батарей(2*АА,не в комп)12.5*12*13.5 СВП-0009</t>
  </si>
  <si>
    <t>СВП-0009</t>
  </si>
  <si>
    <t>4670159073611</t>
  </si>
  <si>
    <t>209985</t>
  </si>
  <si>
    <t>Светил.муз.подвижн,новог."Рождественский рояль".Тип пит:бат(2*АА,не в компл)17*13*16.5 СВП-0007</t>
  </si>
  <si>
    <t>СВП-0007</t>
  </si>
  <si>
    <t>4670159073598</t>
  </si>
  <si>
    <t>210000</t>
  </si>
  <si>
    <t>Светил.муз.подвижн,новог."Рождественское радио".Тип пит:USB,бат(2*АА,не в компл)21*10*16 СВП-0012</t>
  </si>
  <si>
    <t>СВП-0012</t>
  </si>
  <si>
    <t>4670159073642</t>
  </si>
  <si>
    <t>4 Картины с подсветкой</t>
  </si>
  <si>
    <t>265539</t>
  </si>
  <si>
    <t>Картина с подсветкой Котёнок у ёлки, 5 диодов, 2АА, 40*40*1,8 см СН-1767</t>
  </si>
  <si>
    <t>СН-1767</t>
  </si>
  <si>
    <t>4680942617670</t>
  </si>
  <si>
    <t>265545</t>
  </si>
  <si>
    <t>Картина с подсветкой Новогодний домик, 10 диодов, 2АА, 40*30*1,8 см, собств.разраб СН-1763</t>
  </si>
  <si>
    <t>СН-1763</t>
  </si>
  <si>
    <t>4680942617632</t>
  </si>
  <si>
    <t>265543</t>
  </si>
  <si>
    <t>Картина с подсветкой Прекрасная столица, 9 диодов, 2АА, 30*40*1,8 см, собств.разраб СН-1762</t>
  </si>
  <si>
    <t>СН-1762</t>
  </si>
  <si>
    <t>4680942617625</t>
  </si>
  <si>
    <t>265547</t>
  </si>
  <si>
    <t>Картина с подсветкой Снегири, 5 диодов, 2АА, 21*29,7*1,8 см, собств.разраб СН-1760</t>
  </si>
  <si>
    <t>СН-1760</t>
  </si>
  <si>
    <t>4680942617601</t>
  </si>
  <si>
    <t>265542</t>
  </si>
  <si>
    <t>Картина с подсветкой Собачки у ёлки, 5 диодов, 2АА, 30*40*1,8 см СН-1766</t>
  </si>
  <si>
    <t>СН-1766</t>
  </si>
  <si>
    <t>4680942617663</t>
  </si>
  <si>
    <t>265536</t>
  </si>
  <si>
    <t>Картина с подсветкой Спящий котик, 4 диода, 2АА,  21*29,7*1,8 см, собств.разраб СН-1758</t>
  </si>
  <si>
    <t>СН-1758</t>
  </si>
  <si>
    <t>4680942617588</t>
  </si>
  <si>
    <t>265541</t>
  </si>
  <si>
    <t>Картина с подсветкой Тройка лошадей, 8 диодов, 2АА, 40*40*1,8 см, собств.разраб СН-1764</t>
  </si>
  <si>
    <t>СН-1764</t>
  </si>
  <si>
    <t>4680942617649</t>
  </si>
  <si>
    <t>265546</t>
  </si>
  <si>
    <t>Картина с подсветкой У ёлки, 5 диодов, 2АА, 30*40*1,8 см СН-1765</t>
  </si>
  <si>
    <t>СН-1765</t>
  </si>
  <si>
    <t>4680942617656</t>
  </si>
  <si>
    <t>265544</t>
  </si>
  <si>
    <t>Картина с подсветкой Щенки с подарками, 2 диода, 2АА, 30*40*1,8 см СН-1768</t>
  </si>
  <si>
    <t>СН-1768</t>
  </si>
  <si>
    <t>4680942617687</t>
  </si>
  <si>
    <t>265548</t>
  </si>
  <si>
    <t>Картина с подсветкой Щенок, 5 диодов, 2АА, 21*29,7*1,8 см, собств.разраб СН-1759</t>
  </si>
  <si>
    <t>СН-1759</t>
  </si>
  <si>
    <t>4680942617595</t>
  </si>
  <si>
    <t>265535</t>
  </si>
  <si>
    <t>Картина с подсветкой Яркая ёлка, 10 диодов, 2АА, 30*40*1,8 см, собств.разраб СН-1761</t>
  </si>
  <si>
    <t>СН-1761</t>
  </si>
  <si>
    <t>4680942617618</t>
  </si>
  <si>
    <t>254069</t>
  </si>
  <si>
    <t>Светодиод. светильник Картина "Дед Мороз и Внучка"(2 смен.кар.)65 LED 16.5*21*4.5см(соб.раз) СН-2843</t>
  </si>
  <si>
    <t>СН-2843</t>
  </si>
  <si>
    <t>4640306928439</t>
  </si>
  <si>
    <t>254067</t>
  </si>
  <si>
    <t>Светодиодный светильник Картина "Дедушка Мороз"(2 смен. карт.)65 LED 16.5*21*4.5см (соб.раз.)СН-2842</t>
  </si>
  <si>
    <t>СН-2842</t>
  </si>
  <si>
    <t>4640306928422</t>
  </si>
  <si>
    <t>254073</t>
  </si>
  <si>
    <t>Светодиодный светильник Картина "Зверята в лесу" (2 смен.карт.)65 LED 16.5*21*4.5см(соб.раз) СН-2846</t>
  </si>
  <si>
    <t>СН-2846</t>
  </si>
  <si>
    <t>4640306928460</t>
  </si>
  <si>
    <t>254072</t>
  </si>
  <si>
    <t>Светодиодный светильник Картина "Зимние зверята"(2 смен.карт.)65 LED 16.5*21*4.5см (соб.раз) СН-2845</t>
  </si>
  <si>
    <t>СН-2845</t>
  </si>
  <si>
    <t>4640306928453</t>
  </si>
  <si>
    <t>254071</t>
  </si>
  <si>
    <t>Светодиодный светильник Картина "Зимние пейзажи" (2 смен.карт.)65 LED 16.5*21*4.5см(Соб.раз) СН-2844</t>
  </si>
  <si>
    <t>СН-2844</t>
  </si>
  <si>
    <t>4640306928446</t>
  </si>
  <si>
    <t>225449</t>
  </si>
  <si>
    <t>Светодиодный светильник. Картина "Зимний пейзаж",(2 смен.карт.в наб.),65 LED,16.5*21*4.5 см,СН-4217</t>
  </si>
  <si>
    <t>СН-4217</t>
  </si>
  <si>
    <t>4670159142171</t>
  </si>
  <si>
    <t>5 Каркасные</t>
  </si>
  <si>
    <t>186937</t>
  </si>
  <si>
    <t>Набор светящихся фигур Три подарка, елочки на красно-зеленой ленте, 16 см, 21 см, 26 см Т-5527</t>
  </si>
  <si>
    <t>Т-5527</t>
  </si>
  <si>
    <t>4620129745277</t>
  </si>
  <si>
    <t>186942</t>
  </si>
  <si>
    <t>Набор светящихся фигур Три подарка, красная блестящая лента, 16 см, 21 см, 26 см Т-5530</t>
  </si>
  <si>
    <t>Т-5530</t>
  </si>
  <si>
    <t>4620129745307</t>
  </si>
  <si>
    <t>186943</t>
  </si>
  <si>
    <t>Набор светящихся фигур Три подарка, снежинки на красной ленте, 16 см, 21 см, 26 см Т-5531</t>
  </si>
  <si>
    <t>Т-5531</t>
  </si>
  <si>
    <t>4620129745314</t>
  </si>
  <si>
    <t>03  Снежные шары</t>
  </si>
  <si>
    <t>1 Снежные шары (собст. разр.)</t>
  </si>
  <si>
    <t>275100</t>
  </si>
  <si>
    <t>Новогодний сувенир Снежный шар "Балерина" 6,5 см соб.раз НСШ-3014</t>
  </si>
  <si>
    <t>НСШ-3014</t>
  </si>
  <si>
    <t>4680942630143</t>
  </si>
  <si>
    <t>275098</t>
  </si>
  <si>
    <t>Новогодний сувенир Снежный шар "Волшебная лошадка" 6,5 см соб.раз НСШ-3012</t>
  </si>
  <si>
    <t>НСШ-3012</t>
  </si>
  <si>
    <t>4680942630129</t>
  </si>
  <si>
    <t>275101</t>
  </si>
  <si>
    <t>Новогодний сувенир Снежный шар "Волшебная шляпа" 6,5 см соб.раз НСШ-3015</t>
  </si>
  <si>
    <t>НСШ-3015</t>
  </si>
  <si>
    <t>4680942630150</t>
  </si>
  <si>
    <t>226175</t>
  </si>
  <si>
    <t>Новогодний сувенир Снежный шар "Дедушка Мороз с мешочком", 6*9,5 см, d=6,5см (Собс.разр.) НУ-5511</t>
  </si>
  <si>
    <t>НУ-5511</t>
  </si>
  <si>
    <t>4670159155119</t>
  </si>
  <si>
    <t>275102</t>
  </si>
  <si>
    <t>Новогодний сувенир Снежный шар "Сова с письмом" 6,5 см соб.раз НСШ-3016</t>
  </si>
  <si>
    <t>НСШ-3016</t>
  </si>
  <si>
    <t>4680942630167</t>
  </si>
  <si>
    <t>251915</t>
  </si>
  <si>
    <t>Новогодний сувенир Снежный шар Внучка деда мороза 6,5 см d=6,5см (собс.разр) НУ-2531</t>
  </si>
  <si>
    <t>НУ-2531</t>
  </si>
  <si>
    <t>4665308887591</t>
  </si>
  <si>
    <t>251916</t>
  </si>
  <si>
    <t>Новогодний сувенир Снежный шар Дед Мороз и снеговик 6,5 см d=6,5см (собс.разр) НУ-2532</t>
  </si>
  <si>
    <t>НУ-2532</t>
  </si>
  <si>
    <t>4665308887607</t>
  </si>
  <si>
    <t>272692</t>
  </si>
  <si>
    <t>Новогодний сувенир Снежный шар Дед Мороз с ёлкой, 10 см, соб.раз НСШ-2096</t>
  </si>
  <si>
    <t>НСШ-2096</t>
  </si>
  <si>
    <t>4680942620960</t>
  </si>
  <si>
    <t>251917</t>
  </si>
  <si>
    <t>Новогодний сувенир Снежный шар Дедушка Мороз 6,5 см d=6,5см (собс.разр) НУ-2533</t>
  </si>
  <si>
    <t>НУ-2533</t>
  </si>
  <si>
    <t>4665308887614</t>
  </si>
  <si>
    <t>251918</t>
  </si>
  <si>
    <t>Новогодний сувенир Снежный шар Дедушка Мороз и внучка 6,5 см d=6,5см (собс.разр) НУ-2534</t>
  </si>
  <si>
    <t>НУ-2534</t>
  </si>
  <si>
    <t>4665308887621</t>
  </si>
  <si>
    <t>272695</t>
  </si>
  <si>
    <t>Новогодний сувенир Снежный шар Мистический замок, 10 см, соб.раз НСШ-2097</t>
  </si>
  <si>
    <t>НСШ-2097</t>
  </si>
  <si>
    <t>4680942620977</t>
  </si>
  <si>
    <t>272700</t>
  </si>
  <si>
    <t>Новогодний сувенир Снежный шар Снеговик с ёлкой, 6,5 см, соб.раз НСШ-2101</t>
  </si>
  <si>
    <t>НСШ-2101</t>
  </si>
  <si>
    <t>4680942621011</t>
  </si>
  <si>
    <t>275107</t>
  </si>
  <si>
    <t>Новогодний сувенир Снежный шар"Внучка Деда Мороза" 6,5 см соб.раз НСШ-3021</t>
  </si>
  <si>
    <t>НСШ-3021</t>
  </si>
  <si>
    <t>4680942630211</t>
  </si>
  <si>
    <t>275099</t>
  </si>
  <si>
    <t>Новогодний сувенирСнежный шар "Пара снегирей"" 6,5 см" соб.раз НСШ-3013</t>
  </si>
  <si>
    <t>НСШ-3013</t>
  </si>
  <si>
    <t>4680942630136</t>
  </si>
  <si>
    <t>2 Снежные шары</t>
  </si>
  <si>
    <t>249081</t>
  </si>
  <si>
    <t>Новогод. снеж. шар с подсв. полирез.муз."Снежная деревня" 11.5×11.5×15(LED, 3*LR44 не в компл)Т-2460</t>
  </si>
  <si>
    <t>Т-2460</t>
  </si>
  <si>
    <t>4640306924516</t>
  </si>
  <si>
    <t>233812</t>
  </si>
  <si>
    <t>Новогодний снежный шар с подсветкой "Дед Мороз и малыш", AG3, 6,5 см СВФ-9091</t>
  </si>
  <si>
    <t>СВФ-9091</t>
  </si>
  <si>
    <t>4670159190912</t>
  </si>
  <si>
    <t>233809</t>
  </si>
  <si>
    <t>Новогодний снежный шар с подсветкой "Дед Мороз и мальчик", AG3, 4,5 см СВФ-9088</t>
  </si>
  <si>
    <t>СВФ-9088</t>
  </si>
  <si>
    <t>4670159190882</t>
  </si>
  <si>
    <t>233813</t>
  </si>
  <si>
    <t>Новогодний снежный шар с подсветкой "Дед Мороз и мальчик", AG3, 6,5 см СВФ-9092</t>
  </si>
  <si>
    <t>СВФ-9092</t>
  </si>
  <si>
    <t>4670159190929</t>
  </si>
  <si>
    <t>233794</t>
  </si>
  <si>
    <t>Новогодний снежный шар с подсветкой "Дед Мороз с мешочком", AG3, 4,5 см СВФ-9079</t>
  </si>
  <si>
    <t>СВФ-9079</t>
  </si>
  <si>
    <t>4670159190790</t>
  </si>
  <si>
    <t>233795</t>
  </si>
  <si>
    <t>Новогодний снежный шар с подсветкой "Дед Мороз с подарками", AG3, 4,5 см СВФ-9080</t>
  </si>
  <si>
    <t>СВФ-9080</t>
  </si>
  <si>
    <t>4670159190806</t>
  </si>
  <si>
    <t>233849</t>
  </si>
  <si>
    <t>Новогодний снежный шар с подсветкой "Дед Мороз с поделочкой", AG3,4,5см СВФ-9116</t>
  </si>
  <si>
    <t>СВФ-9116</t>
  </si>
  <si>
    <t>4670159191162</t>
  </si>
  <si>
    <t>233791</t>
  </si>
  <si>
    <t>Новогодний снежный шар с подсветкой "Дед Мороз со списком", AG3, 4,5 см СВФ-9077</t>
  </si>
  <si>
    <t>СВФ-9077</t>
  </si>
  <si>
    <t>4670159190776</t>
  </si>
  <si>
    <t>233831</t>
  </si>
  <si>
    <t>Новогодний снежный шар с подсветкой "Солдатик на лошадке",AG3, 4,5см СВФ-9104</t>
  </si>
  <si>
    <t>СВФ-9104</t>
  </si>
  <si>
    <t>4670159191049</t>
  </si>
  <si>
    <t>233833</t>
  </si>
  <si>
    <t>Новогодний снежный шар с подсветкой "Солдатик с барабаном", AG3,6,5см СВФ-9106</t>
  </si>
  <si>
    <t>СВФ-9106</t>
  </si>
  <si>
    <t>4670159191063</t>
  </si>
  <si>
    <t>233828</t>
  </si>
  <si>
    <t>Новогодний снежный шар с подсветкой "Солдатик с барабаном",AG3, 4,5см СВФ-9101</t>
  </si>
  <si>
    <t>СВФ-9101</t>
  </si>
  <si>
    <t>4670159191018</t>
  </si>
  <si>
    <t>233830</t>
  </si>
  <si>
    <t>Новогодний снежный шар с подсветкой "Солдатик с мишкой",AG3, 4,5см СВФ-9103</t>
  </si>
  <si>
    <t>СВФ-9103</t>
  </si>
  <si>
    <t>4670159191032</t>
  </si>
  <si>
    <t>233829</t>
  </si>
  <si>
    <t>Новогодний снежный шар с подсветкой "Солдатик",AG3, 4,5см СВФ-9102</t>
  </si>
  <si>
    <t>СВФ-9102</t>
  </si>
  <si>
    <t>4670159191025</t>
  </si>
  <si>
    <t>233832</t>
  </si>
  <si>
    <t>Новогодний снежный шар с подсветкой "Солдатик",AG3, 6,5см СВФ-9105</t>
  </si>
  <si>
    <t>СВФ-9105</t>
  </si>
  <si>
    <t>4670159191056</t>
  </si>
  <si>
    <t>233803</t>
  </si>
  <si>
    <t>Новогодний снежный шар с подсветкой Веселый Дед Мороз, AG3, 6,5 см СВФ-9084</t>
  </si>
  <si>
    <t>СВФ-9084</t>
  </si>
  <si>
    <t>4670159190844</t>
  </si>
  <si>
    <t>247780</t>
  </si>
  <si>
    <t>Новогодний снежный шар с подсветкой Волшебная метель, 13*5*8.5см,D6,5см, батар3*AG3(компл) СВШ-2244</t>
  </si>
  <si>
    <t>СВШ-2244</t>
  </si>
  <si>
    <t>4640306922444</t>
  </si>
  <si>
    <t>247769</t>
  </si>
  <si>
    <t>Новогодний снежный шар с подсветкой Волшебный праздник,9*5.5*5.5см,D4,5см,батар3*AG3(компл) СВШ-2233</t>
  </si>
  <si>
    <t>СВШ-2233</t>
  </si>
  <si>
    <t>4640306922338</t>
  </si>
  <si>
    <t>247783</t>
  </si>
  <si>
    <t>Новогодний снежный шар с подсветкой Праздничный день, 22*13см, D10см, с музыкой, раб.от USB СВШ-2247</t>
  </si>
  <si>
    <t>СВШ-2247</t>
  </si>
  <si>
    <t>4640306922475</t>
  </si>
  <si>
    <t>247779</t>
  </si>
  <si>
    <t>Новогодний снежный шар с подсветкой Сказочная метель, 13*5*8.5см,D6,5см, батар3*AG3(компл) СВШ-2243</t>
  </si>
  <si>
    <t>СВШ-2243</t>
  </si>
  <si>
    <t>4640306922437</t>
  </si>
  <si>
    <t>247768</t>
  </si>
  <si>
    <t>Новогодний снежный шар с подсветкой Снежный праздник, 9*5.5*5.5см,D4,5см, батар3*AG3(компл) СВШ-2232</t>
  </si>
  <si>
    <t>СВШ-2232</t>
  </si>
  <si>
    <t>4640306922321</t>
  </si>
  <si>
    <t>249084</t>
  </si>
  <si>
    <t>Новогодний снежный шар,подв. полирез.муз "Елочка и поезд" 11.5×11.5×15(LED, 3*LR44 не в комп.)Т-2463</t>
  </si>
  <si>
    <t>Т-2463</t>
  </si>
  <si>
    <t>4640306924547</t>
  </si>
  <si>
    <t>103650</t>
  </si>
  <si>
    <t>Новогодний сувенир Снежный шар  "Радостный Дедушка Мороз", 8х10 см d=6,5 см Т-9878</t>
  </si>
  <si>
    <t>Т-9878</t>
  </si>
  <si>
    <t>4665306698786</t>
  </si>
  <si>
    <t>247762</t>
  </si>
  <si>
    <t>Новогодний сувенир снежный шар Новогодний паровозик, 8*6*4см, D4,5см СВШ-2226</t>
  </si>
  <si>
    <t>СВШ-2226</t>
  </si>
  <si>
    <t>4640306922260</t>
  </si>
  <si>
    <t>247763</t>
  </si>
  <si>
    <t>Новогодний сувенир снежный шар Праздничный паровозик, 8*6*4см, D4,5см СВШ-2227</t>
  </si>
  <si>
    <t>СВШ-2227</t>
  </si>
  <si>
    <t>4640306922277</t>
  </si>
  <si>
    <t>04  Украшения на окна, стены и двери</t>
  </si>
  <si>
    <t>4 Интерьерные наклейки</t>
  </si>
  <si>
    <t>1 Интерьерные наклейки (собственная разработка)</t>
  </si>
  <si>
    <t>14х25см</t>
  </si>
  <si>
    <t>271587</t>
  </si>
  <si>
    <t>Новогоднее оконное украшение "Зайчик", 14*25см, соб.разраб. НУ-6163</t>
  </si>
  <si>
    <t>НУ-6163</t>
  </si>
  <si>
    <t>4680942615423</t>
  </si>
  <si>
    <t>228063</t>
  </si>
  <si>
    <t>Новогоднее оконное украшение "Зимний пейзаж", 25*14,4см (собст. разраб.) НУ-7032</t>
  </si>
  <si>
    <t>НУ-7032</t>
  </si>
  <si>
    <t>4670159169949</t>
  </si>
  <si>
    <t>271590</t>
  </si>
  <si>
    <t>Новогоднее оконное украшение "Котята", 14*25см, соб.разраб. НУ-6166</t>
  </si>
  <si>
    <t>НУ-6166</t>
  </si>
  <si>
    <t>4680942615454</t>
  </si>
  <si>
    <t>228064</t>
  </si>
  <si>
    <t>Новогоднее оконное украшение "Ледяные узоры", 25*14,4см (собст. разраб.) НУ-7033</t>
  </si>
  <si>
    <t>НУ-7033</t>
  </si>
  <si>
    <t>4670159169956</t>
  </si>
  <si>
    <t>271589</t>
  </si>
  <si>
    <t>Новогоднее оконное украшение "Лесные зверушки", 14*25см, соб.разраб. НУ-6165</t>
  </si>
  <si>
    <t>НУ-6165</t>
  </si>
  <si>
    <t>4680942615447</t>
  </si>
  <si>
    <t>228062</t>
  </si>
  <si>
    <t>Новогоднее оконное украшение "Морозные узоры", 25*14,4см (собст. разраб.) НУ-7031</t>
  </si>
  <si>
    <t>НУ-7031</t>
  </si>
  <si>
    <t>4670159169932</t>
  </si>
  <si>
    <t>228065</t>
  </si>
  <si>
    <t>Новогоднее оконное украшение "Морозный салют", 25*14,4см (собст. разраб.) НУ-7034</t>
  </si>
  <si>
    <t>НУ-7034</t>
  </si>
  <si>
    <t>4670159169963</t>
  </si>
  <si>
    <t>271588</t>
  </si>
  <si>
    <t>Новогоднее оконное украшение "Морозный узор", 14*25см, соб.разраб. НУ-6164</t>
  </si>
  <si>
    <t>НУ-6164</t>
  </si>
  <si>
    <t>4680942615430</t>
  </si>
  <si>
    <t>251257</t>
  </si>
  <si>
    <t>Новогоднее оконное украшение "Новогодняя ёлка", 25х14 см (собств. разработка) НН-2089</t>
  </si>
  <si>
    <t>НН-2089</t>
  </si>
  <si>
    <t>4640306920891</t>
  </si>
  <si>
    <t>251256</t>
  </si>
  <si>
    <t>Новогоднее оконное украшение "Снегири и олень", 25х14 см (собств. разработка) НН-2088</t>
  </si>
  <si>
    <t>НН-2088</t>
  </si>
  <si>
    <t>4640306920884</t>
  </si>
  <si>
    <t>251259</t>
  </si>
  <si>
    <t>Новогоднее оконное украшение "Шишки и иголки", 25х14 см (собств. разработка) НН-2090</t>
  </si>
  <si>
    <t>НН-2090</t>
  </si>
  <si>
    <t>4640306920907</t>
  </si>
  <si>
    <t>251260</t>
  </si>
  <si>
    <t>Новогоднее оконное украшение "Щелкунчик", 25х14 см (собств. разработка) Щелкунчик НН-2091</t>
  </si>
  <si>
    <t>НН-2091</t>
  </si>
  <si>
    <t>4640306920914</t>
  </si>
  <si>
    <t>18х18см</t>
  </si>
  <si>
    <t>271591</t>
  </si>
  <si>
    <t>Новогоднее оконное украшение "Зимние котики", 18*18см, соб.разраб. НУ-6167</t>
  </si>
  <si>
    <t>НУ-6167</t>
  </si>
  <si>
    <t>4680942615461</t>
  </si>
  <si>
    <t>271594</t>
  </si>
  <si>
    <t>Новогоднее оконное украшение "Милые зверята", 18*18см, соб.разраб. НУ-6370</t>
  </si>
  <si>
    <t>НУ-6370</t>
  </si>
  <si>
    <t>4680942615492</t>
  </si>
  <si>
    <t>251254</t>
  </si>
  <si>
    <t>Новогоднее оконное украшение "Морозные снежинки", 18х18 см (собств. разработка) НН-2086</t>
  </si>
  <si>
    <t>НН-2086</t>
  </si>
  <si>
    <t>4640306920860</t>
  </si>
  <si>
    <t>228061</t>
  </si>
  <si>
    <t>Новогоднее оконное украшение "Новогоднее настроение", 18*18см (собст. разраб.) НУ-7030</t>
  </si>
  <si>
    <t>НУ-7030</t>
  </si>
  <si>
    <t>4670159169925</t>
  </si>
  <si>
    <t>251252</t>
  </si>
  <si>
    <t>Новогоднее оконное украшение "Новогоднее настроение", 18х18 см (собств. разработка) НН-2084</t>
  </si>
  <si>
    <t>НН-2084</t>
  </si>
  <si>
    <t>4640306920846</t>
  </si>
  <si>
    <t>228059</t>
  </si>
  <si>
    <t>Новогоднее оконное украшение "Новогоднее счастье", 18*18см (собст. разраб.) НУ-7029</t>
  </si>
  <si>
    <t>НУ-7029</t>
  </si>
  <si>
    <t>4670159169918</t>
  </si>
  <si>
    <t>271593</t>
  </si>
  <si>
    <t>Новогоднее оконное украшение "Праздник", 18*18см, соб.разраб. НУ-6169</t>
  </si>
  <si>
    <t>НУ-6169</t>
  </si>
  <si>
    <t>4680942615485</t>
  </si>
  <si>
    <t>251253</t>
  </si>
  <si>
    <t>Новогоднее оконное украшение "Снежинки на окнах", 18х18 см (собств. разработка) НН-2085</t>
  </si>
  <si>
    <t>НН-2085</t>
  </si>
  <si>
    <t>4640306920853</t>
  </si>
  <si>
    <t>271592</t>
  </si>
  <si>
    <t>Новогоднее оконное украшение "Снежинки", 18*18см, соб.разраб. НУ-6168</t>
  </si>
  <si>
    <t>НУ-6168</t>
  </si>
  <si>
    <t>4680942615478</t>
  </si>
  <si>
    <t>251255</t>
  </si>
  <si>
    <t>Новогоднее оконное украшение "Уютный зимний вечер", 18х18 см (собств. разработка) НН-2087</t>
  </si>
  <si>
    <t>НН-2087</t>
  </si>
  <si>
    <t>4640306920877</t>
  </si>
  <si>
    <t>25х25см</t>
  </si>
  <si>
    <t>251264</t>
  </si>
  <si>
    <t>Новогоднее оконное украшение  "Новогодняя ёлка", 25х25 см (собств. разработка) НН-2095</t>
  </si>
  <si>
    <t>НН-2095</t>
  </si>
  <si>
    <t>4640306920952</t>
  </si>
  <si>
    <t>228069</t>
  </si>
  <si>
    <t>Новогоднее оконное украшение "Волшебные оленята", 25*25см (собст. разраб.) НУ-7037</t>
  </si>
  <si>
    <t>НУ-7037</t>
  </si>
  <si>
    <t>4670159169994</t>
  </si>
  <si>
    <t>228070</t>
  </si>
  <si>
    <t>Новогоднее оконное украшение "Волшебный декор", 25*25см (собст. разраб.) НУ-7038</t>
  </si>
  <si>
    <t>НУ-7038</t>
  </si>
  <si>
    <t>4670159170006</t>
  </si>
  <si>
    <t>271598</t>
  </si>
  <si>
    <t>Новогоднее оконное украшение "Волшебство", 25*25см, соб.разраб. НУ-6374</t>
  </si>
  <si>
    <t>НУ-6374</t>
  </si>
  <si>
    <t>4680942615539</t>
  </si>
  <si>
    <t>228067</t>
  </si>
  <si>
    <t>Новогоднее оконное украшение "Зимний уют", 25*25см (собст. разраб.) НУ-7035</t>
  </si>
  <si>
    <t>НУ-7035</t>
  </si>
  <si>
    <t>4670159169970</t>
  </si>
  <si>
    <t>271596</t>
  </si>
  <si>
    <t>Новогоднее оконное украшение "Морозные снежинки", 25*25см, соб.разраб. НУ-6372</t>
  </si>
  <si>
    <t>НУ-6372</t>
  </si>
  <si>
    <t>4680942615515</t>
  </si>
  <si>
    <t>251261</t>
  </si>
  <si>
    <t>Новогоднее оконное украшение "Новогодние котики", 25х25 см (собств. разработка) НН-2092</t>
  </si>
  <si>
    <t>НН-2092</t>
  </si>
  <si>
    <t>4640306920921</t>
  </si>
  <si>
    <t>251263</t>
  </si>
  <si>
    <t>Новогоднее оконное украшение "Рождественский венок", 25х25 см (собств. разработка) НН-2094</t>
  </si>
  <si>
    <t>НН-2094</t>
  </si>
  <si>
    <t>4640306920945</t>
  </si>
  <si>
    <t>228068</t>
  </si>
  <si>
    <t>Новогоднее оконное украшение "Сказочное торжество", 25*25см (собст. разраб.) НУ-7036</t>
  </si>
  <si>
    <t>НУ-7036</t>
  </si>
  <si>
    <t>4670159169987</t>
  </si>
  <si>
    <t>251262</t>
  </si>
  <si>
    <t>Новогоднее оконное украшение "Снегирь и снежинки", 25х25 см (собств. разработка) НН-2093</t>
  </si>
  <si>
    <t>НН-2093</t>
  </si>
  <si>
    <t>4640306920938</t>
  </si>
  <si>
    <t>271595</t>
  </si>
  <si>
    <t>Новогоднее оконное украшение "Снегирь на венке", 25*25см, соб.разраб. НУ-6371</t>
  </si>
  <si>
    <t>НУ-6371</t>
  </si>
  <si>
    <t>4680942615508</t>
  </si>
  <si>
    <t>271597</t>
  </si>
  <si>
    <t>Новогоднее оконное украшение "Счастливые зверята", 25*25см, соб.разраб. НУ-6373</t>
  </si>
  <si>
    <t>НУ-6373</t>
  </si>
  <si>
    <t>4680942615522</t>
  </si>
  <si>
    <t>30х40см</t>
  </si>
  <si>
    <t>193592</t>
  </si>
  <si>
    <t>Интерьерная наклейка  " Новогодний Дедушка Мороз", 30*40см  соб.раз НУ-6881</t>
  </si>
  <si>
    <t>НУ-6881</t>
  </si>
  <si>
    <t>4620129768818</t>
  </si>
  <si>
    <t>254422</t>
  </si>
  <si>
    <t>Новогоднее оконное украшение  с раскраской "Тройка" 30х40 см (собств. разработка) НУ-2934</t>
  </si>
  <si>
    <t>НУ-2934</t>
  </si>
  <si>
    <t>4640306929344</t>
  </si>
  <si>
    <t>251271</t>
  </si>
  <si>
    <t>Новогоднее оконное украшение  с раскраской. "Милые животные", 30х40 см (собств. разработка) НН-2099</t>
  </si>
  <si>
    <t>НН-2099</t>
  </si>
  <si>
    <t>4640306920990</t>
  </si>
  <si>
    <t>228079</t>
  </si>
  <si>
    <t>Новогоднее оконное украшение "Атмосфера праздника", 30*40см,с раскраск.(собст. разраб.) НУ-7043</t>
  </si>
  <si>
    <t>НУ-7043</t>
  </si>
  <si>
    <t>4670159170051</t>
  </si>
  <si>
    <t>271583</t>
  </si>
  <si>
    <t>Новогоднее оконное украшение "Волшебные олени", 30*42см, соб.разраб. НУ-6159</t>
  </si>
  <si>
    <t>НУ-6159</t>
  </si>
  <si>
    <t>4680942615386</t>
  </si>
  <si>
    <t>228071</t>
  </si>
  <si>
    <t>Новогоднее оконное украшение "Зимняя принцесса", 30*40см,с раскраск.(собст. разраб.) НУ-7039</t>
  </si>
  <si>
    <t>НУ-7039</t>
  </si>
  <si>
    <t>4670159170013</t>
  </si>
  <si>
    <t>271584</t>
  </si>
  <si>
    <t>Новогоднее оконное украшение "Новогоднее настроение", 30*42см, соб.разраб. НУ-6160</t>
  </si>
  <si>
    <t>НУ-6160</t>
  </si>
  <si>
    <t>4680942615393</t>
  </si>
  <si>
    <t>271581</t>
  </si>
  <si>
    <t>Новогоднее оконное украшение "Новогоднее счастье", 30*42см, соб.разраб. НУ-6157</t>
  </si>
  <si>
    <t>НУ-6157</t>
  </si>
  <si>
    <t>4680942615362</t>
  </si>
  <si>
    <t>271582</t>
  </si>
  <si>
    <t>Новогоднее оконное украшение "Новогоднее чудо", 30*42см, соб.разраб. НУ-6158</t>
  </si>
  <si>
    <t>НУ-6158</t>
  </si>
  <si>
    <t>4680942615379</t>
  </si>
  <si>
    <t>271586</t>
  </si>
  <si>
    <t>Новогоднее оконное украшение "Новогодняя сказка", 30*42см, соб.разраб. НУ-6162</t>
  </si>
  <si>
    <t>НУ-6162</t>
  </si>
  <si>
    <t>4680942615416</t>
  </si>
  <si>
    <t>271585</t>
  </si>
  <si>
    <t>Новогоднее оконное украшение "Сказочные друзья", 30*42см, соб.разраб. НУ-6161</t>
  </si>
  <si>
    <t>НУ-6161</t>
  </si>
  <si>
    <t>4680942615409</t>
  </si>
  <si>
    <t>251272</t>
  </si>
  <si>
    <t>Новогоднее оконное украшение с раскраской "Новогодний венок", 30х40 см (собств. разработка) НН-2100</t>
  </si>
  <si>
    <t>НН-2100</t>
  </si>
  <si>
    <t>4640306921003</t>
  </si>
  <si>
    <t>213554</t>
  </si>
  <si>
    <t>Оформительские наклейки новогодние "Новогоднее чудо", 30*40см.НУ-7800</t>
  </si>
  <si>
    <t>НУ-7800</t>
  </si>
  <si>
    <t>4670159078005</t>
  </si>
  <si>
    <t>2 Интерьерные наклейки</t>
  </si>
  <si>
    <t>155254</t>
  </si>
  <si>
    <t>Интерьерная наклейка "Новогодняя ёлочка" 18*18 см НУ-8897</t>
  </si>
  <si>
    <t>НУ-8897</t>
  </si>
  <si>
    <t>4680088488974</t>
  </si>
  <si>
    <t>155186</t>
  </si>
  <si>
    <t>Интерьерная наклейка "Набор Северные олени" 25x14.4см НУ-9251</t>
  </si>
  <si>
    <t>НУ-9251</t>
  </si>
  <si>
    <t>4680088482514</t>
  </si>
  <si>
    <t>5 Силиконовые наклейки "Собственная разработка"</t>
  </si>
  <si>
    <t>15х15см</t>
  </si>
  <si>
    <t>271528</t>
  </si>
  <si>
    <t>Силиконовая новогодняя наклейка "Птичка" собств/разраб, 15*15 см СН-1593</t>
  </si>
  <si>
    <t>СН-1593</t>
  </si>
  <si>
    <t>4680942615935</t>
  </si>
  <si>
    <t>189860</t>
  </si>
  <si>
    <t>Силиконовая новогодняя наклейка Белочка 15*15 см "Собственная разработка" НУ-6614</t>
  </si>
  <si>
    <t>НУ-6614</t>
  </si>
  <si>
    <t>4620129766142</t>
  </si>
  <si>
    <t>189857</t>
  </si>
  <si>
    <t>Силиконовая новогодняя наклейка Новогодний оленёнок 15*15 см "Собственная разработка" НУ-6611</t>
  </si>
  <si>
    <t>НУ-6611</t>
  </si>
  <si>
    <t>4620129766111</t>
  </si>
  <si>
    <t>20х20см</t>
  </si>
  <si>
    <t>251425</t>
  </si>
  <si>
    <t>Силиконовая новогодняя наклейка "Белочка в шапочке" собств.разр., 20*20 см НУ-9591</t>
  </si>
  <si>
    <t>НУ-9591</t>
  </si>
  <si>
    <t>4670159225911</t>
  </si>
  <si>
    <t>271529</t>
  </si>
  <si>
    <t>Силиконовая новогодняя наклейка "Пингвиненок" собств.разраб, 20*20 см СН-1594</t>
  </si>
  <si>
    <t>СН-1594</t>
  </si>
  <si>
    <t>4680942615942</t>
  </si>
  <si>
    <t>20х25см</t>
  </si>
  <si>
    <t>271531</t>
  </si>
  <si>
    <t>Силиконовая новогодняя наклейка "Белочка" собств.разраб, 20*25 см СН-1596</t>
  </si>
  <si>
    <t>СН-1596</t>
  </si>
  <si>
    <t>4680942615966</t>
  </si>
  <si>
    <t>251428</t>
  </si>
  <si>
    <t>Силиконовая новогодняя наклейка "Белый мишка" собств.разр., 20*25 см НУ-9593</t>
  </si>
  <si>
    <t>НУ-9593</t>
  </si>
  <si>
    <t>4670159225935</t>
  </si>
  <si>
    <t>227979</t>
  </si>
  <si>
    <t>Силиконовая новогодняя наклейка "Дедушка у ёлки" 20*25см(собс.разраб) НУ-7012</t>
  </si>
  <si>
    <t>НУ-7012</t>
  </si>
  <si>
    <t>4670159169574</t>
  </si>
  <si>
    <t>227980</t>
  </si>
  <si>
    <t>Силиконовая новогодняя наклейка "Ёлочка с подарками" 20*25см(собс.разраб) НУ-7013</t>
  </si>
  <si>
    <t>НУ-7013</t>
  </si>
  <si>
    <t>4670159169581</t>
  </si>
  <si>
    <t>271530</t>
  </si>
  <si>
    <t>Силиконовая новогодняя наклейка "Мишка и Пингвиненок" собств.разраб, 20*25 см СН-1595</t>
  </si>
  <si>
    <t>СН-1595</t>
  </si>
  <si>
    <t>4680942615959</t>
  </si>
  <si>
    <t>251429</t>
  </si>
  <si>
    <t>Силиконовая новогодняя наклейка "Новогодний пингвин" собств.разр., 20*25 см НУ-9594</t>
  </si>
  <si>
    <t>НУ-9594</t>
  </si>
  <si>
    <t>4670159225942</t>
  </si>
  <si>
    <t>251427</t>
  </si>
  <si>
    <t>Силиконовая новогодняя наклейка "Пушистая ёлка" собств.разр., 20*25 см НУ-9592</t>
  </si>
  <si>
    <t>НУ-9592</t>
  </si>
  <si>
    <t>4670159225928</t>
  </si>
  <si>
    <t>271535</t>
  </si>
  <si>
    <t>Силиконовая новогодняя наклейка "Зайчик с подарками" собств.разраб, 25*25 см СН-1599</t>
  </si>
  <si>
    <t>СН-1599</t>
  </si>
  <si>
    <t>4680942615997</t>
  </si>
  <si>
    <t>251431</t>
  </si>
  <si>
    <t>Силиконовая новогодняя наклейка "Зайчик у ёлки" собств.разр., 25*25 см НУ-9596</t>
  </si>
  <si>
    <t>НУ-9596</t>
  </si>
  <si>
    <t>4670159225966</t>
  </si>
  <si>
    <t>227983</t>
  </si>
  <si>
    <t>Силиконовая новогодняя наклейка "Зимние колокольчики" 25*25см(собств.разраб) НУ-7016</t>
  </si>
  <si>
    <t>НУ-7016</t>
  </si>
  <si>
    <t>4670159169611</t>
  </si>
  <si>
    <t>271536</t>
  </si>
  <si>
    <t>Силиконовая новогодняя наклейка "Милый зайчик" собств.разраб, 25*25 см СН-1600</t>
  </si>
  <si>
    <t>СН-1600</t>
  </si>
  <si>
    <t>4680942616000</t>
  </si>
  <si>
    <t>227985</t>
  </si>
  <si>
    <t>Силиконовая новогодняя наклейка "Мишутка" 25*25см(собс.разраб) НУ-7018</t>
  </si>
  <si>
    <t>НУ-7018</t>
  </si>
  <si>
    <t>4670159169635</t>
  </si>
  <si>
    <t>271533</t>
  </si>
  <si>
    <t>Силиконовая новогодняя наклейка "Новогодний мишка" собств.разраб, 25*25 см СН-1598</t>
  </si>
  <si>
    <t>СН-1598</t>
  </si>
  <si>
    <t>4680942615980</t>
  </si>
  <si>
    <t>251433</t>
  </si>
  <si>
    <t>Силиконовая новогодняя наклейка "Праздничный венок" собств.разр., 25*25 см НУ-9598</t>
  </si>
  <si>
    <t>НУ-9598</t>
  </si>
  <si>
    <t>4670159225980</t>
  </si>
  <si>
    <t>271537</t>
  </si>
  <si>
    <t>Силиконовая новогодняя наклейка "Снеговик и его друзья" собств.разраб, 25*25 см СН-1601</t>
  </si>
  <si>
    <t>СН-1601</t>
  </si>
  <si>
    <t>4680942616017</t>
  </si>
  <si>
    <t>251432</t>
  </si>
  <si>
    <t>Силиконовая новогодняя наклейка "Снежные лисята" собств.разр., 25*25 см НУ-9597</t>
  </si>
  <si>
    <t>НУ-9597</t>
  </si>
  <si>
    <t>4670159225973</t>
  </si>
  <si>
    <t>251430</t>
  </si>
  <si>
    <t>Силиконовая новогодняя наклейка "Совёнок с подарками" собств.разр., 25*25 см НУ-9595</t>
  </si>
  <si>
    <t>НУ-9595</t>
  </si>
  <si>
    <t>4670159225959</t>
  </si>
  <si>
    <t>25х33см</t>
  </si>
  <si>
    <t>251436</t>
  </si>
  <si>
    <t>Силиконовая новогодняя наклейка "Дедушка Мороз с подарками" собств.разраб, 25*33 см НУ-9601</t>
  </si>
  <si>
    <t>НУ-9601</t>
  </si>
  <si>
    <t>4670159226017</t>
  </si>
  <si>
    <t>228287</t>
  </si>
  <si>
    <t>Силиконовая новогодняя наклейка "Зайка у ёлочки" 25*33см(собс.разраб) НУ-7060</t>
  </si>
  <si>
    <t>НУ-7060</t>
  </si>
  <si>
    <t>4670159170600</t>
  </si>
  <si>
    <t>251435</t>
  </si>
  <si>
    <t>Силиконовая новогодняя наклейка "Милая Снегурочка" собств.разр., 25*33 см НУ-9600</t>
  </si>
  <si>
    <t>НУ-9600</t>
  </si>
  <si>
    <t>4670159226000</t>
  </si>
  <si>
    <t>6 Оформительские плакаты</t>
  </si>
  <si>
    <t>104267</t>
  </si>
  <si>
    <t>Оформительский плакат на скотче Милый Санта,45 см,глиттер НУ-0857</t>
  </si>
  <si>
    <t>НУ-0857</t>
  </si>
  <si>
    <t>4665306708577</t>
  </si>
  <si>
    <t>05 Новогодние венки</t>
  </si>
  <si>
    <t>276580</t>
  </si>
  <si>
    <t>Новогодний венок  "Яркий праздник", пластик, ПВХ, 20 см НУП-4308</t>
  </si>
  <si>
    <t>НУП-4308</t>
  </si>
  <si>
    <t>4680942643082</t>
  </si>
  <si>
    <t>201752</t>
  </si>
  <si>
    <t>Новогодний венок "Ноель", 45см НУ-2382</t>
  </si>
  <si>
    <t>НУ-2382</t>
  </si>
  <si>
    <t>4670159023821</t>
  </si>
  <si>
    <t>203470</t>
  </si>
  <si>
    <t>Новогодний венок "Снежная вьюга", 45см НУ-3611</t>
  </si>
  <si>
    <t>НУ-3611</t>
  </si>
  <si>
    <t>4670159036111</t>
  </si>
  <si>
    <t>203564</t>
  </si>
  <si>
    <t>Новогодний венок "Яркие краски", 30см НУ-2385</t>
  </si>
  <si>
    <t>НУ-2385</t>
  </si>
  <si>
    <t>4670159023852</t>
  </si>
  <si>
    <t>ПВХ + Литые</t>
  </si>
  <si>
    <t>203379</t>
  </si>
  <si>
    <t>Новогодний венок  " Зимний праздник", 50 см. НУ-1970</t>
  </si>
  <si>
    <t>НУ-1970</t>
  </si>
  <si>
    <t>4670159019701</t>
  </si>
  <si>
    <t>203378</t>
  </si>
  <si>
    <t>Новогодний венок  "Сказочный венок с ягодами", 40см НУ-1968</t>
  </si>
  <si>
    <t>НУ-1968</t>
  </si>
  <si>
    <t>4670159019688</t>
  </si>
  <si>
    <t>276584</t>
  </si>
  <si>
    <t>Новогодний венок  "Чудо", пластик, ПВХ, 50 см НУП-4312</t>
  </si>
  <si>
    <t>НУП-4312</t>
  </si>
  <si>
    <t>4680942643129</t>
  </si>
  <si>
    <t>276581</t>
  </si>
  <si>
    <t>Новогодний венок  "Шумный праздник", пластик, ПВХ, 32 см НУП-4309</t>
  </si>
  <si>
    <t>НУП-4309</t>
  </si>
  <si>
    <t>4680942643099</t>
  </si>
  <si>
    <t>276583</t>
  </si>
  <si>
    <t>Новогодний венок "Литая ель", пластик, ПВХ, 45 см НУП-4311</t>
  </si>
  <si>
    <t>НУП-4311</t>
  </si>
  <si>
    <t>4680942643112</t>
  </si>
  <si>
    <t>276585</t>
  </si>
  <si>
    <t>Новогодний венок "Литая хвоя" с подсв. на батар. 2*AA (не в комплекте),пластик, ПВХ,40см НУП-4313</t>
  </si>
  <si>
    <t>НУП-4313</t>
  </si>
  <si>
    <t>4680942643136</t>
  </si>
  <si>
    <t>203471</t>
  </si>
  <si>
    <t>Новогодний венок "Нежность",30см НУ-3612</t>
  </si>
  <si>
    <t>НУ-3612</t>
  </si>
  <si>
    <t>4670159036128</t>
  </si>
  <si>
    <t>276586</t>
  </si>
  <si>
    <t>Новогодний венок "Огонёчки" с подсв. на батар. 2*AA (не в комплекте),пластик,ПВХ, LED, 30см НУП-4314</t>
  </si>
  <si>
    <t>НУП-4314</t>
  </si>
  <si>
    <t>4680942643143</t>
  </si>
  <si>
    <t>276582</t>
  </si>
  <si>
    <t>Новогодний венок "Огоньки" с подсв. на батар. 2*AA (не в комплекте),пластик, ПВХ, LED, 45см НУП-4310</t>
  </si>
  <si>
    <t>НУП-4310</t>
  </si>
  <si>
    <t>4680942643105</t>
  </si>
  <si>
    <t>201751</t>
  </si>
  <si>
    <t>Новогодний венок светящийся "Зимний лес",50см, гирлянда в комплекте,  от батареек CR2032 НУ-2381</t>
  </si>
  <si>
    <t>НУ-2381</t>
  </si>
  <si>
    <t>4670159023814</t>
  </si>
  <si>
    <t>187652</t>
  </si>
  <si>
    <t>Новогодний венок Рождественская ночь, 30 см НУ-5537</t>
  </si>
  <si>
    <t>НУ-5537</t>
  </si>
  <si>
    <t>4620129755375</t>
  </si>
  <si>
    <t>06 Декоративные ветки</t>
  </si>
  <si>
    <t>186902</t>
  </si>
  <si>
    <t>Декоративная ветка Зимняя сказка, 60 см НУ-6106</t>
  </si>
  <si>
    <t>НУ-6106</t>
  </si>
  <si>
    <t>4620129751063</t>
  </si>
  <si>
    <t>186898</t>
  </si>
  <si>
    <t>Декоративная ветка Рождественское утро, 50 см НУ-6102</t>
  </si>
  <si>
    <t>НУ-6102</t>
  </si>
  <si>
    <t>4620129751025</t>
  </si>
  <si>
    <t>276592</t>
  </si>
  <si>
    <t>Декоративная ветка Ёлочка, пластик, ПВХ, 40 см НУП-4319</t>
  </si>
  <si>
    <t>НУП-4319</t>
  </si>
  <si>
    <t>4680942643198</t>
  </si>
  <si>
    <t>186897</t>
  </si>
  <si>
    <t>Декоративная ветка Новогоднее желание, 42 см НУ-6101</t>
  </si>
  <si>
    <t>НУ-6101</t>
  </si>
  <si>
    <t>4620129751018</t>
  </si>
  <si>
    <t>186895</t>
  </si>
  <si>
    <t>Декоративная ветка Новогодние чудеса, 14 см НУ-6099</t>
  </si>
  <si>
    <t>НУ-6099</t>
  </si>
  <si>
    <t>4620129750998</t>
  </si>
  <si>
    <t>097696</t>
  </si>
  <si>
    <t>Декоративная ветка Праздник на пороге НУ-2413</t>
  </si>
  <si>
    <t>НУ-2413</t>
  </si>
  <si>
    <t>4665305424133</t>
  </si>
  <si>
    <t>276587</t>
  </si>
  <si>
    <t>Декоративная ветка Прекрасный день, пластик, ПВХ, 30 см НУП-4315</t>
  </si>
  <si>
    <t>НУП-4315</t>
  </si>
  <si>
    <t>4680942643150</t>
  </si>
  <si>
    <t>276590</t>
  </si>
  <si>
    <t>Набор декоративных веток Новогодняя сказка, пластик, ПВХ, 30 см, 5 шт НУП-4317</t>
  </si>
  <si>
    <t>НУП-4317</t>
  </si>
  <si>
    <t>4680942643174</t>
  </si>
  <si>
    <t>276588</t>
  </si>
  <si>
    <t>Декоративная ветка Пушистая красавица, пластик, ПВХ, 46 см НУП-4316</t>
  </si>
  <si>
    <t>НУП-4316</t>
  </si>
  <si>
    <t>4680942643167</t>
  </si>
  <si>
    <t>07 Новогодний букет</t>
  </si>
  <si>
    <t>203838</t>
  </si>
  <si>
    <t>Новогоднее украшение с подсветкой Праздничные букет,на бат.2*АА не в компл режим свеч в асс. НУ-4094</t>
  </si>
  <si>
    <t>НУ-4094</t>
  </si>
  <si>
    <t>4670159040941</t>
  </si>
  <si>
    <t>08 Наборы новогодних прищепок</t>
  </si>
  <si>
    <t>211143</t>
  </si>
  <si>
    <t>Набор новогодних деревянных прищепок "Маленькая елочка", 6шт, 2.5см НУ-7474</t>
  </si>
  <si>
    <t>НУ-7474</t>
  </si>
  <si>
    <t>4670159074748</t>
  </si>
  <si>
    <t>Керамические</t>
  </si>
  <si>
    <t>211139</t>
  </si>
  <si>
    <t>Набор новогодних прищепок  из дерева с декором из керамики "Яркие подарочки", 8шт, 2.5см НУ-7473</t>
  </si>
  <si>
    <t>НУ-7473</t>
  </si>
  <si>
    <t>4670159074731</t>
  </si>
  <si>
    <t>211135</t>
  </si>
  <si>
    <t>Набор новогодних прищепок  из дерева с декором из керамики "Яркие снежинки", 8шт, 2.5см  НУ-7471</t>
  </si>
  <si>
    <t>НУ-7471</t>
  </si>
  <si>
    <t>4670159074717</t>
  </si>
  <si>
    <t>211134</t>
  </si>
  <si>
    <t>Набор новогодних прищепок  из дерева с декором из керамики"Праздничная елочка",8шт,2.5см НУ-7470</t>
  </si>
  <si>
    <t>НУ-7470</t>
  </si>
  <si>
    <t>4670159074700</t>
  </si>
  <si>
    <t>211137</t>
  </si>
  <si>
    <t>Набор новогодних прищепок  из дерева с декором из керамики"Яркие ёлочки", 8шт, 2.5см НУ-7472</t>
  </si>
  <si>
    <t>НУ-7472</t>
  </si>
  <si>
    <t>4670159074724</t>
  </si>
  <si>
    <t>09 Брелоки</t>
  </si>
  <si>
    <t>267146</t>
  </si>
  <si>
    <t>Брелок со стразами "Дед Мороз", золотистый, 6,5х3,8 см, Т-7572</t>
  </si>
  <si>
    <t>Т-7572</t>
  </si>
  <si>
    <t>4640520775727</t>
  </si>
  <si>
    <t>267143</t>
  </si>
  <si>
    <t>Брелок со стразами "Новогодний котик", золотистый, 4х3 см, Т-7569</t>
  </si>
  <si>
    <t>Т-7569</t>
  </si>
  <si>
    <t>4640520775697</t>
  </si>
  <si>
    <t>267139</t>
  </si>
  <si>
    <t>Брелок со стразами "Новогодний свитер", золотистый,  5х5 см, Т-7568</t>
  </si>
  <si>
    <t>Т-7568</t>
  </si>
  <si>
    <t>4640520775680</t>
  </si>
  <si>
    <t>267144</t>
  </si>
  <si>
    <t>Брелок со стразами "Новогодняя ёлка", золотистый, 6,5х5 см, Т-7570</t>
  </si>
  <si>
    <t>Т-7570</t>
  </si>
  <si>
    <t>4640520775703</t>
  </si>
  <si>
    <t>267145</t>
  </si>
  <si>
    <t>Брелок со стразами "Снеговик", золотистый, 6х3,5 см, Т-7571</t>
  </si>
  <si>
    <t>Т-7571</t>
  </si>
  <si>
    <t>4640520775710</t>
  </si>
  <si>
    <t>275001</t>
  </si>
  <si>
    <t>Брелок со стразами. "Дед Мороз", 4.5х6 см Т-3480</t>
  </si>
  <si>
    <t>Т-3480</t>
  </si>
  <si>
    <t>4680942634806</t>
  </si>
  <si>
    <t>10 Магниты</t>
  </si>
  <si>
    <t>227827</t>
  </si>
  <si>
    <t>Магнит из полирезины "Китайский фонарик яркий", 7*4см (собс.разр) НУ-6920</t>
  </si>
  <si>
    <t>НУ-6920</t>
  </si>
  <si>
    <t>4670159169253</t>
  </si>
  <si>
    <t>11 Свечи декоративные</t>
  </si>
  <si>
    <t>207714</t>
  </si>
  <si>
    <t>Свеча декоративная "Милая ёлочка" с ароматом  морского помело,  6.5*3*8сm, зеленая.УД-6208</t>
  </si>
  <si>
    <t>УД-6208</t>
  </si>
  <si>
    <t>4670159062080</t>
  </si>
  <si>
    <t>12 Новогодние цветы</t>
  </si>
  <si>
    <t>1 Текстильные цветы</t>
  </si>
  <si>
    <t>1 Текстильные цветы (штучные)</t>
  </si>
  <si>
    <t>203657</t>
  </si>
  <si>
    <t>Новогоднее украшение. Рождественский цветок "Белоснежный цвет"  23см, белый НУ-3995</t>
  </si>
  <si>
    <t>НУ-3995</t>
  </si>
  <si>
    <t>4670159039952</t>
  </si>
  <si>
    <t>203654</t>
  </si>
  <si>
    <t>Новогоднее украшение. Рождественский цветок "Жемчужный цвет"  27 см, жемчужный НУ-3992</t>
  </si>
  <si>
    <t>НУ-3992</t>
  </si>
  <si>
    <t>4670159039921</t>
  </si>
  <si>
    <t>276606</t>
  </si>
  <si>
    <t>Новогоднее украшение. Рождественский цветок "Нежно розовый", 16 см, текстиль, розовый НУП-4326</t>
  </si>
  <si>
    <t>НУП-4326</t>
  </si>
  <si>
    <t>4680942643266</t>
  </si>
  <si>
    <t>203658</t>
  </si>
  <si>
    <t>Новогоднее украшение. Рождественский цветок "Нежность"  23 см, светло-розовый НУ-3996</t>
  </si>
  <si>
    <t>НУ-3996</t>
  </si>
  <si>
    <t>4670159039969</t>
  </si>
  <si>
    <t>276603</t>
  </si>
  <si>
    <t>Новогоднее украшение. Рождественский цветок "Прекрасный цветок", 16 см, текстиль, золотой НУП-4324</t>
  </si>
  <si>
    <t>НУП-4324</t>
  </si>
  <si>
    <t>4680942643242</t>
  </si>
  <si>
    <t>203652</t>
  </si>
  <si>
    <t>Новогоднее украшение. Рождественский цветок "Рубиновый цвет"  27см,красный НУ-3991</t>
  </si>
  <si>
    <t>НУ-3991</t>
  </si>
  <si>
    <t>4670159039914</t>
  </si>
  <si>
    <t>203655</t>
  </si>
  <si>
    <t>Новогоднее украшение. Рождественский цветок "Цвет шампань"  24см, шампань НУ-3993</t>
  </si>
  <si>
    <t>НУ-3993</t>
  </si>
  <si>
    <t>4670159039938</t>
  </si>
  <si>
    <t>276613</t>
  </si>
  <si>
    <t>Новогоднее украшение. Рождественский цветок "Чудесный день", 23 см текстиль, серебро НУП-4330</t>
  </si>
  <si>
    <t>НУП-4330</t>
  </si>
  <si>
    <t>4680942643303</t>
  </si>
  <si>
    <t>276598</t>
  </si>
  <si>
    <t>Новогоднее украшение. Рождественский цветок "Ярко-красный", 16 см, текстиль, красный НУП-4322</t>
  </si>
  <si>
    <t>НУП-4322</t>
  </si>
  <si>
    <t>4680942643228</t>
  </si>
  <si>
    <t>2 Текстильные цветы (наборы)</t>
  </si>
  <si>
    <t>276597</t>
  </si>
  <si>
    <t>Новогоднее украшение. Набор рождеств.цветов "Нежный цветок", 16 см, 10 шт, текстиль, белый НУП-4321</t>
  </si>
  <si>
    <t>НУП-4321</t>
  </si>
  <si>
    <t>4680942643211</t>
  </si>
  <si>
    <t>276607</t>
  </si>
  <si>
    <t>Новогоднее украшение.Набор рождеств.цветов "Нежно розовый", 16 см, 10 шт, текстиль, розовый НУП-4327</t>
  </si>
  <si>
    <t>НУП-4327</t>
  </si>
  <si>
    <t>4680942643273</t>
  </si>
  <si>
    <t>276611</t>
  </si>
  <si>
    <t>Новогоднее украшение.Набор рождеств.цветов "Снежный цветок", 14 см, 10 шт, текстиль, белый НУП-4329</t>
  </si>
  <si>
    <t>НУП-4329</t>
  </si>
  <si>
    <t>4680942643297</t>
  </si>
  <si>
    <t>276614</t>
  </si>
  <si>
    <t>Новогоднее украшение.Набор рождеств.цветов "Чудесный день", 23 см, 10 шт, текстиль, серебро НУП-4331</t>
  </si>
  <si>
    <t>НУП-4331</t>
  </si>
  <si>
    <t>4680942643310</t>
  </si>
  <si>
    <t>08 Карнавальная атрибутика</t>
  </si>
  <si>
    <t>Новогодние колпаки, шапочки, борода</t>
  </si>
  <si>
    <t>200628</t>
  </si>
  <si>
    <t>Колпак новогодний красный, Блестящие снежинки, 29*40 см НУ-1932</t>
  </si>
  <si>
    <t>НУ-1932</t>
  </si>
  <si>
    <t>4670159019824</t>
  </si>
  <si>
    <t>200648</t>
  </si>
  <si>
    <t>Колпак новогодний с бородой Прекрасный праздник, красный 28*39 см  НУ-1947</t>
  </si>
  <si>
    <t>НУ-1947</t>
  </si>
  <si>
    <t>4670159019978</t>
  </si>
  <si>
    <t>Новогодние носки</t>
  </si>
  <si>
    <t>251335</t>
  </si>
  <si>
    <t>Набор носков для подарков, 4 шт., 14*9 см НУ-2636</t>
  </si>
  <si>
    <t>НУ-2636</t>
  </si>
  <si>
    <t>4640306926305</t>
  </si>
  <si>
    <t>200643</t>
  </si>
  <si>
    <t>Носок для подарков Дедушка Мороз, красный, 17*34 см  НУ-1944</t>
  </si>
  <si>
    <t>НУ-1944</t>
  </si>
  <si>
    <t>4670159019947</t>
  </si>
  <si>
    <t>Ободки и заколки новогодние</t>
  </si>
  <si>
    <t>209894</t>
  </si>
  <si>
    <t>Карнавальный набор 2 в 1 "Холодная фея" (палочка, ободок) КРК-7306</t>
  </si>
  <si>
    <t>КРК-7306</t>
  </si>
  <si>
    <t>4670159073062</t>
  </si>
  <si>
    <t>122396</t>
  </si>
  <si>
    <t>Карнавальный ободок Нежные снежинки КРК-5755</t>
  </si>
  <si>
    <t>КРК-5755</t>
  </si>
  <si>
    <t>4665307357552</t>
  </si>
  <si>
    <t>163354</t>
  </si>
  <si>
    <t>Новогоднее украшение. Набор заколок для волос 2 шт.  Оленьи рожки, 8 см НУ-2461</t>
  </si>
  <si>
    <t>НУ-2461</t>
  </si>
  <si>
    <t>4610144814614</t>
  </si>
  <si>
    <t>200634</t>
  </si>
  <si>
    <t>Новогоднее украшение. Набор заколок для волос 2 шт., Блестящие красные рожки, 7*8,5 см НУ-1938</t>
  </si>
  <si>
    <t>НУ-1938</t>
  </si>
  <si>
    <t>4670159019886</t>
  </si>
  <si>
    <t>200631</t>
  </si>
  <si>
    <t>Новогоднее украшение. Набор заколок для волос 2 шт., Дед Мороз, 8*5 см НУ-1935</t>
  </si>
  <si>
    <t>НУ-1935</t>
  </si>
  <si>
    <t>4670159019855</t>
  </si>
  <si>
    <t>200632</t>
  </si>
  <si>
    <t>Новогоднее украшение. Набор заколок для волос 2 шт., Новогодний олень, 8*5 см НУ-1936</t>
  </si>
  <si>
    <t>НУ-1936</t>
  </si>
  <si>
    <t>4670159019862</t>
  </si>
  <si>
    <t>Очки новогодние</t>
  </si>
  <si>
    <t>235109</t>
  </si>
  <si>
    <t>Новогоднее украшение. Очки карнавальные Зеленые рожки, 14*12 см НУ-9998</t>
  </si>
  <si>
    <t>НУ-9998</t>
  </si>
  <si>
    <t>4670159199885</t>
  </si>
  <si>
    <t>200636</t>
  </si>
  <si>
    <t>Новогоднее украшение. Очки карнавальные Золотистые рожки, 14*12 см НУ-1940</t>
  </si>
  <si>
    <t>НУ-1940</t>
  </si>
  <si>
    <t>4670159019909</t>
  </si>
  <si>
    <t>235110</t>
  </si>
  <si>
    <t>Новогоднее украшение. Очки карнавальные Красные рожки, 14*12 см НУ-9999</t>
  </si>
  <si>
    <t>НУ-9999</t>
  </si>
  <si>
    <t>4670159199892</t>
  </si>
  <si>
    <t>235111</t>
  </si>
  <si>
    <t>Новогоднее украшение. Очки карнавальные Серебристые рожки, 14*12 см НУ-9990</t>
  </si>
  <si>
    <t>НУ-9990</t>
  </si>
  <si>
    <t>4670159199908</t>
  </si>
  <si>
    <t>09 Хлопушки с конфетти</t>
  </si>
  <si>
    <t>Хлопушки  11,5 - 12 см.</t>
  </si>
  <si>
    <t>253720</t>
  </si>
  <si>
    <t>Хлопушка пружинная. Ассорти (бумажное и фольгированное) 24 шт в ш/б 11,5 см (собс.раз) Х-2870</t>
  </si>
  <si>
    <t>Х-2870</t>
  </si>
  <si>
    <t>4640306928163</t>
  </si>
  <si>
    <t>253722</t>
  </si>
  <si>
    <t>Хлопушка пружинная. Круглое конфетти (бумажное) 24 шт в ш/б 11,5 (собс.раз) см Х-2872</t>
  </si>
  <si>
    <t>Х-2872</t>
  </si>
  <si>
    <t>4640306928187</t>
  </si>
  <si>
    <t>Хлопушки  15 см.</t>
  </si>
  <si>
    <t>253730</t>
  </si>
  <si>
    <t>Хлопушка пружинная. Звёзды (фольгированное), 15 см, 24 шт в ш/б (собс.раз) Х-2876</t>
  </si>
  <si>
    <t>Х-2876</t>
  </si>
  <si>
    <t>4640306928224</t>
  </si>
  <si>
    <t>253731</t>
  </si>
  <si>
    <t>Хлопушка пружинная. Серпантин (бумажный), 15 см, 24 шт в ш/б (собс.раз) Х-2877</t>
  </si>
  <si>
    <t>Х-2877</t>
  </si>
  <si>
    <t>4640306928231</t>
  </si>
  <si>
    <t>253732</t>
  </si>
  <si>
    <t>Хлопушка пружинная. Серпантин (фольгированный), 15 см, 24 шт в ш/б (собс.раз) Х-2878</t>
  </si>
  <si>
    <t>Х-2878</t>
  </si>
  <si>
    <t>4640306928248</t>
  </si>
  <si>
    <t>253726</t>
  </si>
  <si>
    <t>Хлопушка пружинная. Фольгированные сердца, 15 см, 24 шт в ш/б (собс.раз) Х-2874</t>
  </si>
  <si>
    <t>Х-2874</t>
  </si>
  <si>
    <t>4640306928200</t>
  </si>
  <si>
    <t>Хлопушки  20 см.</t>
  </si>
  <si>
    <t>253737</t>
  </si>
  <si>
    <t>Хлопушка пневматическая Серпантин (фольгированный), 20 см 24 шт в ш/б (собс.раз) Х-2881</t>
  </si>
  <si>
    <t>Х-2881</t>
  </si>
  <si>
    <t>4640306928279</t>
  </si>
  <si>
    <t>Хлопушки  25 см.</t>
  </si>
  <si>
    <t>162188</t>
  </si>
  <si>
    <t>Хлопушка Праздничная. Конфетти серебряное (фольгированное) 25 см соб.раз Х-8922</t>
  </si>
  <si>
    <t>Х-8922</t>
  </si>
  <si>
    <t>4680088489223</t>
  </si>
  <si>
    <t>Хлопушки  30 см.</t>
  </si>
  <si>
    <t>253740</t>
  </si>
  <si>
    <t>Хлопушка пневматическая Ассорти (фольг.) и серпантин (фольг.), 30 см 12 шт в ш/б (собс.раз) Х-2883</t>
  </si>
  <si>
    <t>Х-2883</t>
  </si>
  <si>
    <t>4640306928293</t>
  </si>
  <si>
    <t>253738</t>
  </si>
  <si>
    <t>Хлопушка пневматическая. Ассорти (фольг) и серпантин (бумаж), 30 см 12 шт в ш/б (собс.раз) Х-2882</t>
  </si>
  <si>
    <t>Х-2882</t>
  </si>
  <si>
    <t>4640306928286</t>
  </si>
  <si>
    <t>253741</t>
  </si>
  <si>
    <t>Хлопушка пневматическая. Доллары, 30 см 12 шт в ш/б (собс.раз) Х-2884</t>
  </si>
  <si>
    <t>Х-2884</t>
  </si>
  <si>
    <t>4640306928309</t>
  </si>
  <si>
    <t>253742</t>
  </si>
  <si>
    <t>Хлопушка пневматическая. Евро, 30 см 12 шт в ш/б (собс.раз) Х-2885</t>
  </si>
  <si>
    <t>Х-2885</t>
  </si>
  <si>
    <t>4640306928316</t>
  </si>
  <si>
    <t>253743</t>
  </si>
  <si>
    <t>Хлопушка пневматическая. Звезды (фольг), 30 см 12 шт в ш/б (собс.раз) Х-2886</t>
  </si>
  <si>
    <t>Х-2886</t>
  </si>
  <si>
    <t>4640306928323</t>
  </si>
  <si>
    <t>253745</t>
  </si>
  <si>
    <t>Хлопушка пневматическая. Серпантин (фольг) и серпантин (бумаж), 30 см 12 шт в ш/б (собс.раз) Х-2887</t>
  </si>
  <si>
    <t>Х-2887</t>
  </si>
  <si>
    <t>4640306928330</t>
  </si>
  <si>
    <t>Хлопушки  40 см.</t>
  </si>
  <si>
    <t>253749</t>
  </si>
  <si>
    <t>Хлопушка пневматическая. Ассорти (фольг) и серпантин (бумаж), 40 см 12 шт в ш/б (собс.раз) Х-2888</t>
  </si>
  <si>
    <t>Х-2888</t>
  </si>
  <si>
    <t>4640306928347</t>
  </si>
  <si>
    <t>253751</t>
  </si>
  <si>
    <t>Хлопушка пневматическая. Ассорти (фольг) и серпантин (фольг), 40 см 12 шт в ш/б (собс.раз) Х-2889</t>
  </si>
  <si>
    <t>Х-2889</t>
  </si>
  <si>
    <t>4640306928354</t>
  </si>
  <si>
    <t>253754</t>
  </si>
  <si>
    <t>Хлопушка пневматическая. Доллары, 40 см 12 шт в ш/б (собс.раз) Х-2890</t>
  </si>
  <si>
    <t>Х-2890</t>
  </si>
  <si>
    <t>4640306928361</t>
  </si>
  <si>
    <t>253757</t>
  </si>
  <si>
    <t>Хлопушка пневматическая. Звезды (фольг) и серпантин (бумаж), 40 см 12 шт в ш/б (собс.раз) Х-2941</t>
  </si>
  <si>
    <t>Х-2941</t>
  </si>
  <si>
    <t>4640306928385</t>
  </si>
  <si>
    <t>253756</t>
  </si>
  <si>
    <t>Хлопушка пневматическая. Звезды (фольг), 40 см 12 шт в ш/б (собс.раз) Х-2940</t>
  </si>
  <si>
    <t>Х-2940</t>
  </si>
  <si>
    <t>4640306928378</t>
  </si>
  <si>
    <t>253759</t>
  </si>
  <si>
    <t>Хлопушка пневматическая. Цветы (фольг) и серпантин (бумаж), 40 см 12 шт в ш/б (собс.раз) Х-2942</t>
  </si>
  <si>
    <t>Х-2942</t>
  </si>
  <si>
    <t>4640306928392</t>
  </si>
  <si>
    <t>045590</t>
  </si>
  <si>
    <t>Хлопушка. Бабахалка. Доллары 40 см. соб.раз Х-1524</t>
  </si>
  <si>
    <t>Х-1524</t>
  </si>
  <si>
    <t>4665295515248</t>
  </si>
  <si>
    <t>Хлопушки  50 см.</t>
  </si>
  <si>
    <t>253760</t>
  </si>
  <si>
    <t>Хлопушка пневматическая. Ассорти (фольг) и серпантин (фольг), 50 см 12 шт в ш/б (собс.раз) Х-2943</t>
  </si>
  <si>
    <t>Х-2943</t>
  </si>
  <si>
    <t>4640306928408</t>
  </si>
  <si>
    <t>253762</t>
  </si>
  <si>
    <t>Хлопушка пневматическая. Звезды (фольгированные), 50 см 12 шт в ш/б (собс.раз) Х-2944</t>
  </si>
  <si>
    <t>Х-2944</t>
  </si>
  <si>
    <t>4640306928415</t>
  </si>
  <si>
    <t>04 ПОДАРОЧНАЯ УПАКОВКА</t>
  </si>
  <si>
    <t xml:space="preserve"> 01 Подарочные пакеты</t>
  </si>
  <si>
    <t>01 Подарочные пакеты бумажные</t>
  </si>
  <si>
    <t>01 Под бутылку</t>
  </si>
  <si>
    <t>Dream cards Крафт</t>
  </si>
  <si>
    <t>271132</t>
  </si>
  <si>
    <t>Dream cards Пакет подар. бел. крафт бум, тис.фол 12х36х8,5см Подарок от ДМ, 190г соб.раз. ППК-0919</t>
  </si>
  <si>
    <t>ППК-0919</t>
  </si>
  <si>
    <t>4680942610893</t>
  </si>
  <si>
    <t>271133</t>
  </si>
  <si>
    <t>Dream cards Пакет подар. бел. крафт бум, тис.фол 12х36х8,5см Снежного счастья, 190г соб.раз ППК-0920</t>
  </si>
  <si>
    <t>ППК-0920</t>
  </si>
  <si>
    <t>4680942610909</t>
  </si>
  <si>
    <t>271131</t>
  </si>
  <si>
    <t>DС Пакет подар. бел. крафт бум тис.фол 12х36х8,5см Бутылочка для настроения, 190г соб.раз ППК-0918</t>
  </si>
  <si>
    <t>ППК-0918</t>
  </si>
  <si>
    <t>4680942610886</t>
  </si>
  <si>
    <t>271130</t>
  </si>
  <si>
    <t>DС Пакет подар. из бел. крафт. бумаги и тис.фол. 12х36х8,5 см Красные шары, 190г соб.раз. ППК-0917</t>
  </si>
  <si>
    <t>ППК-0917</t>
  </si>
  <si>
    <t>4680942610879</t>
  </si>
  <si>
    <t>Матовая ламинация (12x36x8,5 см)</t>
  </si>
  <si>
    <t>271126</t>
  </si>
  <si>
    <t>Пакет подарочный с мат.лам.  12х36х8,5 см (Bottle) Два бокала, 157г  соб.раз. ППК-0913</t>
  </si>
  <si>
    <t>ППК-0913</t>
  </si>
  <si>
    <t>4680942610831</t>
  </si>
  <si>
    <t>247409</t>
  </si>
  <si>
    <t>Пакет подарочный с мат.лам.  12х36х8,5 см (Bottle) Снежинки, 157г  (собст.разр.) ППК-2267</t>
  </si>
  <si>
    <t>ППК-2267</t>
  </si>
  <si>
    <t>4640306922673</t>
  </si>
  <si>
    <t>271123</t>
  </si>
  <si>
    <t>Пакет подарочный с мат.лам. 12х36х8,5 см (Bottle) Ёлочная композиция, 157г соб.раз. ППК-0910</t>
  </si>
  <si>
    <t>ППК-0910</t>
  </si>
  <si>
    <t>4680942610800</t>
  </si>
  <si>
    <t>247411</t>
  </si>
  <si>
    <t>Пакет подарочный с мат.лам. 12х36х8,5 см (Bottle) Золотистый, 157г  (собст.разр.) ППК-2269</t>
  </si>
  <si>
    <t>ППК-2269</t>
  </si>
  <si>
    <t>4640306922697</t>
  </si>
  <si>
    <t>271127</t>
  </si>
  <si>
    <t>Пакет подарочный с мат.лам. 12х36х8,5 см (Bottle) Неоновые шарики, 157г  соб.раз. ППК-0914</t>
  </si>
  <si>
    <t>ППК-0914</t>
  </si>
  <si>
    <t>4680942610848</t>
  </si>
  <si>
    <t>271125</t>
  </si>
  <si>
    <t>Пакет подарочный с мат.лам. 12х36х8,5 см (Bottle) Новогодний венок, 157г  соб.раз. ППК-0912</t>
  </si>
  <si>
    <t>ППК-0912</t>
  </si>
  <si>
    <t>4680942610824</t>
  </si>
  <si>
    <t>247410</t>
  </si>
  <si>
    <t>Пакет подарочный с мат.лам. 12х36х8,5 см (Bottle) Новогодний, 157г  (собст.разр.) ППК-2268</t>
  </si>
  <si>
    <t>ППК-2268</t>
  </si>
  <si>
    <t>4640306922680</t>
  </si>
  <si>
    <t>271124</t>
  </si>
  <si>
    <t>Пакет подарочный с мат.лам. 12х36х8,5 см (Bottle) Новогодняя композиция, 157г соб.раз. ППК-0911</t>
  </si>
  <si>
    <t>ППК-0911</t>
  </si>
  <si>
    <t>4680942610817</t>
  </si>
  <si>
    <t>271122</t>
  </si>
  <si>
    <t>Пакет подарочный с мат.лам. 12х36х8,5 см (Bottle) Роскошного Нового Года, 157г собст.разр. ППК-0909</t>
  </si>
  <si>
    <t>ППК-0909</t>
  </si>
  <si>
    <t>4680942610794</t>
  </si>
  <si>
    <t>247412</t>
  </si>
  <si>
    <t>Пакет подарочный с мат.лам. 12х36х8,5 см (Bottle) С Новым годом, 157г  (собст.разр.) ППК-2270</t>
  </si>
  <si>
    <t>ППК-2270</t>
  </si>
  <si>
    <t>4640306922703</t>
  </si>
  <si>
    <t>247407</t>
  </si>
  <si>
    <t>Пакет подарочный с мат.лам. 12х36х8,5 см (Bottle) С Новым годом, 157г (собст.разр.) ППК-2265</t>
  </si>
  <si>
    <t>ППК-2265</t>
  </si>
  <si>
    <t>4640306922659</t>
  </si>
  <si>
    <t>271129</t>
  </si>
  <si>
    <t>Пакет подарочный с мат.лам. 12х36х8,5 см (Bottle) Светящиеся снежинки, 157г  соб.раз. ППК-0916</t>
  </si>
  <si>
    <t>ППК-0916</t>
  </si>
  <si>
    <t>4680942610862</t>
  </si>
  <si>
    <t>271128</t>
  </si>
  <si>
    <t>Пакет подарочный с мат.лам. 12х36х8,5 см (Bottle) Серебристая ёлка, 157г  соб.раз. ППК-0915</t>
  </si>
  <si>
    <t>ППК-0915</t>
  </si>
  <si>
    <t>4680942610855</t>
  </si>
  <si>
    <t>02 Размер S</t>
  </si>
  <si>
    <t>Глянцевая ламинация  (12 х 15 х 6)</t>
  </si>
  <si>
    <t>269433</t>
  </si>
  <si>
    <t>Пакет подарочный с глянц.лам.  11,5x14,5x6 см (S) Исполнение желаний, 128г  соб.раз ППК-7217 сп.30</t>
  </si>
  <si>
    <t>ППК-7217</t>
  </si>
  <si>
    <t>269434</t>
  </si>
  <si>
    <t>Пакет подарочный с глянц.лам.11,5x14,5x6 см (S) Пушистый кот, 128г (собс. разр.) ППК-7220,сп.30</t>
  </si>
  <si>
    <t>ППК-7220</t>
  </si>
  <si>
    <t>269441</t>
  </si>
  <si>
    <t>Пакет подарочный с глянц.лам.11,5x14,5x6 см (S) Сказка, 128г(собс.разр.) ППК-7231 сп.30</t>
  </si>
  <si>
    <t>ППК-7231</t>
  </si>
  <si>
    <t>247413</t>
  </si>
  <si>
    <t>Пакет подарочный с глянц.ламин. 11,5х14,5х6 см (S) Белочка, 157г (собст.разр.) ППК-2271</t>
  </si>
  <si>
    <t>ППК-2271</t>
  </si>
  <si>
    <t>4640306922710</t>
  </si>
  <si>
    <t>271239</t>
  </si>
  <si>
    <t>Пакет подарочный с глянц.ламин. 11,5х14,5х6 см (S) Машинка с подарками, 157г соб.раз. ППК-0923</t>
  </si>
  <si>
    <t>ППК-0923</t>
  </si>
  <si>
    <t>4680942610930</t>
  </si>
  <si>
    <t>271240</t>
  </si>
  <si>
    <t>Пакет подарочный с глянц.ламин. 11,5х14,5х6 см (S) Новогодние украшения, 157г соб.раз. ППК-0924</t>
  </si>
  <si>
    <t>ППК-0924</t>
  </si>
  <si>
    <t>4680942610947</t>
  </si>
  <si>
    <t>271230</t>
  </si>
  <si>
    <t>Пакет подарочный с глянц.ламин. 11,5х14,5х6 см (S) Пингвинчик, 157г соб.раз. ППК-0921</t>
  </si>
  <si>
    <t>ППК-0921</t>
  </si>
  <si>
    <t>4680942610916</t>
  </si>
  <si>
    <t>271241</t>
  </si>
  <si>
    <t>Пакет подарочный с глянц.ламин. 11,5х14,5х6 см (S) Рыжий котёнок, 157г соб.раз. ППК-0925</t>
  </si>
  <si>
    <t>ППК-0925</t>
  </si>
  <si>
    <t>4680942610954</t>
  </si>
  <si>
    <t>258694</t>
  </si>
  <si>
    <t>Пакет подарочный с глянц.ламин.11,5x14,5x6 см (S)  Новогодний заяц, 128г ППК-7202</t>
  </si>
  <si>
    <t>ППК-7202</t>
  </si>
  <si>
    <t>4630493772021</t>
  </si>
  <si>
    <t>258692</t>
  </si>
  <si>
    <t>Пакет подарочный с глянц.ламин.11,5x14,5x6 см (S) Внучка, 128г ППК-7199</t>
  </si>
  <si>
    <t>ППК-7199</t>
  </si>
  <si>
    <t>4630493771994</t>
  </si>
  <si>
    <t>258686</t>
  </si>
  <si>
    <t>Пакет подарочный с глянц.ламин.11,5x14,5x6 см (S) Дед Мороз с подарками, 128г ППК-7192</t>
  </si>
  <si>
    <t>ППК-7192</t>
  </si>
  <si>
    <t>4630493771925</t>
  </si>
  <si>
    <t>258689</t>
  </si>
  <si>
    <t>Пакет подарочный с глянц.ламин.11,5x14,5x6 см (S) Дед Мороз, 128г ППК-7196</t>
  </si>
  <si>
    <t>ППК-7196</t>
  </si>
  <si>
    <t>4630493771963</t>
  </si>
  <si>
    <t>258708</t>
  </si>
  <si>
    <t>Пакет подарочный с глянц.ламин.11,5x14,5x6 см (S) Исполнение желаний, 128г ППК-7217</t>
  </si>
  <si>
    <t>4630493772175</t>
  </si>
  <si>
    <t>258711</t>
  </si>
  <si>
    <t>Пакет подарочный с глянц.ламин.11,5x14,5x6 см (S) Пушистый кот, 128г ППК-7220</t>
  </si>
  <si>
    <t>4630493772205</t>
  </si>
  <si>
    <t>258720</t>
  </si>
  <si>
    <t>Пакет подарочный с глянц.ламин.11,5x14,5x6 см (S) Стеклянный шар, 128г ППК-7235</t>
  </si>
  <si>
    <t>ППК-7235</t>
  </si>
  <si>
    <t>4630493772359</t>
  </si>
  <si>
    <t>258703</t>
  </si>
  <si>
    <t>Пакет подарочный с глянц.ламин.11,5x14,5x6 см (S) Щелкунчик у ёлки, 128г ППК-7210</t>
  </si>
  <si>
    <t>ППК-7210</t>
  </si>
  <si>
    <t>4630493772106</t>
  </si>
  <si>
    <t>258705</t>
  </si>
  <si>
    <t>Пакет подарочный с глянц.ламин.11,5x14,5x6 см (S) Щелкунчик, 128г ППК-7213</t>
  </si>
  <si>
    <t>ППК-7213</t>
  </si>
  <si>
    <t>4630493772137</t>
  </si>
  <si>
    <t>Крафт S</t>
  </si>
  <si>
    <t>231947</t>
  </si>
  <si>
    <t>Пакет подарочный из крафт-бумаги 16х18х7 см (craft S) Еловые ветви,130 г(собс.раз.) ПКП-8287</t>
  </si>
  <si>
    <t>ПКП-8287</t>
  </si>
  <si>
    <t>4670159182870</t>
  </si>
  <si>
    <t>Лицензия</t>
  </si>
  <si>
    <t>Чебурашка</t>
  </si>
  <si>
    <t>236218</t>
  </si>
  <si>
    <t>Пакет подарочный с глянц.лам. 11,5x14,5x6см(S) "Чебурашка в колпаке"128г ЛИЦЕНЗИЯ/Чебурашка ПКП-0390</t>
  </si>
  <si>
    <t>ПКП-0390</t>
  </si>
  <si>
    <t>4670159204787</t>
  </si>
  <si>
    <t>236219</t>
  </si>
  <si>
    <t>Пакет подарочный с глянц.лам. 11,5x14,5x6см(S)"Чебурашка и снежинки"128г ЛИЦЕНЗИЯ/Чебурашка ПКП-0391</t>
  </si>
  <si>
    <t>ПКП-0391</t>
  </si>
  <si>
    <t>4670159204794</t>
  </si>
  <si>
    <t>236217</t>
  </si>
  <si>
    <t>Пакет подарочный с глянц.лам.11,5x14,5x6см(S) "Новогодний Чебурашка"128г ЛИЦЕНЗИЯ/Чебурашка ПКП-0389</t>
  </si>
  <si>
    <t>ПКП-0389</t>
  </si>
  <si>
    <t>4670159204770</t>
  </si>
  <si>
    <t>03 Размер MS</t>
  </si>
  <si>
    <t>DREAM CARDS</t>
  </si>
  <si>
    <t>Dream cards матовая ламинация</t>
  </si>
  <si>
    <t>271298</t>
  </si>
  <si>
    <t>Dream cards Пакет подарочный с мат.лам. 14х20х6,5 см (MS) Ёлка из подарков, 190г соб.раз. ППК-0939</t>
  </si>
  <si>
    <t>ППК-0939</t>
  </si>
  <si>
    <t>4680942611098</t>
  </si>
  <si>
    <t>271300</t>
  </si>
  <si>
    <t>Dream cards Пакет подарочный с мат.лам. 14х20х6,5 см (MS) Медвежонок, 190г соб.раз. ППК-0941</t>
  </si>
  <si>
    <t>ППК-0941</t>
  </si>
  <si>
    <t>4680942611111</t>
  </si>
  <si>
    <t>271299</t>
  </si>
  <si>
    <t>Dream cards Пакет подарочный с мат.лам. 14х20х6,5 см (MS) Снегирь на ветке, 190г соб.раз. ППК-0940</t>
  </si>
  <si>
    <t>ППК-0940</t>
  </si>
  <si>
    <t>4680942611104</t>
  </si>
  <si>
    <t>271297</t>
  </si>
  <si>
    <t>Dream cards Пакет подарочный с мат.лам. 14х20х6,5 см (MS) Сова с подарком, 190г соб.раз. ППК-0938</t>
  </si>
  <si>
    <t>ППК-0938</t>
  </si>
  <si>
    <t>4680942611081</t>
  </si>
  <si>
    <t>271301</t>
  </si>
  <si>
    <t>Dream cards Пакет подарочный с мат.лам. 14х20х6,5см (MS) Ёлочное настроение, 190г соб.раз ППК-0942</t>
  </si>
  <si>
    <t>ППК-0942</t>
  </si>
  <si>
    <t>4680942611128</t>
  </si>
  <si>
    <t>Dream Cards матовая ламинация и тис. фольгой</t>
  </si>
  <si>
    <t>231927</t>
  </si>
  <si>
    <t>Dream Cards Пакет подар.с мат.лам.и тис.ф.14*20*6,5см(MS)Брызги шампанского,190г(соб.раз.) ПКП-8275</t>
  </si>
  <si>
    <t>ПКП-8275</t>
  </si>
  <si>
    <t>4670159182757</t>
  </si>
  <si>
    <t>271302</t>
  </si>
  <si>
    <t>Пакет подарочный с глянц.лам. 14х20х6,5 см (MS) Новогодний пингвин, 157г соб.раз. ППК-0943</t>
  </si>
  <si>
    <t>ППК-0943</t>
  </si>
  <si>
    <t>4680942611135</t>
  </si>
  <si>
    <t>271307</t>
  </si>
  <si>
    <t>Пакет подарочный с глянц.лам. 14х20х6,5 см (MS) Новогодняя ночь, 157г соб.раз. ППК-0947</t>
  </si>
  <si>
    <t>ППК-0947</t>
  </si>
  <si>
    <t>4680942611173</t>
  </si>
  <si>
    <t>271303</t>
  </si>
  <si>
    <t>Пакет подарочный с глянц.лам. 14х20х6,5 см (MS) Новогодняя почта, 157г соб.раз. ППК-0944</t>
  </si>
  <si>
    <t>ППК-0944</t>
  </si>
  <si>
    <t>4680942611142</t>
  </si>
  <si>
    <t>271305</t>
  </si>
  <si>
    <t>Пакет подарочный с глянц.лам. 14х20х6,5 см (MS) Новый год уже в пути, 157г соб.раз. ППК-0945</t>
  </si>
  <si>
    <t>ППК-0945</t>
  </si>
  <si>
    <t>4680942611159</t>
  </si>
  <si>
    <t>271308</t>
  </si>
  <si>
    <t>Пакет подарочный с глянц.лам. 14х20х6,5 см (MS) Снежинка, 157г соб.раз. ППК-0948</t>
  </si>
  <si>
    <t>ППК-0948</t>
  </si>
  <si>
    <t>4680942611180</t>
  </si>
  <si>
    <t>04 Размер M</t>
  </si>
  <si>
    <t>DREAM CARDS (18 х 23 х 10)</t>
  </si>
  <si>
    <t>Dream Cards (18 *23*10) Крафт</t>
  </si>
  <si>
    <t>271331</t>
  </si>
  <si>
    <t>DС Пакет подар. из бел. крафт бумаги и тис.фол 18х23х10см Подарок от ДМ, 190г соб.раз. ППК-0966</t>
  </si>
  <si>
    <t>ППК-0966</t>
  </si>
  <si>
    <t>4680942611364</t>
  </si>
  <si>
    <t>271332</t>
  </si>
  <si>
    <t>DС Пакет подар. из белой крафт. бумаги и тис.фол. 18х23х10см Поздравление, 190г соб.раз. ППК-0967</t>
  </si>
  <si>
    <t>ППК-0967</t>
  </si>
  <si>
    <t>4680942611371</t>
  </si>
  <si>
    <t>Dream Cards (18 *23*10) мат. лам. и тиснение фольгой</t>
  </si>
  <si>
    <t>271317</t>
  </si>
  <si>
    <t>Dream cards Пакет подар. мат.лам и тис.фол 18х23х10см Волшебного Нового Года, 190г соб.раз ППК-0955</t>
  </si>
  <si>
    <t>ППК-0955</t>
  </si>
  <si>
    <t>4680942611258</t>
  </si>
  <si>
    <t>271313</t>
  </si>
  <si>
    <t>Dream cards Пакет подар. с мат.лам и тис.фол. 18х23х10см M Россыпь снежинок, 190г соб.раз ППК-0951</t>
  </si>
  <si>
    <t>ППК-0951</t>
  </si>
  <si>
    <t>4680942611210</t>
  </si>
  <si>
    <t>271311</t>
  </si>
  <si>
    <t>Dream cards Пакет подар. с мат.лам и тис.фол.18х23х10см M Новогодняя сказка, 190г соб.раз ППК-0949</t>
  </si>
  <si>
    <t>ППК-0949</t>
  </si>
  <si>
    <t>4680942611197</t>
  </si>
  <si>
    <t>271312</t>
  </si>
  <si>
    <t>Dream cards Пакет подар. с мат.лам. и тис. фол. 18х23х10см (M) Подарочки, 190г соб.раз. ППК-0950</t>
  </si>
  <si>
    <t>ППК-0950</t>
  </si>
  <si>
    <t>4680942611203</t>
  </si>
  <si>
    <t>247450</t>
  </si>
  <si>
    <t>Dream cards Пакет подар. с мат.лам. и тис. фол.18х23х10 см (M) Снегурочка, 190г(собс.раз.) ППК-2292</t>
  </si>
  <si>
    <t>ППК-2292</t>
  </si>
  <si>
    <t>4640306922925</t>
  </si>
  <si>
    <t>271321</t>
  </si>
  <si>
    <t>Dream cards Пакет подар. с мат.лам. и тис.фол. 18х23х10см (M) Новогодние часы, 190г соб.раз ППК-0958</t>
  </si>
  <si>
    <t>ППК-0958</t>
  </si>
  <si>
    <t>4680942611289</t>
  </si>
  <si>
    <t>247449</t>
  </si>
  <si>
    <t>Dream cards Пакет подар. с мат.лам. и тис.фол.18х23х10 см (M) Золотистые олени,190г(собс.р.)ППК-2291</t>
  </si>
  <si>
    <t>ППК-2291</t>
  </si>
  <si>
    <t>4640306922918</t>
  </si>
  <si>
    <t>247452</t>
  </si>
  <si>
    <t>Dream cards Пакет подар.с мат.лам. и тис.фол..18х23х10 см (M) Золотистые шары, 190г соб.раз ППК-2294</t>
  </si>
  <si>
    <t>ППК-2294</t>
  </si>
  <si>
    <t>4640306922949</t>
  </si>
  <si>
    <t>228184</t>
  </si>
  <si>
    <t>Dream Cards Пакет подар.с мат.лам.и тис.ф.18x23x10см(M)Брызги шампанского,190г(собс.раз.) ПКП-6642</t>
  </si>
  <si>
    <t>ПКП-6642</t>
  </si>
  <si>
    <t>4670159166429</t>
  </si>
  <si>
    <t>271316</t>
  </si>
  <si>
    <t>Dream cards Пакет подарочный с мат.лам и тис.фол 18х23х10см M, Ёлка из шаров, 190г соб.раз ППК-0954</t>
  </si>
  <si>
    <t>ППК-0954</t>
  </si>
  <si>
    <t>4680942611241</t>
  </si>
  <si>
    <t>271314</t>
  </si>
  <si>
    <t>Dream cards Пакет подарочный с мат.лам и тис.фол 18х23х10см Новогодний венок, 190г соб.раз ППК-0952</t>
  </si>
  <si>
    <t>ППК-0952</t>
  </si>
  <si>
    <t>4680942611227</t>
  </si>
  <si>
    <t>271315</t>
  </si>
  <si>
    <t>Dream cards Пакет подарочный с мат.лам и тис.фол. 18х23х10см Ёлочные игрушки, 190г соб.раз ППК-0953</t>
  </si>
  <si>
    <t>ППК-0953</t>
  </si>
  <si>
    <t>4680942611234</t>
  </si>
  <si>
    <t>247460</t>
  </si>
  <si>
    <t>Dream cards Пакет подарочный с мат.лам. и тис.фол. 18х23х10 см (M) Звёзды, 190г(собс.раз.) ППК-2302</t>
  </si>
  <si>
    <t>ППК-2302</t>
  </si>
  <si>
    <t>4640306923021</t>
  </si>
  <si>
    <t>247458</t>
  </si>
  <si>
    <t>Dream cards Пакет подарочный с мат.лам. и тис.фол.. 18х23х10 см (M) Подарки,190г(собс.раз.) ППК-2300</t>
  </si>
  <si>
    <t>ППК-2300</t>
  </si>
  <si>
    <t>4640306923007</t>
  </si>
  <si>
    <t>247453</t>
  </si>
  <si>
    <t>Dream cards Пакет подарочный с мат.лам. и тис.фол.. 18х23х10 см (M) С Новым годом,190г(с.р.)ППК-2295</t>
  </si>
  <si>
    <t>ППК-2295</t>
  </si>
  <si>
    <t>4640306922956</t>
  </si>
  <si>
    <t>247456</t>
  </si>
  <si>
    <t>Dream cards Пакет подарочный с мат.лам. и тис.фол.18х23х10 см (M) Ёлки, 190г(собс.раз.) ППК-2298</t>
  </si>
  <si>
    <t>ППК-2298</t>
  </si>
  <si>
    <t>4640306922987</t>
  </si>
  <si>
    <t>247457</t>
  </si>
  <si>
    <t>Dream cards Пакет подарочный с мат.лам. и тис.фол.18х23х10 см (M) Зеленые шарики, 190г(с.р.)ППК-2299</t>
  </si>
  <si>
    <t>ППК-2299</t>
  </si>
  <si>
    <t>4640306922994</t>
  </si>
  <si>
    <t>247454</t>
  </si>
  <si>
    <t>Dream cards Пакет подарочный с мат.лам. и тис.фол.18х23х10 см (M) Синие шары, 190г(собс.р.) ППК-2296</t>
  </si>
  <si>
    <t>ППК-2296</t>
  </si>
  <si>
    <t>4640306922963</t>
  </si>
  <si>
    <t>247455</t>
  </si>
  <si>
    <t>Dream cards Пакет подарочный с мат.лам. и тис.фол.18х23х10см (M) Новогодний вихрь,190г(с.р.)ППК-2297</t>
  </si>
  <si>
    <t>ППК-2297</t>
  </si>
  <si>
    <t>4640306922970</t>
  </si>
  <si>
    <t>271318</t>
  </si>
  <si>
    <t>Dream cards Пакет подарочный с мат.лам. и тис.фол.18х23х10см (M) Филин, 190г соб.раз ППК-0956</t>
  </si>
  <si>
    <t>ППК-0956</t>
  </si>
  <si>
    <t>4680942611265</t>
  </si>
  <si>
    <t>Dream Cards (18 *23*10) матовая ламинация и глиттер</t>
  </si>
  <si>
    <t>271323</t>
  </si>
  <si>
    <t>Dream cards Пакет подар. мат.лам и глит. 18х23х10см (M) Новогодняя красавица, 190г соб.раз ППК-0960</t>
  </si>
  <si>
    <t>ППК-0960</t>
  </si>
  <si>
    <t>4680942611302</t>
  </si>
  <si>
    <t>271324</t>
  </si>
  <si>
    <t>Dream cards Пакет подароч. мат.лам и глит 18х23х10см (M) Снегири на дереве, 190г соб.раз ППК-0961</t>
  </si>
  <si>
    <t>ППК-0961</t>
  </si>
  <si>
    <t>4680942611319</t>
  </si>
  <si>
    <t>248696</t>
  </si>
  <si>
    <t>Dream cards Пакет подароч. мат.лам. глит 18х23х10 см (M) Лошадка со звездой, 190г(собс.раз) ППК-2423</t>
  </si>
  <si>
    <t>ППК-2423</t>
  </si>
  <si>
    <t>4640306924400</t>
  </si>
  <si>
    <t>271325</t>
  </si>
  <si>
    <t>Dream cards Пакет подароч. мат.лам. и глит. 18х23х10см (M) Красный подарок, 190г соб.раз ППК-0962</t>
  </si>
  <si>
    <t>ППК-0962</t>
  </si>
  <si>
    <t>4680942611326</t>
  </si>
  <si>
    <t>271326</t>
  </si>
  <si>
    <t>Dream cards Пакет подароч. с мат.лам и глит. 18х23х10см (M) Блестящая ёлка, 190г соб.раз ППК-0963</t>
  </si>
  <si>
    <t>ППК-0963</t>
  </si>
  <si>
    <t>4680942611333</t>
  </si>
  <si>
    <t>248695</t>
  </si>
  <si>
    <t>Dream cards Пакет подароч. с мат.лам. глит. 18х23х10 см (M) Пони с подарком, 190г(собс.раз) ППК-2422</t>
  </si>
  <si>
    <t>ППК-2422</t>
  </si>
  <si>
    <t>4640306924394</t>
  </si>
  <si>
    <t>247472</t>
  </si>
  <si>
    <t>Dream cards Пакет подароч. с мат.лам. и глит. 18х23х10 см (M) Ёлки, 190г(собс.раз.) ППК-2311</t>
  </si>
  <si>
    <t>ППК-2311</t>
  </si>
  <si>
    <t>4640306923113</t>
  </si>
  <si>
    <t>248697</t>
  </si>
  <si>
    <t>Dream cards Пакет подароч. с мат.лам. и глит. 18х23х10 см (M) Милая лошадка, 190г(собс.раз) ППК-2424</t>
  </si>
  <si>
    <t>ППК-2424</t>
  </si>
  <si>
    <t>4640306924417</t>
  </si>
  <si>
    <t>247468</t>
  </si>
  <si>
    <t>Dream cards Пакет подароч. с мат.лам. и глит. 18х23х10 см (M) Милый заяц, 190г(собс.раз.) ППК-2306</t>
  </si>
  <si>
    <t>ППК-2306</t>
  </si>
  <si>
    <t>4640306923069</t>
  </si>
  <si>
    <t>247471</t>
  </si>
  <si>
    <t>Dream cards Пакет подароч. с мат.лам. и глит. 18х23х10 см (M) Новогодние бусы, 190г(соб.р.) ППК-2310</t>
  </si>
  <si>
    <t>ППК-2310</t>
  </si>
  <si>
    <t>4640306923106</t>
  </si>
  <si>
    <t>247466</t>
  </si>
  <si>
    <t>Dream cards Пакет подароч. с мат.лам. и глит. 18х23х10 см (M) Новогодние ветки, 190г(соб.р.)ППК-2304</t>
  </si>
  <si>
    <t>ППК-2304</t>
  </si>
  <si>
    <t>4640306923045</t>
  </si>
  <si>
    <t>247465</t>
  </si>
  <si>
    <t>Dream cards Пакет подароч. с мат.лам. и глит. 18х23х10 см (M) Новогодняя ночь, 190г(соб.р.) ППК-2303</t>
  </si>
  <si>
    <t>ППК-2303</t>
  </si>
  <si>
    <t>4640306923038</t>
  </si>
  <si>
    <t>247473</t>
  </si>
  <si>
    <t>Dream cards Пакет подароч. с мат.лам. и глит. 18х23х10 см (M) Пингвин, 190г(собс.раз.) ППК-2307</t>
  </si>
  <si>
    <t>ППК-2307</t>
  </si>
  <si>
    <t>4640306923076</t>
  </si>
  <si>
    <t>247469</t>
  </si>
  <si>
    <t>Dream cards Пакет подароч. с мат.лам. и глит. 18х23х10 см (M) Снеговики, 190г(собс.раз.) ППК-2308</t>
  </si>
  <si>
    <t>ППК-2308</t>
  </si>
  <si>
    <t>4640306923083</t>
  </si>
  <si>
    <t>247470</t>
  </si>
  <si>
    <t>Dream cards Пакет подароч. с мат.лам. и глит. 18х23х10 см (M) Снежинки, 190г(собс.раз.) ППК-2309</t>
  </si>
  <si>
    <t>ППК-2309</t>
  </si>
  <si>
    <t>4640306923090</t>
  </si>
  <si>
    <t>271327</t>
  </si>
  <si>
    <t>Dream cards Пакет подароч. с мат.лам. и глит. 18х23х10см (M) Карусель, 190г соб.раз ППК-0964</t>
  </si>
  <si>
    <t>ППК-0964</t>
  </si>
  <si>
    <t>4680942611340</t>
  </si>
  <si>
    <t>271322</t>
  </si>
  <si>
    <t>Dream cards Пакет подароч. с мат.лам. и глит. 18х23х10см (M) Красивая ёлка, 190г соб.раз ППК-0959</t>
  </si>
  <si>
    <t>ППК-0959</t>
  </si>
  <si>
    <t>4680942611296</t>
  </si>
  <si>
    <t>Глянцевая ламинация (18 х 23 х 10)</t>
  </si>
  <si>
    <t>258737</t>
  </si>
  <si>
    <t>Пакет подарочный с глянц.лам. 18x23x10 см (M) Новогодний заяц, 157г ППК-7203</t>
  </si>
  <si>
    <t>ППК-7203</t>
  </si>
  <si>
    <t>4630493772038</t>
  </si>
  <si>
    <t>258743</t>
  </si>
  <si>
    <t>Пакет подарочный с глянц.лам. 18x23x10 см (M) Пушистый кот, 157г ППК-7221</t>
  </si>
  <si>
    <t>ППК-7221</t>
  </si>
  <si>
    <t>4630493772212</t>
  </si>
  <si>
    <t>247483</t>
  </si>
  <si>
    <t>Пакет подарочный с глянц.лам. 18х23х10 см (M) Исполнение желаний, 157г ППК-2321</t>
  </si>
  <si>
    <t>ППК-2321</t>
  </si>
  <si>
    <t>4640306923212</t>
  </si>
  <si>
    <t>269416</t>
  </si>
  <si>
    <t>Пакет подарочный с глянц.лам. 18х23х10 см (M) Исполнение желаний, 157г(собс.разр.) ППК-2321 сп.20</t>
  </si>
  <si>
    <t>258740</t>
  </si>
  <si>
    <t>Пакет подарочный с глянц.лам. 18х23х10 см (M) Новогодний олень, 157г ППК-7208</t>
  </si>
  <si>
    <t>ППК-7208</t>
  </si>
  <si>
    <t>4630493772083</t>
  </si>
  <si>
    <t>247485</t>
  </si>
  <si>
    <t>Пакет подарочный с глянц.лам. 18х23х10 см (M) Сказка, 157г(собс.разр.) ППК-2323</t>
  </si>
  <si>
    <t>ППК-2323</t>
  </si>
  <si>
    <t>4640306923236</t>
  </si>
  <si>
    <t>247482</t>
  </si>
  <si>
    <t>Пакет подарочный с глянц.лам. 18х23х10 см (M) Счастливый Новый год, 157г ППК-2320</t>
  </si>
  <si>
    <t>ППК-2320</t>
  </si>
  <si>
    <t>4640306923205</t>
  </si>
  <si>
    <t>271349</t>
  </si>
  <si>
    <t>Пакет подарочный с глянц.лам. 18х23х10см (M)  Ёлка в красном, 157гсоб.раз. ППК-0981</t>
  </si>
  <si>
    <t>ППК-0981</t>
  </si>
  <si>
    <t>4680942611517</t>
  </si>
  <si>
    <t>271345</t>
  </si>
  <si>
    <t>Пакет подарочный с глянц.лам. 18х23х10см (M) Елочная композиция, 157г соб.раз. ППК-0979</t>
  </si>
  <si>
    <t>ППК-0979</t>
  </si>
  <si>
    <t>4680942611494</t>
  </si>
  <si>
    <t>271342</t>
  </si>
  <si>
    <t>Пакет подарочный с глянц.лам. 18х23х10см (M) Милый мишка, 157г соб.раз. ППК-0977</t>
  </si>
  <si>
    <t>ППК-0977</t>
  </si>
  <si>
    <t>4680942611470</t>
  </si>
  <si>
    <t>271350</t>
  </si>
  <si>
    <t>Пакет подарочный с глянц.лам. 18х23х10см (M) Сказочный домик, 157г соб.раз. ППК-0982</t>
  </si>
  <si>
    <t>ППК-0982</t>
  </si>
  <si>
    <t>4680942611524</t>
  </si>
  <si>
    <t>258736</t>
  </si>
  <si>
    <t>Пакет подарочный с глянц.лам.18x23x10 см (M) Внучка, 157г ППК-7200</t>
  </si>
  <si>
    <t>ППК-7200</t>
  </si>
  <si>
    <t>4630493772007</t>
  </si>
  <si>
    <t>258744</t>
  </si>
  <si>
    <t>Пакет подарочный с глянц.ламин. 18x23x10 см (M)  Ёлка из подарков, 157г ППК-7224</t>
  </si>
  <si>
    <t>ППК-7224</t>
  </si>
  <si>
    <t>4630493772243</t>
  </si>
  <si>
    <t>258732</t>
  </si>
  <si>
    <t>Пакет подарочный с глянц.ламин. 18x23x10 см (M) Дед Мороз с подарками, 157г ППК-7193</t>
  </si>
  <si>
    <t>ППК-7193</t>
  </si>
  <si>
    <t>4630493771932</t>
  </si>
  <si>
    <t>258742</t>
  </si>
  <si>
    <t>Пакет подарочный с глянц.ламин. 18x23x10 см (M) Щелкунчик, 157г ППК-7214</t>
  </si>
  <si>
    <t>ППК-7214</t>
  </si>
  <si>
    <t>4630493772144</t>
  </si>
  <si>
    <t>269425</t>
  </si>
  <si>
    <t>Пакет подарочный с мат.лам. 18x23x10 см (M) Снегири, 157г (собс.разр.) ППК-7206 сп.20</t>
  </si>
  <si>
    <t>ППК-7206</t>
  </si>
  <si>
    <t>258738</t>
  </si>
  <si>
    <t>Пакет подарочный с мат.лам. 18x23x10 см (M) Снегири, 157г ППК-7206</t>
  </si>
  <si>
    <t>4630493772069</t>
  </si>
  <si>
    <t>Крафт (18 х 23 х 10)</t>
  </si>
  <si>
    <t>247490</t>
  </si>
  <si>
    <t>Пакет подарочный из крафт-бумаги 18х23х10 см (craft М) Новогодний олень, 130 г(собс.разр.) ППК-2326</t>
  </si>
  <si>
    <t>ППК-2326</t>
  </si>
  <si>
    <t>4640306923267</t>
  </si>
  <si>
    <t>247488</t>
  </si>
  <si>
    <t>Пакет подарочный из крафт-бумаги 18х23х10 см (М) Новогодний венок, 130 г(собс.разр.) ППК-2325</t>
  </si>
  <si>
    <t>ППК-2325</t>
  </si>
  <si>
    <t>4640306923250</t>
  </si>
  <si>
    <t>271352</t>
  </si>
  <si>
    <t>Пакет подарочный из крафт-бумаги 18х23х30 см (craft М) Красный олень, 130 г соб.раз. ППК-0984</t>
  </si>
  <si>
    <t>ППК-0984</t>
  </si>
  <si>
    <t>4680942611548</t>
  </si>
  <si>
    <t>271354</t>
  </si>
  <si>
    <t>Пакет подарочный из крафт-бумаги 18х23х30 см (craft М) Парад снежинок, 130 гсоб.раз. ППК-0986</t>
  </si>
  <si>
    <t>ППК-0986</t>
  </si>
  <si>
    <t>4680942611562</t>
  </si>
  <si>
    <t>271353</t>
  </si>
  <si>
    <t>Пакет подарочный из крафт-бумаги 18х23х30 см (М) Белоснежный котик, 130 г соб.раз. ППК-0985</t>
  </si>
  <si>
    <t>ППК-0985</t>
  </si>
  <si>
    <t>4680942611555</t>
  </si>
  <si>
    <t>271351</t>
  </si>
  <si>
    <t>Пакет подарочный из крафт-бумаги 18х23х30см (craft М) Новогодние подарки, 130 г соб.раз. ППК-0983</t>
  </si>
  <si>
    <t>ППК-0983</t>
  </si>
  <si>
    <t>4680942611531</t>
  </si>
  <si>
    <t>Простоквашино</t>
  </si>
  <si>
    <t>254217</t>
  </si>
  <si>
    <t>Пакет подар.с глянц.лам.18*23*10см(M)"Новогодняя почта"157г(соб.раз.)ЛИЦЕНЗИЯ/Простоквашино ППК-2917</t>
  </si>
  <si>
    <t>ППК-2917</t>
  </si>
  <si>
    <t>4640306929177</t>
  </si>
  <si>
    <t>236224</t>
  </si>
  <si>
    <t>Пакет подарочный с глянц.лам. 18*23*10см (M) "Чебурашка в колпаке", 157г ЛИЦЕНЗИЯ/Чебурашка ПКП-0395</t>
  </si>
  <si>
    <t>ПКП-0395</t>
  </si>
  <si>
    <t>4670159204831</t>
  </si>
  <si>
    <t>236226</t>
  </si>
  <si>
    <t>Пакет подарочный с глянц.лам. 18*23*10см(M) "Новогодний Чебурашка", 157г ЛИЦЕНЗИЯ/Чебурашка ПКП-0397</t>
  </si>
  <si>
    <t>ПКП-0397</t>
  </si>
  <si>
    <t>4670159204855</t>
  </si>
  <si>
    <t>236225</t>
  </si>
  <si>
    <t>Пакет подарочный с глянц.лам. 18*23*10см(M) "Чебурашка и снежинки", 157г ЛИЦЕНЗИЯ/Чебурашка ПКП-0396</t>
  </si>
  <si>
    <t>ПКП-0396</t>
  </si>
  <si>
    <t>4670159204848</t>
  </si>
  <si>
    <t>05 Размер ML</t>
  </si>
  <si>
    <t>271361</t>
  </si>
  <si>
    <t>Dream cards Пакет подар. мат.лам  22х31х10см ML Гирлянда из снежинок, 190г соб.раз ППК-0993</t>
  </si>
  <si>
    <t>ППК-0993</t>
  </si>
  <si>
    <t>4680942611630</t>
  </si>
  <si>
    <t>271360</t>
  </si>
  <si>
    <t>Dream cards Пакет подарочный с мат.лам  22х31х10см ML Милые зайчики, 190г соб.раз ППК-0992</t>
  </si>
  <si>
    <t>ППК-0992</t>
  </si>
  <si>
    <t>4680942611623</t>
  </si>
  <si>
    <t>271363</t>
  </si>
  <si>
    <t>Dream cards Пакет подарочный с мат.лам 22х31х10см ML Милые зверята, 190г соб.раз ППК-0995</t>
  </si>
  <si>
    <t>ППК-0995</t>
  </si>
  <si>
    <t>4680942611654</t>
  </si>
  <si>
    <t>271367</t>
  </si>
  <si>
    <t>Пакет подарочный с глянц.ламин. 22х31х10 см (ML) Белый мишка, 157г соб.раз. ППК-0999</t>
  </si>
  <si>
    <t>ППК-0999</t>
  </si>
  <si>
    <t>4680942611692</t>
  </si>
  <si>
    <t>06 Размер L</t>
  </si>
  <si>
    <t>DREAM CARDS (26 х 33 х 14)</t>
  </si>
  <si>
    <t>Dream Cards (26,4x32,7x13,6) мат. лам., глиттер, 3D элемент</t>
  </si>
  <si>
    <t>234203</t>
  </si>
  <si>
    <t>Dream Cards Пакет подарочный мат.лам,глиттер,3Dэл. 26*32*10 см(L), Синий солдатик, 210г ПКП-9235</t>
  </si>
  <si>
    <t>ПКП-9235</t>
  </si>
  <si>
    <t>4670159193319</t>
  </si>
  <si>
    <t>234202</t>
  </si>
  <si>
    <t>Dream Cards Пакет подарочный мат.лам,глиттер,3Dэл. 26*32*10 см(L), Солдатик и домик, 210г ПКП-9234</t>
  </si>
  <si>
    <t>ПКП-9234</t>
  </si>
  <si>
    <t>4670159193302</t>
  </si>
  <si>
    <t>234201</t>
  </si>
  <si>
    <t>Dream Cards Пакет подарочный мат.лам,глиттер,3Dэл. 26*32*10 см(L), Солдатик у ёлки 210г ПКП-9233</t>
  </si>
  <si>
    <t>ПКП-9233</t>
  </si>
  <si>
    <t>4670159193296</t>
  </si>
  <si>
    <t>234199</t>
  </si>
  <si>
    <t>Dream Cards Пакет подарочный мат.лам,глиттер,3Dэл. 26*32*10 см(L), Солдатики, 210г ПКП-9232</t>
  </si>
  <si>
    <t>ПКП-9232</t>
  </si>
  <si>
    <t>4670159193289</t>
  </si>
  <si>
    <t>Dream Cards (26,4х32,7х13,6 см) тиснение фольгой, без ламинации</t>
  </si>
  <si>
    <t>249548</t>
  </si>
  <si>
    <t>Dream cards Пакет подар. тис.фол, без ламин. 26,4х32,7х13,6см (L) Ёлка 180 г (соб.раз) ППК-2401</t>
  </si>
  <si>
    <t>ППК-2401</t>
  </si>
  <si>
    <t>4640306924813</t>
  </si>
  <si>
    <t>249549</t>
  </si>
  <si>
    <t>Dream cards Пакет подар. тис.фол, без ламин. 26,4х32,7х13,6см (L) Олень 180 г (соб.раз) ППК-2402</t>
  </si>
  <si>
    <t>ППК-2402</t>
  </si>
  <si>
    <t>4640306924820</t>
  </si>
  <si>
    <t>249550</t>
  </si>
  <si>
    <t>Dream cards Пакет подар. тис.фол, без ламин. 26,4х32,7х13,6см (L) Подарок 180 г (соб.раз) ППК-2403</t>
  </si>
  <si>
    <t>ППК-2403</t>
  </si>
  <si>
    <t>4640306924837</t>
  </si>
  <si>
    <t>249547</t>
  </si>
  <si>
    <t>Dream cards Пакет подар. тис.фол,без лам. 26,4х32,7х13,6см(L) Новогодняя ёлка 180г(соб.раз) ППК-2400</t>
  </si>
  <si>
    <t>ППК-2400</t>
  </si>
  <si>
    <t>4640306924806</t>
  </si>
  <si>
    <t>Dream Cards (26.4х32.7х13.6) матовая ламинация</t>
  </si>
  <si>
    <t>271375</t>
  </si>
  <si>
    <t>Dream cards Пакет подар. с мат.лам 26,4х32,7х13,6см (L) Семья мишек, 190г собс.разр ППК-1004</t>
  </si>
  <si>
    <t>ППК-1004</t>
  </si>
  <si>
    <t>4680942611746</t>
  </si>
  <si>
    <t>271376</t>
  </si>
  <si>
    <t>Dream cards Пакет подар. с мат.лам. 26,4х32,7х13,6 см (L) Вид из окна, 190г соб.раз ППК-1005</t>
  </si>
  <si>
    <t>ППК-1005</t>
  </si>
  <si>
    <t>4680942611753</t>
  </si>
  <si>
    <t>271378</t>
  </si>
  <si>
    <t>Dream cards Пакет подар. с мат.лам. 26,4х32,7х13,6 см (L) Яркие часы, 190г соб.раз ППК-1007</t>
  </si>
  <si>
    <t>ППК-1007</t>
  </si>
  <si>
    <t>4680942611777</t>
  </si>
  <si>
    <t>247514</t>
  </si>
  <si>
    <t>Dream cards Пакет подарочный с мат.лам. 26,4х32,7х13,6 см (L) Домашний кот, 190г(собс.разр.)ППК-2345</t>
  </si>
  <si>
    <t>ППК-2345</t>
  </si>
  <si>
    <t>4640306923458</t>
  </si>
  <si>
    <t>247513</t>
  </si>
  <si>
    <t>Dream cards Пакет подарочный с мат.лам. 26,4х32,7х13,6 см (L) Символ праздника, 190г (с.р.) ППК-2344</t>
  </si>
  <si>
    <t>ППК-2344</t>
  </si>
  <si>
    <t>4640306923441</t>
  </si>
  <si>
    <t>247512</t>
  </si>
  <si>
    <t>Dream cards Пакет подарочный с мат.лам. 26,4х32,7х13,6 см (L) Снежные ёлки, 190г(собс.разр.)ППК-2343</t>
  </si>
  <si>
    <t>ППК-2343</t>
  </si>
  <si>
    <t>4640306923434</t>
  </si>
  <si>
    <t>Dream Cards (26.4х32.7х13.6) с декором</t>
  </si>
  <si>
    <t>164971</t>
  </si>
  <si>
    <t>Dream cards Пакет подарочный с мат.лам,глит.и 3D картин. 33x26,7x13,7 Сани Деда Мороза,210г ПКП-3765</t>
  </si>
  <si>
    <t>ПКП-3765</t>
  </si>
  <si>
    <t>4610144837651</t>
  </si>
  <si>
    <t>Dream Cards (26х32х10) крафт с тиснением</t>
  </si>
  <si>
    <t>271372</t>
  </si>
  <si>
    <t>DС Пакет подар. бел.крафт бум. и тис.фол 26,4х32,7х13,6см Письмо, 190г соб.раз. ППК-1001</t>
  </si>
  <si>
    <t>ППК-1001</t>
  </si>
  <si>
    <t>4680942611715</t>
  </si>
  <si>
    <t>Dream Cards (26х32х10) мат. лам. и тиснение фольгой</t>
  </si>
  <si>
    <t>271385</t>
  </si>
  <si>
    <t>Dream cards Пакет подар. мат.лам и тис.фол 26,4х32,7х13,6см ДМ и подарки, 190г соб.раз ППК-1014</t>
  </si>
  <si>
    <t>ППК-1014</t>
  </si>
  <si>
    <t>4680942611845</t>
  </si>
  <si>
    <t>271383</t>
  </si>
  <si>
    <t>Dream cards Пакет подар. мат.лам и тис.фол 26,4х32,7х13,6см Новый Год в синем, 190г соб.раз ППК-1012</t>
  </si>
  <si>
    <t>ППК-1012</t>
  </si>
  <si>
    <t>4680942611821</t>
  </si>
  <si>
    <t>269371</t>
  </si>
  <si>
    <t>Dream cards Пакет подар.с мат.лам. и тис. фол.26x32x10 см (L) Снегурочка,190г соб.раз ППК-7181 сп.20</t>
  </si>
  <si>
    <t>ППК-7181</t>
  </si>
  <si>
    <t>247518</t>
  </si>
  <si>
    <t>Dream cards Пакет подар.с мат.лам. и тис.фол. 26,4х32,7х13,6 см (L) Дух праздника,190г с.р ППК-2349</t>
  </si>
  <si>
    <t>ППК-2349</t>
  </si>
  <si>
    <t>4640306923496</t>
  </si>
  <si>
    <t>231928</t>
  </si>
  <si>
    <t>Dream Cards Пакет подар.с мат.лам.и тис.ф.26x32x10см(L)Брызги шампанского,190г(соб.раз.) ПКП-8276</t>
  </si>
  <si>
    <t>ПКП-8276</t>
  </si>
  <si>
    <t>4670159182764</t>
  </si>
  <si>
    <t>269375</t>
  </si>
  <si>
    <t>Dream cards Пакет подар.с мат.лам.и тис.фол. 26,4х32,7х13,6 см (L) Новый год,190г с.р ППК-2348 сп.20</t>
  </si>
  <si>
    <t>ППК-2348</t>
  </si>
  <si>
    <t>247521</t>
  </si>
  <si>
    <t>Dream cards Пакет подароч. с мат.лам. и тис.фол. 26,4х32,7х13,6 см (L) Новогоднее чудо, с.р ППК-2351</t>
  </si>
  <si>
    <t>ППК-2351</t>
  </si>
  <si>
    <t>4640306923519</t>
  </si>
  <si>
    <t>247516</t>
  </si>
  <si>
    <t>Dream cards Пакет подароч.с мат.лам. и тис.фол. 26,4х32,7х13,6 см (L)  Золотистая ёлка, с.р ППК-2347</t>
  </si>
  <si>
    <t>ППК-2347</t>
  </si>
  <si>
    <t>4640306923472</t>
  </si>
  <si>
    <t>247515</t>
  </si>
  <si>
    <t>Dream cards Пакет подароч.с мат.лам.и тис.фол. 26,4х32,7х13,6 см (L) Дух праздника,190г с.р ППК-2346</t>
  </si>
  <si>
    <t>ППК-2346</t>
  </si>
  <si>
    <t>4640306923465</t>
  </si>
  <si>
    <t>234229</t>
  </si>
  <si>
    <t>Dream cards Пакет подарочный мат.лам, золот. тиснение 26*32*10см(L), Зайка на качелях, 210г ПКП-9243</t>
  </si>
  <si>
    <t>ПКП-9243</t>
  </si>
  <si>
    <t>4670159193395</t>
  </si>
  <si>
    <t>247517</t>
  </si>
  <si>
    <t>Dream cards Пакет подарочный с мат.лам. и тис.фол. 26,4х32,7х13,6 см (L) Новый год, 190г ППК-2348</t>
  </si>
  <si>
    <t>4640306923489</t>
  </si>
  <si>
    <t>258818</t>
  </si>
  <si>
    <t>Dream cards Пакет подарочный с мат.лам. и тис.фол. 26,4х32,7х13,6 см (L) Подарки, 190г ППК-7183</t>
  </si>
  <si>
    <t>ППК-7183</t>
  </si>
  <si>
    <t>4630493771833</t>
  </si>
  <si>
    <t>247519</t>
  </si>
  <si>
    <t>Dream cards Пакет подарочный с мат.лам.и тис.фол.26,4х32,7х13,6 см(L)Новогодние друзья,190г ППК-2350</t>
  </si>
  <si>
    <t>ППК-2350</t>
  </si>
  <si>
    <t>4640306923502</t>
  </si>
  <si>
    <t>258817</t>
  </si>
  <si>
    <t>Dream cards Пакет подарочный с мат.лам.и тис.фол.26,4х32,7х13,6см(L)Внучка Деда Мороза,190г ППК-7181</t>
  </si>
  <si>
    <t>4630493771819</t>
  </si>
  <si>
    <t>271382</t>
  </si>
  <si>
    <t>DС Пакет подар. мат.лам и тис.фол 26,4х32,7х13,6см Золотисные ёлочные шары, 190г соб.раз ППК-1011</t>
  </si>
  <si>
    <t>ППК-1011</t>
  </si>
  <si>
    <t>4680942611814</t>
  </si>
  <si>
    <t>271384</t>
  </si>
  <si>
    <t>DС Пакет подар. мат.лам. тис.фол 26,4х32,7х13,6 Стильные новогодние украшения, 190г соб.раз ППК-1013</t>
  </si>
  <si>
    <t>ППК-1013</t>
  </si>
  <si>
    <t>4680942611838</t>
  </si>
  <si>
    <t>Dream Cards (26х32х10) матовая ламинация и глиттер</t>
  </si>
  <si>
    <t>271381</t>
  </si>
  <si>
    <t>Dream cards Пакет подар. мат.лам и глит 26,4х32,7х13,6см Сказочная Внучка ДМ, 190г соб.раз ППК-1010</t>
  </si>
  <si>
    <t>ППК-1010</t>
  </si>
  <si>
    <t>4680942611807</t>
  </si>
  <si>
    <t>271379</t>
  </si>
  <si>
    <t>Dream cards Пакет подар. мат.лам и глит 26,4х32,7х13,6см Снегири с калиной, 190г соб.раз ППК-1008</t>
  </si>
  <si>
    <t>ППК-1008</t>
  </si>
  <si>
    <t>4680942611784</t>
  </si>
  <si>
    <t>248699</t>
  </si>
  <si>
    <t>Dream cards Пакет подар. мат.лам.глит 26,4х32,7х13,6см (L) Лошадка с конфетой,190г(соб.раз) ППК-2426</t>
  </si>
  <si>
    <t>ППК-2426</t>
  </si>
  <si>
    <t>4640306924431</t>
  </si>
  <si>
    <t>248701</t>
  </si>
  <si>
    <t>Dream cards Пакет подар. мат.лам.глит. 26,4х32,7х13,6 см (L) Милая лошадка, 190г(собс.разр) ППК-2428</t>
  </si>
  <si>
    <t>ППК-2428</t>
  </si>
  <si>
    <t>4640306924455</t>
  </si>
  <si>
    <t>248700</t>
  </si>
  <si>
    <t>Dream cards Пакет подар. мат.лам.глит. 26,4х32,7х13,6см (L) Пони с подарком,190г(собс.разр) ППК-2427</t>
  </si>
  <si>
    <t>ППК-2427</t>
  </si>
  <si>
    <t>4640306924448</t>
  </si>
  <si>
    <t>247509</t>
  </si>
  <si>
    <t>Dream cards Пакет подар. с мат.лам. и глит. 26,4х32,7х13,6 см (L) Борода из ваты,190г(с.р) ППК-2340</t>
  </si>
  <si>
    <t>ППК-2340</t>
  </si>
  <si>
    <t>4640306923403</t>
  </si>
  <si>
    <t>247507</t>
  </si>
  <si>
    <t>Dream cards Пакет подар. с мат.лам. и глит. 26,4х32,7х13,6 см (L) Дедушка Мороз, 190г (с.р) ППК-2338</t>
  </si>
  <si>
    <t>ППК-2338</t>
  </si>
  <si>
    <t>4640306923380</t>
  </si>
  <si>
    <t>247510</t>
  </si>
  <si>
    <t>Dream cards Пакет подар. с мат.лам. и глит. 26,4х32,7х13,6 см (L) Зимний поезд, 190г (с.р) ППК-2341</t>
  </si>
  <si>
    <t>ППК-2341</t>
  </si>
  <si>
    <t>4640306923410</t>
  </si>
  <si>
    <t>247506</t>
  </si>
  <si>
    <t>Dream cards Пакет подар. с мат.лам. и глит. 26,4х32,7х13,6 см (L) Снегурочка, 190г (собс.р) ППК-2337</t>
  </si>
  <si>
    <t>ППК-2337</t>
  </si>
  <si>
    <t>4640306923373</t>
  </si>
  <si>
    <t>258791</t>
  </si>
  <si>
    <t>Dream cards Пакет подароч. с мат.лам. и глит.   26x32x10 см (L) Новогодние бусы, 190г ППК-7169</t>
  </si>
  <si>
    <t>ППК-7169</t>
  </si>
  <si>
    <t>4630493771697</t>
  </si>
  <si>
    <t>258785</t>
  </si>
  <si>
    <t>Dream cards Пакет подароч. с мат.лам. и глит. 26x32x10 см (L) Ёлки, 190г ППК-7159</t>
  </si>
  <si>
    <t>ППК-7159</t>
  </si>
  <si>
    <t>4630493771598</t>
  </si>
  <si>
    <t>258788</t>
  </si>
  <si>
    <t>Dream cards Пакет подароч. с мат.лам. и глит. 26x32x10 см (L) Милый заяц, 190г ППК-7163</t>
  </si>
  <si>
    <t>ППК-7163</t>
  </si>
  <si>
    <t>4630493771635</t>
  </si>
  <si>
    <t>258795</t>
  </si>
  <si>
    <t>Dream cards Пакет подароч. с мат.лам. и глит. 26x32x10 см (L) Новогодняя ночь, 190г ППК-7176</t>
  </si>
  <si>
    <t>ППК-7176</t>
  </si>
  <si>
    <t>4630493771765</t>
  </si>
  <si>
    <t>258789</t>
  </si>
  <si>
    <t>Dream cards Пакет подароч. с мат.лам. и глит. 26x32x10 см (L) Пингвин, 190г ППК-7165</t>
  </si>
  <si>
    <t>ППК-7165</t>
  </si>
  <si>
    <t>4630493771659</t>
  </si>
  <si>
    <t>258792</t>
  </si>
  <si>
    <t>Dream cards Пакет подароч. с мат.лам. и глит. 26x32x10 см (L) Снегири, 190г ППК-7171</t>
  </si>
  <si>
    <t>ППК-7171</t>
  </si>
  <si>
    <t>4630493771710</t>
  </si>
  <si>
    <t>258796</t>
  </si>
  <si>
    <t>Dream cards Пакет подароч. с мат.лам. и глит. 26x32x10 см (L) Снеговики, 190г ППК-7178</t>
  </si>
  <si>
    <t>ППК-7178</t>
  </si>
  <si>
    <t>4630493771789</t>
  </si>
  <si>
    <t>258793</t>
  </si>
  <si>
    <t>Dream cards Пакет подароч. с мат.лам. и глит. 26x32x10 см (L) Снежинки, 190г ППК-7173</t>
  </si>
  <si>
    <t>ППК-7173</t>
  </si>
  <si>
    <t>4630493771734</t>
  </si>
  <si>
    <t>258786</t>
  </si>
  <si>
    <t>Dream cards Пакет подароч. с мат.лам. и глит. 26x32x10 см (L) Чудо новогоднее, 190г ППК-7161</t>
  </si>
  <si>
    <t>ППК-7161</t>
  </si>
  <si>
    <t>4630493771611</t>
  </si>
  <si>
    <t>258794</t>
  </si>
  <si>
    <t>Dream cards Пакет подароч. с мат.лам. и глит. 26x32x10(L) Куранты, 190г ППК-7175</t>
  </si>
  <si>
    <t>ППК-7175</t>
  </si>
  <si>
    <t>4630493771758</t>
  </si>
  <si>
    <t>258797</t>
  </si>
  <si>
    <t>Dream cards Пакет подароч. с мат.лам. и глит. 26x32x10см (L)  Праздник,190г ППК-7180</t>
  </si>
  <si>
    <t>ППК-7180</t>
  </si>
  <si>
    <t>4630493771802</t>
  </si>
  <si>
    <t>258790</t>
  </si>
  <si>
    <t>Dream cards Пакет подароч. с мат.лам. и глит. 26x32x10см(L) Тройка коней,190г ППК-7168</t>
  </si>
  <si>
    <t>ППК-7168</t>
  </si>
  <si>
    <t>4630493771680</t>
  </si>
  <si>
    <t>Глянцевая ламинация (26 х 33 х 14)</t>
  </si>
  <si>
    <t>258769</t>
  </si>
  <si>
    <t xml:space="preserve"> Пакет подарочный с глянц.лам.  26,4x32,7x13,6 см (L) Щелкунчик, 157г ППК-7215</t>
  </si>
  <si>
    <t>ППК-7215</t>
  </si>
  <si>
    <t>4630493772151</t>
  </si>
  <si>
    <t>258767</t>
  </si>
  <si>
    <t xml:space="preserve"> Пакет подарочный с глянц.лам. 26,4x32,7x13,6 см (L) Дед Мороз с подарками, 157г ППК-7194</t>
  </si>
  <si>
    <t>ППК-7194</t>
  </si>
  <si>
    <t>4630493771949</t>
  </si>
  <si>
    <t>258772</t>
  </si>
  <si>
    <t xml:space="preserve"> Пакет подарочный с глянц.лам. 26,4x32,7x13,6 см (L) Новогодний заяц, 157г ППК-7204</t>
  </si>
  <si>
    <t>ППК-7204</t>
  </si>
  <si>
    <t>4630493772045</t>
  </si>
  <si>
    <t>258770</t>
  </si>
  <si>
    <t>Пакет подарочный с глянц.лам. 26,4x32,7x13,6 см (L) Исполнение желаний, 157г ППК-7218</t>
  </si>
  <si>
    <t>ППК-7218</t>
  </si>
  <si>
    <t>4630493772182</t>
  </si>
  <si>
    <t>269400</t>
  </si>
  <si>
    <t>Пакет подарочный с глянц.лам. 26,4x32,7x13,6 см (L) Исполнение желаний, 157г с.р  ППК-7218 сп.24</t>
  </si>
  <si>
    <t>269410</t>
  </si>
  <si>
    <t>Пакет подарочный с глянц.лам. 26,4х32,7х13,6 см (L) Внучка, 157г (собс.разр.) ППК-2359 сп.24</t>
  </si>
  <si>
    <t>ППК-2359</t>
  </si>
  <si>
    <t>271398</t>
  </si>
  <si>
    <t>Пакет подарочный с глянц.лам. 26,4х32,7х13,6 см (L) Птички в небе, 157г соб.раз. ППК-1023</t>
  </si>
  <si>
    <t>ППК-1023</t>
  </si>
  <si>
    <t>4680942611937</t>
  </si>
  <si>
    <t>271404</t>
  </si>
  <si>
    <t>Пакет подарочный с глянц.лам. 26,4х32,7х13,6 см (L) Совушка, 157г соб.раз. ППК-1028</t>
  </si>
  <si>
    <t>ППК-1028</t>
  </si>
  <si>
    <t>4680942611982</t>
  </si>
  <si>
    <t>247531</t>
  </si>
  <si>
    <t>Пакет подарочный с глянц.лам. 26,4х32,7х13,6 см (L) Щелкунчик, 157г ППК-2360</t>
  </si>
  <si>
    <t>ППК-2360</t>
  </si>
  <si>
    <t>4640306923601</t>
  </si>
  <si>
    <t>271403</t>
  </si>
  <si>
    <t>Пакет подарочный с глянц.лам. 26,4х32,7х13,6см (L) Новогоднее настроение, 157г соб.раз ППК-1027</t>
  </si>
  <si>
    <t>ППК-1027</t>
  </si>
  <si>
    <t>4680942611975</t>
  </si>
  <si>
    <t>258771</t>
  </si>
  <si>
    <t>Пакет подарочный с глянц.лам.26,4x32,7x13,6 см (L) Пушистый кот, 157г ППК-7222</t>
  </si>
  <si>
    <t>ППК-7222</t>
  </si>
  <si>
    <t>4630493772229</t>
  </si>
  <si>
    <t>269406</t>
  </si>
  <si>
    <t>Пакет подарочный с глянц.ламин.26,4x32,7x13,6 см (L) Дед Мороз с подарками, 157г с.р ППК-7194 сп.24</t>
  </si>
  <si>
    <t>Ну-Погоди!</t>
  </si>
  <si>
    <t>254238</t>
  </si>
  <si>
    <t>Пакет подар. с глянц.лам. 26.4*32.7*13.6см(L)"Заяц и волк у ёлки", 157г ЛИЦЕНЗИЯ/Ну-Погоди! ППК-2923</t>
  </si>
  <si>
    <t>ППК-2923</t>
  </si>
  <si>
    <t>4640306929238</t>
  </si>
  <si>
    <t>254232</t>
  </si>
  <si>
    <t>Пакет подар. с глянц.лам. 26.4*32.7*13.6см(L)"Новогодний котик" 157г ЛИЦЕНЗИЯ/Простоквашино ППК-2922</t>
  </si>
  <si>
    <t>ППК-2922</t>
  </si>
  <si>
    <t>4640306929221</t>
  </si>
  <si>
    <t>236233</t>
  </si>
  <si>
    <t xml:space="preserve"> Пакет подар. с глянц.лам. 26.4*32.7*13.6см(L)"Новогодний Чебурашка"157г ЛИЦЕНЗИЯ/Чебурашка ПКП-0403</t>
  </si>
  <si>
    <t>ПКП-0403</t>
  </si>
  <si>
    <t>4670159204916</t>
  </si>
  <si>
    <t>236232</t>
  </si>
  <si>
    <t>Пакет подар. с глянц.лам. 26.4*32.7*13.6см(L) "Чебурашка и снежинки"157г ЛИЦЕНЗИЯ/Чебурашка ПКП-0402</t>
  </si>
  <si>
    <t>ПКП-0402</t>
  </si>
  <si>
    <t>4670159204909</t>
  </si>
  <si>
    <t>236231</t>
  </si>
  <si>
    <t>Пакет подар. с глянц.лам. 26.4*32.7*13.6см(L)"Чебурашка в колпаке", 157г ЛИЦЕНЗИЯ/Чебурашка ПКП-0401</t>
  </si>
  <si>
    <t>ПКП-0401</t>
  </si>
  <si>
    <t>4670159204893</t>
  </si>
  <si>
    <t>Матовая ламинация (26,4х32,7х13,6)</t>
  </si>
  <si>
    <t>247532</t>
  </si>
  <si>
    <t>Пакет подарочный с глянц.лам. 26,4x32,7x13,6 см (L) Снегири, 157г ППК-2361</t>
  </si>
  <si>
    <t>ППК-2361</t>
  </si>
  <si>
    <t>4640306923618</t>
  </si>
  <si>
    <t>247533</t>
  </si>
  <si>
    <t>Пакет подарочный с мат.лам. 26,4х32,7х13,6 см (L)  Волшебная ёлка, 157г (собс.разр.) ППК-2362</t>
  </si>
  <si>
    <t>ППК-2362</t>
  </si>
  <si>
    <t>4640306923625</t>
  </si>
  <si>
    <t>07 Размер XL</t>
  </si>
  <si>
    <t>DREAM CARDS (32 х 45 х 10)</t>
  </si>
  <si>
    <t>Dream Cards (31х40х12) матовая ламинация и глиттер</t>
  </si>
  <si>
    <t>248702</t>
  </si>
  <si>
    <t>Dream cards Пакет подар. мат.лам.глит 32,4х44,5х10,2см(XL) Лошадка с конфетой,190г(соб.раз) ППК-2429</t>
  </si>
  <si>
    <t>ППК-2429</t>
  </si>
  <si>
    <t>4640306924462</t>
  </si>
  <si>
    <t>271409</t>
  </si>
  <si>
    <t>Dream cards Пакет подар. с мат.лам и глит 31х40х12см Магический Дед Мороз, 190г соб.раз ППК-1031</t>
  </si>
  <si>
    <t>ППК-1031</t>
  </si>
  <si>
    <t>4680942612019</t>
  </si>
  <si>
    <t>269344</t>
  </si>
  <si>
    <t>Dream cards Пакет подар. с мат.лам. и глит.31x40x12см (XL) Снегири, 190г (собс.разр) ППК-7167 сп.30</t>
  </si>
  <si>
    <t>ППК-7167</t>
  </si>
  <si>
    <t>258801</t>
  </si>
  <si>
    <t>Dream cards Пакет подароч. с мат.лам. и глит.  31x40x12 см (XL)  Снегири, 190г ППК-7167</t>
  </si>
  <si>
    <t>4630493771673</t>
  </si>
  <si>
    <t>247537</t>
  </si>
  <si>
    <t>Dream cards Пакет подароч. с мат.лам. и глит.  31x40x12 см (XL) Куранты, 190г ППК-2365</t>
  </si>
  <si>
    <t>ППК-2365</t>
  </si>
  <si>
    <t>4640306923656</t>
  </si>
  <si>
    <t>258799</t>
  </si>
  <si>
    <t>Dream cards Пакет подароч. с мат.лам. и глит.  31x40x12 см (XL) Милый заяц, 190г ППК-7164</t>
  </si>
  <si>
    <t>ППК-7164</t>
  </si>
  <si>
    <t>4630493771642</t>
  </si>
  <si>
    <t>258802</t>
  </si>
  <si>
    <t>Dream cards Пакет подароч. с мат.лам. и глит.  31x40x12 см (XL) Новогодние бусы, 190г ППК-7170</t>
  </si>
  <si>
    <t>ППК-7170</t>
  </si>
  <si>
    <t>4630493771703</t>
  </si>
  <si>
    <t>258803</t>
  </si>
  <si>
    <t>Dream cards Пакет подароч. с мат.лам. и глит.  31x40x12 см (XL) Новогодний вечер, 190г ППК-7172</t>
  </si>
  <si>
    <t>ППК-7172</t>
  </si>
  <si>
    <t>4630493771727</t>
  </si>
  <si>
    <t>258805</t>
  </si>
  <si>
    <t>Dream cards Пакет подароч. с мат.лам. и глит.  31x40x12 см (XL) Новогодняя ночь, 190г ППК-7177</t>
  </si>
  <si>
    <t>ППК-7177</t>
  </si>
  <si>
    <t>4630493771772</t>
  </si>
  <si>
    <t>258800</t>
  </si>
  <si>
    <t>Dream cards Пакет подароч. с мат.лам. и глит.  31x40x12 см (XL) Пингвин, 190г ППК-7166</t>
  </si>
  <si>
    <t>ППК-7166</t>
  </si>
  <si>
    <t>4630493771666</t>
  </si>
  <si>
    <t>258806</t>
  </si>
  <si>
    <t>Dream cards Пакет подароч. с мат.лам. и глит.  31x40x12 см (XL) Снеговики, 190г ППК-7179</t>
  </si>
  <si>
    <t>ППК-7179</t>
  </si>
  <si>
    <t>4630493771796</t>
  </si>
  <si>
    <t>258804</t>
  </si>
  <si>
    <t>Dream cards Пакет подароч. с мат.лам. и глит.  31x40x12 см (XL) Снежинки, 190г ППК-7174</t>
  </si>
  <si>
    <t>ППК-7174</t>
  </si>
  <si>
    <t>4630493771741</t>
  </si>
  <si>
    <t>247536</t>
  </si>
  <si>
    <t>Dream cards Пакет подароч. с мат.лам. и глит.  31x40x12 см (XL) Тройка коней, 190г ППК-2364</t>
  </si>
  <si>
    <t>ППК-2364</t>
  </si>
  <si>
    <t>4640306923649</t>
  </si>
  <si>
    <t>269458</t>
  </si>
  <si>
    <t>Dream cards Пакет подароч. с мат.лам. и глит. 31x40x12 см (XL) Снежинки, 190г.соб.раз ППК-7174 сп.30</t>
  </si>
  <si>
    <t>258798</t>
  </si>
  <si>
    <t>Dream cards Пакет подароч. с мат.лам. и глит. 31x40x12 см (ХL) Ёлки, 190г ППК-7160</t>
  </si>
  <si>
    <t>ППК-7160</t>
  </si>
  <si>
    <t>4630493771604</t>
  </si>
  <si>
    <t>269456</t>
  </si>
  <si>
    <t>Dream cards Пакет подароч.с мат.лам.и глит.31x40x12 см (XL) Новогодние бусы, 190г.с.р ППК-7170 сп.30</t>
  </si>
  <si>
    <t>271407</t>
  </si>
  <si>
    <t>Dream cards Пакет подарочный мат.лам и глит 31х40х12см XL Снежная красавица, 190г соб.раз ППК-1030</t>
  </si>
  <si>
    <t>ППК-1030</t>
  </si>
  <si>
    <t>4680942612002</t>
  </si>
  <si>
    <t>271405</t>
  </si>
  <si>
    <t>Dream cards Пакет подарочный мат.лам. и глит. 31х40х12см (XL) Красивый дом, 190г соб.раз ППК-1029</t>
  </si>
  <si>
    <t>ППК-1029</t>
  </si>
  <si>
    <t>4680942611999</t>
  </si>
  <si>
    <t>271411</t>
  </si>
  <si>
    <t>Dream cards Пакет подарочный с мат.лам. и глит. 31х40х12см (XL) Поздравление, 190г соб.раз ППК-1032</t>
  </si>
  <si>
    <t>ППК-1032</t>
  </si>
  <si>
    <t>4680942612026</t>
  </si>
  <si>
    <t>247539</t>
  </si>
  <si>
    <t>Dreamcards Пакет подарочный с мат.лам. и глит. 31х40х12 см(XL) Чудо новогоднее,190г(с.р.)ППК-2367</t>
  </si>
  <si>
    <t>ППК-2367</t>
  </si>
  <si>
    <t>4640306923670</t>
  </si>
  <si>
    <t>Dream Cards (31х40х12) матовая ламинация и тис. фольгой</t>
  </si>
  <si>
    <t>269380</t>
  </si>
  <si>
    <t>Dream cards Пакет под. с мат.лам.и тис.фол.31x40x12см(XL)Новогодние подарки,190г с.р ППК-7187 сп.30</t>
  </si>
  <si>
    <t>ППК-7187</t>
  </si>
  <si>
    <t>269383</t>
  </si>
  <si>
    <t>Dream cards Пакет под.с мат.лам.и тис.фол 31x40x12 см(XL) Новогодние шары,190г XL с.р ППК-7238 сп.30</t>
  </si>
  <si>
    <t>ППК-7238</t>
  </si>
  <si>
    <t>248703</t>
  </si>
  <si>
    <t>Dream cards Пакет подар. мат.лам.тис.фол 32,4х44,5х10,2см(XL) Грациозный конь,190г(соб.раз) ППК-2430</t>
  </si>
  <si>
    <t>ППК-2430</t>
  </si>
  <si>
    <t>4640306924479</t>
  </si>
  <si>
    <t>269379</t>
  </si>
  <si>
    <t>Dream cards Пакет подар. с мат.лам. и тис. фол. 31x40x12 см (XL) Снегурочка, 190г ППК-7182</t>
  </si>
  <si>
    <t>ППК-7182</t>
  </si>
  <si>
    <t>4665309412921</t>
  </si>
  <si>
    <t>231933</t>
  </si>
  <si>
    <t>Dream Cards Пакет подар.с мат.лам.и тис.ф.31x40x12см(XL)Золотистый снегопад,190г(собс.раз.) ПКП-8280</t>
  </si>
  <si>
    <t>ПКП-8280</t>
  </si>
  <si>
    <t>4670159182801</t>
  </si>
  <si>
    <t>258809</t>
  </si>
  <si>
    <t>Dream cards Пакет подарочный с мат.лам. и тис.фол. 31x40x12 см (XL)  Новогодние шары,190г ППК-7238</t>
  </si>
  <si>
    <t>4630493772380</t>
  </si>
  <si>
    <t>258810</t>
  </si>
  <si>
    <t>Dream cards Пакет подарочный с мат.лам. и тис.фол. 31x40x12 см (XL) Подарки,190г ППК-7184</t>
  </si>
  <si>
    <t>ППК-7184</t>
  </si>
  <si>
    <t>4630493771840</t>
  </si>
  <si>
    <t>Dream cards (32,4*44,5*10,2) матовая ламинация</t>
  </si>
  <si>
    <t>247535</t>
  </si>
  <si>
    <t>Dream cards Пакет подароч. с мат.лам. и глит.  31x40x12 см (XL) Праздник,190г ППК-2363</t>
  </si>
  <si>
    <t>ППК-2363</t>
  </si>
  <si>
    <t>4640306923632</t>
  </si>
  <si>
    <t>271412</t>
  </si>
  <si>
    <t>Dream cards Пакет подарочный мат.лам.  31х40х12см (XL) Белый котик, 190г соб.раз ППК-1033</t>
  </si>
  <si>
    <t>ППК-1033</t>
  </si>
  <si>
    <t>4680942612033</t>
  </si>
  <si>
    <t>Глянцевая ламинация (32 х 45 х 10)</t>
  </si>
  <si>
    <t>269451</t>
  </si>
  <si>
    <t>Пакет подарочный с глянц.лам. 14х20х6,5 см (XL) Новогодний олень, 157г (собс. разр.) ППК-7209 сп.30</t>
  </si>
  <si>
    <t>ППК-7209</t>
  </si>
  <si>
    <t>258776</t>
  </si>
  <si>
    <t>Пакет подарочный с глянц.лам. 32,4x44,5x10,2 см (XL) Новогодний олень, 157г ППК-7209</t>
  </si>
  <si>
    <t>4630493772090</t>
  </si>
  <si>
    <t>271416</t>
  </si>
  <si>
    <t>Пакет подарочный с глянц.лам. 32,4х44,5х10,2см (XL) В гостях у Деда Мороза, 157г соб.раз ППК-1037</t>
  </si>
  <si>
    <t>ППК-1037</t>
  </si>
  <si>
    <t>4680942612071</t>
  </si>
  <si>
    <t>271419</t>
  </si>
  <si>
    <t>Пакет подарочный с глянц.лам. 32,4х44,5х10,2см (XL) Девочка и зимние друзья, 157г соб.раз ППК-1039</t>
  </si>
  <si>
    <t>ППК-1039</t>
  </si>
  <si>
    <t>4680942612095</t>
  </si>
  <si>
    <t>271414</t>
  </si>
  <si>
    <t>Пакет подарочный с глянц.лам. 32,4х44,5х10,2см Новогодний подарок под ёлкой, 157г соб.раз ППК-1035</t>
  </si>
  <si>
    <t>ППК-1035</t>
  </si>
  <si>
    <t>4680942612057</t>
  </si>
  <si>
    <t>269445</t>
  </si>
  <si>
    <t>Пакет подарочный с глянц.ламин.  32,4x44,5x10,2см (XL) Щелкунчик, 157г (собс.разр.) ППК-7216 сп.30</t>
  </si>
  <si>
    <t>ППК-7216</t>
  </si>
  <si>
    <t>247543</t>
  </si>
  <si>
    <t>Пакет подарочный с глянц.ламин. 32,4х44,5х10,2 см (XL)  Рождество, 157г (собс.разр.) ППК-2371</t>
  </si>
  <si>
    <t>ППК-2371</t>
  </si>
  <si>
    <t>4640306923717</t>
  </si>
  <si>
    <t>271413</t>
  </si>
  <si>
    <t>Пакет подарочный с глянц.ламин. 32,4х44,5х10,2 см (XL) Белка в снегу, 157г соб.раз. ППК-1034</t>
  </si>
  <si>
    <t>ППК-1034</t>
  </si>
  <si>
    <t>4680942612040</t>
  </si>
  <si>
    <t>271415</t>
  </si>
  <si>
    <t>Пакет подарочный с глянц.ламин. 32,4х44,5х10,2 см (XL) Новогодний поезд, 157г соб.раз ППК-1036</t>
  </si>
  <si>
    <t>ППК-1036</t>
  </si>
  <si>
    <t>4680942612064</t>
  </si>
  <si>
    <t>254234</t>
  </si>
  <si>
    <t>Пакет подар.с глянц.лам.32,4*44,5*10,2см(XL)"Новогодние гуляния"157г ЛИЦЕНЗИЯ/Простоквашино ППК-2925</t>
  </si>
  <si>
    <t>ППК-2925</t>
  </si>
  <si>
    <t>4640306929252</t>
  </si>
  <si>
    <t>08 Пакет-коробка</t>
  </si>
  <si>
    <t>1 Размер (S)</t>
  </si>
  <si>
    <t>201990</t>
  </si>
  <si>
    <t>Подарочный пакет-коробка с мат. лам. 15*11*9 см "Веселого Нового года" "собст. разработка" ППК-2983</t>
  </si>
  <si>
    <t>ППК-2983</t>
  </si>
  <si>
    <t>4670159029830</t>
  </si>
  <si>
    <t>201994</t>
  </si>
  <si>
    <t>Подарочный пакет-коробка с мат. лам. 15*11*9 см(S) "Аромат зимы" "собственная разработка" ППК-2987</t>
  </si>
  <si>
    <t>ППК-2987</t>
  </si>
  <si>
    <t>4670159029878</t>
  </si>
  <si>
    <t>201989</t>
  </si>
  <si>
    <t>Подарочный пакет-коробка с мат. лам. 15*11*9 см(S) Подарок для тебя, собственная разработка ППК-2982</t>
  </si>
  <si>
    <t>ППК-2982</t>
  </si>
  <si>
    <t>4670159029823</t>
  </si>
  <si>
    <t>201996</t>
  </si>
  <si>
    <t>Подарочный пакет-коробка с мат. лам. 15*11*9см "Пёсик с подарками" "собственная разработка" ППК-2989</t>
  </si>
  <si>
    <t>ППК-2989</t>
  </si>
  <si>
    <t>4670159029892</t>
  </si>
  <si>
    <t>2 Размер (М)</t>
  </si>
  <si>
    <t>202016</t>
  </si>
  <si>
    <t>Подарочный пакет-коробка с мат. лам. 22,5*20*13,5 "Пёсик с подарками" "собст. разработка" ППК-3000</t>
  </si>
  <si>
    <t>ППК-3000</t>
  </si>
  <si>
    <t>4670159030003</t>
  </si>
  <si>
    <t>202004</t>
  </si>
  <si>
    <t>Подарочный пакет-коробка с мат. лам. 22,5*20*13,5 "Подарок для тебя" "собст. разработка" ППК-2996</t>
  </si>
  <si>
    <t>ППК-2996</t>
  </si>
  <si>
    <t>4670159029960</t>
  </si>
  <si>
    <t>202015</t>
  </si>
  <si>
    <t>Подарочный пакет-коробка с мат. лам. 22,5*20*13,5(М) "Аромат зимы" "собственная разработка" ППК-2999</t>
  </si>
  <si>
    <t>ППК-2999</t>
  </si>
  <si>
    <t>4670159029991</t>
  </si>
  <si>
    <t>02 Подарочные пакеты полиэтиленовые</t>
  </si>
  <si>
    <t>1 Пакеты подарочные для конфет</t>
  </si>
  <si>
    <t>Наборы 13,5см х 22см</t>
  </si>
  <si>
    <t>262078</t>
  </si>
  <si>
    <t>Подарочные пакеты, набор "Новогоднее волшебство", 13.8*23см, 30шт,  стяжка в комплекте ППК-7012</t>
  </si>
  <si>
    <t>ППК-7012</t>
  </si>
  <si>
    <t>4640520770128</t>
  </si>
  <si>
    <t>2 Пакеты с вырубной ручкой</t>
  </si>
  <si>
    <t>20см х 30см</t>
  </si>
  <si>
    <t>237413</t>
  </si>
  <si>
    <t>Пакет вырубной Зимний лес 20х30/30мкм, ВНР50051</t>
  </si>
  <si>
    <t>ВНР50051</t>
  </si>
  <si>
    <t>4607182860086</t>
  </si>
  <si>
    <t>166180</t>
  </si>
  <si>
    <t>Пакет вырубной Подарок и шарики (30х23 см) 30мкм  н00205493</t>
  </si>
  <si>
    <t>н00205493</t>
  </si>
  <si>
    <t>4630073604681</t>
  </si>
  <si>
    <t>191342</t>
  </si>
  <si>
    <t>Пакет полиэтиленовый вырубной Дед Мороз у елки 20х30/30мкм НФ-00005384</t>
  </si>
  <si>
    <t>НФ-00005384</t>
  </si>
  <si>
    <t>4640012384284</t>
  </si>
  <si>
    <t>257139</t>
  </si>
  <si>
    <t>Пакет полиэтиленовый вырубной "Волк и Заяц у ёлочки" 20*30/30 мкм ЛИЦЕНЗИЯ/Ну-Погоди! ПИ-7326</t>
  </si>
  <si>
    <t>ПИ-7326</t>
  </si>
  <si>
    <t>4630493773264</t>
  </si>
  <si>
    <t>260866</t>
  </si>
  <si>
    <t>Пакет полиэтиленовый вырубной "Чебурашка с шариком" 20*30/30 мкм, ЛИЦЕНЗИЯ/Чебурашка ПИ-7799</t>
  </si>
  <si>
    <t>ПИ-7799</t>
  </si>
  <si>
    <t>4630493777996</t>
  </si>
  <si>
    <t>31см х 40см</t>
  </si>
  <si>
    <t>257369</t>
  </si>
  <si>
    <t>Пакет вырубной Веселье 40х31/30мкм н00287934</t>
  </si>
  <si>
    <t>н00287934</t>
  </si>
  <si>
    <t>4630201702517</t>
  </si>
  <si>
    <t>236018</t>
  </si>
  <si>
    <t>Пакет вырубной Главная красавица 40*31/30мкм н00247240</t>
  </si>
  <si>
    <t>н00247240</t>
  </si>
  <si>
    <t>4630201700353</t>
  </si>
  <si>
    <t>257372</t>
  </si>
  <si>
    <t>Пакет вырубной Добрая сказка 40х31/60мкм н00287623</t>
  </si>
  <si>
    <t>н00287623</t>
  </si>
  <si>
    <t>4630201702364</t>
  </si>
  <si>
    <t>257371</t>
  </si>
  <si>
    <t>Пакет вырубной Зайка с подарками 40х31/60мкм н00287631</t>
  </si>
  <si>
    <t>н00287631</t>
  </si>
  <si>
    <t>4630201702401</t>
  </si>
  <si>
    <t>275987</t>
  </si>
  <si>
    <t>Пакет вырубной Матрешкин снег лам 31х40/60мкм н00313712</t>
  </si>
  <si>
    <t>н00313712</t>
  </si>
  <si>
    <t>4630201703712</t>
  </si>
  <si>
    <t>257375</t>
  </si>
  <si>
    <t>Пакет вырубной Новогодняя клетка  30х40/60 мкм НФ-00047548</t>
  </si>
  <si>
    <t>НФ-00047548</t>
  </si>
  <si>
    <t>4610121612189</t>
  </si>
  <si>
    <t>166205</t>
  </si>
  <si>
    <t>Пакет вырубной Три бельчонка (40х31 см)  60мкм лам н00125712</t>
  </si>
  <si>
    <t>н00125712</t>
  </si>
  <si>
    <t>4650070133984</t>
  </si>
  <si>
    <t>257142</t>
  </si>
  <si>
    <t>Пакет полиэтиленовый вырубной "Волк и Заяц у ёлочки" 30*40/50 мкм ЛИЦЕНЗИЯ/Ну-Погоди! ПИ-7327</t>
  </si>
  <si>
    <t>ПИ-7327</t>
  </si>
  <si>
    <t>4630493773271</t>
  </si>
  <si>
    <t>260869</t>
  </si>
  <si>
    <t>Пакет полиэтиленовый вырубной "Чебурашка в шариках" 30*40/50 мкм ЛИЦЕНЗИЯ/Чебурашка ПИ-7801</t>
  </si>
  <si>
    <t>ПИ-7801</t>
  </si>
  <si>
    <t>4630493778016</t>
  </si>
  <si>
    <t>36,5см х 48см</t>
  </si>
  <si>
    <t>210016</t>
  </si>
  <si>
    <t>Пакет полиэтиленовый Новогодние феи (36.5х48 см) 50мкм ПП-5449</t>
  </si>
  <si>
    <t>ПП-5449</t>
  </si>
  <si>
    <t>4670159054498</t>
  </si>
  <si>
    <t>38см х 47см</t>
  </si>
  <si>
    <t>276903</t>
  </si>
  <si>
    <t>Пакет вырубной Главная ёлка 38х47 см, 50 мкм (собст.разраб.) ППК-4511</t>
  </si>
  <si>
    <t>ППК-4511</t>
  </si>
  <si>
    <t>4680942644188</t>
  </si>
  <si>
    <t>276906</t>
  </si>
  <si>
    <t>Пакет вырубной Добрый Дедушка Мороз 38х47 см, 50 мкм (собст.разраб.) ППК-4513</t>
  </si>
  <si>
    <t>ППК-4513</t>
  </si>
  <si>
    <t>4680942644201</t>
  </si>
  <si>
    <t>276901</t>
  </si>
  <si>
    <t>Пакет вырубной Новогодняя композиция 38х47 см, 50 мкм (собст.разраб.) ППК-4510</t>
  </si>
  <si>
    <t>ППК-4510</t>
  </si>
  <si>
    <t>4680942644171</t>
  </si>
  <si>
    <t>276905</t>
  </si>
  <si>
    <t>Пакет вырубной Снегирь 38х47 см, 50 мкм (собст.разраб.) ППК-4512</t>
  </si>
  <si>
    <t>ППК-4512</t>
  </si>
  <si>
    <t>4680942644195</t>
  </si>
  <si>
    <t>276907</t>
  </si>
  <si>
    <t>Пакет вырубной Украшения 38х47 см, 50 мкм (собст.разраб.) ППК-4514</t>
  </si>
  <si>
    <t>ППК-4514</t>
  </si>
  <si>
    <t>4680942644218</t>
  </si>
  <si>
    <t>45см*38см</t>
  </si>
  <si>
    <t>257391</t>
  </si>
  <si>
    <t>Пакет вырубной Новогодние подарки лам 45х38/60мкм н00223879</t>
  </si>
  <si>
    <t>н00223879</t>
  </si>
  <si>
    <t>4630073607125</t>
  </si>
  <si>
    <t>257386</t>
  </si>
  <si>
    <t>Пакет вырубной Эксперт в подарках 45х38/60мкм н00287655</t>
  </si>
  <si>
    <t>н00287655</t>
  </si>
  <si>
    <t>4630201702449</t>
  </si>
  <si>
    <t>3 Пакеты с петлевой ручкой</t>
  </si>
  <si>
    <t>28см х 35см</t>
  </si>
  <si>
    <t>257394</t>
  </si>
  <si>
    <t>Пакет петлевой Волшебный праздник 28х34/60мкм НФ-00000912</t>
  </si>
  <si>
    <t>НФ-00000912</t>
  </si>
  <si>
    <t>4640012384505</t>
  </si>
  <si>
    <t>191359</t>
  </si>
  <si>
    <t>Пакет полиэтиленовый с петлевой ручкой  Подарочный с бантом 28х34/60мкм  НФ-00006347</t>
  </si>
  <si>
    <t>НФ-00006347</t>
  </si>
  <si>
    <t>4640012386165</t>
  </si>
  <si>
    <t>38 см х 42 см</t>
  </si>
  <si>
    <t>257397</t>
  </si>
  <si>
    <t>Пакет петлевой Изумрудный блеск 43,5х38/35мкм н00267333</t>
  </si>
  <si>
    <t>н00267333</t>
  </si>
  <si>
    <t>4630201701206</t>
  </si>
  <si>
    <t>Гиганты</t>
  </si>
  <si>
    <t>257416</t>
  </si>
  <si>
    <t>Пакет петлевой Новогодние подарки 58х50/65 мкм НФ-00047557</t>
  </si>
  <si>
    <t>НФ-00047557</t>
  </si>
  <si>
    <t>4610121612196</t>
  </si>
  <si>
    <t>193016</t>
  </si>
  <si>
    <t>Пакет полиэтиленовый с петлевой ручкой Яркие подарки 50х60/60 мкм н00205575</t>
  </si>
  <si>
    <t>н00205575</t>
  </si>
  <si>
    <t>4630073604797</t>
  </si>
  <si>
    <t>4 Пакеты с пластиковой ручкой</t>
  </si>
  <si>
    <t>38см х 35см</t>
  </si>
  <si>
    <t>257422</t>
  </si>
  <si>
    <t>Пакет с пластиковой ручкой  Мишка с елкой 37х35/90 мкм НФ-00006185</t>
  </si>
  <si>
    <t>НФ-00006185</t>
  </si>
  <si>
    <t>4640012387391</t>
  </si>
  <si>
    <t>02 Упаковочная бумага "Собственная разработка"</t>
  </si>
  <si>
    <t>Упаковочная бумага (10 л.в рулоне)</t>
  </si>
  <si>
    <t>Стандарт</t>
  </si>
  <si>
    <t>270515</t>
  </si>
  <si>
    <t>Упаковочная бумага Волшебная тройка Деда Мороза (70*100см, 10 л) "Собственная разработка" УБ-0938</t>
  </si>
  <si>
    <t>УБ-0938</t>
  </si>
  <si>
    <t>4680942609385</t>
  </si>
  <si>
    <t>251830</t>
  </si>
  <si>
    <t>Упаковочная бумага Забавные лошадки (70*100см, 10 л) (Собств.разраб.) УБ-6128</t>
  </si>
  <si>
    <t>УБ-6128</t>
  </si>
  <si>
    <t>4670159261285</t>
  </si>
  <si>
    <t>270521</t>
  </si>
  <si>
    <t>Упаковочная бумага Зверята с подарками (70*100см, 10 л) "Собственная разработка" УБ-0944</t>
  </si>
  <si>
    <t>УБ-0944</t>
  </si>
  <si>
    <t>4680942609446</t>
  </si>
  <si>
    <t>129280</t>
  </si>
  <si>
    <t>Упаковочная бумага Зима пришла (70*100см, 10 л)  УБ-9453</t>
  </si>
  <si>
    <t>УБ-9453</t>
  </si>
  <si>
    <t>4665307394533</t>
  </si>
  <si>
    <t>270516</t>
  </si>
  <si>
    <t>Упаковочная бумага Зимние забавы (70*100см, 10 л) "Собственная разработка" УБ-0939</t>
  </si>
  <si>
    <t>УБ-0939</t>
  </si>
  <si>
    <t>4680942609392</t>
  </si>
  <si>
    <t>227412</t>
  </si>
  <si>
    <t>Упаковочная бумага Зимняя ягода (70*100см, 10 л) "Собственная разработка" УБ-6503</t>
  </si>
  <si>
    <t>УБ-6503</t>
  </si>
  <si>
    <t>4670159165033</t>
  </si>
  <si>
    <t>227415</t>
  </si>
  <si>
    <t>Упаковочная бумага Лисички и веточки  (70*100см, 10 л) "Собственная разработка"  УБ-6506</t>
  </si>
  <si>
    <t>УБ-6506</t>
  </si>
  <si>
    <t>4670159165064</t>
  </si>
  <si>
    <t>251832</t>
  </si>
  <si>
    <t>Упаковочная бумага Лошадки и снежинки (70*100см, 10 л) (Собств.разраб.) УБ-6130</t>
  </si>
  <si>
    <t>УБ-6130</t>
  </si>
  <si>
    <t>4670159261308</t>
  </si>
  <si>
    <t>270518</t>
  </si>
  <si>
    <t>Упаковочная бумага Новогодние послания (70*100см, 10 л) "Собственная разработка" УБ-0941</t>
  </si>
  <si>
    <t>УБ-0941</t>
  </si>
  <si>
    <t>4680942609415</t>
  </si>
  <si>
    <t>270520</t>
  </si>
  <si>
    <t>Упаковочная бумага Новогодняя феерия  (70*100см, 10 л) "Собственная разработка" УБ-0943</t>
  </si>
  <si>
    <t>УБ-0943</t>
  </si>
  <si>
    <t>4680942609439</t>
  </si>
  <si>
    <t>227414</t>
  </si>
  <si>
    <t>Упаковочная бумага Носочки и подарки (70*100см, 10 л) "Собственная разработка"  УБ-6505</t>
  </si>
  <si>
    <t>УБ-6505</t>
  </si>
  <si>
    <t>4670159165057</t>
  </si>
  <si>
    <t>270517</t>
  </si>
  <si>
    <t>Упаковочная бумага Праздник подарков» (70*100см, 10 л)  "Собственная разработка" УБ-0940</t>
  </si>
  <si>
    <t>УБ-0940</t>
  </si>
  <si>
    <t>4680942609408</t>
  </si>
  <si>
    <t>270519</t>
  </si>
  <si>
    <t>Упаковочная бумага Праздничная почта  (70*100см, 10 л) "Собственная разработка" УБ-0942</t>
  </si>
  <si>
    <t>УБ-0942</t>
  </si>
  <si>
    <t>4680942609422</t>
  </si>
  <si>
    <t>227402</t>
  </si>
  <si>
    <t>Упаковочная бумага Снегири (70*100см, 10 л) "Собственная разработка"  УБ-6497</t>
  </si>
  <si>
    <t>УБ-6497</t>
  </si>
  <si>
    <t>4670159164975</t>
  </si>
  <si>
    <t>Упаковочная бумага 5+0 доп пантон золотистый</t>
  </si>
  <si>
    <t>227464</t>
  </si>
  <si>
    <t>Упаковочная бумага  Новогодняя пора (70х100, 10 л, 5+0 доп пантон золото) соб.раз УБ-6489</t>
  </si>
  <si>
    <t>УБ-6489</t>
  </si>
  <si>
    <t>4670159164890</t>
  </si>
  <si>
    <t>270528</t>
  </si>
  <si>
    <t>Упаковочная бумага Веселые зверята (70х100, 10 л, 5+0 золото) "Собств. разраб." УБ-0961</t>
  </si>
  <si>
    <t>УБ-0961</t>
  </si>
  <si>
    <t>4680942609613</t>
  </si>
  <si>
    <t>270531</t>
  </si>
  <si>
    <t>Упаковочная бумага Волшебная почта (70х100, 10 л, 5+0 золото) "Собств. разраб." УБ-0963</t>
  </si>
  <si>
    <t>УБ-0963</t>
  </si>
  <si>
    <t>4680942609637</t>
  </si>
  <si>
    <t>227462</t>
  </si>
  <si>
    <t>Упаковочная бумага Елочки (70х100, 10 л, 5+0 доп пантон золото) соб.раз УБ-6487</t>
  </si>
  <si>
    <t>УБ-6487</t>
  </si>
  <si>
    <t>4670159164876</t>
  </si>
  <si>
    <t>251847</t>
  </si>
  <si>
    <t>Упаковочная бумага Елочки и снежинки (70х100, 10 л, 5+0 доп пантон золото)(Собств.разраб.) УБ-6138</t>
  </si>
  <si>
    <t>УБ-6138</t>
  </si>
  <si>
    <t>4670159261384</t>
  </si>
  <si>
    <t>251848</t>
  </si>
  <si>
    <t>Упаковочная бумага Елочные шары  (70х100, 10 л, 5+0 доп пантон золото)(Собств.разраб.) УБ-6139</t>
  </si>
  <si>
    <t>УБ-6139</t>
  </si>
  <si>
    <t>4670159261391</t>
  </si>
  <si>
    <t>227460</t>
  </si>
  <si>
    <t>Упаковочная бумага Зимний орнамент (70х100, 10 л, 5+0 доп пантон золото) соб.раз УБ-6485</t>
  </si>
  <si>
    <t>УБ-6485</t>
  </si>
  <si>
    <t>4670159164852</t>
  </si>
  <si>
    <t>251846</t>
  </si>
  <si>
    <t>Упаковочная бумага Золотые лошадки (70х100, 10 л, 5+0 доп пантон золото)(Собств.разраб.) УБ-6137</t>
  </si>
  <si>
    <t>УБ-6137</t>
  </si>
  <si>
    <t>4670159261377</t>
  </si>
  <si>
    <t>204067</t>
  </si>
  <si>
    <t>Упаковочная бумага Новогодние снежинки на красном (70х100, 10 л, 5+0 доп пантон золото)  УБ-4335</t>
  </si>
  <si>
    <t>УБ-4335</t>
  </si>
  <si>
    <t>4670159043355</t>
  </si>
  <si>
    <t>204064</t>
  </si>
  <si>
    <t>Упаковочная бумага Новогодние снежинки на синем (70х100, 10 л, 5+0 доп пантон золото) УБ-4332</t>
  </si>
  <si>
    <t>УБ-4332</t>
  </si>
  <si>
    <t>4670159043324</t>
  </si>
  <si>
    <t>227461</t>
  </si>
  <si>
    <t>Упаковочная бумага Новогодние шишки (70х100, 10 л, 5+0 доп пантон золото) соб.раз УБ-6486</t>
  </si>
  <si>
    <t>УБ-6486</t>
  </si>
  <si>
    <t>4670159164869</t>
  </si>
  <si>
    <t>270530</t>
  </si>
  <si>
    <t>Упаковочная бумага Олени в зимнем лесу  (70х100, 10 л, 5+0 золото) "Собств. разраб." УБ-0962</t>
  </si>
  <si>
    <t>УБ-0962</t>
  </si>
  <si>
    <t>4680942609620</t>
  </si>
  <si>
    <t>227463</t>
  </si>
  <si>
    <t>Упаковочная бумага Сияние в лесу (70х100, 10 л, 5+0 доп пантон золото) соб.раз УБ-6488</t>
  </si>
  <si>
    <t>УБ-6488</t>
  </si>
  <si>
    <t>4670159164883</t>
  </si>
  <si>
    <t>Шоу-боксы</t>
  </si>
  <si>
    <t>270550</t>
  </si>
  <si>
    <t>Упаковочная бумага Новогодняя фантазия в ассортименте (70х100см,1л, 5 дизайнов в ШБ) соб.раз УБ-0989</t>
  </si>
  <si>
    <t>УБ-0989</t>
  </si>
  <si>
    <t>4680942609897</t>
  </si>
  <si>
    <t>270551</t>
  </si>
  <si>
    <t>Упаковочная бумага Праздничный микс 5+0 и 4+0 (70х100см, 1л, 5 дизайнов в шоубоксе) соб.раз УБ-0990</t>
  </si>
  <si>
    <t>УБ-0990</t>
  </si>
  <si>
    <t>4680942609903</t>
  </si>
  <si>
    <t>227449</t>
  </si>
  <si>
    <t>Упаковочная бумага Премиальная В АССОРТ. (70х100см, 1л, 5 диз, шоубокс, 5+0, золото) соб.раз УБ-6494</t>
  </si>
  <si>
    <t>УБ-6494</t>
  </si>
  <si>
    <t>4670159164944</t>
  </si>
  <si>
    <t>Стандарт с тиснением</t>
  </si>
  <si>
    <t>273837</t>
  </si>
  <si>
    <t>Упаковочная бумага тис фольгой Новогодняя В АСС-ТЕ (70х100см, 1л, 5 диз. в ш/б)Соб. раз. УБ-6719</t>
  </si>
  <si>
    <t>УБ-6719</t>
  </si>
  <si>
    <t>4680942626719</t>
  </si>
  <si>
    <t>03 Новогодние подарочные коробки</t>
  </si>
  <si>
    <t>Коробки для шоколада "Собственная разработка"</t>
  </si>
  <si>
    <t>164870</t>
  </si>
  <si>
    <t>Подарочная коробка для шоколада Новогодние ветки соб.раз КОР-3981</t>
  </si>
  <si>
    <t>КОР-3981</t>
  </si>
  <si>
    <t>4610144839815</t>
  </si>
  <si>
    <t>Набор коробок 3 в 1</t>
  </si>
  <si>
    <t>Набор квадратных коробок 3 в 1</t>
  </si>
  <si>
    <t>19,5 x 19,5 x 11 - 15,5 x 15,5 x 9 см</t>
  </si>
  <si>
    <t>251869</t>
  </si>
  <si>
    <t>Набор квадратных коробок 3 в 1 Заснеженная елка (19,5х19,5х11-15,5х15,5х9)(Собс.разр.) КОР-6170</t>
  </si>
  <si>
    <t>КОР-6170</t>
  </si>
  <si>
    <t>4670159261704</t>
  </si>
  <si>
    <t>251872</t>
  </si>
  <si>
    <t>Набор квадратных коробок 3 в 1 Полярные мишки (19,5х19,5х11-15,5х15,5х9)(Собс.разр.) КОР-6173</t>
  </si>
  <si>
    <t>КОР-6173</t>
  </si>
  <si>
    <t>4670159261735</t>
  </si>
  <si>
    <t>251870</t>
  </si>
  <si>
    <t>Набор квадратных коробок 3 в 1 С Новым годом (19,5х19,5х11-15,5х15,5х9)(Собс.разр.) КОР-6171</t>
  </si>
  <si>
    <t>КОР-6171</t>
  </si>
  <si>
    <t>4670159261711</t>
  </si>
  <si>
    <t>251873</t>
  </si>
  <si>
    <t>Набор квадратных коробок 3 в 1 Снежинки и звездочки (19,5х19,5х11-15,5х15,5х9)(Собс.разр.) КОР-6174</t>
  </si>
  <si>
    <t>КОР-6174</t>
  </si>
  <si>
    <t>4670159261742</t>
  </si>
  <si>
    <t>251874</t>
  </si>
  <si>
    <t>Набор квадратных коробок 3 в1 Золотые лошадки (19,5х19,5х11-15,5х15,5х9)(Собс.разр.) КОР-6175</t>
  </si>
  <si>
    <t>КОР-6175</t>
  </si>
  <si>
    <t>4670159261759</t>
  </si>
  <si>
    <t>270782</t>
  </si>
  <si>
    <t>Набор квадратных коробок 3в1 Зверята с подарками (19,5х19,5х11-15,5х15,5х9) "Собств.разраб" КОР-1011</t>
  </si>
  <si>
    <t>КОР-1011</t>
  </si>
  <si>
    <t>4680942610114</t>
  </si>
  <si>
    <t>Набор круглых коробок 3 в 1</t>
  </si>
  <si>
    <t>275335</t>
  </si>
  <si>
    <t>Набор круглых  коробок 3в1 с тиснением "Новогодняя классика", 16.5х16.5х7-20.5х20.5х9см КОР-3500</t>
  </si>
  <si>
    <t>КОР-3500</t>
  </si>
  <si>
    <t>4680942635001</t>
  </si>
  <si>
    <t>275336</t>
  </si>
  <si>
    <t>Набор круглых коробок 3в1 с тиснением "Дед Мороз и оленёнок", 16.5х16.5х7-20.5х20.5х9см КОР-3501</t>
  </si>
  <si>
    <t>КОР-3501</t>
  </si>
  <si>
    <t>4680942635018</t>
  </si>
  <si>
    <t>275334</t>
  </si>
  <si>
    <t>Набор подарочных  круглых коробок 3 в 1 с тиснением "Сюрприз", 16.5х16.5х7-20.5х20.5х9 см КОР-3499</t>
  </si>
  <si>
    <t>КОР-3499</t>
  </si>
  <si>
    <t>4680942634998</t>
  </si>
  <si>
    <t>275333</t>
  </si>
  <si>
    <t>Набор подарочных круглых коробок 3в1 с тиснен. "Нарядная ёлочка" 16.5х16.5х7-20.5х20.5х9см КОР-3498</t>
  </si>
  <si>
    <t>КОР-3498</t>
  </si>
  <si>
    <t>4680942634981</t>
  </si>
  <si>
    <t>Наборы прямоугольных коробок 3 в 1</t>
  </si>
  <si>
    <t>19 х 12 х 7,5 - 15 х 10 х 5 см</t>
  </si>
  <si>
    <t>270789</t>
  </si>
  <si>
    <t>Набор прямоугольных кор. 3в1 Зверята с подарками (19х12х7,5-15х10х5) "Собств.разраб" КОР-1018</t>
  </si>
  <si>
    <t>КОР-1018</t>
  </si>
  <si>
    <t>4680942610251</t>
  </si>
  <si>
    <t>270788</t>
  </si>
  <si>
    <t>Набор прямоугольных кор. 3в1 Праздничная почта (19х12х7,5-15х10х5) "Собств.разраб" КОР-1017</t>
  </si>
  <si>
    <t>КОР-1017</t>
  </si>
  <si>
    <t>4680942610244</t>
  </si>
  <si>
    <t>251887</t>
  </si>
  <si>
    <t>Набор прямоугольных коробок 3 в 1 Полярные мишки (19х12х7,5-15х10х5)(Собс.разр.) КОР-6180</t>
  </si>
  <si>
    <t>КОР-6180</t>
  </si>
  <si>
    <t>4670159261803</t>
  </si>
  <si>
    <t>270793</t>
  </si>
  <si>
    <t>Набор прямоугольных коробок 3в1  Волшебная почта (19х12х7,5-15х10х5) "Собств.разраб" КОР-1022</t>
  </si>
  <si>
    <t>КОР-1022</t>
  </si>
  <si>
    <t>4680942610299</t>
  </si>
  <si>
    <t>270791</t>
  </si>
  <si>
    <t>Набор прямоугольных коробок 3в1  Сказка (19х12х7,5-15х10х5) "Собств.разраб" КОР-1020</t>
  </si>
  <si>
    <t>КОР-1020</t>
  </si>
  <si>
    <t>4680942610275</t>
  </si>
  <si>
    <t>22х16х9  - 18х12х7 см</t>
  </si>
  <si>
    <t>275338</t>
  </si>
  <si>
    <t>Набор подарочных прямоугольных коробок 3в1 "Новогоднее волшебство", 22х16х9-18х12х7см КОР-3502</t>
  </si>
  <si>
    <t>КОР-3502</t>
  </si>
  <si>
    <t>4680942635025</t>
  </si>
  <si>
    <t>275340</t>
  </si>
  <si>
    <t>Набор прямоугольных коробок 3в1 с тиснением "Ёлочка с бантиком", 22х16х9-18х12х7см КОР-3503</t>
  </si>
  <si>
    <t>КОР-3503</t>
  </si>
  <si>
    <t>4680942635032</t>
  </si>
  <si>
    <t>23 х 16 х 9,5 - 19 х 12 х 6,5 см</t>
  </si>
  <si>
    <t>270799</t>
  </si>
  <si>
    <t>Набор  прямоугольных коробок 3в1  Волшебная почта(23х16х9,5-19х12х6,5) "Собств.разраб" КОР-1028</t>
  </si>
  <si>
    <t>КОР-1028</t>
  </si>
  <si>
    <t>4680942610411</t>
  </si>
  <si>
    <t>252113</t>
  </si>
  <si>
    <t>Набор прямоугольных коробок 3 в 1 Золотые лошадки  (23х16х9,5-19х12х6,5)"Собств. разраб." КОР-6203</t>
  </si>
  <si>
    <t>КОР-6203</t>
  </si>
  <si>
    <t>4670159262039</t>
  </si>
  <si>
    <t>227949</t>
  </si>
  <si>
    <t>Набор прямоугольных коробок 3 в 1 Новогодняя сказка (23х16х9,5-19х12х6,5)"Собств. разраб." КОР-6879</t>
  </si>
  <si>
    <t>КОР-6879</t>
  </si>
  <si>
    <t>4670159168812</t>
  </si>
  <si>
    <t>270794</t>
  </si>
  <si>
    <t>Набор прямоугольных коробок 3в1   Праздничная почта (23х16х9,5-19х12х6,5) "Собств. разраб." КОР-1023</t>
  </si>
  <si>
    <t>КОР-1023</t>
  </si>
  <si>
    <t>4680942610367</t>
  </si>
  <si>
    <t>270795</t>
  </si>
  <si>
    <t>Набор прямоугольных коробок 3в1 Зверята с подарками (23х16х9,5-19х12х6,5) "Соб. разраб." КОР-1024</t>
  </si>
  <si>
    <t>КОР-1024</t>
  </si>
  <si>
    <t>4680942610374</t>
  </si>
  <si>
    <t>Наборы коробок  10 в 1</t>
  </si>
  <si>
    <t>270805</t>
  </si>
  <si>
    <t>Набор квадратных коробок 10в1  Волшебная почта (30,5х20х13-12х6,5х4 см) "Соб. раз."КОР-1034</t>
  </si>
  <si>
    <t>КОР-1034</t>
  </si>
  <si>
    <t>4680942610534</t>
  </si>
  <si>
    <t>270803</t>
  </si>
  <si>
    <t>Набор квадратных коробок 10в1  Сказка(30,5х20х13-12х6,5х4 см) "Соб. раз."КОР-1032</t>
  </si>
  <si>
    <t>КОР-1032</t>
  </si>
  <si>
    <t>4680942610510</t>
  </si>
  <si>
    <t>270804</t>
  </si>
  <si>
    <t>Набор квадратных коробок 10в1 Снегири на еловых ветвях (30,5х20х13-12х6,5х4 см) "Соб. раз."КОР-1033</t>
  </si>
  <si>
    <t>КОР-1033</t>
  </si>
  <si>
    <t>4680942610527</t>
  </si>
  <si>
    <t>257963</t>
  </si>
  <si>
    <t>Набор коробок 10 в1 "Веселый Дед Мороз", 19х13х7.5-37.5х29х16 КОР-7555</t>
  </si>
  <si>
    <t>КОР-7555</t>
  </si>
  <si>
    <t>4630493775558</t>
  </si>
  <si>
    <t>257955</t>
  </si>
  <si>
    <t>Набор коробок 10 в1 с тиснением "Рождество", 19х13х7.5-37.5х29х16 КОР-7554</t>
  </si>
  <si>
    <t>КОР-7554</t>
  </si>
  <si>
    <t>4630493775541</t>
  </si>
  <si>
    <t>275322</t>
  </si>
  <si>
    <t>Набор подарочных прямоугольных коробок 10в1 Рождественские сладости 19х13х7.5-37.5х29х16см КОР-3488</t>
  </si>
  <si>
    <t>КОР-3488</t>
  </si>
  <si>
    <t>4680942634882</t>
  </si>
  <si>
    <t>252126</t>
  </si>
  <si>
    <t>Набор прямоугольных коробок 10 в 1 Заснеженная елка (30,5х20х13-12х6,5х4 см)"Соб. раз." КОР-6205</t>
  </si>
  <si>
    <t>КОР-6205</t>
  </si>
  <si>
    <t>4670159262053</t>
  </si>
  <si>
    <t>252128</t>
  </si>
  <si>
    <t>Набор прямоугольных коробок 10 в 1 Зимние котики (30,5х20х13-12х6,5х4 см)"Соб. раз." КОР-6207</t>
  </si>
  <si>
    <t>КОР-6207</t>
  </si>
  <si>
    <t>4670159262077</t>
  </si>
  <si>
    <t>252129</t>
  </si>
  <si>
    <t>Набор прямоугольных коробок 10 в 1 Полярные мишки  (30,5х20х13-12х6,5х4 см)"Соб. раз." КОР-6208</t>
  </si>
  <si>
    <t>КОР-6208</t>
  </si>
  <si>
    <t>4670159262084</t>
  </si>
  <si>
    <t>252127</t>
  </si>
  <si>
    <t>Набор прямоугольных коробок 10 в 1 С Новым годом  (30,5х20х13-12х6,5х4 см)"Соб. раз." КОР-6206</t>
  </si>
  <si>
    <t>КОР-6206</t>
  </si>
  <si>
    <t>4670159262060</t>
  </si>
  <si>
    <t>252130</t>
  </si>
  <si>
    <t>Набор прямоугольных коробок 10 в 1 Снежинки и звездочки (30,5х20х13-12х6,5х4 см)"Соб. раз." КОР-6209</t>
  </si>
  <si>
    <t>КОР-6209</t>
  </si>
  <si>
    <t>4670159262091</t>
  </si>
  <si>
    <t>252131</t>
  </si>
  <si>
    <t>Набор прямоугольных коробок 10 в1 Золотые лошадки (30,5х20х13-12х6,5х4 см)"Соб. раз." КОР-6210</t>
  </si>
  <si>
    <t>КОР-6210</t>
  </si>
  <si>
    <t>4670159262107</t>
  </si>
  <si>
    <t>270801</t>
  </si>
  <si>
    <t>Набор прямоугольных коробок 10в1  Зверята с подарками (30,5х20х13-12х6,5х4 см)"Соб. раз."КОР-1030</t>
  </si>
  <si>
    <t>КОР-1030</t>
  </si>
  <si>
    <t>4680942610497</t>
  </si>
  <si>
    <t>270800</t>
  </si>
  <si>
    <t>Набор прямоугольных коробок 10в1  Праздничная почта (30,5х20х13-12х6,5х4 см)"Соб. раз."КОР-1029</t>
  </si>
  <si>
    <t>КОР-1029</t>
  </si>
  <si>
    <t>4680942610480</t>
  </si>
  <si>
    <t>227962</t>
  </si>
  <si>
    <t>Набор прямоугольных коробок 10в1 Лисички и веточки (30,5х20х13-12х6,5х4 см)"Собств.разраб." КОР-6890</t>
  </si>
  <si>
    <t>КОР-6890</t>
  </si>
  <si>
    <t>4670159168928</t>
  </si>
  <si>
    <t>Наборы коробок 11 в 1</t>
  </si>
  <si>
    <t>251894</t>
  </si>
  <si>
    <t>Набор квадратных коробок 11 в 1 Елочки и снежинки (25,5*25,5*13-5,5*5,5*2,5см)(Собс.разр.) КОР-6183</t>
  </si>
  <si>
    <t>КОР-6183</t>
  </si>
  <si>
    <t>4670159261834</t>
  </si>
  <si>
    <t>251897</t>
  </si>
  <si>
    <t>Набор квадратных коробок 11 в 1 Зимние котики (25,5*25,5*13-5,5*5,5*2,5см)(Собс.разр.) КОР-6186</t>
  </si>
  <si>
    <t>КОР-6186</t>
  </si>
  <si>
    <t>4670159261865</t>
  </si>
  <si>
    <t>129980</t>
  </si>
  <si>
    <t>Набор квадратных коробок 11 в 1 Зимний лес (25,5x25,5x13-5,5x5,5x2,5)"Собственная разработка"ПП-7206</t>
  </si>
  <si>
    <t>ПП-7206</t>
  </si>
  <si>
    <t>4665307393673</t>
  </si>
  <si>
    <t>251898</t>
  </si>
  <si>
    <t>Набор квадратных коробок 11 в 1 Полярные мишки (25,5*25,5*13-5,5*5,5*2,5см)(Собс.разр.) КОР-6187</t>
  </si>
  <si>
    <t>КОР-6187</t>
  </si>
  <si>
    <t>4670159261872</t>
  </si>
  <si>
    <t>251896</t>
  </si>
  <si>
    <t>Набор квадратных коробок 11 в 1 С Новым годом (25,5*25,5*13-5,5*5,5*2,5см) (Собс.разр.) КОР-6185</t>
  </si>
  <si>
    <t>КОР-6185</t>
  </si>
  <si>
    <t>4670159261858</t>
  </si>
  <si>
    <t>251899</t>
  </si>
  <si>
    <t>Набор квадратных коробок 11 в 1 Снежинки и звездочки(25,5*25,5*13-5,5*5,5*2,5см)(Собс.разр) КОР-6188</t>
  </si>
  <si>
    <t>КОР-6188</t>
  </si>
  <si>
    <t>4670159261889</t>
  </si>
  <si>
    <t>251901</t>
  </si>
  <si>
    <t>Набор квадратных коробок 11 в1 Золотые лошадки (25,5*25,5*13-5,5*5,5*2,5см)(Собс.разр.) КОР-6189</t>
  </si>
  <si>
    <t>КОР-6189</t>
  </si>
  <si>
    <t>4670159261896</t>
  </si>
  <si>
    <t>230329</t>
  </si>
  <si>
    <t>Набор квадратных коробок 11в1 Носочки и подарки (25,5*25,5*13-5,5*5,5*2,5) Собств.разр. КОР-7835</t>
  </si>
  <si>
    <t>КОР-7835</t>
  </si>
  <si>
    <t>4670159178231</t>
  </si>
  <si>
    <t>Одинарные коробки</t>
  </si>
  <si>
    <t>Квадратные</t>
  </si>
  <si>
    <t>17,5х17,5х10 см</t>
  </si>
  <si>
    <t>208250</t>
  </si>
  <si>
    <t>Коробка квадратная одинарная Новогоднее чудо 17,5х17,5х10 см соб.раз ПП-9802</t>
  </si>
  <si>
    <t>ПП-9802</t>
  </si>
  <si>
    <t>4670159046028</t>
  </si>
  <si>
    <t>230473</t>
  </si>
  <si>
    <t>Коробка квадратная одинарная Новогодняя сказка 17,5х17,5х10 соб.раз КОР-7863</t>
  </si>
  <si>
    <t>КОР-7863</t>
  </si>
  <si>
    <t>4670159178637</t>
  </si>
  <si>
    <t>Коробки-кубы</t>
  </si>
  <si>
    <t>258619</t>
  </si>
  <si>
    <t>Коробка-куб одинарная  С Новым годом 19х19х19 соб.раз КК-7106</t>
  </si>
  <si>
    <t>КК-7106</t>
  </si>
  <si>
    <t>4630493771062</t>
  </si>
  <si>
    <t>258609</t>
  </si>
  <si>
    <t>Коробка-куб одинарная Елочки и снежинки 17x17x17 соб.раз КК-7101</t>
  </si>
  <si>
    <t>КК-7101</t>
  </si>
  <si>
    <t>4630493771017</t>
  </si>
  <si>
    <t>258606</t>
  </si>
  <si>
    <t>Коробка-куб одинарная Елочки и снежинки 19x19x19 соб.раз КК-7100</t>
  </si>
  <si>
    <t>КК-7100</t>
  </si>
  <si>
    <t>4630493771000</t>
  </si>
  <si>
    <t>258624</t>
  </si>
  <si>
    <t>Коробка-куб одинарная Зимние котики 17х17х17 соб.раз КК-7110</t>
  </si>
  <si>
    <t>КК-7110</t>
  </si>
  <si>
    <t>4630493771109</t>
  </si>
  <si>
    <t>258637</t>
  </si>
  <si>
    <t>Коробка-куб одинарная Золотые лошадки 17х17х17 соб.раз КК-7119</t>
  </si>
  <si>
    <t>КК-7119</t>
  </si>
  <si>
    <t>4630493771192</t>
  </si>
  <si>
    <t>258632</t>
  </si>
  <si>
    <t>Коробка-куб одинарная Золотые лошадки 21х21х21 соб.раз КК-7117</t>
  </si>
  <si>
    <t>КК-7117</t>
  </si>
  <si>
    <t>4630493771178</t>
  </si>
  <si>
    <t>258638</t>
  </si>
  <si>
    <t>Коробка-куб одинарная Новогодняя сказка 21х21х21 соб.раз КК-7120</t>
  </si>
  <si>
    <t>КК-7120</t>
  </si>
  <si>
    <t>4630493771208</t>
  </si>
  <si>
    <t>258631</t>
  </si>
  <si>
    <t>Коробка-куб одинарная Снежинки и звездочки 17х17х17 соб.раз КК-7116</t>
  </si>
  <si>
    <t>КК-7116</t>
  </si>
  <si>
    <t>4630493771161</t>
  </si>
  <si>
    <t>Прямоугольные</t>
  </si>
  <si>
    <t>21х14х8 см</t>
  </si>
  <si>
    <t>208311</t>
  </si>
  <si>
    <t>Коробка прямоугольная одинарная Звери в лесу 21х14х8 см соб.раз ПП-9845</t>
  </si>
  <si>
    <t>ПП-9845</t>
  </si>
  <si>
    <t>4670159046455</t>
  </si>
  <si>
    <t>04 Коробки для конфет "Собственная разработка"</t>
  </si>
  <si>
    <t>01 Коробка для конфет Сундучок  (500 гр)</t>
  </si>
  <si>
    <t>252187</t>
  </si>
  <si>
    <t>Коробка для конфет  "Зверята получают подарки" 500г "Собств. разраб." ПП-6254</t>
  </si>
  <si>
    <t>ПП-6254</t>
  </si>
  <si>
    <t>4670159262541</t>
  </si>
  <si>
    <t>252185</t>
  </si>
  <si>
    <t>Коробка для конфет "Дед Мороз везет подарки" 500г "Собств. разраб." ПП-6253</t>
  </si>
  <si>
    <t>ПП-6253</t>
  </si>
  <si>
    <t>4670159262527</t>
  </si>
  <si>
    <t>271853</t>
  </si>
  <si>
    <t>Коробка для конфет Сундучок  "Дед мороз раздает угощения" 500г "Собств. разраб." ПП-1716</t>
  </si>
  <si>
    <t>ПП-1716</t>
  </si>
  <si>
    <t>4680942617014</t>
  </si>
  <si>
    <t>252191</t>
  </si>
  <si>
    <t>Коробка для конфет Сундучок  "Лесной утренник"  500г "Собств. разраб." ПП-6258</t>
  </si>
  <si>
    <t>ПП-6258</t>
  </si>
  <si>
    <t>4670159262589</t>
  </si>
  <si>
    <t>252181</t>
  </si>
  <si>
    <t>Коробка для конфет Сундучок "Дед Мороз и лесные звери на катке" 500г  "Собств. разраб." ПП-6248</t>
  </si>
  <si>
    <t>ПП-6248</t>
  </si>
  <si>
    <t>4670159262480</t>
  </si>
  <si>
    <t>271849</t>
  </si>
  <si>
    <t>Коробка для конфет Сундучок "Дед Мороз разбирает почту " 500г  "Собств. разраб." ПП-1713</t>
  </si>
  <si>
    <t>ПП-1713</t>
  </si>
  <si>
    <t>4680942616987</t>
  </si>
  <si>
    <t>271851</t>
  </si>
  <si>
    <t>Коробка для конфет Сундучок "Дед мороз читает письма" 500г "Собств. разраб." ПП-1715</t>
  </si>
  <si>
    <t>ПП-1715</t>
  </si>
  <si>
    <t>4680942617007</t>
  </si>
  <si>
    <t>252192</t>
  </si>
  <si>
    <t>Коробка для конфет Сундучок "Зверята украшают елку" 500г "Собств. разраб." ПП-6259</t>
  </si>
  <si>
    <t>ПП-6259</t>
  </si>
  <si>
    <t>4670159262596</t>
  </si>
  <si>
    <t>271846</t>
  </si>
  <si>
    <t>Коробка для конфет Сундучок "Козочки встречают Новый год"  500г  "Собств. разраб." ПП-1710</t>
  </si>
  <si>
    <t>ПП-1710</t>
  </si>
  <si>
    <t>4680942616956</t>
  </si>
  <si>
    <t>252184</t>
  </si>
  <si>
    <t>Коробка для конфет Сундучок "Песни и пляски у елки" 500г  "Собств. разраб." ПП-6251</t>
  </si>
  <si>
    <t>ПП-6251</t>
  </si>
  <si>
    <t>4670159262510</t>
  </si>
  <si>
    <t>230105</t>
  </si>
  <si>
    <t>Коробка для конфет Сундучок Дети играют в снегу 500г "Собственная разработка" ПП-7761</t>
  </si>
  <si>
    <t>ПП-7761</t>
  </si>
  <si>
    <t>4670159177616</t>
  </si>
  <si>
    <t>02 Подарочные коробочки Домик (1000 гр)</t>
  </si>
  <si>
    <t>272034</t>
  </si>
  <si>
    <t>Коробка для конфет Домик "Дед Мороз и его лесные друзья" (1000 гр) "Собственная разработка" ПП-1787</t>
  </si>
  <si>
    <t>ПП-1787</t>
  </si>
  <si>
    <t>4680942617878</t>
  </si>
  <si>
    <t>272021</t>
  </si>
  <si>
    <t>Коробка для конфет Домик "Праздник у терема Деда Мороза" (1000 гр) "Собственная разработка" ПП-1785</t>
  </si>
  <si>
    <t>ПП-1785</t>
  </si>
  <si>
    <t>4680942617854</t>
  </si>
  <si>
    <t>03 Коробка для конфет Конфета (700г)</t>
  </si>
  <si>
    <t>270681</t>
  </si>
  <si>
    <t>Коробка для сладостей  Конфета (700г) "Веселый барашик"   "Собственная разработка" ПП-1701</t>
  </si>
  <si>
    <t>ПП-1701</t>
  </si>
  <si>
    <t>4680942609989</t>
  </si>
  <si>
    <t>249883</t>
  </si>
  <si>
    <t>Коробка для сладостей Конфета (700г) "Дедушка Мороз везет подарки" (Собств. разр.) ПП-5987</t>
  </si>
  <si>
    <t>ПП-5987</t>
  </si>
  <si>
    <t>4670159259879</t>
  </si>
  <si>
    <t>269218</t>
  </si>
  <si>
    <t>Коробка для сладостей Конфета (700г) "Дедушка Мороз везет подарки" (Собств. разр.) ПП-5987 сп.30</t>
  </si>
  <si>
    <t>249884</t>
  </si>
  <si>
    <t>Коробка для сладостей Конфета (700г) "Дедушка Мороз дарит подарки" (Собств. разр.) ПП-5988</t>
  </si>
  <si>
    <t>ПП-5988</t>
  </si>
  <si>
    <t>4670159259886</t>
  </si>
  <si>
    <t>249882</t>
  </si>
  <si>
    <t>Коробка для сладостей Конфета (700г) "Нарядный Дедушка Мороз и Внучка" (Собств. разр.) ПП-5986</t>
  </si>
  <si>
    <t>ПП-5986</t>
  </si>
  <si>
    <t>4670159259862</t>
  </si>
  <si>
    <t>269221</t>
  </si>
  <si>
    <t>Коробка для сладостей Конфета (700г) "Нарядный Дедушка Мороз и Внучка" (Собств. разр.) ПП-5986 сп.30</t>
  </si>
  <si>
    <t>249885</t>
  </si>
  <si>
    <t>Коробка для сладостей Конфета (700г) "Новогоднее чудо" (Собств. разр.) ПП-5989</t>
  </si>
  <si>
    <t>ПП-5989</t>
  </si>
  <si>
    <t>4670159259893</t>
  </si>
  <si>
    <t>269219</t>
  </si>
  <si>
    <t>Коробка для сладостей Конфета (700г) "Новогоднее чудо" (Собств. разр.) ПП-5989 сп.30</t>
  </si>
  <si>
    <t>230053</t>
  </si>
  <si>
    <t>Коробка для сладостей Поздравление детей Конфета (700г) "Собственная разработка" ПП-7705</t>
  </si>
  <si>
    <t>ПП-7705</t>
  </si>
  <si>
    <t>4670159177050</t>
  </si>
  <si>
    <t>05  Коробка для конфет Домик (с кормушкой для птичек) (300г)</t>
  </si>
  <si>
    <t>168734</t>
  </si>
  <si>
    <t>Коробка для конфет Домик желтый (с кормушкой для птичек) "Собственная разработка" ПП-5241</t>
  </si>
  <si>
    <t>ПП-5241</t>
  </si>
  <si>
    <t>4610144852418</t>
  </si>
  <si>
    <t>168731</t>
  </si>
  <si>
    <t>Коробка для конфет Домик красный (с кормушкой для птичек) "Собственная разработка" ПП-5240</t>
  </si>
  <si>
    <t>ПП-5240</t>
  </si>
  <si>
    <t>4610144852401</t>
  </si>
  <si>
    <t>168736</t>
  </si>
  <si>
    <t>Коробка для конфет Домик синий (с кормушкой для птичек) "Собственная разработка" ПП-5242</t>
  </si>
  <si>
    <t>ПП-5242</t>
  </si>
  <si>
    <t>4610144852425</t>
  </si>
  <si>
    <t>05 Мешочки для подарков "Собственная разработка"</t>
  </si>
  <si>
    <t>227018</t>
  </si>
  <si>
    <t>Мешочек для подарков Ледяной узор, 24*18*9см, голубой,"Собственная разработка" НУ-6243</t>
  </si>
  <si>
    <t>НУ-6243</t>
  </si>
  <si>
    <t>4670159162438</t>
  </si>
  <si>
    <t>163333</t>
  </si>
  <si>
    <t>Мешочек для подарков Подарок от Деда Мороза 20*30 см "Собственная разработка" НУ-1429</t>
  </si>
  <si>
    <t>НУ-1429</t>
  </si>
  <si>
    <t>4610144814294</t>
  </si>
  <si>
    <t>227019</t>
  </si>
  <si>
    <t>Мешочек для подарков Подарок от Деда Мороза, 24*18*9см, голубой,"Собственная разработка" НУ-6244</t>
  </si>
  <si>
    <t>НУ-6244</t>
  </si>
  <si>
    <t>4670159162445</t>
  </si>
  <si>
    <t>227020</t>
  </si>
  <si>
    <t>Мешочек для подарков Расписной узор, 20*30см, бежевый,"Собственная разработка" НУ-6245</t>
  </si>
  <si>
    <t>НУ-6245</t>
  </si>
  <si>
    <t>4670159162452</t>
  </si>
  <si>
    <t>227017</t>
  </si>
  <si>
    <t>Мешочек для подарков Снежный вихрь, 24*18*9см, красный, "Собственная разработка" НУ-6242</t>
  </si>
  <si>
    <t>НУ-6242</t>
  </si>
  <si>
    <t>4670159162421</t>
  </si>
  <si>
    <t>227014</t>
  </si>
  <si>
    <t>Мешочек для подарков Шар С Новым Годом, 24*18*9см, красный, "Собственная разработка" НУ-6241</t>
  </si>
  <si>
    <t>НУ-6241</t>
  </si>
  <si>
    <t>4670159162414</t>
  </si>
  <si>
    <t>163296</t>
  </si>
  <si>
    <t>Мешочек Новогоднее настроение, голубой 24*18*9  см "Собственная разработка" НУ-1412</t>
  </si>
  <si>
    <t>НУ-1412</t>
  </si>
  <si>
    <t>4610144814126</t>
  </si>
  <si>
    <t>05 ПОСУДА</t>
  </si>
  <si>
    <t>1 Новогодние тарелки и блюда</t>
  </si>
  <si>
    <t>1 Новогодние тарелки и блюда (собст. разр.)</t>
  </si>
  <si>
    <t>КОЛЛЕКЦИЯ "ЗИМА"</t>
  </si>
  <si>
    <t>274483</t>
  </si>
  <si>
    <t>Тарелка закусочная керамическая В зимнем лесу, 20,5 см, белая (собств. разработка) КС-2818</t>
  </si>
  <si>
    <t>КС-2818</t>
  </si>
  <si>
    <t>4680942628188</t>
  </si>
  <si>
    <t>274480</t>
  </si>
  <si>
    <t>Тарелка закусочная керамическая Волшебная тройка, 20,5 см, белая (собств. разработка) КС-2816</t>
  </si>
  <si>
    <t>КС-2816</t>
  </si>
  <si>
    <t>4680942628164</t>
  </si>
  <si>
    <t>274478</t>
  </si>
  <si>
    <t>Тарелка закусочная керамическая Зимняя краса, 20,5 см, белая (собств. разработка) КС-2815</t>
  </si>
  <si>
    <t>КС-2815</t>
  </si>
  <si>
    <t>4680942628157</t>
  </si>
  <si>
    <t>274482</t>
  </si>
  <si>
    <t>Тарелка закусочная керамическая Лесное волшебство, 20,5 см, белая (собств. разработка) КС-2817</t>
  </si>
  <si>
    <t>КС-2817</t>
  </si>
  <si>
    <t>4680942628171</t>
  </si>
  <si>
    <t>КОЛЛЕКЦИЯ "ЗИМНИЙ ЛЕС"</t>
  </si>
  <si>
    <t>БЕЛКА И ЗАЯЦ</t>
  </si>
  <si>
    <t>274463</t>
  </si>
  <si>
    <t>Тарелка закусочная керамическая Белка и заяц, 20,5 см, белая (собств. разработка) КС-2881</t>
  </si>
  <si>
    <t>КС-2881</t>
  </si>
  <si>
    <t>4680942628812</t>
  </si>
  <si>
    <t>274465</t>
  </si>
  <si>
    <t>Тарелка закусочная керамическая Белка и заяц, 23 см, белая (собств. разработка) КС-2882</t>
  </si>
  <si>
    <t>КС-2882</t>
  </si>
  <si>
    <t>4680942628829</t>
  </si>
  <si>
    <t>274467</t>
  </si>
  <si>
    <t>Тарелка обеденная керамическая Белка и заяц, 27 см, белая (собств. разработка) КС-2883</t>
  </si>
  <si>
    <t>КС-2883</t>
  </si>
  <si>
    <t>4680942628836</t>
  </si>
  <si>
    <t>ЛИСА И ЗАЯЦ</t>
  </si>
  <si>
    <t>274459</t>
  </si>
  <si>
    <t>Тарелка закусочная керамическая Лиса и заяц, 20,5 см, белая (собств. разработка) КС-2803</t>
  </si>
  <si>
    <t>КС-2803</t>
  </si>
  <si>
    <t>4680942628034</t>
  </si>
  <si>
    <t>274460</t>
  </si>
  <si>
    <t>Тарелка закусочная керамическая Лиса и заяц, 23 см, белая (собств. разработка) КС-2804</t>
  </si>
  <si>
    <t>КС-2804</t>
  </si>
  <si>
    <t>4680942628041</t>
  </si>
  <si>
    <t>274462</t>
  </si>
  <si>
    <t>Тарелка обеденная керамическая Лиса и заяц, 27 см, белая (собств. разработка) КС-2805</t>
  </si>
  <si>
    <t>КС-2805</t>
  </si>
  <si>
    <t>4680942628058</t>
  </si>
  <si>
    <t>ОЛЕНИ</t>
  </si>
  <si>
    <t>274468</t>
  </si>
  <si>
    <t>Тарелка закусочная керамическая Олени в лесу, 20,5 см, белая (собств. разработка) КС-2806</t>
  </si>
  <si>
    <t>КС-2806</t>
  </si>
  <si>
    <t>4680942628065</t>
  </si>
  <si>
    <t>274470</t>
  </si>
  <si>
    <t>Тарелка закусочная керамическая Олени в лесу, 23 см, белая (собств. разработка) КС-2807</t>
  </si>
  <si>
    <t>КС-2807</t>
  </si>
  <si>
    <t>4680942628072</t>
  </si>
  <si>
    <t>274471</t>
  </si>
  <si>
    <t>Тарелка обеденная керамическая Олени в лесу, 27 см, белая (собств. разработка) КС-2808</t>
  </si>
  <si>
    <t>КС-2808</t>
  </si>
  <si>
    <t>4680942628089</t>
  </si>
  <si>
    <t>КОЛЛЕКЦИЯ "ЗОЛОТО"</t>
  </si>
  <si>
    <t>274452</t>
  </si>
  <si>
    <t>Тарелка закусочная керамическая Колокольчики, 20,5 см, белая (собств. разработка) КС-2800</t>
  </si>
  <si>
    <t>КС-2800</t>
  </si>
  <si>
    <t>4680942628003</t>
  </si>
  <si>
    <t>274456</t>
  </si>
  <si>
    <t>Тарелка закусочная керамическая Колокольчики, 23 см, белая (собств. разработка) КС-2801</t>
  </si>
  <si>
    <t>КС-2801</t>
  </si>
  <si>
    <t>4680942628010</t>
  </si>
  <si>
    <t>274457</t>
  </si>
  <si>
    <t>Тарелка обеденная керамическая Колокольчики, 27 см, белая (собств. разработка) КС-2802</t>
  </si>
  <si>
    <t>КС-2802</t>
  </si>
  <si>
    <t>4680942628027</t>
  </si>
  <si>
    <t>КОЛЛЕКЦИЯ "НОВЫЙ ГОД"</t>
  </si>
  <si>
    <t>ЗИМНИЕ ЧУДЕСА</t>
  </si>
  <si>
    <t>256682</t>
  </si>
  <si>
    <t>Тарелка закусочная керамическая  Зимние чудеса, 20,5 см, белая (собственная разработка) КС-7284</t>
  </si>
  <si>
    <t>КС-7284</t>
  </si>
  <si>
    <t>4630493772847</t>
  </si>
  <si>
    <t>256683</t>
  </si>
  <si>
    <t>Тарелка закусочная керамическая  Зимние чудеса, 23 см, белая (собственная разработка) КС-7285</t>
  </si>
  <si>
    <t>КС-7285</t>
  </si>
  <si>
    <t>4630493772854</t>
  </si>
  <si>
    <t>256684</t>
  </si>
  <si>
    <t>Тарелка обеденная керамическая  Зимние чудеса, 27 см, белая (собственная разработка)  КС-7286</t>
  </si>
  <si>
    <t>КС-7286</t>
  </si>
  <si>
    <t>4630493772861</t>
  </si>
  <si>
    <t>МАШИНА С ПОДАРКАМИ</t>
  </si>
  <si>
    <t>274443</t>
  </si>
  <si>
    <t>Тарелка закусочная керамическая Машина с подарками, 20,5 см, белая (собств. разработка) КС-2797</t>
  </si>
  <si>
    <t>КС-2797</t>
  </si>
  <si>
    <t>4680942627976</t>
  </si>
  <si>
    <t>274445</t>
  </si>
  <si>
    <t>Тарелка закусочная керамическая Машина с подарками, 23 см, белая (собств. разработка) КС-2798</t>
  </si>
  <si>
    <t>КС-2798</t>
  </si>
  <si>
    <t>4680942627983</t>
  </si>
  <si>
    <t>274446</t>
  </si>
  <si>
    <t>Тарелка обеденная керамическая Машина с подарками, 27 см, белая (собств. разработка) КС-2799</t>
  </si>
  <si>
    <t>КС-2799</t>
  </si>
  <si>
    <t>4680942627990</t>
  </si>
  <si>
    <t>НОВОГОДНЕЕ ВОЛШЕБСТВО</t>
  </si>
  <si>
    <t>274438</t>
  </si>
  <si>
    <t>Тарелка закусочная керамическая Новогоднее волшебство, 20,5 см, белая (собств. разработка) КС-2794</t>
  </si>
  <si>
    <t>КС-2794</t>
  </si>
  <si>
    <t>4680942627945</t>
  </si>
  <si>
    <t>274440</t>
  </si>
  <si>
    <t>Тарелка закусочная керамическая Новогоднее волшебство, 23 см, белая (собств. разработка) КС-2795</t>
  </si>
  <si>
    <t>КС-2795</t>
  </si>
  <si>
    <t>4680942627952</t>
  </si>
  <si>
    <t>274442</t>
  </si>
  <si>
    <t>Тарелка обеденная керамическая Новогоднее волшебство, 27 см, белая (собств. разработка) КС-2796</t>
  </si>
  <si>
    <t>КС-2796</t>
  </si>
  <si>
    <t>4680942627969</t>
  </si>
  <si>
    <t>НОВОГОДНЕЕ ЧУДО</t>
  </si>
  <si>
    <t>256685</t>
  </si>
  <si>
    <t>Тарелка закусочная керамическая Новогоднее чудо, 20,5 см, белая (собственная разработка)  КС-7287</t>
  </si>
  <si>
    <t>КС-7287</t>
  </si>
  <si>
    <t>4630493772878</t>
  </si>
  <si>
    <t>256686</t>
  </si>
  <si>
    <t>Тарелка закусочная керамическая Новогоднее чудо, 23 см, белая (собственная разработка) КС-7288</t>
  </si>
  <si>
    <t>КС-7288</t>
  </si>
  <si>
    <t>4630493772885</t>
  </si>
  <si>
    <t>256687</t>
  </si>
  <si>
    <t>Тарелка обеденная керамическая Новогоднее чудо, 27 см, белая (собственная разработка)  КС-7289</t>
  </si>
  <si>
    <t>КС-7289</t>
  </si>
  <si>
    <t>4630493772892</t>
  </si>
  <si>
    <t>КОЛЛЕКЦИЯ "ПРАЗДНИК"</t>
  </si>
  <si>
    <t>ВЕСЕЛЫЙ ХОРОВОД</t>
  </si>
  <si>
    <t>274475</t>
  </si>
  <si>
    <t>Тарелка закусочная керамическая Весёлый хоровод, 20,5 см, белая (собств. разработка) КС-2812</t>
  </si>
  <si>
    <t>КС-2812</t>
  </si>
  <si>
    <t>4680942628126</t>
  </si>
  <si>
    <t>274476</t>
  </si>
  <si>
    <t>Тарелка закусочная керамическая Весёлый хоровод, 23 см, белая (собств. разработка) КС-2813</t>
  </si>
  <si>
    <t>КС-2813</t>
  </si>
  <si>
    <t>4680942628133</t>
  </si>
  <si>
    <t>274477</t>
  </si>
  <si>
    <t>Тарелка обеденная керамическая Весёлый хоровод, 27 см, белая (собств. разработка) КС-2814</t>
  </si>
  <si>
    <t>КС-2814</t>
  </si>
  <si>
    <t>4680942628140</t>
  </si>
  <si>
    <t>СКАЗОЧНАЯ КАРУСЕЛЬ</t>
  </si>
  <si>
    <t>274472</t>
  </si>
  <si>
    <t>Тарелка закусочная керамическая Сказочная карусель, 20,5 см, белая (собств. разработка) КС-2809</t>
  </si>
  <si>
    <t>КС-2809</t>
  </si>
  <si>
    <t>4680942628096</t>
  </si>
  <si>
    <t>274473</t>
  </si>
  <si>
    <t>Тарелка закусочная керамическая Сказочная карусель, 23 см, белая (собств. разработка) КС-2810</t>
  </si>
  <si>
    <t>КС-2810</t>
  </si>
  <si>
    <t>4680942628102</t>
  </si>
  <si>
    <t>274474</t>
  </si>
  <si>
    <t>Тарелка обеденная керамическая Сказочная карусель, 27 см, белая (собств. разработка) КС-2811</t>
  </si>
  <si>
    <t>КС-2811</t>
  </si>
  <si>
    <t>4680942628119</t>
  </si>
  <si>
    <t>237433</t>
  </si>
  <si>
    <t>Набор салатников керамических  "Снегири на ветке",2 шт, 13*7.5 см (собственная разработка) ЧНП-1196</t>
  </si>
  <si>
    <t>ЧНП-1196</t>
  </si>
  <si>
    <t>4670159211969</t>
  </si>
  <si>
    <t>237432</t>
  </si>
  <si>
    <t>Набор тарелок керамических "Снегири на ветке", 2 шт, 23 см (собственная разработка) ЧНП-1195</t>
  </si>
  <si>
    <t>ЧНП-1195</t>
  </si>
  <si>
    <t>4670159211952</t>
  </si>
  <si>
    <t>237431</t>
  </si>
  <si>
    <t>Набор тарелок керамических "Снегири на ветке", 2 шт, 26,5 см (собственная разработка) ЧНП-1194</t>
  </si>
  <si>
    <t>ЧНП-1194</t>
  </si>
  <si>
    <t>4670159211945</t>
  </si>
  <si>
    <t>ШКОЛА МАГИИ. ЗАЛ</t>
  </si>
  <si>
    <t>274485</t>
  </si>
  <si>
    <t>Тарелка закусочная керамическая Школа магии, 20,5 см, белая (собств. разработка) КС-2819</t>
  </si>
  <si>
    <t>КС-2819</t>
  </si>
  <si>
    <t>4680942628195</t>
  </si>
  <si>
    <t>274487</t>
  </si>
  <si>
    <t>Тарелка закусочная керамическая Школа магии, 23 см, белая (собств. разработка) КС-2820</t>
  </si>
  <si>
    <t>КС-2820</t>
  </si>
  <si>
    <t>4680942628201</t>
  </si>
  <si>
    <t>274488</t>
  </si>
  <si>
    <t>Тарелка обеденная керамическая Школа магии, 27 см, белая (собств. разработка) КС-2821</t>
  </si>
  <si>
    <t>КС-2821</t>
  </si>
  <si>
    <t>4680942628218</t>
  </si>
  <si>
    <t>ШКОЛА МАГИИ. ПОЕЗД</t>
  </si>
  <si>
    <t>274490</t>
  </si>
  <si>
    <t>Тарелка закусочная керамическая Школа магии. Поезд, 20,5 см, белая (собств. разработка) КС-2822</t>
  </si>
  <si>
    <t>КС-2822</t>
  </si>
  <si>
    <t>4680942628225</t>
  </si>
  <si>
    <t>274491</t>
  </si>
  <si>
    <t>Тарелка закусочная керамическая Школа магии. Поезд, 23 см, белая (собств. разработка) КС-2823</t>
  </si>
  <si>
    <t>КС-2823</t>
  </si>
  <si>
    <t>4680942628232</t>
  </si>
  <si>
    <t>274493</t>
  </si>
  <si>
    <t>Тарелка обеденная керамическая Школа магии. Поезд, 27 см, белая (собств. разработка) КС-2824</t>
  </si>
  <si>
    <t>КС-2824</t>
  </si>
  <si>
    <t>4680942628249</t>
  </si>
  <si>
    <t>ШКОЛА МАГИИ. УЛИЦА</t>
  </si>
  <si>
    <t>274495</t>
  </si>
  <si>
    <t>Тарелка закусочная керамическая Школа магии. Улица, 20,5 см, белая (собств. разработка) КС-2825</t>
  </si>
  <si>
    <t>КС-2825</t>
  </si>
  <si>
    <t>4680942628256</t>
  </si>
  <si>
    <t>274497</t>
  </si>
  <si>
    <t>Тарелка закусочная керамическая Школа магии. Улица, 23 см, белая (собств. разработка) КС-2826</t>
  </si>
  <si>
    <t>КС-2826</t>
  </si>
  <si>
    <t>4680942628263</t>
  </si>
  <si>
    <t>274499</t>
  </si>
  <si>
    <t>Тарелка обеденная керамическая Школа магии. Улица, 27 см, белая (собств. разработка) КС-2827</t>
  </si>
  <si>
    <t>КС-2827</t>
  </si>
  <si>
    <t>4680942628270</t>
  </si>
  <si>
    <t>2 Новогодние тарелки и блюда</t>
  </si>
  <si>
    <t>235291</t>
  </si>
  <si>
    <t>Блюдо двухъярусное сервировочное керамическое "Праздничные котята" КС-9855</t>
  </si>
  <si>
    <t>КС-9855</t>
  </si>
  <si>
    <t>4670159198550</t>
  </si>
  <si>
    <t>239021</t>
  </si>
  <si>
    <t>Сервировочная стеклянная тарелка Елочка 22*20 см СРТ-1819</t>
  </si>
  <si>
    <t>СРТ-1819</t>
  </si>
  <si>
    <t>4670159218197</t>
  </si>
  <si>
    <t>239022</t>
  </si>
  <si>
    <t>Сервировочная стеклянная тарелка Звезда 20,5*20,5 см СРТ-1820</t>
  </si>
  <si>
    <t>СРТ-1820</t>
  </si>
  <si>
    <t>4670159218203</t>
  </si>
  <si>
    <t>239023</t>
  </si>
  <si>
    <t>Сервировочная стеклянная тарелка Звезда 33*33 см СРТ-1821</t>
  </si>
  <si>
    <t>СРТ-1821</t>
  </si>
  <si>
    <t>4670159218210</t>
  </si>
  <si>
    <t>2 Сувенирные кружки и сервизы</t>
  </si>
  <si>
    <t>Сувенирные кружки (собст. разр.)</t>
  </si>
  <si>
    <t>256681</t>
  </si>
  <si>
    <t>Кружка керамическая Новогодняя сказка, 350 мл, зелёная (собственная разработка) КС-7283</t>
  </si>
  <si>
    <t>КС-7283</t>
  </si>
  <si>
    <t>4630493772830</t>
  </si>
  <si>
    <t>274435</t>
  </si>
  <si>
    <t>Чайная пара керамическая Новогодний узор, 290 мл, (собственная разработка) КС-2792</t>
  </si>
  <si>
    <t>КС-2792</t>
  </si>
  <si>
    <t>4680942627921</t>
  </si>
  <si>
    <t>274436</t>
  </si>
  <si>
    <t>Чайная пара керамическая Праздничный узор, 290 мл, (собственная разработка) КС-2793</t>
  </si>
  <si>
    <t>КС-2793</t>
  </si>
  <si>
    <t>4680942627938</t>
  </si>
  <si>
    <t>274432</t>
  </si>
  <si>
    <t>Чайная пара керамическая Пряничный узор, 290 мл, (собственная разработка) КС-2791</t>
  </si>
  <si>
    <t>КС-2791</t>
  </si>
  <si>
    <t>4680942627914</t>
  </si>
  <si>
    <t>Сувенирные кружки и сервизы</t>
  </si>
  <si>
    <t>262397</t>
  </si>
  <si>
    <t>Кружка "Новогодняя" с крышкой и ложкой 380 мл, керамика КП-7052</t>
  </si>
  <si>
    <t>КП-7052</t>
  </si>
  <si>
    <t>4640520770524</t>
  </si>
  <si>
    <t>257867</t>
  </si>
  <si>
    <t>Кружка керамическая "Грациозный конь", 420 мл, КС-7376</t>
  </si>
  <si>
    <t>КС-7376</t>
  </si>
  <si>
    <t>4630493773769</t>
  </si>
  <si>
    <t>275218</t>
  </si>
  <si>
    <t>Кружка керамическая "Ёлочные игрушки", 320 мл КС-3525</t>
  </si>
  <si>
    <t>КС-3525</t>
  </si>
  <si>
    <t>4680942635254</t>
  </si>
  <si>
    <t>235283</t>
  </si>
  <si>
    <t>Кружка керамическая "Праздничные котята", 320мл КС-9848</t>
  </si>
  <si>
    <t>КС-9848</t>
  </si>
  <si>
    <t>4670159198482</t>
  </si>
  <si>
    <t>257869</t>
  </si>
  <si>
    <t>Кружка керамическая с ложкой (в наборе) "Грациозный конь", 280 мл, КС-7378</t>
  </si>
  <si>
    <t>КС-7378</t>
  </si>
  <si>
    <t>4630493773783</t>
  </si>
  <si>
    <t>235288</t>
  </si>
  <si>
    <t>Кружка керамическая с ложкой (в наборе), "Незабываемый праздник", 280мл КС-9853</t>
  </si>
  <si>
    <t>КС-9853</t>
  </si>
  <si>
    <t>4670159198536</t>
  </si>
  <si>
    <t>235287</t>
  </si>
  <si>
    <t>Кружка керамическая с ложкой (в наборе), "Яркий праздник", 280мл КС-9852</t>
  </si>
  <si>
    <t>КС-9852</t>
  </si>
  <si>
    <t>4670159198529</t>
  </si>
  <si>
    <t>257871</t>
  </si>
  <si>
    <t>Кружка керамическая с ложкой и подставкой (в наборе) "Грациозный конь", 300 мл, КС-7380</t>
  </si>
  <si>
    <t>КС-7380</t>
  </si>
  <si>
    <t>4630493773806</t>
  </si>
  <si>
    <t>257855</t>
  </si>
  <si>
    <t>Кружка керамическая с ложкой и подставкой (в наборе) "Сказочный вечер", 300 мл, КС-7366</t>
  </si>
  <si>
    <t>КС-7366</t>
  </si>
  <si>
    <t>4630493773660</t>
  </si>
  <si>
    <t>275253</t>
  </si>
  <si>
    <t>Кружка керамическая с подставкой и ложкой (в наборе) "Заснеженный город" 300 мл КС-3543</t>
  </si>
  <si>
    <t>КС-3543</t>
  </si>
  <si>
    <t>4680942635438</t>
  </si>
  <si>
    <t>275252</t>
  </si>
  <si>
    <t>Кружка керамическая с подставкой и ложкой (в наборе), "Красное очарование" 300 мл КС-3542</t>
  </si>
  <si>
    <t>КС-3542</t>
  </si>
  <si>
    <t>4680942635421</t>
  </si>
  <si>
    <t>275246</t>
  </si>
  <si>
    <t>Кружка керамическая с подставкой и ложкой (в наборе), "Счастливый мишка", 300 мл КС-3539</t>
  </si>
  <si>
    <t>КС-3539</t>
  </si>
  <si>
    <t>4680942635391</t>
  </si>
  <si>
    <t>235292</t>
  </si>
  <si>
    <t>Кружки керамические с ложками (в наборе на две персоны), "Праздничные котята", 280мл КС-9856</t>
  </si>
  <si>
    <t>КС-9856</t>
  </si>
  <si>
    <t>4670159198567</t>
  </si>
  <si>
    <t>257872</t>
  </si>
  <si>
    <t>Набор керамических кружек "Грациозный конь", 2 шт, 300 мл, КС-7381</t>
  </si>
  <si>
    <t>КС-7381</t>
  </si>
  <si>
    <t>4630493773813</t>
  </si>
  <si>
    <t>257868</t>
  </si>
  <si>
    <t>Набор керамических кружек с ложками "Грациозный конь", 2 шт, 300 мл, КС-7377</t>
  </si>
  <si>
    <t>КС-7377</t>
  </si>
  <si>
    <t>4630493773776</t>
  </si>
  <si>
    <t>275219</t>
  </si>
  <si>
    <t>Набор кружек керамических "Мишка на санках", 2 шт, 340 мл КС-3526</t>
  </si>
  <si>
    <t>КС-3526</t>
  </si>
  <si>
    <t>4680942635261</t>
  </si>
  <si>
    <t>235284</t>
  </si>
  <si>
    <t>Набор чайных пар "Праздничные котята", на 2 персоны, 120мл КС-9849</t>
  </si>
  <si>
    <t>КС-9849</t>
  </si>
  <si>
    <t>4670159198499</t>
  </si>
  <si>
    <t>235279</t>
  </si>
  <si>
    <t>Набор чайных пар "Сказочные Щелкунчики", на две персоны, 120 мл КС-9844</t>
  </si>
  <si>
    <t>КС-9844</t>
  </si>
  <si>
    <t>4670159198444</t>
  </si>
  <si>
    <t>255924</t>
  </si>
  <si>
    <t>Чашка "Праздничная ель", 350 мл КС-7007</t>
  </si>
  <si>
    <t>КС-7007</t>
  </si>
  <si>
    <t>4630493770737</t>
  </si>
  <si>
    <t>257870</t>
  </si>
  <si>
    <t>Чашка керамическая с ложкой (в наборе) "Чудесный конь", 280 мл, КС-7379</t>
  </si>
  <si>
    <t>КС-7379</t>
  </si>
  <si>
    <t>4630493773790</t>
  </si>
  <si>
    <t>3 Термокружки</t>
  </si>
  <si>
    <t>207756</t>
  </si>
  <si>
    <t>Термокружка  "Олени на черном"  (350 мл) КП-6219</t>
  </si>
  <si>
    <t>КП-6219</t>
  </si>
  <si>
    <t>4670159062196</t>
  </si>
  <si>
    <t>207750</t>
  </si>
  <si>
    <t>Термокружка "Дед Мороз на велосипеде"   (350 мл) КП-6216</t>
  </si>
  <si>
    <t>КП-6216</t>
  </si>
  <si>
    <t>4670159062165</t>
  </si>
  <si>
    <t>207751</t>
  </si>
  <si>
    <t>Термокружка "Зима в городе"  (350 мл) КП-6217</t>
  </si>
  <si>
    <t>КП-6217</t>
  </si>
  <si>
    <t>4670159062172</t>
  </si>
  <si>
    <t>247980</t>
  </si>
  <si>
    <t>Термокружка "Зимний Барашек" (350 мл) собственная разработка КП-2383</t>
  </si>
  <si>
    <t>КП-2383</t>
  </si>
  <si>
    <t>4640306923830</t>
  </si>
  <si>
    <t>247986</t>
  </si>
  <si>
    <t>Термокружка "Лесной олень" (350 мл) собственная разработка КП-2388</t>
  </si>
  <si>
    <t>КП-2388</t>
  </si>
  <si>
    <t>4640306923885</t>
  </si>
  <si>
    <t>271609</t>
  </si>
  <si>
    <t>Термокружка "Машина с подарками" (350 мл) собственная разработка КП-1630</t>
  </si>
  <si>
    <t>КП-1630</t>
  </si>
  <si>
    <t>4680942616307</t>
  </si>
  <si>
    <t>247990</t>
  </si>
  <si>
    <t>Термокружка "Милый мышонок" (350 мл) собственная разработка КП-2391</t>
  </si>
  <si>
    <t>КП-2391</t>
  </si>
  <si>
    <t>4640306923915</t>
  </si>
  <si>
    <t>247984</t>
  </si>
  <si>
    <t>Термокружка "Мишки какао" (350 мл) собственная разработка КП-2387</t>
  </si>
  <si>
    <t>КП-2387</t>
  </si>
  <si>
    <t>4640306923878</t>
  </si>
  <si>
    <t>271613</t>
  </si>
  <si>
    <t>Термокружка "Наслаждайся моментом" (350 мл) собственная разработка КП-1634</t>
  </si>
  <si>
    <t>КП-1634</t>
  </si>
  <si>
    <t>4680942616345</t>
  </si>
  <si>
    <t>271612</t>
  </si>
  <si>
    <t>Термокружка "Новогодние зайчики" (350 мл) собственная разработка КП-1633</t>
  </si>
  <si>
    <t>КП-1633</t>
  </si>
  <si>
    <t>4680942616338</t>
  </si>
  <si>
    <t>271610</t>
  </si>
  <si>
    <t>Термокружка "Новогодние котики" (350 мл) собственная разработка КП-1631</t>
  </si>
  <si>
    <t>КП-1631</t>
  </si>
  <si>
    <t>4680942616314</t>
  </si>
  <si>
    <t>247983</t>
  </si>
  <si>
    <t>Термокружка "Новогодний подарок" (350 мл) собственная разработка  КП-2386</t>
  </si>
  <si>
    <t>КП-2386</t>
  </si>
  <si>
    <t>4640306923861</t>
  </si>
  <si>
    <t>271611</t>
  </si>
  <si>
    <t>Термокружка "Новогодняя карусель" (350 мл) собственная разработка КП-1632</t>
  </si>
  <si>
    <t>КП-1632</t>
  </si>
  <si>
    <t>4680942616321</t>
  </si>
  <si>
    <t>247987</t>
  </si>
  <si>
    <t>Термокружка "Полярные мишки" (350 мл) собственная разработка КП-2389</t>
  </si>
  <si>
    <t>КП-2389</t>
  </si>
  <si>
    <t>4640306923892</t>
  </si>
  <si>
    <t>247989</t>
  </si>
  <si>
    <t>Термокружка "Снегири" (350 мл) собственная разработка КП-2390</t>
  </si>
  <si>
    <t>КП-2390</t>
  </si>
  <si>
    <t>4640306923908</t>
  </si>
  <si>
    <t>271608</t>
  </si>
  <si>
    <t>Термокружка "Снежинки" (350 мл) собственная разработка КП-1629</t>
  </si>
  <si>
    <t>КП-1629</t>
  </si>
  <si>
    <t>4680942616291</t>
  </si>
  <si>
    <t>247978</t>
  </si>
  <si>
    <t>Термокружка "Счастливого Нового года!" (350 мл) собственная разработка КП-2382</t>
  </si>
  <si>
    <t>КП-2382</t>
  </si>
  <si>
    <t>4640306923823</t>
  </si>
  <si>
    <t>4 Сервировка стола</t>
  </si>
  <si>
    <t>Бокалы</t>
  </si>
  <si>
    <t>1 Бокалы (собственная разработка)</t>
  </si>
  <si>
    <t>268779</t>
  </si>
  <si>
    <t>Набор бокалов 2 шт. "Школа магии", зелёные, 450 мл., 22,1х6х7,4 см, собств.разработка  НБК-7969</t>
  </si>
  <si>
    <t>НБК-7969</t>
  </si>
  <si>
    <t>4640520779695</t>
  </si>
  <si>
    <t>268783</t>
  </si>
  <si>
    <t>Набор бокалов 2 шт. "Школа магии", оранжевые, 450 мл., 22,1х6х7,4 см, собств.разработка НБК-7970</t>
  </si>
  <si>
    <t>НБК-7970</t>
  </si>
  <si>
    <t>4640520779701</t>
  </si>
  <si>
    <t>Кольца для салфеток</t>
  </si>
  <si>
    <t>231389</t>
  </si>
  <si>
    <t>Кольца для салфеток  "Золотистые ёлочки", 5*3,5*4,8 см, 4 шт, металл ШК-8178</t>
  </si>
  <si>
    <t>ШК-8178</t>
  </si>
  <si>
    <t>4670159181781</t>
  </si>
  <si>
    <t>231390</t>
  </si>
  <si>
    <t>Кольца для салфеток  "Нежные снежинки", 5 см, 4 шт, металл ШК-8179</t>
  </si>
  <si>
    <t>ШК-8179</t>
  </si>
  <si>
    <t>4670159181798</t>
  </si>
  <si>
    <t>275457</t>
  </si>
  <si>
    <t>Кольца для салфеток  "Новогодние веночки", 3,5 см, 4 шт, металл ШК-3686</t>
  </si>
  <si>
    <t>ШК-3686</t>
  </si>
  <si>
    <t>4680942636862</t>
  </si>
  <si>
    <t>275458</t>
  </si>
  <si>
    <t>Кольца для салфеток  "Новогодние машинки", 3,5 см, 4 шт, металл ШК-3687</t>
  </si>
  <si>
    <t>ШК-3687</t>
  </si>
  <si>
    <t>4680942636879</t>
  </si>
  <si>
    <t>275463</t>
  </si>
  <si>
    <t>Кольца для салфеток  "Стильный новый год", 3,5 см, 4 шт, металл ШК-3690</t>
  </si>
  <si>
    <t>ШК-3690</t>
  </si>
  <si>
    <t>4680942636909</t>
  </si>
  <si>
    <t>215695</t>
  </si>
  <si>
    <t>Кольца для салфеток Золотая снежинка, 4 шт ШК-4884</t>
  </si>
  <si>
    <t>ШК-4884</t>
  </si>
  <si>
    <t>4670159049845</t>
  </si>
  <si>
    <t>215693</t>
  </si>
  <si>
    <t>Кольца для салфеток Изящный узор, 4 шт ШК-4882</t>
  </si>
  <si>
    <t>ШК-4882</t>
  </si>
  <si>
    <t>4670159049821</t>
  </si>
  <si>
    <t>215694</t>
  </si>
  <si>
    <t>Кольца для салфеток Новогодние истории, 4 шт ШК-4883</t>
  </si>
  <si>
    <t>ШК-4883</t>
  </si>
  <si>
    <t>4670159049838</t>
  </si>
  <si>
    <t>Украшения на бокалы</t>
  </si>
  <si>
    <t>251499</t>
  </si>
  <si>
    <t>Новогоднее украшение. Набор подвесок для бокалов, 6 шт. НУ-2665</t>
  </si>
  <si>
    <t>НУ-2665</t>
  </si>
  <si>
    <t>4640306926480</t>
  </si>
  <si>
    <t>Чехлы на бутылки</t>
  </si>
  <si>
    <t>204856</t>
  </si>
  <si>
    <t>Новогодний набор. Чехлы на бутылку "Весёлые праздники", 30.5*14см ЧБ-4728</t>
  </si>
  <si>
    <t>ЧБ-4728</t>
  </si>
  <si>
    <t>4670159047285</t>
  </si>
  <si>
    <t>204851</t>
  </si>
  <si>
    <t>Чехол на бутылки "Рождественский наряд", 18см*13см ЧБ-4087</t>
  </si>
  <si>
    <t>ЧБ-4087</t>
  </si>
  <si>
    <t>4670159040873</t>
  </si>
  <si>
    <t>204852</t>
  </si>
  <si>
    <t>Чехол на бутылку "Белоснежный", 30см*14см ЧБ-4088</t>
  </si>
  <si>
    <t>ЧБ-4088</t>
  </si>
  <si>
    <t>4670159040880</t>
  </si>
  <si>
    <t>204854</t>
  </si>
  <si>
    <t>Чехол на бутылку "Веселый гномик", 36*13см ЧБ-4090</t>
  </si>
  <si>
    <t>ЧБ-4090</t>
  </si>
  <si>
    <t>4670159040903</t>
  </si>
  <si>
    <t>204850</t>
  </si>
  <si>
    <t>Чехол на бутылку "Волшебство", 35см*13см ЧБ-4086</t>
  </si>
  <si>
    <t>ЧБ-4086</t>
  </si>
  <si>
    <t>4670159040866</t>
  </si>
  <si>
    <t>204853</t>
  </si>
  <si>
    <t>Чехол на бутылку "Дух праздника", 36*13см ЧБ-4089</t>
  </si>
  <si>
    <t>ЧБ-4089</t>
  </si>
  <si>
    <t>4670159040897</t>
  </si>
  <si>
    <t>204855</t>
  </si>
  <si>
    <t>Чехол на бутылку "Милый снеговичок", 30.5*14см ЧБ-4727</t>
  </si>
  <si>
    <t>ЧБ-4727</t>
  </si>
  <si>
    <t>4670159047278</t>
  </si>
  <si>
    <t>204849</t>
  </si>
  <si>
    <t>Чехол на бутылку "Мишка", 30.5*14см ЧБ-4085</t>
  </si>
  <si>
    <t>ЧБ-4085</t>
  </si>
  <si>
    <t>4670159040859</t>
  </si>
  <si>
    <t>204845</t>
  </si>
  <si>
    <t>Чехол на бутылку "Новогоднее настроение", 21*13см ЧБ-4080</t>
  </si>
  <si>
    <t>ЧБ-4080</t>
  </si>
  <si>
    <t>4670159040804</t>
  </si>
  <si>
    <t>204838</t>
  </si>
  <si>
    <t>Чехол на бутылку "Новогодний", 20см*7см ЧБ-4079</t>
  </si>
  <si>
    <t>ЧБ-4079</t>
  </si>
  <si>
    <t>4670159040798</t>
  </si>
  <si>
    <t>204846</t>
  </si>
  <si>
    <t>Чехол на бутылку "Праздничный гномик", 38см*12см ЧБ-4082</t>
  </si>
  <si>
    <t>ЧБ-4082</t>
  </si>
  <si>
    <t>4670159040828</t>
  </si>
  <si>
    <t>204848</t>
  </si>
  <si>
    <t>Чехол на бутылку "Рождественский олененок", 30.5*14см ЧБ-4084</t>
  </si>
  <si>
    <t>ЧБ-4084</t>
  </si>
  <si>
    <t>4670159040842</t>
  </si>
  <si>
    <t>204847</t>
  </si>
  <si>
    <t>Чехол на бутылку "Торжество", 30.5*14см ЧБ-4083</t>
  </si>
  <si>
    <t>ЧБ-4083</t>
  </si>
  <si>
    <t>4670159040835</t>
  </si>
  <si>
    <t>227521</t>
  </si>
  <si>
    <t>Чехол на две бутылки "Рождественский наряд", 34см*26см ЧБ-6605</t>
  </si>
  <si>
    <t>ЧБ-6605</t>
  </si>
  <si>
    <t>4670159166054</t>
  </si>
  <si>
    <t>Чехлы на стулья и столовые приборы</t>
  </si>
  <si>
    <t>251526</t>
  </si>
  <si>
    <t>Набор для новогоднего стола 8 шт.(4шт. для стульев, 65*50см; 4шт. для стол. приб., 12*6см) НУ-2658</t>
  </si>
  <si>
    <t>НУ-2658</t>
  </si>
  <si>
    <t>4640306926350</t>
  </si>
  <si>
    <t>251522</t>
  </si>
  <si>
    <t>Новогодний декор. Украшения для стульев 4 шт.，65*50 см, красно-белый НУ-2656</t>
  </si>
  <si>
    <t>НУ-2656</t>
  </si>
  <si>
    <t>4640306926336</t>
  </si>
  <si>
    <t>01 СЕЗОННЫЕ ТОВАРЫ</t>
  </si>
  <si>
    <t>23 февраля</t>
  </si>
  <si>
    <t>244811</t>
  </si>
  <si>
    <t>Набор виниловых магнитов 4шт 100х80 мм, фоторамка с окошком для лица "Служу России!" НПР-2062</t>
  </si>
  <si>
    <t>НПР-2062</t>
  </si>
  <si>
    <t>4640306920624</t>
  </si>
  <si>
    <t>259451</t>
  </si>
  <si>
    <t>Пакет вырубной 23 февраля. Звезда 30х40 50мкм ПИ-8307</t>
  </si>
  <si>
    <t>ПИ-8307</t>
  </si>
  <si>
    <t>4670159283072</t>
  </si>
  <si>
    <t>259452</t>
  </si>
  <si>
    <t>Пакет вырубной 23 февраля. Настоящему мужчине 30х40 50мкм ПИ-8308</t>
  </si>
  <si>
    <t>ПИ-8308</t>
  </si>
  <si>
    <t>4670159283089</t>
  </si>
  <si>
    <t>259687</t>
  </si>
  <si>
    <t>Пакет подарочный из крафт-бумаги 22х32х11 см (craft МL) 23 февраля, 120 г (собс.разр.) ППК-7689</t>
  </si>
  <si>
    <t>ППК-7689</t>
  </si>
  <si>
    <t>4630493776890</t>
  </si>
  <si>
    <t>259689</t>
  </si>
  <si>
    <t>Пакет подарочный из крафт-бумаги 22х32х11 см (craft МL) День солдата, 120 г (собс.разр.) ППК-7691</t>
  </si>
  <si>
    <t>ППК-7691</t>
  </si>
  <si>
    <t>4630493776913</t>
  </si>
  <si>
    <t>259688</t>
  </si>
  <si>
    <t>Пакет подарочный из крафт-бумаги 22х32х11 см (craft МL) Мужской праздник, 120 г (собс.разр.)ППК-7690</t>
  </si>
  <si>
    <t>ППК-7690</t>
  </si>
  <si>
    <t>4630493776906</t>
  </si>
  <si>
    <t>8 Марта</t>
  </si>
  <si>
    <t>259445</t>
  </si>
  <si>
    <t>Пакет вырубной 8 Марта. Тюльпаны 30х40 50мкм ПИ-8304</t>
  </si>
  <si>
    <t>ПИ-8304</t>
  </si>
  <si>
    <t>4670159283041</t>
  </si>
  <si>
    <t>259449</t>
  </si>
  <si>
    <t>Пакет вырубной 8 Марта. Цветочки 30х40 50мкм ПИ-8305</t>
  </si>
  <si>
    <t>ПИ-8305</t>
  </si>
  <si>
    <t>4670159283058</t>
  </si>
  <si>
    <t>259679</t>
  </si>
  <si>
    <t>Пакет подарочный из крафт-бумаги 22х32х11 см (craft МL) Весенний праздник,120 г (собс.разр.)ППК-7681</t>
  </si>
  <si>
    <t>ППК-7681</t>
  </si>
  <si>
    <t>4630493776814</t>
  </si>
  <si>
    <t>259436</t>
  </si>
  <si>
    <t>Пакет полиэтиленовый вырубной С 8 Марта 30*20/30мкм ПИ-8303</t>
  </si>
  <si>
    <t>ПИ-8303</t>
  </si>
  <si>
    <t>4670159283034</t>
  </si>
  <si>
    <t>265215</t>
  </si>
  <si>
    <t>Поздравительный плакат- фотоколлаж с наклейками, стенгазета "С 8 марта!" ППФ-9157</t>
  </si>
  <si>
    <t>ППФ-9157</t>
  </si>
  <si>
    <t>4670159291572</t>
  </si>
  <si>
    <t>Волшебник изумрудного города</t>
  </si>
  <si>
    <t>Квесты по поиску подарка</t>
  </si>
  <si>
    <t>278738</t>
  </si>
  <si>
    <t>Квест по поиску подарка с наклейками "Витражи мечты" ЛИЦЕНЗИЯ/Волшебник изумрудного города ИКВ-5006</t>
  </si>
  <si>
    <t>ИКВ-5006</t>
  </si>
  <si>
    <t>4680942650066</t>
  </si>
  <si>
    <t>278737</t>
  </si>
  <si>
    <t>Квест по поиску подарка с наклейками" Квест с Машей" (общепоздрав) ЛИЦЕНЗИЯ/ Маша и медведь ИКВ-5005</t>
  </si>
  <si>
    <t>ИКВ-5005</t>
  </si>
  <si>
    <t>4680942650059</t>
  </si>
  <si>
    <t>МИ МИ МИШКИ</t>
  </si>
  <si>
    <t>280393</t>
  </si>
  <si>
    <t>Квест по поиску подарка с накл "Веселые мишки"  ЛИЦЕНЗИЯ/Ми-Ми-Мишки ИКВ-6019</t>
  </si>
  <si>
    <t>ИКВ-6019</t>
  </si>
  <si>
    <t>4680942660195</t>
  </si>
  <si>
    <t>СОЮЗМУЛЬТФИЛЬМ</t>
  </si>
  <si>
    <t>ВИННИ-ПУХ</t>
  </si>
  <si>
    <t>254267</t>
  </si>
  <si>
    <t>Квест по поиску подарка с наклейками(общепоздр) "Мишка и компания" ЛИЦЕНЗИЯ/ Винни-Пух ИКВ-6864</t>
  </si>
  <si>
    <t>ИКВ-6864</t>
  </si>
  <si>
    <t>4670159268642</t>
  </si>
  <si>
    <t>ПРОСТОКВАШИНО</t>
  </si>
  <si>
    <t>254260</t>
  </si>
  <si>
    <t>Квест по поиску подарка с наклейками(общепоздр) "Весёлая деревня" ЛИЦЕНЗИЯ/ Простоквашино ИКВ-6863</t>
  </si>
  <si>
    <t>ИКВ-6863</t>
  </si>
  <si>
    <t>4670159268635</t>
  </si>
  <si>
    <t>266037</t>
  </si>
  <si>
    <t>Квест по поиску подарка с наклейками(общепоздрав) "Весёлые котята" ЛИЦЕНЗИЯ/"Три кота" ИКВ-9152</t>
  </si>
  <si>
    <t>ИКВ-9152</t>
  </si>
  <si>
    <t>4670159291527</t>
  </si>
  <si>
    <t>278728</t>
  </si>
  <si>
    <t>Квест по поиску подарка общепоздрав "Праздник с Чебурашкой" с наклейками ЛИЦЕНЗИЯ/Чебурашка ИКВ-5119</t>
  </si>
  <si>
    <t>ИКВ-5119</t>
  </si>
  <si>
    <t>4680942651193</t>
  </si>
  <si>
    <t>251672</t>
  </si>
  <si>
    <t>Квест по поиску подарка с наклейками (общепоздрав) ЛИЦЕНЗИЯ/ Чебурашка ИКВ-6153</t>
  </si>
  <si>
    <t>ИКВ-6153</t>
  </si>
  <si>
    <t>4670159261537</t>
  </si>
  <si>
    <t>261119</t>
  </si>
  <si>
    <t>Снежный шар "Чебурашка в апельсинах", 6,5 см (Собс.разр) ЛИЦЕНЗИЯ/Чебурашка, Т-7805</t>
  </si>
  <si>
    <t>Т-7805</t>
  </si>
  <si>
    <t>4630493778054</t>
  </si>
  <si>
    <t>03 СУВЕНИРЫ И ПОДАРКИ</t>
  </si>
  <si>
    <t>01 ГАЛАНТЕРЕЯ</t>
  </si>
  <si>
    <t>01 Обложки на пропуск/проездные ПВХ</t>
  </si>
  <si>
    <t>260021</t>
  </si>
  <si>
    <t>Обложка на пропуск/проездной "Бет Кот" ПВХ ОП-7751</t>
  </si>
  <si>
    <t>ОП-7751</t>
  </si>
  <si>
    <t>4630493777514</t>
  </si>
  <si>
    <t>260032</t>
  </si>
  <si>
    <t>Обложка на пропуск/проездной "Гонщик" ПВХ ОП-7757</t>
  </si>
  <si>
    <t>ОП-7757</t>
  </si>
  <si>
    <t>4630493777576</t>
  </si>
  <si>
    <t>280698</t>
  </si>
  <si>
    <t>Обложка на пропуск/проездной "Игра" ПВХ ОП-6123</t>
  </si>
  <si>
    <t>ОП-6123</t>
  </si>
  <si>
    <t>4680942661239</t>
  </si>
  <si>
    <t>280693</t>
  </si>
  <si>
    <t>Обложка на пропуск/проездной "Сияй, не смотря ни на что" ПВХ ОП-6121</t>
  </si>
  <si>
    <t>ОП-6121</t>
  </si>
  <si>
    <t>4680942661215</t>
  </si>
  <si>
    <t>280697</t>
  </si>
  <si>
    <t>Обложка на пропуск/проездной "Собачки" ПВХ ОП-6122</t>
  </si>
  <si>
    <t>ОП-6122</t>
  </si>
  <si>
    <t>4680942661222</t>
  </si>
  <si>
    <t>260030</t>
  </si>
  <si>
    <t>Обложка на пропуск/проездной "Уличный стиль" ПВХ ОП-7755</t>
  </si>
  <si>
    <t>ОП-7755</t>
  </si>
  <si>
    <t>4630493777552</t>
  </si>
  <si>
    <t>280690</t>
  </si>
  <si>
    <t>Обложка на пропуск/проездной "Утенок" ПВХ ОП-6126</t>
  </si>
  <si>
    <t>ОП-6126</t>
  </si>
  <si>
    <t>4680942661260</t>
  </si>
  <si>
    <t>260029</t>
  </si>
  <si>
    <t>Обложка на пропуск/проездной "Ушастое трио" ПВХ ОП-7754</t>
  </si>
  <si>
    <t>ОП-7754</t>
  </si>
  <si>
    <t>4630493777545</t>
  </si>
  <si>
    <t>280702</t>
  </si>
  <si>
    <t>Обложка на пропуск/проездной "Футбол" ПВХ ОП-6124</t>
  </si>
  <si>
    <t>ОП-6124</t>
  </si>
  <si>
    <t>4680942661246</t>
  </si>
  <si>
    <t>260034</t>
  </si>
  <si>
    <t>Обложка на пропуск/проездной "Японские мотивы" ПВХ ОП-7758</t>
  </si>
  <si>
    <t>ОП-7758</t>
  </si>
  <si>
    <t>4630493777583</t>
  </si>
  <si>
    <t>03 Обложки на паспорт</t>
  </si>
  <si>
    <t>Обложки на паспорт ( натуральная кожа)</t>
  </si>
  <si>
    <t>121992</t>
  </si>
  <si>
    <t>Обложка для паспорта из натуральной кожи ПАРУС, черный, тисн.конгрев"РОССИЯ-ПАСПОРТ-ГЕРБ" ОП-5446</t>
  </si>
  <si>
    <t>ОП-5446</t>
  </si>
  <si>
    <t>122023</t>
  </si>
  <si>
    <t>Обложка для паспорта из натуральной кожи ФЛОТЕР, кремовый, тисн.конгрев"PASSPORT" ОП-5453</t>
  </si>
  <si>
    <t>ОП-5453</t>
  </si>
  <si>
    <t>4665307353530</t>
  </si>
  <si>
    <t>122025</t>
  </si>
  <si>
    <t>Обложка для паспорта из натуральной кожи ФЛОТЕР, мята, тисн.конгрев"PASSPORT" ОП-5454</t>
  </si>
  <si>
    <t>ОП-5454</t>
  </si>
  <si>
    <t>4665307353547</t>
  </si>
  <si>
    <t>122036</t>
  </si>
  <si>
    <t>Обложка для паспорта из натуральной кожи ФЛОТЕР, серый, тисн.конгрев"PASSPORT" ОП-5459</t>
  </si>
  <si>
    <t>ОП-5459</t>
  </si>
  <si>
    <t>4665307353592</t>
  </si>
  <si>
    <t>Обложки на паспорт (ПВХ, slim)</t>
  </si>
  <si>
    <t>269695</t>
  </si>
  <si>
    <t>Обложка на паспорт Мотивация ч/б ПВХ ОП-0665</t>
  </si>
  <si>
    <t>ОП-0665</t>
  </si>
  <si>
    <t>4680942606650</t>
  </si>
  <si>
    <t>269694</t>
  </si>
  <si>
    <t>Обложка на паспорт Полевые цветы ч/б ПВХ ОП-0664</t>
  </si>
  <si>
    <t>ОП-0664</t>
  </si>
  <si>
    <t>4680942606643</t>
  </si>
  <si>
    <t>Обложки на паспорт (ПВХ)</t>
  </si>
  <si>
    <t>260040</t>
  </si>
  <si>
    <t>Обложка на паспорт "Бабочка" ПВХ ОП-7775</t>
  </si>
  <si>
    <t>ОП-7775</t>
  </si>
  <si>
    <t>4630493777644</t>
  </si>
  <si>
    <t>235131</t>
  </si>
  <si>
    <t>Обложка на паспорт "Капибары на отдыхе" ПВХ ОП-0108</t>
  </si>
  <si>
    <t>ОП-0108</t>
  </si>
  <si>
    <t>4670159201083</t>
  </si>
  <si>
    <t>274576</t>
  </si>
  <si>
    <t>Обложка на паспорт "Ковер" ПВХ ОП-3056</t>
  </si>
  <si>
    <t>ОП-3056</t>
  </si>
  <si>
    <t>4680942630563</t>
  </si>
  <si>
    <t>274575</t>
  </si>
  <si>
    <t>Обложка на паспорт "Котик с шариком" ПВХ ОП-3055</t>
  </si>
  <si>
    <t>ОП-3055</t>
  </si>
  <si>
    <t>4680942630556</t>
  </si>
  <si>
    <t>274579</t>
  </si>
  <si>
    <t>Обложка на паспорт "Леопард" ПВХ ОП-3058</t>
  </si>
  <si>
    <t>ОП-3058</t>
  </si>
  <si>
    <t>4680942630587</t>
  </si>
  <si>
    <t>274572</t>
  </si>
  <si>
    <t>Обложка на паспорт "Лимоны" ПВХ ОП-3054</t>
  </si>
  <si>
    <t>ОП-3054</t>
  </si>
  <si>
    <t>4680942630549</t>
  </si>
  <si>
    <t>260037</t>
  </si>
  <si>
    <t>Обложка на паспорт "Мордашка" ПВХ ОП-7774</t>
  </si>
  <si>
    <t>ОП-7774</t>
  </si>
  <si>
    <t>4630493777637</t>
  </si>
  <si>
    <t>274577</t>
  </si>
  <si>
    <t>Обложка на паспорт "Перелеты" ПВХ ОП-3057</t>
  </si>
  <si>
    <t>ОП-3057</t>
  </si>
  <si>
    <t>4680942630570</t>
  </si>
  <si>
    <t>260043</t>
  </si>
  <si>
    <t>Обложка на паспорт "Спорткар" ПВХ ОП-7776</t>
  </si>
  <si>
    <t>ОП-7776</t>
  </si>
  <si>
    <t>4630493777651</t>
  </si>
  <si>
    <t>260036</t>
  </si>
  <si>
    <t>Обложка на паспорт "Стиль" ПВХ ОП-7773</t>
  </si>
  <si>
    <t>ОП-7773</t>
  </si>
  <si>
    <t>4630493777620</t>
  </si>
  <si>
    <t>260025</t>
  </si>
  <si>
    <t>Обложка на паспорт "Столица" ПВХ ОП-7770</t>
  </si>
  <si>
    <t>ОП-7770</t>
  </si>
  <si>
    <t>4630493777590</t>
  </si>
  <si>
    <t>260027</t>
  </si>
  <si>
    <t>Обложка на паспорт "Хаки" ПВХ ОП-7771</t>
  </si>
  <si>
    <t>ОП-7771</t>
  </si>
  <si>
    <t>4630493777606</t>
  </si>
  <si>
    <t>215004</t>
  </si>
  <si>
    <t>Обложка на паспорт "Черная кошка"  ПВХ ОП-1296</t>
  </si>
  <si>
    <t>ОП-1296</t>
  </si>
  <si>
    <t>4670159102960</t>
  </si>
  <si>
    <t>235138</t>
  </si>
  <si>
    <t>Обложка на паспорт Камуфляж ПВХ ОП-0113</t>
  </si>
  <si>
    <t>ОП-0113</t>
  </si>
  <si>
    <t>4670159201137</t>
  </si>
  <si>
    <t>235137</t>
  </si>
  <si>
    <t>Обложка на паспорт Флаг ПВХ ОП-0112</t>
  </si>
  <si>
    <t>ОП-0112</t>
  </si>
  <si>
    <t>4670159201120</t>
  </si>
  <si>
    <t>Обложки на паспорт (экокожа)</t>
  </si>
  <si>
    <t>047574</t>
  </si>
  <si>
    <t>Обложка на паспорт "экокожа" чёрная "Золотой стандарт" ОП-7699</t>
  </si>
  <si>
    <t>ОП-7699</t>
  </si>
  <si>
    <t>4665299576993</t>
  </si>
  <si>
    <t>047581</t>
  </si>
  <si>
    <t>Обложка на паспорт мягкая "экокожа" бордовая "Стандарт" ОП-7703</t>
  </si>
  <si>
    <t>ОП-7703</t>
  </si>
  <si>
    <t>4665299577037</t>
  </si>
  <si>
    <t>047580</t>
  </si>
  <si>
    <t>Обложка на паспорт мягкая "экокожа" коричневая "Стандарт" ОП-7702</t>
  </si>
  <si>
    <t>ОП-7702</t>
  </si>
  <si>
    <t>4665299577020</t>
  </si>
  <si>
    <t>047584</t>
  </si>
  <si>
    <t>Обложка на паспорт мягкая "экокожа" красная "Стандарт" ОП-7704</t>
  </si>
  <si>
    <t>ОП-7704</t>
  </si>
  <si>
    <t>4665299577044</t>
  </si>
  <si>
    <t>090370</t>
  </si>
  <si>
    <t>Обложка на паспорт мягкая "экокожа" МАТОВАЯ САЛАТОВАЯ "Стандарт" с гербом ОП-9772</t>
  </si>
  <si>
    <t>ОП-9772</t>
  </si>
  <si>
    <t>4665305397727</t>
  </si>
  <si>
    <t>090372</t>
  </si>
  <si>
    <t>Обложка на паспорт мягкая "экокожа" МАТОВАЯ СИНЯЯ "Стандарт" с гербом ОП-9774</t>
  </si>
  <si>
    <t>ОП-9774</t>
  </si>
  <si>
    <t>4665305397741</t>
  </si>
  <si>
    <t>047579</t>
  </si>
  <si>
    <t>Обложка на паспорт мягкая "экокожа" чёрная "Стандарт" ОП-7701</t>
  </si>
  <si>
    <t>ОП-7701</t>
  </si>
  <si>
    <t>4665299577013</t>
  </si>
  <si>
    <t>278527</t>
  </si>
  <si>
    <t>Обложка на паспорт Путешествие, 14.2х10 см, искусственная кожа, розовый, ОП-5160</t>
  </si>
  <si>
    <t>ОП-5160</t>
  </si>
  <si>
    <t>4680942651605</t>
  </si>
  <si>
    <t>278529</t>
  </si>
  <si>
    <t>Обложка на паспорт Путь, серый, 14,0х10,5 см, искусственная кожа, ОП-5162</t>
  </si>
  <si>
    <t>ОП-5162</t>
  </si>
  <si>
    <t>4680942651629</t>
  </si>
  <si>
    <t>278531</t>
  </si>
  <si>
    <t>Обложка на паспорт с гербом Минимализм, черная, 14х9,2 см, искусственная кожа, ОП-5164</t>
  </si>
  <si>
    <t>ОП-5164</t>
  </si>
  <si>
    <t>4680942651643</t>
  </si>
  <si>
    <t>278530</t>
  </si>
  <si>
    <t>Обложка на паспорт с гербом Путешествие, темно-коричневая, 14х9,2 см, искусственная кожа, ОП-5163</t>
  </si>
  <si>
    <t>ОП-5163</t>
  </si>
  <si>
    <t>4680942651636</t>
  </si>
  <si>
    <t>278528</t>
  </si>
  <si>
    <t>Обложка на паспорт, Приключение, темно-синий, 14.2х10 см, искусственная кожа, ОП-5161</t>
  </si>
  <si>
    <t>ОП-5161</t>
  </si>
  <si>
    <t>4680942651612</t>
  </si>
  <si>
    <t>Обложки на паспорт (экокожа) с металлическими углами</t>
  </si>
  <si>
    <t>084738</t>
  </si>
  <si>
    <t>Обложка на паспорт Россия зелёная (с метал. уголками) ОП-9095</t>
  </si>
  <si>
    <t>ОП-9095</t>
  </si>
  <si>
    <t>4665305390957</t>
  </si>
  <si>
    <t>084736</t>
  </si>
  <si>
    <t>Обложка на паспорт Россия красная (с метал. уголками) ОП-9093</t>
  </si>
  <si>
    <t>ОП-9093</t>
  </si>
  <si>
    <t>4665305390933</t>
  </si>
  <si>
    <t>215750</t>
  </si>
  <si>
    <t>Обложка на паспорт Россия черная (с метал. уголками) ОП-0672</t>
  </si>
  <si>
    <t>ОП-0672</t>
  </si>
  <si>
    <t>4670159106623</t>
  </si>
  <si>
    <t>215752</t>
  </si>
  <si>
    <t>Обложка на паспорт Россия, синяя (с метал. уголками) ОП-0674</t>
  </si>
  <si>
    <t>ОП-0674</t>
  </si>
  <si>
    <t>4670159106647</t>
  </si>
  <si>
    <t>Обложки-органайзеры с отсеком для карт</t>
  </si>
  <si>
    <t>234683</t>
  </si>
  <si>
    <t>Обложка на паспорт  с отсеком для карт на резинке "Рейс", розовая ОП-9639</t>
  </si>
  <si>
    <t>ОП-9639</t>
  </si>
  <si>
    <t>4670159196396</t>
  </si>
  <si>
    <t>234684</t>
  </si>
  <si>
    <t>Обложка на паспорт  с отсеком для карт на резинке "Рейс", темно-синяя ОП-9640</t>
  </si>
  <si>
    <t>ОП-9640</t>
  </si>
  <si>
    <t>4670159196402</t>
  </si>
  <si>
    <t>234681</t>
  </si>
  <si>
    <t>Обложка на паспорт  с отсеком для карт на резинке "Тур", коричневая (собственная разработка) ОП-9637</t>
  </si>
  <si>
    <t>ОП-9637</t>
  </si>
  <si>
    <t>4670159196372</t>
  </si>
  <si>
    <t>234682</t>
  </si>
  <si>
    <t>Обложка на паспорт  с отсеком для карт на резинке "Тур", розовая (собственная разработка) ОП-9638</t>
  </si>
  <si>
    <t>ОП-9638</t>
  </si>
  <si>
    <t>4670159196389</t>
  </si>
  <si>
    <t>234660</t>
  </si>
  <si>
    <t>Обложка на паспорт с отсеком для карт на магните "Полёт", голубая ОП-9621</t>
  </si>
  <si>
    <t>ОП-9621</t>
  </si>
  <si>
    <t>4670159196211</t>
  </si>
  <si>
    <t>234661</t>
  </si>
  <si>
    <t>Обложка на паспорт с отсеком для карт на магните "Полёт", розовая ОП-9622</t>
  </si>
  <si>
    <t>ОП-9622</t>
  </si>
  <si>
    <t>4670159196228</t>
  </si>
  <si>
    <t>234659</t>
  </si>
  <si>
    <t>Обложка на паспорт с отсеком для карт на магните "Полёт", светло-зеленая ОП-9620</t>
  </si>
  <si>
    <t>ОП-9620</t>
  </si>
  <si>
    <t>4670159196204</t>
  </si>
  <si>
    <t>234655</t>
  </si>
  <si>
    <t>Обложка на паспорт с отсеком для карт на магните "Путешествие", красная ОП-9617</t>
  </si>
  <si>
    <t>ОП-9617</t>
  </si>
  <si>
    <t>4670159196174</t>
  </si>
  <si>
    <t>234666</t>
  </si>
  <si>
    <t>Обложка на паспорт с отсеком для карт на резинке "Отпуск", зеленая (собственная разработка) ОП-9625</t>
  </si>
  <si>
    <t>ОП-9625</t>
  </si>
  <si>
    <t>4670159196259</t>
  </si>
  <si>
    <t>234667</t>
  </si>
  <si>
    <t>Обложка на паспорт с отсеком для карт на резинке "Отпуск", розовая (собственная разработка) ОП-9626</t>
  </si>
  <si>
    <t>ОП-9626</t>
  </si>
  <si>
    <t>4670159196266</t>
  </si>
  <si>
    <t>04 Обложки на документы</t>
  </si>
  <si>
    <t>01 Обложки на автодокументы</t>
  </si>
  <si>
    <t>Обложки на автодокументы (экокожа)</t>
  </si>
  <si>
    <t>047588</t>
  </si>
  <si>
    <t>Обложка на автодокументы мягкая "экокожа" коричневая "Стандарт" ОП-7706</t>
  </si>
  <si>
    <t>ОП-7706</t>
  </si>
  <si>
    <t>4665299577068</t>
  </si>
  <si>
    <t>071906</t>
  </si>
  <si>
    <t>Обложка на автодокументы мягкая "экокожа" синяя "Стандарт" ОП-2055</t>
  </si>
  <si>
    <t>ОП-2055</t>
  </si>
  <si>
    <t>4665303220553</t>
  </si>
  <si>
    <t>047587</t>
  </si>
  <si>
    <t>Обложка на автодокументы мягкая "экокожа" чёрная" Стандарт" ОП-7705</t>
  </si>
  <si>
    <t>ОП-7705</t>
  </si>
  <si>
    <t>4665299577051</t>
  </si>
  <si>
    <t>02 Обложки другие документы</t>
  </si>
  <si>
    <t>252495</t>
  </si>
  <si>
    <t>Папка органайзер для 1 компл. док. (ПА4/1)без отд. для паспорта, апельсин 100 мкм с доп файл.ПА-2626</t>
  </si>
  <si>
    <t>ПА-2626</t>
  </si>
  <si>
    <t>4640306926268</t>
  </si>
  <si>
    <t>221128</t>
  </si>
  <si>
    <t>Папка органайзер для 1 компл. докум (ПА4/1) 3 отд. паспорт, апельсин 100 мкн с доп.ф ПА-3318</t>
  </si>
  <si>
    <t>ПА-3318</t>
  </si>
  <si>
    <t>4670159133186</t>
  </si>
  <si>
    <t>252497</t>
  </si>
  <si>
    <t>Папка органайзер на 2 компл. докум. +3 отд для паспорта, апельсин 100 мкм (ПА4/2), с доп ф. ПА-2628</t>
  </si>
  <si>
    <t>ПА-2628</t>
  </si>
  <si>
    <t>4640306926282</t>
  </si>
  <si>
    <t>252498</t>
  </si>
  <si>
    <t>Папка органайзер на 2 компл. докум. +4 отд для паспорта, апельсин 100 мкм (ПА4/2), с доп ф. ПА-2629</t>
  </si>
  <si>
    <t>ПА-2629</t>
  </si>
  <si>
    <t>4640306926299</t>
  </si>
  <si>
    <t>252496</t>
  </si>
  <si>
    <t>Папка органайзер на 4 комплекта документов, апельсин 100 мкм (ПА4/4), с доп файл. ПА-2627</t>
  </si>
  <si>
    <t>ПА-2627</t>
  </si>
  <si>
    <t>4640306926275</t>
  </si>
  <si>
    <t>05 Папки на кольцах</t>
  </si>
  <si>
    <t>281104</t>
  </si>
  <si>
    <t>Дизайнерская папка Soft touch на кольцах "Герб1" "собс.разр" ПК-6143</t>
  </si>
  <si>
    <t>ПК-6143</t>
  </si>
  <si>
    <t>4680942661437</t>
  </si>
  <si>
    <t>281105</t>
  </si>
  <si>
    <t>Дизайнерская папка Soft touch на кольцах "Герб2" "собс.разр" ПК-6144</t>
  </si>
  <si>
    <t>ПК-6144</t>
  </si>
  <si>
    <t>4680942661444</t>
  </si>
  <si>
    <t>254797</t>
  </si>
  <si>
    <t>Дизайнерская папка Soft touch на кольцах "Карта здоровья" "собс.разр" ПК-6963</t>
  </si>
  <si>
    <t>ПК-6963</t>
  </si>
  <si>
    <t>4670159269632</t>
  </si>
  <si>
    <t>281106</t>
  </si>
  <si>
    <t>Дизайнерская папка Soft touch на кольцах "Мои первые документы" "собс.разр" ПК-6145</t>
  </si>
  <si>
    <t>ПК-6145</t>
  </si>
  <si>
    <t>4680942661451</t>
  </si>
  <si>
    <t>281107</t>
  </si>
  <si>
    <t>Дизайнерская папка Soft touch на кольцах "Ретро стайл" "собс.разр" ПК-6146</t>
  </si>
  <si>
    <t>ПК-6146</t>
  </si>
  <si>
    <t>4680942661468</t>
  </si>
  <si>
    <t>254799</t>
  </si>
  <si>
    <t>Дизайнерская папка Soft touch на кольцах "Успехи! Достижения! Победы!" "собс.разр" ПК-6965</t>
  </si>
  <si>
    <t>ПК-6965</t>
  </si>
  <si>
    <t>4670159269656</t>
  </si>
  <si>
    <t>02 СУВЕНИРНАЯ ПОСУДА И КУХОННЫЕ АКСЕССУАРЫ</t>
  </si>
  <si>
    <t>01 Сувенирные кружки</t>
  </si>
  <si>
    <t>2 Сувенирные кружки</t>
  </si>
  <si>
    <t>257834</t>
  </si>
  <si>
    <t>Кружка "Волшебная шляпа", коричневый, 435 мл КС-7510</t>
  </si>
  <si>
    <t>КС-7510</t>
  </si>
  <si>
    <t>4630493775107</t>
  </si>
  <si>
    <t>257838</t>
  </si>
  <si>
    <t>Кружка "Геймер", чёрный, 350 мл КС-7513</t>
  </si>
  <si>
    <t>КС-7513</t>
  </si>
  <si>
    <t>4630493775138</t>
  </si>
  <si>
    <t>275119</t>
  </si>
  <si>
    <t>Кружка керамическая "Белый друг", белая, 300 мл КС-3202</t>
  </si>
  <si>
    <t>КС-3202</t>
  </si>
  <si>
    <t>4680942632024</t>
  </si>
  <si>
    <t>266851</t>
  </si>
  <si>
    <t>Кружка керамическая "Букет роз", белая, 350 мл КС-7492</t>
  </si>
  <si>
    <t>КС-7492</t>
  </si>
  <si>
    <t>4640520774928</t>
  </si>
  <si>
    <t>266850</t>
  </si>
  <si>
    <t>Кружка керамическая "Дама в шляпке", белая, 350 мл КС-7491</t>
  </si>
  <si>
    <t>КС-7491</t>
  </si>
  <si>
    <t>4640520774911</t>
  </si>
  <si>
    <t>266853</t>
  </si>
  <si>
    <t>Кружка керамическая "Девочка с букетом", розовая, 350 мл КС-7494</t>
  </si>
  <si>
    <t>КС-7494</t>
  </si>
  <si>
    <t>4640520774942</t>
  </si>
  <si>
    <t>266852</t>
  </si>
  <si>
    <t>Кружка керамическая "Леди", белая, 350 мл КС-7493</t>
  </si>
  <si>
    <t>КС-7493</t>
  </si>
  <si>
    <t>4640520774935</t>
  </si>
  <si>
    <t>266854</t>
  </si>
  <si>
    <t>Кружка керамическая "Мечтательница", розовая, 350 мл КС-7495</t>
  </si>
  <si>
    <t>КС-7495</t>
  </si>
  <si>
    <t>4640520774959</t>
  </si>
  <si>
    <t>274404</t>
  </si>
  <si>
    <t>Кружка керамическая "Розовая мечта", белая, 370 мл КС-2889</t>
  </si>
  <si>
    <t>КС-2889</t>
  </si>
  <si>
    <t>4680942628898</t>
  </si>
  <si>
    <t>211810</t>
  </si>
  <si>
    <t>Кружка керамическая с ложкой " Бодрое утро", 8*10см, 350мл КС-8197</t>
  </si>
  <si>
    <t>КС-8197</t>
  </si>
  <si>
    <t>4670159081975</t>
  </si>
  <si>
    <t>257725</t>
  </si>
  <si>
    <t>Кружка с крышкой в наборе с ложкой Бант, голубой, 380 мл КС-7384</t>
  </si>
  <si>
    <t>КС-7384</t>
  </si>
  <si>
    <t>4630493773844</t>
  </si>
  <si>
    <t>257727</t>
  </si>
  <si>
    <t>Кружка с крышкой в наборе с ложкой Бант, жёлтый, 380 мл КС-7385</t>
  </si>
  <si>
    <t>КС-7385</t>
  </si>
  <si>
    <t>4630493773851</t>
  </si>
  <si>
    <t>266859</t>
  </si>
  <si>
    <t>Набор кружек 2 шт."Милая пара" 400 мл. (2 чайн.ложки и 2 крышки в компл.), серый, розовый КС-7498</t>
  </si>
  <si>
    <t>КС-7498</t>
  </si>
  <si>
    <t>4640520774980</t>
  </si>
  <si>
    <t>275223</t>
  </si>
  <si>
    <t>Набор кружек керамических с ложками  "Алый цветочек", 2 шт, 280 мл КС-3530</t>
  </si>
  <si>
    <t>КС-3530</t>
  </si>
  <si>
    <t>4680942635308</t>
  </si>
  <si>
    <t>233947</t>
  </si>
  <si>
    <t>Набор кружка керамическая с крышкой  "Современный минимализм", 8.2*10.5см, 360мл КС-9140</t>
  </si>
  <si>
    <t>КС-9140</t>
  </si>
  <si>
    <t>4670159191407</t>
  </si>
  <si>
    <t>233945</t>
  </si>
  <si>
    <t>Набор кружка керамическая с крышкой  и ложкой, " Утренняя нежность", 450мл КС-9138</t>
  </si>
  <si>
    <t>КС-9138</t>
  </si>
  <si>
    <t>4670159191384</t>
  </si>
  <si>
    <t>257731</t>
  </si>
  <si>
    <t>Чашка в наборе с тарелкой и ложкой Полосатый кот, 200 мл КС-7386</t>
  </si>
  <si>
    <t>КС-7386</t>
  </si>
  <si>
    <t>4630493773868</t>
  </si>
  <si>
    <t>257734</t>
  </si>
  <si>
    <t>Чашка в наборе с тарелкой и ложкой Пятнистый кот, 200 мл КС-7387</t>
  </si>
  <si>
    <t>КС-7387</t>
  </si>
  <si>
    <t>4630493773875</t>
  </si>
  <si>
    <t>257737</t>
  </si>
  <si>
    <t>Чашка в наборе с тарелкой и ложкой Трёхцветный кот, 200 мл КС-7388</t>
  </si>
  <si>
    <t>КС-7388</t>
  </si>
  <si>
    <t>4630493773882</t>
  </si>
  <si>
    <t>257740</t>
  </si>
  <si>
    <t>Чашка в наборе с тарелкой и ложкой Усатый кот, 200 мл КС-7389</t>
  </si>
  <si>
    <t>КС-7389</t>
  </si>
  <si>
    <t>4630493773899</t>
  </si>
  <si>
    <t>02 Бутылки для воды</t>
  </si>
  <si>
    <t xml:space="preserve">  ТВОЯ ВОДА</t>
  </si>
  <si>
    <t xml:space="preserve"> Бутылки для воды до 500 мл</t>
  </si>
  <si>
    <t>266696</t>
  </si>
  <si>
    <t>Бутылка для воды пластиковая с ремешком Твоя вода, голубая, 450 мл, 21,8*6,8 см УД-7490</t>
  </si>
  <si>
    <t>УД-7490</t>
  </si>
  <si>
    <t>4640520774904</t>
  </si>
  <si>
    <t xml:space="preserve"> U-turn</t>
  </si>
  <si>
    <t xml:space="preserve"> Бутылки для воды от 500 мл до 1000 мл</t>
  </si>
  <si>
    <t>236397</t>
  </si>
  <si>
    <t>Бутылка для воды  пластик.матов. с крышкой-защёлкой,и мерной шкалой, поильником U-turn 700мл УД-0594</t>
  </si>
  <si>
    <t>УД-0594</t>
  </si>
  <si>
    <t>4670159205944</t>
  </si>
  <si>
    <t>212844</t>
  </si>
  <si>
    <t>Бутылка для воды пластик.с крышкой-защёлкой "Нежный оттенок", U-turn 780 мл, чёрная УД-9370</t>
  </si>
  <si>
    <t>УД-9370</t>
  </si>
  <si>
    <t>4670159091707</t>
  </si>
  <si>
    <t>212847</t>
  </si>
  <si>
    <t>Бутылка для воды пластик.с крышкой-защёлкой "Свежесть", U-turn 780 мл, белая УД-9373</t>
  </si>
  <si>
    <t>УД-9373</t>
  </si>
  <si>
    <t>4670159091738</t>
  </si>
  <si>
    <t>212867</t>
  </si>
  <si>
    <t>Бутылка для воды пластик.с крышкой-защёлкой "Сила",  U-turn 850 мл, черная УД-9393</t>
  </si>
  <si>
    <t>УД-9393</t>
  </si>
  <si>
    <t>4670159091936</t>
  </si>
  <si>
    <t>212865</t>
  </si>
  <si>
    <t>Бутылка для воды пластик.складная с крышк.-защёлк. и карабин. "Корт",U turn,550 мл, желтая УД-9391</t>
  </si>
  <si>
    <t>УД-9391</t>
  </si>
  <si>
    <t>4670159091912</t>
  </si>
  <si>
    <t>203879</t>
  </si>
  <si>
    <t>Бутылка для воды пластиковая "Вода" 700 мл, голубая, УД-3462</t>
  </si>
  <si>
    <t>УД-3462</t>
  </si>
  <si>
    <t>4670159024620</t>
  </si>
  <si>
    <t>203876</t>
  </si>
  <si>
    <t>Бутылка для воды пластиковая "Вода", сиреневая, 700 мл, 27*12,5*12,5, УД-3460</t>
  </si>
  <si>
    <t>УД-3460</t>
  </si>
  <si>
    <t>4670159024606</t>
  </si>
  <si>
    <t>246480</t>
  </si>
  <si>
    <t>Бутылка для воды пластиковая с крышкой-защёлкой U-turn, зеленая 500мл, 6*22 см УД-2178</t>
  </si>
  <si>
    <t>УД-2178</t>
  </si>
  <si>
    <t>4640306921782</t>
  </si>
  <si>
    <t>Бутылки для воды 1000 мл</t>
  </si>
  <si>
    <t>236393</t>
  </si>
  <si>
    <t>Бутылка для воды  пластиковая  с крышкой-защёлкой  U-turn, желто-бирюзовая, 1000мл УД-0590</t>
  </si>
  <si>
    <t>УД-0590</t>
  </si>
  <si>
    <t>4670159205906</t>
  </si>
  <si>
    <t>246483</t>
  </si>
  <si>
    <t>Бутылка для воды пластик с защёлкой, шкала, U-turn, вкус (вишня), градиент, 1000мл, 8*27см УД-2181</t>
  </si>
  <si>
    <t>УД-2181</t>
  </si>
  <si>
    <t>4640306921812</t>
  </si>
  <si>
    <t>246482</t>
  </si>
  <si>
    <t>Бутылка для воды пластик. с защёлкой, шкала, U-turn, вкус (клубника) градиент, 1000мл 8*27см УД-2180</t>
  </si>
  <si>
    <t>УД-2180</t>
  </si>
  <si>
    <t>4640306921805</t>
  </si>
  <si>
    <t>Бутылки для воды от 1500 до 2500 мл</t>
  </si>
  <si>
    <t>246486</t>
  </si>
  <si>
    <t>Бутылка для воды пластик с  защёлкой, мерная шкала, поильник, U-turn фиолет. 2000мл, 11*30см УД-2184</t>
  </si>
  <si>
    <t>УД-2184</t>
  </si>
  <si>
    <t>4640306921843</t>
  </si>
  <si>
    <t>246485</t>
  </si>
  <si>
    <t>Бутылка для воды пластик с защёлкой, мерная шкала, поильник, U-turn черн. 2000мл, 11*30см УД-2183</t>
  </si>
  <si>
    <t>УД-2183</t>
  </si>
  <si>
    <t>4640306921836</t>
  </si>
  <si>
    <t>My bottle</t>
  </si>
  <si>
    <t>500 мл</t>
  </si>
  <si>
    <t>203843</t>
  </si>
  <si>
    <t>Бутылка для воды пластиковая "Это моя бутылка" (в чехле), зелёная, 500 мл, 20*7*7, УД-0479</t>
  </si>
  <si>
    <t>УД-0479</t>
  </si>
  <si>
    <t>4620129704793</t>
  </si>
  <si>
    <t>203884</t>
  </si>
  <si>
    <t>Бутылка для воды "Букет", УД-3467</t>
  </si>
  <si>
    <t>УД-3467</t>
  </si>
  <si>
    <t>4670159024675</t>
  </si>
  <si>
    <t>203885</t>
  </si>
  <si>
    <t>Бутылка для воды "Весна",  УД-3468</t>
  </si>
  <si>
    <t>УД-3468</t>
  </si>
  <si>
    <t>4670159024682</t>
  </si>
  <si>
    <t>203850</t>
  </si>
  <si>
    <t>Бутылка для воды пластиковая "Ромашки", 450 мл, 17*6,5*6,5, УД-0482</t>
  </si>
  <si>
    <t>УД-0482</t>
  </si>
  <si>
    <t>4620129704823</t>
  </si>
  <si>
    <t xml:space="preserve"> Бутылки для воды от 500 до 1000 мл</t>
  </si>
  <si>
    <t>203878</t>
  </si>
  <si>
    <t>Бутылка для воды пластиковая "Вода" 700 мл, розовая, УД-3461</t>
  </si>
  <si>
    <t>УД-3461</t>
  </si>
  <si>
    <t>4670159024613</t>
  </si>
  <si>
    <t>Стеклянные</t>
  </si>
  <si>
    <t>300 МЛ</t>
  </si>
  <si>
    <t>262795</t>
  </si>
  <si>
    <t>Бутылка для воды, в чехле Твоя вода, 300 мл, бирюзовый УД-7057</t>
  </si>
  <si>
    <t>УД-7057</t>
  </si>
  <si>
    <t>4640520770579</t>
  </si>
  <si>
    <t>262798</t>
  </si>
  <si>
    <t>Бутылка для воды, в чехле Твоя вода, 300 мл, голубой УД-7060</t>
  </si>
  <si>
    <t>УД-7060</t>
  </si>
  <si>
    <t>4640520770609</t>
  </si>
  <si>
    <t>262799</t>
  </si>
  <si>
    <t>Бутылка для воды, в чехле Твоя вода, 300 мл, пудровый УД-7061</t>
  </si>
  <si>
    <t>УД-7061</t>
  </si>
  <si>
    <t>4640520770616</t>
  </si>
  <si>
    <t>262796</t>
  </si>
  <si>
    <t>Бутылка для воды, в чехле Твоя вода, 300 мл, розовый УД-7058</t>
  </si>
  <si>
    <t>УД-7058</t>
  </si>
  <si>
    <t>4640520770586</t>
  </si>
  <si>
    <t>262797</t>
  </si>
  <si>
    <t>Бутылка для воды, в чехле Твоя вода, 300 мл, серый УД-7059</t>
  </si>
  <si>
    <t>УД-7059</t>
  </si>
  <si>
    <t>4640520770593</t>
  </si>
  <si>
    <t>400 МЛ</t>
  </si>
  <si>
    <t>262800</t>
  </si>
  <si>
    <t>Бутылка для воды, в чехле Твоя вода, 400 мл, бежевый УД-7062</t>
  </si>
  <si>
    <t>УД-7062</t>
  </si>
  <si>
    <t>4640520770623</t>
  </si>
  <si>
    <t>262801</t>
  </si>
  <si>
    <t>Бутылка для воды, в чехле Твоя вода, 400 мл, бирюзовый УД-7063</t>
  </si>
  <si>
    <t>УД-7063</t>
  </si>
  <si>
    <t>4640520770630</t>
  </si>
  <si>
    <t>262804</t>
  </si>
  <si>
    <t>Бутылка для воды, в чехле Твоя вода, 400 мл, голубой УД-7066</t>
  </si>
  <si>
    <t>УД-7066</t>
  </si>
  <si>
    <t>4640520770661</t>
  </si>
  <si>
    <t>262802</t>
  </si>
  <si>
    <t>Бутылка для воды, в чехле Твоя вода, 400 мл, розовый УД-7064</t>
  </si>
  <si>
    <t>УД-7064</t>
  </si>
  <si>
    <t>4640520770647</t>
  </si>
  <si>
    <t>262806</t>
  </si>
  <si>
    <t>Бутылка для воды, в чехле Твоя вода, 400 мл, фиолетовый УД-7067</t>
  </si>
  <si>
    <t>УД-7067</t>
  </si>
  <si>
    <t>4640520770678</t>
  </si>
  <si>
    <t xml:space="preserve"> ЗНАК СУДЬБЫ</t>
  </si>
  <si>
    <t>249212</t>
  </si>
  <si>
    <t>Бутылка "Знак Судьбы" стеклянная с натуральным камнем Опал, 6,6х24 см, 450 мл УД-2460</t>
  </si>
  <si>
    <t>УД-2460</t>
  </si>
  <si>
    <t>4640306924608</t>
  </si>
  <si>
    <t>249213</t>
  </si>
  <si>
    <t>Бутылка "Знак Судьбы" стеклянная с натуральным камнем Розовый кварц, 6,6х26 см, 500 мл УД-2461</t>
  </si>
  <si>
    <t>УД-2461</t>
  </si>
  <si>
    <t>4640306924615</t>
  </si>
  <si>
    <t>249211</t>
  </si>
  <si>
    <t>Бутылка "Знак Судьбы" стеклянная с натуральным камнем Цитрин, 6,6х24 см, 450 мл УД-2459</t>
  </si>
  <si>
    <t>УД-2459</t>
  </si>
  <si>
    <t>4640306924592</t>
  </si>
  <si>
    <t>300 мл</t>
  </si>
  <si>
    <t>122630</t>
  </si>
  <si>
    <t>Бутылка для воды, в чехле My bottle, 300 мл, бежевый УД-6412</t>
  </si>
  <si>
    <t>УД-6412</t>
  </si>
  <si>
    <t>4665307364123</t>
  </si>
  <si>
    <t>122629</t>
  </si>
  <si>
    <t>Бутылка для воды, в чехле My bottle, 300 мл, бирюзовый УД-6411</t>
  </si>
  <si>
    <t>УД-6411</t>
  </si>
  <si>
    <t>4665307364116</t>
  </si>
  <si>
    <t>122631</t>
  </si>
  <si>
    <t>Бутылка для воды, в чехле My bottle, 300 мл, розовый УД-6413</t>
  </si>
  <si>
    <t>УД-6413</t>
  </si>
  <si>
    <t>4665307364130</t>
  </si>
  <si>
    <t>122632</t>
  </si>
  <si>
    <t>Бутылка для воды, в чехле My bottle, 300 мл, серый УД-6414</t>
  </si>
  <si>
    <t>УД-6414</t>
  </si>
  <si>
    <t>4665307364147</t>
  </si>
  <si>
    <t>400 мл</t>
  </si>
  <si>
    <t>122626</t>
  </si>
  <si>
    <t>Бутылка для воды, в чехле My bottle, 400 мл, бежевый УД-6408</t>
  </si>
  <si>
    <t>УД-6408</t>
  </si>
  <si>
    <t>4665307364086</t>
  </si>
  <si>
    <t>122624</t>
  </si>
  <si>
    <t>Бутылка для воды, в чехле My bottle, 400 мл, бирюзовый УД-6407</t>
  </si>
  <si>
    <t>УД-6407</t>
  </si>
  <si>
    <t>4665307364079</t>
  </si>
  <si>
    <t>262832</t>
  </si>
  <si>
    <t>Бутылка для воды, в чехле My bottle, 400 мл, голубой УД-7070</t>
  </si>
  <si>
    <t>УД-7070</t>
  </si>
  <si>
    <t>4640520770708</t>
  </si>
  <si>
    <t>122627</t>
  </si>
  <si>
    <t>Бутылка для воды, в чехле My bottle, 400 мл, розовый УД-6409</t>
  </si>
  <si>
    <t>УД-6409</t>
  </si>
  <si>
    <t>4665307364093</t>
  </si>
  <si>
    <t>122628</t>
  </si>
  <si>
    <t>Бутылка для воды, в чехле My bottle, 400 мл, серый УД-6410</t>
  </si>
  <si>
    <t>УД-6410</t>
  </si>
  <si>
    <t>4665307364109</t>
  </si>
  <si>
    <t>262834</t>
  </si>
  <si>
    <t>Бутылка для воды, в чехле My bottle, 400 мл, фиолетовый УД-7071</t>
  </si>
  <si>
    <t>УД-7071</t>
  </si>
  <si>
    <t>4640520770715</t>
  </si>
  <si>
    <t>258498</t>
  </si>
  <si>
    <t>Бутылка для воды в чехле "My bottle", красная 500 мл УД-7546</t>
  </si>
  <si>
    <t>УД-7546</t>
  </si>
  <si>
    <t>4630493775466</t>
  </si>
  <si>
    <t>258483</t>
  </si>
  <si>
    <t>Бутылка для воды в чехле "Львенок", оранжевая, 300 мл УД-7539</t>
  </si>
  <si>
    <t>УД-7539</t>
  </si>
  <si>
    <t>4630493775398</t>
  </si>
  <si>
    <t>258486</t>
  </si>
  <si>
    <t>Бутылка для воды в чехле "Смайл", лиса, 300 мл УД-7542</t>
  </si>
  <si>
    <t>УД-7542</t>
  </si>
  <si>
    <t>4630493775428</t>
  </si>
  <si>
    <t>258485</t>
  </si>
  <si>
    <t>Бутылка для воды в чехле "Смайл", оранжевая, 300 мл УД-7541</t>
  </si>
  <si>
    <t>УД-7541</t>
  </si>
  <si>
    <t>4630493775411</t>
  </si>
  <si>
    <t>258484</t>
  </si>
  <si>
    <t>Бутылка для воды в чехле"Смайл", розовая, 300 мл УД-7540</t>
  </si>
  <si>
    <t>УД-7540</t>
  </si>
  <si>
    <t>4630493775404</t>
  </si>
  <si>
    <t>262830</t>
  </si>
  <si>
    <t>Бутылка для воды, в чехле, 300 мл, голубой УД-7068</t>
  </si>
  <si>
    <t>УД-7068</t>
  </si>
  <si>
    <t>4640520770685</t>
  </si>
  <si>
    <t>500 МЛ</t>
  </si>
  <si>
    <t>258489</t>
  </si>
  <si>
    <t>Бутылка для воды в чехле "Веселый смайл", 500 мл УД-7545</t>
  </si>
  <si>
    <t>УД-7545</t>
  </si>
  <si>
    <t>4630493775459</t>
  </si>
  <si>
    <t>258499</t>
  </si>
  <si>
    <t>Бутылка для воды в чехле "Классика", розовая 500 мл УД-7547</t>
  </si>
  <si>
    <t>УД-7547</t>
  </si>
  <si>
    <t>4630493775473</t>
  </si>
  <si>
    <t>258488</t>
  </si>
  <si>
    <t>Бутылка для воды в чехле "Пальма", 500 мл УД-7544</t>
  </si>
  <si>
    <t>УД-7544</t>
  </si>
  <si>
    <t>4630493775442</t>
  </si>
  <si>
    <t>258487</t>
  </si>
  <si>
    <t>Бутылка для воды в чехле "Счастье", 500 мл УД-7543</t>
  </si>
  <si>
    <t>УД-7543</t>
  </si>
  <si>
    <t>4630493775435</t>
  </si>
  <si>
    <t>258500</t>
  </si>
  <si>
    <t>Бутылка для воды в чехле"Классика", серая 500 мл УД-7548</t>
  </si>
  <si>
    <t>УД-7548</t>
  </si>
  <si>
    <t>4630493775480</t>
  </si>
  <si>
    <t>257841</t>
  </si>
  <si>
    <t>Бутылка для воды, "Спорт" стекло и пластик, розовая, 550 мл УД-7443</t>
  </si>
  <si>
    <t>УД-7443</t>
  </si>
  <si>
    <t>4630493774438</t>
  </si>
  <si>
    <t>257844</t>
  </si>
  <si>
    <t>Бутылка для воды, "Стеклянная в чехле" стекло и пластик,  розовая, 550 мл УД-7446</t>
  </si>
  <si>
    <t>УД-7446</t>
  </si>
  <si>
    <t>4630493774469</t>
  </si>
  <si>
    <t>257845</t>
  </si>
  <si>
    <t>Бутылка для воды, "Стеклянная в чехле" стекло и пластик, серая, 550 мл УД-7447</t>
  </si>
  <si>
    <t>УД-7447</t>
  </si>
  <si>
    <t>4630493774476</t>
  </si>
  <si>
    <t>от 500 МЛ до 1000 мл</t>
  </si>
  <si>
    <t>257843</t>
  </si>
  <si>
    <t>Бутылка для воды. "Стильная" стекло и пластик, бордовая, 750 мл УД-7445</t>
  </si>
  <si>
    <t>УД-7445</t>
  </si>
  <si>
    <t>4630493774452</t>
  </si>
  <si>
    <t>257842</t>
  </si>
  <si>
    <t>Бутылка для воды. "Стильная" стекло и пластик, синяя, 750 мл УД-7444</t>
  </si>
  <si>
    <t>УД-7444</t>
  </si>
  <si>
    <t>4630493774445</t>
  </si>
  <si>
    <t>03 Стакан с трубочкой</t>
  </si>
  <si>
    <t>265894</t>
  </si>
  <si>
    <t>Стакан с крышкой и  трубочкой Блеск, розовый,  пластик, 400 мл СП-7453</t>
  </si>
  <si>
    <t>СП-7453</t>
  </si>
  <si>
    <t>4640520774539</t>
  </si>
  <si>
    <t>265892</t>
  </si>
  <si>
    <t>Стакан с крышкой и трубочкой Гламур, серебристый, 20х10 см, пластик, 650 мл СП-7451</t>
  </si>
  <si>
    <t>СП-7451</t>
  </si>
  <si>
    <t>4640520774515</t>
  </si>
  <si>
    <t>234426</t>
  </si>
  <si>
    <t>Стакан с трубочкой "Вкус лета", пластик, 450 мл СП-9510</t>
  </si>
  <si>
    <t>СП-9510</t>
  </si>
  <si>
    <t>4670159195108</t>
  </si>
  <si>
    <t>234425</t>
  </si>
  <si>
    <t>Стакан с трубочкой "Вкусный пончик", пластик, 450 мл СП-9509</t>
  </si>
  <si>
    <t>СП-9509</t>
  </si>
  <si>
    <t>4670159195092</t>
  </si>
  <si>
    <t>210164</t>
  </si>
  <si>
    <t>Стакан с трубочкой "Динозаврик и скейтборд", пластик, 450мл. СП-7271</t>
  </si>
  <si>
    <t>СП-7271</t>
  </si>
  <si>
    <t>4670159072713</t>
  </si>
  <si>
    <t>258456</t>
  </si>
  <si>
    <t>Стакан с трубочкой "Космический стиль",пластик, 750 мл СП-7524</t>
  </si>
  <si>
    <t>СП-7524</t>
  </si>
  <si>
    <t>4630493775282</t>
  </si>
  <si>
    <t>210159</t>
  </si>
  <si>
    <t>Стакан с трубочкой "Космическое путешествие", пластик, 450мл. СП-7266</t>
  </si>
  <si>
    <t>СП-7266</t>
  </si>
  <si>
    <t>4670159072669</t>
  </si>
  <si>
    <t>210161</t>
  </si>
  <si>
    <t>Стакан с трубочкой "Летний отдых", пластик, 450мл. СП-7268</t>
  </si>
  <si>
    <t>СП-7268</t>
  </si>
  <si>
    <t>4670159072683</t>
  </si>
  <si>
    <t>210165</t>
  </si>
  <si>
    <t>Стакан с трубочкой "Мотивация", пластик, 650мл. СП-7272</t>
  </si>
  <si>
    <t>СП-7272</t>
  </si>
  <si>
    <t>4670159072720</t>
  </si>
  <si>
    <t>234423</t>
  </si>
  <si>
    <t>Стакан с трубочкой "Победный гол", пластик, 450 мл СП-9507</t>
  </si>
  <si>
    <t>СП-9507</t>
  </si>
  <si>
    <t>4670159195078</t>
  </si>
  <si>
    <t>210160</t>
  </si>
  <si>
    <t>Стакан с трубочкой "Сахарный единорог", пластик, 450мл. СП-7267</t>
  </si>
  <si>
    <t>СП-7267</t>
  </si>
  <si>
    <t>4670159072676</t>
  </si>
  <si>
    <t>258451</t>
  </si>
  <si>
    <t>Стакан с трубочкой "Счастливый мишка ", с подсветкой, пластик, 450 мл СП-7520</t>
  </si>
  <si>
    <t>СП-7520</t>
  </si>
  <si>
    <t>4630493775244</t>
  </si>
  <si>
    <t>258477</t>
  </si>
  <si>
    <t>Стакан с трубочкой "Вдохновение", стекло, 450 мл СП-7532</t>
  </si>
  <si>
    <t>СП-7532</t>
  </si>
  <si>
    <t>4630493775367</t>
  </si>
  <si>
    <t>258464</t>
  </si>
  <si>
    <t>Стакан с трубочкой "Стильный глоток", охра, стекло, 410 мл СП-7528</t>
  </si>
  <si>
    <t>СП-7528</t>
  </si>
  <si>
    <t>4630493775329</t>
  </si>
  <si>
    <t>258461</t>
  </si>
  <si>
    <t>Стакан с трубочкой "Стильный глоток", розовый, стекло, 410 мл СП-7527</t>
  </si>
  <si>
    <t>СП-7527</t>
  </si>
  <si>
    <t>4630493775312</t>
  </si>
  <si>
    <t>258472</t>
  </si>
  <si>
    <t>Стакан с трубочкой "Стильный", стекло, 350 мл СП-7531</t>
  </si>
  <si>
    <t>СП-7531</t>
  </si>
  <si>
    <t>4630493775350</t>
  </si>
  <si>
    <t>04 Термокружки</t>
  </si>
  <si>
    <t>Термокружки из бамбука</t>
  </si>
  <si>
    <t>236747</t>
  </si>
  <si>
    <t>Термокружка из бамбука "Все кофе беру на себя" (475 мл) НГ-0797</t>
  </si>
  <si>
    <t>НГ-0797</t>
  </si>
  <si>
    <t>4670159207979</t>
  </si>
  <si>
    <t>236743</t>
  </si>
  <si>
    <t>Термокружка из бамбука "Котик - милашка" (475 мл) НГ-0793</t>
  </si>
  <si>
    <t>НГ-0793</t>
  </si>
  <si>
    <t>4670159207931</t>
  </si>
  <si>
    <t>236745</t>
  </si>
  <si>
    <t>Термокружка из бамбука "Люблю аниме, котиков и кофе" (475 мл) НГ-0795</t>
  </si>
  <si>
    <t>НГ-0795</t>
  </si>
  <si>
    <t>4670159207955</t>
  </si>
  <si>
    <t>236746</t>
  </si>
  <si>
    <t>Термокружка из бамбука "Пей кофе и будь счастлив" (475 мл) НГ-0796</t>
  </si>
  <si>
    <t>НГ-0796</t>
  </si>
  <si>
    <t>4670159207962</t>
  </si>
  <si>
    <t>236748</t>
  </si>
  <si>
    <t>Термокружка из бамбука "Только хорошие вайбы" (475 мл) НГ-0798</t>
  </si>
  <si>
    <t>НГ-0798</t>
  </si>
  <si>
    <t>4670159207986</t>
  </si>
  <si>
    <t>Термокружки из пластика</t>
  </si>
  <si>
    <t>275962</t>
  </si>
  <si>
    <t>Термокружка "А какой кофе любишь ты?" (350 мл) УД-4143</t>
  </si>
  <si>
    <t>УД-4143</t>
  </si>
  <si>
    <t>4680942641439</t>
  </si>
  <si>
    <t>275960</t>
  </si>
  <si>
    <t>Термокружка "Все что не делается - я и не делаю" (350 мл) УД-4141</t>
  </si>
  <si>
    <t>УД-4141</t>
  </si>
  <si>
    <t>4680942641415</t>
  </si>
  <si>
    <t>275968</t>
  </si>
  <si>
    <t>Термокружка "Котик и кофе" (353 мл) УД-4149</t>
  </si>
  <si>
    <t>УД-4149</t>
  </si>
  <si>
    <t>4680942641491</t>
  </si>
  <si>
    <t>275963</t>
  </si>
  <si>
    <t>Термокружка "Кофейное настроение" (350 мл) УД-4144</t>
  </si>
  <si>
    <t>УД-4144</t>
  </si>
  <si>
    <t>4680942641446</t>
  </si>
  <si>
    <t>275961</t>
  </si>
  <si>
    <t>Термокружка "Нас тупило утро" (350 мл) УД-4142</t>
  </si>
  <si>
    <t>УД-4142</t>
  </si>
  <si>
    <t>4680942641422</t>
  </si>
  <si>
    <t>275967</t>
  </si>
  <si>
    <t>Термокружка "Не кисни" (352 мл) УД-4148</t>
  </si>
  <si>
    <t>УД-4148</t>
  </si>
  <si>
    <t>4680942641484</t>
  </si>
  <si>
    <t>275958</t>
  </si>
  <si>
    <t>Термокружка "Нет тех вершин, что нельзя покорить" (350 мл) УД-4140</t>
  </si>
  <si>
    <t>УД-4140</t>
  </si>
  <si>
    <t>4680942641408</t>
  </si>
  <si>
    <t>275964</t>
  </si>
  <si>
    <t>Термокружка "Ты можешь все" (350 мл) УД-4145</t>
  </si>
  <si>
    <t>УД-4145</t>
  </si>
  <si>
    <t>4680942641453</t>
  </si>
  <si>
    <t>275965</t>
  </si>
  <si>
    <t>Термокружка "Цветы" (350 мл) УД-4146</t>
  </si>
  <si>
    <t>УД-4146</t>
  </si>
  <si>
    <t>4680942641460</t>
  </si>
  <si>
    <t>275966</t>
  </si>
  <si>
    <t>Термокружка "Эта девочка может все!" (351 мл) УД-4147</t>
  </si>
  <si>
    <t>УД-4147</t>
  </si>
  <si>
    <t>4680942641477</t>
  </si>
  <si>
    <t>Термостаканы пробковые</t>
  </si>
  <si>
    <t>216955</t>
  </si>
  <si>
    <t>Термостакан. Анимэ девушка, 450 мл,(пробка, пластик), (собственная разработка) КП-1346</t>
  </si>
  <si>
    <t>КП-1346</t>
  </si>
  <si>
    <t>4670159113461</t>
  </si>
  <si>
    <t>243259</t>
  </si>
  <si>
    <t>Термостакан. Босс, (пробка, пластик) 450 мл КП-3175</t>
  </si>
  <si>
    <t>КП-3175</t>
  </si>
  <si>
    <t>4670159231752</t>
  </si>
  <si>
    <t>216958</t>
  </si>
  <si>
    <t>Термостакан. Венсдей, 450 мл,(пробка, пластик), ( собственная разработка) КП-1348</t>
  </si>
  <si>
    <t>КП-1348</t>
  </si>
  <si>
    <t>4670159113485</t>
  </si>
  <si>
    <t>216957</t>
  </si>
  <si>
    <t>Термостакан. Гейша, 450 мл,(пробка, пластик), (собственная разработка) КП-1347</t>
  </si>
  <si>
    <t>КП-1347</t>
  </si>
  <si>
    <t>4670159113478</t>
  </si>
  <si>
    <t>216953</t>
  </si>
  <si>
    <t>Термостакан. Гуся, 450 мл,(пробка, пластик), (собственная разработка) КП-1345</t>
  </si>
  <si>
    <t>КП-1345</t>
  </si>
  <si>
    <t>4670159113454</t>
  </si>
  <si>
    <t>216952</t>
  </si>
  <si>
    <t>Термостакан. Космокофе, 450 мл,(пробка, пластик), (собственная разработка) КП-1344</t>
  </si>
  <si>
    <t>КП-1344</t>
  </si>
  <si>
    <t>4670159113447</t>
  </si>
  <si>
    <t>243251</t>
  </si>
  <si>
    <t>Термостакан. Кофе окрыляет, (пробка, пластик) 350 мл КП-3167</t>
  </si>
  <si>
    <t>КП-3167</t>
  </si>
  <si>
    <t>4670159231677</t>
  </si>
  <si>
    <t>243252</t>
  </si>
  <si>
    <t>Термостакан. Кофе-пауза, (пробка, пластик) 350 мл КП-3168</t>
  </si>
  <si>
    <t>КП-3168</t>
  </si>
  <si>
    <t>4670159231684</t>
  </si>
  <si>
    <t>216949</t>
  </si>
  <si>
    <t>Термостакан. Кофебара, 350 мл, ( собственная разработка) КП-1342</t>
  </si>
  <si>
    <t>КП-1342</t>
  </si>
  <si>
    <t>4670159113423</t>
  </si>
  <si>
    <t>194180</t>
  </si>
  <si>
    <t>Термостакан. Кофеголик, 450 мл,(пробка, пластик) КП-8196</t>
  </si>
  <si>
    <t>КП-8196</t>
  </si>
  <si>
    <t>4620129781961</t>
  </si>
  <si>
    <t>216945</t>
  </si>
  <si>
    <t>Термостакан. Кофейный котик, 350 мл,(пробка, пластик), (собственная разработка) КП-1339</t>
  </si>
  <si>
    <t>КП-1339</t>
  </si>
  <si>
    <t>4670159113393</t>
  </si>
  <si>
    <t>243253</t>
  </si>
  <si>
    <t>Термостакан. Люби себя, (пробка, пластик) 350 мл КП-3169</t>
  </si>
  <si>
    <t>КП-3169</t>
  </si>
  <si>
    <t>4670159231691</t>
  </si>
  <si>
    <t>243255</t>
  </si>
  <si>
    <t>Термостакан. Медвежонок и кофе, (пробка, пластик) 350 мл КП-3171</t>
  </si>
  <si>
    <t>КП-3171</t>
  </si>
  <si>
    <t>4670159231714</t>
  </si>
  <si>
    <t>216951</t>
  </si>
  <si>
    <t>Термостакан. Милая девочка, 350 мл,(пробка, пластик), (собственная разработка) КП-1343</t>
  </si>
  <si>
    <t>КП-1343</t>
  </si>
  <si>
    <t>4670159113430</t>
  </si>
  <si>
    <t>243254</t>
  </si>
  <si>
    <t>Термостакан. Милые котики, (пробка, пластик) 350 мл КП-3170</t>
  </si>
  <si>
    <t>КП-3170</t>
  </si>
  <si>
    <t>4670159231707</t>
  </si>
  <si>
    <t>243260</t>
  </si>
  <si>
    <t>Термостакан. Москва и кофе, (пробка, пластик) 450 мл КП-3176</t>
  </si>
  <si>
    <t>КП-3176</t>
  </si>
  <si>
    <t>4670159231769</t>
  </si>
  <si>
    <t>194176</t>
  </si>
  <si>
    <t>Термостакан. Мужчина номер один, 450 мл,(пробка, пластик) КП-8192</t>
  </si>
  <si>
    <t>КП-8192</t>
  </si>
  <si>
    <t>4620129781923</t>
  </si>
  <si>
    <t>243257</t>
  </si>
  <si>
    <t>Термостакан. Пандочка, (пробка, пластик) 450 мл КП-3173</t>
  </si>
  <si>
    <t>КП-3173</t>
  </si>
  <si>
    <t>4670159231738</t>
  </si>
  <si>
    <t>243256</t>
  </si>
  <si>
    <t>Термостакан. Премиум кофе, (пробка, пластик) 450 мл КП-3172</t>
  </si>
  <si>
    <t>КП-3172</t>
  </si>
  <si>
    <t>4670159231721</t>
  </si>
  <si>
    <t>194173</t>
  </si>
  <si>
    <t>Термостакан. Сонная сова, 350 мл,(пробка, пластик) КП-8189</t>
  </si>
  <si>
    <t>КП-8189</t>
  </si>
  <si>
    <t>4620129781893</t>
  </si>
  <si>
    <t>Термосы-кружки</t>
  </si>
  <si>
    <t>1. Термосы-кружки ТВОЯ ВОДА</t>
  </si>
  <si>
    <t>269608</t>
  </si>
  <si>
    <t>Термос-кружка с аксессуарами 7шт. Твоя вода  "Милая кружка", 1200 мл, соб.разр. УД-0617</t>
  </si>
  <si>
    <t>УД-0617</t>
  </si>
  <si>
    <t>4680942606346</t>
  </si>
  <si>
    <t>269607</t>
  </si>
  <si>
    <t>Термос-кружка с аксессуарами Твоя вода  "Розовый бант", 1200 мл, соб.разр. УД-0616</t>
  </si>
  <si>
    <t>УД-0616</t>
  </si>
  <si>
    <t>4680942606339</t>
  </si>
  <si>
    <t>2. Термос-кружки (собственная разработка)</t>
  </si>
  <si>
    <t>269610</t>
  </si>
  <si>
    <t>Термос-кружка с аксессуарами 2шт. "Хороший день", 1200 мл, соб.разр. УД-0619</t>
  </si>
  <si>
    <t>УД-0619</t>
  </si>
  <si>
    <t>4680942606360</t>
  </si>
  <si>
    <t>3. Термосы-кружки</t>
  </si>
  <si>
    <t>267288</t>
  </si>
  <si>
    <t>Термос-кружка с аксессуарами "Голубой бантик", голубой, 1200 мл, УД-7580</t>
  </si>
  <si>
    <t>УД-7580</t>
  </si>
  <si>
    <t>4640520775857</t>
  </si>
  <si>
    <t>267280</t>
  </si>
  <si>
    <t>Термос-кружка с аксессуарами для трубочки и основания "Цветок", белый, 1200 мл, УД-7579</t>
  </si>
  <si>
    <t>УД-7579</t>
  </si>
  <si>
    <t>4640520775796</t>
  </si>
  <si>
    <t>267283</t>
  </si>
  <si>
    <t>Термос-кружка с сумкой и ремешком, розовый, 1200 мл, УД-7582</t>
  </si>
  <si>
    <t>УД-7582</t>
  </si>
  <si>
    <t>4640520775819</t>
  </si>
  <si>
    <t>4. Аксессуары для термосов-кружек</t>
  </si>
  <si>
    <t>269597</t>
  </si>
  <si>
    <t>Набор аксессуаров 6 шт. для термокружек "Серая нежность" УД-0609</t>
  </si>
  <si>
    <t>УД-0609</t>
  </si>
  <si>
    <t>4680942606261</t>
  </si>
  <si>
    <t>269601</t>
  </si>
  <si>
    <t>Набор аксессуаров 7 шт. для термокружек "Праздник" УД-0611</t>
  </si>
  <si>
    <t>УД-0611</t>
  </si>
  <si>
    <t>4680942606285</t>
  </si>
  <si>
    <t>269600</t>
  </si>
  <si>
    <t>Набор аксессуаров 8 шт. для термокружек "Стиль" УД-0610</t>
  </si>
  <si>
    <t>УД-0610</t>
  </si>
  <si>
    <t>4680942606278</t>
  </si>
  <si>
    <t>05 Термосы</t>
  </si>
  <si>
    <t>2 Термосы U-turn</t>
  </si>
  <si>
    <t>212872</t>
  </si>
  <si>
    <t>Термос металл с кружкой, широким горлом "Стальной", 800мл, серебристый U-turn УД-9398</t>
  </si>
  <si>
    <t>УД-9398</t>
  </si>
  <si>
    <t>4670159091981</t>
  </si>
  <si>
    <t>246834</t>
  </si>
  <si>
    <t>Термос металлический с кружкой U-turn, 1000мл, 31,4*8,9 серебристый УД-2188</t>
  </si>
  <si>
    <t>УД-2188</t>
  </si>
  <si>
    <t>4640306921881</t>
  </si>
  <si>
    <t>246835</t>
  </si>
  <si>
    <t>Термос металлический с кружкой U-turn, 500мл, 24,7*7 серебристый УД-2189</t>
  </si>
  <si>
    <t>УД-2189</t>
  </si>
  <si>
    <t>4640306921898</t>
  </si>
  <si>
    <t>3 Другие</t>
  </si>
  <si>
    <t>210844</t>
  </si>
  <si>
    <t>Термос "Лаконизм", 400 мл УД-7826</t>
  </si>
  <si>
    <t>УД-7826</t>
  </si>
  <si>
    <t>4670159078760</t>
  </si>
  <si>
    <t>210868</t>
  </si>
  <si>
    <t>Термос "Поход",черный, металл, 500 мл УД-7835</t>
  </si>
  <si>
    <t>УД-7835</t>
  </si>
  <si>
    <t>4670159078852</t>
  </si>
  <si>
    <t>06 Ланч-боксы</t>
  </si>
  <si>
    <t>278642</t>
  </si>
  <si>
    <t>Ланч-бокс двухъярусн., со стаканом и прибор.(ложка-вилка)"Лягушка",600и250мл,пластик,розовый ЛБ-5181</t>
  </si>
  <si>
    <t>ЛБ-5181</t>
  </si>
  <si>
    <t>4680942651810</t>
  </si>
  <si>
    <t>278646</t>
  </si>
  <si>
    <t>Ланч-бокс двухъярусн.,со стаканом и прибор.(ложка-вилка) "Лягушка",600 и 250мл,пластик,синий ЛБ-5182</t>
  </si>
  <si>
    <t>ЛБ-5182</t>
  </si>
  <si>
    <t>4680942651827</t>
  </si>
  <si>
    <t>278652</t>
  </si>
  <si>
    <t>Ланч-бокс двухъярусн.,со стаканом и прибор.(ложка-вилка)"Лягушка",600 и250мл,пластик,зеленый ЛБ-5183</t>
  </si>
  <si>
    <t>ЛБ-5183</t>
  </si>
  <si>
    <t>4680942651834</t>
  </si>
  <si>
    <t>278667</t>
  </si>
  <si>
    <t>Ланч-бокс с двумя отдел.и прибор.(ложка-вилка)"Мишка",1100мл,21.5*12.7*7.6см,пластик,голубой ЛБ-5186</t>
  </si>
  <si>
    <t>ЛБ-5186</t>
  </si>
  <si>
    <t>4680942651865</t>
  </si>
  <si>
    <t>278668</t>
  </si>
  <si>
    <t>Ланч-бокс с двумя отдел.и прибор.(ложка-вилка)"Утенок",1100мл,21.5*12.7*7.6см,пластик,белый ЛБ-5187</t>
  </si>
  <si>
    <t>ЛБ-5187</t>
  </si>
  <si>
    <t>4680942651872</t>
  </si>
  <si>
    <t>214120</t>
  </si>
  <si>
    <t>Ланч-бокс с двумя отделен.+ чашка для супа,с прибор.(лож.,палочки),1000+ 330мл.,жёлто-синий ЛБ-9745</t>
  </si>
  <si>
    <t>ЛБ-9745</t>
  </si>
  <si>
    <t>4670159097457</t>
  </si>
  <si>
    <t>214375</t>
  </si>
  <si>
    <t>Ланч-бокс с двумя отделением "Прелесть" (в ассортименте), 540 мл Зелёный ЛБ-8890</t>
  </si>
  <si>
    <t>ЛБ-8890</t>
  </si>
  <si>
    <t>4670159098904</t>
  </si>
  <si>
    <t>214122</t>
  </si>
  <si>
    <t>Ланч-бокс с двумя отделениями + чашка для супа,с прибор.(лож.,палоч.)"Ужин",1000 +330мл,роз. ЛБ-9746</t>
  </si>
  <si>
    <t>ЛБ-9746</t>
  </si>
  <si>
    <t>4670159097464</t>
  </si>
  <si>
    <t>214399</t>
  </si>
  <si>
    <t>Ланч-бокс с двумя отделениями и прибор.(вилка,ложка)"Совушка"(в ассорт.),800мл Голубой ЛБ-8898</t>
  </si>
  <si>
    <t>ЛБ-8898</t>
  </si>
  <si>
    <t>4670159098980</t>
  </si>
  <si>
    <t>214401</t>
  </si>
  <si>
    <t>Ланч-бокс с двумя отделениями и прибор.(вилка,ложка)"Совушка"(в ассорт.),800мл Розовый ЛБ-8900</t>
  </si>
  <si>
    <t>ЛБ-8900</t>
  </si>
  <si>
    <t>4670159099000</t>
  </si>
  <si>
    <t>214402</t>
  </si>
  <si>
    <t>Ланч-бокс с двумя отделениями и прибор.(вилка,ложка)"Совушка"(в ассорт.),800мл Фиолетовый ЛБ-8901</t>
  </si>
  <si>
    <t>ЛБ-8901</t>
  </si>
  <si>
    <t>4670159099017</t>
  </si>
  <si>
    <t>214123</t>
  </si>
  <si>
    <t>Ланч-бокс с двумя отделениями+чашка для супа,с прибор.(ложка,палоч.)"Ужин",1000+330мл,зелён. ЛБ-9747</t>
  </si>
  <si>
    <t>ЛБ-9747</t>
  </si>
  <si>
    <t>4670159097471</t>
  </si>
  <si>
    <t>278686</t>
  </si>
  <si>
    <t>Ланч-бокс с одним отдел. и приборами(вилка,ложка)"Ананас",700 мл,14*21*17.3см,пластик,желтый ЛБ-5193</t>
  </si>
  <si>
    <t>ЛБ-5193</t>
  </si>
  <si>
    <t>4680942651933</t>
  </si>
  <si>
    <t>278691</t>
  </si>
  <si>
    <t>Ланч-бокс с одним отдел. и приборами(вилка,ложка)"Арбуз",700 мл,17*15.5*8см,пластик,красный ЛБ-5194</t>
  </si>
  <si>
    <t>ЛБ-5194</t>
  </si>
  <si>
    <t>4680942651940</t>
  </si>
  <si>
    <t>278675</t>
  </si>
  <si>
    <t>Ланч-бокс с одним отдел.и прибор.(вилка,ложка)"Клубничка",800 мл,16*16*8.5см,пластик,красный ЛБ-5191</t>
  </si>
  <si>
    <t>ЛБ-5191</t>
  </si>
  <si>
    <t>4680942651919</t>
  </si>
  <si>
    <t>278669</t>
  </si>
  <si>
    <t>Ланч-бокс с одним отдел.и прибор.(вилка,ложка)"Львенок",500 мл,15*15*6.5см,пластик,оранжевый ЛБ-5188</t>
  </si>
  <si>
    <t>ЛБ-5188</t>
  </si>
  <si>
    <t>4680942651889</t>
  </si>
  <si>
    <t>278672</t>
  </si>
  <si>
    <t>Ланч-бокс с одним отдел.и прибор.(вилка,ложка)"Мишка",500 мл,15*15*6.5см,пластик,желтый ЛБ-5190</t>
  </si>
  <si>
    <t>ЛБ-5190</t>
  </si>
  <si>
    <t>4680942651902</t>
  </si>
  <si>
    <t>278657</t>
  </si>
  <si>
    <t>Ланч-бокс с одним отдел.и прибор.(ложка-вилка)"Мишка",750 мл,17.1*13.1*7.2см,пластик,бежевый ЛБ-5184</t>
  </si>
  <si>
    <t>ЛБ-5184</t>
  </si>
  <si>
    <t>4680942651841</t>
  </si>
  <si>
    <t>278666</t>
  </si>
  <si>
    <t>Ланч-бокс с одним отдел.и прибор.(ложка-вилка)"Мишка",800 мл,15.3*7.2см,пластик,бежевый ЛБ-5185</t>
  </si>
  <si>
    <t>ЛБ-5185</t>
  </si>
  <si>
    <t>4680942651858</t>
  </si>
  <si>
    <t>278680</t>
  </si>
  <si>
    <t>Ланч-бокс с одним отдел.и приборами(вилка,ложка)"Морковь",800 мл,15*21*7см,пластик,оранжевый ЛБ-5192</t>
  </si>
  <si>
    <t>ЛБ-5192</t>
  </si>
  <si>
    <t>4680942651926</t>
  </si>
  <si>
    <t>278637</t>
  </si>
  <si>
    <t>Ланч-бокс с тремя отдел. и прибор.(ложка, вилка) "Мишка",850 мл,14*14*8см,пластик,бирюзовый ЛБ-5178</t>
  </si>
  <si>
    <t>ЛБ-5178</t>
  </si>
  <si>
    <t>4680942651780</t>
  </si>
  <si>
    <t>278636</t>
  </si>
  <si>
    <t>Ланч-бокс с тремя отдел. и прибор.(ложка, вилка) "Мишка",850 мл,14*14*8см,пластик,фиолетовый ЛБ-5177</t>
  </si>
  <si>
    <t>ЛБ-5177</t>
  </si>
  <si>
    <t>4680942651773</t>
  </si>
  <si>
    <t>278633</t>
  </si>
  <si>
    <t>Ланч-бокс с тремя отдел. и прибор.(ложка),"Клювик'',900мл,20*13.8*7.5см,сталь,пластик,желтый ЛБ-5175</t>
  </si>
  <si>
    <t>ЛБ-5175</t>
  </si>
  <si>
    <t>4680942651759</t>
  </si>
  <si>
    <t>278634</t>
  </si>
  <si>
    <t>Ланч-бокс с тремя отдел. и приборами (ложка, вилка) "Мишка",850 мл,14*14*8см,пластик,розовый ЛБ-5176</t>
  </si>
  <si>
    <t>ЛБ-5176</t>
  </si>
  <si>
    <t>4680942651766</t>
  </si>
  <si>
    <t>278631</t>
  </si>
  <si>
    <t>Ланч-бокс с тремя отдел. и прибором(ложка),"Клювик'',1200мл,20*13.8*7.5см,пластик, бирюзовый ЛБ-5173</t>
  </si>
  <si>
    <t>ЛБ-5173</t>
  </si>
  <si>
    <t>4680942651735</t>
  </si>
  <si>
    <t>278639</t>
  </si>
  <si>
    <t>Ланч-бокс с тремя отдел.,стаканом и прибор.(ложка-вилка) "Космос",1000 и 400мл,пластик,синий ЛБ-5180</t>
  </si>
  <si>
    <t>ЛБ-5180</t>
  </si>
  <si>
    <t>4680942651803</t>
  </si>
  <si>
    <t>278638</t>
  </si>
  <si>
    <t>Ланч-бокс с тремя отдел.,стаканом и прибор.(ложка-вилка)"Девочка",1000и400мл,пластик,розовый ЛБ-5179</t>
  </si>
  <si>
    <t>ЛБ-5179</t>
  </si>
  <si>
    <t>4680942651797</t>
  </si>
  <si>
    <t>278632</t>
  </si>
  <si>
    <t>Ланч-бокс с тремя отдел.и прибор.(ложка),"Клювик'',900мл,20*13.8*7.5см,пластик,сталь,персик ЛБ-5174</t>
  </si>
  <si>
    <t>ЛБ-5174</t>
  </si>
  <si>
    <t>4680942651742</t>
  </si>
  <si>
    <t>07 Сервировка стола</t>
  </si>
  <si>
    <t>01 Бокалы и стаканы</t>
  </si>
  <si>
    <t>257348</t>
  </si>
  <si>
    <t>Набор бокалов для вина "Рельеф" 575 мл (2 шт) НБК-7346</t>
  </si>
  <si>
    <t>НБК-7346</t>
  </si>
  <si>
    <t>4630493773462</t>
  </si>
  <si>
    <t>221370</t>
  </si>
  <si>
    <t>Набор стаканов 2 шт., 400 мл, 13*7*12.5 см БСТ-3320</t>
  </si>
  <si>
    <t>БСТ-3320</t>
  </si>
  <si>
    <t>4670159133209</t>
  </si>
  <si>
    <t>262380</t>
  </si>
  <si>
    <t>Набор стаканов 6 шт. "Грани", 6.7*9.5см, 310 мл, стекло БСТ-7045</t>
  </si>
  <si>
    <t>БСТ-7045</t>
  </si>
  <si>
    <t>4640520770456</t>
  </si>
  <si>
    <t>239010</t>
  </si>
  <si>
    <t>Набор стеклянных бокалов для вина Этюд  420 мл (2 шт) НБК-1815</t>
  </si>
  <si>
    <t>НБК-1815</t>
  </si>
  <si>
    <t>4670159218159</t>
  </si>
  <si>
    <t>239012</t>
  </si>
  <si>
    <t>Набор стеклянных бокалов для вина Этюд 500 мл (2 шт) НБК-1816</t>
  </si>
  <si>
    <t>НБК-1816</t>
  </si>
  <si>
    <t>4670159218166</t>
  </si>
  <si>
    <t>239007</t>
  </si>
  <si>
    <t>Набор стеклянных бокалов для шампанского Флюте 200 мл (2 шт) НБК-1814</t>
  </si>
  <si>
    <t>НБК-1814</t>
  </si>
  <si>
    <t>4670159218142</t>
  </si>
  <si>
    <t>239020</t>
  </si>
  <si>
    <t>Набор стеклянных стаканов Модерн 350 мл ( 2 шт) НСТ-1817</t>
  </si>
  <si>
    <t>НСТ-1817</t>
  </si>
  <si>
    <t>4670159218173</t>
  </si>
  <si>
    <t>02 Наборы чашек и чайный сервиз</t>
  </si>
  <si>
    <t>257331</t>
  </si>
  <si>
    <t>Набор 12 предметов: 6 кружек + 6 блюдец, 260 мл (2 белых, 2 графит, 2 серых), керамика, УД-7331</t>
  </si>
  <si>
    <t>УД-7331</t>
  </si>
  <si>
    <t>4630493773318</t>
  </si>
  <si>
    <t>257328</t>
  </si>
  <si>
    <t>Набор 12 предметов: 6 кружек + 6 блюдец, 260 мл (2 белых, 2 коричневых, 2 бежевых) керамика, УД-7329</t>
  </si>
  <si>
    <t>УД-7329</t>
  </si>
  <si>
    <t>4630493773295</t>
  </si>
  <si>
    <t>257329</t>
  </si>
  <si>
    <t>Набор 12 предметов: 6 кружек + 6 блюдец, 260 мл (белый), керамика УД-7330</t>
  </si>
  <si>
    <t>УД-7330</t>
  </si>
  <si>
    <t>4630493773301</t>
  </si>
  <si>
    <t>267409</t>
  </si>
  <si>
    <t>Набор керамических кружек 4 шт. разных цветов, 350 мл (белый, графит, тёмно-серый, бежевый), КП-7680</t>
  </si>
  <si>
    <t>КП-7680</t>
  </si>
  <si>
    <t>4640520776809</t>
  </si>
  <si>
    <t>267408</t>
  </si>
  <si>
    <t>Набор керамических кружек 4 шт., 350 мл, белый, КП-7679</t>
  </si>
  <si>
    <t>КП-7679</t>
  </si>
  <si>
    <t>4640520776793</t>
  </si>
  <si>
    <t>237283</t>
  </si>
  <si>
    <t>Набор чайных пар керамический "Ракушка", на две персоны, 250 мл ЧНП-1082</t>
  </si>
  <si>
    <t>ЧНП-1082</t>
  </si>
  <si>
    <t>4670159210825</t>
  </si>
  <si>
    <t>221375</t>
  </si>
  <si>
    <t>Набор чашек 4 шт., 23*23*11.7 см, 400 мл БСТ-3326</t>
  </si>
  <si>
    <t>БСТ-3326</t>
  </si>
  <si>
    <t>4670159133261</t>
  </si>
  <si>
    <t>221367</t>
  </si>
  <si>
    <t>Набор чашек 6 шт., белый и серый, 248 мл, 27.8*21.9*8.4 см КС-3037</t>
  </si>
  <si>
    <t>КС-3037</t>
  </si>
  <si>
    <t>4670159130376</t>
  </si>
  <si>
    <t>03 Стаканы и кружки с двойным дном</t>
  </si>
  <si>
    <t>237266</t>
  </si>
  <si>
    <t>Кружка с двойным дном (боросиликатное стекло)  "Конфетти", 350 мл, серебристая ЧНП-1072</t>
  </si>
  <si>
    <t>ЧНП-1072</t>
  </si>
  <si>
    <t>4670159210726</t>
  </si>
  <si>
    <t>231506</t>
  </si>
  <si>
    <t>Кружка с двойным дном (боросиликатное стекло), Пастельные сухоцветы 350 мл КС-4566</t>
  </si>
  <si>
    <t>КС-4566</t>
  </si>
  <si>
    <t>4670159145660</t>
  </si>
  <si>
    <t>231507</t>
  </si>
  <si>
    <t>Кружка с двойным дном (боросиликатное стекло), Сиреневые сухоцветы 350 мл КС-4567</t>
  </si>
  <si>
    <t>КС-4567</t>
  </si>
  <si>
    <t>4670159145677</t>
  </si>
  <si>
    <t>242594</t>
  </si>
  <si>
    <t>Кружка стеклянная с двойным дном "Сказочное утро", 350мл ВС-2589</t>
  </si>
  <si>
    <t>ВС-2589</t>
  </si>
  <si>
    <t>4670159225898</t>
  </si>
  <si>
    <t>215662</t>
  </si>
  <si>
    <t>Стакан стеклянный с двойным дном "Классический", 8,3*12*5см, 350мл ВС-0176</t>
  </si>
  <si>
    <t>ВС-0176</t>
  </si>
  <si>
    <t>4670159101765</t>
  </si>
  <si>
    <t>215661</t>
  </si>
  <si>
    <t>Стакан стеклянный с двойным дном "Классический", 8,3*9*5см, 250мл ВС-0175</t>
  </si>
  <si>
    <t>ВС-0175</t>
  </si>
  <si>
    <t>4670159101758</t>
  </si>
  <si>
    <t>215671</t>
  </si>
  <si>
    <t>Стакан стеклянный с двойным дном "Пандочка",9.8*5см, 200мл ВС-0185</t>
  </si>
  <si>
    <t>ВС-0185</t>
  </si>
  <si>
    <t>4670159101857</t>
  </si>
  <si>
    <t>04 Графины</t>
  </si>
  <si>
    <t>263882</t>
  </si>
  <si>
    <t>Графин (боросиликатное стекло) "Линии" 1,2 л, 25,5x9.5x4.7 см БСТ-7226</t>
  </si>
  <si>
    <t>БСТ-7226</t>
  </si>
  <si>
    <t>4640520772269</t>
  </si>
  <si>
    <t>257344</t>
  </si>
  <si>
    <t>Кувшин из боросиликатного стекла "Гармония", 1,8 л (золотистый), КС-7342</t>
  </si>
  <si>
    <t>КС-7342</t>
  </si>
  <si>
    <t>4630493773424</t>
  </si>
  <si>
    <t>257346</t>
  </si>
  <si>
    <t>Кувшин из боросиликатного стекла, "Статика" 1,8 л (золотистый), КС-7344</t>
  </si>
  <si>
    <t>КС-7344</t>
  </si>
  <si>
    <t>4630493773448</t>
  </si>
  <si>
    <t>05 Тарелки и блюда</t>
  </si>
  <si>
    <t>01 Тарелки (собственная разработка)</t>
  </si>
  <si>
    <t>КОЛЛЕКЦИЯ "БОТАНИКА"</t>
  </si>
  <si>
    <t>274412</t>
  </si>
  <si>
    <t>Тарелка закусочная керамическая Ботаника, 20,5 см, белая (собственная разработка) КС-2775</t>
  </si>
  <si>
    <t>КС-2775</t>
  </si>
  <si>
    <t>4680942627754</t>
  </si>
  <si>
    <t>274413</t>
  </si>
  <si>
    <t>Тарелка закусочная керамическая Ботаника, 20,5 см, белая (собственная разработка) КС-2776</t>
  </si>
  <si>
    <t>КС-2776</t>
  </si>
  <si>
    <t>4680942627761</t>
  </si>
  <si>
    <t>274415</t>
  </si>
  <si>
    <t>Тарелка закусочная керамическая Ботаника, 20,5 см, белая (собственная разработка) КС-2777</t>
  </si>
  <si>
    <t>КС-2777</t>
  </si>
  <si>
    <t>4680942627778</t>
  </si>
  <si>
    <t>274416</t>
  </si>
  <si>
    <t>Тарелка закусочная керамическая Ботаника, 20,5 см, белая (собственная разработка) КС-2778</t>
  </si>
  <si>
    <t>КС-2778</t>
  </si>
  <si>
    <t>4680942627785</t>
  </si>
  <si>
    <t>КОЛЛЕКЦИЯ "ДЛЯ МАМЫ"</t>
  </si>
  <si>
    <t>274417</t>
  </si>
  <si>
    <t>Тарелка закусочная керамическая Для мамы, 23 см, белая (собственная разработка) КС-2779</t>
  </si>
  <si>
    <t>КС-2779</t>
  </si>
  <si>
    <t>4680942627792</t>
  </si>
  <si>
    <t>274419</t>
  </si>
  <si>
    <t>Тарелка закусочная керамическая Мамина любовь, 23 см, белая (собственная разработка) КС-2780</t>
  </si>
  <si>
    <t>КС-2780</t>
  </si>
  <si>
    <t>4680942627808</t>
  </si>
  <si>
    <t>КОЛЛЕКЦИЯ "ЗДОРОВОЕ ПИТАНИЕ"</t>
  </si>
  <si>
    <t>274426</t>
  </si>
  <si>
    <t>Тарелка закусочная керамическая Здоровое питание, 23 см, белая (собственная разработка) КС-2786</t>
  </si>
  <si>
    <t>КС-2786</t>
  </si>
  <si>
    <t>4680942627860</t>
  </si>
  <si>
    <t>274425</t>
  </si>
  <si>
    <t>Тарелка закусочная керамическая Правильное питание, 23 см, белая (собственная разработка) КС-2785</t>
  </si>
  <si>
    <t>КС-2785</t>
  </si>
  <si>
    <t>4680942627853</t>
  </si>
  <si>
    <t>274427</t>
  </si>
  <si>
    <t>Тарелка закусочная керамическая Сытый кот, 23 см, белая (собственная разработка) КС-2787</t>
  </si>
  <si>
    <t>КС-2787</t>
  </si>
  <si>
    <t>4680942627877</t>
  </si>
  <si>
    <t>КОЛЛЕКЦИЯ "ЛЕСНАЯ ФАУНА"</t>
  </si>
  <si>
    <t>274422</t>
  </si>
  <si>
    <t>Тарелка закусочная керамическая Заяц, 20,5 см, белая (собственная разработка) КС-2783</t>
  </si>
  <si>
    <t>КС-2783</t>
  </si>
  <si>
    <t>4680942627839</t>
  </si>
  <si>
    <t>274421</t>
  </si>
  <si>
    <t>Тарелка закусочная керамическая Лисица, 20,5 см, белая (собственная разработка) КС-2782</t>
  </si>
  <si>
    <t>КС-2782</t>
  </si>
  <si>
    <t>4680942627822</t>
  </si>
  <si>
    <t>274420</t>
  </si>
  <si>
    <t>Тарелка закусочная керамическая Лошадь, 20,5 см, белая (собственная разработка) КС-2781</t>
  </si>
  <si>
    <t>КС-2781</t>
  </si>
  <si>
    <t>4680942627815</t>
  </si>
  <si>
    <t>274423</t>
  </si>
  <si>
    <t>Тарелка закусочная керамическая Утка, 20,5 см, белая (собственная разработка) КС-2784</t>
  </si>
  <si>
    <t>КС-2784</t>
  </si>
  <si>
    <t>4680942627846</t>
  </si>
  <si>
    <t>02 Тарелки и блюда</t>
  </si>
  <si>
    <t>237276</t>
  </si>
  <si>
    <t>Набор керамических тарелок 2 шт "Ракушка", 24 см ЧНП-1076</t>
  </si>
  <si>
    <t>ЧНП-1076</t>
  </si>
  <si>
    <t>4670159210764</t>
  </si>
  <si>
    <t>237275</t>
  </si>
  <si>
    <t>Набор керамических тарелок 2 шт "Ракушка", 27 см ЧНП-1075</t>
  </si>
  <si>
    <t>ЧНП-1075</t>
  </si>
  <si>
    <t>4670159210757</t>
  </si>
  <si>
    <t>237277</t>
  </si>
  <si>
    <t>Салатник керамический "Ракушка", 20*8 см ЧНП-1077</t>
  </si>
  <si>
    <t>ЧНП-1077</t>
  </si>
  <si>
    <t>4670159210771</t>
  </si>
  <si>
    <t>237278</t>
  </si>
  <si>
    <t>Салатник керамический "Ракушка", 25*10 см ЧНП-1078</t>
  </si>
  <si>
    <t>ЧНП-1078</t>
  </si>
  <si>
    <t>4670159210788</t>
  </si>
  <si>
    <t>237280</t>
  </si>
  <si>
    <t>Тарелка сервировочная керамическая "Ракушка", 30,7*15,5 см ЧНП-1080</t>
  </si>
  <si>
    <t>ЧНП-1080</t>
  </si>
  <si>
    <t>4670159210801</t>
  </si>
  <si>
    <t>06 Менажницы</t>
  </si>
  <si>
    <t>221357</t>
  </si>
  <si>
    <t>Менажница из 4 чаш на бамбуковой подставке, серый, 20.4*20.6*8.5 см КС-3027</t>
  </si>
  <si>
    <t>КС-3027</t>
  </si>
  <si>
    <t>4670159130277</t>
  </si>
  <si>
    <t>237279</t>
  </si>
  <si>
    <t>Менажница керамическая "Ракушка", 20*12 см ЧНП-1079</t>
  </si>
  <si>
    <t>ЧНП-1079</t>
  </si>
  <si>
    <t>4670159210795</t>
  </si>
  <si>
    <t>257338</t>
  </si>
  <si>
    <t>Менажница керамическая на бамбуковой подставке, 18 см, КС-7336</t>
  </si>
  <si>
    <t>КС-7336</t>
  </si>
  <si>
    <t>4630493773363</t>
  </si>
  <si>
    <t>262395</t>
  </si>
  <si>
    <t>Набор менажниц 3 секции 8.5*5.5 см, с подставкой 30*9.5*9 см КС-7050</t>
  </si>
  <si>
    <t>КС-7050</t>
  </si>
  <si>
    <t>4640520770500</t>
  </si>
  <si>
    <t>262394</t>
  </si>
  <si>
    <t>Набор менажниц 4 секции 14,8х8,5х2,5 см, на бамбуковой подставке 33х14,5х1 см КС-7049</t>
  </si>
  <si>
    <t>КС-7049</t>
  </si>
  <si>
    <t>4640520770494</t>
  </si>
  <si>
    <t>262396</t>
  </si>
  <si>
    <t>Набор менажниц 4 секции 8.5*5.5см,  с подставкой 21*18*9см , (2 вилки в комплекте) КС-7777</t>
  </si>
  <si>
    <t>КС-7777</t>
  </si>
  <si>
    <t>4640520770517</t>
  </si>
  <si>
    <t>07 Сахарницы и наборы для специй</t>
  </si>
  <si>
    <t>257343</t>
  </si>
  <si>
    <t>Набор для специй и салфетница керамика с бамбуковой подставкой, белый, КС-7341</t>
  </si>
  <si>
    <t>КС-7341</t>
  </si>
  <si>
    <t>4630493773417</t>
  </si>
  <si>
    <t>257353</t>
  </si>
  <si>
    <t>Набор для специй: сахарница и солонка "Эко" Боросиликатное стекло, бамбук  2 шт, КС-7350</t>
  </si>
  <si>
    <t>КС-7350</t>
  </si>
  <si>
    <t>4630493773509</t>
  </si>
  <si>
    <t>221360</t>
  </si>
  <si>
    <t>Набор сахарниц 2 шт., серый, 19.6*11.4*10.5 см КС-3030</t>
  </si>
  <si>
    <t>КС-3030</t>
  </si>
  <si>
    <t>4670159130307</t>
  </si>
  <si>
    <t>257334</t>
  </si>
  <si>
    <t>Сахарница керамическая "Зефир" КС-7333</t>
  </si>
  <si>
    <t>КС-7333</t>
  </si>
  <si>
    <t>4630493773332</t>
  </si>
  <si>
    <t>08 Салфетницы</t>
  </si>
  <si>
    <t>248282</t>
  </si>
  <si>
    <t>Салфетница "Минимализм" , белая 21x13x9,5 см СФ-2435</t>
  </si>
  <si>
    <t>СФ-2435</t>
  </si>
  <si>
    <t>4640306924356</t>
  </si>
  <si>
    <t>223395</t>
  </si>
  <si>
    <t>Салфетница на стол с подставкой для телефона в ретро стиле белая 18.5*16*14.5 см СФ-4227</t>
  </si>
  <si>
    <t>СФ-4227</t>
  </si>
  <si>
    <t>4670159142270</t>
  </si>
  <si>
    <t>248274</t>
  </si>
  <si>
    <t>Салфетница на стол с подставкой для телефона в ретро стиле, мятно-зеленая 18,5х16х13,5 см СФ-2433</t>
  </si>
  <si>
    <t>СФ-2433</t>
  </si>
  <si>
    <t>4640306924332</t>
  </si>
  <si>
    <t>248272</t>
  </si>
  <si>
    <t>Салфетница на стол с подставкой для телефона в ретро стиле, розово-белая 18,5х16х13,5 см СФ-2432</t>
  </si>
  <si>
    <t>СФ-2432</t>
  </si>
  <si>
    <t>4640306924325</t>
  </si>
  <si>
    <t>248265</t>
  </si>
  <si>
    <t>Салфетница на стол с подставкой для телефона в ретро стиле, сине-оранжевая 18,5х16х13,5 см СФ-2431</t>
  </si>
  <si>
    <t>СФ-2431</t>
  </si>
  <si>
    <t>4640306924318</t>
  </si>
  <si>
    <t>09 Кольца для салфеток</t>
  </si>
  <si>
    <t>231392</t>
  </si>
  <si>
    <t>Кольца для салфеток "Серебристые формы", 4 см, 4 шт, металл ШК-8180</t>
  </si>
  <si>
    <t>ШК-8180</t>
  </si>
  <si>
    <t>4670159181804</t>
  </si>
  <si>
    <t>10 Сервировочные салфетки</t>
  </si>
  <si>
    <t>237254</t>
  </si>
  <si>
    <t>Салфетки на стол сервировочные "Классика", 4 шт, светло-серые ЧНП-1063</t>
  </si>
  <si>
    <t>ЧНП-1063</t>
  </si>
  <si>
    <t>4670159210634</t>
  </si>
  <si>
    <t>237253</t>
  </si>
  <si>
    <t>Салфетки на стол сервировочные "Классика", 4 шт, серые ЧНП-1062</t>
  </si>
  <si>
    <t>ЧНП-1062</t>
  </si>
  <si>
    <t>4670159210627</t>
  </si>
  <si>
    <t>237257</t>
  </si>
  <si>
    <t>Салфетки на стол сервировочные "Классика", 4 шт, синие ЧНП-1066</t>
  </si>
  <si>
    <t>ЧНП-1066</t>
  </si>
  <si>
    <t>4670159210665</t>
  </si>
  <si>
    <t>237248</t>
  </si>
  <si>
    <t>Салфетки на стол сервировочные "Паутинка", 4 шт, красные ЧНП-1057</t>
  </si>
  <si>
    <t>ЧНП-1057</t>
  </si>
  <si>
    <t>4670159210573</t>
  </si>
  <si>
    <t>237261</t>
  </si>
  <si>
    <t>Салфетки на стол сервировочные "Узоры", 4 шт, черные ЧНП-1070</t>
  </si>
  <si>
    <t>ЧНП-1070</t>
  </si>
  <si>
    <t>4670159210702</t>
  </si>
  <si>
    <t>11 Ёмкости для хранения</t>
  </si>
  <si>
    <t>257333</t>
  </si>
  <si>
    <t>Масленка керамическая "Зефир" КС-7332</t>
  </si>
  <si>
    <t>КС-7332</t>
  </si>
  <si>
    <t>4630493773325</t>
  </si>
  <si>
    <t>12 Фруктовницы</t>
  </si>
  <si>
    <t>257913</t>
  </si>
  <si>
    <t>Фруктовница "Декор" черная, 24*25 см, ЧНП-7423</t>
  </si>
  <si>
    <t>ЧНП-7423</t>
  </si>
  <si>
    <t>4630493774230</t>
  </si>
  <si>
    <t>257909</t>
  </si>
  <si>
    <t>Фруктовница "Простота" черная, 29*29 см, ЧНП-7419</t>
  </si>
  <si>
    <t>ЧНП-7419</t>
  </si>
  <si>
    <t>4630493774193</t>
  </si>
  <si>
    <t>257914</t>
  </si>
  <si>
    <t>Фруктовница "Тишина" черная, 23*12 см, ЧНП-7424</t>
  </si>
  <si>
    <t>ЧНП-7424</t>
  </si>
  <si>
    <t>4630493774247</t>
  </si>
  <si>
    <t>257915</t>
  </si>
  <si>
    <t>Фруктовница "Форма" черная, 20*11 см, ЧНП-7425</t>
  </si>
  <si>
    <t>ЧНП-7425</t>
  </si>
  <si>
    <t>4630493774254</t>
  </si>
  <si>
    <t>257911</t>
  </si>
  <si>
    <t>Фруктовница "Эстетика" черная, 20*20 см, ЧНП-7421</t>
  </si>
  <si>
    <t>ЧНП-7421</t>
  </si>
  <si>
    <t>4630493774216</t>
  </si>
  <si>
    <t>257910</t>
  </si>
  <si>
    <t>Фруктовница "Эстетика" черная, 20*29 см, ЧНП-7420</t>
  </si>
  <si>
    <t>ЧНП-7420</t>
  </si>
  <si>
    <t>4630493774209</t>
  </si>
  <si>
    <t>03 ПОДАРКИ</t>
  </si>
  <si>
    <t>АЛЬБОМ-ДНЕВНИК ПЕРВОГО ГОДА ЖИЗНИ</t>
  </si>
  <si>
    <t>225827</t>
  </si>
  <si>
    <t>Альбом-дневник первого года жизни со скрап-заготовками АФ-5356</t>
  </si>
  <si>
    <t>АФ-5356</t>
  </si>
  <si>
    <t>4670159153566</t>
  </si>
  <si>
    <t>240457</t>
  </si>
  <si>
    <t>Альбом-дневник-2 первого года жизни со скрап-заготовками АФ-2152</t>
  </si>
  <si>
    <t>АФ-2152</t>
  </si>
  <si>
    <t>4670159221524</t>
  </si>
  <si>
    <t>Брелоки</t>
  </si>
  <si>
    <t>257827</t>
  </si>
  <si>
    <t>Брелок со стразами "Блестящая лошадка", серебристый, 10х3,5 см Т-7505</t>
  </si>
  <si>
    <t>Т-7505</t>
  </si>
  <si>
    <t>4630493775053</t>
  </si>
  <si>
    <t>257828</t>
  </si>
  <si>
    <t>Брелок со стразами "Ключ к сердцу", золотистый, 9х3,5 см Т-7506</t>
  </si>
  <si>
    <t>Т-7506</t>
  </si>
  <si>
    <t>4630493775060</t>
  </si>
  <si>
    <t>257829</t>
  </si>
  <si>
    <t>Брелок со стразами "Лунная фея", золотистый, 11,5х4,5 см Т-7507</t>
  </si>
  <si>
    <t>Т-7507</t>
  </si>
  <si>
    <t>4630493775077</t>
  </si>
  <si>
    <t>257831</t>
  </si>
  <si>
    <t>Брелок со стразами "Милый пёс", золотистый, 11х4 см Т-7509</t>
  </si>
  <si>
    <t>Т-7509</t>
  </si>
  <si>
    <t>4630493775091</t>
  </si>
  <si>
    <t>233535</t>
  </si>
  <si>
    <t>Брелок со стразами. "Герб золотистый", 5*5.5см Т-9131</t>
  </si>
  <si>
    <t>Т-9131</t>
  </si>
  <si>
    <t>4670159191315</t>
  </si>
  <si>
    <t>233536</t>
  </si>
  <si>
    <t>Брелок со стразами. "Герб серебристый", 5*5.5см Т-9132</t>
  </si>
  <si>
    <t>Т-9132</t>
  </si>
  <si>
    <t>4670159191322</t>
  </si>
  <si>
    <t>233531</t>
  </si>
  <si>
    <t>Брелок со стразами. "Изысканные лисички", 4.7*3.5см Т-9127</t>
  </si>
  <si>
    <t>Т-9127</t>
  </si>
  <si>
    <t>4670159191278</t>
  </si>
  <si>
    <t>209778</t>
  </si>
  <si>
    <t>Брелок со стразами. "Ключик от счастья", 4*6,5см Т-7205</t>
  </si>
  <si>
    <t>Т-7205</t>
  </si>
  <si>
    <t>4670159072058</t>
  </si>
  <si>
    <t>233530</t>
  </si>
  <si>
    <t>Брелок со стразами. "Красная помада", 5.3*1.7см Т-9126</t>
  </si>
  <si>
    <t>Т-9126</t>
  </si>
  <si>
    <t>4670159191261</t>
  </si>
  <si>
    <t>274999</t>
  </si>
  <si>
    <t>Брелок со стразами. "Милый поросёнок ", 3.5х3.5см Т-3479</t>
  </si>
  <si>
    <t>Т-3479</t>
  </si>
  <si>
    <t>4680942634790</t>
  </si>
  <si>
    <t>Креативные подарки</t>
  </si>
  <si>
    <t>Диспенсеры для напитков</t>
  </si>
  <si>
    <t>118951</t>
  </si>
  <si>
    <t>Диспенсер для напитков Бензоколонка ДН-4466</t>
  </si>
  <si>
    <t>ДН-4466</t>
  </si>
  <si>
    <t>4665307344668</t>
  </si>
  <si>
    <t>Маятники</t>
  </si>
  <si>
    <t>278062</t>
  </si>
  <si>
    <t>Маятник Вдохновение, синий, 20,5*13*19 см, пластик, металл, дерево Т-5145</t>
  </si>
  <si>
    <t>Т-5145</t>
  </si>
  <si>
    <t>4680942650868</t>
  </si>
  <si>
    <t>278068</t>
  </si>
  <si>
    <t>Маятник весы, Золотистый, 17*17см, металл  Т-5151</t>
  </si>
  <si>
    <t>Т-5151</t>
  </si>
  <si>
    <t>4680942650929</t>
  </si>
  <si>
    <t>278061</t>
  </si>
  <si>
    <t>Маятник Вечный двигатель на черн.подстав,18*10*23 см,на батар.4*АА(не в компл),пластик,металл Т-5144</t>
  </si>
  <si>
    <t>Т-5144</t>
  </si>
  <si>
    <t>4680942650851</t>
  </si>
  <si>
    <t>278057</t>
  </si>
  <si>
    <t>Маятник Гармония на черн.подставке, 15*10*20 см, на батар.4*АА(не в компл), пластик, металл Т-5140</t>
  </si>
  <si>
    <t>Т-5140</t>
  </si>
  <si>
    <t>4680942650813</t>
  </si>
  <si>
    <t>278058</t>
  </si>
  <si>
    <t>Маятник Дельфины на черн.подставке, 13*10*20 см, на батар.4*АА(не в компл), пластик, металл Т-5141</t>
  </si>
  <si>
    <t>Т-5141</t>
  </si>
  <si>
    <t>4680942650820</t>
  </si>
  <si>
    <t>118941</t>
  </si>
  <si>
    <t>Маятник Ньютона Т-4460</t>
  </si>
  <si>
    <t>Т-4460</t>
  </si>
  <si>
    <t>4665307344606</t>
  </si>
  <si>
    <t>278059</t>
  </si>
  <si>
    <t>Маятник Пара на черн.подставке, 10*10*20 см, на батар.4*АА(не в компл), пластик, металл Т-5142</t>
  </si>
  <si>
    <t>Т-5142</t>
  </si>
  <si>
    <t>4680942650837</t>
  </si>
  <si>
    <t>278060</t>
  </si>
  <si>
    <t>Маятник Парад планет на черн.подставке,18*10*22 см, на батар.4*АА(не в компл),пластик,металл Т-5143</t>
  </si>
  <si>
    <t>Т-5143</t>
  </si>
  <si>
    <t>4680942650844</t>
  </si>
  <si>
    <t>278067</t>
  </si>
  <si>
    <t>Маятник Спокойствие на черн.подставке, 22*9*25 см,на батар.4*АА(не в компл),пластик, металл Т-5150</t>
  </si>
  <si>
    <t>Т-5150</t>
  </si>
  <si>
    <t>4680942650912</t>
  </si>
  <si>
    <t>118943</t>
  </si>
  <si>
    <t>Маятник Человечек Т-4462</t>
  </si>
  <si>
    <t>Т-4462</t>
  </si>
  <si>
    <t>4665307344620</t>
  </si>
  <si>
    <t>199910</t>
  </si>
  <si>
    <t>Маятник Шары Ньютона на бордовой подставке, 14*11.5*13.5 см Т-1567</t>
  </si>
  <si>
    <t>Т-1567</t>
  </si>
  <si>
    <t>4670159015673</t>
  </si>
  <si>
    <t>278071</t>
  </si>
  <si>
    <t>Маятник Шары Ньютона на бордовой подставке, 18*14,5*17 см, пластик, металл Т-5154</t>
  </si>
  <si>
    <t>Т-5154</t>
  </si>
  <si>
    <t>4680942650950</t>
  </si>
  <si>
    <t>278073</t>
  </si>
  <si>
    <t>Маятник шары Ньютона на зеркальной серебряной подставке, 20*11*15 см, пластик, металл Т-5156</t>
  </si>
  <si>
    <t>Т-5156</t>
  </si>
  <si>
    <t>4680942650974</t>
  </si>
  <si>
    <t>278070</t>
  </si>
  <si>
    <t>Маятник Шары Ньютона на серебристой подставке, 18*11*15 см, пластик, металл Т-5153</t>
  </si>
  <si>
    <t>Т-5153</t>
  </si>
  <si>
    <t>4680942650943</t>
  </si>
  <si>
    <t>199913</t>
  </si>
  <si>
    <t>Маятник Шары Ньютона на чёрной подставке, 14*11.5*13.5 см Т-1570</t>
  </si>
  <si>
    <t>Т-1570</t>
  </si>
  <si>
    <t>4670159015703</t>
  </si>
  <si>
    <t>199914</t>
  </si>
  <si>
    <t>Маятник Шары Ньютона на чёрной подставке, 18*14.5*17.5 см Т-1571</t>
  </si>
  <si>
    <t>Т-1571</t>
  </si>
  <si>
    <t>4670159015710</t>
  </si>
  <si>
    <t>278069</t>
  </si>
  <si>
    <t>Маятник шары Ньютона с часами, 16*12*14,5 см, дерево, металл Т-5152</t>
  </si>
  <si>
    <t>Т-5152</t>
  </si>
  <si>
    <t>4680942650936</t>
  </si>
  <si>
    <t>278072</t>
  </si>
  <si>
    <t>Маятник Шары Ньютона светящ, 15*15*11,5 см, на батар. 4*АА (не в компл), пластик, металл, LED Т-5155</t>
  </si>
  <si>
    <t>Т-5155</t>
  </si>
  <si>
    <t>4680942650967</t>
  </si>
  <si>
    <t>118942</t>
  </si>
  <si>
    <t>Маятник Шары Ньютона Т-4461</t>
  </si>
  <si>
    <t>Т-4461</t>
  </si>
  <si>
    <t>4665307344613</t>
  </si>
  <si>
    <t>Сувениры-антистресс</t>
  </si>
  <si>
    <t>275137</t>
  </si>
  <si>
    <t>Сувенир интерактивный  "Дельфины", 10х5х4 см Т-3343</t>
  </si>
  <si>
    <t>Т-3343</t>
  </si>
  <si>
    <t>4680942632789</t>
  </si>
  <si>
    <t>275136</t>
  </si>
  <si>
    <t>Сувенир интерактивный "Киты", 10х5х4 см Т-3342</t>
  </si>
  <si>
    <t>Т-3342</t>
  </si>
  <si>
    <t>4680942632772</t>
  </si>
  <si>
    <t>257879</t>
  </si>
  <si>
    <t>Сувенир интерактивный "Корабль и айсберг", 10,5х5,2х4,2 см, Т-7429</t>
  </si>
  <si>
    <t>Т-7429</t>
  </si>
  <si>
    <t>4630493774292</t>
  </si>
  <si>
    <t>257882</t>
  </si>
  <si>
    <t>Сувенир интерактивный "Корабль и айсберг", 5,3х5,3х5,3 см, Т-7432</t>
  </si>
  <si>
    <t>Т-7432</t>
  </si>
  <si>
    <t>4630493774322</t>
  </si>
  <si>
    <t>236380</t>
  </si>
  <si>
    <t>Сувенир интерактивный "Корабль на волнах и айсберг", 15,2х5,2х5,2 см Т-0700</t>
  </si>
  <si>
    <t>Т-0700</t>
  </si>
  <si>
    <t>4670159206446</t>
  </si>
  <si>
    <t>257880</t>
  </si>
  <si>
    <t>Сувенир интерактивный "Корабль пиратов", 10,5х5,2х4,2 см, Т-7430</t>
  </si>
  <si>
    <t>Т-7430</t>
  </si>
  <si>
    <t>4630493774308</t>
  </si>
  <si>
    <t>257883</t>
  </si>
  <si>
    <t>Сувенир интерактивный "Корабль пиратов", 5,3х5,3х5,3 см, Т-7433</t>
  </si>
  <si>
    <t>Т-7433</t>
  </si>
  <si>
    <t>4630493774339</t>
  </si>
  <si>
    <t>275143</t>
  </si>
  <si>
    <t>Сувенир интерактивный "Котики удачи", 15,2х5,8х5,2 см Т-3349</t>
  </si>
  <si>
    <t>Т-3349</t>
  </si>
  <si>
    <t>4680942632840</t>
  </si>
  <si>
    <t>275140</t>
  </si>
  <si>
    <t>Сувенир интерактивный "Котики", 10х5х4 см Т-3346</t>
  </si>
  <si>
    <t>Т-3346</t>
  </si>
  <si>
    <t>4680942632819</t>
  </si>
  <si>
    <t>275141</t>
  </si>
  <si>
    <t>Сувенир интерактивный "Котята", 10х5х4 см Т-3347</t>
  </si>
  <si>
    <t>Т-3347</t>
  </si>
  <si>
    <t>4680942632826</t>
  </si>
  <si>
    <t>275144</t>
  </si>
  <si>
    <t>Сувенир интерактивный "Милые коты", 15,2х5,8х5,2 см Т-3350</t>
  </si>
  <si>
    <t>Т-3350</t>
  </si>
  <si>
    <t>4680942632857</t>
  </si>
  <si>
    <t>257881</t>
  </si>
  <si>
    <t>Сувенир интерактивный "Морские глубины", 10,5х5,2х4,2 см, Т-7431</t>
  </si>
  <si>
    <t>Т-7431</t>
  </si>
  <si>
    <t>4630493774315</t>
  </si>
  <si>
    <t>257876</t>
  </si>
  <si>
    <t>Сувенир интерактивный "Морские глубины", 15х5,2х5,2 см, Т-7426</t>
  </si>
  <si>
    <t>Т-7426</t>
  </si>
  <si>
    <t>4630493774261</t>
  </si>
  <si>
    <t>275145</t>
  </si>
  <si>
    <t>Сувенир интерактивный "Парочка", 15,2х5,8х5,2 см Т-3351</t>
  </si>
  <si>
    <t>Т-3351</t>
  </si>
  <si>
    <t>4680942632864</t>
  </si>
  <si>
    <t>236381</t>
  </si>
  <si>
    <t>Сувенир интерактивный "Пиратский вояж на волнах", 15,2х5,2х5,2 см Т-0701</t>
  </si>
  <si>
    <t>Т-0701</t>
  </si>
  <si>
    <t>4670159206453</t>
  </si>
  <si>
    <t>275142</t>
  </si>
  <si>
    <t>Сувенир интерактивный "Свинки", 10х5х4 см Т-3348</t>
  </si>
  <si>
    <t>Т-3348</t>
  </si>
  <si>
    <t>4680942632833</t>
  </si>
  <si>
    <t>275138</t>
  </si>
  <si>
    <t>Сувенир интерактивный "Собачки", 10х5х4 см Т-3344</t>
  </si>
  <si>
    <t>Т-3344</t>
  </si>
  <si>
    <t>4680942632796</t>
  </si>
  <si>
    <t>275139</t>
  </si>
  <si>
    <t>Сувенир интерактивный "Щеночки", 10х5х4 см Т-3345</t>
  </si>
  <si>
    <t>Т-3345</t>
  </si>
  <si>
    <t>4680942632802</t>
  </si>
  <si>
    <t>257891</t>
  </si>
  <si>
    <t>Сувенир интерактивный Часы-антистресс "Биение сердец", 13х5х5 см, Т-7441</t>
  </si>
  <si>
    <t>Т-7441</t>
  </si>
  <si>
    <t>4630493774414</t>
  </si>
  <si>
    <t>257885</t>
  </si>
  <si>
    <t>Сувенир интерактивный Часы-антистресс "Капибара", голубой, 15х5х2,4 см, Т-7435</t>
  </si>
  <si>
    <t>Т-7435</t>
  </si>
  <si>
    <t>4630493774353</t>
  </si>
  <si>
    <t>257889</t>
  </si>
  <si>
    <t>Сувенир интерактивный Часы-антистресс "Космонавт", 17х4,8х4,8 см, Т-7439</t>
  </si>
  <si>
    <t>Т-7439</t>
  </si>
  <si>
    <t>4630493774391</t>
  </si>
  <si>
    <t>257890</t>
  </si>
  <si>
    <t>Сувенир интерактивный Часы-антистресс "Сердца", 13х2,5х2,5 см, Т-7440</t>
  </si>
  <si>
    <t>Т-7440</t>
  </si>
  <si>
    <t>4630493774407</t>
  </si>
  <si>
    <t>275149</t>
  </si>
  <si>
    <t>Сувенир интерактивный Часы-антистресс. "Милые единороги", 15х5х2,5 см Т-3355</t>
  </si>
  <si>
    <t>Т-3355</t>
  </si>
  <si>
    <t>4680942632901</t>
  </si>
  <si>
    <t>275146</t>
  </si>
  <si>
    <t>Сувенир интерактивный Часы-антистресс. "Мишки с сердцами" 13х7,5х2,5 см Т-3352</t>
  </si>
  <si>
    <t>Т-3352</t>
  </si>
  <si>
    <t>4680942632871</t>
  </si>
  <si>
    <t>257884</t>
  </si>
  <si>
    <t>Сувенир интерактивный, Часы-антистресс "Звёздная ночь", 15х5х2,4 см, Т-7434</t>
  </si>
  <si>
    <t>Т-7434</t>
  </si>
  <si>
    <t>4630493774346</t>
  </si>
  <si>
    <t>Экспресс-скульпторы</t>
  </si>
  <si>
    <t>235675</t>
  </si>
  <si>
    <t>Экспресс скульптор "Веселое детство", пластик, желтый d=17*4 см Т-0320</t>
  </si>
  <si>
    <t>Т-0320</t>
  </si>
  <si>
    <t>4670159203209</t>
  </si>
  <si>
    <t>235674</t>
  </si>
  <si>
    <t>Экспресс скульптор "Озорное детство", пластик , красный d=17*4 см Т-0319</t>
  </si>
  <si>
    <t>Т-0319</t>
  </si>
  <si>
    <t>4670159203193</t>
  </si>
  <si>
    <t>235678</t>
  </si>
  <si>
    <t>Экспресс скульптор "Розовое сердце", пластик, розовый 22*20.5*4 см Т-0322</t>
  </si>
  <si>
    <t>Т-0322</t>
  </si>
  <si>
    <t>4670159203223</t>
  </si>
  <si>
    <t>Музыкальные шары</t>
  </si>
  <si>
    <t>121382</t>
  </si>
  <si>
    <t>Сувенир музыкальный водяной шар  Волшебный единорог, 8x12 см, d=8 см Т-4891</t>
  </si>
  <si>
    <t>Т-4891</t>
  </si>
  <si>
    <t>4665307348918</t>
  </si>
  <si>
    <t>121357</t>
  </si>
  <si>
    <t>Сувенир музыкальный водяной шар Полярная дружба Т-4875</t>
  </si>
  <si>
    <t>Т-4875</t>
  </si>
  <si>
    <t>4665307348758</t>
  </si>
  <si>
    <t>219343</t>
  </si>
  <si>
    <t>Сувенир музыкальный водяной шар Путь к мечте, голубой, 8x12 cm, диаметр: 8 cm Т-2377</t>
  </si>
  <si>
    <t>Т-2377</t>
  </si>
  <si>
    <t>4670159123774</t>
  </si>
  <si>
    <t>257822</t>
  </si>
  <si>
    <t>Сувенир музыкальный водяной шар с подсветкой "Милая пара", 10х16.5 см d=10 см СВП-0068</t>
  </si>
  <si>
    <t>СВП-0068</t>
  </si>
  <si>
    <t>4630493774483</t>
  </si>
  <si>
    <t>257824</t>
  </si>
  <si>
    <t>Сувенир музыкальный водяной шар с подсветкой "Милый единорог", 10х16.5 см d=10 см СВП-0070</t>
  </si>
  <si>
    <t>СВП-0070</t>
  </si>
  <si>
    <t>4630493774506</t>
  </si>
  <si>
    <t>201907</t>
  </si>
  <si>
    <t>Сувенир музыкальный водяной шар с подсветкой Сказочный Париж Розово-Фиолетовый СМ-3064</t>
  </si>
  <si>
    <t>СМ-3064</t>
  </si>
  <si>
    <t>4670159030645</t>
  </si>
  <si>
    <t>219350</t>
  </si>
  <si>
    <t>Сувенир музыкальный водяной шар Сказочная балерина, фиолетовый, 10x16,5 cm, диаметр: 10 cm Т-2384</t>
  </si>
  <si>
    <t>Т-2384</t>
  </si>
  <si>
    <t>4670159123842</t>
  </si>
  <si>
    <t>219340</t>
  </si>
  <si>
    <t>Сувенир музыкальный водяной шар Снежная красавица, 10x16,5 cm, диаметр: 10 cm Т-2375</t>
  </si>
  <si>
    <t>Т-2375</t>
  </si>
  <si>
    <t>4670159123750</t>
  </si>
  <si>
    <t>Мягкие игрушки</t>
  </si>
  <si>
    <t>Плюшевые</t>
  </si>
  <si>
    <t>234079</t>
  </si>
  <si>
    <t>Мягкая игрушка "Капибара-малыш", 18*18см ИГМ-9180</t>
  </si>
  <si>
    <t>ИГМ-9180</t>
  </si>
  <si>
    <t>4670159191803</t>
  </si>
  <si>
    <t>Награды</t>
  </si>
  <si>
    <t>Кубки</t>
  </si>
  <si>
    <t>102667</t>
  </si>
  <si>
    <t>Кубок Классика, 18, 5 см Т-9950</t>
  </si>
  <si>
    <t>Т-9950</t>
  </si>
  <si>
    <t>4665305399509</t>
  </si>
  <si>
    <t>141835</t>
  </si>
  <si>
    <t>Кубок Лучший из лучших, 18, 5 см Т-3338</t>
  </si>
  <si>
    <t>Т-3338</t>
  </si>
  <si>
    <t>4665307433386</t>
  </si>
  <si>
    <t>102669</t>
  </si>
  <si>
    <t>Кубок Награда чемпиону, 18,5 см Т-8499</t>
  </si>
  <si>
    <t>Т-8499</t>
  </si>
  <si>
    <t>4665306684994</t>
  </si>
  <si>
    <t>261116</t>
  </si>
  <si>
    <t>Кубок Победитель 20 см, золотистый шампань Т-7803</t>
  </si>
  <si>
    <t>Т-7803</t>
  </si>
  <si>
    <t>4630493778030</t>
  </si>
  <si>
    <t>261117</t>
  </si>
  <si>
    <t>Кубок Победитель 20 см, серебристый Т-7804</t>
  </si>
  <si>
    <t>Т-7804</t>
  </si>
  <si>
    <t>4630493778047</t>
  </si>
  <si>
    <t>Статуэтки</t>
  </si>
  <si>
    <t>102655</t>
  </si>
  <si>
    <t>Статуэтка - кинонаграда Классика, 15 см Т-9926</t>
  </si>
  <si>
    <t>Т-9926</t>
  </si>
  <si>
    <t>4665305399264</t>
  </si>
  <si>
    <t>102661</t>
  </si>
  <si>
    <t>Статуэтка - кинонаграда с венком Золотой человек, 25 см Т-9932</t>
  </si>
  <si>
    <t>Т-9932</t>
  </si>
  <si>
    <t>4665305399325</t>
  </si>
  <si>
    <t>102653</t>
  </si>
  <si>
    <t>Статуэтка - кинонаграда С днем рождения, 15 см Т-9923</t>
  </si>
  <si>
    <t>Т-9923</t>
  </si>
  <si>
    <t>4665305399233</t>
  </si>
  <si>
    <t>102663</t>
  </si>
  <si>
    <t>Статуэтка - награда Лучший учитель, 19 см Т-9934</t>
  </si>
  <si>
    <t>Т-9934</t>
  </si>
  <si>
    <t>4665305399349</t>
  </si>
  <si>
    <t>102664</t>
  </si>
  <si>
    <t>Статуэтка - награда С юбилеем, 19 см Т-9947</t>
  </si>
  <si>
    <t>Т-9947</t>
  </si>
  <si>
    <t>4665305399479</t>
  </si>
  <si>
    <t>102657</t>
  </si>
  <si>
    <t>Статуэтка Кинонаграда с венком, 18 см Т-9928</t>
  </si>
  <si>
    <t>Т-9928</t>
  </si>
  <si>
    <t>4665305399288</t>
  </si>
  <si>
    <t>102665</t>
  </si>
  <si>
    <t>Статуэтка Крылатая богиня, 19 см Т-9948</t>
  </si>
  <si>
    <t>Т-9948</t>
  </si>
  <si>
    <t>4665305399486</t>
  </si>
  <si>
    <t>248101</t>
  </si>
  <si>
    <t>Статуэтка-кинонаграда Лучший учитель, 18 см Т-2371</t>
  </si>
  <si>
    <t>Т-2371</t>
  </si>
  <si>
    <t>4640306923786</t>
  </si>
  <si>
    <t>102652</t>
  </si>
  <si>
    <t>Статуэтка-кинонаграда Человек года, 15 см Т-9922</t>
  </si>
  <si>
    <t>Т-9922</t>
  </si>
  <si>
    <t>4665305399226</t>
  </si>
  <si>
    <t>279917</t>
  </si>
  <si>
    <t>Статуэтка-награда "Звезда", 22 см, пластик Т-5822</t>
  </si>
  <si>
    <t>Т-5822</t>
  </si>
  <si>
    <t>4680942658222</t>
  </si>
  <si>
    <t>279916</t>
  </si>
  <si>
    <t>Статуэтка-награда "Скрипичный ключ", 14 см, пластик Т-5821</t>
  </si>
  <si>
    <t>Т-5821</t>
  </si>
  <si>
    <t>4680942658215</t>
  </si>
  <si>
    <t>279915</t>
  </si>
  <si>
    <t>Статуэтка-награда "Ты-звезда!" 18 см, пластик Т-5820</t>
  </si>
  <si>
    <t>Т-5820</t>
  </si>
  <si>
    <t>4680942658208</t>
  </si>
  <si>
    <t>Пляжные сумки</t>
  </si>
  <si>
    <t>266906</t>
  </si>
  <si>
    <t>Сумка плетеная пляжная  на молнии, 36*37*3 см СП-7556</t>
  </si>
  <si>
    <t>СП-7556</t>
  </si>
  <si>
    <t>4640520775567</t>
  </si>
  <si>
    <t>266904</t>
  </si>
  <si>
    <t>Сумка плетеная пляжная соломенная на молнии, 60*42*3 см СП-7555</t>
  </si>
  <si>
    <t>СП-7555</t>
  </si>
  <si>
    <t>4640520775550</t>
  </si>
  <si>
    <t>244497</t>
  </si>
  <si>
    <t>Сумка пляжная  "Девушка в минимализме", 46х36 см (собственная разработка) СП-2265</t>
  </si>
  <si>
    <t>СП-2265</t>
  </si>
  <si>
    <t>4670159222651</t>
  </si>
  <si>
    <t>244506</t>
  </si>
  <si>
    <t>Сумка пляжная  "Жаркая вечеринка", 46х36 см (собственная разработка) СП-2274</t>
  </si>
  <si>
    <t>СП-2274</t>
  </si>
  <si>
    <t>4670159222743</t>
  </si>
  <si>
    <t>244499</t>
  </si>
  <si>
    <t>Сумка пляжная  "Жаркий пляж", 46х36 см (собственная разработка) СП-2267</t>
  </si>
  <si>
    <t>СП-2267</t>
  </si>
  <si>
    <t>4670159222675</t>
  </si>
  <si>
    <t>244484</t>
  </si>
  <si>
    <t>Сумка пляжная  "Зебра принт", 46х36 см (собственная разработка) СП-2256</t>
  </si>
  <si>
    <t>СП-2256</t>
  </si>
  <si>
    <t>4670159222569</t>
  </si>
  <si>
    <t>244505</t>
  </si>
  <si>
    <t>Сумка пляжная  "Капитан", 46х36 см (собственная разработка) СП-2273</t>
  </si>
  <si>
    <t>СП-2273</t>
  </si>
  <si>
    <t>4670159222736</t>
  </si>
  <si>
    <t>244490</t>
  </si>
  <si>
    <t>Сумка пляжная  "Летнее наслаждение", 46х36 см, (собственная разработка) СП-2261</t>
  </si>
  <si>
    <t>СП-2261</t>
  </si>
  <si>
    <t>4670159222613</t>
  </si>
  <si>
    <t>244502</t>
  </si>
  <si>
    <t>Сумка пляжная  "Пляжная абстракция", 46х36 см (собственная разработка) СП-2270</t>
  </si>
  <si>
    <t>СП-2270</t>
  </si>
  <si>
    <t>4670159222705</t>
  </si>
  <si>
    <t>244485</t>
  </si>
  <si>
    <t>Сумка пляжная  "Пляжный настрой", 46х36 см, (собственная разработка) СП-2257</t>
  </si>
  <si>
    <t>СП-2257</t>
  </si>
  <si>
    <t>4670159222576</t>
  </si>
  <si>
    <t>244492</t>
  </si>
  <si>
    <t>Сумка пляжная  "Серфинг доска", 46х36 см, (собственная разработка) СП-2263</t>
  </si>
  <si>
    <t>СП-2263</t>
  </si>
  <si>
    <t>4670159222637</t>
  </si>
  <si>
    <t>207952</t>
  </si>
  <si>
    <t>Сумка пляжная "Девушка и подсолнухи",46х36 cm, (собственная разработка) СП-6298</t>
  </si>
  <si>
    <t>СП-6298</t>
  </si>
  <si>
    <t>4670159062981</t>
  </si>
  <si>
    <t>225699</t>
  </si>
  <si>
    <t>Сумка пляжная "Зеленая абстракция", 46х36 см,  с золотистым тиснением, СП-5378</t>
  </si>
  <si>
    <t>СП-5378</t>
  </si>
  <si>
    <t>4670159152798</t>
  </si>
  <si>
    <t>225693</t>
  </si>
  <si>
    <t>Сумка пляжная "Клетка", 46х36 см, бежевая, СП-5373</t>
  </si>
  <si>
    <t>СП-5373</t>
  </si>
  <si>
    <t>4670159152743</t>
  </si>
  <si>
    <t>225692</t>
  </si>
  <si>
    <t>Сумка пляжная "Клетка", 46х36 см, розовая, СП-5372</t>
  </si>
  <si>
    <t>СП-5372</t>
  </si>
  <si>
    <t>4670159152736</t>
  </si>
  <si>
    <t>225691</t>
  </si>
  <si>
    <t>Сумка пляжная "Клетка", 46х36 см, синяя, СП-5371</t>
  </si>
  <si>
    <t>СП-5371</t>
  </si>
  <si>
    <t>4670159152729</t>
  </si>
  <si>
    <t>219326</t>
  </si>
  <si>
    <t>Сумка пляжная "Лазурный берег",46х36 cm, (собственная разработка) СП-2356</t>
  </si>
  <si>
    <t>СП-2356</t>
  </si>
  <si>
    <t>4670159123569</t>
  </si>
  <si>
    <t>207942</t>
  </si>
  <si>
    <t>Сумка пляжная "Летняя вечеринка",46х36 cm, (собственная разработка) СП-6294</t>
  </si>
  <si>
    <t>СП-6294</t>
  </si>
  <si>
    <t>4670159062943</t>
  </si>
  <si>
    <t>267358</t>
  </si>
  <si>
    <t>Сумка пляжная "Лето",46х36 см, (собственная разработка) СП-7630</t>
  </si>
  <si>
    <t>СП-7630</t>
  </si>
  <si>
    <t>4640520776304</t>
  </si>
  <si>
    <t>219323</t>
  </si>
  <si>
    <t>Сумка пляжная "Лимонад",46х36 cm, (собственная разработка) СП-2353</t>
  </si>
  <si>
    <t>СП-2353</t>
  </si>
  <si>
    <t>4670159123538</t>
  </si>
  <si>
    <t>219327</t>
  </si>
  <si>
    <t>Сумка пляжная "Морской кораблик",46х36 cm, (собственная разработка) СП-2357</t>
  </si>
  <si>
    <t>СП-2357</t>
  </si>
  <si>
    <t>4670159123576</t>
  </si>
  <si>
    <t>219331</t>
  </si>
  <si>
    <t>Сумка пляжная "Морской якорь",46х36 cm, (собственная разработка) СП-2360</t>
  </si>
  <si>
    <t>СП-2360</t>
  </si>
  <si>
    <t>4670159123606</t>
  </si>
  <si>
    <t>219328</t>
  </si>
  <si>
    <t>Сумка пляжная "Нежный конёк",46х36 cm, (собственная разработка) СП-2358</t>
  </si>
  <si>
    <t>СП-2358</t>
  </si>
  <si>
    <t>4670159123583</t>
  </si>
  <si>
    <t>219319</t>
  </si>
  <si>
    <t>Сумка пляжная "Пляжный вайб",46х36 cm, (собственная разработка) СП-2350</t>
  </si>
  <si>
    <t>СП-2350</t>
  </si>
  <si>
    <t>4670159123507</t>
  </si>
  <si>
    <t>219324</t>
  </si>
  <si>
    <t>Сумка пляжная "Сочные напитки",46х36 cm, (собственная разработка) СП-2354</t>
  </si>
  <si>
    <t>СП-2354</t>
  </si>
  <si>
    <t>4670159123545</t>
  </si>
  <si>
    <t>244489</t>
  </si>
  <si>
    <t>Сумка пляжная "Счастливая ракушка", 46х36 см, (собственная разработка) СП-2260</t>
  </si>
  <si>
    <t>СП-2260</t>
  </si>
  <si>
    <t>4670159222606</t>
  </si>
  <si>
    <t>207947</t>
  </si>
  <si>
    <t>Сумка пляжная "Тропический закат",46х36 cm, (собственная разработка) СП-6296</t>
  </si>
  <si>
    <t>СП-6296</t>
  </si>
  <si>
    <t>4670159062967</t>
  </si>
  <si>
    <t>225704</t>
  </si>
  <si>
    <t>Сумка пляжная "Узоры", 38х79 см, СП-5383</t>
  </si>
  <si>
    <t>СП-5383</t>
  </si>
  <si>
    <t>4670159152842</t>
  </si>
  <si>
    <t>207950</t>
  </si>
  <si>
    <t>Сумка пляжная "Яркие краски",46х36 cm, (собственная разработка) СП-6297</t>
  </si>
  <si>
    <t>СП-6297</t>
  </si>
  <si>
    <t>4670159062974</t>
  </si>
  <si>
    <t>163667</t>
  </si>
  <si>
    <t>Сумка пляжная Греция СП-2849</t>
  </si>
  <si>
    <t>СП-2849</t>
  </si>
  <si>
    <t>4610144828499</t>
  </si>
  <si>
    <t>140909</t>
  </si>
  <si>
    <t>Сумка пляжная Дары моря СП-3236</t>
  </si>
  <si>
    <t>СП-3236</t>
  </si>
  <si>
    <t>4665307432365</t>
  </si>
  <si>
    <t>200297</t>
  </si>
  <si>
    <t>Сумка пляжная Жизнь моряка СП-1809</t>
  </si>
  <si>
    <t>СП-1809</t>
  </si>
  <si>
    <t>4670159018094</t>
  </si>
  <si>
    <t>140924</t>
  </si>
  <si>
    <t>Сумка пляжная Здравствуй лето! СП-3244</t>
  </si>
  <si>
    <t>СП-3244</t>
  </si>
  <si>
    <t>4665307432440</t>
  </si>
  <si>
    <t>247290</t>
  </si>
  <si>
    <t>Сумка пляжная из джута, 45*34 см СП-2192</t>
  </si>
  <si>
    <t>СП-2192</t>
  </si>
  <si>
    <t>4640306921959</t>
  </si>
  <si>
    <t>140917</t>
  </si>
  <si>
    <t>Сумка пляжная Лето в тропиках СП-3240</t>
  </si>
  <si>
    <t>СП-3240</t>
  </si>
  <si>
    <t>4665307432402</t>
  </si>
  <si>
    <t>200305</t>
  </si>
  <si>
    <t>Сумка пляжная Любимое время года СП-1812</t>
  </si>
  <si>
    <t>СП-1812</t>
  </si>
  <si>
    <t>4670159018124</t>
  </si>
  <si>
    <t>200287</t>
  </si>
  <si>
    <t>Сумка пляжная Маяк, штурвал и якорь СП-1824</t>
  </si>
  <si>
    <t>СП-1824</t>
  </si>
  <si>
    <t>4670159018049</t>
  </si>
  <si>
    <t>140914</t>
  </si>
  <si>
    <t>Сумка пляжная Мечта моряка СП-3239</t>
  </si>
  <si>
    <t>СП-3239</t>
  </si>
  <si>
    <t>4665307432396</t>
  </si>
  <si>
    <t>140910</t>
  </si>
  <si>
    <t>Сумка пляжная Остров сокровищ СП-3237</t>
  </si>
  <si>
    <t>СП-3237</t>
  </si>
  <si>
    <t>4665307432372</t>
  </si>
  <si>
    <t>247292</t>
  </si>
  <si>
    <t>Сумка пляжная плетеная, 43*40 см СП-2194</t>
  </si>
  <si>
    <t>СП-2194</t>
  </si>
  <si>
    <t>4640306922017</t>
  </si>
  <si>
    <t>247291</t>
  </si>
  <si>
    <t>Сумка пляжная плетеная, 46*33 см СП-2193</t>
  </si>
  <si>
    <t>СП-2193</t>
  </si>
  <si>
    <t>4640306922000</t>
  </si>
  <si>
    <t>121947</t>
  </si>
  <si>
    <t>Сумка пляжная Пляж СП-5291</t>
  </si>
  <si>
    <t>СП-5291</t>
  </si>
  <si>
    <t>4665307352915</t>
  </si>
  <si>
    <t>140925</t>
  </si>
  <si>
    <t>Сумка пляжная Тропические листья абстракция СП-3245</t>
  </si>
  <si>
    <t>СП-3245</t>
  </si>
  <si>
    <t>4665307432457</t>
  </si>
  <si>
    <t>200289</t>
  </si>
  <si>
    <t>Сумка пляжная Тропическое удовольствие СП-1805</t>
  </si>
  <si>
    <t>СП-1805</t>
  </si>
  <si>
    <t>4670159018056</t>
  </si>
  <si>
    <t>247289</t>
  </si>
  <si>
    <t>Сумка пляжная шоппер, 42*45 см СП-2191</t>
  </si>
  <si>
    <t>СП-2191</t>
  </si>
  <si>
    <t>4640306921911</t>
  </si>
  <si>
    <t>200302</t>
  </si>
  <si>
    <t>Сумка пляжная Я люблю лето СП-1811</t>
  </si>
  <si>
    <t>СП-1811</t>
  </si>
  <si>
    <t>4670159018117</t>
  </si>
  <si>
    <t>121949</t>
  </si>
  <si>
    <t>Сумка пляжная Яркое лето СП-5293</t>
  </si>
  <si>
    <t>СП-5293</t>
  </si>
  <si>
    <t>4665307352939</t>
  </si>
  <si>
    <t>Пляжные шляпы</t>
  </si>
  <si>
    <t>267955</t>
  </si>
  <si>
    <t>Женская  шляпа "Солнечный лист", размер 56-58, ЛШ-7832</t>
  </si>
  <si>
    <t>ЛШ-7832</t>
  </si>
  <si>
    <t>4640520778322</t>
  </si>
  <si>
    <t>267960</t>
  </si>
  <si>
    <t>Женская шляпа "Коралловый закат", размер 56-58, ЛШ-7837</t>
  </si>
  <si>
    <t>ЛШ-7837</t>
  </si>
  <si>
    <t>4640520778377</t>
  </si>
  <si>
    <t>267958</t>
  </si>
  <si>
    <t>Женская шляпа "Летний рассвет", размер 56-58, ЛШ-7835</t>
  </si>
  <si>
    <t>ЛШ-7835</t>
  </si>
  <si>
    <t>4640520778353</t>
  </si>
  <si>
    <t>267954</t>
  </si>
  <si>
    <t>Женская шляпа "Морской бриз", размер 56-58, ЛШ-7831</t>
  </si>
  <si>
    <t>ЛШ-7831</t>
  </si>
  <si>
    <t>4640520778315</t>
  </si>
  <si>
    <t>267963</t>
  </si>
  <si>
    <t>Женская шляпа "Морской прибой", размер 56-58, ЛШ-7840</t>
  </si>
  <si>
    <t>ЛШ-7840</t>
  </si>
  <si>
    <t>4640520778407</t>
  </si>
  <si>
    <t>267956</t>
  </si>
  <si>
    <t>Женская шляпа "Песчаный берег", размер 56-58, ЛШ-7833</t>
  </si>
  <si>
    <t>ЛШ-7833</t>
  </si>
  <si>
    <t>4640520778339</t>
  </si>
  <si>
    <t>267959</t>
  </si>
  <si>
    <t>Женская шляпа "Райский остров", размер 56-58, ЛШ-7836</t>
  </si>
  <si>
    <t>ЛШ-7836</t>
  </si>
  <si>
    <t>4640520778360</t>
  </si>
  <si>
    <t>Подушки в дорогу</t>
  </si>
  <si>
    <t>182545</t>
  </si>
  <si>
    <t>Подушка дорожная с эффектом памяти "Кошечка", розовая ТП-0404</t>
  </si>
  <si>
    <t>ТП-0404</t>
  </si>
  <si>
    <t>4620129704045</t>
  </si>
  <si>
    <t>182555</t>
  </si>
  <si>
    <t>Подушка дорожная с эффектом памяти "Турист", розовая ТП-0409</t>
  </si>
  <si>
    <t>ТП-0409</t>
  </si>
  <si>
    <t>4620129704090</t>
  </si>
  <si>
    <t>182554</t>
  </si>
  <si>
    <t>Подушка дорожная с эффектом памяти Турист, зелёная ТП-0408</t>
  </si>
  <si>
    <t>ТП-0408</t>
  </si>
  <si>
    <t>4620129704083</t>
  </si>
  <si>
    <t>209774</t>
  </si>
  <si>
    <t>Подушка дорожная. С эффектом памяти. "Бантики" (размер S), серая ТП-7277</t>
  </si>
  <si>
    <t>ТП-7277</t>
  </si>
  <si>
    <t>4670159072775</t>
  </si>
  <si>
    <t>207438</t>
  </si>
  <si>
    <t>Подушка дорожная. С эффектом памяти. "Круиз",30*30см, голубая ТП-5439</t>
  </si>
  <si>
    <t>ТП-5439</t>
  </si>
  <si>
    <t>4670159054399</t>
  </si>
  <si>
    <t>Сквиши</t>
  </si>
  <si>
    <t>092681</t>
  </si>
  <si>
    <t>Сквиш Арбузик УД-9811</t>
  </si>
  <si>
    <t>УД-9811</t>
  </si>
  <si>
    <t>4665305398113</t>
  </si>
  <si>
    <t>Фляжки</t>
  </si>
  <si>
    <t>234529</t>
  </si>
  <si>
    <t>Подарочный набор. Фляжка  с аксесс. Ностальгия, 240мл (2 рюмки 30мл, ручка, воронка, брелок) ФЛ-9600</t>
  </si>
  <si>
    <t>ФЛ-9600</t>
  </si>
  <si>
    <t>4670159196006</t>
  </si>
  <si>
    <t>234530</t>
  </si>
  <si>
    <t>Подарочный набор. Фляжка  с аксессуарами "Орел", 240мл (4 рюмки 30мл, воронка) ФЛ-9601</t>
  </si>
  <si>
    <t>ФЛ-9601</t>
  </si>
  <si>
    <t>4670159196013</t>
  </si>
  <si>
    <t>234531</t>
  </si>
  <si>
    <t>Подарочный набор. Фляжка  с аксессуарами "Россия", 240мл (4 рюмки 30мл, воронка) ФЛ-9602</t>
  </si>
  <si>
    <t>ФЛ-9602</t>
  </si>
  <si>
    <t>4670159196020</t>
  </si>
  <si>
    <t>234533</t>
  </si>
  <si>
    <t>Подарочный набор. Фляжка  с аксессуарами "Сила союза", 530мл (4 рюмки, 30мл, воронка) ФЛ-9604</t>
  </si>
  <si>
    <t>ФЛ-9604</t>
  </si>
  <si>
    <t>4670159196044</t>
  </si>
  <si>
    <t>205040</t>
  </si>
  <si>
    <t>Подарочный набор. Фляжка  с аксессуарами "Храбрость", 270мл, 9.3*14.8*2.0  ФЛ-5794</t>
  </si>
  <si>
    <t>ФЛ-5794</t>
  </si>
  <si>
    <t>4670159047940</t>
  </si>
  <si>
    <t>205038</t>
  </si>
  <si>
    <t>Подарочный набор. Фляжка  с рюмками (4шт, 50мл)  и шахматами "Мудрость", 240мл, 9.3*13.7*2.0 ФЛ-5793</t>
  </si>
  <si>
    <t>ФЛ-5793</t>
  </si>
  <si>
    <t>4670159047933</t>
  </si>
  <si>
    <t>205035</t>
  </si>
  <si>
    <t>Подарочный набор. Фляжка  с рюмками (4шт, 50мл) "Сила", 540мл, 11*16.5*2.9 ФЛ-5792</t>
  </si>
  <si>
    <t>ФЛ-5792</t>
  </si>
  <si>
    <t>4670159047926</t>
  </si>
  <si>
    <t>234532</t>
  </si>
  <si>
    <t>Подарочный набор. Фляжка с аксес. "Ностальгия", 270мл(2 рюмки 30мл, склад.приборы), черный ФЛ-9603</t>
  </si>
  <si>
    <t>ФЛ-9603</t>
  </si>
  <si>
    <t>4670159196037</t>
  </si>
  <si>
    <t>258899</t>
  </si>
  <si>
    <t>Подарочный набор. Фляжка с аксесс. "Милитари", 270 мл, (2 рюмки 28мл, ручка, брелок) ФЛ-7645</t>
  </si>
  <si>
    <t>ФЛ-7645</t>
  </si>
  <si>
    <t>4630493776456</t>
  </si>
  <si>
    <t>258900</t>
  </si>
  <si>
    <t>Подарочный набор. Фляжка с аксесс. "Символика", 270 мл, (4 рюмки 28мл, воронка) ФЛ-7646</t>
  </si>
  <si>
    <t>ФЛ-7646</t>
  </si>
  <si>
    <t>4630493776463</t>
  </si>
  <si>
    <t>258897</t>
  </si>
  <si>
    <t>Подарочный набор. Фляжка с аксесс. "Эмблема", 270 мл, (2 рюмки 28мл, мультитул 2 шт) ФЛ-7643</t>
  </si>
  <si>
    <t>ФЛ-7643</t>
  </si>
  <si>
    <t>4630493776432</t>
  </si>
  <si>
    <t>205051</t>
  </si>
  <si>
    <t>Подарочный набор.Фляжка с аксессуарами и складными рюмками(2шт,50мл)"Поход",1440мл,17*23*4.5 ФЛ-5800</t>
  </si>
  <si>
    <t>ФЛ-5800</t>
  </si>
  <si>
    <t>4670159048008</t>
  </si>
  <si>
    <t>205024</t>
  </si>
  <si>
    <t>Фляжка  подарочная "Горючее",150мл, белая,7*9.6*2.5 ФЛ-5785</t>
  </si>
  <si>
    <t>ФЛ-5785</t>
  </si>
  <si>
    <t>4670159047858</t>
  </si>
  <si>
    <t>205021</t>
  </si>
  <si>
    <t>Фляжка  подарочная "Горючее",150мл, зеленая,7*9.6*2.5 ФЛ-5783</t>
  </si>
  <si>
    <t>ФЛ-5783</t>
  </si>
  <si>
    <t>4670159047834</t>
  </si>
  <si>
    <t>205023</t>
  </si>
  <si>
    <t>Фляжка  подарочная "Горючее",150мл, серебристая, 7*9.6*2.5 ФЛ-5784</t>
  </si>
  <si>
    <t>ФЛ-5784</t>
  </si>
  <si>
    <t>4670159047841</t>
  </si>
  <si>
    <t>205049</t>
  </si>
  <si>
    <t>Фляжка  подарочная "Детали",270мл, 9.3*14.8*2.0 ФЛ-5799</t>
  </si>
  <si>
    <t>ФЛ-5799</t>
  </si>
  <si>
    <t>4670159047995</t>
  </si>
  <si>
    <t>205046</t>
  </si>
  <si>
    <t>Фляжка  подарочная "Кожа",270мл, 9.3*14.8*2.0 ФЛ-5798</t>
  </si>
  <si>
    <t>ФЛ-5798</t>
  </si>
  <si>
    <t>4670159047988</t>
  </si>
  <si>
    <t>205020</t>
  </si>
  <si>
    <t>Фляжка  подарочная "Магнат", 750мл, 9.2*9.2*14.8 ФЛ-5782</t>
  </si>
  <si>
    <t>ФЛ-5782</t>
  </si>
  <si>
    <t>4670159047827</t>
  </si>
  <si>
    <t>205030</t>
  </si>
  <si>
    <t>Фляжка  подарочная "Мужчина №1",240мл (собственная разработка), 9.3*13.7*2.0 ФЛ-5789</t>
  </si>
  <si>
    <t>ФЛ-5789</t>
  </si>
  <si>
    <t>4670159047896</t>
  </si>
  <si>
    <t>205029</t>
  </si>
  <si>
    <t>Фляжка  подарочная "Настоящему мужчине",240мл (собственная разработка), 9.3*13.7*2.0 ФЛ-5788</t>
  </si>
  <si>
    <t>ФЛ-5788</t>
  </si>
  <si>
    <t>4670159047889</t>
  </si>
  <si>
    <t>205043</t>
  </si>
  <si>
    <t>Фляжка  подарочная "Родина",270мл, 9.3*14.8*2.0 ФЛ-5795</t>
  </si>
  <si>
    <t>ФЛ-5795</t>
  </si>
  <si>
    <t>4670159047957</t>
  </si>
  <si>
    <t>205027</t>
  </si>
  <si>
    <t>Фляжка  подарочная "Рыбалка",120мл, 6.4*22*2.9 ФЛ-5787</t>
  </si>
  <si>
    <t>ФЛ-5787</t>
  </si>
  <si>
    <t>4670159047872</t>
  </si>
  <si>
    <t>205032</t>
  </si>
  <si>
    <t>Фляжка  подарочная "Эликсир жизни",240мл (собственная разработка), 9.3*13.7*2.0 ФЛ-5790</t>
  </si>
  <si>
    <t>ФЛ-5790</t>
  </si>
  <si>
    <t>4670159047902</t>
  </si>
  <si>
    <t>218898</t>
  </si>
  <si>
    <t>Фляжка из нержавеющей стали. 240 мл "Туристическая",серебристая, 9,3*13,7*2см ФЛ-1876</t>
  </si>
  <si>
    <t>ФЛ-1876</t>
  </si>
  <si>
    <t>4670159118763</t>
  </si>
  <si>
    <t>258895</t>
  </si>
  <si>
    <t>Фляжка подарочная в кобуре, 900 мл, ФЛ-7642</t>
  </si>
  <si>
    <t>ФЛ-7642</t>
  </si>
  <si>
    <t>4630493776425</t>
  </si>
  <si>
    <t>Фоторамки и Фотоальбомы</t>
  </si>
  <si>
    <t>Фотоальбомы</t>
  </si>
  <si>
    <t xml:space="preserve"> 36 фото</t>
  </si>
  <si>
    <t>Фотоальбом из 36 фотографий в фольгированной обложке 11.5 x 17.5 см</t>
  </si>
  <si>
    <t>216879</t>
  </si>
  <si>
    <t>Фотоальбом на 36 фото 10*15, 18 л. с фольг.тисн. 11.5 x 17.5см "Фотобара"(собс.разр) ФР-1248</t>
  </si>
  <si>
    <t>ФР-1248</t>
  </si>
  <si>
    <t>4670159112488</t>
  </si>
  <si>
    <t>Фотоальбом из 36 фотографий, мягкая обложка</t>
  </si>
  <si>
    <t>236679</t>
  </si>
  <si>
    <t>Фотоальбом на 36 фотографий 10*15, 18л., мягкая обложка "Любопытная капибара", 12х16,5 см АФ-0785</t>
  </si>
  <si>
    <t>АФ-0785</t>
  </si>
  <si>
    <t>4670159207856</t>
  </si>
  <si>
    <t>236671</t>
  </si>
  <si>
    <t>Фотоальбом на 36 фотографий 10*15, 18л., мягкая обложка, "Поп-звезда", 12х16,5 см АФ-0777</t>
  </si>
  <si>
    <t>АФ-0777</t>
  </si>
  <si>
    <t>4670159207771</t>
  </si>
  <si>
    <t>236674</t>
  </si>
  <si>
    <t>Фотоальбом на 36 фотографий 10*15, 18л., мягкая обложка, "После дождя", 12х16,5 см АФ-0780</t>
  </si>
  <si>
    <t>АФ-0780</t>
  </si>
  <si>
    <t>4670159207801</t>
  </si>
  <si>
    <t>236677</t>
  </si>
  <si>
    <t>Фотоальбом на 36 фотографий 10*15, 18л., мягкая обложка, "Радостный корги", 12х16,5см АФ-0783</t>
  </si>
  <si>
    <t>АФ-0783</t>
  </si>
  <si>
    <t>4670159207832</t>
  </si>
  <si>
    <t>236675</t>
  </si>
  <si>
    <t>Фотоальбом на 36 фотографий 10*15, 18л., мягкая обложка, "Тигр на охоте", 12х16,5 см АФ-0781</t>
  </si>
  <si>
    <t>АФ-0781</t>
  </si>
  <si>
    <t>4670159207818</t>
  </si>
  <si>
    <t>236669</t>
  </si>
  <si>
    <t>Фотоальбом на 36 фотографий 10*15, 18л., мягкая обложка, "Цветение вишни", 12х16,5 см АФ-0776</t>
  </si>
  <si>
    <t>АФ-0776</t>
  </si>
  <si>
    <t>4670159207764</t>
  </si>
  <si>
    <t xml:space="preserve"> 40 фото</t>
  </si>
  <si>
    <t>Магнитные листы</t>
  </si>
  <si>
    <t>216989</t>
  </si>
  <si>
    <t>Фотоальбом на 40 фото 10*15, 20 л.с фольг.тисн. 11.5 x 17.5cm "Кибер стиль"(собс.разр) ФР-1308</t>
  </si>
  <si>
    <t>ФР-1308</t>
  </si>
  <si>
    <t>4670159113089</t>
  </si>
  <si>
    <t>217009</t>
  </si>
  <si>
    <t>Фотоальбом на 40 фото 10*15, 20 л.с фольг.тисн. 11.5 x 17.5cm "Нежный хлопок"(собс.разр) ФР-1315</t>
  </si>
  <si>
    <t>ФР-1315</t>
  </si>
  <si>
    <t>4670159113157</t>
  </si>
  <si>
    <t>217016</t>
  </si>
  <si>
    <t>Фотоальбом на 40 фото 10*15, 20 л.с фольг.тисн. 11.5 x 17.5cm "Стрекозы"(собс.разр) ФР-1318</t>
  </si>
  <si>
    <t>ФР-1318</t>
  </si>
  <si>
    <t>4670159113188</t>
  </si>
  <si>
    <t xml:space="preserve"> 50 фото</t>
  </si>
  <si>
    <t>С кармашками</t>
  </si>
  <si>
    <t>216988</t>
  </si>
  <si>
    <t>Фотоальбом на 50 фото 10*15, 26 л.с фольг.тисн. 11.5 x 17.5см "Цветочный луг"(собс.разр) ФР-1322</t>
  </si>
  <si>
    <t>ФР-1322</t>
  </si>
  <si>
    <t>4670159113225</t>
  </si>
  <si>
    <t>216987</t>
  </si>
  <si>
    <t>Фотоальбом на 50 фото 10*15, 26 л.с фольг.тисн. 11.5 x 17.5см "Яркий кадр"(собс.разр) ФР-1321</t>
  </si>
  <si>
    <t>ФР-1321</t>
  </si>
  <si>
    <t>4670159113218</t>
  </si>
  <si>
    <t xml:space="preserve"> 80 фото</t>
  </si>
  <si>
    <t>216966</t>
  </si>
  <si>
    <t>Фотоальбом на самокл. лист.80 фото10*15,20 л.с фольг.тисн.23x29см"Неоновые ветки"(собс.разр) ФР-1293</t>
  </si>
  <si>
    <t>ФР-1293</t>
  </si>
  <si>
    <t>4670159112938</t>
  </si>
  <si>
    <t>216967</t>
  </si>
  <si>
    <t>Фотоальбом на самокл. листах 80 фото 10*15, 20 л.с фольг.тисн. 23x29см "Глубина"(собс.разр) ФР-1294</t>
  </si>
  <si>
    <t>ФР-1294</t>
  </si>
  <si>
    <t>4670159112945</t>
  </si>
  <si>
    <t>216971</t>
  </si>
  <si>
    <t>Фотоальбом на самокл.лист.80фото10*15,20л.с фольг.тисн.23x29см"Нежный мрамор"(собс.разр) ФР-1298</t>
  </si>
  <si>
    <t>ФР-1298</t>
  </si>
  <si>
    <t>4670159112983</t>
  </si>
  <si>
    <t>216992</t>
  </si>
  <si>
    <t>Фотоальбом на 80 фото 10*15, 40 л.с фольг.тисн. 11.5 x 17.5см "Снежная гора" (собс.разр) ФР-1323</t>
  </si>
  <si>
    <t>ФР-1323</t>
  </si>
  <si>
    <t>4670159113232</t>
  </si>
  <si>
    <t>216999</t>
  </si>
  <si>
    <t>Фотоальбом на 80 фото 10*15,40л.с фольг.тисн.11.5x17.5см "Минималистичные фигуры"(собс.разр) ФР-1328</t>
  </si>
  <si>
    <t>ФР-1328</t>
  </si>
  <si>
    <t>4670159113287</t>
  </si>
  <si>
    <t>100 фото</t>
  </si>
  <si>
    <t>С карманами</t>
  </si>
  <si>
    <t>168087</t>
  </si>
  <si>
    <t>Фотоальбом "Нежный принт" на 100 фото  10*15  УБ-3203</t>
  </si>
  <si>
    <t>УБ-3203</t>
  </si>
  <si>
    <t>4610144822039</t>
  </si>
  <si>
    <t>235864</t>
  </si>
  <si>
    <t>Фотоальбом на 100 фотографий 10*15, 100 листов текстиль, "Амур", 11.5*17.5 см АФ-9395</t>
  </si>
  <si>
    <t>АФ-9395</t>
  </si>
  <si>
    <t>4670159193951</t>
  </si>
  <si>
    <t>Фольгированное тиснение</t>
  </si>
  <si>
    <t>216891</t>
  </si>
  <si>
    <t>Фотоальбом на 100 фото 10*15 , 50 л.с фольг.тисн. "Абстракция" 11.5 x17.5см,(собс.разр) ФР-1259</t>
  </si>
  <si>
    <t>ФР-1259</t>
  </si>
  <si>
    <t>4670159112594</t>
  </si>
  <si>
    <t>216894</t>
  </si>
  <si>
    <t>Фотоальбом на 100 фото 10*15 , 50 л.с фольг.тисн. "Восточные поля" 11.5 x17.5см,(собс.разр) ФР-1262</t>
  </si>
  <si>
    <t>ФР-1262</t>
  </si>
  <si>
    <t>4670159112624</t>
  </si>
  <si>
    <t>216890</t>
  </si>
  <si>
    <t>Фотоальбом на 100 фото 10*15 , 50 л.с фольг.тисн. "Лови мгновения" 11.5 x17.5см,(собс.разр) ФР-1258</t>
  </si>
  <si>
    <t>ФР-1258</t>
  </si>
  <si>
    <t>4670159112587</t>
  </si>
  <si>
    <t>216892</t>
  </si>
  <si>
    <t>Фотоальбом на 100 фото 10*15 , 50 л.с фольг.тисн. "Нежность" 11.5 x17.5см,(собс.разр) ФР-1260</t>
  </si>
  <si>
    <t>ФР-1260</t>
  </si>
  <si>
    <t>4670159112600</t>
  </si>
  <si>
    <t>216903</t>
  </si>
  <si>
    <t>Фотоальбом на 100 фото 10*15 , 50 л.с фольг.тисн. "Райские птички" 11.5 x17.5см,(собс.разр) ФР-1271</t>
  </si>
  <si>
    <t>ФР-1271</t>
  </si>
  <si>
    <t>4670159112716</t>
  </si>
  <si>
    <t>216904</t>
  </si>
  <si>
    <t>Фотоальбом на 100 фото 10*15 , 50 л.с фольг.тисн. "Семейный альбом" 11.5 x17.5см,(собс.разр) ФР-1272</t>
  </si>
  <si>
    <t>ФР-1272</t>
  </si>
  <si>
    <t>4670159112723</t>
  </si>
  <si>
    <t>216901</t>
  </si>
  <si>
    <t>Фотоальбом на 100 фото 10*15 , 50 л.с фольг.тисн. "Счастливые фото" 11.5 x17.5см,(собс.разр) ФР-1269</t>
  </si>
  <si>
    <t>ФР-1269</t>
  </si>
  <si>
    <t>4670159112693</t>
  </si>
  <si>
    <t>216895</t>
  </si>
  <si>
    <t>Фотоальбом на 100 фото 10*15 , 50 л.с фольг.тисн. "Теплые оттенки" 11.5 x17.5см,(собс.разр) ФР-1263</t>
  </si>
  <si>
    <t>ФР-1263</t>
  </si>
  <si>
    <t>4670159112631</t>
  </si>
  <si>
    <t>216898</t>
  </si>
  <si>
    <t>Фотоальбом на 100 фото 10*15 , 50 л.с фольг.тисн."Изумрудная лазурь"11.5 x17.5см,(собс.разр) ФР-1266</t>
  </si>
  <si>
    <t>ФР-1266</t>
  </si>
  <si>
    <t>4670159112662</t>
  </si>
  <si>
    <t>216888</t>
  </si>
  <si>
    <t>Фотоальбом на 100 фото10*15,50 л.с фольг.тисн"Тропический минимализм"11.5 x17.5см(собс.разр) ФР-1256</t>
  </si>
  <si>
    <t>ФР-1256</t>
  </si>
  <si>
    <t>4670159112563</t>
  </si>
  <si>
    <t>120 фото</t>
  </si>
  <si>
    <t>245822</t>
  </si>
  <si>
    <t>Фотоальбом, 120 фото 10*15, 20 магнит. лист, лопатка, текстиль, "Классический", 27*28см, беж АФ-5788</t>
  </si>
  <si>
    <t>АФ-5788</t>
  </si>
  <si>
    <t>4640163457882</t>
  </si>
  <si>
    <t>245823</t>
  </si>
  <si>
    <t>Фотоальбом, 120 фото 10*15, 20 магнит. лист, лопатка, текстиль,"Классический", 27*28см,белый АФ-5789</t>
  </si>
  <si>
    <t>АФ-5789</t>
  </si>
  <si>
    <t>4640163457899</t>
  </si>
  <si>
    <t>200 фото</t>
  </si>
  <si>
    <t>168110</t>
  </si>
  <si>
    <t>Фотоальбом  "Звездный" на 200 фото  10*15 УБ-3199</t>
  </si>
  <si>
    <t>УБ-3199</t>
  </si>
  <si>
    <t>4610144821995</t>
  </si>
  <si>
    <t>245815</t>
  </si>
  <si>
    <t>Фотоальбом 300 фото 10*15, 100л, искуcств.кожа, "Теплые воспоминания", с замет. 24*33*5,5см АФ-5782</t>
  </si>
  <si>
    <t>АФ-5782</t>
  </si>
  <si>
    <t>4640163457820</t>
  </si>
  <si>
    <t>199346</t>
  </si>
  <si>
    <t>Фотоальбом на 200 фото 10*15 см, 50 листов "Гармония" с заметками УБ-1324</t>
  </si>
  <si>
    <t>УБ-1324</t>
  </si>
  <si>
    <t>4670159013242</t>
  </si>
  <si>
    <t>199345</t>
  </si>
  <si>
    <t>Фотоальбом на 200 фото 10*15 см, 50 листов "Жизнь" с заметками УБ-1323</t>
  </si>
  <si>
    <t>УБ-1323</t>
  </si>
  <si>
    <t>4670159013235</t>
  </si>
  <si>
    <t>199344</t>
  </si>
  <si>
    <t>Фотоальбом на 200 фото 10*15 см, 50 листов "Любовь" с заметками УБ-1322</t>
  </si>
  <si>
    <t>УБ-1322</t>
  </si>
  <si>
    <t>4670159013228</t>
  </si>
  <si>
    <t>199323</t>
  </si>
  <si>
    <t>Фотоальбом на 200 фото 10*15 см, 50 листов "Наша история"с золотистым тиснением (соб.разр.) УБ-1304</t>
  </si>
  <si>
    <t>УБ-1304</t>
  </si>
  <si>
    <t>4670159013044</t>
  </si>
  <si>
    <t>235844</t>
  </si>
  <si>
    <t>Фотоальбом на 200 фото 10*15, 50 листов экокожа, "Строгий стиль", черный, 18.5*22 см АФ-9391</t>
  </si>
  <si>
    <t>АФ-9391</t>
  </si>
  <si>
    <t>4670159193913</t>
  </si>
  <si>
    <t>235843</t>
  </si>
  <si>
    <t>Фотоальбом на 200 фото 10*15, 50 листов, "Яркие сухоцветы", (собств. разраб.), 17.5*22 см АФ-9390</t>
  </si>
  <si>
    <t>АФ-9390</t>
  </si>
  <si>
    <t>4670159193906</t>
  </si>
  <si>
    <t>235837</t>
  </si>
  <si>
    <t>Фотоальбом на 200 фото 10*15, 50 листов, "Яркий минимализм", (собств. разраб.), 17.5*22 см АФ-9389</t>
  </si>
  <si>
    <t>АФ-9389</t>
  </si>
  <si>
    <t>4670159193890</t>
  </si>
  <si>
    <t>235835</t>
  </si>
  <si>
    <t>Фотоальбом на 200 фото 10*15, 50 листов, экокожа, "Семейные узы", белый, 22*22.5 см АФ-9388</t>
  </si>
  <si>
    <t>АФ-9388</t>
  </si>
  <si>
    <t>4670159193883</t>
  </si>
  <si>
    <t>216940</t>
  </si>
  <si>
    <t>Фотоальбом на 200 фото 10*15, 50л.с фольг.тисн. 17.5 x 22см "Время путешествий"(собс.разр) ФР-1289</t>
  </si>
  <si>
    <t>ФР-1289</t>
  </si>
  <si>
    <t>4670159112891</t>
  </si>
  <si>
    <t>216938</t>
  </si>
  <si>
    <t>Фотоальбом на 200 фото 10*15, 50л.с фольг.тисн. 17.5 x 22см "Зебральбом"(собс.разр) ФР-1288</t>
  </si>
  <si>
    <t>ФР-1288</t>
  </si>
  <si>
    <t>4670159112884</t>
  </si>
  <si>
    <t>216942</t>
  </si>
  <si>
    <t>Фотоальбом на 200 фото 10*15, 50л.с фольг.тисн. 17.5 x 22см "Моменты счастья"(собс.разр) ФР-1290</t>
  </si>
  <si>
    <t>ФР-1290</t>
  </si>
  <si>
    <t>4670159112907</t>
  </si>
  <si>
    <t>216946</t>
  </si>
  <si>
    <t>Фотоальбом на 200 фото 10*15, 50л.с фольг.тисн. 17.5 x 22см "Нежные ромашки"(собс.разр) ФР-1291</t>
  </si>
  <si>
    <t>ФР-1291</t>
  </si>
  <si>
    <t>4670159112914</t>
  </si>
  <si>
    <t>300 фото</t>
  </si>
  <si>
    <t>235829</t>
  </si>
  <si>
    <t>Фотоальбом на 300 фото 10*15, 50 листов, текстиль, "Бархат",  коричневый, 22*32.5 см АФ-9385</t>
  </si>
  <si>
    <t>АФ-9385</t>
  </si>
  <si>
    <t>4670159193852</t>
  </si>
  <si>
    <t>235830</t>
  </si>
  <si>
    <t>Фотоальбом на 300 фото 10*15, 75 листов текстиль, "Узоры",  коричневый, 22*32.5 см АФ-9386</t>
  </si>
  <si>
    <t>АФ-9386</t>
  </si>
  <si>
    <t>4670159193869</t>
  </si>
  <si>
    <t>216928</t>
  </si>
  <si>
    <t>Фотоальбом на 300 фото 10*15, 75л.с фольг.тисн. 17.5 x 22см "Веточки"(собс.разр) ФР-1280</t>
  </si>
  <si>
    <t>ФР-1280</t>
  </si>
  <si>
    <t>4670159112808</t>
  </si>
  <si>
    <t>216929</t>
  </si>
  <si>
    <t>Фотоальбом на 300 фото 10*15, 75л.с фольг.тисн. 17.5 x 22см "Котофото"(собс.разр) ФР-1281</t>
  </si>
  <si>
    <t>ФР-1281</t>
  </si>
  <si>
    <t>4670159112815</t>
  </si>
  <si>
    <t>216931</t>
  </si>
  <si>
    <t>Фотоальбом на 300 фото 10*15, 75л.с фольг.тисн. 17.5 x 22см "Летний взрыв"(собс.разр) ФР-1283</t>
  </si>
  <si>
    <t>ФР-1283</t>
  </si>
  <si>
    <t>4670159112839</t>
  </si>
  <si>
    <t>216930</t>
  </si>
  <si>
    <t>Фотоальбом на 300 фото 10*15, 75л.с фольг.тисн. 17.5 x 22см "Мгновения счастья"(собс.разр) ФР-1282</t>
  </si>
  <si>
    <t>ФР-1282</t>
  </si>
  <si>
    <t>4670159112822</t>
  </si>
  <si>
    <t>216927</t>
  </si>
  <si>
    <t>Фотоальбом на 300 фото 10*15, 75л.с фольг.тисн. 17.5 x 22см "Наша Семья"(собс.разр) ФР-1279</t>
  </si>
  <si>
    <t>ФР-1279</t>
  </si>
  <si>
    <t>4670159112792</t>
  </si>
  <si>
    <t>199326</t>
  </si>
  <si>
    <t>Фотоальбом на 304 фото 10*15 см, 76 листов "Лучшие воспоминания"с золот.тиснением(соб.разр.) УБ-1307</t>
  </si>
  <si>
    <t>УБ-1307</t>
  </si>
  <si>
    <t>4670159013075</t>
  </si>
  <si>
    <t>199325</t>
  </si>
  <si>
    <t>Фотоальбом на 304 фото 10*15 см, 76 листов"Семейный фотоальбом"с золот.тиснением (соб.разр.) УБ-1306</t>
  </si>
  <si>
    <t>УБ-1306</t>
  </si>
  <si>
    <t>4670159013068</t>
  </si>
  <si>
    <t>400 фото</t>
  </si>
  <si>
    <t>217010</t>
  </si>
  <si>
    <t>Фотоальбом на 400 фото 10*15, 40 л.с фольг.тисн. 30.5 x 31.5м "Белый цветок"(собс.разр) ФР-1335</t>
  </si>
  <si>
    <t>ФР-1335</t>
  </si>
  <si>
    <t>4670159113355</t>
  </si>
  <si>
    <t>217014</t>
  </si>
  <si>
    <t>Фотоальбом на 400 фото 10*15, 40 л.с фольг.тисн. 30.5x31.5м "Зеленый минимализм"(собс.разр) ФР-1338</t>
  </si>
  <si>
    <t>ФР-1338</t>
  </si>
  <si>
    <t>4670159113386</t>
  </si>
  <si>
    <t>500 фото</t>
  </si>
  <si>
    <t>199355</t>
  </si>
  <si>
    <t>Фотоальбом на 500 фото 10*15 см, 50 листов "Исполняй мечты" (Соб. разраб.) УБ-1330</t>
  </si>
  <si>
    <t>УБ-1330</t>
  </si>
  <si>
    <t>4670159013303</t>
  </si>
  <si>
    <t>199352</t>
  </si>
  <si>
    <t>Фотоальбом на 500 фото 10*15 см, 50 листов "Лови момент" (Соб. разраб.) УБ-1329</t>
  </si>
  <si>
    <t>УБ-1329</t>
  </si>
  <si>
    <t>4670159013297</t>
  </si>
  <si>
    <t>199357</t>
  </si>
  <si>
    <t>Фотоальбом на 500 фото 10*15 см, 50 листов "Люби и будь любимым" (Соб. разраб.) УБ-1331</t>
  </si>
  <si>
    <t>УБ-1331</t>
  </si>
  <si>
    <t>4670159013310</t>
  </si>
  <si>
    <t>199362</t>
  </si>
  <si>
    <t>Фотоальбом на 500 фото 10*15 см, 50 листов "Одуванчик" (Соб. разраб.) УБ-1333</t>
  </si>
  <si>
    <t>УБ-1333</t>
  </si>
  <si>
    <t>4670159013334</t>
  </si>
  <si>
    <t>199363</t>
  </si>
  <si>
    <t>Фотоальбом на 500 фото 10*15 см, 50 листов "Приключения" (Соб. разраб.) УБ-1334</t>
  </si>
  <si>
    <t>УБ-1334</t>
  </si>
  <si>
    <t>4670159013341</t>
  </si>
  <si>
    <t>235823</t>
  </si>
  <si>
    <t>Фотоальбом на 500 фото 10*15, 50 листов, экокожа, "Семейные узы", белый, 33*34.5 см АФ-9383</t>
  </si>
  <si>
    <t>АФ-9383</t>
  </si>
  <si>
    <t>4670159193838</t>
  </si>
  <si>
    <t>235824</t>
  </si>
  <si>
    <t>Фотоальбом на 500 фото 10*15, 50 листов, экокожа, "Семейные узы", коричневый, 33*34.5см АФ-9384</t>
  </si>
  <si>
    <t>АФ-9384</t>
  </si>
  <si>
    <t>4670159193845</t>
  </si>
  <si>
    <t>139918</t>
  </si>
  <si>
    <t>Фотоальбом на 500 фото 10х15 Винтажные нежные цветы ФР-2732-2</t>
  </si>
  <si>
    <t>ФР-2732-2</t>
  </si>
  <si>
    <t>4665307427347</t>
  </si>
  <si>
    <t>207865</t>
  </si>
  <si>
    <t>Фотоальбом на 500 фото 10х15 История, светло-коричневый, кожа ФР-5403</t>
  </si>
  <si>
    <t>ФР-5403</t>
  </si>
  <si>
    <t>4670159054030</t>
  </si>
  <si>
    <t>207860</t>
  </si>
  <si>
    <t>Фотоальбом на 500 фото 10х15 История, тёмно-синий, искус.кожа ФР-5402</t>
  </si>
  <si>
    <t>ФР-5402</t>
  </si>
  <si>
    <t>4670159054023</t>
  </si>
  <si>
    <t>185946</t>
  </si>
  <si>
    <t>Фотоальбом на 500 фото 10х15 Классика, золотая рябь ФР-3835</t>
  </si>
  <si>
    <t>ФР-3835</t>
  </si>
  <si>
    <t>4620129728355</t>
  </si>
  <si>
    <t>185944</t>
  </si>
  <si>
    <t>Фотоальбом на 500 фото 10х15 Классика, коричневая рябь ФР-3833</t>
  </si>
  <si>
    <t>ФР-3833</t>
  </si>
  <si>
    <t>4620129728331</t>
  </si>
  <si>
    <t>207868</t>
  </si>
  <si>
    <t>Фотоальбом на 500 фото 10х15 Память , тёмно коричневый, искус.кожа ФР-5404</t>
  </si>
  <si>
    <t>ФР-5404</t>
  </si>
  <si>
    <t>4670159054047</t>
  </si>
  <si>
    <t>207850</t>
  </si>
  <si>
    <t>Фотоальбом на 500 фото 10х15 Роскошь, коричневый, иск.кожа ФР-5399</t>
  </si>
  <si>
    <t>ФР-5399</t>
  </si>
  <si>
    <t>4670159053996</t>
  </si>
  <si>
    <t>207856</t>
  </si>
  <si>
    <t>Фотоальбом на 500 фото 10х15 Шик, коричневый, искус.кожа ФР-5400</t>
  </si>
  <si>
    <t>ФР-5400</t>
  </si>
  <si>
    <t>4670159054009</t>
  </si>
  <si>
    <t>Фотоальбом на спирали</t>
  </si>
  <si>
    <t>199333</t>
  </si>
  <si>
    <t>Фотоальб.на спир.,30самокл.лист.22.5*28см"Сем. фотоал.,Львы"(до120фото)с золот.тис.(соб.раз) УБ-1312</t>
  </si>
  <si>
    <t>УБ-1312</t>
  </si>
  <si>
    <t>4670159013129</t>
  </si>
  <si>
    <t>216923</t>
  </si>
  <si>
    <t>Фотоальбом на самокл. листах 40 фото 13*18, 10 л.с фольг.тисн. 23x29см "Тропики"(собс.разр) ФР-1277</t>
  </si>
  <si>
    <t>ФР-1277</t>
  </si>
  <si>
    <t>4670159112778</t>
  </si>
  <si>
    <t>216920</t>
  </si>
  <si>
    <t>Фотоальбом на самокл.лист.40фото13*18,10 л.с фольг.тисн.23x29см"Бирюзовая лагуна"(собс.разр) ФР-1275</t>
  </si>
  <si>
    <t>ФР-1275</t>
  </si>
  <si>
    <t>4670159112754</t>
  </si>
  <si>
    <t>216921</t>
  </si>
  <si>
    <t>Фотоальбом на самокл.лист.40фото13*18,10л.с фольг.тисн.23x29см"Золотистый мрамор"(собс.разр) ФР-1276</t>
  </si>
  <si>
    <t>ФР-1276</t>
  </si>
  <si>
    <t>4670159112761</t>
  </si>
  <si>
    <t>259394</t>
  </si>
  <si>
    <t>Фотоальбом на спир до 120 фото, 30 маг.лис, "Наша история" 22,5*28см, с золот.тис.(соб.раз) АФ-7675</t>
  </si>
  <si>
    <t>АФ-7675</t>
  </si>
  <si>
    <t>4630493776753</t>
  </si>
  <si>
    <t>259396</t>
  </si>
  <si>
    <t>Фотоальбом на спир до 120 фото, 30 маг.лист."Счастливые моменты" 22,5*28см, с тис.(соб.раз) АФ-7676</t>
  </si>
  <si>
    <t>АФ-7676</t>
  </si>
  <si>
    <t>4630493776760</t>
  </si>
  <si>
    <t>199332</t>
  </si>
  <si>
    <t>Фотоальбом на спир,30самокл.лис.22.5*28см"Счаст.моменты,Рим"(до120фото)с золот.тис.(соб.раз) УБ-1311</t>
  </si>
  <si>
    <t>УБ-1311</t>
  </si>
  <si>
    <t>4670159013112</t>
  </si>
  <si>
    <t>259395</t>
  </si>
  <si>
    <t>Фотоальбом на спир. до 120 фото, 30 маг.лист. "Вместе навсегда" 22,5*28см, с тис.(соб.раз)АФ-7674</t>
  </si>
  <si>
    <t>АФ-7674</t>
  </si>
  <si>
    <t>4630493776746</t>
  </si>
  <si>
    <t>259398</t>
  </si>
  <si>
    <t>Фотоальбом на спирали до 120 фото, 30 маг. листов, "Абстракция" 22,5*28см, с тис.(соб.раз) АФ-7678</t>
  </si>
  <si>
    <t>АФ-7678</t>
  </si>
  <si>
    <t>4630493776784</t>
  </si>
  <si>
    <t>259399</t>
  </si>
  <si>
    <t>Фотоальбом на спирали до 120 фото, 30 маг.лист, "Лучшие моменты" 22,5*28см, с тис.(соб.раз) АФ-7679</t>
  </si>
  <si>
    <t>АФ-7679</t>
  </si>
  <si>
    <t>4630493776791</t>
  </si>
  <si>
    <t>259397</t>
  </si>
  <si>
    <t>Фотоальбом на спирали до 120 фото, 30 магнит. листов, "Прайд" 22,5*28 см, с тис.(соб.раз) АФ-7677</t>
  </si>
  <si>
    <t>АФ-7677</t>
  </si>
  <si>
    <t>4630493776777</t>
  </si>
  <si>
    <t>199331</t>
  </si>
  <si>
    <t>Фотоальбом на спирали,30самок.лис.22.5*28см"Наша сем.история"(до120фото)с золот.тис.(соб.раз УБ-1310</t>
  </si>
  <si>
    <t>УБ-1310</t>
  </si>
  <si>
    <t>4670159013105</t>
  </si>
  <si>
    <t>199334</t>
  </si>
  <si>
    <t>Фотоальбом на спирали,30самокл.лис.22.5*28см"Счастье внутри"(до120фото)с золот.тис.(соб.раз) УБ-1313</t>
  </si>
  <si>
    <t>УБ-1313</t>
  </si>
  <si>
    <t>4670159013136</t>
  </si>
  <si>
    <t>Фотоальбомы с набором для оформления</t>
  </si>
  <si>
    <t>235860</t>
  </si>
  <si>
    <t>Фотоальбом на 100 фото 10*15, 50 листов с набором для оформл., "Момент счастья", 26*23 см АФ-9394</t>
  </si>
  <si>
    <t>АФ-9394</t>
  </si>
  <si>
    <t>4670159193944</t>
  </si>
  <si>
    <t>235851</t>
  </si>
  <si>
    <t>Фотоальбом на 160 фотографий 10*15, 40 листов с набором для оформл."Творчество", 28*20.5 см АФ-9392</t>
  </si>
  <si>
    <t>АФ-9392</t>
  </si>
  <si>
    <t>4670159193920</t>
  </si>
  <si>
    <t>235871</t>
  </si>
  <si>
    <t>Фотоальбом на 40 фотографий 10*15, 20 листов с набором для оформл."Иллюстрация", 16.5*16.5см АФ-9397</t>
  </si>
  <si>
    <t>АФ-9397</t>
  </si>
  <si>
    <t>4670159193975</t>
  </si>
  <si>
    <t>235867</t>
  </si>
  <si>
    <t>Фотоальбом на 64 фотографий 10*15, 52 листа с набором для оформл.,"Сокровище", 16.5*23.5 см АФ-9396</t>
  </si>
  <si>
    <t>АФ-9396</t>
  </si>
  <si>
    <t>4670159193968</t>
  </si>
  <si>
    <t>Фоторамки</t>
  </si>
  <si>
    <t>Деревянные фоторамки</t>
  </si>
  <si>
    <t>210094</t>
  </si>
  <si>
    <t>Фоторамка - коллаж ( 3 фото) "Сладкая жизнь M", размер фото: 13*18, размер рамки: 43.5*19.5  ФР-7413</t>
  </si>
  <si>
    <t>ФР-7413</t>
  </si>
  <si>
    <t>4670159074038</t>
  </si>
  <si>
    <t>257749</t>
  </si>
  <si>
    <t>Фоторамка "Свежесть", размер фото: 10х15 см., черная ФР-7432</t>
  </si>
  <si>
    <t>ФР-7432</t>
  </si>
  <si>
    <t>4630493773967</t>
  </si>
  <si>
    <t>257748</t>
  </si>
  <si>
    <t>Фоторамка "Чудеса", размер фото: 10х15 см., черная ФР-7431</t>
  </si>
  <si>
    <t>ФР-7431</t>
  </si>
  <si>
    <t>4630493773950</t>
  </si>
  <si>
    <t>257752</t>
  </si>
  <si>
    <t>Фоторамка "Эстетика простоты", размер фото: 10х15 см., белая ФР-7435</t>
  </si>
  <si>
    <t>ФР-7435</t>
  </si>
  <si>
    <t>4630493773998</t>
  </si>
  <si>
    <t>257753</t>
  </si>
  <si>
    <t>Фоторамка-коллаж "Моменты" (2 фото) размер фото: 10х15 см., белая ФР-7436</t>
  </si>
  <si>
    <t>ФР-7436</t>
  </si>
  <si>
    <t>4630493774001</t>
  </si>
  <si>
    <t>Металлические фоторамки</t>
  </si>
  <si>
    <t>233987</t>
  </si>
  <si>
    <t>Фоторамка металлическая "Звезда" золотистая 26*28 см, для фото: 10*15см ФР-9155</t>
  </si>
  <si>
    <t>ФР-9155</t>
  </si>
  <si>
    <t>4670159191551</t>
  </si>
  <si>
    <t>233981</t>
  </si>
  <si>
    <t>Фоторамка металлическая "Милый дом" чёрная 21*16см, для фото: 10*15см ФР-9151</t>
  </si>
  <si>
    <t>ФР-9151</t>
  </si>
  <si>
    <t>4670159191513</t>
  </si>
  <si>
    <t>233989</t>
  </si>
  <si>
    <t>Фоторамка металлическая "Современный шик" золотистая 20.5*26см, для фото: 12*17см ФР-9156</t>
  </si>
  <si>
    <t>ФР-9156</t>
  </si>
  <si>
    <t>4670159191568</t>
  </si>
  <si>
    <t>233986</t>
  </si>
  <si>
    <t>Фоторамка металлическая "Тёплые воспоминания" золотистая 19*24см, для фото: 10*15см ФР-9154</t>
  </si>
  <si>
    <t>ФР-9154</t>
  </si>
  <si>
    <t>4670159191544</t>
  </si>
  <si>
    <t>233983</t>
  </si>
  <si>
    <t>Фоторамка металлическая "Это любовь" чёрная 13*18 см,  для фото: 10*15см ФР-9152</t>
  </si>
  <si>
    <t>ФР-9152</t>
  </si>
  <si>
    <t>4670159191520</t>
  </si>
  <si>
    <t>210109</t>
  </si>
  <si>
    <t>Фоторамка. "Вертикаль" размер фото: 13*18, размер рамки: 18*22.5, черная ФР-7421</t>
  </si>
  <si>
    <t>ФР-7421</t>
  </si>
  <si>
    <t>4670159074113</t>
  </si>
  <si>
    <t>210110</t>
  </si>
  <si>
    <t>Фоторамка. "Детали" размер фото: 10*15, размер рамки: 15.5*20.5,золотистая ФР-7422</t>
  </si>
  <si>
    <t>ФР-7422</t>
  </si>
  <si>
    <t>4670159074120</t>
  </si>
  <si>
    <t>210107</t>
  </si>
  <si>
    <t>Фоторамка. "Сладкая любовь" размер фото: 13*18, размер рамки: 17.5*22.7, черная ФР-7419</t>
  </si>
  <si>
    <t>ФР-7419</t>
  </si>
  <si>
    <t>4670159074090</t>
  </si>
  <si>
    <t>210108</t>
  </si>
  <si>
    <t>Фоторамка. "Стилизация" размер фото: 10*15, размер рамки: 15.5*20.5 черная ФР-7420</t>
  </si>
  <si>
    <t>ФР-7420</t>
  </si>
  <si>
    <t>4670159074106</t>
  </si>
  <si>
    <t>Фоторамки (нестандартный размер)</t>
  </si>
  <si>
    <t>209977</t>
  </si>
  <si>
    <t>Фоторамка-коллаж  (10 фото) "Семейная идиллия", белая: р-р фото: 10*15см,10*10см ФР-7228</t>
  </si>
  <si>
    <t>ФР-7228</t>
  </si>
  <si>
    <t>4670159072287</t>
  </si>
  <si>
    <t>209972</t>
  </si>
  <si>
    <t>Фоторамка-коллаж  (2 фото) "Птички верности", белая, р-р фото: 10*15см ФР-7223</t>
  </si>
  <si>
    <t>ФР-7223</t>
  </si>
  <si>
    <t>4670159072232</t>
  </si>
  <si>
    <t>209976</t>
  </si>
  <si>
    <t>Фоторамка-коллаж  (5 фото) "Тропическая саванна", белая, р-р фото: 10*15см ФР-7227</t>
  </si>
  <si>
    <t>ФР-7227</t>
  </si>
  <si>
    <t>4670159072270</t>
  </si>
  <si>
    <t>209978</t>
  </si>
  <si>
    <t>Фоторамка-коллаж  (6 фото) "Идеальная семья", белая, р-р фото : 30*20см, 10*15см ФР-7229</t>
  </si>
  <si>
    <t>ФР-7229</t>
  </si>
  <si>
    <t>4670159072294</t>
  </si>
  <si>
    <t>209971</t>
  </si>
  <si>
    <t>Фоторамка-коллаж  (8 фото) "Древо жизни", белая, р-р фото: 10*15,10*10 см ФР-7222</t>
  </si>
  <si>
    <t>ФР-7222</t>
  </si>
  <si>
    <t>4670159072225</t>
  </si>
  <si>
    <t>210001</t>
  </si>
  <si>
    <t>Фоторамка-коллаж (  6 фото) " Семейное тепло", коричневая, р-р фото: 10*15см,30*20см ФР-7241</t>
  </si>
  <si>
    <t>ФР-7241</t>
  </si>
  <si>
    <t>4670159072416</t>
  </si>
  <si>
    <t>209995</t>
  </si>
  <si>
    <t>Фоторамка-коллаж ( 3 фото) " Памятная дата", бежевая,  р-р фото: 10*15см ФР-7238</t>
  </si>
  <si>
    <t>ФР-7238</t>
  </si>
  <si>
    <t>4670159072386</t>
  </si>
  <si>
    <t>209992</t>
  </si>
  <si>
    <t>Фоторамка-коллаж ( 6 фото) "Модерн", черная, р-р фото: 15*10см ФР-7236</t>
  </si>
  <si>
    <t>ФР-7236</t>
  </si>
  <si>
    <t>4670159072362</t>
  </si>
  <si>
    <t>234043</t>
  </si>
  <si>
    <t>Фоторамка-коллаж пластиковая  (4 фото) "Уютный дом", белая, 41*32.5 см ФР-9143</t>
  </si>
  <si>
    <t>ФР-9143</t>
  </si>
  <si>
    <t>4670159191438</t>
  </si>
  <si>
    <t>234046</t>
  </si>
  <si>
    <t>Фоторамка-коллаж пластиковая (6 фото) "Семейный минимализм", белая, 43*31 см ФР-9146</t>
  </si>
  <si>
    <t>ФР-9146</t>
  </si>
  <si>
    <t>4670159191469</t>
  </si>
  <si>
    <t>Фоторамки А4</t>
  </si>
  <si>
    <t>280752</t>
  </si>
  <si>
    <t>Фоторамка "Классика" с акриловым стеклом, пластик, белая 21*30 см 385-1105-1</t>
  </si>
  <si>
    <t>385-1105-1</t>
  </si>
  <si>
    <t>4610094234401</t>
  </si>
  <si>
    <t>280758</t>
  </si>
  <si>
    <t>Фоторамка "Наградная" с акриловым стеклом,пластик, золотая 21*30 см 385-1056</t>
  </si>
  <si>
    <t>385-1056</t>
  </si>
  <si>
    <t>4631182530700</t>
  </si>
  <si>
    <t>04 ИНТЕРЬЕРНЫЕ СУВЕНИРЫ</t>
  </si>
  <si>
    <t>Вазы</t>
  </si>
  <si>
    <t>Вазы керамические</t>
  </si>
  <si>
    <t>215618</t>
  </si>
  <si>
    <t>Ваза декоративная керамическая " Золотистый минимализм", белая, 4,5*20см ВС-0166</t>
  </si>
  <si>
    <t>ВС-0166</t>
  </si>
  <si>
    <t>4670159101666</t>
  </si>
  <si>
    <t>215563</t>
  </si>
  <si>
    <t>Ваза декоративная керамическая "Абстракция", белая,  8,5*28см ВС-0131</t>
  </si>
  <si>
    <t>ВС-0131</t>
  </si>
  <si>
    <t>4670159101314</t>
  </si>
  <si>
    <t>215564</t>
  </si>
  <si>
    <t>Ваза декоративная керамическая "Абстракция", белая, 7.5*20см ВС-0132</t>
  </si>
  <si>
    <t>ВС-0132</t>
  </si>
  <si>
    <t>4670159101321</t>
  </si>
  <si>
    <t>275079</t>
  </si>
  <si>
    <t>Ваза декоративная керамическая "Бантики", розовая, 11*11*16см ВС-3260</t>
  </si>
  <si>
    <t>ВС-3260</t>
  </si>
  <si>
    <t>4680942632604</t>
  </si>
  <si>
    <t>275070</t>
  </si>
  <si>
    <t>Ваза декоративная керамическая "Белая волна", белая,  11,5*22см ВС-3252</t>
  </si>
  <si>
    <t>ВС-3252</t>
  </si>
  <si>
    <t>4680942632529</t>
  </si>
  <si>
    <t>275069</t>
  </si>
  <si>
    <t>Ваза декоративная керамическая "Белая классика", белая,  9*22см ВС-3251</t>
  </si>
  <si>
    <t>ВС-3251</t>
  </si>
  <si>
    <t>4680942632512</t>
  </si>
  <si>
    <t>275080</t>
  </si>
  <si>
    <t>Ваза декоративная керамическая "Белый бант", белая, 16*15,5*18см ВС-3261</t>
  </si>
  <si>
    <t>ВС-3261</t>
  </si>
  <si>
    <t>4680942632611</t>
  </si>
  <si>
    <t>234927</t>
  </si>
  <si>
    <t>Ваза декоративная керамическая "Букет для нее", 12*23см ВС-9819</t>
  </si>
  <si>
    <t>ВС-9819</t>
  </si>
  <si>
    <t>4670159198192</t>
  </si>
  <si>
    <t>234932</t>
  </si>
  <si>
    <t>Ваза декоративная керамическая "Вдохновение Египта", 8*8*25.5см ВС-9822</t>
  </si>
  <si>
    <t>ВС-9822</t>
  </si>
  <si>
    <t>4670159198222</t>
  </si>
  <si>
    <t>275071</t>
  </si>
  <si>
    <t>Ваза декоративная керамическая "Воздушная", белая,  9,5*22см ВС-3253</t>
  </si>
  <si>
    <t>ВС-3253</t>
  </si>
  <si>
    <t>4680942632536</t>
  </si>
  <si>
    <t>275073</t>
  </si>
  <si>
    <t>Ваза декоративная керамическая "Гравитация ", белая,  11*22см ВС-3255</t>
  </si>
  <si>
    <t>ВС-3255</t>
  </si>
  <si>
    <t>4680942632550</t>
  </si>
  <si>
    <t>234922</t>
  </si>
  <si>
    <t>Ваза декоративная керамическая "Греческое наследие", 12*10.5*20см ВС-9814</t>
  </si>
  <si>
    <t>ВС-9814</t>
  </si>
  <si>
    <t>4670159198147</t>
  </si>
  <si>
    <t>234924</t>
  </si>
  <si>
    <t>Ваза декоративная керамическая "Изящные линии", 10*18.5см ВС-9816</t>
  </si>
  <si>
    <t>ВС-9816</t>
  </si>
  <si>
    <t>4670159198161</t>
  </si>
  <si>
    <t>215630</t>
  </si>
  <si>
    <t>Ваза декоративная керамическая "Модерн", белая, 23*8см ВС-0173</t>
  </si>
  <si>
    <t>ВС-0173</t>
  </si>
  <si>
    <t>4670159101734</t>
  </si>
  <si>
    <t>215629</t>
  </si>
  <si>
    <t>Ваза декоративная керамическая "Модернизм", белая, 21*7см ВС-0172</t>
  </si>
  <si>
    <t>ВС-0172</t>
  </si>
  <si>
    <t>4670159101727</t>
  </si>
  <si>
    <t>234929</t>
  </si>
  <si>
    <t>Ваза декоративная керамическая "Нежность в простом", 12*12*23см ВС-9821</t>
  </si>
  <si>
    <t>ВС-9821</t>
  </si>
  <si>
    <t>4670159198215</t>
  </si>
  <si>
    <t>215566</t>
  </si>
  <si>
    <t>Ваза декоративная керамическая "Нежный минимализм", белая, 10*24см ВС-0134</t>
  </si>
  <si>
    <t>ВС-0134</t>
  </si>
  <si>
    <t>4670159101345</t>
  </si>
  <si>
    <t>215568</t>
  </si>
  <si>
    <t>Ваза декоративная керамическая "Нежный оттенок", белая, 28,5см ВС-0136</t>
  </si>
  <si>
    <t>ВС-0136</t>
  </si>
  <si>
    <t>4670159101369</t>
  </si>
  <si>
    <t>275081</t>
  </si>
  <si>
    <t>Ваза декоративная керамическая "Необычная", белая, 12*11*20см ВС-3262</t>
  </si>
  <si>
    <t>ВС-3262</t>
  </si>
  <si>
    <t>4680942632628</t>
  </si>
  <si>
    <t>275077</t>
  </si>
  <si>
    <t>Ваза декоративная керамическая "Необычная", белая, 15*15*18,5см ВС-3258</t>
  </si>
  <si>
    <t>ВС-3258</t>
  </si>
  <si>
    <t>4680942632581</t>
  </si>
  <si>
    <t>275075</t>
  </si>
  <si>
    <t>Ваза декоративная керамическая "Пакет", синяя,  12*6*18см ВС-3257</t>
  </si>
  <si>
    <t>ВС-3257</t>
  </si>
  <si>
    <t>4680942632574</t>
  </si>
  <si>
    <t>275072</t>
  </si>
  <si>
    <t>Ваза декоративная керамическая "Подарок ", белая,  9,5*22см ВС-3254</t>
  </si>
  <si>
    <t>ВС-3254</t>
  </si>
  <si>
    <t>4680942632543</t>
  </si>
  <si>
    <t>215573</t>
  </si>
  <si>
    <t>Ваза декоративная керамическая "Полосы", белая, 11.5*24см ВС-0141</t>
  </si>
  <si>
    <t>ВС-0141</t>
  </si>
  <si>
    <t>4670159101413</t>
  </si>
  <si>
    <t>275078</t>
  </si>
  <si>
    <t>Ваза декоративная керамическая "Сумка", оранжевая, 21,5*8*14см ВС-3259</t>
  </si>
  <si>
    <t>ВС-3259</t>
  </si>
  <si>
    <t>4680942632598</t>
  </si>
  <si>
    <t>275074</t>
  </si>
  <si>
    <t>Ваза декоративная керамическая "Сумочка", зеленая,  16*7*17см ВС-3256</t>
  </si>
  <si>
    <t>ВС-3256</t>
  </si>
  <si>
    <t>4680942632567</t>
  </si>
  <si>
    <t>234934</t>
  </si>
  <si>
    <t>Ваза декоративная керамическая "Утонченность во всем", 11.5*24см ВС-9823</t>
  </si>
  <si>
    <t>ВС-9823</t>
  </si>
  <si>
    <t>4670159198239</t>
  </si>
  <si>
    <t>234917</t>
  </si>
  <si>
    <t>Ваза декоративная керамическая "Эко стиль", 12*6*20.5см ВС-9812</t>
  </si>
  <si>
    <t>ВС-9812</t>
  </si>
  <si>
    <t>4670159198123</t>
  </si>
  <si>
    <t>Вазы металлические</t>
  </si>
  <si>
    <t>210345</t>
  </si>
  <si>
    <t>Ваза декоративная из металла и стекла"Джунгли", 21*17см, золотистая ВС-7658</t>
  </si>
  <si>
    <t>ВС-7658</t>
  </si>
  <si>
    <t>4670159076582</t>
  </si>
  <si>
    <t>210338</t>
  </si>
  <si>
    <t>Ваза декоративная из металла и стекла"Колба", 21*11см, золотистая ВС-7655</t>
  </si>
  <si>
    <t>ВС-7655</t>
  </si>
  <si>
    <t>4670159076551</t>
  </si>
  <si>
    <t>210343</t>
  </si>
  <si>
    <t>Ваза декоративная из металла и стекла"Модернизм", 21*12см, золотистая ВС-7657</t>
  </si>
  <si>
    <t>ВС-7657</t>
  </si>
  <si>
    <t>4670159076575</t>
  </si>
  <si>
    <t>210327</t>
  </si>
  <si>
    <t>Ваза декоративная из металла и стекла"Формы", 24см, золотистая ВС-7653</t>
  </si>
  <si>
    <t>ВС-7653</t>
  </si>
  <si>
    <t>4670159076537</t>
  </si>
  <si>
    <t>Декоративные искусственные растения</t>
  </si>
  <si>
    <t>214496</t>
  </si>
  <si>
    <t>Декоративная ветка "Веточка пальмы", 70см (Арт. ДВ-8638)</t>
  </si>
  <si>
    <t>ДВ-8638</t>
  </si>
  <si>
    <t>4670159086383</t>
  </si>
  <si>
    <t>214474</t>
  </si>
  <si>
    <t>Декоративная ветка "Золотистая листва", 80см (Арт. ДВ-8632)</t>
  </si>
  <si>
    <t>ДВ-8632</t>
  </si>
  <si>
    <t>4670159086321</t>
  </si>
  <si>
    <t>214495</t>
  </si>
  <si>
    <t>Декоративная ветка "Золотистая пальма", 70см (Арт. ДВ-8637)</t>
  </si>
  <si>
    <t>ДВ-8637</t>
  </si>
  <si>
    <t>4670159086376</t>
  </si>
  <si>
    <t>214499</t>
  </si>
  <si>
    <t>Декоративное растение. "Пальма", 80см, 21 ветка (Арт. ДВ-9949)</t>
  </si>
  <si>
    <t>ДВ-9949</t>
  </si>
  <si>
    <t>4670159099499</t>
  </si>
  <si>
    <t>Картины с подсветкой</t>
  </si>
  <si>
    <t>225450</t>
  </si>
  <si>
    <t>Светодиодный светильник. Картина "Милый котик",(2 смен.карт.в наборе),65 LED, 16.5*21*4.5 см,СН-4218</t>
  </si>
  <si>
    <t>СН-4218</t>
  </si>
  <si>
    <t>4670159142188</t>
  </si>
  <si>
    <t>225448</t>
  </si>
  <si>
    <t>Светодиодный светильник. Картина "Романтика",(2 смен. карт. в наборе), 65 LED,16.5*21*4.5 см,СН-4216</t>
  </si>
  <si>
    <t>СН-4216</t>
  </si>
  <si>
    <t>4670159142164</t>
  </si>
  <si>
    <t>02 Механические копилки</t>
  </si>
  <si>
    <t>210391</t>
  </si>
  <si>
    <t>Копилка механическая "Полицейская машинка", 29*14*14 КМ-7683</t>
  </si>
  <si>
    <t>КМ-7683</t>
  </si>
  <si>
    <t>4670159076834</t>
  </si>
  <si>
    <t>234794</t>
  </si>
  <si>
    <t>Копилка механическая банкомат с ручкой, 27.5*14.5*13 см, цвет голубой+желтый КМ-9598</t>
  </si>
  <si>
    <t>КМ-9598</t>
  </si>
  <si>
    <t>4670159195986</t>
  </si>
  <si>
    <t>234796</t>
  </si>
  <si>
    <t>Копилка механическая банкомат, 18.8*11.3*25.2 см, цвет черный+серый+синий КМ-9599</t>
  </si>
  <si>
    <t>КМ-9599</t>
  </si>
  <si>
    <t>4670159195993</t>
  </si>
  <si>
    <t>200939</t>
  </si>
  <si>
    <t>Копилка механическая в ассортименте Собака Белая КМ-2273</t>
  </si>
  <si>
    <t>КМ-2273</t>
  </si>
  <si>
    <t>4670159022732</t>
  </si>
  <si>
    <t>200940</t>
  </si>
  <si>
    <t>Копилка механическая в ассортименте Собака Белая с черными пятнами КМ-2274</t>
  </si>
  <si>
    <t>КМ-2274</t>
  </si>
  <si>
    <t>4670159022749</t>
  </si>
  <si>
    <t>200943</t>
  </si>
  <si>
    <t>Копилка механическая в ассортименте Собака Темно-коричневая КМ-2277</t>
  </si>
  <si>
    <t>КМ-2277</t>
  </si>
  <si>
    <t>4670159022770</t>
  </si>
  <si>
    <t>200938</t>
  </si>
  <si>
    <t>Копилка механическая Воришка Панда в коробке Бамбук КМ-2272</t>
  </si>
  <si>
    <t>КМ-2272</t>
  </si>
  <si>
    <t>4670159022725</t>
  </si>
  <si>
    <t>118966</t>
  </si>
  <si>
    <t>Копилка механическая Сейф, розовая  КМ-4472</t>
  </si>
  <si>
    <t>КМ-4472</t>
  </si>
  <si>
    <t>4665307344729</t>
  </si>
  <si>
    <t>03 Копилки пластиковые</t>
  </si>
  <si>
    <t>210557</t>
  </si>
  <si>
    <t>Копилка  декоративная, пластиковая "Зайка с морковкой", 13*24см. КС-7437</t>
  </si>
  <si>
    <t>КС-7437</t>
  </si>
  <si>
    <t>4670159074373</t>
  </si>
  <si>
    <t>216096</t>
  </si>
  <si>
    <t>Копилка "Влюбленный котик",15*14*13 см, розовая КС-0863</t>
  </si>
  <si>
    <t>КС-0863</t>
  </si>
  <si>
    <t>4670159108634</t>
  </si>
  <si>
    <t>257904</t>
  </si>
  <si>
    <t>Копилка "Дино" 22*21*14 см КС-7463</t>
  </si>
  <si>
    <t>КС-7463</t>
  </si>
  <si>
    <t>4630493774636</t>
  </si>
  <si>
    <t>257905</t>
  </si>
  <si>
    <t>Копилка "Дракоша" 17*14*23,5 см КС-7464</t>
  </si>
  <si>
    <t>КС-7464</t>
  </si>
  <si>
    <t>4630493774643</t>
  </si>
  <si>
    <t>222043</t>
  </si>
  <si>
    <t>Копилка "Малыш пандочка", 14*15 см  КС-3682</t>
  </si>
  <si>
    <t>КС-3682</t>
  </si>
  <si>
    <t>4670159136828</t>
  </si>
  <si>
    <t>222038</t>
  </si>
  <si>
    <t>Копилка "Малыш-мишка", 14*15.5 см, серый КС-3677</t>
  </si>
  <si>
    <t>КС-3677</t>
  </si>
  <si>
    <t>4670159136774</t>
  </si>
  <si>
    <t>222042</t>
  </si>
  <si>
    <t>Копилка "Милая собачка", 13*14 см  КС-3681</t>
  </si>
  <si>
    <t>КС-3681</t>
  </si>
  <si>
    <t>4670159136811</t>
  </si>
  <si>
    <t>222013</t>
  </si>
  <si>
    <t>Копилка "Пандочка с бамбуком", 15.5*15*18 см КС-3669</t>
  </si>
  <si>
    <t>КС-3669</t>
  </si>
  <si>
    <t>4670159136699</t>
  </si>
  <si>
    <t>222040</t>
  </si>
  <si>
    <t>Копилка "Пёсик на утке", 21*12 см КС-3679</t>
  </si>
  <si>
    <t>КС-3679</t>
  </si>
  <si>
    <t>4670159136798</t>
  </si>
  <si>
    <t>222041</t>
  </si>
  <si>
    <t>Копилка "Свинка на утке", 21*12 см КС-3680</t>
  </si>
  <si>
    <t>КС-3680</t>
  </si>
  <si>
    <t>4670159136804</t>
  </si>
  <si>
    <t>222036</t>
  </si>
  <si>
    <t>Копилка "Счастливый зверёк" 14.5*13.5 см, оранжевый КС-3675</t>
  </si>
  <si>
    <t>КС-3675</t>
  </si>
  <si>
    <t>4670159136750</t>
  </si>
  <si>
    <t>222035</t>
  </si>
  <si>
    <t>Копилка "Счастливый котёнок", 14.5*13.5 см, серый КС-3674</t>
  </si>
  <si>
    <t>КС-3674</t>
  </si>
  <si>
    <t>4670159136743</t>
  </si>
  <si>
    <t>222032</t>
  </si>
  <si>
    <t>Копилка "Счастливый котёнок", 17*15.5 см, серый КС-3672</t>
  </si>
  <si>
    <t>КС-3672</t>
  </si>
  <si>
    <t>4670159136729</t>
  </si>
  <si>
    <t>233886</t>
  </si>
  <si>
    <t>Копилка декоративная, пластиковая  "Игривый пёсик", 20*16см КС-9016</t>
  </si>
  <si>
    <t>КС-9016</t>
  </si>
  <si>
    <t>4670159190165</t>
  </si>
  <si>
    <t>233889</t>
  </si>
  <si>
    <t>Копилка декоративная, пластиковая  "Котик в шапке", 21*16см КС-9018</t>
  </si>
  <si>
    <t>КС-9018</t>
  </si>
  <si>
    <t>4670159190189</t>
  </si>
  <si>
    <t>233888</t>
  </si>
  <si>
    <t>Копилка декоративная, пластиковая  "Малыш пёсик", 20*20см КС-9017</t>
  </si>
  <si>
    <t>КС-9017</t>
  </si>
  <si>
    <t>4670159190172</t>
  </si>
  <si>
    <t>266918</t>
  </si>
  <si>
    <t>Набор копилок "Влюбленные зайки" 15*9см, 2 шт КС-7545</t>
  </si>
  <si>
    <t>КС-7545</t>
  </si>
  <si>
    <t>4640520775451</t>
  </si>
  <si>
    <t>266916</t>
  </si>
  <si>
    <t>Набор копилок "Влюбленные котики" 12*13см, 2 шт КС-7543</t>
  </si>
  <si>
    <t>КС-7543</t>
  </si>
  <si>
    <t>4640520775437</t>
  </si>
  <si>
    <t>Пепельницы</t>
  </si>
  <si>
    <t>239884</t>
  </si>
  <si>
    <t>Пепельница бездымная "5000 рублей", 11х11х5,5см ПЛ-2035</t>
  </si>
  <si>
    <t>ПЛ-2035</t>
  </si>
  <si>
    <t>4670159220350</t>
  </si>
  <si>
    <t>239888</t>
  </si>
  <si>
    <t>Пепельница бездымная "5000 рублей", 9х9х7см ПЛ-2036</t>
  </si>
  <si>
    <t>ПЛ-2036</t>
  </si>
  <si>
    <t>4670159220367</t>
  </si>
  <si>
    <t>239894</t>
  </si>
  <si>
    <t>Пепельница бездымная "Гол", 9х9х7см ПЛ-2041</t>
  </si>
  <si>
    <t>ПЛ-2041</t>
  </si>
  <si>
    <t>4670159220411</t>
  </si>
  <si>
    <t>249417</t>
  </si>
  <si>
    <t>Пепельница бездымная "Изысканность",белая ПЛ-2463</t>
  </si>
  <si>
    <t>ПЛ-2463</t>
  </si>
  <si>
    <t>4640306924639</t>
  </si>
  <si>
    <t>239896</t>
  </si>
  <si>
    <t>Пепельница бездымная "Инопланетяне", 9х9х7см ПЛ-2043</t>
  </si>
  <si>
    <t>ПЛ-2043</t>
  </si>
  <si>
    <t>4670159220435</t>
  </si>
  <si>
    <t>239895</t>
  </si>
  <si>
    <t>Пепельница бездымная "Курение запрещено", 9х9х7см ПЛ-2042</t>
  </si>
  <si>
    <t>ПЛ-2042</t>
  </si>
  <si>
    <t>4670159220428</t>
  </si>
  <si>
    <t>249416</t>
  </si>
  <si>
    <t>Пепельница бездымная "Современность", батарейки 2*АА (не в компл.) ПЛ-2462</t>
  </si>
  <si>
    <t>ПЛ-2462</t>
  </si>
  <si>
    <t>4640306924622</t>
  </si>
  <si>
    <t>276417</t>
  </si>
  <si>
    <t>Пепельница бездымная "Спортивный интерес" 9х9х7 см, металл, пластик, (соб.разр.) ПЛ-4266</t>
  </si>
  <si>
    <t>ПЛ-4266</t>
  </si>
  <si>
    <t>4680942642672</t>
  </si>
  <si>
    <t>247630</t>
  </si>
  <si>
    <t>Пепельница бездымная "Стильная классика", 11х13см, коричневая, иск.кожа ПЛ-2263</t>
  </si>
  <si>
    <t>ПЛ-2263</t>
  </si>
  <si>
    <t>4640306922635</t>
  </si>
  <si>
    <t>247631</t>
  </si>
  <si>
    <t>Пепельница бездымная "Строгая классика", черная, 11х13см, иск.кожа ПЛ-2264</t>
  </si>
  <si>
    <t>ПЛ-2264</t>
  </si>
  <si>
    <t>4640306922642</t>
  </si>
  <si>
    <t>239890</t>
  </si>
  <si>
    <t>Пепельница бездымная "Чил", 9х9х7см ПЛ-2037</t>
  </si>
  <si>
    <t>ПЛ-2037</t>
  </si>
  <si>
    <t>4670159220374</t>
  </si>
  <si>
    <t>076572</t>
  </si>
  <si>
    <t>Пепельница бездымная Доллар ПЛ-1966</t>
  </si>
  <si>
    <t>ПЛ-1966</t>
  </si>
  <si>
    <t>4665303219663</t>
  </si>
  <si>
    <t>276422</t>
  </si>
  <si>
    <t>Пепельница бездымная квадратная "Джекпот",  9х9х6,5 см, металл, пластик (соб.разр.) ПЛ-4271</t>
  </si>
  <si>
    <t>ПЛ-4271</t>
  </si>
  <si>
    <t>4680942642726</t>
  </si>
  <si>
    <t>276424</t>
  </si>
  <si>
    <t>Пепельница бездымная квадратная "Камуфляж синий",  9х9х6,5 см, металл, пластик (соб.разр.) ПЛ-4272</t>
  </si>
  <si>
    <t>ПЛ-4272</t>
  </si>
  <si>
    <t>4680942642733</t>
  </si>
  <si>
    <t>239893</t>
  </si>
  <si>
    <t>Пепельница бездымная квадратная "Камуфляж", 9х9х6,5см ПЛ-2040</t>
  </si>
  <si>
    <t>ПЛ-2040</t>
  </si>
  <si>
    <t>4670159220404</t>
  </si>
  <si>
    <t>107809</t>
  </si>
  <si>
    <t>Пепельница бездымная квадратная 100 евро ПЛ-1075</t>
  </si>
  <si>
    <t>ПЛ-1075</t>
  </si>
  <si>
    <t>4665306710754</t>
  </si>
  <si>
    <t>107811</t>
  </si>
  <si>
    <t>Пепельница бездымная квадратная 500 евро ПЛ-1077</t>
  </si>
  <si>
    <t>ПЛ-1077</t>
  </si>
  <si>
    <t>4665306710778</t>
  </si>
  <si>
    <t>107812</t>
  </si>
  <si>
    <t>Пепельница бездымная квадратная Валюта ПЛ-1078</t>
  </si>
  <si>
    <t>ПЛ-1078</t>
  </si>
  <si>
    <t>4665306710785</t>
  </si>
  <si>
    <t>276418</t>
  </si>
  <si>
    <t>Пепельница бездымная круглая "Игровое поле",  9х9х7 см, металл, пластик (соб.разр.) ПЛ-4267</t>
  </si>
  <si>
    <t>ПЛ-4267</t>
  </si>
  <si>
    <t>4680942642689</t>
  </si>
  <si>
    <t>276420</t>
  </si>
  <si>
    <t>Пепельница бездымная круглая "Камуфляж зеленый",  9х9х7 см, металл, пластик (соб.разр.) ПЛ-4269</t>
  </si>
  <si>
    <t>ПЛ-4269</t>
  </si>
  <si>
    <t>4680942642702</t>
  </si>
  <si>
    <t>276421</t>
  </si>
  <si>
    <t>Пепельница бездымная круглая "Не пью, не курю", 9х9х7 см, металл, пластик (соб.разр.) ПЛ-4270</t>
  </si>
  <si>
    <t>ПЛ-4270</t>
  </si>
  <si>
    <t>4680942642719</t>
  </si>
  <si>
    <t>276419</t>
  </si>
  <si>
    <t>Пепельница бездымная круглая "Сюда пепел, а не мысли", 9х9х7см, металл, пластик (соб.разр.) ПЛ-4268</t>
  </si>
  <si>
    <t>ПЛ-4268</t>
  </si>
  <si>
    <t>4680942642696</t>
  </si>
  <si>
    <t>107819</t>
  </si>
  <si>
    <t>Пепельница бездымная Стиль,черная ПЛ-1068</t>
  </si>
  <si>
    <t>ПЛ-1068</t>
  </si>
  <si>
    <t>4665306710686</t>
  </si>
  <si>
    <t>076582</t>
  </si>
  <si>
    <t>Пепельница бездымная Череп и кости ПЛ-1976</t>
  </si>
  <si>
    <t>ПЛ-1976</t>
  </si>
  <si>
    <t>4665303219762</t>
  </si>
  <si>
    <t>210121</t>
  </si>
  <si>
    <t>Пепельница бездымная. "Мужество", 9см, круглая. ПЛ-7383</t>
  </si>
  <si>
    <t>ПЛ-7383</t>
  </si>
  <si>
    <t>4670159073833</t>
  </si>
  <si>
    <t>210126</t>
  </si>
  <si>
    <t>Пепельница бездымная. "Ностальгия", 9*9см, квадратная.  ПЛ-7386</t>
  </si>
  <si>
    <t>ПЛ-7386</t>
  </si>
  <si>
    <t>4670159073864</t>
  </si>
  <si>
    <t>210125</t>
  </si>
  <si>
    <t>Пепельница бездымная. "Родина", 11см, круглая.ПЛ-7385</t>
  </si>
  <si>
    <t>ПЛ-7385</t>
  </si>
  <si>
    <t>4670159073857</t>
  </si>
  <si>
    <t>210123</t>
  </si>
  <si>
    <t>Пепельница бездымная. "Родина", 9см, круглая. ПЛ-7384</t>
  </si>
  <si>
    <t>ПЛ-7384</t>
  </si>
  <si>
    <t>4670159073840</t>
  </si>
  <si>
    <t>Подсвечники</t>
  </si>
  <si>
    <t>207432</t>
  </si>
  <si>
    <t>Набор из 3-х подсвечников, металлических 8*8*23 см, "Геометрия",бронзовый ПВ-6126</t>
  </si>
  <si>
    <t>ПВ-6126</t>
  </si>
  <si>
    <t>4670159061267</t>
  </si>
  <si>
    <t>211377</t>
  </si>
  <si>
    <t>Подсвечник декоративный из металла "Вензель", золотистый, 12*12*9см ПВ-7455</t>
  </si>
  <si>
    <t>ПВ-7455</t>
  </si>
  <si>
    <t>4670159074557</t>
  </si>
  <si>
    <t>211379</t>
  </si>
  <si>
    <t>Подсвечник декоративный из металла "Вензель", черный, 12*12*9см ПВ-7456</t>
  </si>
  <si>
    <t>ПВ-7456</t>
  </si>
  <si>
    <t>4670159074564</t>
  </si>
  <si>
    <t>211382</t>
  </si>
  <si>
    <t>Подсвечник декоративный из металла "Модернизм", золотистый, 15.5*15.5*15см ПВ-7459</t>
  </si>
  <si>
    <t>ПВ-7459</t>
  </si>
  <si>
    <t>4670159074595</t>
  </si>
  <si>
    <t>211384</t>
  </si>
  <si>
    <t>Подсвечник декоративный из металла "Модернизм", черный, 15.5*15.5*15см ПВ-7460</t>
  </si>
  <si>
    <t>ПВ-7460</t>
  </si>
  <si>
    <t>4670159074601</t>
  </si>
  <si>
    <t>211369</t>
  </si>
  <si>
    <t>Подсвечник декоративный из металла "Неразлучники", золотистый, 24.5*24*10см ПВ-7451</t>
  </si>
  <si>
    <t>ПВ-7451</t>
  </si>
  <si>
    <t>4670159074519</t>
  </si>
  <si>
    <t>211380</t>
  </si>
  <si>
    <t>Подсвечник декоративный из металла "Ростки", золотистый, 12*12*9см ПВ-7457</t>
  </si>
  <si>
    <t>ПВ-7457</t>
  </si>
  <si>
    <t>4670159074571</t>
  </si>
  <si>
    <t>211381</t>
  </si>
  <si>
    <t>Подсвечник декоративный из металла "Ростки", черный, 12*12*9см ПВ-7458</t>
  </si>
  <si>
    <t>ПВ-7458</t>
  </si>
  <si>
    <t>4670159074588</t>
  </si>
  <si>
    <t>211374</t>
  </si>
  <si>
    <t>Подсвечник декоративный из металла "Свобода", золотистый, 11.5*11.5*20см ПВ-7454</t>
  </si>
  <si>
    <t>ПВ-7454</t>
  </si>
  <si>
    <t>4670159074540</t>
  </si>
  <si>
    <t>Светильники и ночники</t>
  </si>
  <si>
    <t>Пластиковые ночники и светильники</t>
  </si>
  <si>
    <t>Питание от USB</t>
  </si>
  <si>
    <t>266874</t>
  </si>
  <si>
    <t>Светильник декоративный "Маленький динозавр" синий, 17х8,5 см, от USB СВП-0095</t>
  </si>
  <si>
    <t>СВП-0095</t>
  </si>
  <si>
    <t>4640520775000</t>
  </si>
  <si>
    <t>234462</t>
  </si>
  <si>
    <t>Светильник декоративный "Эстетика минимализма", LED, силикон/пластик, 12*9см, питание: USB СВП-0024</t>
  </si>
  <si>
    <t>СВП-0024</t>
  </si>
  <si>
    <t>4670159197294</t>
  </si>
  <si>
    <t>Питание от батареек</t>
  </si>
  <si>
    <t>266879</t>
  </si>
  <si>
    <t>Светильник декоративный "Квадратный утёнок", белый, на батарейках 3*LR44, 10х11 см СВП-0206</t>
  </si>
  <si>
    <t>СВП-0206</t>
  </si>
  <si>
    <t>4640520775055</t>
  </si>
  <si>
    <t>266878</t>
  </si>
  <si>
    <t>Светильник декоративный "Птица счастья",пластик, белый, на батарейках 3*LR44, 15х13 см СВП-0205</t>
  </si>
  <si>
    <t>СВП-0205</t>
  </si>
  <si>
    <t>4640520775048</t>
  </si>
  <si>
    <t>Питание от сети</t>
  </si>
  <si>
    <t>234497</t>
  </si>
  <si>
    <t>Светильник декоративный. "Воздушный шар", LED, пластик, 11*8 см, тип питания: от сети СВП-0041</t>
  </si>
  <si>
    <t>СВП-0041</t>
  </si>
  <si>
    <t>4670159197508</t>
  </si>
  <si>
    <t>Свечи - светильники</t>
  </si>
  <si>
    <t>261942</t>
  </si>
  <si>
    <t>Набор Свечи светодиодные на батарейках "Вечерний свет", 3 шт (теплый желтый свет) СВП-0089</t>
  </si>
  <si>
    <t>СВП-0089</t>
  </si>
  <si>
    <t>4640520770067</t>
  </si>
  <si>
    <t>261943</t>
  </si>
  <si>
    <t>Набор Свечи светодиодные на батарейках "Канон", 3шт (теплый желтый свет) СВП-0090</t>
  </si>
  <si>
    <t>СВП-0090</t>
  </si>
  <si>
    <t>4640520770074</t>
  </si>
  <si>
    <t>261944</t>
  </si>
  <si>
    <t>Набор Свечи светодиодные на батарейках "Мерцание", 3 шт (теплый желтый свет) СВП-0091</t>
  </si>
  <si>
    <t>СВП-0091</t>
  </si>
  <si>
    <t>4640520770081</t>
  </si>
  <si>
    <t>261941</t>
  </si>
  <si>
    <t>Набор Свечи светодиодные на батарейках "Обаяние", 3 шт (теплый желтый свет) СВП-0088</t>
  </si>
  <si>
    <t>СВП-0088</t>
  </si>
  <si>
    <t>4640520770050</t>
  </si>
  <si>
    <t>Силиконовые ночники и светильники</t>
  </si>
  <si>
    <t>234466</t>
  </si>
  <si>
    <t>Светильник декоративный "Аниме котик", LED, силикон/пластик, 13*10см, тип питания: USB, СВП-0027</t>
  </si>
  <si>
    <t>СВП-0027</t>
  </si>
  <si>
    <t>4670159197324</t>
  </si>
  <si>
    <t>234479</t>
  </si>
  <si>
    <t>Светильник декоративный "Жизнерадостная уточка", LED, силикон/пластик, 12*10см, USB, СВП-0036</t>
  </si>
  <si>
    <t>СВП-0036</t>
  </si>
  <si>
    <t>4670159197416</t>
  </si>
  <si>
    <t>234467</t>
  </si>
  <si>
    <t>Светильник декоративный "Малыш китенок", LED, силикон/пластик, 10*17см, тип питания: USB, СВП-0028</t>
  </si>
  <si>
    <t>СВП-0028</t>
  </si>
  <si>
    <t>4670159197331</t>
  </si>
  <si>
    <t>234481</t>
  </si>
  <si>
    <t>Светильник декоративный "Милый динозаврик", LED, силикон/пластик 10*14см, тип питания: USB СВП-0037</t>
  </si>
  <si>
    <t>СВП-0037</t>
  </si>
  <si>
    <t>4670159197423</t>
  </si>
  <si>
    <t>234465</t>
  </si>
  <si>
    <t>Светильник декоративный "Панда с шарфиком", LED, силикон/пластик, 14*14см, тип питания: USB СВП-0026</t>
  </si>
  <si>
    <t>СВП-0026</t>
  </si>
  <si>
    <t>4670159197317</t>
  </si>
  <si>
    <t>234469</t>
  </si>
  <si>
    <t>Светильник декоративный "Смущенный щеночек", LED, силикон/пластик, 16*8см, тип питания: USB СВП-0029</t>
  </si>
  <si>
    <t>СВП-0029</t>
  </si>
  <si>
    <t>4670159197348</t>
  </si>
  <si>
    <t>234477</t>
  </si>
  <si>
    <t>Светильник декоративный "Спортивная уточка", LED, силикон/пластик, 11*12см, питание: USB, СВП-0034</t>
  </si>
  <si>
    <t>СВП-0034</t>
  </si>
  <si>
    <t>4670159197393</t>
  </si>
  <si>
    <t>234476</t>
  </si>
  <si>
    <t>Светильник декоративный "Уточка на чиле", LED, силикон/пластик, 12*11см, тип питания: USB, СВП-0033</t>
  </si>
  <si>
    <t>СВП-0033</t>
  </si>
  <si>
    <t>4670159197386</t>
  </si>
  <si>
    <t>Соляные лампы</t>
  </si>
  <si>
    <t>223010</t>
  </si>
  <si>
    <t>Соляная  лампа-ночник  с диммером регулировки яркости света "Большая Скала" 3-5 кг, 15 Вт, СЛН-4087</t>
  </si>
  <si>
    <t>СЛН-4087</t>
  </si>
  <si>
    <t>4670159140870</t>
  </si>
  <si>
    <t>Свечи</t>
  </si>
  <si>
    <t>Свечи ароматические</t>
  </si>
  <si>
    <t>199294</t>
  </si>
  <si>
    <t>Свеча ароматическая "Восточный жасмин и календула" 5.1*6.2  см АС-1128</t>
  </si>
  <si>
    <t>АС-1128</t>
  </si>
  <si>
    <t>4670159011286</t>
  </si>
  <si>
    <t>199269</t>
  </si>
  <si>
    <t>Свеча ароматическая "Сочный виноград и роза " 9 см, d 7 см АС-1111</t>
  </si>
  <si>
    <t>АС-1111</t>
  </si>
  <si>
    <t>4670159011118</t>
  </si>
  <si>
    <t>Свечи декоративные</t>
  </si>
  <si>
    <t>207686</t>
  </si>
  <si>
    <t>Свеча декоративная "Геометрия" с ароматом белого персика,  6.2*6.2*5.7см, розовая.УД-6199</t>
  </si>
  <si>
    <t>УД-6199</t>
  </si>
  <si>
    <t>4670159061991</t>
  </si>
  <si>
    <t>260049</t>
  </si>
  <si>
    <t>Свеча декоративная "Медвежье сердце" с ароматом розы,  7.5*4*10 см, красная УД-7704</t>
  </si>
  <si>
    <t>УД-7704</t>
  </si>
  <si>
    <t>4630493777040</t>
  </si>
  <si>
    <t>260050</t>
  </si>
  <si>
    <t>Свеча декоративная "Сердце из роз" с ароматом розы,  8*7*3 см, розовая УД-7705</t>
  </si>
  <si>
    <t>УД-7705</t>
  </si>
  <si>
    <t>4630493777057</t>
  </si>
  <si>
    <t>Сейф-книга</t>
  </si>
  <si>
    <t>С ключевым замком</t>
  </si>
  <si>
    <t>267792</t>
  </si>
  <si>
    <t>Сейф-книга "Алиса в стране чудес", 180*115*56 мм (размер S), ключевой замок (соб.раз) Ш-7823</t>
  </si>
  <si>
    <t>Ш-7823</t>
  </si>
  <si>
    <t>4640520778230</t>
  </si>
  <si>
    <t>267789</t>
  </si>
  <si>
    <t>Сейф-книга "Атлас мира", 180*115*56 мм (размер S), ключевой замок (соб.разр.) Ш-7820</t>
  </si>
  <si>
    <t>Ш-7820</t>
  </si>
  <si>
    <t>4640520778209</t>
  </si>
  <si>
    <t>218944</t>
  </si>
  <si>
    <t>Сейф-книга "Атлас мира", 180*115*56 мм (размер S), ключевой замок Ш-2164</t>
  </si>
  <si>
    <t>Ш-2164</t>
  </si>
  <si>
    <t>4670159121640</t>
  </si>
  <si>
    <t>218945</t>
  </si>
  <si>
    <t>Сейф-книга "Атлас мира", 265*200*65 мм (размер L), ключевой замок Ш-2165</t>
  </si>
  <si>
    <t>Ш-2165</t>
  </si>
  <si>
    <t>4670159121657</t>
  </si>
  <si>
    <t>267788</t>
  </si>
  <si>
    <t>Сейф-книга "История государства российского",180*115*56мм (размер S),ключ. замок (соб.разр.) Ш-7819</t>
  </si>
  <si>
    <t>Ш-7819</t>
  </si>
  <si>
    <t>4640520778193</t>
  </si>
  <si>
    <t>218946</t>
  </si>
  <si>
    <t>Сейф-книга "Капитал Маркса", 180*115*56 мм (размер S), ключевой замок Ш-2166</t>
  </si>
  <si>
    <t>Ш-2166</t>
  </si>
  <si>
    <t>4670159121664</t>
  </si>
  <si>
    <t>218947</t>
  </si>
  <si>
    <t>Сейф-книга "Капитал Маркса", 265*200*65 мм (размер L), ключевой замок Ш-2167</t>
  </si>
  <si>
    <t>Ш-2167</t>
  </si>
  <si>
    <t>4670159121671</t>
  </si>
  <si>
    <t>267787</t>
  </si>
  <si>
    <t>Сейф-книга "Капитал", 180*115*56 мм (размер S), ключевой замок (соб.разр.) Ш-7818</t>
  </si>
  <si>
    <t>Ш-7818</t>
  </si>
  <si>
    <t>4640520778186</t>
  </si>
  <si>
    <t>267791</t>
  </si>
  <si>
    <t>Сейф-книга "Новый английский словарь", синий, 180*115*56мм (размерS), ключевой замок (соб.раз)Ш-7822</t>
  </si>
  <si>
    <t>Ш-7822</t>
  </si>
  <si>
    <t>4640520778223</t>
  </si>
  <si>
    <t>267790</t>
  </si>
  <si>
    <t>Сейф-книга "Новый английский словарь", чёрный, 180*115*56мм (размерS)ключевой замок (соб.раз) Ш-7821</t>
  </si>
  <si>
    <t>Ш-7821</t>
  </si>
  <si>
    <t>4640520778216</t>
  </si>
  <si>
    <t>267786</t>
  </si>
  <si>
    <t>Сейф-книга "Остров сокровищ", 180*115*56 мм (размер S), ключевой замок (соб.разр.) Ш-7817</t>
  </si>
  <si>
    <t>Ш-7817</t>
  </si>
  <si>
    <t>4640520778179</t>
  </si>
  <si>
    <t>218948</t>
  </si>
  <si>
    <t>Сейф-книга "Остров сокровищ", 180*115*56 мм (размер S), ключевой замок Ш-2168</t>
  </si>
  <si>
    <t>Ш-2168</t>
  </si>
  <si>
    <t>4670159121688</t>
  </si>
  <si>
    <t>218949</t>
  </si>
  <si>
    <t>Сейф-книга "Остров сокровищ", 265*200*65 мм (размер L), ключевой замок Ш-2169</t>
  </si>
  <si>
    <t>Ш-2169</t>
  </si>
  <si>
    <t>4670159121695</t>
  </si>
  <si>
    <t>152530</t>
  </si>
  <si>
    <t>Сейф-книга, Горе от ума, 240х155х55 мм, ключевой замок Ш-6056</t>
  </si>
  <si>
    <t>Ш-6056</t>
  </si>
  <si>
    <t>4680088460567</t>
  </si>
  <si>
    <t>152526</t>
  </si>
  <si>
    <t>Сейф-книга, Думай и богатей, 180*115*56 мм, ключевой замок Ш-6052</t>
  </si>
  <si>
    <t>Ш-6052</t>
  </si>
  <si>
    <t>4680088460529</t>
  </si>
  <si>
    <t>152527</t>
  </si>
  <si>
    <t>Сейф-книга, Капитал, 180*115*56  мм, ключевой замок Ш-6053</t>
  </si>
  <si>
    <t>Ш-6053</t>
  </si>
  <si>
    <t>4680088460536</t>
  </si>
  <si>
    <t>152528</t>
  </si>
  <si>
    <t>Сейф-книга, Капитал, 240х155х55 мм, ключевой замок Ш-6054</t>
  </si>
  <si>
    <t>Ш-6054</t>
  </si>
  <si>
    <t>4680088460543</t>
  </si>
  <si>
    <t>152533</t>
  </si>
  <si>
    <t>Сейф-книга, Капитал, 265х200х65 мм, ключевой замок Ш-6059</t>
  </si>
  <si>
    <t>Ш-6059</t>
  </si>
  <si>
    <t>4680088460598</t>
  </si>
  <si>
    <t>Скретч-постеры 415х590 мм</t>
  </si>
  <si>
    <t>276920</t>
  </si>
  <si>
    <t>Скретч-постер "100 книг" (собственная разработка), бежевый ПС-4433</t>
  </si>
  <si>
    <t>ПС-4433</t>
  </si>
  <si>
    <t>4680942644331</t>
  </si>
  <si>
    <t>274384</t>
  </si>
  <si>
    <t>Скретч-постер "100 сериалов" (собственная разработка) ПС-2974</t>
  </si>
  <si>
    <t>ПС-2974</t>
  </si>
  <si>
    <t>4680942629741</t>
  </si>
  <si>
    <t>276919</t>
  </si>
  <si>
    <t>Скретч-постер "100 фильмов" (собственная разработка), черный ПС-4432</t>
  </si>
  <si>
    <t>ПС-4432</t>
  </si>
  <si>
    <t>4680942644324</t>
  </si>
  <si>
    <t>Статуэтки из металла</t>
  </si>
  <si>
    <t>210524</t>
  </si>
  <si>
    <t>Фигура декоративная металлическая "Тропикано", золотистая, 16*26см Т-7651</t>
  </si>
  <si>
    <t>Т-7651</t>
  </si>
  <si>
    <t>4670159076513</t>
  </si>
  <si>
    <t>210522</t>
  </si>
  <si>
    <t>Фигура декоративная металлическая. "Золотистая листва", золотистая, 16*26см Т-7650</t>
  </si>
  <si>
    <t>Т-7650</t>
  </si>
  <si>
    <t>4670159076506</t>
  </si>
  <si>
    <t>210380</t>
  </si>
  <si>
    <t>Интерьерный сувенир "Принцесса кошка", белый, 26*12*22см Т-7677</t>
  </si>
  <si>
    <t>Т-7677</t>
  </si>
  <si>
    <t>4670159076773</t>
  </si>
  <si>
    <t>210374</t>
  </si>
  <si>
    <t>Фигура декоративная из полирезины. "Месье бульдог", черная,11*11*27см Т-7675</t>
  </si>
  <si>
    <t>Т-7675</t>
  </si>
  <si>
    <t>4670159076759</t>
  </si>
  <si>
    <t>Флаги</t>
  </si>
  <si>
    <t>076616</t>
  </si>
  <si>
    <t>Флаг России, 14*21 см, с флагштоком (НАБОР 12 шт) ФГ-2013</t>
  </si>
  <si>
    <t>ФГ-2013</t>
  </si>
  <si>
    <t>4665303220133</t>
  </si>
  <si>
    <t>Часы</t>
  </si>
  <si>
    <t>Часы настенные</t>
  </si>
  <si>
    <t>211427</t>
  </si>
  <si>
    <t>Часы настенные интерьерные на батарейках (не в комплекте) Временная петля S, 50-70см, черные ЧН-7516</t>
  </si>
  <si>
    <t>ЧН-7516</t>
  </si>
  <si>
    <t>4670159075165</t>
  </si>
  <si>
    <t>211457</t>
  </si>
  <si>
    <t>Часы настенные интерьерные на батарейках (не в комплекте) Игривая кошка L, 100-120см, сереб. ЧН-7537</t>
  </si>
  <si>
    <t>ЧН-7537</t>
  </si>
  <si>
    <t>4670159075370</t>
  </si>
  <si>
    <t>211455</t>
  </si>
  <si>
    <t>Часы настенные интерьерные на батарейках (не в комплекте) Игривая кошка L, 100-120см, черные ЧН-7535</t>
  </si>
  <si>
    <t>ЧН-7535</t>
  </si>
  <si>
    <t>4670159075356</t>
  </si>
  <si>
    <t>211449</t>
  </si>
  <si>
    <t>Часы настенные интерьерные на батарейках (не в комплекте) Классические M, 80-100см, черные ЧН-7529</t>
  </si>
  <si>
    <t>ЧН-7529</t>
  </si>
  <si>
    <t>4670159075295</t>
  </si>
  <si>
    <t>211445</t>
  </si>
  <si>
    <t>Часы настенные интерьерные на батарейках (не в комплекте) Классические S, 50-70см, сереб. ЧН-7525</t>
  </si>
  <si>
    <t>ЧН-7525</t>
  </si>
  <si>
    <t>4670159075257</t>
  </si>
  <si>
    <t>211441</t>
  </si>
  <si>
    <t>Часы настенные интерьерные на батарейках (не в комплекте) Классические S, 50-70см, черные ЧН-7522</t>
  </si>
  <si>
    <t>ЧН-7522</t>
  </si>
  <si>
    <t>4670159075226</t>
  </si>
  <si>
    <t>Часы-будильник</t>
  </si>
  <si>
    <t>234594</t>
  </si>
  <si>
    <t>Часы-будильник "Гитара",на батар. 1*АА(не в комп-те) дискретный ход 15*9.5см БЧ-9833</t>
  </si>
  <si>
    <t>БЧ-9833</t>
  </si>
  <si>
    <t>4670159198338</t>
  </si>
  <si>
    <t>234588</t>
  </si>
  <si>
    <t>Часы-будильник "Милый зайка",на батар. 1*АА (не в комп-те) дискретный ход, 16*11см БЧ-9827</t>
  </si>
  <si>
    <t>БЧ-9827</t>
  </si>
  <si>
    <t>4670159198277</t>
  </si>
  <si>
    <t>234587</t>
  </si>
  <si>
    <t>Часы-будильник "Милый котик",на батар. 1*АА (не в комп-те)дискретный ход  16*11см БЧ-9826</t>
  </si>
  <si>
    <t>БЧ-9826</t>
  </si>
  <si>
    <t>4670159198260</t>
  </si>
  <si>
    <t>234595</t>
  </si>
  <si>
    <t>Часы-будильник "Наручные часы",на батар. 1*АА(не в комп-те) дискретный ход  12*11см БЧ-9834</t>
  </si>
  <si>
    <t>БЧ-9834</t>
  </si>
  <si>
    <t>4670159198345</t>
  </si>
  <si>
    <t>234601</t>
  </si>
  <si>
    <t>Часы-будильник "Ретро настроение", розовые,на батар.1*АА(не в комп-те)дискретный ход  13*9см БЧ-9840</t>
  </si>
  <si>
    <t>БЧ-9840</t>
  </si>
  <si>
    <t>4670159198406</t>
  </si>
  <si>
    <t>234592</t>
  </si>
  <si>
    <t>Часы-будильник "Ретро стиль", золотистые, на ба.1*АА(не в комп-те) дискретный ход  8.5*12см БЧ-9831</t>
  </si>
  <si>
    <t>БЧ-9831</t>
  </si>
  <si>
    <t>4670159198314</t>
  </si>
  <si>
    <t>234593</t>
  </si>
  <si>
    <t>Часы-будильник "Ретро стиль", серебристые,на батар.1*АА(не в комп-те)дискретный ход,8.5*12см БЧ-9832</t>
  </si>
  <si>
    <t>БЧ-9832</t>
  </si>
  <si>
    <t>4670159198321</t>
  </si>
  <si>
    <t>234604</t>
  </si>
  <si>
    <t>Часы-будильник "Стиль нулевых",на батар. 1*АА (не в комп-те) дискретный ход 5.5*6.5см БЧ-9842</t>
  </si>
  <si>
    <t>БЧ-9842</t>
  </si>
  <si>
    <t>4670159198420</t>
  </si>
  <si>
    <t>234600</t>
  </si>
  <si>
    <t>Часы-будильник "Яркий смайлик",на батар. 1*АА ( не в комп-те, дискретный ход 13*8см) БЧ-9839</t>
  </si>
  <si>
    <t>БЧ-9839</t>
  </si>
  <si>
    <t>4670159198390</t>
  </si>
  <si>
    <t>05 АВТОАКСЕССУАРЫ</t>
  </si>
  <si>
    <t>Автовизитка</t>
  </si>
  <si>
    <t>212646</t>
  </si>
  <si>
    <t>Автовизитка парковочная в машину "Номер"15см, черная АВТ-8461</t>
  </si>
  <si>
    <t>АВТ-8461</t>
  </si>
  <si>
    <t>4670159084617</t>
  </si>
  <si>
    <t>Ароматизаторы</t>
  </si>
  <si>
    <t>234383</t>
  </si>
  <si>
    <t>Ароматизатор в автомобиль на солн. батарее "Тюленьчик", 8*10*8см,черный,аромат цитрус-свеж. АР-9441</t>
  </si>
  <si>
    <t>АР-9441</t>
  </si>
  <si>
    <t>4670159194408</t>
  </si>
  <si>
    <t>234396</t>
  </si>
  <si>
    <t>Ароматизатор в автомобиль на солн. батарее 3 аромата) "Маленький робот", 6*3*6см, черный АР-9447</t>
  </si>
  <si>
    <t>АР-9447</t>
  </si>
  <si>
    <t>4670159194477</t>
  </si>
  <si>
    <t>248800</t>
  </si>
  <si>
    <t>Ароматизатор в автомобиль на солн. батарее Балерина, красная, 9*8 см аромат цитрус-свеж. АТ-2425</t>
  </si>
  <si>
    <t>АТ-2425</t>
  </si>
  <si>
    <t>4640306924257</t>
  </si>
  <si>
    <t>248802</t>
  </si>
  <si>
    <t>Ароматизатор в автомобиль на солн. батарее Планета, 8*7 см аромат цитрус-свеж. АТ-2427 ЧЗ</t>
  </si>
  <si>
    <t>АТ-2427</t>
  </si>
  <si>
    <t>4640306924271</t>
  </si>
  <si>
    <t>248796</t>
  </si>
  <si>
    <t>Ароматизатор в автомобиль на солн. батарее Серебряный ромб, 11*7,5 см аромат цитрус-свеж. АТ-2422 ЧЗ</t>
  </si>
  <si>
    <t>АТ-2422</t>
  </si>
  <si>
    <t>4640306924226</t>
  </si>
  <si>
    <t>248803</t>
  </si>
  <si>
    <t>Ароматизатор в автомобиль на солн. батарее Флаг России, 10*10 см аромат цитрус-свеж. АТ-2428 ЧЗ</t>
  </si>
  <si>
    <t>АТ-2428</t>
  </si>
  <si>
    <t>4640306924288</t>
  </si>
  <si>
    <t>223752</t>
  </si>
  <si>
    <t>Ароматизатор в автомобиль на солн.батарее "Сфера",6см*6см,красный,аромат свеж-цитрус.3 в. АР-4187 ЧЗ</t>
  </si>
  <si>
    <t>АР-4187</t>
  </si>
  <si>
    <t>4670159141877</t>
  </si>
  <si>
    <t>223751</t>
  </si>
  <si>
    <t>Ароматизатор в автомобиль на солн.батарее "Сфера",6см*6см,серебр.,аромат свеж-цитрус.3 в. АР-4186 ЧЗ</t>
  </si>
  <si>
    <t>АР-4186</t>
  </si>
  <si>
    <t>4670159141860</t>
  </si>
  <si>
    <t>223753</t>
  </si>
  <si>
    <t>Ароматизатор в автомобиль на солн.батарее "Сфера",6см*6см,синий,аромат свеж-цитрус.3 в. АР-4188</t>
  </si>
  <si>
    <t>АР-4188</t>
  </si>
  <si>
    <t>4670159141884</t>
  </si>
  <si>
    <t>223755</t>
  </si>
  <si>
    <t>Ароматизатор в автомобиль на солн.батарее"Малыш роб.",5см*9см,красный,аромат свеж-цитрус.3в. АР-4190</t>
  </si>
  <si>
    <t>АР-4190</t>
  </si>
  <si>
    <t>4670159141907</t>
  </si>
  <si>
    <t>212655</t>
  </si>
  <si>
    <t>Ароматизатор в автомобиль на солнечной батарее "Скорость", 60мм*60мм, серебристый АВТ-8470 ЧЗ</t>
  </si>
  <si>
    <t>АВТ-8470</t>
  </si>
  <si>
    <t>4670159084709</t>
  </si>
  <si>
    <t>212653</t>
  </si>
  <si>
    <t>Ароматизатор в автомобиль на солнечной батарее "Скорость", 60мм*60мм, синий АВТ-8468</t>
  </si>
  <si>
    <t>АВТ-8468</t>
  </si>
  <si>
    <t>4670159084686</t>
  </si>
  <si>
    <t>212658</t>
  </si>
  <si>
    <t>Ароматизатор в автомобиль на солнечной батарее "Шар", 58мм*58мм, черный АВТ-8473</t>
  </si>
  <si>
    <t>АВТ-8473</t>
  </si>
  <si>
    <t>4670159084730</t>
  </si>
  <si>
    <t>Другое</t>
  </si>
  <si>
    <t>234398</t>
  </si>
  <si>
    <t>Разветвитель прикуривателя на 3 гнезда, 2 USB порта (2.1А), порт Type-C, 12V/24V,120W АВТ-9448</t>
  </si>
  <si>
    <t>АВТ-9448</t>
  </si>
  <si>
    <t>4670159194484</t>
  </si>
  <si>
    <t>275201</t>
  </si>
  <si>
    <t>Автомоб. пепельница с крышкой и подсв. на батар. золотистая "Маска" 8*12см (CR2032*1 в ком) ПЛ-3381</t>
  </si>
  <si>
    <t>ПЛ-3381</t>
  </si>
  <si>
    <t>4680942633816</t>
  </si>
  <si>
    <t>275195</t>
  </si>
  <si>
    <t>Автомоб. пепельница с крышкой и подсв. на батар. золотистая "Фигура" 8*12см (CR2032*1 в ком) ПЛ-3375</t>
  </si>
  <si>
    <t>ПЛ-3375</t>
  </si>
  <si>
    <t>4680942633755</t>
  </si>
  <si>
    <t>275200</t>
  </si>
  <si>
    <t>Автомоб. пепельница с крышкой и подсв. на батар. красная "Маска" 8*12см (CR2032*1 в ком) ПЛ-3380</t>
  </si>
  <si>
    <t>ПЛ-3380</t>
  </si>
  <si>
    <t>4680942633809</t>
  </si>
  <si>
    <t>275202</t>
  </si>
  <si>
    <t>Автомоб. пепельница с крышкой и подсв. на батар. серебристая "Маска"  8*14см (CR2032*1 в ком)ПЛ-3382</t>
  </si>
  <si>
    <t>ПЛ-3382</t>
  </si>
  <si>
    <t>4680942633823</t>
  </si>
  <si>
    <t>275199</t>
  </si>
  <si>
    <t>Автомоб. пепельница с крышкой и подсв. на батар. серебристая "Череп" 8*12см (CR2032*1 в ком) ПЛ-3379</t>
  </si>
  <si>
    <t>ПЛ-3379</t>
  </si>
  <si>
    <t>4680942633793</t>
  </si>
  <si>
    <t>275196</t>
  </si>
  <si>
    <t>Автомоб. пепельница с крышкой и подсв. на батар.красная "Фигура" 8*12см (CR2032*1 в ком) ПЛ-3376</t>
  </si>
  <si>
    <t>ПЛ-3376</t>
  </si>
  <si>
    <t>4680942633762</t>
  </si>
  <si>
    <t>275197</t>
  </si>
  <si>
    <t>Автомоб. пепельница с крышкой и подсв. на батар.красная "Фигура" 8*12см (CR2032*1 в ком) ПЛ-3377</t>
  </si>
  <si>
    <t>ПЛ-3377</t>
  </si>
  <si>
    <t>4680942633779</t>
  </si>
  <si>
    <t>223761</t>
  </si>
  <si>
    <t>Автомоб. пепельница с крышкой и подсветкой на батарейках ( CR12203V*1,не входят),11*6.5см ПЛ-4183</t>
  </si>
  <si>
    <t>ПЛ-4183</t>
  </si>
  <si>
    <t>4670159141839</t>
  </si>
  <si>
    <t>275198</t>
  </si>
  <si>
    <t>Автомоб.пепельница с крышкой и подсв.на батар.красная золотистая"Череп"8*12см(CR2032*1 в ком)ПЛ-3378</t>
  </si>
  <si>
    <t>ПЛ-3378</t>
  </si>
  <si>
    <t>4680942633786</t>
  </si>
  <si>
    <t>275204</t>
  </si>
  <si>
    <t>Автомобильная пепельница с крышкой "Классика" ПЛ-3384</t>
  </si>
  <si>
    <t>ПЛ-3384</t>
  </si>
  <si>
    <t>4680942633847</t>
  </si>
  <si>
    <t>275203</t>
  </si>
  <si>
    <t>Автомобильная пепельница с крышкой "Рельеф" ПЛ-3383</t>
  </si>
  <si>
    <t>ПЛ-3383</t>
  </si>
  <si>
    <t>4680942633830</t>
  </si>
  <si>
    <t>06 ЭЗОТЕРИЧЕСКИЕ ТОВАРЫ, СТМ "Знак Судьбы"</t>
  </si>
  <si>
    <t>03 Наборы Таро</t>
  </si>
  <si>
    <t>211216</t>
  </si>
  <si>
    <t>Эксклюзив.набор Таро 18+(Коробка-книга,мешок,скатерть,записная,Стикербук,Чувс.Таро,вкл)Красн.ГК-8028</t>
  </si>
  <si>
    <t>ГК-8028</t>
  </si>
  <si>
    <t>4670159080282</t>
  </si>
  <si>
    <t>04 Метафорические карты</t>
  </si>
  <si>
    <t>200042</t>
  </si>
  <si>
    <t>Метафорические карты "Ветер перемен" ИК-1769</t>
  </si>
  <si>
    <t>ИК-1769</t>
  </si>
  <si>
    <t>4670159017691</t>
  </si>
  <si>
    <t>200041</t>
  </si>
  <si>
    <t>Метафорические карты "Путь желаний" ИК-1768</t>
  </si>
  <si>
    <t>ИК-1768</t>
  </si>
  <si>
    <t>4670159017684</t>
  </si>
  <si>
    <t>200040</t>
  </si>
  <si>
    <t>Метафорические карты "Советы и аффирмации" ИК-1767</t>
  </si>
  <si>
    <t>ИК-1767</t>
  </si>
  <si>
    <t>4670159017677</t>
  </si>
  <si>
    <t>277471</t>
  </si>
  <si>
    <t>Метафорические ресурсные карты с аффирмациями "Мудрость поколений" 72 карты ИК-4581</t>
  </si>
  <si>
    <t>ИК-4581</t>
  </si>
  <si>
    <t>4680942645819</t>
  </si>
  <si>
    <t>05 Аксессуары для таро и гаданий</t>
  </si>
  <si>
    <t>218989</t>
  </si>
  <si>
    <t>Коврик декоративный для карт Таро фиолетовый и золотом ГК-2250</t>
  </si>
  <si>
    <t>ГК-2250</t>
  </si>
  <si>
    <t>4670159122500</t>
  </si>
  <si>
    <t>Амулеты</t>
  </si>
  <si>
    <t>221341</t>
  </si>
  <si>
    <t>Амулет "Зеркало защиты", 2,5-3см Т-3061</t>
  </si>
  <si>
    <t>Т-3061</t>
  </si>
  <si>
    <t>4670159130246</t>
  </si>
  <si>
    <t>248934</t>
  </si>
  <si>
    <t>Амулет "Кулон с хризолитом" серебристый, на черном шнурке 3см Т-2442</t>
  </si>
  <si>
    <t>Т-2442</t>
  </si>
  <si>
    <t>4640306924493</t>
  </si>
  <si>
    <t>248935</t>
  </si>
  <si>
    <t>Амулет "Семи Архангелов" черный, на черной цепочке 3,5см Т-2443</t>
  </si>
  <si>
    <t>Т-2443</t>
  </si>
  <si>
    <t>4640306924509</t>
  </si>
  <si>
    <t>Коврики для карт Таро</t>
  </si>
  <si>
    <t>218991</t>
  </si>
  <si>
    <t>Коврик декоративный для карт Таро черный с золотом ГК-2249</t>
  </si>
  <si>
    <t>ГК-2249</t>
  </si>
  <si>
    <t>4670159122494</t>
  </si>
  <si>
    <t>Мешочки для хранения карт Таро</t>
  </si>
  <si>
    <t>218977</t>
  </si>
  <si>
    <t>Мешочек для хранения карт Таро зеленый с серебром ГК-2239</t>
  </si>
  <si>
    <t>ГК-2239</t>
  </si>
  <si>
    <t>4670159122395</t>
  </si>
  <si>
    <t>Подставка для благовоний</t>
  </si>
  <si>
    <t>221333</t>
  </si>
  <si>
    <t>Подставка для благовоний и ароматических палочек металлическая "Цветок жизни", 9*2см Т-3060</t>
  </si>
  <si>
    <t>Т-3060</t>
  </si>
  <si>
    <t>4670159130239</t>
  </si>
  <si>
    <t>04 УПАКОВКА</t>
  </si>
  <si>
    <t>01 Подарочные пакеты</t>
  </si>
  <si>
    <t xml:space="preserve">   Крафт без печати</t>
  </si>
  <si>
    <t>Крафт без печати (22*12*25)</t>
  </si>
  <si>
    <t>084277</t>
  </si>
  <si>
    <t>Пакет крафт ориджинал с крученной ручкой 22*12*25 (S) 39133-111</t>
  </si>
  <si>
    <t>39133-111</t>
  </si>
  <si>
    <t>4665305391336</t>
  </si>
  <si>
    <t>Крафт без печати (26*15*35)</t>
  </si>
  <si>
    <t>084279</t>
  </si>
  <si>
    <t>Пакет крафт ориджинал с крученной ручкой 26*15*35 (M) 39133-112</t>
  </si>
  <si>
    <t>39133-112</t>
  </si>
  <si>
    <t>4665305391343</t>
  </si>
  <si>
    <t>Крафт без печати (35*15*45)</t>
  </si>
  <si>
    <t>084281</t>
  </si>
  <si>
    <t>Пакет крафт ориджинал с крученной ручкой (L) 35*15*45 39133-113</t>
  </si>
  <si>
    <t>39133-113</t>
  </si>
  <si>
    <t>4665309365289</t>
  </si>
  <si>
    <t>Dream Cards (12x36x8,5)</t>
  </si>
  <si>
    <t>Dream Cards (12x36x8,5) крафт с тиснением</t>
  </si>
  <si>
    <t>272506</t>
  </si>
  <si>
    <t>Dream cards Пакет подар. белый крафт и тис.фол 12х36х8,5см  Золотистые соты, 190г соб.раз ППК-2066</t>
  </si>
  <si>
    <t>ППК-2066</t>
  </si>
  <si>
    <t>4680942618943</t>
  </si>
  <si>
    <t>272511</t>
  </si>
  <si>
    <t>Dream cards Пакет подар. белый крафт и тис.фол 12х36х8,5см Золотистый бокал, 190г соб.раз ППК-2067</t>
  </si>
  <si>
    <t>ППК-2067</t>
  </si>
  <si>
    <t>4680942618950</t>
  </si>
  <si>
    <t>265716</t>
  </si>
  <si>
    <t>Dream cards Пакет подар. из крафт-бумаги с тисн.фольг.12х36х8,5см (craft Bottle) Вино,190г ППК-3994</t>
  </si>
  <si>
    <t>ППК-3994</t>
  </si>
  <si>
    <t>4640520774034</t>
  </si>
  <si>
    <t>272502</t>
  </si>
  <si>
    <t>Dream cards Пакет подар. крафт и тис.фол 12х36х8,5 см Bottle Красная бутылка, 190г соб.раз ППК-2064</t>
  </si>
  <si>
    <t>ППК-2064</t>
  </si>
  <si>
    <t>4680942618929</t>
  </si>
  <si>
    <t>272497</t>
  </si>
  <si>
    <t>Dream cards Пакет подар. крафт и тис.фол 12х36х8,5см Bottle Красивая бутылка, 190г соб.раз ППК-2062</t>
  </si>
  <si>
    <t>ППК-2062</t>
  </si>
  <si>
    <t>4680942618905</t>
  </si>
  <si>
    <t>272500</t>
  </si>
  <si>
    <t>Dream cards Пакет подар. крафт и тис.фол. 12х36х8,5 см (Bottle) С любовью, 190г соб.раз ППК-2063</t>
  </si>
  <si>
    <t>ППК-2063</t>
  </si>
  <si>
    <t>4680942618912</t>
  </si>
  <si>
    <t>263210</t>
  </si>
  <si>
    <t>Dream cards Пакет подар. крафт с тисн.12x36x8,5см(Bottle)Специально для тебя, 190г(соб.раз) ППК-1235</t>
  </si>
  <si>
    <t>ППК-1235</t>
  </si>
  <si>
    <t>4640520771279</t>
  </si>
  <si>
    <t>263207</t>
  </si>
  <si>
    <t>Dream cards Пакет подар. крафт с тиснен. 12x36x8,5см(Bottle) Режим праздника, 190г(соб.раз) ППК-1232</t>
  </si>
  <si>
    <t>ППК-1232</t>
  </si>
  <si>
    <t>4640520771248</t>
  </si>
  <si>
    <t>265717</t>
  </si>
  <si>
    <t>Dream cards Пакет подар.из крафт-бумаги с тисн.фольг.12х36х8,5см(craft Bottle)Классика,190г ППК-3995</t>
  </si>
  <si>
    <t>ППК-3995</t>
  </si>
  <si>
    <t>4640520774041</t>
  </si>
  <si>
    <t>272504</t>
  </si>
  <si>
    <t>Dream cards Пакет подарочный белый крафт и тис.фол 12х36х8,5см Bottle Цветы, 190г соб.раз ППК-2065</t>
  </si>
  <si>
    <t>ППК-2065</t>
  </si>
  <si>
    <t>4680942618936</t>
  </si>
  <si>
    <t>263209</t>
  </si>
  <si>
    <t>Dream cards Пакет подарочный крафт с тиснен 12x36x8,5см(Bottle) Хорошая идея, 190г(соб.раз) ППК-1234</t>
  </si>
  <si>
    <t>ППК-1234</t>
  </si>
  <si>
    <t>4640520771262</t>
  </si>
  <si>
    <t>263200</t>
  </si>
  <si>
    <t>Dream cards Пакет подарочный крафт с тиснен. 12x36x8,5см (Bottle) Для тебя, 190г (соб.раз) ППК-1231</t>
  </si>
  <si>
    <t>ППК-1231</t>
  </si>
  <si>
    <t>4640520771231</t>
  </si>
  <si>
    <t>263208</t>
  </si>
  <si>
    <t>Dream cards Пакет подарочный крафт с тиснен. 12x36x8,5см (Bottle) Пей вино, 190г (соб.раз) ППК-1233</t>
  </si>
  <si>
    <t>ППК-1233</t>
  </si>
  <si>
    <t>4640520771255</t>
  </si>
  <si>
    <t>Dream Cards (12x36x8,5) матовая ламинация и тиснение фольгой</t>
  </si>
  <si>
    <t>272514</t>
  </si>
  <si>
    <t>Dream cards Пакет подар. мат.лам и тис. 12х36х8,5см Bottle Стильная бутылка, 190г соб.раз ППК-2070</t>
  </si>
  <si>
    <t>ППК-2070</t>
  </si>
  <si>
    <t>4680942618981</t>
  </si>
  <si>
    <t>272517</t>
  </si>
  <si>
    <t>Dream cards Пакет подар. мат.лам и тис. 12х36х8,5см Бокал для настроения, 190г соб.раз ППК-2072</t>
  </si>
  <si>
    <t>ППК-2072</t>
  </si>
  <si>
    <t>4680942619001</t>
  </si>
  <si>
    <t>272513</t>
  </si>
  <si>
    <t>Dream cards Пакет подар. мат.лам. и тис. 12х36х8,5см Bottle Красный с узором, 190г соб.раз ППК-2069</t>
  </si>
  <si>
    <t>ППК-2069</t>
  </si>
  <si>
    <t>4680942618974</t>
  </si>
  <si>
    <t>263513</t>
  </si>
  <si>
    <t>Dream cards Пакет подар. тисн. и мат.лам. 12x36x8,5см Бант,190г (соб.разр) ППК-9009</t>
  </si>
  <si>
    <t>ППК-9009</t>
  </si>
  <si>
    <t>4640520771989</t>
  </si>
  <si>
    <t>263517</t>
  </si>
  <si>
    <t>Dream cards Пакет подар. тисн. и мат.лам. 12x36x8,5см Бокал мартини,190г (соб.разр) ППК-9012</t>
  </si>
  <si>
    <t>ППК-9012</t>
  </si>
  <si>
    <t>4640520772023</t>
  </si>
  <si>
    <t>263519</t>
  </si>
  <si>
    <t>Dream cards Пакет подар. тисн. и мат.лам. 12x36x8,5см Джентельмен,190г (соб.разр) ППК-9015</t>
  </si>
  <si>
    <t>ППК-9015</t>
  </si>
  <si>
    <t>4640520772047</t>
  </si>
  <si>
    <t>263518</t>
  </si>
  <si>
    <t>Dream cards Пакет подар. тисн. и мат.лам. 12x36x8,5см Для тебя,190г (соб.разр) ППК-9014</t>
  </si>
  <si>
    <t>ППК-9014</t>
  </si>
  <si>
    <t>4640520772030</t>
  </si>
  <si>
    <t>263515</t>
  </si>
  <si>
    <t>Dream cards Пакет подар. тисн. и мат.лам. 12x36x8,5см Красный бант,190г (соб.разр) ППК-9013</t>
  </si>
  <si>
    <t>ППК-9013</t>
  </si>
  <si>
    <t>4640520772009</t>
  </si>
  <si>
    <t>263514</t>
  </si>
  <si>
    <t>Dream cards Пакет подар. тисн. и мат.лам. 12x36x8,5см Лучшие пожелания,190г(соб.разр) ППК-9010</t>
  </si>
  <si>
    <t>ППК-9010</t>
  </si>
  <si>
    <t>4640520771996</t>
  </si>
  <si>
    <t>263512</t>
  </si>
  <si>
    <t>Dream cards Пакет подар. тисн. и мат.лам. 12x36x8,5см Пузырьки,190г (соб.разр) ППК-9008</t>
  </si>
  <si>
    <t>ППК-9008</t>
  </si>
  <si>
    <t>4640520771972</t>
  </si>
  <si>
    <t>272516</t>
  </si>
  <si>
    <t>Dream cards Пакет подар.мат.лам и тис. 12х36х8,5см Bottle Подарок для тебя, 190г соб.раз ППК-2071</t>
  </si>
  <si>
    <t>ППК-2071</t>
  </si>
  <si>
    <t>4680942618998</t>
  </si>
  <si>
    <t>272512</t>
  </si>
  <si>
    <t>Dream cards Пакет подарочный мат.лам и тис.12х36х8,5см Bottle Синий с узором,190г соб.раз ППК-2068</t>
  </si>
  <si>
    <t>ППК-2068</t>
  </si>
  <si>
    <t>4680942618967</t>
  </si>
  <si>
    <t>Крафт</t>
  </si>
  <si>
    <t>Крафт без обработки</t>
  </si>
  <si>
    <t>265712</t>
  </si>
  <si>
    <t>Пакет подар. из крафт-бумаги 12x36x8,5см (craft bottle) Бокальчик красного,130г (соб.разр) ППК-3990</t>
  </si>
  <si>
    <t>ППК-3990</t>
  </si>
  <si>
    <t>4640520773990</t>
  </si>
  <si>
    <t>265715</t>
  </si>
  <si>
    <t>Пакет подар. из крафт-бумаги 12x36x8,5см (craft bottle) Винишка?,130г (соб.разр) ППК-3993</t>
  </si>
  <si>
    <t>ППК-3993</t>
  </si>
  <si>
    <t>4640520774027</t>
  </si>
  <si>
    <t>265713</t>
  </si>
  <si>
    <t>Пакет подар. из крафт-бумаги 12x36x8,5см (craft bottle) Набор на вечер,130г (соб.разр) ППК-3991</t>
  </si>
  <si>
    <t>ППК-3991</t>
  </si>
  <si>
    <t>4640520774003</t>
  </si>
  <si>
    <t>265714</t>
  </si>
  <si>
    <t>Пакет подар. из крафт-бумаги 12x36x8,5см (craft bottle) Цветочки для тебя,130г (соб.разр) ППК-3992</t>
  </si>
  <si>
    <t>ППК-3992</t>
  </si>
  <si>
    <t>4640520774010</t>
  </si>
  <si>
    <t>263507</t>
  </si>
  <si>
    <t>Пакет подар. из крафт-бумаги 12x36x8,5см(craft bottle) Вино,130г (соб.разр) ППК-9003</t>
  </si>
  <si>
    <t>ППК-9003</t>
  </si>
  <si>
    <t>4640520771927</t>
  </si>
  <si>
    <t>263508</t>
  </si>
  <si>
    <t>Пакет подар. из крафт-бумаги 12x36x8,5см(craft bottle) Кот и вино,130г (соб.разр) ППК-9004</t>
  </si>
  <si>
    <t>ППК-9004</t>
  </si>
  <si>
    <t>4640520771934</t>
  </si>
  <si>
    <t>263505</t>
  </si>
  <si>
    <t>Пакет подар. из крафт-бумаги 12x36x8,5см(craft bottle) Лучший подарок,130г (соб.разр) ППК-9001</t>
  </si>
  <si>
    <t>ППК-9001</t>
  </si>
  <si>
    <t>4640520771903</t>
  </si>
  <si>
    <t>263504</t>
  </si>
  <si>
    <t>Пакет подар. из крафт-бумаги 12x36x8,5см(craft bottle) Настоящий мужчина,130г(соб.разр) ППК-9000</t>
  </si>
  <si>
    <t>ППК-9000</t>
  </si>
  <si>
    <t>4640520771897</t>
  </si>
  <si>
    <t>263510</t>
  </si>
  <si>
    <t>Пакет подар. из крафт-бумаги 12x36x8,5см(craft bottle) Пей вино,130г (соб.разр) ППК-9006</t>
  </si>
  <si>
    <t>ППК-9006</t>
  </si>
  <si>
    <t>4640520771958</t>
  </si>
  <si>
    <t>263511</t>
  </si>
  <si>
    <t>Пакет подар. из крафт-бумаги 12x36x8,5см(craft bottle) Поздравляю,130г (соб.разр) ППК-9007</t>
  </si>
  <si>
    <t>ППК-9007</t>
  </si>
  <si>
    <t>4640520771965</t>
  </si>
  <si>
    <t>263509</t>
  </si>
  <si>
    <t>Пакет подар. из крафт-бумаги 12x36x8,5см(craft bottle) Праздник,130г (соб.разр) ППК-9005</t>
  </si>
  <si>
    <t>ППК-9005</t>
  </si>
  <si>
    <t>4640520771941</t>
  </si>
  <si>
    <t>263506</t>
  </si>
  <si>
    <t>Пакет подар. из крафт-бумаги 12x36x8,5см(craft bottle)Настоящему мужчине,130г(соб.разр) ППК-9002</t>
  </si>
  <si>
    <t>ППК-9002</t>
  </si>
  <si>
    <t>4640520771910</t>
  </si>
  <si>
    <t>272521</t>
  </si>
  <si>
    <t>Пакет подарочный крафт 12x36x8,5 см (Craft Bottle) Бокал, 130 г (собс.разр.) ППК-2076</t>
  </si>
  <si>
    <t>ППК-2076</t>
  </si>
  <si>
    <t>4680942619049</t>
  </si>
  <si>
    <t>272518</t>
  </si>
  <si>
    <t>Пакет подарочный крафт 12x36x8,5 см (Craft Bottle) Виноградная лоза, 130 г (собс.разр.) ППК-2073</t>
  </si>
  <si>
    <t>ППК-2073</t>
  </si>
  <si>
    <t>4680942619018</t>
  </si>
  <si>
    <t>272520</t>
  </si>
  <si>
    <t>Пакет подарочный крафт 12x36x8,5 см (Craft Bottle) Для хорошего вечера, 130 г (собс.разр.) ППК-2075</t>
  </si>
  <si>
    <t>ППК-2075</t>
  </si>
  <si>
    <t>4680942619032</t>
  </si>
  <si>
    <t>272522</t>
  </si>
  <si>
    <t>Пакет подарочный крафт 12x36x8,5 см (Craft Bottle) Корзина с вином, 130 г (собс.разр.) ППК-2077</t>
  </si>
  <si>
    <t>ППК-2077</t>
  </si>
  <si>
    <t>4680942619056</t>
  </si>
  <si>
    <t>272523</t>
  </si>
  <si>
    <t>Пакет подарочный крафт 12x36x8,5 см (Craft Bottle) Радость вкуса, 130 г (собс.разр.) ППК-2078</t>
  </si>
  <si>
    <t>ППК-2078</t>
  </si>
  <si>
    <t>4680942619063</t>
  </si>
  <si>
    <t>272519</t>
  </si>
  <si>
    <t>Пакет подарочный крафт 12x36x8,5 см (Craft Bottle) Розовая бутылочка, 130 г (собс.разр.) ППК-2074</t>
  </si>
  <si>
    <t>ППК-2074</t>
  </si>
  <si>
    <t>4680942619025</t>
  </si>
  <si>
    <t>272524</t>
  </si>
  <si>
    <t>Пакет подарочный крафт 12x36x8,5 см (Craft Bottle) Цветы для тебя, 130 г (собс.разр.) ППК-2079</t>
  </si>
  <si>
    <t>ППК-2079</t>
  </si>
  <si>
    <t>4680942619070</t>
  </si>
  <si>
    <t>Стандарт 157 г</t>
  </si>
  <si>
    <t>Глянцевая ламинация (12 х 36 х 9)</t>
  </si>
  <si>
    <t>265726</t>
  </si>
  <si>
    <t>Пакет подар. с глянц. лам. 12x36x8,5см Бокалы,157г (соб.разр) ППК-3999</t>
  </si>
  <si>
    <t>ППК-3999</t>
  </si>
  <si>
    <t>4640520774089</t>
  </si>
  <si>
    <t>265724</t>
  </si>
  <si>
    <t>Пакет подар. с глянц. лам. 12x36x8,5см Брызги шампанского,157г (соб.разр) ППК-3997</t>
  </si>
  <si>
    <t>ППК-3997</t>
  </si>
  <si>
    <t>4640520774065</t>
  </si>
  <si>
    <t>265723</t>
  </si>
  <si>
    <t>Пакет подар. с глянц. лам. 12x36x8,5см Золотистые волны,157г (соб.разр) ППК-3996</t>
  </si>
  <si>
    <t>ППК-3996</t>
  </si>
  <si>
    <t>4640520774058</t>
  </si>
  <si>
    <t>263521</t>
  </si>
  <si>
    <t>Пакет подар. с глянц. лам. 12x36x8,5см Истина в вине,157г (соб.разр) ППК-9017</t>
  </si>
  <si>
    <t>ППК-9017</t>
  </si>
  <si>
    <t>4640520772061</t>
  </si>
  <si>
    <t>263524</t>
  </si>
  <si>
    <t>Пакет подар. с глянц. лам. 12x36x8,5см Классический подарок,157г (соб.разр) ППК-9020</t>
  </si>
  <si>
    <t>ППК-9020</t>
  </si>
  <si>
    <t>4640520772092</t>
  </si>
  <si>
    <t>263520</t>
  </si>
  <si>
    <t>Пакет подар. с глянц. лам. 12x36x8,5см Наслаждайся моментом,157г (соб.разр) ППК-9016</t>
  </si>
  <si>
    <t>ППК-9016</t>
  </si>
  <si>
    <t>4640520772054</t>
  </si>
  <si>
    <t>263525</t>
  </si>
  <si>
    <t>Пакет подар. с глянц. лам. 12x36x8,5см Подарок мужчине,157г (соб.разр) ППК-9021</t>
  </si>
  <si>
    <t>ППК-9021</t>
  </si>
  <si>
    <t>4640520772108</t>
  </si>
  <si>
    <t>263522</t>
  </si>
  <si>
    <t>Пакет подар. с глянц. лам. 12x36x8,5см Подарок,157г (соб.разр) ППК-9018</t>
  </si>
  <si>
    <t>ППК-9018</t>
  </si>
  <si>
    <t>4640520772078</t>
  </si>
  <si>
    <t>265727</t>
  </si>
  <si>
    <t>Пакет подар. с глянц. лам. 12x36x8,5см Поздравляю!, синий,157г (соб.разр) ППК-4000</t>
  </si>
  <si>
    <t>ППК-4000</t>
  </si>
  <si>
    <t>4640520774096</t>
  </si>
  <si>
    <t>263523</t>
  </si>
  <si>
    <t>Пакет подар. с глянц. лам. 12x36x8,5см Специально для тебя,157г (соб.разр) ППК-9019</t>
  </si>
  <si>
    <t>ППК-9019</t>
  </si>
  <si>
    <t>4640520772085</t>
  </si>
  <si>
    <t>265725</t>
  </si>
  <si>
    <t>Пакет подар. с глянц. лам. 12x36x8,5см Стильный дизайн,157г (соб.разр) ППК-3998</t>
  </si>
  <si>
    <t>ППК-3998</t>
  </si>
  <si>
    <t>4640520774072</t>
  </si>
  <si>
    <t>272490</t>
  </si>
  <si>
    <t>Пакет подарочный с глянц.лам. 12х36х8,5 см (Bottle) Бокальчик красного, 157г (собст.разр.) ППК-2059</t>
  </si>
  <si>
    <t>ППК-2059</t>
  </si>
  <si>
    <t>4680942618875</t>
  </si>
  <si>
    <t>272480</t>
  </si>
  <si>
    <t>Пакет подарочный с глянц.лам. 12х36х8,5 см (Bottle) Бутылка вина, 157г (собст.разр.) ППК-2052</t>
  </si>
  <si>
    <t>ППК-2052</t>
  </si>
  <si>
    <t>4680942618806</t>
  </si>
  <si>
    <t>272478</t>
  </si>
  <si>
    <t>Пакет подарочный с глянц.лам. 12х36х8,5 см (Bottle) Бутылка виски, 157г (собст.разр.) ППК-2051</t>
  </si>
  <si>
    <t>ППК-2051</t>
  </si>
  <si>
    <t>4680942618790</t>
  </si>
  <si>
    <t>272488</t>
  </si>
  <si>
    <t>Пакет подарочный с глянц.лам. 12х36х8,5 см (Bottle) Бутылочка красного, 157г (собст.разр.) ППК-2058</t>
  </si>
  <si>
    <t>ППК-2058</t>
  </si>
  <si>
    <t>4680942618868</t>
  </si>
  <si>
    <t>272486</t>
  </si>
  <si>
    <t>Пакет подарочный с глянц.лам. 12х36х8,5 см (Bottle) Два бокала, 157г (собст.разр.) ППК-2056</t>
  </si>
  <si>
    <t>ППК-2056</t>
  </si>
  <si>
    <t>4680942618844</t>
  </si>
  <si>
    <t>272495</t>
  </si>
  <si>
    <t>Пакет подарочный с глянц.лам. 12х36х8,5 см (Bottle) Для Вас, 157г (собст.разр.) ППК-2061</t>
  </si>
  <si>
    <t>ППК-2061</t>
  </si>
  <si>
    <t>4680942618899</t>
  </si>
  <si>
    <t>272484</t>
  </si>
  <si>
    <t>Пакет подарочный с глянц.лам. 12х36х8,5 см (Bottle) Для настроения, 157г (собст.разр.) ППК-2055</t>
  </si>
  <si>
    <t>ППК-2055</t>
  </si>
  <si>
    <t>4680942618837</t>
  </si>
  <si>
    <t>272481</t>
  </si>
  <si>
    <t>Пакет подарочный с глянц.лам. 12х36х8,5 см (Bottle) Для тебя, 157г (собст.разр.) ППК-2053</t>
  </si>
  <si>
    <t>ППК-2053</t>
  </si>
  <si>
    <t>4680942618813</t>
  </si>
  <si>
    <t>272487</t>
  </si>
  <si>
    <t>Пакет подарочный с глянц.лам. 12х36х8,5 см (Bottle) С бантом, 157г (собст.разр.) ППК-2057</t>
  </si>
  <si>
    <t>ППК-2057</t>
  </si>
  <si>
    <t>4680942618851</t>
  </si>
  <si>
    <t>272470</t>
  </si>
  <si>
    <t>Пакет подарочный с глянц.лам. 12х36х8,5 см (Bottle) Хорошего настроения, 157г (собст.разр.) ППК-2050</t>
  </si>
  <si>
    <t>ППК-2050</t>
  </si>
  <si>
    <t>4680942618783</t>
  </si>
  <si>
    <t>272483</t>
  </si>
  <si>
    <t>Пакет подарочный с глянц.лам. 12х36х8,5 см (Bottle) Хороший вечер, 157г (собст.разр.) ППК-2054</t>
  </si>
  <si>
    <t>ППК-2054</t>
  </si>
  <si>
    <t>4680942618820</t>
  </si>
  <si>
    <t>272493</t>
  </si>
  <si>
    <t>Пакет подарочный с глянц.лам. 12х36х8,5 см (Bottle) Хороший подарок, 157г (собст.разр.) ППК-2060</t>
  </si>
  <si>
    <t>ППК-2060</t>
  </si>
  <si>
    <t>4680942618882</t>
  </si>
  <si>
    <t>243291</t>
  </si>
  <si>
    <t>Пакет подарочный с глянцевой ламинацией 12х36х8,5 см (Bottle) Лед, 157 г ПКП-9138</t>
  </si>
  <si>
    <t>ПКП-9138</t>
  </si>
  <si>
    <t>4670159231387</t>
  </si>
  <si>
    <t>S Крафт</t>
  </si>
  <si>
    <t>261800</t>
  </si>
  <si>
    <t>Пакет подарочный из крафт-бумаги 16х18х7см (craft S) Милота, 130 г(собс.разр.) ППК-7978</t>
  </si>
  <si>
    <t>ППК-7978</t>
  </si>
  <si>
    <t>4630493779785</t>
  </si>
  <si>
    <t>261801</t>
  </si>
  <si>
    <t>Пакет подарочный из крафт-бумаги 16х18х7см (craft S) Цветы, 130 г(собс.разр.) ППК-7979</t>
  </si>
  <si>
    <t>ППК-7979</t>
  </si>
  <si>
    <t>4630493779792</t>
  </si>
  <si>
    <t>261802</t>
  </si>
  <si>
    <t>Пакет подарочный из крафт-бумаги 16х18х7см (craft S) Цыплята 130 г(собс.разр.) ППК-7980</t>
  </si>
  <si>
    <t>ППК-7980</t>
  </si>
  <si>
    <t>4630493779808</t>
  </si>
  <si>
    <t>Стандарт 128 г</t>
  </si>
  <si>
    <t>Вертикальные</t>
  </si>
  <si>
    <t>229641</t>
  </si>
  <si>
    <t>Пакет подарочный с глянцевой ламинацией 11,5x14,5x6 см (S) Краски жизни, 128 г ППК-4311</t>
  </si>
  <si>
    <t>ППК-4311</t>
  </si>
  <si>
    <t>4670159143116</t>
  </si>
  <si>
    <t>03 Размер МS</t>
  </si>
  <si>
    <t>Dream cards</t>
  </si>
  <si>
    <t>261778</t>
  </si>
  <si>
    <t>Dream cards Пакет подарочный с мат.лам. 14x20x6,5 см (MS) Абстракция, 190г(соб.разр.) ППК-7963</t>
  </si>
  <si>
    <t>ППК-7963</t>
  </si>
  <si>
    <t>4630493779631</t>
  </si>
  <si>
    <t>261779</t>
  </si>
  <si>
    <t>Dream cards Пакет подарочный с мат.лам. 14x20x6,5 см (MS) Белые пионы, 190г (соб.разр ) ППК-7964</t>
  </si>
  <si>
    <t>ППК-7964</t>
  </si>
  <si>
    <t>4630493779648</t>
  </si>
  <si>
    <t>261780</t>
  </si>
  <si>
    <t>Dream cards Пакет подарочный с мат.лам. 14x20x6,5 см (MS) Пышные пионы 190г (собс.разр) ППК-7965</t>
  </si>
  <si>
    <t>ППК-7965</t>
  </si>
  <si>
    <t>4630493779655</t>
  </si>
  <si>
    <t>OPTIMA</t>
  </si>
  <si>
    <t>279581</t>
  </si>
  <si>
    <t>Optima Пакет подарочный с глянц.лам. 14х20х6,5 см (MS) Яркие цветы, 128г(собс. разр.) ППК-5557</t>
  </si>
  <si>
    <t>ППК-5557</t>
  </si>
  <si>
    <t>4680942655573</t>
  </si>
  <si>
    <t>Dream Cards (18 *23*10)</t>
  </si>
  <si>
    <t>Dream Cards (18 *23*10) без обработки</t>
  </si>
  <si>
    <t>272369</t>
  </si>
  <si>
    <t>Dream cards Пакет подар. мелованный картон 18х23х10 см (M) Нежно бирюзовый, 235г (собс.раз) ППК-2021</t>
  </si>
  <si>
    <t>ППК-2021</t>
  </si>
  <si>
    <t>4680942617984</t>
  </si>
  <si>
    <t>272368</t>
  </si>
  <si>
    <t>Dream cards Пакет подар. мелованный картон 18х23х10 см (M) Нежно голубой, 235г (собс.раз.) ППК-2020</t>
  </si>
  <si>
    <t>ППК-2020</t>
  </si>
  <si>
    <t>4680942617977</t>
  </si>
  <si>
    <t>272371</t>
  </si>
  <si>
    <t>Dream cards Пакет подар. мелованный картон 18х23х10 см (M) Нежно розовый, 235г (собс.раз) ППК-2023</t>
  </si>
  <si>
    <t>ППК-2023</t>
  </si>
  <si>
    <t>4680942618004</t>
  </si>
  <si>
    <t>272370</t>
  </si>
  <si>
    <t>Dream cards Пакет подар. мелованный картон 18х23х10см (M) Нежно фиолетовый, 235г (соб.раз) ППК-2022</t>
  </si>
  <si>
    <t>ППК-2022</t>
  </si>
  <si>
    <t>4680942617991</t>
  </si>
  <si>
    <t>258151</t>
  </si>
  <si>
    <t>Dream cards Пакет подар. с мат.лам. и золот.тисн. 18х23х10см (М), Цветочный луг, 210г/м2, ППК-7605</t>
  </si>
  <si>
    <t>ППК-7605</t>
  </si>
  <si>
    <t>4630493775916</t>
  </si>
  <si>
    <t>252823</t>
  </si>
  <si>
    <t>Dream cards Пакет подар. с мат.лам. и тис.фол.18х23х10см (M)Усы,очки,бабочка, 190г(соб.раз.)ППК-2745</t>
  </si>
  <si>
    <t>ППК-2745</t>
  </si>
  <si>
    <t>4640306927456</t>
  </si>
  <si>
    <t>Dream Cards (18 *23*10) матовая ламинация</t>
  </si>
  <si>
    <t>234144</t>
  </si>
  <si>
    <t>Dream cards Пакет подарочный с мат. лам. 18*23*10 см ( M) Умиротворяющий пейзаж, 210 г ПКП-9417</t>
  </si>
  <si>
    <t>ПКП-9417</t>
  </si>
  <si>
    <t>4670159194170</t>
  </si>
  <si>
    <t>261782</t>
  </si>
  <si>
    <t>Dream cards Пакет подарочный с мат.лам. 18x23x10 см (M) Абстракция, 190г (соб.разр) ППК-7967</t>
  </si>
  <si>
    <t>ППК-7967</t>
  </si>
  <si>
    <t>4630493779679</t>
  </si>
  <si>
    <t>261783</t>
  </si>
  <si>
    <t>Dream cards Пакет подарочный с мат.лам. 18x23x10 см (M) Белые пионы, 190г (собс.разр) ППК-7968</t>
  </si>
  <si>
    <t>ППК-7968</t>
  </si>
  <si>
    <t>4630493779686</t>
  </si>
  <si>
    <t>261787</t>
  </si>
  <si>
    <t>Dream cards Пакет подарочный с мат.лам. 18x23x10 см (M) Маки, 190г(собс.разр) ППК-7970</t>
  </si>
  <si>
    <t>ППК-7970</t>
  </si>
  <si>
    <t>4630493779709</t>
  </si>
  <si>
    <t>261785</t>
  </si>
  <si>
    <t>Dream cards Пакет подарочный с мат.лам. 18x23x10 см (M) Пышные пионы 190г (собс.разр) ППК-7969</t>
  </si>
  <si>
    <t>ППК-7969</t>
  </si>
  <si>
    <t>4630493779693</t>
  </si>
  <si>
    <t>Матовая ламинация</t>
  </si>
  <si>
    <t>272381</t>
  </si>
  <si>
    <t>Optima Пакет подарочный с мат.лам. 18х23х8 см (M) Благородный бирюзовый, 128г (собс.раз.) ППК-2030</t>
  </si>
  <si>
    <t>ППК-2030</t>
  </si>
  <si>
    <t>4680942618073</t>
  </si>
  <si>
    <t>272380</t>
  </si>
  <si>
    <t>Optima Пакет подарочный с мат.лам. 18х23х8 см (M) Благородный фиолетовый, 128г (собс.раз.) ППК-2029</t>
  </si>
  <si>
    <t>ППК-2029</t>
  </si>
  <si>
    <t>4680942618066</t>
  </si>
  <si>
    <t>Крафт M</t>
  </si>
  <si>
    <t>261803</t>
  </si>
  <si>
    <t>Пакет подарочный из крафт-бумаги 18*23*10см (craft M) Милота, 130 г(собс.разр.) ППК-7981</t>
  </si>
  <si>
    <t>ППК-7981</t>
  </si>
  <si>
    <t>4630493779815</t>
  </si>
  <si>
    <t>261804</t>
  </si>
  <si>
    <t>Пакет подарочный из крафт-бумаги 18*23*10см (craft M) Цветы, 130 г(собс.разр.) ППК-7982</t>
  </si>
  <si>
    <t>ППК-7982</t>
  </si>
  <si>
    <t>4630493779822</t>
  </si>
  <si>
    <t>261805</t>
  </si>
  <si>
    <t>Пакет подарочный из крафт-бумаги 18*23*10см (craft M) Цыплята 130 г(собс.разр.) ППК-7983</t>
  </si>
  <si>
    <t>ППК-7983</t>
  </si>
  <si>
    <t>4630493779839</t>
  </si>
  <si>
    <t>263215</t>
  </si>
  <si>
    <t>Пакет подарочный из крафт-бумаги 18x23x10 см (craft M) Доставка счастья, 130 г (собс.разр.) ППК-1240</t>
  </si>
  <si>
    <t>ППК-1240</t>
  </si>
  <si>
    <t>4640520771323</t>
  </si>
  <si>
    <t>263217</t>
  </si>
  <si>
    <t>Пакет подарочный из крафт-бумаги 18x23x10 см (craft M) Желаю счастья, 130 г (собс.разр.) ППК-1242</t>
  </si>
  <si>
    <t>ППК-1242</t>
  </si>
  <si>
    <t>4640520771347</t>
  </si>
  <si>
    <t>263212</t>
  </si>
  <si>
    <t>Пакет подарочный из крафт-бумаги 18x23x10 см (craft M) Лучшему мужчине, 130 г (собс.разр.) ППК-1237</t>
  </si>
  <si>
    <t>ППК-1237</t>
  </si>
  <si>
    <t>4640520771293</t>
  </si>
  <si>
    <t>263213</t>
  </si>
  <si>
    <t>Пакет подарочный из крафт-бумаги 18x23x10 см (craft M) Настоящему мужчине, 130 г (соб.раз.) ППК-1238</t>
  </si>
  <si>
    <t>ППК-1238</t>
  </si>
  <si>
    <t>4640520771309</t>
  </si>
  <si>
    <t>263214</t>
  </si>
  <si>
    <t>Пакет подарочный из крафт-бумаги 18x23x10 см (craft M) Поздравляю!, 130 г (собс.разр.) ППК-1239</t>
  </si>
  <si>
    <t>ППК-1239</t>
  </si>
  <si>
    <t>4640520771316</t>
  </si>
  <si>
    <t>263216</t>
  </si>
  <si>
    <t>Пакет подарочный из крафт-бумаги 18x23x10см (craftM) Праздничное настроение, 130г (соб.раз) ППК-1241</t>
  </si>
  <si>
    <t>ППК-1241</t>
  </si>
  <si>
    <t>4640520771330</t>
  </si>
  <si>
    <t>Крафт однотонный</t>
  </si>
  <si>
    <t>272384</t>
  </si>
  <si>
    <t>Пакет подарочный крафт 18х23х10 см (craft М) Белый, 130 г(собс.разр.) ППК-2033</t>
  </si>
  <si>
    <t>ППК-2033</t>
  </si>
  <si>
    <t>4680942618103</t>
  </si>
  <si>
    <t>272383</t>
  </si>
  <si>
    <t>Пакет подарочный крафт 18х23х10 см (craft М) Чёрный, 130 г(собс.разр.) ППК-2032</t>
  </si>
  <si>
    <t>ППК-2032</t>
  </si>
  <si>
    <t>4680942618097</t>
  </si>
  <si>
    <t>272385</t>
  </si>
  <si>
    <t>Пакет подарочный крафт 18х23х10 см (М) Голубой, 130 г(собс.разр.) ППК-2034</t>
  </si>
  <si>
    <t>ППК-2034</t>
  </si>
  <si>
    <t>4680942618110</t>
  </si>
  <si>
    <t>Глянцевая ламинация  (18 х 23 х 10)</t>
  </si>
  <si>
    <t>263262</t>
  </si>
  <si>
    <t>Пакет подарочный с глянц.лам. 18х23х10 см (M) Мишка и пингвин, 157 г (собс.разр.) ППК-1287</t>
  </si>
  <si>
    <t>ППК-1287</t>
  </si>
  <si>
    <t>4640520771798</t>
  </si>
  <si>
    <t>263260</t>
  </si>
  <si>
    <t>Пакет подарочный с глянц.лам. 18х23х10 см (M) От всего сердца, 157 г (собс.разр.) ППК-1285</t>
  </si>
  <si>
    <t>ППК-1285</t>
  </si>
  <si>
    <t>4640520771774</t>
  </si>
  <si>
    <t>263255</t>
  </si>
  <si>
    <t>Пакет подарочный с глянц.лам. 18х23х10 см (M) Подарок мужчине, 157 г (собс.разр.) ППК-1280</t>
  </si>
  <si>
    <t>ППК-1280</t>
  </si>
  <si>
    <t>4640520771729</t>
  </si>
  <si>
    <t>263263</t>
  </si>
  <si>
    <t>Пакет подарочный с глянц.лам. 18х23х10 см (M) Поздравляю, синий, 157 г (собс.разр.) ППК-1288</t>
  </si>
  <si>
    <t>ППК-1288</t>
  </si>
  <si>
    <t>4640520771804</t>
  </si>
  <si>
    <t>263258</t>
  </si>
  <si>
    <t>Пакет подарочный с глянц.лам. 18х23х10 см (M) Стильные аксессуары, 157 г (собс.разр.) ППК-1283</t>
  </si>
  <si>
    <t>ППК-1283</t>
  </si>
  <si>
    <t>4640520771750</t>
  </si>
  <si>
    <t>263254</t>
  </si>
  <si>
    <t>Пакет подарочный с глянц.лам. 18х23х10 см (M) Счастья в каждом мгновении, 157г (собс.разр.) ППК-1279</t>
  </si>
  <si>
    <t>ППК-1279</t>
  </si>
  <si>
    <t>4640520771712</t>
  </si>
  <si>
    <t>263257</t>
  </si>
  <si>
    <t>Пакет подарочный с глянц.лам. 18х23х10 см (M) Торт и шарики, 157 г (собс.разр.) ППК-1282</t>
  </si>
  <si>
    <t>ППК-1282</t>
  </si>
  <si>
    <t>4640520771743</t>
  </si>
  <si>
    <t>263259</t>
  </si>
  <si>
    <t>Пакет подарочный с глянц.лам. 18х23х10 см (M) Фиолетовый, 157 г (собс.разр.) ППК-1284</t>
  </si>
  <si>
    <t>ППК-1284</t>
  </si>
  <si>
    <t>4640520771767</t>
  </si>
  <si>
    <t>263256</t>
  </si>
  <si>
    <t>Пакет подарочный с глянц.лам. 18х23х10 см (M) Фонтан из шаров, 157 г (собс.разр.) ППК-1281</t>
  </si>
  <si>
    <t>ППК-1281</t>
  </si>
  <si>
    <t>4640520771736</t>
  </si>
  <si>
    <t>263261</t>
  </si>
  <si>
    <t>Пакет подарочный с глянц.лам. 18х23х10 см (M) Яркое поздравление, 157 г (собс.разр.) ППК-1286</t>
  </si>
  <si>
    <t>ППК-1286</t>
  </si>
  <si>
    <t>4640520771781</t>
  </si>
  <si>
    <t>Краф ML</t>
  </si>
  <si>
    <t>279606</t>
  </si>
  <si>
    <t>Пакет подарочный из крафт-бумаги 22х32х11см (craft МL) Женское счастье, 120г (собс.разр.) ППК-5577</t>
  </si>
  <si>
    <t>ППК-5577</t>
  </si>
  <si>
    <t>4680942655771</t>
  </si>
  <si>
    <t>279608</t>
  </si>
  <si>
    <t>Пакет подарочный из крафт-бумаги 22х32х11см (craft МL) Зайка на велосипеде, 120г (соб.раз.) ППК-5579</t>
  </si>
  <si>
    <t>ППК-5579</t>
  </si>
  <si>
    <t>4680942655795</t>
  </si>
  <si>
    <t>262880</t>
  </si>
  <si>
    <t xml:space="preserve"> Пакет подарочный с глянц.лам. 22*31*10см (ML) Счастья в каждом моменте, 157 г (собс.разр.) ППК-7103</t>
  </si>
  <si>
    <t>ППК-7103</t>
  </si>
  <si>
    <t>4640520771033</t>
  </si>
  <si>
    <t>262876</t>
  </si>
  <si>
    <t>Пакет подарочный с глянц.лам. 22*31*10см (ML) Время чудес, 157г (собс.разр.) ППК-7099</t>
  </si>
  <si>
    <t>ППК-7099</t>
  </si>
  <si>
    <t>4640520770999</t>
  </si>
  <si>
    <t>262874</t>
  </si>
  <si>
    <t>Пакет подарочный с глянц.лам. 22*31*10см (ML) Праздничный блеск, 157г (собс.разр.) ППК-7097</t>
  </si>
  <si>
    <t>ППК-7097</t>
  </si>
  <si>
    <t>4640520770975</t>
  </si>
  <si>
    <t>262873</t>
  </si>
  <si>
    <t>Пакет подарочный с глянц.лам. 22*31*10см (ML) Ты  мой космос, 157г (собс.разр.) ППК-7096</t>
  </si>
  <si>
    <t>ППК-7096</t>
  </si>
  <si>
    <t>4640520770968</t>
  </si>
  <si>
    <t>243325</t>
  </si>
  <si>
    <t>Пакет подарочный с глянцевой ламинацией 22x31x10 см (ML) Дама, 157 г ПКП-9158</t>
  </si>
  <si>
    <t>ПКП-9158</t>
  </si>
  <si>
    <t>4670159231585</t>
  </si>
  <si>
    <t>Матовая ламинация (22x31x10 см)</t>
  </si>
  <si>
    <t>263219</t>
  </si>
  <si>
    <t>Пакет подарочный с мат.лам. 22x31x10 см (МL) Для тебя, 157 г (собс.разр.) ППК-1244</t>
  </si>
  <si>
    <t>ППК-1244</t>
  </si>
  <si>
    <t>4640520771361</t>
  </si>
  <si>
    <t>263221</t>
  </si>
  <si>
    <t>Пакет подарочный с мат.лам. 22x31x10 см (МL) Желаю счастья, 157 г (собс.разр.) ППК-1246</t>
  </si>
  <si>
    <t>ППК-1246</t>
  </si>
  <si>
    <t>4640520771385</t>
  </si>
  <si>
    <t>263220</t>
  </si>
  <si>
    <t>Пакет подарочный с мат.лам. 22x31x10 см (МL) Подарок для тебя, 157 г (собс.разр.) ППК-1245</t>
  </si>
  <si>
    <t>ППК-1245</t>
  </si>
  <si>
    <t>4640520771378</t>
  </si>
  <si>
    <t>263218</t>
  </si>
  <si>
    <t>Пакет подарочный с мат.лам. 22x31x10 см (МL) Подарок лучшему мужчине, 157 г (собс.разр.) ППК-1243</t>
  </si>
  <si>
    <t>ППК-1243</t>
  </si>
  <si>
    <t>4640520771354</t>
  </si>
  <si>
    <t>Dream Cards (26.4х32.7х13.6)</t>
  </si>
  <si>
    <t>Dream Cards (26.4х32.7х13.6) без обработки</t>
  </si>
  <si>
    <t>272372</t>
  </si>
  <si>
    <t>Dream cards Пакет подар. мелованный картон 26,4х32,7х13,6см (L) Нежно голубой, 235г соб.раз ППК-2024</t>
  </si>
  <si>
    <t>ППК-2024</t>
  </si>
  <si>
    <t>4680942618011</t>
  </si>
  <si>
    <t>272373</t>
  </si>
  <si>
    <t>Dream cards Пакет подар. мелованный картон 26,4х32,7х13,6см L Нежно бирюзовый, 235г соб.раз ППК-2025</t>
  </si>
  <si>
    <t>ППК-2025</t>
  </si>
  <si>
    <t>4680942618028</t>
  </si>
  <si>
    <t>272375</t>
  </si>
  <si>
    <t>Dream cards Пакет подар. мелованный картон 26,4х32,7х13,6см L Нежно розовый, 235г соб.раз ППК-2027</t>
  </si>
  <si>
    <t>ППК-2027</t>
  </si>
  <si>
    <t>4680942618042</t>
  </si>
  <si>
    <t>272374</t>
  </si>
  <si>
    <t>Dream cards Пакет подар. мелованный картон 26,4х32,7х13,6см Нежно фиолетовый, 235г соб.раз ППК-2026</t>
  </si>
  <si>
    <t>ППК-2026</t>
  </si>
  <si>
    <t>4680942618035</t>
  </si>
  <si>
    <t>Dream Cards (26.4х32.7х13.6) мат.лам. и тиснение фольгой</t>
  </si>
  <si>
    <t>258153</t>
  </si>
  <si>
    <t>Dream cards Пакет подар. с мат. лам. и золот. тисн. 26х32х12см (L), Чарующий сад, 210г/м2, ППК-7607</t>
  </si>
  <si>
    <t>ППК-7607</t>
  </si>
  <si>
    <t>4630493775930</t>
  </si>
  <si>
    <t>258156</t>
  </si>
  <si>
    <t>Dream cards Пакет подар. с мат.лам. и золот.тисн. 26х32х12см (L), Пастельные маки, 210г/м2, ППК-7610</t>
  </si>
  <si>
    <t>ППК-7610</t>
  </si>
  <si>
    <t>4630493775961</t>
  </si>
  <si>
    <t>261788</t>
  </si>
  <si>
    <t>Dream cards Пакет подарочный с мат.лам. 26*32*10см(L) Абстракция, 190г(собс.разр.) ППК-7971</t>
  </si>
  <si>
    <t>ППК-7971</t>
  </si>
  <si>
    <t>4630493779716</t>
  </si>
  <si>
    <t>261789</t>
  </si>
  <si>
    <t>Dream cards Пакет подарочный с мат.лам. 26*32*10см(L) Беоые пионы, 190г (собс.разр) ППК-7972</t>
  </si>
  <si>
    <t>ППК-7972</t>
  </si>
  <si>
    <t>4630493779723</t>
  </si>
  <si>
    <t>261793</t>
  </si>
  <si>
    <t>Dream cards Пакет подарочный с мат.лам. 26*32*10см(L) Маки, 190г (собс.разр) ППК-7974</t>
  </si>
  <si>
    <t>ППК-7974</t>
  </si>
  <si>
    <t>4630493779747</t>
  </si>
  <si>
    <t>261791</t>
  </si>
  <si>
    <t>Dream cards Пакет подарочный с мат.лам. 26*32*10см(L) Пышные пионы 190г (собс.разр) ППК-7973</t>
  </si>
  <si>
    <t>ППК-7973</t>
  </si>
  <si>
    <t>4630493779730</t>
  </si>
  <si>
    <t>261770</t>
  </si>
  <si>
    <t>Пакет подарочный с глянц. лам. 26,4х32,7х13,6 см (L) Белые тюльпаны, 157 г ППК-7957</t>
  </si>
  <si>
    <t>ППК-7957</t>
  </si>
  <si>
    <t>4630493779570</t>
  </si>
  <si>
    <t>261772</t>
  </si>
  <si>
    <t>Пакет подарочный с глянц. лам. 26,4х32,7х13,6 см (L) Жёлтые цветочки, 157 г ППК-7959</t>
  </si>
  <si>
    <t>ППК-7959</t>
  </si>
  <si>
    <t>4630493779594</t>
  </si>
  <si>
    <t>261771</t>
  </si>
  <si>
    <t>Пакет подарочный с глянц. лам. 26,4х32,7х13,6 см (L) Розовые розы, 157 г ППК-7958</t>
  </si>
  <si>
    <t>ППК-7958</t>
  </si>
  <si>
    <t>4630493779587</t>
  </si>
  <si>
    <t>272388</t>
  </si>
  <si>
    <t>Optima Пакет подарочный с мат.лам 26,4х32,7х8см (L) Благородный фиолетовый, 128г (соб.раз) ППК-2036</t>
  </si>
  <si>
    <t>ППК-2036</t>
  </si>
  <si>
    <t>4680942618134</t>
  </si>
  <si>
    <t>272389</t>
  </si>
  <si>
    <t>Optima Пакет подарочный с мат.лам. 26,4х32,7х8см (L) Благородный бирюзовый, 128г (соб.раз) ППК-2037</t>
  </si>
  <si>
    <t>ППК-2037</t>
  </si>
  <si>
    <t>4680942618141</t>
  </si>
  <si>
    <t>272390</t>
  </si>
  <si>
    <t>Optima Пакет подарочный с мат.лам. 26,4х32,7х8см (L) Благородный персиковый, 128г (соб.раз) ППК-2038</t>
  </si>
  <si>
    <t>ППК-2038</t>
  </si>
  <si>
    <t>4680942618158</t>
  </si>
  <si>
    <t>272386</t>
  </si>
  <si>
    <t>Optima Пакет подарочный с мат.ламин. 26,4х32,7х8см (L) Благородный синий, 128г (собс.разр.) ППК-2035</t>
  </si>
  <si>
    <t>ППК-2035</t>
  </si>
  <si>
    <t>4680942618127</t>
  </si>
  <si>
    <t>Крафт L</t>
  </si>
  <si>
    <t>Крафт (26 х 33 х 14)</t>
  </si>
  <si>
    <t>252793</t>
  </si>
  <si>
    <t>Пакет подарочный из крафт-бумаги 26,4x32,7x13,6 см (craft L) Милота, 150 г(собс.разр.) ППК-2768</t>
  </si>
  <si>
    <t>ППК-2768</t>
  </si>
  <si>
    <t>4640306927685</t>
  </si>
  <si>
    <t>265757</t>
  </si>
  <si>
    <t>Пакет подарочный из крафт-бумаги 26,4x32,7x13,6 см (craft L) Подарок, 150 г (собс.разр.) ППК-4023</t>
  </si>
  <si>
    <t>ППК-4023</t>
  </si>
  <si>
    <t>4640520774324</t>
  </si>
  <si>
    <t>265755</t>
  </si>
  <si>
    <t>Пакет подарочный из крафт-бумаги 26,4x32,7x13,6 см (craft L) Розы, 150г (собс.разр) ППК-4021</t>
  </si>
  <si>
    <t>ППК-4021</t>
  </si>
  <si>
    <t>4640520774300</t>
  </si>
  <si>
    <t>265756</t>
  </si>
  <si>
    <t>Пакет подарочный из крафт-бумаги 26,4x32,7x13,6 см (craft L) Тортик, 150 г (собс.разр)  ППК-4022</t>
  </si>
  <si>
    <t>ППК-4022</t>
  </si>
  <si>
    <t>4640520774317</t>
  </si>
  <si>
    <t>229916</t>
  </si>
  <si>
    <t>Пакет подарочный из крафт-бумаги 26,4х32,7х13,6 см (craft L) С днем рождения, синий, 150 г ППК-4491</t>
  </si>
  <si>
    <t>ППК-4491</t>
  </si>
  <si>
    <t>4670159144915</t>
  </si>
  <si>
    <t>272392</t>
  </si>
  <si>
    <t>Пакет подарочный крафт 26,4х32,7х13,6 см (craft L) Белый, 130 г(собс.разр.) ППК-2040</t>
  </si>
  <si>
    <t>ППК-2040</t>
  </si>
  <si>
    <t>4680942618172</t>
  </si>
  <si>
    <t>272393</t>
  </si>
  <si>
    <t>Пакет подарочный крафт 26,4х32,7х13,6 см (craft L) Голубой, 130 г(собс.разр.) ППК-2041</t>
  </si>
  <si>
    <t>ППК-2041</t>
  </si>
  <si>
    <t>4680942618189</t>
  </si>
  <si>
    <t>272391</t>
  </si>
  <si>
    <t>Пакет подарочный крафт 26,4х32,7х13,6 см (craft L) Чёрный, 130 г(собс.разр.) ППК-2039</t>
  </si>
  <si>
    <t>ППК-2039</t>
  </si>
  <si>
    <t>4680942618165</t>
  </si>
  <si>
    <t>236229</t>
  </si>
  <si>
    <t>Пакет подар. с глянц.лам. 26.4*32.7*13.6см(L) "Радостный Чебурашка" 157г ЛИЦЕНЗИЯ/Чебурашка ПКП-0399</t>
  </si>
  <si>
    <t>ПКП-0399</t>
  </si>
  <si>
    <t>4670159204879</t>
  </si>
  <si>
    <t>236230</t>
  </si>
  <si>
    <t>Пакет подар.с глянц.лам.26.4*32.7*13.6см(L) "Чебурашка и вертолётик"157г ЛИЦЕНЗИЯ/Чебурашка ПКП-0400</t>
  </si>
  <si>
    <t>ПКП-0400</t>
  </si>
  <si>
    <t>4670159204886</t>
  </si>
  <si>
    <t>236228</t>
  </si>
  <si>
    <t>Пакет подарочный с глянц.лам. 26.4*32.7*13.6см(L) "Милый Чебурашка" 157г ЛИЦЕНЗИЯ/Чебурашка ПКП-0398</t>
  </si>
  <si>
    <t>ПКП-0398</t>
  </si>
  <si>
    <t>4670159204862</t>
  </si>
  <si>
    <t>263235</t>
  </si>
  <si>
    <t>Пакет подарочный с глянц.лам. 26x33x14 см (L) Золотистые шары, 157 г (собс.разр.) ППК-1260</t>
  </si>
  <si>
    <t>ППК-1260</t>
  </si>
  <si>
    <t>4640520771521</t>
  </si>
  <si>
    <t>263236</t>
  </si>
  <si>
    <t>Пакет подарочный с глянц.лам. 26x33x14 см (L) Подарок, шестерёнки, 157 г (собс.разр.) ППК-1261</t>
  </si>
  <si>
    <t>ППК-1261</t>
  </si>
  <si>
    <t>4640520771538</t>
  </si>
  <si>
    <t>263237</t>
  </si>
  <si>
    <t>Пакет подарочный с глянц.лам. 26x33x14 см (L) Праздничный корги, 157 г (собс.разр.) ППК-1262</t>
  </si>
  <si>
    <t>ППК-1262</t>
  </si>
  <si>
    <t>4640520771545</t>
  </si>
  <si>
    <t>263234</t>
  </si>
  <si>
    <t>Пакет подарочный с глянц.лам. 26x33x14 см (L) С Днём Рождения!, 157 г (собс.разр.) ППК-1259</t>
  </si>
  <si>
    <t>ППК-1259</t>
  </si>
  <si>
    <t>4640520771514</t>
  </si>
  <si>
    <t>237703</t>
  </si>
  <si>
    <t>Пакет подарочный с глянцевой ламинацией 26,4х32,7х13,6 см (L) Нежные лотосы 157 г ПКП-1130</t>
  </si>
  <si>
    <t>ПКП-1130</t>
  </si>
  <si>
    <t>4670159211303</t>
  </si>
  <si>
    <t>Dream cards 32х42х12 см</t>
  </si>
  <si>
    <t>Dream Cards 32x42x12 мат. лам., глиттер, 3D элемент</t>
  </si>
  <si>
    <t>234268</t>
  </si>
  <si>
    <t>Dream Cards Пакет подарочный мат.лам,глиттер,3Dэл. 31*42*12см(XL), Милая принцесса, 210г ПКП-9276</t>
  </si>
  <si>
    <t>ПКП-9276</t>
  </si>
  <si>
    <t>4670159193722</t>
  </si>
  <si>
    <t>Dream cards 32х42х12 матовая ламинация и глиттер</t>
  </si>
  <si>
    <t>246385</t>
  </si>
  <si>
    <t>Dream cards Пакет подар. с мат. лам. 32,4*44,5*10,2см(ХL),Дружные зверята,собс.раз.190г ПКП-2174</t>
  </si>
  <si>
    <t>ПКП-2174</t>
  </si>
  <si>
    <t>4640306921744</t>
  </si>
  <si>
    <t>Dream cards 32х42х12 матовая ламинация и тиснение фольгой</t>
  </si>
  <si>
    <t>246386</t>
  </si>
  <si>
    <t>Dream cards Пакет подар. с мат.лам. и зол.тис.32,4*44,5*10,2см(XL),Happy Day,собс.раз.190г ПКП-2175</t>
  </si>
  <si>
    <t>ПКП-2175</t>
  </si>
  <si>
    <t>4640306921751</t>
  </si>
  <si>
    <t>Dream cards 32х42х12 см матовая ламинация</t>
  </si>
  <si>
    <t>261796</t>
  </si>
  <si>
    <t>Dream cards Пакет подарочный с мат.лам. 32,4х44,5х10,2 см (XL) Беоые пионы, 190г (соб.разр) ППК-7976</t>
  </si>
  <si>
    <t>ППК-7976</t>
  </si>
  <si>
    <t>4630493779761</t>
  </si>
  <si>
    <t>252800</t>
  </si>
  <si>
    <t>Dream cards Пакет подарочный с мат.лам. 32,4х44,5х10,2 см (XL) Маки, 190г(собс.разр) ППК-2777</t>
  </si>
  <si>
    <t>ППК-2777</t>
  </si>
  <si>
    <t>4640306927777</t>
  </si>
  <si>
    <t>261798</t>
  </si>
  <si>
    <t>Dream cards Пакет подарочный с мат.лам. 32,4х44,5х10,2 см (XL) Пышные пионы 190г (соб.разр) ППК-7977</t>
  </si>
  <si>
    <t>ППК-7977</t>
  </si>
  <si>
    <t>4630493779778</t>
  </si>
  <si>
    <t>Optima</t>
  </si>
  <si>
    <t>262863</t>
  </si>
  <si>
    <t>Optima Пакет подарочный с глянц.лам. 32*45*8 см (XL) Весенний праздник , 128 г (собс.разр.) ППК-7088</t>
  </si>
  <si>
    <t>ППК-7088</t>
  </si>
  <si>
    <t>4640520770883</t>
  </si>
  <si>
    <t>262864</t>
  </si>
  <si>
    <t>Optima Пакет подарочный с глянц.лам. 32*45*8см (XL) Гексагональ, 128г (собс.разр.) ППК-7089</t>
  </si>
  <si>
    <t>ППК-7089</t>
  </si>
  <si>
    <t>4640520770890</t>
  </si>
  <si>
    <t>262865</t>
  </si>
  <si>
    <t>Optima Пакет подарочный с глянц.лам. 32*45*8см (XL) Тропическая пальма, 128г (собс.разр.) ППК-7090</t>
  </si>
  <si>
    <t>ППК-7090</t>
  </si>
  <si>
    <t>4640520770906</t>
  </si>
  <si>
    <t>262867</t>
  </si>
  <si>
    <t>Optima Пакет подарочный с глянц.лам. 32*45*8см (XL) Цветы и бабочки , 128г (собс.разр.) ППК-7091</t>
  </si>
  <si>
    <t>ППК-7091</t>
  </si>
  <si>
    <t>4640520770913</t>
  </si>
  <si>
    <t>262878</t>
  </si>
  <si>
    <t xml:space="preserve"> Пакет подарочный с глянц.лам. 22*31*10см (ML) Бабл-торт, 157г (собс.разр.) ППК-7101</t>
  </si>
  <si>
    <t>ППК-7101</t>
  </si>
  <si>
    <t>4640520771019</t>
  </si>
  <si>
    <t>261774</t>
  </si>
  <si>
    <t>Пакет подарочный с глянц. лам. 32,4x44,5x10,2 см (XL) Белые тюльпаны, 157 г ППК-7960</t>
  </si>
  <si>
    <t>ППК-7960</t>
  </si>
  <si>
    <t>4630493779600</t>
  </si>
  <si>
    <t>261777</t>
  </si>
  <si>
    <t>Пакет подарочный с глянц. лам. 32,4x44,5x10,2 см (XL) Жёлтые цветочки, 157 г ППК-7962</t>
  </si>
  <si>
    <t>ППК-7962</t>
  </si>
  <si>
    <t>4630493779624</t>
  </si>
  <si>
    <t>261776</t>
  </si>
  <si>
    <t>Пакет подарочный с глянц. лам. 32,4x44,5x10,2 см (XL) Розовые розы, 157 г ППК-7961</t>
  </si>
  <si>
    <t>ППК-7961</t>
  </si>
  <si>
    <t>4630493779617</t>
  </si>
  <si>
    <t>265761</t>
  </si>
  <si>
    <t>Пакет подарочный с глянц.лам. 32,4x44,5x10,2 см (XL) Стильная геометрия, 157г (собс.разр) ППК-4027</t>
  </si>
  <si>
    <t>ППК-4027</t>
  </si>
  <si>
    <t>4640520774362</t>
  </si>
  <si>
    <t>265762</t>
  </si>
  <si>
    <t>Пакет подарочный с глянц.лам. 32,4x44,5x10,2 см (XL) Яркий подарок, 157г (собс.разр) ППК-4028</t>
  </si>
  <si>
    <t>ППК-4028</t>
  </si>
  <si>
    <t>4640520774379</t>
  </si>
  <si>
    <t>265760</t>
  </si>
  <si>
    <t>Пакет подарочный с глянц.лам. 32,4x44,5x10,2см (XL) Сладкий праздник, 157г (собс.разр) ППК-4026</t>
  </si>
  <si>
    <t>ППК-4026</t>
  </si>
  <si>
    <t>4640520774355</t>
  </si>
  <si>
    <t>263223</t>
  </si>
  <si>
    <t>Пакет подарочный с глянц.лам. 32x45x10 см (XL) Время волшебства, 157 г (собс.разр.) ППК-1248</t>
  </si>
  <si>
    <t>ППК-1248</t>
  </si>
  <si>
    <t>4640520771408</t>
  </si>
  <si>
    <t>263229</t>
  </si>
  <si>
    <t>Пакет подарочный с глянц.лам. 32x45x10 см (XL) Голубые цветы, 157 г (собс.разр.) ППК-1254</t>
  </si>
  <si>
    <t>ППК-1254</t>
  </si>
  <si>
    <t>4640520771460</t>
  </si>
  <si>
    <t>263226</t>
  </si>
  <si>
    <t>Пакет подарочный с глянц.лам. 32x45x10 см (XL) Девушка, 157 г (собс.разр.) ППК-1251</t>
  </si>
  <si>
    <t>ППК-1251</t>
  </si>
  <si>
    <t>4640520771439</t>
  </si>
  <si>
    <t>263232</t>
  </si>
  <si>
    <t>Пакет подарочный с глянц.лам. 32x45x10 см (XL) Настоящему мужчине!, 157 г (собс.разр.) ППК-1257</t>
  </si>
  <si>
    <t>ППК-1257</t>
  </si>
  <si>
    <t>4640520771491</t>
  </si>
  <si>
    <t>263222</t>
  </si>
  <si>
    <t>Пакет подарочный с глянц.лам. 32x45x10 см (XL) Поздравление от зверят, 157 г (собс.разр.) ППК-1247</t>
  </si>
  <si>
    <t>ППК-1247</t>
  </si>
  <si>
    <t>4640520771392</t>
  </si>
  <si>
    <t>263231</t>
  </si>
  <si>
    <t>Пакет подарочный с глянц.лам. 32x45x10 см (XL) Поздравляю с шарами, 157 г (собс.разр.) ППК-1256</t>
  </si>
  <si>
    <t>ППК-1256</t>
  </si>
  <si>
    <t>4640520771484</t>
  </si>
  <si>
    <t>263228</t>
  </si>
  <si>
    <t>Пакет подарочный с глянц.лам. 32x45x10 см (XL) Праздничные колпачки, 157 г (собс.разр.) ППК-1253</t>
  </si>
  <si>
    <t>ППК-1253</t>
  </si>
  <si>
    <t>4640520771453</t>
  </si>
  <si>
    <t>263227</t>
  </si>
  <si>
    <t>Пакет подарочный с глянц.лам. 32x45x10 см (XL) С праздником!, 157 г (собс.разр.) ППК-1252</t>
  </si>
  <si>
    <t>ППК-1252</t>
  </si>
  <si>
    <t>4640520771446</t>
  </si>
  <si>
    <t>263225</t>
  </si>
  <si>
    <t>Пакет подарочный с глянц.лам. 32x45x10 см (XL) Тропические листья, 157 г (собс.разр.) ППК-1250</t>
  </si>
  <si>
    <t>ППК-1250</t>
  </si>
  <si>
    <t>4640520771422</t>
  </si>
  <si>
    <t>263224</t>
  </si>
  <si>
    <t>Пакет подарочный с глянц.лам. 32x45x10 см (XL) Цветы, 157 г (собс.разр.) ППК-1249</t>
  </si>
  <si>
    <t>ППК-1249</t>
  </si>
  <si>
    <t>4640520771415</t>
  </si>
  <si>
    <t>263230</t>
  </si>
  <si>
    <t>Пакет подарочный с глянц.лам. 32x45x10 см (XL) Часы, блокнот и ручка, 157 г (собс.разр.) ППК-1255</t>
  </si>
  <si>
    <t>ППК-1255</t>
  </si>
  <si>
    <t>4640520771477</t>
  </si>
  <si>
    <t>265759</t>
  </si>
  <si>
    <t>Пакет подарочный с глянц.ламинацией 32,4x44,5x10,2 см (XL) Байк, 157г (собс.разр) ППК-4025</t>
  </si>
  <si>
    <t>ППК-4025</t>
  </si>
  <si>
    <t>4640520774348</t>
  </si>
  <si>
    <t>265764</t>
  </si>
  <si>
    <t>Пакет подарочный с глянц.ламинацией 32,4x44,5x10,2 см (XL) ГлаМур, 157г (собс.разр) ППК-4030</t>
  </si>
  <si>
    <t>ППК-4030</t>
  </si>
  <si>
    <t>4640520774393</t>
  </si>
  <si>
    <t>265765</t>
  </si>
  <si>
    <t>Пакет подарочный с глянц.ламинацией 32,4x44,5x10,2 см (XL) Нежные цветы, 157 г (собс.разр) ППК-4031</t>
  </si>
  <si>
    <t>ППК-4031</t>
  </si>
  <si>
    <t>4640520774409</t>
  </si>
  <si>
    <t>265766</t>
  </si>
  <si>
    <t>Пакет подарочный с глянц.ламинацией 32,4x44,5x10,2 см (XL) Яркие пионы, 157г (собс.разр) ППК-4032</t>
  </si>
  <si>
    <t>ППК-4032</t>
  </si>
  <si>
    <t>4640520774416</t>
  </si>
  <si>
    <t>265758</t>
  </si>
  <si>
    <t>Пакет подарочный с глянц.ламинацией 32,4x44,5x10,2см (XL) Для тебя, розовый,157г(собс.разр) ППК-4024</t>
  </si>
  <si>
    <t>ППК-4024</t>
  </si>
  <si>
    <t>4640520774331</t>
  </si>
  <si>
    <t>265763</t>
  </si>
  <si>
    <t>Пакет подарочный с глянц.ламинацией 32,4x44,5x10,2см (XL) Подарок, 157г (собс.разр) ППК-4029</t>
  </si>
  <si>
    <t>ППК-4029</t>
  </si>
  <si>
    <t>4640520774386</t>
  </si>
  <si>
    <t>08 Размер XXL</t>
  </si>
  <si>
    <t>Глянцевая ламинация (40х 47 х 14)</t>
  </si>
  <si>
    <t>263264</t>
  </si>
  <si>
    <t>Пакет подарочный с глянц.лам. 40х47х14 см (XXL) От всего сердца, 157 г (собс.разр.) ППК-1289</t>
  </si>
  <si>
    <t>ППК-1289</t>
  </si>
  <si>
    <t>4640520771811</t>
  </si>
  <si>
    <t>263265</t>
  </si>
  <si>
    <t>Пакет подарочный с глянц.лам. 40х47х14 см (XXL) Подарок, 157 г (собс.разр.) ППК-1290</t>
  </si>
  <si>
    <t>ППК-1290</t>
  </si>
  <si>
    <t>4640520771828</t>
  </si>
  <si>
    <t>09 Размеры MAX size</t>
  </si>
  <si>
    <t>45х45х21 см</t>
  </si>
  <si>
    <t>263267</t>
  </si>
  <si>
    <t>Пакет подарочный с глянц.лам. 45х45х21 см (XXL) Волшебных моментов, 157 г (собс.разр.) ППК-1292</t>
  </si>
  <si>
    <t>ППК-1292</t>
  </si>
  <si>
    <t>4640520771842</t>
  </si>
  <si>
    <t>263266</t>
  </si>
  <si>
    <t>Пакет подарочный с глянц.лам. 45х45х21 см (XXL) Настоящему мужчине, 157 г (собс.разр.) ППК-1291</t>
  </si>
  <si>
    <t>ППК-1291</t>
  </si>
  <si>
    <t>4640520771835</t>
  </si>
  <si>
    <t>243343</t>
  </si>
  <si>
    <t>Пакет подарочный с глянцевой ламинацией  45x45x21 (XXL Square) Хлопок, 157 г ПКП-9165</t>
  </si>
  <si>
    <t>ПКП-9165</t>
  </si>
  <si>
    <t>4670159231653</t>
  </si>
  <si>
    <t>50х72х16 см</t>
  </si>
  <si>
    <t>263270</t>
  </si>
  <si>
    <t>Пакет подарочный с глянц.лам. 50х72х16 см Для тебя, красный, 180 г (собс.разр.) ППК-1295</t>
  </si>
  <si>
    <t>ППК-1295</t>
  </si>
  <si>
    <t>4640520771873</t>
  </si>
  <si>
    <t>263271</t>
  </si>
  <si>
    <t>Пакет подарочный с глянц.лам. 50х72х16 см Поздравление от котика, 180 г (собс.разр.) ППК-1296</t>
  </si>
  <si>
    <t>ППК-1296</t>
  </si>
  <si>
    <t>4640520771880</t>
  </si>
  <si>
    <t>54х44х16 см</t>
  </si>
  <si>
    <t>263269</t>
  </si>
  <si>
    <t>Пакет подарочный с глянц.лам. 54х44х16 см (XXL) Для самой лучшей, 180 г (собс.разр.) ППК-1294</t>
  </si>
  <si>
    <t>ППК-1294</t>
  </si>
  <si>
    <t>4640520771866</t>
  </si>
  <si>
    <t>263268</t>
  </si>
  <si>
    <t>Пакет подарочный с глянц.лам. 54х44х16 см (XXL) С Днём Рождения!, 180 г (собс.разр.) ППК-1293</t>
  </si>
  <si>
    <t>ППК-1293</t>
  </si>
  <si>
    <t>4640520771859</t>
  </si>
  <si>
    <t>11. Миксы</t>
  </si>
  <si>
    <t>261861</t>
  </si>
  <si>
    <t>Крафт-пакет S 130г</t>
  </si>
  <si>
    <t>261843</t>
  </si>
  <si>
    <t>Пакет с глянц.лам.Optima разм L 26,4x32,7x8 весна</t>
  </si>
  <si>
    <t>261840</t>
  </si>
  <si>
    <t>Пакет с глянц.лам.Optima разм L 26,4x32,7x8 цветы</t>
  </si>
  <si>
    <t>261833</t>
  </si>
  <si>
    <t>Пакет с глянц.лам.Optima разм S 11,5x14,5x6 питомцы</t>
  </si>
  <si>
    <t>1 Пакеты с вырубной ручкой</t>
  </si>
  <si>
    <t>19 см х 25 см</t>
  </si>
  <si>
    <t>204395</t>
  </si>
  <si>
    <t>Пакет вырубной Костюмчик 19*25/30мкм, н00228465</t>
  </si>
  <si>
    <t>н00228465</t>
  </si>
  <si>
    <t>4630073608139</t>
  </si>
  <si>
    <t>247076</t>
  </si>
  <si>
    <t>Пакет вырубной Милый сюрприз 19*25/30мкм н00269432</t>
  </si>
  <si>
    <t>н00269432</t>
  </si>
  <si>
    <t>4630201701732</t>
  </si>
  <si>
    <t>20 см х 30 см</t>
  </si>
  <si>
    <t>256577</t>
  </si>
  <si>
    <t>Пакет вырубной  Люкс 20х30/30 мкм НФ-00029300</t>
  </si>
  <si>
    <t>НФ-00029300</t>
  </si>
  <si>
    <t>4610121611786</t>
  </si>
  <si>
    <t>174915</t>
  </si>
  <si>
    <t>Пакет вырубной  Печеньки Макаронс 20 см х 30 см  н00208108</t>
  </si>
  <si>
    <t>н00208108</t>
  </si>
  <si>
    <t>4630073605541</t>
  </si>
  <si>
    <t>281619</t>
  </si>
  <si>
    <t>Пакет вырубной "Бантики" 20*30/30 мкм ППК-6372</t>
  </si>
  <si>
    <t>ППК-6372</t>
  </si>
  <si>
    <t>4680942663721</t>
  </si>
  <si>
    <t>268495</t>
  </si>
  <si>
    <t>Пакет вырубной Алый бантик 20*30/30мкм н00293878</t>
  </si>
  <si>
    <t>н00293878</t>
  </si>
  <si>
    <t>4630201702920</t>
  </si>
  <si>
    <t>256578</t>
  </si>
  <si>
    <t>Пакет вырубной Бантик 20х30/30 мкм НФ-00043930</t>
  </si>
  <si>
    <t>НФ-00043930</t>
  </si>
  <si>
    <t>4610121611861</t>
  </si>
  <si>
    <t>197002</t>
  </si>
  <si>
    <t>Пакет вырубной Волшебный лес 20*30/30мкм н00213000</t>
  </si>
  <si>
    <t>н00213000</t>
  </si>
  <si>
    <t>4630073606111</t>
  </si>
  <si>
    <t>286705</t>
  </si>
  <si>
    <t>Пакет вырубной Голубая мечта 20*30/30мкм, ВНР69146</t>
  </si>
  <si>
    <t>ВНР69146</t>
  </si>
  <si>
    <t>4607182865340</t>
  </si>
  <si>
    <t>273212</t>
  </si>
  <si>
    <t>Пакет вырубной Защитникам ПВД 20*30/30мкм ППК-9516</t>
  </si>
  <si>
    <t>ППК-9516</t>
  </si>
  <si>
    <t>4680942625163</t>
  </si>
  <si>
    <t>268494</t>
  </si>
  <si>
    <t>Пакет вырубной Мужское решение 20*30/30мкм б/д н00292242</t>
  </si>
  <si>
    <t>н00292242</t>
  </si>
  <si>
    <t>4630201702685</t>
  </si>
  <si>
    <t>256617</t>
  </si>
  <si>
    <t>Пакет вырубной Мужской аксессуар 20х30/30мкм ВНР59054</t>
  </si>
  <si>
    <t>ВНР59054</t>
  </si>
  <si>
    <t>2200003888652</t>
  </si>
  <si>
    <t>256580</t>
  </si>
  <si>
    <t>Пакет вырубной Мур-мур 20*30/30мкм н00283634</t>
  </si>
  <si>
    <t>н00283634</t>
  </si>
  <si>
    <t>4630201702326</t>
  </si>
  <si>
    <t>207239</t>
  </si>
  <si>
    <t>Пакет вырубной Настоящему мужчине 20х30/30 мкм НФ-00022274</t>
  </si>
  <si>
    <t>НФ-00022274</t>
  </si>
  <si>
    <t>4610121611090</t>
  </si>
  <si>
    <t>206494</t>
  </si>
  <si>
    <t>Пакет вырубной Ненси 20х30/30 мкм,б/д ВНР55127</t>
  </si>
  <si>
    <t>ВНР55127</t>
  </si>
  <si>
    <t>4607182862752</t>
  </si>
  <si>
    <t>273211</t>
  </si>
  <si>
    <t>Пакет вырубной Память поколений ПВД 20*30/30мкм ППК-9515</t>
  </si>
  <si>
    <t>ППК-9515</t>
  </si>
  <si>
    <t>4680942625156</t>
  </si>
  <si>
    <t>286704</t>
  </si>
  <si>
    <t>Пакет вырубной Подарок с душой 20*30/30мкм, ВНР69147</t>
  </si>
  <si>
    <t>ВНР69147</t>
  </si>
  <si>
    <t>4607182865357</t>
  </si>
  <si>
    <t>197006</t>
  </si>
  <si>
    <t>Пакет вырубной Подарочек 20*30/30мкм н00213002</t>
  </si>
  <si>
    <t>н00213002</t>
  </si>
  <si>
    <t>4630073606128</t>
  </si>
  <si>
    <t>286703</t>
  </si>
  <si>
    <t>Пакет вырубной Пончики 20*30/30мкм, ВНР69148</t>
  </si>
  <si>
    <t>ВНР69148</t>
  </si>
  <si>
    <t>4607182865364</t>
  </si>
  <si>
    <t>273210</t>
  </si>
  <si>
    <t>Пакет вырубной Символ Победы ПВД 20*30/30мкм ППК-9514</t>
  </si>
  <si>
    <t>ППК-9514</t>
  </si>
  <si>
    <t>4680942625149</t>
  </si>
  <si>
    <t>206496</t>
  </si>
  <si>
    <t>Пакет вырубной Шармель 20х30/30 мкм,б/д ВНР55126</t>
  </si>
  <si>
    <t>ВНР55126</t>
  </si>
  <si>
    <t>4607182862745</t>
  </si>
  <si>
    <t>184883</t>
  </si>
  <si>
    <t>Пакет полиэтиленовый Веселого дня рождения!! 20х30 НФ-00014113</t>
  </si>
  <si>
    <t>НФ-00014113</t>
  </si>
  <si>
    <t>4610121610611</t>
  </si>
  <si>
    <t>218206</t>
  </si>
  <si>
    <t>Пакет полиэтиленовый вырубной Презент стиль 30*20/30мкм н00229623</t>
  </si>
  <si>
    <t>н00229623</t>
  </si>
  <si>
    <t>4630073608337</t>
  </si>
  <si>
    <t>260868</t>
  </si>
  <si>
    <t>Пакет полиэтиленовый вырубной "Приветливый Чебурашка" 20*30/30 мкм ЛИЦЕНЗИЯ/Чебурашка ПИ-7800</t>
  </si>
  <si>
    <t>ПИ-7800</t>
  </si>
  <si>
    <t>4630493778009</t>
  </si>
  <si>
    <t>37см х 30см</t>
  </si>
  <si>
    <t>104924</t>
  </si>
  <si>
    <t>Пакет вырубной Перфекто Вензель (37*30 см)  н00129758</t>
  </si>
  <si>
    <t>н00129758</t>
  </si>
  <si>
    <t>4650070135339</t>
  </si>
  <si>
    <t>152538</t>
  </si>
  <si>
    <t>Пакет вырубной Перфекто Далия (37*30 см/90мкм) н00170815</t>
  </si>
  <si>
    <t>н00170815</t>
  </si>
  <si>
    <t>4630073600126</t>
  </si>
  <si>
    <t>268502</t>
  </si>
  <si>
    <t>Пакет вырубной Перфекто Изящность 37х30/90мкм н00292236</t>
  </si>
  <si>
    <t>н00292236</t>
  </si>
  <si>
    <t>4630201702722</t>
  </si>
  <si>
    <t>197014</t>
  </si>
  <si>
    <t>Пакет вырубной Перфекто Узоры 37*30/90 мкмУзоры н00214470</t>
  </si>
  <si>
    <t>н00214470</t>
  </si>
  <si>
    <t>4630073606548</t>
  </si>
  <si>
    <t>218170</t>
  </si>
  <si>
    <t>Пакет полиэтиленовый вырубной Перфекто Загадка 37*30/90мкм н00229683</t>
  </si>
  <si>
    <t>н00229683</t>
  </si>
  <si>
    <t>4630073608665</t>
  </si>
  <si>
    <t>197079</t>
  </si>
  <si>
    <t>Пакет вырубной  Следуй за мечтой!  38х47/60 мкм НФ-00022319</t>
  </si>
  <si>
    <t>НФ-00022319</t>
  </si>
  <si>
    <t>4610121611281</t>
  </si>
  <si>
    <t>197084</t>
  </si>
  <si>
    <t>Пакет вырубной Городские огни 38х47/60  мкм НФ-00000840</t>
  </si>
  <si>
    <t>НФ-00000840</t>
  </si>
  <si>
    <t>4640012382983</t>
  </si>
  <si>
    <t>185573</t>
  </si>
  <si>
    <t>Пакет вырубной Грэй Глосс Кофе (48х39 см) н00212035</t>
  </si>
  <si>
    <t>н00212035</t>
  </si>
  <si>
    <t>4630073605831</t>
  </si>
  <si>
    <t>197019</t>
  </si>
  <si>
    <t>Пакет вырубной Грэй Глосс Нежность 48*39/50мкм н00228278</t>
  </si>
  <si>
    <t>н00228278</t>
  </si>
  <si>
    <t>4630073607842</t>
  </si>
  <si>
    <t>197080</t>
  </si>
  <si>
    <t>Пакет вырубной Классическая клетка 38х47/60 мкм НФ-00000856</t>
  </si>
  <si>
    <t>НФ-00000856</t>
  </si>
  <si>
    <t>4640012383775</t>
  </si>
  <si>
    <t>256585</t>
  </si>
  <si>
    <t>Пакет вырубной Крокусы 37х46/30 мкм НФ-00044052</t>
  </si>
  <si>
    <t>НФ-00044052</t>
  </si>
  <si>
    <t>4610121611939</t>
  </si>
  <si>
    <t>197082</t>
  </si>
  <si>
    <t>Пакет вырубной Очарование 38х47/60 мкм НФ-00022318</t>
  </si>
  <si>
    <t>НФ-00022318</t>
  </si>
  <si>
    <t>4610121611267</t>
  </si>
  <si>
    <t>217497</t>
  </si>
  <si>
    <t>Пакет полиэтиленовый вырубной Атласный бант 37х46/30 мкм НФ-00029294</t>
  </si>
  <si>
    <t>НФ-00029294</t>
  </si>
  <si>
    <t>4610121611465</t>
  </si>
  <si>
    <t>184894</t>
  </si>
  <si>
    <t>Пакет полиэтиленовый вырубной Весна  37х46 НФ-00012417</t>
  </si>
  <si>
    <t>НФ-00012417</t>
  </si>
  <si>
    <t>4610121610321</t>
  </si>
  <si>
    <t>184897</t>
  </si>
  <si>
    <t>Пакет полиэтиленовый вырубной Ветка сирени  38х47 НФ-00012849</t>
  </si>
  <si>
    <t>НФ-00012849</t>
  </si>
  <si>
    <t>4610121610536</t>
  </si>
  <si>
    <t>184898</t>
  </si>
  <si>
    <t>Пакет полиэтиленовый вырубной Воздушные шары  38х47/60мкм НФ-00012288</t>
  </si>
  <si>
    <t>НФ-00012288</t>
  </si>
  <si>
    <t>4610121610079</t>
  </si>
  <si>
    <t>184895</t>
  </si>
  <si>
    <t>Пакет полиэтиленовый вырубной Париж винтаж  37х46 НФ-00004749</t>
  </si>
  <si>
    <t>НФ-00004749</t>
  </si>
  <si>
    <t>4640012387292</t>
  </si>
  <si>
    <t>40см х 31см</t>
  </si>
  <si>
    <t>281622</t>
  </si>
  <si>
    <t>Пакет вырубной "Розовые цветочки" 30*40/50 мкм ППК-6373</t>
  </si>
  <si>
    <t>ППК-6373</t>
  </si>
  <si>
    <t>4680942663738</t>
  </si>
  <si>
    <t>281624</t>
  </si>
  <si>
    <t>Пакет вырубной "Яркий бант" 30*40/50 мкм ППК-6374</t>
  </si>
  <si>
    <t>ППК-6374</t>
  </si>
  <si>
    <t>4680942663745</t>
  </si>
  <si>
    <t>286714</t>
  </si>
  <si>
    <t>Пакет вырубной Ароматная палитра 40*31 см/60мкм, ВУР58085</t>
  </si>
  <si>
    <t>ВУР58085</t>
  </si>
  <si>
    <t>4607182863537</t>
  </si>
  <si>
    <t>286708</t>
  </si>
  <si>
    <t>Пакет вырубной Белиция 40*31 см/60мкм, ВУР55115</t>
  </si>
  <si>
    <t>ВУР55115</t>
  </si>
  <si>
    <t>4607182862714</t>
  </si>
  <si>
    <t>286713</t>
  </si>
  <si>
    <t>Пакет вырубной Весенняя мечта 29x40 см/35мкм, ВУР69145</t>
  </si>
  <si>
    <t>ВУР69145</t>
  </si>
  <si>
    <t>4607182865333</t>
  </si>
  <si>
    <t>105051</t>
  </si>
  <si>
    <t>Пакет вырубной Горох подарочный (40*31 см/60мкм) н00112812</t>
  </si>
  <si>
    <t>н00112812</t>
  </si>
  <si>
    <t>4650070132635</t>
  </si>
  <si>
    <t>268504</t>
  </si>
  <si>
    <t>Пакет вырубной Джейми 40*31 см/60мкм лам н00292235</t>
  </si>
  <si>
    <t>н00292235</t>
  </si>
  <si>
    <t>4630201702692</t>
  </si>
  <si>
    <t>273213</t>
  </si>
  <si>
    <t>Пакет вырубной Звезда Победы ПВД 30*40/50мкм ППК-9517</t>
  </si>
  <si>
    <t>ППК-9517</t>
  </si>
  <si>
    <t>4680942625170</t>
  </si>
  <si>
    <t>268505</t>
  </si>
  <si>
    <t>Пакет вырубной Кот на спорте 40*31 см/60мкм лам н00277972</t>
  </si>
  <si>
    <t>н00277972</t>
  </si>
  <si>
    <t>4630201702203</t>
  </si>
  <si>
    <t>273215</t>
  </si>
  <si>
    <t>Пакет вырубной Линии ПВД 30*40/50мкм ППК-9519</t>
  </si>
  <si>
    <t>ППК-9519</t>
  </si>
  <si>
    <t>4680942625194</t>
  </si>
  <si>
    <t>174889</t>
  </si>
  <si>
    <t>Пакет вырубной Мороженое (40*31 см) н00206865</t>
  </si>
  <si>
    <t>н00206865</t>
  </si>
  <si>
    <t>4630073605329</t>
  </si>
  <si>
    <t>256622</t>
  </si>
  <si>
    <t>Пакет вырубной Морской закат 31х40/60мкм ВУР66451</t>
  </si>
  <si>
    <t>ВУР66451</t>
  </si>
  <si>
    <t>4607182864336</t>
  </si>
  <si>
    <t>196934</t>
  </si>
  <si>
    <t>Пакет вырубной Мужской стиль 29х40/35 мкм,б/д ВУР51990</t>
  </si>
  <si>
    <t>ВУР51990</t>
  </si>
  <si>
    <t>4607182862073</t>
  </si>
  <si>
    <t>247081</t>
  </si>
  <si>
    <t>Пакет вырубной Невозможное возможно 31х40 60мкм н00271367</t>
  </si>
  <si>
    <t>н00271367</t>
  </si>
  <si>
    <t>4630201701909</t>
  </si>
  <si>
    <t>286715</t>
  </si>
  <si>
    <t>Пакет вырубной Подарок для него 40*31 см/60мкм, ВУР58081</t>
  </si>
  <si>
    <t>ВУР58081</t>
  </si>
  <si>
    <t>4607182863490</t>
  </si>
  <si>
    <t>247080</t>
  </si>
  <si>
    <t>Пакет вырубной Раритет 31х40 60мкм н00269310</t>
  </si>
  <si>
    <t>н00269310</t>
  </si>
  <si>
    <t>4630201701664</t>
  </si>
  <si>
    <t>273214</t>
  </si>
  <si>
    <t>Пакет вырубной Свет памяти ПВД 30*40/50мкм ППК-9518</t>
  </si>
  <si>
    <t>ППК-9518</t>
  </si>
  <si>
    <t>4680942625187</t>
  </si>
  <si>
    <t>197025</t>
  </si>
  <si>
    <t>Пакет вырубной Синий бантик 40*31/30 мкм н00213941</t>
  </si>
  <si>
    <t>н00213941</t>
  </si>
  <si>
    <t>4630073606395</t>
  </si>
  <si>
    <t>286716</t>
  </si>
  <si>
    <t>Пакет вырубной Стелла 40*31 см/60мкм, ВУР55119</t>
  </si>
  <si>
    <t>ВУР55119</t>
  </si>
  <si>
    <t>4607182862721</t>
  </si>
  <si>
    <t>246122</t>
  </si>
  <si>
    <t>Пакет вырубной Шотландка 29х40/35 мкм,б/д ВУР59027</t>
  </si>
  <si>
    <t>ВУР59027</t>
  </si>
  <si>
    <t>4607182863933</t>
  </si>
  <si>
    <t>196933</t>
  </si>
  <si>
    <t>Пакет вырубной Экспозиция 29х40/35 мкм ,б/д ВУР51965</t>
  </si>
  <si>
    <t>ВУР51965</t>
  </si>
  <si>
    <t>4607182862066</t>
  </si>
  <si>
    <t>268503</t>
  </si>
  <si>
    <t>Пакет вырубной Яркие карандаши 40*31 см/60мкм н00292240</t>
  </si>
  <si>
    <t>н00292240</t>
  </si>
  <si>
    <t>4630201702654</t>
  </si>
  <si>
    <t>183744</t>
  </si>
  <si>
    <t>Пакет полиэтиленовый вырубной "Бенефис" (29х40 см/35мкм),б/д ВУР49406</t>
  </si>
  <si>
    <t>ВУР49406</t>
  </si>
  <si>
    <t>4607182860727</t>
  </si>
  <si>
    <t>217500</t>
  </si>
  <si>
    <t>Пакет полиэтиленовый вырубной Камуфляж 30х40/60 мкм НФ-00034026</t>
  </si>
  <si>
    <t>НФ-00034026</t>
  </si>
  <si>
    <t>4610121611496</t>
  </si>
  <si>
    <t>218184</t>
  </si>
  <si>
    <t>Пакет полиэтиленовый вырубной Очаровательные цветы 40*31/60мкм н00229385</t>
  </si>
  <si>
    <t>н00229385</t>
  </si>
  <si>
    <t>4630073608191</t>
  </si>
  <si>
    <t>260870</t>
  </si>
  <si>
    <t>Пакет полиэтиленовый вырубной "Чебурашка с вертолетом" 30*40/50 мкм ЛИЦЕНЗИЯ/Чебурашка ПИ-7802</t>
  </si>
  <si>
    <t>ПИ-7802</t>
  </si>
  <si>
    <t>4630493778023</t>
  </si>
  <si>
    <t>40см х 50см</t>
  </si>
  <si>
    <t>197093</t>
  </si>
  <si>
    <t>Пакет вырубной Прада 41х51/80 мкм НФ-00002408</t>
  </si>
  <si>
    <t>НФ-00002408</t>
  </si>
  <si>
    <t>4640012387025</t>
  </si>
  <si>
    <t>217496</t>
  </si>
  <si>
    <t>Пакет полиэтиленовый вырубной  Леопард 41х51/80 мкм НФ-00022324</t>
  </si>
  <si>
    <t>НФ-00022324</t>
  </si>
  <si>
    <t>4610121611298</t>
  </si>
  <si>
    <t>45см х 38см</t>
  </si>
  <si>
    <t>246126</t>
  </si>
  <si>
    <t>Пакет вырубной Весенний букет 38х45/60мкм ВУР51119</t>
  </si>
  <si>
    <t>ВУР51119</t>
  </si>
  <si>
    <t>4607182860895</t>
  </si>
  <si>
    <t>268507</t>
  </si>
  <si>
    <t>Пакет вырубной Желтый квадрат 45х38/60мкм н00293238</t>
  </si>
  <si>
    <t>н00293238</t>
  </si>
  <si>
    <t>4630201702845</t>
  </si>
  <si>
    <t>197054</t>
  </si>
  <si>
    <t>Пакет вырубной Кексики 45*34/33 мкм н00228276</t>
  </si>
  <si>
    <t>н00228276</t>
  </si>
  <si>
    <t>4630073607866</t>
  </si>
  <si>
    <t>286722</t>
  </si>
  <si>
    <t>Пакет вырубной Красный бант 43х36/25мкм, ВУР68706</t>
  </si>
  <si>
    <t>ВУР68706</t>
  </si>
  <si>
    <t>4607182865074</t>
  </si>
  <si>
    <t>268510</t>
  </si>
  <si>
    <t>Пакет вырубной Лила 45х38/60мкм лам н00268704</t>
  </si>
  <si>
    <t>н00268704</t>
  </si>
  <si>
    <t>4630201701619</t>
  </si>
  <si>
    <t>196930</t>
  </si>
  <si>
    <t>Пакет вырубной Совушки 36х43х3см/35 мкм ВУР51691</t>
  </si>
  <si>
    <t>ВУР51691</t>
  </si>
  <si>
    <t>4607182861700</t>
  </si>
  <si>
    <t>286721</t>
  </si>
  <si>
    <t>Пакет вырубной Танец зонтов 45х38/42мкм, ВУР69136</t>
  </si>
  <si>
    <t>ВУР69136</t>
  </si>
  <si>
    <t>4607182865517</t>
  </si>
  <si>
    <t>246130</t>
  </si>
  <si>
    <t>Пакет вырубной Шарм 38х45/60мкм ВУР51120</t>
  </si>
  <si>
    <t>ВУР51120</t>
  </si>
  <si>
    <t>4607182860888</t>
  </si>
  <si>
    <t>286723</t>
  </si>
  <si>
    <t>Пакет вырубной Шаролет 45х38/42мкм, ВУР62390</t>
  </si>
  <si>
    <t>ВУР62390</t>
  </si>
  <si>
    <t>4607182864404</t>
  </si>
  <si>
    <t>217857</t>
  </si>
  <si>
    <t>Пакет полиэтиленовый вырубной  Лавандовое поле 38х45х3см/50мкм ВУР56219</t>
  </si>
  <si>
    <t>ВУР56219</t>
  </si>
  <si>
    <t>2100003859846</t>
  </si>
  <si>
    <t>217858</t>
  </si>
  <si>
    <t>Пакет полиэтиленовый вырубной Комплимент 38х45х3см/50мкм ВУР52688</t>
  </si>
  <si>
    <t>ВУР52688</t>
  </si>
  <si>
    <t>2100003814531</t>
  </si>
  <si>
    <t>218173</t>
  </si>
  <si>
    <t>Пакет полиэтиленовый вырубной Премиальный 45*38/60мкм н00228483</t>
  </si>
  <si>
    <t>н00228483</t>
  </si>
  <si>
    <t>4630073608085</t>
  </si>
  <si>
    <t>218180</t>
  </si>
  <si>
    <t>Пакет полиэтиленовый вырубной Сила лам 45*38/60мкм н00229397</t>
  </si>
  <si>
    <t>н00229397</t>
  </si>
  <si>
    <t>4630073608290</t>
  </si>
  <si>
    <t>45см х 45см</t>
  </si>
  <si>
    <t>286724</t>
  </si>
  <si>
    <t>Пакет вырубной Цветок Граната 45х45/59мкм, ВУР66460</t>
  </si>
  <si>
    <t>ВУР66460</t>
  </si>
  <si>
    <t>4607182864367</t>
  </si>
  <si>
    <t>2 Пакеты с петлевой ручкой</t>
  </si>
  <si>
    <t>247085</t>
  </si>
  <si>
    <t>Пакет петлевой Галант 35*28/55мкм н00268696</t>
  </si>
  <si>
    <t>н00268696</t>
  </si>
  <si>
    <t>4630201701657</t>
  </si>
  <si>
    <t>217503</t>
  </si>
  <si>
    <t>Пакет петлевой Карандаши 28х34/60 мкм НФ-00002012</t>
  </si>
  <si>
    <t>НФ-00002012</t>
  </si>
  <si>
    <t>4640012387049</t>
  </si>
  <si>
    <t>104983</t>
  </si>
  <si>
    <t>Пакет петлевой Нежные розы (35*28 см) н00128913</t>
  </si>
  <si>
    <t>н00128913</t>
  </si>
  <si>
    <t>4650070134899</t>
  </si>
  <si>
    <t>217502</t>
  </si>
  <si>
    <t>Пакет петлевой Пробуждение 28х34/60 мкм НФ-00029274</t>
  </si>
  <si>
    <t>НФ-00029274</t>
  </si>
  <si>
    <t>4610121611410</t>
  </si>
  <si>
    <t>38см х 34см</t>
  </si>
  <si>
    <t>217863</t>
  </si>
  <si>
    <t>Пакет  полиэтиленовый петлевой Гран При 38х34х3см/70 мкм ПТЛ54708</t>
  </si>
  <si>
    <t>ПТЛ54708</t>
  </si>
  <si>
    <t>2100003834744</t>
  </si>
  <si>
    <t>286729</t>
  </si>
  <si>
    <t>Пакет петлевой Дунай 38*34 см/70мкм, ПТЛ62806</t>
  </si>
  <si>
    <t>ПТЛ62806</t>
  </si>
  <si>
    <t>4607182864787</t>
  </si>
  <si>
    <t>286727</t>
  </si>
  <si>
    <t>Пакет петлевой Кустовые розы 38*34 см/70мкм, ПТЛ69159</t>
  </si>
  <si>
    <t>ПТЛ69159</t>
  </si>
  <si>
    <t>4607182865371</t>
  </si>
  <si>
    <t>286728</t>
  </si>
  <si>
    <t>Пакет петлевой Лабиринт 38*34 см/70мкм, ПТЛ69160</t>
  </si>
  <si>
    <t>ПТЛ69160</t>
  </si>
  <si>
    <t>4607182865388</t>
  </si>
  <si>
    <t>217862</t>
  </si>
  <si>
    <t>Пакет полиэтиленовый петлевой Счастливый день 38х34х3см/70мкм ПТЛ54563</t>
  </si>
  <si>
    <t>ПТЛ54563</t>
  </si>
  <si>
    <t>4607182862653</t>
  </si>
  <si>
    <t>38см х 42 см</t>
  </si>
  <si>
    <t>247087</t>
  </si>
  <si>
    <t>Пакет петлевой Геометрик 42*38/37мкм н00268700</t>
  </si>
  <si>
    <t>н00268700</t>
  </si>
  <si>
    <t>4630201701640</t>
  </si>
  <si>
    <t>197056</t>
  </si>
  <si>
    <t>Пакет петлевой Изобилие пионов 42*38/37 мкм н00213103</t>
  </si>
  <si>
    <t>н00213103</t>
  </si>
  <si>
    <t>4630073606142</t>
  </si>
  <si>
    <t>268513</t>
  </si>
  <si>
    <t>Пакет петлевой Стремление 42х38/37мкм н00292560</t>
  </si>
  <si>
    <t>н00292560</t>
  </si>
  <si>
    <t>4630201702814</t>
  </si>
  <si>
    <t>40см х 37см</t>
  </si>
  <si>
    <t>197101</t>
  </si>
  <si>
    <t>Пакет петлевой Верные друзья 38х40/40 мкм НФ-00012647</t>
  </si>
  <si>
    <t>НФ-00012647</t>
  </si>
  <si>
    <t>4610121610413</t>
  </si>
  <si>
    <t>273934</t>
  </si>
  <si>
    <t>Пакет петлевой Виолетта 38х40/40 мкм НФ-00056633</t>
  </si>
  <si>
    <t>НФ-00056633</t>
  </si>
  <si>
    <t>4610121612264</t>
  </si>
  <si>
    <t>197098</t>
  </si>
  <si>
    <t>Пакет петлевой Шарм 38х40/40 мкм НФ-00022244</t>
  </si>
  <si>
    <t>НФ-00022244</t>
  </si>
  <si>
    <t>4610121611182</t>
  </si>
  <si>
    <t>40см х 44см</t>
  </si>
  <si>
    <t>097440</t>
  </si>
  <si>
    <t>Пакет полиэтиленовый Серебряные соты (44*40 см.) н00096314</t>
  </si>
  <si>
    <t>н00096314</t>
  </si>
  <si>
    <t>4607112241596</t>
  </si>
  <si>
    <t>44см х 42см</t>
  </si>
  <si>
    <t>247090</t>
  </si>
  <si>
    <t>Пакет петлевой Малина 44*42/70мкм н00117631</t>
  </si>
  <si>
    <t>н00117631</t>
  </si>
  <si>
    <t>4650070133359</t>
  </si>
  <si>
    <t>256614</t>
  </si>
  <si>
    <t>Пакет петлевой Клубника 45х45/60мкм ПТЛ51739</t>
  </si>
  <si>
    <t>ПТЛ51739</t>
  </si>
  <si>
    <t>2200003805048</t>
  </si>
  <si>
    <t>286732</t>
  </si>
  <si>
    <t>Пакет петлевой Цветочная композиция 45*45см/60мкм, ПТЛ66463</t>
  </si>
  <si>
    <t>ПТЛ66463</t>
  </si>
  <si>
    <t>4607182864374</t>
  </si>
  <si>
    <t>285477</t>
  </si>
  <si>
    <t>Пакет полиэтиленовый Самсон Л (47,5*43 см/47мкм) н00316645</t>
  </si>
  <si>
    <t>н00316645</t>
  </si>
  <si>
    <t>4630201704122</t>
  </si>
  <si>
    <t>3 Пакеты с пластиковой ручкой</t>
  </si>
  <si>
    <t>246135</t>
  </si>
  <si>
    <t>Пакет полиэтиленовый с пластиковой ручкой Ванда 38*34 см/90мкм ПЛР51822</t>
  </si>
  <si>
    <t>ПЛР51822</t>
  </si>
  <si>
    <t>4607182861762</t>
  </si>
  <si>
    <t>246138</t>
  </si>
  <si>
    <t>Пакет полиэтиленовый с пластиковой ручкой Голден 38*34 см/90мкм ПЛР51820</t>
  </si>
  <si>
    <t>ПЛР51820</t>
  </si>
  <si>
    <t>4607182861748</t>
  </si>
  <si>
    <t>286733</t>
  </si>
  <si>
    <t>Пакет полиэтиленовый с пластиковой ручкой Кустовые розы 38*34 см/90мкм, ПЛР69155</t>
  </si>
  <si>
    <t>ПЛР69155</t>
  </si>
  <si>
    <t>4607182865463</t>
  </si>
  <si>
    <t>206491</t>
  </si>
  <si>
    <t>Пакет полиэтиленовый с пластиковой ручкой Пинк 38х34х3см/90мкм ПЛР54561</t>
  </si>
  <si>
    <t>ПЛР54561</t>
  </si>
  <si>
    <t>4607182862646</t>
  </si>
  <si>
    <t>246141</t>
  </si>
  <si>
    <t>Пакет полиэтиленовый с пластиковой ручкой Радужный 38*34 см/90мкм ПЛР58834</t>
  </si>
  <si>
    <t>ПЛР58834</t>
  </si>
  <si>
    <t>4607182863896</t>
  </si>
  <si>
    <t>256610</t>
  </si>
  <si>
    <t>Пакет с пластиковыми ручками Калейдоскоп 38x34/90мкм ПЛР66537</t>
  </si>
  <si>
    <t>ПЛР66537</t>
  </si>
  <si>
    <t>4607182864428</t>
  </si>
  <si>
    <t>257193</t>
  </si>
  <si>
    <t>Пакет с пластиковыми ручками Сандра 38х34/90мкм ПЛР58457</t>
  </si>
  <si>
    <t>ПЛР58457</t>
  </si>
  <si>
    <t>4607182863742</t>
  </si>
  <si>
    <t>195067</t>
  </si>
  <si>
    <t>Пакет полиэтиленовый с пластиковой ручкой "Сладкое сердце" (38x45х3см/90мкм) ПЛР51785</t>
  </si>
  <si>
    <t>ПЛР51785</t>
  </si>
  <si>
    <t>4607182861892</t>
  </si>
  <si>
    <t>286738</t>
  </si>
  <si>
    <t>Пакет полиэтиленовый с пластиковой ручкой Дельфин 38х45/90мкм, ПЛР69150</t>
  </si>
  <si>
    <t>ПЛР69150</t>
  </si>
  <si>
    <t>4607182865449</t>
  </si>
  <si>
    <t>217868</t>
  </si>
  <si>
    <t>Пакет полиэтиленовый с пластиковой ручкой Летний цитрус 38х45х3см/90мкм ПЛР52694</t>
  </si>
  <si>
    <t>ПЛР52694</t>
  </si>
  <si>
    <t>2100003814593</t>
  </si>
  <si>
    <t>286739</t>
  </si>
  <si>
    <t>Пакет полиэтиленовый с пластиковой ручкой Цветочный вальс 38х45/90мкм, ПЛР69151</t>
  </si>
  <si>
    <t>ПЛР69151</t>
  </si>
  <si>
    <t>4607182865456</t>
  </si>
  <si>
    <t>257192</t>
  </si>
  <si>
    <t>Пакет с пластиковыми ручками Весна в городе 38х45/90мкм ПЛР58193</t>
  </si>
  <si>
    <t>ПЛР58193</t>
  </si>
  <si>
    <t>4607182863582</t>
  </si>
  <si>
    <t>256611</t>
  </si>
  <si>
    <t>Пакет с пластиковыми ручками Совершенство 38х45/90мкм ПЛР51150</t>
  </si>
  <si>
    <t>ПЛР51150</t>
  </si>
  <si>
    <t>4607182860925</t>
  </si>
  <si>
    <t>6 Пакеты гиганты</t>
  </si>
  <si>
    <t>097442</t>
  </si>
  <si>
    <t>Пакет вырубной  ПВД (57*44 см.) н00116788</t>
  </si>
  <si>
    <t>н00116788</t>
  </si>
  <si>
    <t>4650070134066</t>
  </si>
  <si>
    <t>273935</t>
  </si>
  <si>
    <t>Пакет вырубной Голубые орхидеи 58х60/120 мкм НФ-00040017</t>
  </si>
  <si>
    <t>НФ-00040017</t>
  </si>
  <si>
    <t>4610121611755</t>
  </si>
  <si>
    <t>273936</t>
  </si>
  <si>
    <t>Пакет вырубной Города России 580х600/120 мкм НФ-00044080</t>
  </si>
  <si>
    <t>НФ-00044080</t>
  </si>
  <si>
    <t>4610121612066</t>
  </si>
  <si>
    <t>286743</t>
  </si>
  <si>
    <t>Пакет петлевой Витрина 55*55 см/60 мкм, ПТЛ62415</t>
  </si>
  <si>
    <t>ПТЛ62415</t>
  </si>
  <si>
    <t>4607182864473</t>
  </si>
  <si>
    <t>184921</t>
  </si>
  <si>
    <t>Пакет полиэтиленовый вырубной  Дама в шляпе 50х60/100мкм НФ-00013358</t>
  </si>
  <si>
    <t>НФ-00013358</t>
  </si>
  <si>
    <t>4610121610154</t>
  </si>
  <si>
    <t>184926</t>
  </si>
  <si>
    <t>Пакет полиэтиленовый вырубной  Париж 50х60/100мкм НФ-00000885</t>
  </si>
  <si>
    <t>НФ-00000885</t>
  </si>
  <si>
    <t>4640012384628</t>
  </si>
  <si>
    <t>283482</t>
  </si>
  <si>
    <t>Пакет полиэтиленовый вырубной Концепт большой 20кг 60*50/100мкм  н00316366</t>
  </si>
  <si>
    <t>н00316366</t>
  </si>
  <si>
    <t>4630201704092</t>
  </si>
  <si>
    <t>03 Пластиковые пакеты</t>
  </si>
  <si>
    <t>1 Наборы</t>
  </si>
  <si>
    <t>С завязками</t>
  </si>
  <si>
    <t>266928</t>
  </si>
  <si>
    <t>Пакет подарочный "Бельчонок" 13.5*22 см,35шт завязки в комп-те ППК-7625</t>
  </si>
  <si>
    <t>ППК-7625</t>
  </si>
  <si>
    <t>4640520775215</t>
  </si>
  <si>
    <t>266926</t>
  </si>
  <si>
    <t>Пакет подарочный "Дино" 13.5*22 см,35шт завязки в комп-те ППК-7623</t>
  </si>
  <si>
    <t>ППК-7623</t>
  </si>
  <si>
    <t>4640520775192</t>
  </si>
  <si>
    <t>266932</t>
  </si>
  <si>
    <t>Пакет подарочный "Котик с ромашкой" 13.5*22 см,35шт завязки в комп-те ППК-7629</t>
  </si>
  <si>
    <t>ППК-7629</t>
  </si>
  <si>
    <t>4640520775253</t>
  </si>
  <si>
    <t>266930</t>
  </si>
  <si>
    <t>Пакет подарочный "Лев" 13.5*22 см,35шт завязки в комп-те ППК-7627</t>
  </si>
  <si>
    <t>ППК-7627</t>
  </si>
  <si>
    <t>4640520775239</t>
  </si>
  <si>
    <t>266927</t>
  </si>
  <si>
    <t>Пакет подарочный "Медвежонок" 13.5*22 см,35шт завязки в комп-те ППК-7624</t>
  </si>
  <si>
    <t>ППК-7624</t>
  </si>
  <si>
    <t>4640520775208</t>
  </si>
  <si>
    <t>266931</t>
  </si>
  <si>
    <t>Пакет подарочный "Овечка" 13.5*22 см,35шт завязки в комп-те ППК-7628</t>
  </si>
  <si>
    <t>ППК-7628</t>
  </si>
  <si>
    <t>4640520775246</t>
  </si>
  <si>
    <t>266933</t>
  </si>
  <si>
    <t>Пакет подарочный "Пингвин" 13.5*22 см,35шт завязки в комп-те ППК-7630</t>
  </si>
  <si>
    <t>ППК-7630</t>
  </si>
  <si>
    <t>4640520775260</t>
  </si>
  <si>
    <t>266934</t>
  </si>
  <si>
    <t>Пакет подарочный "Тигренок" 13.5*22 см,35шт завязки в комп-те ППК-7631</t>
  </si>
  <si>
    <t>ППК-7631</t>
  </si>
  <si>
    <t>4640520775277</t>
  </si>
  <si>
    <t>266929</t>
  </si>
  <si>
    <t>Пакет подарочный "Щенок" 13.5*22 см,35шт завязки в комп-те ППК-7626</t>
  </si>
  <si>
    <t>ППК-7626</t>
  </si>
  <si>
    <t>4640520775222</t>
  </si>
  <si>
    <t>259227</t>
  </si>
  <si>
    <t>Пакет подарочный Дружная компания. 5 дизайнов/ 35 шт. ППК-7657</t>
  </si>
  <si>
    <t>ППК-7657</t>
  </si>
  <si>
    <t>4630493776579</t>
  </si>
  <si>
    <t>266925</t>
  </si>
  <si>
    <t>Пакеты подарочные набор(2 дизайна)"Космическое приключение"13.5*22см,35шт завязки в комп-те ППК-7622</t>
  </si>
  <si>
    <t>ППК-7622</t>
  </si>
  <si>
    <t>4640520775185</t>
  </si>
  <si>
    <t>221686</t>
  </si>
  <si>
    <t>Подарочные пакеты, набор "Милый дракоша", 13.5*22 см, 35 шт.,завязки в комп-те ППК-3617</t>
  </si>
  <si>
    <t>ППК-3617</t>
  </si>
  <si>
    <t>4670159136170</t>
  </si>
  <si>
    <t>266923</t>
  </si>
  <si>
    <t>Подарочные пакеты, набор "Русалочка", 13.5*22 см,35шт завязки в комп-те ППК-7620</t>
  </si>
  <si>
    <t>ППК-7620</t>
  </si>
  <si>
    <t>4640520775161</t>
  </si>
  <si>
    <t>259231</t>
  </si>
  <si>
    <t>Подарочные пакеты, набор, "Забавные зверята", 13,5*22см, 35 шт., завязки в комп-те ППК-7658</t>
  </si>
  <si>
    <t>ППК-7658</t>
  </si>
  <si>
    <t>4630493776586</t>
  </si>
  <si>
    <t>221684</t>
  </si>
  <si>
    <t>Подарочные пакеты, набор(2 дизайна) "Яркие зайчата", 13.5*22 см, 35 шт.,завязки в комп-те ППК-3615</t>
  </si>
  <si>
    <t>ППК-3615</t>
  </si>
  <si>
    <t>4670159136156</t>
  </si>
  <si>
    <t>221685</t>
  </si>
  <si>
    <t>Подарочные пакеты, набор(4 дизайна) "Зайки с полянки", 13.5*22 см, 35 шт.,завязки в комп-те ППК-3616</t>
  </si>
  <si>
    <t>ППК-3616</t>
  </si>
  <si>
    <t>4670159136163</t>
  </si>
  <si>
    <t>221681</t>
  </si>
  <si>
    <t>Подарочные пакеты, набор(5 дизайнов) "Весёлые зверята",13.5*22см, 35 шт.,завязки в комп-те ППК-3614</t>
  </si>
  <si>
    <t>ППК-3614</t>
  </si>
  <si>
    <t>4670159136149</t>
  </si>
  <si>
    <t>02 Упаковочная бумага</t>
  </si>
  <si>
    <t>Упаковочная бумага ( 10л. в рулоне)</t>
  </si>
  <si>
    <t>273012</t>
  </si>
  <si>
    <t>Упаковочная бумага  "Котики на шарах" (70*100см, 10 л) "Собственная разработка" УБ-2457</t>
  </si>
  <si>
    <t>УБ-2457</t>
  </si>
  <si>
    <t>4680942624579</t>
  </si>
  <si>
    <t>273019</t>
  </si>
  <si>
    <t>Упаковочная бумага "Геометрия природы" (70*100см, 10 л) "Собственная разработка" УБ-2463</t>
  </si>
  <si>
    <t>УБ-2463</t>
  </si>
  <si>
    <t>4680942624630</t>
  </si>
  <si>
    <t>273016</t>
  </si>
  <si>
    <t>Упаковочная бумага "Зайки-балерины" (70*100см, 10 л) "Собственная разработка" УБ-2461</t>
  </si>
  <si>
    <t>УБ-2461</t>
  </si>
  <si>
    <t>4680942624616</t>
  </si>
  <si>
    <t>273015</t>
  </si>
  <si>
    <t>Упаковочная бумага "Магия в деталях" (70*100см, 10 л) "Собственная разработка" УБ-2460</t>
  </si>
  <si>
    <t>УБ-2460</t>
  </si>
  <si>
    <t>4680942624609</t>
  </si>
  <si>
    <t>273014</t>
  </si>
  <si>
    <t>Упаковочная бумага "Мужество в деталях"  (70*100см, 10 л) "Собственная разработка" УБ-2459</t>
  </si>
  <si>
    <t>УБ-2459</t>
  </si>
  <si>
    <t>4680942624593</t>
  </si>
  <si>
    <t>273013</t>
  </si>
  <si>
    <t>Упаковочная бумага "Подарки для тебя" (70*100см, 10 л) "Собственная разработка" УБ-2458</t>
  </si>
  <si>
    <t>УБ-2458</t>
  </si>
  <si>
    <t>4680942624586</t>
  </si>
  <si>
    <t>273017</t>
  </si>
  <si>
    <t>Упаковочная бумага "Яркое поздравление" (70*100см, 10 л) "Собственная разработка" УБ-2462</t>
  </si>
  <si>
    <t>УБ-2462</t>
  </si>
  <si>
    <t>4680942624623</t>
  </si>
  <si>
    <t>253599</t>
  </si>
  <si>
    <t>Упаковочная бумага Нежные цветы(70*100см, 10 л) "Собственная разработка"УБ-6815</t>
  </si>
  <si>
    <t>УБ-6815</t>
  </si>
  <si>
    <t>4670159268154</t>
  </si>
  <si>
    <t>Упаковочная бумага 5+0 (доп понтон золото)</t>
  </si>
  <si>
    <t>273008</t>
  </si>
  <si>
    <t>Упаковочная бумага "Артефакты волшебства" (70х100,10л, 5+0 доп пантон золото) Собств разраб. УБ-2451</t>
  </si>
  <si>
    <t>УБ-2451</t>
  </si>
  <si>
    <t>4680942624517</t>
  </si>
  <si>
    <t>273009</t>
  </si>
  <si>
    <t>Упаковочная бумага "Золотые подарки" (70х100, 10 л, 5+0 доп пантон золото) Собств разраб. УБ-2452</t>
  </si>
  <si>
    <t>УБ-2452</t>
  </si>
  <si>
    <t>4680942624524</t>
  </si>
  <si>
    <t>273010</t>
  </si>
  <si>
    <t>Упаковочная бумага "Праздник в каждом элементе"(70х100, 10л, 5+0 доп пантон золото) Соб.раз. УБ-2453</t>
  </si>
  <si>
    <t>УБ-2453</t>
  </si>
  <si>
    <t>4680942624531</t>
  </si>
  <si>
    <t>272975</t>
  </si>
  <si>
    <t>Упаковочная бумага "Праздник для всех"  70х100, 1л, (3 диз 5+0, 2 диз 4+0) Собств. разр. УБ-2471</t>
  </si>
  <si>
    <t>УБ-2471</t>
  </si>
  <si>
    <t>4680942624715</t>
  </si>
  <si>
    <t>253606</t>
  </si>
  <si>
    <t>Упаковочная бумага Стильное попурри  В АССОРТИ  (70х100, 1л, 5+0, 5 диз ) Собств. разр.УБ-6820</t>
  </si>
  <si>
    <t>УБ-6820</t>
  </si>
  <si>
    <t>4670159268208</t>
  </si>
  <si>
    <t>272976</t>
  </si>
  <si>
    <t>Упаковочная бумага" На любой случай"  В АССОРТИ  (70х100, 1л, 4+0, 5 диз ) Собс. разр. УБ-2474</t>
  </si>
  <si>
    <t>УБ-2474</t>
  </si>
  <si>
    <t>4680942624746</t>
  </si>
  <si>
    <t>03 Подарочные коробки</t>
  </si>
  <si>
    <t>01 Прямоугольные</t>
  </si>
  <si>
    <t>Набор коробок 10 в 1</t>
  </si>
  <si>
    <t>30,5 х 20 х 13 - 12 х 6,5 х 4 см</t>
  </si>
  <si>
    <t>233613</t>
  </si>
  <si>
    <t>Набор прямоугольных коробок 10 в 1 Тортик (30,5х20х13 - 12х6,5х4см)Собс.разр. КОР-9215</t>
  </si>
  <si>
    <t>КОР-9215</t>
  </si>
  <si>
    <t>4670159192152</t>
  </si>
  <si>
    <t>37,5х29х16 - 19х13х7,5 см</t>
  </si>
  <si>
    <t>257942</t>
  </si>
  <si>
    <t>Набор коробок 10 в 1 с тиснением "Зеленые листья", 19х13х7.5-37.5х29х16 КОР-7549</t>
  </si>
  <si>
    <t>КОР-7549</t>
  </si>
  <si>
    <t>4630493775497</t>
  </si>
  <si>
    <t>257945</t>
  </si>
  <si>
    <t>Набор коробок 10 в1 "Подарок", 19х13х7.5-37.5х29х16 КОР-7551</t>
  </si>
  <si>
    <t>КОР-7551</t>
  </si>
  <si>
    <t>4630493775510</t>
  </si>
  <si>
    <t>257950</t>
  </si>
  <si>
    <t>Набор коробок 10 в1 с тиснением "День Рождения", 19х13х7.5-37.5х29х16 КОР-7553</t>
  </si>
  <si>
    <t>КОР-7553</t>
  </si>
  <si>
    <t>4630493775534</t>
  </si>
  <si>
    <t>02 Квадратные</t>
  </si>
  <si>
    <t>Набор коробок 11 в 1</t>
  </si>
  <si>
    <t>25,5*25,5*13 - 5,5*5,5*2,5 см</t>
  </si>
  <si>
    <t>233625</t>
  </si>
  <si>
    <t>Набор квадратных коробок 11 в 1 Птички на ветке (25,5*25,5*13 - 5,5*5,5*2,5см)Собс.разр. КОР-9227</t>
  </si>
  <si>
    <t>КОР-9227</t>
  </si>
  <si>
    <t>4670159192275</t>
  </si>
  <si>
    <t>19,5 х 19,5 х 11 см - 15,5 х 15,5 х 9 см</t>
  </si>
  <si>
    <t>233544</t>
  </si>
  <si>
    <t>Набор квадратных коробок 3 в 1 Птички на ветке (19,5*19,5*11см - 15,5*15,5*9см) Собс. разр. КОР-9187</t>
  </si>
  <si>
    <t>КОР-9187</t>
  </si>
  <si>
    <t>4670159191872</t>
  </si>
  <si>
    <t>04 Наборы коробок с декором</t>
  </si>
  <si>
    <t>Коробки с лентой</t>
  </si>
  <si>
    <t>259219</t>
  </si>
  <si>
    <t>Набор прямоугольных коробок, с бантом, 3 в 1, красные, (19х19х9,17х17х8,15х15х7см) КОР-7672</t>
  </si>
  <si>
    <t>КОР-7672</t>
  </si>
  <si>
    <t>4630493776722</t>
  </si>
  <si>
    <t>259218</t>
  </si>
  <si>
    <t>Набор прямоугольных коробок, с бантом, 3 в 1, серо-голубые, (19х19х9,17х17х8,15х15х7см) КОР-7671</t>
  </si>
  <si>
    <t>КОР-7671</t>
  </si>
  <si>
    <t>4630493776715</t>
  </si>
  <si>
    <t>259221</t>
  </si>
  <si>
    <t>Набор прямоугольных коробок, с бантом, 3 в 1, сине-голубые, (19х19х9,17х17х8,15х15х7см) КОР-7673</t>
  </si>
  <si>
    <t>КОР-7673</t>
  </si>
  <si>
    <t>4630493776739</t>
  </si>
  <si>
    <t>259195</t>
  </si>
  <si>
    <t>Набор прямоугольных коробок, с бантом 3 в 1, красно-белые (23х16х9,21х14х8,19х12х7см) КОР-7661</t>
  </si>
  <si>
    <t>КОР-7661</t>
  </si>
  <si>
    <t>4630493776616</t>
  </si>
  <si>
    <t>259213</t>
  </si>
  <si>
    <t>Набор прямоугольных коробок, с бантом, 3 в 1, коричневые, (29х21х9,26х19х8,23х17х7см) КОР-7670</t>
  </si>
  <si>
    <t>КОР-7670</t>
  </si>
  <si>
    <t>4630493776708</t>
  </si>
  <si>
    <t>259212</t>
  </si>
  <si>
    <t>Набор прямоугольных коробок, с бантом, 3 в 1, розовые, (29х21х9,26х19х8,23х17х7см) КОР-7669</t>
  </si>
  <si>
    <t>КОР-7669</t>
  </si>
  <si>
    <t>4630493776692</t>
  </si>
  <si>
    <t>259204</t>
  </si>
  <si>
    <t>Набор прямоугольных коробок, с бантом, 3 в 1, серебристо-чёрные, (23х16х9,21х14х8,19х12х7см)КОР-7666</t>
  </si>
  <si>
    <t>КОР-7666</t>
  </si>
  <si>
    <t>4630493776661</t>
  </si>
  <si>
    <t>259201</t>
  </si>
  <si>
    <t>Набор прямоугольных коробок, с бантом, 3 в 1, сине-белые, (23х16х9,21х14х8,19х12х7см) КОР-7665</t>
  </si>
  <si>
    <t>КОР-7665</t>
  </si>
  <si>
    <t>4630493776654</t>
  </si>
  <si>
    <t>259207</t>
  </si>
  <si>
    <t>Набор прямоугольных коробок, с бантом, 3 в 1, сине-белые, (23х16х9,21х14х8,19х12х7см) КОР-7667</t>
  </si>
  <si>
    <t>КОР-7667</t>
  </si>
  <si>
    <t>4630493776678</t>
  </si>
  <si>
    <t>259200</t>
  </si>
  <si>
    <t>Набор прямоугольных коробок, с бантом, 3 в 1, синие, (23х16х9,21х14х8,19х12х7см) КОР-7664</t>
  </si>
  <si>
    <t>КОР-7664</t>
  </si>
  <si>
    <t>4630493776647</t>
  </si>
  <si>
    <t>259198</t>
  </si>
  <si>
    <t>Набор прямоугольных коробок, с бантом, 3 в 1, сиренево-розовые (23х16х9,21х14х8,19х12х7см) КОР-7662</t>
  </si>
  <si>
    <t>КОР-7662</t>
  </si>
  <si>
    <t>4630493776623</t>
  </si>
  <si>
    <t>Круглые</t>
  </si>
  <si>
    <t>275332</t>
  </si>
  <si>
    <t>Набор подарочных  круглых  коробок 3 в 1 "Розовая нежность", 16.5х16.5х7  - 20.5х20.5х9 см КОР-3497</t>
  </si>
  <si>
    <t>КОР-3497</t>
  </si>
  <si>
    <t>4680942634974</t>
  </si>
  <si>
    <t>275330</t>
  </si>
  <si>
    <t>Набор подарочных  круглых коробок 3 в 1 "Классика", 16.5х16.5х7  - 20.5х20.5х9 см КОР-3496</t>
  </si>
  <si>
    <t>КОР-3496</t>
  </si>
  <si>
    <t>4680942634967</t>
  </si>
  <si>
    <t>275328</t>
  </si>
  <si>
    <t>Набор подарочных  круглых коробок 3в1 с тиснением "Нежный цветок" 16.5х16.5х7-20.5х20.5х9см КОР-3494</t>
  </si>
  <si>
    <t>КОР-3494</t>
  </si>
  <si>
    <t>4680942634943</t>
  </si>
  <si>
    <t>275329</t>
  </si>
  <si>
    <t>Набор подарочных круглых коробок 3в1с тиснением"Золотистые бабочки"16.5х16.5х7-20.5х20.5х9смКОР-3495</t>
  </si>
  <si>
    <t>КОР-3495</t>
  </si>
  <si>
    <t>4680942634950</t>
  </si>
  <si>
    <t>Сердце</t>
  </si>
  <si>
    <t>234099</t>
  </si>
  <si>
    <t>Набор коробок в форме сердца  3 в 1 "Вечная любовь",  22*20*9, 19*17*7, 16*14*6см КОР-9425</t>
  </si>
  <si>
    <t>КОР-9425</t>
  </si>
  <si>
    <t>4670159194255</t>
  </si>
  <si>
    <t>234096</t>
  </si>
  <si>
    <t>Набор коробок в форме сердца  3 в 1 "Первая влюбленность",  22*20*9, 19*17*7, 16*14*6см КОР-9422</t>
  </si>
  <si>
    <t>КОР-9422</t>
  </si>
  <si>
    <t>4670159194224</t>
  </si>
  <si>
    <t>234100</t>
  </si>
  <si>
    <t>Набор коробок в форме сердца  3 в 1 "Первая любовь",  22*20*9, 19*17*7, 16*14*6см КОР-9426</t>
  </si>
  <si>
    <t>КОР-9426</t>
  </si>
  <si>
    <t>4670159194262</t>
  </si>
  <si>
    <t>210832</t>
  </si>
  <si>
    <t>Набор коробок в форме сердца 3 в 1 "Алое сердце",16х14х6-22х20х9см КОР-7819</t>
  </si>
  <si>
    <t>КОР-7819</t>
  </si>
  <si>
    <t>4670159078197</t>
  </si>
  <si>
    <t>266830</t>
  </si>
  <si>
    <t>Набор коробок в форме сердца 3 в 1 "Воздушные сердца", 16х18,3х7-20х22,3х9 см КОР-7511</t>
  </si>
  <si>
    <t>КОР-7511</t>
  </si>
  <si>
    <t>4640520775116</t>
  </si>
  <si>
    <t>210836</t>
  </si>
  <si>
    <t>Набор коробок в форме сердца 3 в 1 "Любовные сердца", 16*14*6-22*20*9 см КОР-7821</t>
  </si>
  <si>
    <t>КОР-7821</t>
  </si>
  <si>
    <t>4670159078210</t>
  </si>
  <si>
    <t>266828</t>
  </si>
  <si>
    <t>Набор коробок в форме сердца 3 в 1 "Милые бантики", 16х18,3х7-20х22,3х9 см КОР-7510</t>
  </si>
  <si>
    <t>КОР-7510</t>
  </si>
  <si>
    <t>4640520775109</t>
  </si>
  <si>
    <t>266832</t>
  </si>
  <si>
    <t>Набор коробок в форме сердца 3 в 1 "Мишка с букетом", 16х18,3х7-20х22,3х9 см КОР-7512</t>
  </si>
  <si>
    <t>КОР-7512</t>
  </si>
  <si>
    <t>4640520775123</t>
  </si>
  <si>
    <t>266833</t>
  </si>
  <si>
    <t>Набор коробок в форме сердца 3 в 1 "Прелестные бабочки", 16х18,3х7-20х22,3х9 см КОР-7513</t>
  </si>
  <si>
    <t>КОР-7513</t>
  </si>
  <si>
    <t>4640520775130</t>
  </si>
  <si>
    <t>210835</t>
  </si>
  <si>
    <t>Набор коробок в форме сердца с пластик. окном 3в1 "Романтичное настроение",6*14*6-22*20*9см КОР-7820</t>
  </si>
  <si>
    <t>КОР-7820</t>
  </si>
  <si>
    <t>4670159078203</t>
  </si>
  <si>
    <t>234097</t>
  </si>
  <si>
    <t>Набор подарочных коробок 3 в 1 "Все для тебя",  22*20*9, 19*17*7, 16*14*6см КОР-9423</t>
  </si>
  <si>
    <t>КОР-9423</t>
  </si>
  <si>
    <t>4670159194231</t>
  </si>
  <si>
    <t>275325</t>
  </si>
  <si>
    <t>Набор подарочных коробок 3 в 1 "Сердце из роз" 16х18.3х7 - 20х22.3х9  см КОР-3491</t>
  </si>
  <si>
    <t>КОР-3491</t>
  </si>
  <si>
    <t>4680942634912</t>
  </si>
  <si>
    <t>275327</t>
  </si>
  <si>
    <t>Набор подарочных коробок 3 в 1 с тиснением "Любовь", 16х18.3х7 - 20х22.3х9  см КОР-3493</t>
  </si>
  <si>
    <t>КОР-3493</t>
  </si>
  <si>
    <t>4680942634936</t>
  </si>
  <si>
    <t>275326</t>
  </si>
  <si>
    <t>Набор подарочных коробок 3 в 1 с тиснением "Нежность", 16х18.3х7 - 20х22.3х9  см КОР-3492</t>
  </si>
  <si>
    <t>КОР-3492</t>
  </si>
  <si>
    <t>4680942634929</t>
  </si>
  <si>
    <t>Фигурные</t>
  </si>
  <si>
    <t>266835</t>
  </si>
  <si>
    <t>Набор подарочных коробок 3 в 1 "Нежные цветы", 13,7х15,7х7-17,5х20х9 см КОР-7514</t>
  </si>
  <si>
    <t>КОР-7514</t>
  </si>
  <si>
    <t>4640520775147</t>
  </si>
  <si>
    <t>266836</t>
  </si>
  <si>
    <t>Набор подарочных коробок 3 в 1 "Розовые бантики", 13,7х15,7х7-17,5х20х9 см КОР-7515</t>
  </si>
  <si>
    <t>КОР-7515</t>
  </si>
  <si>
    <t>4640520775154</t>
  </si>
  <si>
    <t>05 Аксессуары для упаковки</t>
  </si>
  <si>
    <t>Банты</t>
  </si>
  <si>
    <t>096686</t>
  </si>
  <si>
    <t>Бант-бабочка Золотые линии (3 см.) белый БЛ-8083</t>
  </si>
  <si>
    <t>БЛ-8083</t>
  </si>
  <si>
    <t>4665306680835</t>
  </si>
  <si>
    <t>096689</t>
  </si>
  <si>
    <t>Бант-бабочка Золотые линии (3 см.) желтый БЛ-8086</t>
  </si>
  <si>
    <t>БЛ-8086</t>
  </si>
  <si>
    <t>4665306680866</t>
  </si>
  <si>
    <t>096693</t>
  </si>
  <si>
    <t>Бант-бабочка Классика (3 см.) розовый БЛ-8090</t>
  </si>
  <si>
    <t>БЛ-8090</t>
  </si>
  <si>
    <t>4665306680903</t>
  </si>
  <si>
    <t>096690</t>
  </si>
  <si>
    <t>Бант-бабочка Классика (3 см.) синий  БЛ-8087</t>
  </si>
  <si>
    <t>БЛ-8087</t>
  </si>
  <si>
    <t>4665306680873</t>
  </si>
  <si>
    <t>122787</t>
  </si>
  <si>
    <t>Бант-бабочка с принтом Горошек, 3 см, красный БЛ-6496</t>
  </si>
  <si>
    <t>БЛ-6496</t>
  </si>
  <si>
    <t>4665307364963</t>
  </si>
  <si>
    <t>Ленты</t>
  </si>
  <si>
    <t>Атласные</t>
  </si>
  <si>
    <t>122510</t>
  </si>
  <si>
    <t>Лента упаковочная атласная Классика, 12 мм х 22 м,желтый БЛ-5611</t>
  </si>
  <si>
    <t>БЛ-5611</t>
  </si>
  <si>
    <t>4665308727453</t>
  </si>
  <si>
    <t>122503</t>
  </si>
  <si>
    <t>Лента упаковочная атласная Классика, 12 мм х 22 м,красный БЛ-5604</t>
  </si>
  <si>
    <t>БЛ-5604</t>
  </si>
  <si>
    <t>4665307356043</t>
  </si>
  <si>
    <t>122512</t>
  </si>
  <si>
    <t>Лента упаковочная атласная Классика, 12 мм х 22 м,малиновый БЛ-5613</t>
  </si>
  <si>
    <t>БЛ-5613</t>
  </si>
  <si>
    <t>4665308727460</t>
  </si>
  <si>
    <t>122504</t>
  </si>
  <si>
    <t>Лента упаковочная атласная Классика, 12 мм х 22 м,синий БЛ-5605</t>
  </si>
  <si>
    <t>БЛ-5605</t>
  </si>
  <si>
    <t>4665308727538</t>
  </si>
  <si>
    <t>122509</t>
  </si>
  <si>
    <t>Лента упаковочная атласная Классика, 12 мм х 22 м,фиолетовый БЛ-5610</t>
  </si>
  <si>
    <t>БЛ-5610</t>
  </si>
  <si>
    <t>4665308727545</t>
  </si>
  <si>
    <t>122519</t>
  </si>
  <si>
    <t>Лента упаковочная атласная Классика,25 мм х 22 м,фиолетовый БЛ-5620</t>
  </si>
  <si>
    <t>БЛ-5620</t>
  </si>
  <si>
    <t>4665308727514</t>
  </si>
  <si>
    <t>Полипропиленовые</t>
  </si>
  <si>
    <t>108830</t>
  </si>
  <si>
    <t>Лента декоративная  синяя 5мм*500м ЛД-1969</t>
  </si>
  <si>
    <t>ЛД-1969</t>
  </si>
  <si>
    <t>4665306719696</t>
  </si>
  <si>
    <t>108822</t>
  </si>
  <si>
    <t>Лента декоративная белая 5мм*500м ЛД-1961</t>
  </si>
  <si>
    <t>ЛД-1961</t>
  </si>
  <si>
    <t>4665306719610</t>
  </si>
  <si>
    <t>108834</t>
  </si>
  <si>
    <t>Лента декоративная желтая  5мм*500м ЛД-1973</t>
  </si>
  <si>
    <t>ЛД-1973</t>
  </si>
  <si>
    <t>4665306719733</t>
  </si>
  <si>
    <t>108832</t>
  </si>
  <si>
    <t>Лента декоративная золотая 5мм*500м ЛД-1971</t>
  </si>
  <si>
    <t>ЛД-1971</t>
  </si>
  <si>
    <t>4665306719719</t>
  </si>
  <si>
    <t>108827</t>
  </si>
  <si>
    <t>Лента декоративная красная 5мм*500м ЛД-1966</t>
  </si>
  <si>
    <t>ЛД-1966</t>
  </si>
  <si>
    <t>4665306719665</t>
  </si>
  <si>
    <t>108828</t>
  </si>
  <si>
    <t>Лента декоративная оранжевая 5мм*500м ЛД-1967</t>
  </si>
  <si>
    <t>ЛД-1967</t>
  </si>
  <si>
    <t>4665306719672</t>
  </si>
  <si>
    <t>108823</t>
  </si>
  <si>
    <t>Лента декоративная розовая  5мм*500м ЛД-1962</t>
  </si>
  <si>
    <t>ЛД-1962</t>
  </si>
  <si>
    <t>4665306719627</t>
  </si>
  <si>
    <t>108831</t>
  </si>
  <si>
    <t>Лента декоративная фиолетовая  5мм*500м  ЛД-1970</t>
  </si>
  <si>
    <t>ЛД-1970</t>
  </si>
  <si>
    <t>4665306719702</t>
  </si>
  <si>
    <t>108824</t>
  </si>
  <si>
    <t>Лента декоративная фуксия 5мм*500м ЛД-1963</t>
  </si>
  <si>
    <t>ЛД-1963</t>
  </si>
  <si>
    <t>4665306719634</t>
  </si>
  <si>
    <t>222708</t>
  </si>
  <si>
    <t>Лента декоративная, золотистая, 5мм*250м БЛ-3957</t>
  </si>
  <si>
    <t>БЛ-3957</t>
  </si>
  <si>
    <t>4670159139577</t>
  </si>
  <si>
    <t>222709</t>
  </si>
  <si>
    <t>Лента декоративная, серебристая, 5мм*250м БЛ-3958</t>
  </si>
  <si>
    <t>БЛ-3958</t>
  </si>
  <si>
    <t>4670159139584</t>
  </si>
  <si>
    <t>Репсовые</t>
  </si>
  <si>
    <t>122526</t>
  </si>
  <si>
    <t>Лента упаковочная репсовая Классика, 12 мм х 22 м,белый БЛ-5627</t>
  </si>
  <si>
    <t>БЛ-5627</t>
  </si>
  <si>
    <t>4665307356272</t>
  </si>
  <si>
    <t>122528</t>
  </si>
  <si>
    <t>Лента упаковочная репсовая Классика, 12 мм х 22 м,зеленый БЛ-5629</t>
  </si>
  <si>
    <t>БЛ-5629</t>
  </si>
  <si>
    <t>4665308727583</t>
  </si>
  <si>
    <t>122523</t>
  </si>
  <si>
    <t>Лента упаковочная репсовая Классика, 12 мм х 22 м,красный БЛ-5624</t>
  </si>
  <si>
    <t>БЛ-5624</t>
  </si>
  <si>
    <t>4665307356241</t>
  </si>
  <si>
    <t>Набор для оформления подарков</t>
  </si>
  <si>
    <t>163647</t>
  </si>
  <si>
    <t>Набор декоративных лент для оформления подарков Бело-красный набор, 1х13х9,5 БЛ-0393</t>
  </si>
  <si>
    <t>БЛ-0393</t>
  </si>
  <si>
    <t>4610144803939</t>
  </si>
  <si>
    <t>163665</t>
  </si>
  <si>
    <t>Набор декоративных лент для оформления подарков Модные цвета, 1х13х9,5 БЛ-0401</t>
  </si>
  <si>
    <t>БЛ-0401</t>
  </si>
  <si>
    <t>4610144804011</t>
  </si>
  <si>
    <t>163588</t>
  </si>
  <si>
    <t>Набор для оформления подарков Нежный голубой, 3 банта+3 ленты 15мм*1,5м БЛ-0381</t>
  </si>
  <si>
    <t>БЛ-0381</t>
  </si>
  <si>
    <t>4610144803816</t>
  </si>
  <si>
    <t>163573</t>
  </si>
  <si>
    <t>Набор для оформления подарков Серебряный,  2 банта+3 ленты 15мм*1,5м БЛ-0377</t>
  </si>
  <si>
    <t>БЛ-0377</t>
  </si>
  <si>
    <t>4610144803779</t>
  </si>
  <si>
    <t>Наполнитель для подарочных коробок</t>
  </si>
  <si>
    <t>100 г</t>
  </si>
  <si>
    <t>111331</t>
  </si>
  <si>
    <t>Бумажный наполнитель белый, 100г, ширина 2 мм НБ-2119</t>
  </si>
  <si>
    <t>НБ-2119</t>
  </si>
  <si>
    <t>4665306721194</t>
  </si>
  <si>
    <t>111325</t>
  </si>
  <si>
    <t>Бумажный наполнитель Интенсив желтый, 100г, ширина 2 мм НБ-2113</t>
  </si>
  <si>
    <t>НБ-2113</t>
  </si>
  <si>
    <t>4665306721132</t>
  </si>
  <si>
    <t>111319</t>
  </si>
  <si>
    <t>Бумажный наполнитель Интенсив зеленый, 100г, ширина 2 мм НБ-2109</t>
  </si>
  <si>
    <t>НБ-2109</t>
  </si>
  <si>
    <t>4665306721095</t>
  </si>
  <si>
    <t>111321</t>
  </si>
  <si>
    <t>Бумажный наполнитель Интенсив красный, 100г, ширина 2 мм НБ-2110</t>
  </si>
  <si>
    <t>НБ-2110</t>
  </si>
  <si>
    <t>4665306721101</t>
  </si>
  <si>
    <t>111324</t>
  </si>
  <si>
    <t>Бумажный наполнитель Интенсив оранжевый, 100г, ширина 2 мм НБ-2112</t>
  </si>
  <si>
    <t>НБ-2112</t>
  </si>
  <si>
    <t>4665306721125</t>
  </si>
  <si>
    <t>111323</t>
  </si>
  <si>
    <t>Бумажный наполнитель Интенсив синий, 100г, ширина 2 мм НБ-2111</t>
  </si>
  <si>
    <t>НБ-2111</t>
  </si>
  <si>
    <t>4665306721118</t>
  </si>
  <si>
    <t>111326</t>
  </si>
  <si>
    <t>Бумажный наполнитель Интенсив фиолетовый, 100г, ширина 2 мм НБ-2114</t>
  </si>
  <si>
    <t>НБ-2114</t>
  </si>
  <si>
    <t>4665306721149</t>
  </si>
  <si>
    <t>111334</t>
  </si>
  <si>
    <t>Бумажный наполнитель Микс Интенсив (желтый, голубой), 100г, ширина 2 мм НБ-2122</t>
  </si>
  <si>
    <t>НБ-2122</t>
  </si>
  <si>
    <t>4665306721224</t>
  </si>
  <si>
    <t>111335</t>
  </si>
  <si>
    <t>Бумажный наполнитель Микс Интенсив (фиолетовый, розовый), 100г, ширина 2 мм НБ-2123</t>
  </si>
  <si>
    <t>НБ-2123</t>
  </si>
  <si>
    <t>4665306721231</t>
  </si>
  <si>
    <t>111333</t>
  </si>
  <si>
    <t>Бумажный наполнитель Микс Пастель (желтый, голубой), 100г, ширина 2 мм НБ-2121</t>
  </si>
  <si>
    <t>НБ-2121</t>
  </si>
  <si>
    <t>4665306721217</t>
  </si>
  <si>
    <t>111332</t>
  </si>
  <si>
    <t>Бумажный наполнитель Микс Пастель (персиковый, розовый), 100г, ширина 2 мм НБ-2120</t>
  </si>
  <si>
    <t>НБ-2120</t>
  </si>
  <si>
    <t>4665306721200</t>
  </si>
  <si>
    <t>111312</t>
  </si>
  <si>
    <t>Бумажный наполнитель Пастель голубой, 100г, ширина 2 мм НБ-2106</t>
  </si>
  <si>
    <t>НБ-2106</t>
  </si>
  <si>
    <t>4665306721064</t>
  </si>
  <si>
    <t>111317</t>
  </si>
  <si>
    <t>Бумажный наполнитель Пастель желтый, 100г, ширина 2 мм НБ-2108</t>
  </si>
  <si>
    <t>НБ-2108</t>
  </si>
  <si>
    <t>4665306721088</t>
  </si>
  <si>
    <t>111305</t>
  </si>
  <si>
    <t>Бумажный наполнитель Пастель зеленый, 100г, ширина 2 мм НБ-2104</t>
  </si>
  <si>
    <t>НБ-2104</t>
  </si>
  <si>
    <t>4665306721040</t>
  </si>
  <si>
    <t>111314</t>
  </si>
  <si>
    <t>Бумажный наполнитель Пастель персиковый, 100г, ширина 2 мм НБ-2107</t>
  </si>
  <si>
    <t>НБ-2107</t>
  </si>
  <si>
    <t>4665306721071</t>
  </si>
  <si>
    <t>111311</t>
  </si>
  <si>
    <t>Бумажный наполнитель Пастель розовый, 100г, ширина 2 мм НБ-2105</t>
  </si>
  <si>
    <t>НБ-2105</t>
  </si>
  <si>
    <t>4665306721057</t>
  </si>
  <si>
    <t>152765</t>
  </si>
  <si>
    <t>Бумажный наполнитель пергамент, 100г, ширина 2 мм НБ-6508</t>
  </si>
  <si>
    <t>НБ-6508</t>
  </si>
  <si>
    <t>4680088465081</t>
  </si>
  <si>
    <t>500 г</t>
  </si>
  <si>
    <t>259154</t>
  </si>
  <si>
    <t>Бумажный наполнитель , Белый, 500гр, ширина 2 мм НБ-7652</t>
  </si>
  <si>
    <t>НБ-7652</t>
  </si>
  <si>
    <t>4630493776524</t>
  </si>
  <si>
    <t>259155</t>
  </si>
  <si>
    <t>Бумажный наполнитель ,Крафт, 500гр, ширина 2 мм НБ-7653</t>
  </si>
  <si>
    <t>НБ-7653</t>
  </si>
  <si>
    <t>4630493776531</t>
  </si>
  <si>
    <t>06 Плёнка прозрачная</t>
  </si>
  <si>
    <t>249561</t>
  </si>
  <si>
    <t>Пленка прозрачная "Горох", белый 0,7*7,5м 40 мкм 0,200кг  853937</t>
  </si>
  <si>
    <t>853937</t>
  </si>
  <si>
    <t>2000999853937</t>
  </si>
  <si>
    <t>249564</t>
  </si>
  <si>
    <t>Пленка прозрачная "Крафтовый горох", белый 0,7*7,5м 40 мкм 0,200кг 633201</t>
  </si>
  <si>
    <t>633201</t>
  </si>
  <si>
    <t>2000999633201</t>
  </si>
  <si>
    <t>249558</t>
  </si>
  <si>
    <t>Пленка прозрачная "Сердечки контурные", красные 0,7*7,5м 40 мкм 0,200кг 991356</t>
  </si>
  <si>
    <t>991356</t>
  </si>
  <si>
    <t>2000999991356</t>
  </si>
  <si>
    <t>249559</t>
  </si>
  <si>
    <t>Пленка прозрачная "Сердечки контурные", розовые 0,7*7,5м 40 мкм 0,200кг 991219</t>
  </si>
  <si>
    <t>991219</t>
  </si>
  <si>
    <t>2000999991219</t>
  </si>
  <si>
    <t>249563</t>
  </si>
  <si>
    <t>Пленка прозрачная Полоски белые 0,7*7,5м 40 мкм 0,200кг 655975</t>
  </si>
  <si>
    <t>655975</t>
  </si>
  <si>
    <t>2000999655975</t>
  </si>
  <si>
    <t>05 ДОН КАРНАВАЛ</t>
  </si>
  <si>
    <t>01 Праздничная посуда</t>
  </si>
  <si>
    <t xml:space="preserve">    Тарелки</t>
  </si>
  <si>
    <t>Тарелки (17-18 см., 6 шт.)</t>
  </si>
  <si>
    <t>Флоупак</t>
  </si>
  <si>
    <t>245651</t>
  </si>
  <si>
    <t>Бумажные тарелки С днём рождения (18 см,6 шт),флоупак ТМ-2122</t>
  </si>
  <si>
    <t>ТМ-2122</t>
  </si>
  <si>
    <t>4640306921225</t>
  </si>
  <si>
    <t>245656</t>
  </si>
  <si>
    <t>Бумажные тарелки Торжество (18 см,6 шт),флоупак ТМ-2127</t>
  </si>
  <si>
    <t>ТМ-2127</t>
  </si>
  <si>
    <t>4640306921270</t>
  </si>
  <si>
    <t>Тарелки (18 см ,12шт) флоупак</t>
  </si>
  <si>
    <t>282832</t>
  </si>
  <si>
    <t>Бумажные тарелки Воздушные путешествия (18 см, 12шт), флоупак.ТМ-6516</t>
  </si>
  <si>
    <t>ТМ-6516</t>
  </si>
  <si>
    <t>4680942665169</t>
  </si>
  <si>
    <t>282828</t>
  </si>
  <si>
    <t>Бумажные тарелки Волшебного праздника  (18 см, 12 шт), флоупак.ТМ-6512</t>
  </si>
  <si>
    <t>ТМ-6512</t>
  </si>
  <si>
    <t>4680942665121</t>
  </si>
  <si>
    <t>282829</t>
  </si>
  <si>
    <t>Бумажные тарелки Конфетти (18 см, 12 шт), флоупак.ТМ-6513</t>
  </si>
  <si>
    <t>ТМ-6513</t>
  </si>
  <si>
    <t>4680942665138</t>
  </si>
  <si>
    <t>282831</t>
  </si>
  <si>
    <t>Бумажные тарелки Котики  (18 см, 12 шт), флоупак.ТМ-6515</t>
  </si>
  <si>
    <t>ТМ-6515</t>
  </si>
  <si>
    <t>4680942665152</t>
  </si>
  <si>
    <t>282834</t>
  </si>
  <si>
    <t>Бумажные тарелки Машинки (18 см, 12шт), флоупак.ТМ-6518</t>
  </si>
  <si>
    <t>ТМ-6518</t>
  </si>
  <si>
    <t>4680942665183</t>
  </si>
  <si>
    <t>282835</t>
  </si>
  <si>
    <t>Бумажные тарелки Милота (18 см, 12шт), флоупак.ТМ-6519</t>
  </si>
  <si>
    <t>ТМ-6519</t>
  </si>
  <si>
    <t>4680942665190</t>
  </si>
  <si>
    <t>282830</t>
  </si>
  <si>
    <t>Бумажные тарелки Нежный кролик (18 см, 12 шт), флоупак.ТМ-6514</t>
  </si>
  <si>
    <t>ТМ-6514</t>
  </si>
  <si>
    <t>4680942665145</t>
  </si>
  <si>
    <t>282833</t>
  </si>
  <si>
    <t>Бумажные тарелки С днем Рождения! (18 см, 12шт), флоупак.ТМ-6517</t>
  </si>
  <si>
    <t>ТМ-6517</t>
  </si>
  <si>
    <t>4680942665176</t>
  </si>
  <si>
    <t>Тарелки (23 см ,12шт) флоупак</t>
  </si>
  <si>
    <t>282843</t>
  </si>
  <si>
    <t>Бумажные тарелки Веселого праздника (23 см, 12шт), флоупак.ТБ-6535</t>
  </si>
  <si>
    <t>ТБ-6535</t>
  </si>
  <si>
    <t>4680942665350</t>
  </si>
  <si>
    <t>282841</t>
  </si>
  <si>
    <t>Бумажные тарелки Воздушные путешествия (23 см, 12шт), флоупак.ТБ-6533</t>
  </si>
  <si>
    <t>ТБ-6533</t>
  </si>
  <si>
    <t>4680942665336</t>
  </si>
  <si>
    <t>282836</t>
  </si>
  <si>
    <t>Бумажные тарелки Волшебного праздника (23 см, 12шт), флоупак.ТБ-6528</t>
  </si>
  <si>
    <t>ТБ-6528</t>
  </si>
  <si>
    <t>4680942665282</t>
  </si>
  <si>
    <t>282842</t>
  </si>
  <si>
    <t>Бумажные тарелки Конфетти (23 см, 12шт), флоупак.ТБ-6534</t>
  </si>
  <si>
    <t>ТБ-6534</t>
  </si>
  <si>
    <t>4680942665343</t>
  </si>
  <si>
    <t>282840</t>
  </si>
  <si>
    <t>Бумажные тарелки Котики (23 см, 12шт), флоупак.ТБ-6532</t>
  </si>
  <si>
    <t>ТБ-6532</t>
  </si>
  <si>
    <t>4680942665329</t>
  </si>
  <si>
    <t>282838</t>
  </si>
  <si>
    <t>Бумажные тарелки Машинки (23 см, 12шт), флоупак.ТБ-6530</t>
  </si>
  <si>
    <t>ТБ-6530</t>
  </si>
  <si>
    <t>4680942665305</t>
  </si>
  <si>
    <t>282839</t>
  </si>
  <si>
    <t>Бумажные тарелки Милота (23 см, 12шт), флоупак.ТБ-6531</t>
  </si>
  <si>
    <t>ТБ-6531</t>
  </si>
  <si>
    <t>4680942665312</t>
  </si>
  <si>
    <t>282837</t>
  </si>
  <si>
    <t>Бумажные тарелки Нежный кролик (23 см, 12шт), флоупак.ТБ-6529</t>
  </si>
  <si>
    <t>ТБ-6529</t>
  </si>
  <si>
    <t>4680942665299</t>
  </si>
  <si>
    <t>282844</t>
  </si>
  <si>
    <t>Бумажные тарелки С днем Рождения! (23 см, 12шт), флоупак.ТБ-6536</t>
  </si>
  <si>
    <t>ТБ-6536</t>
  </si>
  <si>
    <t>4680942665367</t>
  </si>
  <si>
    <t>Тарелки (23 см., 6 шт.)</t>
  </si>
  <si>
    <t>245660</t>
  </si>
  <si>
    <t>Бумажные тарелки Звёздочки и конфетти (23 см, 6 шт),флоупак ТБ-2131</t>
  </si>
  <si>
    <t>ТБ-2131</t>
  </si>
  <si>
    <t>4640306921317</t>
  </si>
  <si>
    <t>245662</t>
  </si>
  <si>
    <t>Бумажные тарелки Карусель (23 см, 6 шт),флоупак ТБ-2133</t>
  </si>
  <si>
    <t>ТБ-2133</t>
  </si>
  <si>
    <t>4640306921331</t>
  </si>
  <si>
    <t>245658</t>
  </si>
  <si>
    <t>Бумажные тарелки Лисички (23 см, 6 шт),флоупак ТБ-2129</t>
  </si>
  <si>
    <t>ТБ-2129</t>
  </si>
  <si>
    <t>4640306921294</t>
  </si>
  <si>
    <t xml:space="preserve">   Стаканы</t>
  </si>
  <si>
    <t>Стаканы бумажные (250 мл, 6 шт) флоупак</t>
  </si>
  <si>
    <t>245872</t>
  </si>
  <si>
    <t>Стаканы бумажные Звездный путь (250 мл, 6 шт),флоупак СТ-4524</t>
  </si>
  <si>
    <t>СТ-4524</t>
  </si>
  <si>
    <t>4670159245247</t>
  </si>
  <si>
    <t>245644</t>
  </si>
  <si>
    <t>Стаканы бумажные Звёздочки и конфетти (250 мл, 6 шт),флоупак СТ-2115</t>
  </si>
  <si>
    <t>СТ-2115</t>
  </si>
  <si>
    <t>4640306921157</t>
  </si>
  <si>
    <t>245645</t>
  </si>
  <si>
    <t>Стаканы бумажные Звери на шариках (250 мл, 6 шт),флоупак СТ-2116</t>
  </si>
  <si>
    <t>СТ-2116</t>
  </si>
  <si>
    <t>4640306921164</t>
  </si>
  <si>
    <t>245646</t>
  </si>
  <si>
    <t>Стаканы бумажные Мишки в полёте (250 мл, 6 шт),флоупак СТ-2117</t>
  </si>
  <si>
    <t>СТ-2117</t>
  </si>
  <si>
    <t>4640306921171</t>
  </si>
  <si>
    <t>245648</t>
  </si>
  <si>
    <t>Стаканы бумажные Торжество (250 мл, 6 шт),флоупак СТ-2119</t>
  </si>
  <si>
    <t>СТ-2119</t>
  </si>
  <si>
    <t>4640306921195</t>
  </si>
  <si>
    <t>Стаканы бумажные (250мл, 12шт) флоупак</t>
  </si>
  <si>
    <t>282827</t>
  </si>
  <si>
    <t>Стаканы бумажные Воздушные путешествия (250 мл, 12 шт) флоупак. СТ-6502</t>
  </si>
  <si>
    <t>СТ-6502</t>
  </si>
  <si>
    <t>4680942665022</t>
  </si>
  <si>
    <t>282820</t>
  </si>
  <si>
    <t>Стаканы бумажные Волшебного праздника (250 мл, 12 шт) флоупак. СТ-6495</t>
  </si>
  <si>
    <t>СТ-6495</t>
  </si>
  <si>
    <t>4680942664957</t>
  </si>
  <si>
    <t>282819</t>
  </si>
  <si>
    <t>Стаканы бумажные Графичные (250 мл, 12 шт) флоупак. СТ-6494</t>
  </si>
  <si>
    <t>СТ-6494</t>
  </si>
  <si>
    <t>4680942664940</t>
  </si>
  <si>
    <t>282821</t>
  </si>
  <si>
    <t>Стаканы бумажные Конфетти (250 мл, 12 шт) флоупак. СТ-6496</t>
  </si>
  <si>
    <t>СТ-6496</t>
  </si>
  <si>
    <t>4680942664964</t>
  </si>
  <si>
    <t>282823</t>
  </si>
  <si>
    <t>Стаканы бумажные Котики (250 мл, 12 шт) флоупак. СТ-6498</t>
  </si>
  <si>
    <t>СТ-6498</t>
  </si>
  <si>
    <t>4680942664988</t>
  </si>
  <si>
    <t>282825</t>
  </si>
  <si>
    <t>Стаканы бумажные Машинки (250 мл, 12 шт) флоупак. СТ-6500</t>
  </si>
  <si>
    <t>СТ-6500</t>
  </si>
  <si>
    <t>4680942665008</t>
  </si>
  <si>
    <t>282826</t>
  </si>
  <si>
    <t>Стаканы бумажные Милота (250 мл, 12 шт) флоупак. СТ-6501</t>
  </si>
  <si>
    <t>СТ-6501</t>
  </si>
  <si>
    <t>4680942665015</t>
  </si>
  <si>
    <t>282822</t>
  </si>
  <si>
    <t>Стаканы бумажные Нежный кролик (250 мл, 12 шт) флоупак. СТ-6497</t>
  </si>
  <si>
    <t>СТ-6497</t>
  </si>
  <si>
    <t>4680942664971</t>
  </si>
  <si>
    <t>282824</t>
  </si>
  <si>
    <t>Стаканы бумажные С днем рождения! (250 мл, 12 шт) флоупак. СТ-6499</t>
  </si>
  <si>
    <t>СТ-6499</t>
  </si>
  <si>
    <t>4680942664995</t>
  </si>
  <si>
    <t>Наборы для праздника</t>
  </si>
  <si>
    <t>282818</t>
  </si>
  <si>
    <t>Набор для праздника Воздушные путешествия (тарелка 6шт, стаканы 6шт, колпаки 6шт) НП-5259</t>
  </si>
  <si>
    <t>НП-5259</t>
  </si>
  <si>
    <t>4680942652596</t>
  </si>
  <si>
    <t>282810</t>
  </si>
  <si>
    <t>Набор для праздника Волшебного праздника (тарелка 6шт, стаканы 6шт, колпаки 6шт) НП-5252</t>
  </si>
  <si>
    <t>НП-5252</t>
  </si>
  <si>
    <t>4680942652527</t>
  </si>
  <si>
    <t>282812</t>
  </si>
  <si>
    <t>Набор для праздника Конфетти (тарелка 6шт, стаканы 6шт, колпаки 6шт) НП-5253</t>
  </si>
  <si>
    <t>НП-5253</t>
  </si>
  <si>
    <t>4680942652534</t>
  </si>
  <si>
    <t>282814</t>
  </si>
  <si>
    <t>Набор для праздника Котики (тарелка 6шт, стаканы 6шт, колпаки 6шт) НП-5255</t>
  </si>
  <si>
    <t>НП-5255</t>
  </si>
  <si>
    <t>4680942652558</t>
  </si>
  <si>
    <t>282816</t>
  </si>
  <si>
    <t>Набор для праздника Машинки (тарелка 6шт, стаканы 6шт, колпаки 6шт) НП-5257</t>
  </si>
  <si>
    <t>НП-5257</t>
  </si>
  <si>
    <t>4680942652572</t>
  </si>
  <si>
    <t>282815</t>
  </si>
  <si>
    <t>Набор для праздника Милота (тарелка 6шт, стаканы 6шт, колпаки 6шт) НП-5256</t>
  </si>
  <si>
    <t>НП-5256</t>
  </si>
  <si>
    <t>4680942652565</t>
  </si>
  <si>
    <t>282813</t>
  </si>
  <si>
    <t>Набор для праздника Нежный кролик (тарелка 6шт, стаканы 6шт, колпаки 6шт) НП-5254</t>
  </si>
  <si>
    <t>НП-5254</t>
  </si>
  <si>
    <t>4680942652541</t>
  </si>
  <si>
    <t>282817</t>
  </si>
  <si>
    <t>Набор для праздника С днем рождения! (тарелка 6шт, стаканы 6шт, колпаки 6шт) НП-5258</t>
  </si>
  <si>
    <t>НП-5258</t>
  </si>
  <si>
    <t>4680942652589</t>
  </si>
  <si>
    <t>02 Свечи для торта</t>
  </si>
  <si>
    <t>01 Цифры</t>
  </si>
  <si>
    <t>177014</t>
  </si>
  <si>
    <t>Свеча для торта "Русалка" , розовая. Цифра "3" C-7241</t>
  </si>
  <si>
    <t>C-7241</t>
  </si>
  <si>
    <t>4610144872416</t>
  </si>
  <si>
    <t>114036</t>
  </si>
  <si>
    <t>Свеча для торта в полоску, Цифра 1, серебряная С-2520</t>
  </si>
  <si>
    <t>С-2520</t>
  </si>
  <si>
    <t>4665306725208</t>
  </si>
  <si>
    <t>114047</t>
  </si>
  <si>
    <t>Свеча для торта в полоску, Цифра 2, золотая С-2531</t>
  </si>
  <si>
    <t>С-2531</t>
  </si>
  <si>
    <t>4665306725314</t>
  </si>
  <si>
    <t>114037</t>
  </si>
  <si>
    <t>Свеча для торта в полоску, Цифра 2, серебряная С-2521</t>
  </si>
  <si>
    <t>С-2521</t>
  </si>
  <si>
    <t>4665306725215</t>
  </si>
  <si>
    <t>114048</t>
  </si>
  <si>
    <t>Свеча для торта в полоску, Цифра 3, золотая С-2532</t>
  </si>
  <si>
    <t>С-2532</t>
  </si>
  <si>
    <t>4665306725321</t>
  </si>
  <si>
    <t>114049</t>
  </si>
  <si>
    <t>Свеча для торта в полоску, Цифра 4, золотая С-2533</t>
  </si>
  <si>
    <t>С-2533</t>
  </si>
  <si>
    <t>4665306725338</t>
  </si>
  <si>
    <t>122855</t>
  </si>
  <si>
    <t>Свеча для торта Звёздочки, золотая  Цифра 1 С-5985</t>
  </si>
  <si>
    <t>С-5985</t>
  </si>
  <si>
    <t>4665307359853</t>
  </si>
  <si>
    <t>122864</t>
  </si>
  <si>
    <t>Свеча для торта Звёздочки, золотая  Цифра 5 С-5989</t>
  </si>
  <si>
    <t>С-5989</t>
  </si>
  <si>
    <t>4665307359891</t>
  </si>
  <si>
    <t>122867</t>
  </si>
  <si>
    <t>Свеча для торта Звёздочки, золотая  Цифра 6 С-5990</t>
  </si>
  <si>
    <t>С-5990</t>
  </si>
  <si>
    <t>4665307359907</t>
  </si>
  <si>
    <t>096832</t>
  </si>
  <si>
    <t>Свеча для торта Золотая Цифра 4 С-1802</t>
  </si>
  <si>
    <t>С-1802</t>
  </si>
  <si>
    <t>4665305418026</t>
  </si>
  <si>
    <t>096834</t>
  </si>
  <si>
    <t>Свеча для торта Золотая Цифра 6 С-1804</t>
  </si>
  <si>
    <t>С-1804</t>
  </si>
  <si>
    <t>4665305418040</t>
  </si>
  <si>
    <t>122837</t>
  </si>
  <si>
    <t>Свеча для торта Золотой глиттер с окантовкой Цифра 1 С-5975</t>
  </si>
  <si>
    <t>С-5975</t>
  </si>
  <si>
    <t>4665307359754</t>
  </si>
  <si>
    <t>122841</t>
  </si>
  <si>
    <t>Свеча для торта Золотой глиттер с окантовкой Цифра 3 С-5977</t>
  </si>
  <si>
    <t>С-5977</t>
  </si>
  <si>
    <t>4665307359778</t>
  </si>
  <si>
    <t>122843</t>
  </si>
  <si>
    <t>Свеча для торта Золотой глиттер с окантовкой Цифра 4 С-5978</t>
  </si>
  <si>
    <t>С-5978</t>
  </si>
  <si>
    <t>4665307359785</t>
  </si>
  <si>
    <t>122844</t>
  </si>
  <si>
    <t>Свеча для торта Золотой глиттер с окантовкой Цифра 5 С-5979</t>
  </si>
  <si>
    <t>С-5979</t>
  </si>
  <si>
    <t>4665307359792</t>
  </si>
  <si>
    <t>122849</t>
  </si>
  <si>
    <t>Свеча для торта Золотой глиттер с окантовкой Цифра 8 С-5982</t>
  </si>
  <si>
    <t>С-5982</t>
  </si>
  <si>
    <t>4665307359822</t>
  </si>
  <si>
    <t>113958</t>
  </si>
  <si>
    <t>Свеча для торта с розовой окантовкой с блестками Цифра 1 С-2406</t>
  </si>
  <si>
    <t>С-2406</t>
  </si>
  <si>
    <t>4665306724065</t>
  </si>
  <si>
    <t>113959</t>
  </si>
  <si>
    <t>Свеча для торта с розовой окантовкой с блестками Цифра 2 С-2407</t>
  </si>
  <si>
    <t>С-2407</t>
  </si>
  <si>
    <t>4665306724072</t>
  </si>
  <si>
    <t>113961</t>
  </si>
  <si>
    <t>Свеча для торта с розовой окантовкой с блестками Цифра 3 С-2408</t>
  </si>
  <si>
    <t>С-2408</t>
  </si>
  <si>
    <t>4665306724089</t>
  </si>
  <si>
    <t>113962</t>
  </si>
  <si>
    <t>Свеча для торта с розовой окантовкой с блестками Цифра 4 С-2409</t>
  </si>
  <si>
    <t>С-2409</t>
  </si>
  <si>
    <t>4665306724096</t>
  </si>
  <si>
    <t>113964</t>
  </si>
  <si>
    <t>Свеча для торта с розовой окантовкой с блестками Цифра 5 С-2410</t>
  </si>
  <si>
    <t>С-2410</t>
  </si>
  <si>
    <t>4665306724102</t>
  </si>
  <si>
    <t>131687</t>
  </si>
  <si>
    <t>Свеча для торта с синей окантовкой с блёстками Цифра 6 С-1104</t>
  </si>
  <si>
    <t>С-1104</t>
  </si>
  <si>
    <t>4665307411049</t>
  </si>
  <si>
    <t>131688</t>
  </si>
  <si>
    <t>Свеча для торта с синей окантовкой с блёстками Цифра 7 С-1105</t>
  </si>
  <si>
    <t>С-1105</t>
  </si>
  <si>
    <t>4665307411056</t>
  </si>
  <si>
    <t>096839</t>
  </si>
  <si>
    <t>Свеча для торта Серебряная Цифра 1 С-1809</t>
  </si>
  <si>
    <t>С-1809</t>
  </si>
  <si>
    <t>4665305418095</t>
  </si>
  <si>
    <t>096840</t>
  </si>
  <si>
    <t>Свеча для торта Серебряная Цифра 2 С-1810</t>
  </si>
  <si>
    <t>С-1810</t>
  </si>
  <si>
    <t>4665305418101</t>
  </si>
  <si>
    <t>096841</t>
  </si>
  <si>
    <t>Свеча для торта Серебряная Цифра 3 С-1811</t>
  </si>
  <si>
    <t>С-1811</t>
  </si>
  <si>
    <t>4665305418118</t>
  </si>
  <si>
    <t>096843</t>
  </si>
  <si>
    <t>Свеча для торта Серебряная Цифра 5 С-1813</t>
  </si>
  <si>
    <t>С-1813</t>
  </si>
  <si>
    <t>4665305418132</t>
  </si>
  <si>
    <t>163973</t>
  </si>
  <si>
    <t>Свеча для торта Синяя. Цифра 0 С-3017</t>
  </si>
  <si>
    <t>С-3017</t>
  </si>
  <si>
    <t>4610144830171</t>
  </si>
  <si>
    <t>163996</t>
  </si>
  <si>
    <t>Свеча для торта Синяя. Цифра 9 С-3026</t>
  </si>
  <si>
    <t>С-3026</t>
  </si>
  <si>
    <t>4610144830263</t>
  </si>
  <si>
    <t>114020</t>
  </si>
  <si>
    <t>Свеча для торта.Шебби шик, Цифра 0, золотая С-2509</t>
  </si>
  <si>
    <t>С-2509</t>
  </si>
  <si>
    <t>4665306725093</t>
  </si>
  <si>
    <t>114021</t>
  </si>
  <si>
    <t>Свеча для торта.Шебби шик, Цифра 1, золотая С-2510</t>
  </si>
  <si>
    <t>С-2510</t>
  </si>
  <si>
    <t>4665306725109</t>
  </si>
  <si>
    <t>114011</t>
  </si>
  <si>
    <t>Свеча для торта.Шебби шик, Цифра 1, серебряная С-2500</t>
  </si>
  <si>
    <t>С-2500</t>
  </si>
  <si>
    <t>4665306725000</t>
  </si>
  <si>
    <t>114022</t>
  </si>
  <si>
    <t>Свеча для торта.Шебби шик, Цифра 2, золотая С-2511</t>
  </si>
  <si>
    <t>С-2511</t>
  </si>
  <si>
    <t>4665306725116</t>
  </si>
  <si>
    <t>114023</t>
  </si>
  <si>
    <t>Свеча для торта.Шебби шик, Цифра 3, золотая С-2512</t>
  </si>
  <si>
    <t>С-2512</t>
  </si>
  <si>
    <t>4665306725123</t>
  </si>
  <si>
    <t>114025</t>
  </si>
  <si>
    <t>Свеча для торта.Шебби шик, Цифра 5, золотая С-2514</t>
  </si>
  <si>
    <t>С-2514</t>
  </si>
  <si>
    <t>4665306725147</t>
  </si>
  <si>
    <t>02 Свечи без подставок</t>
  </si>
  <si>
    <t>244532</t>
  </si>
  <si>
    <t>Свечи для торт "Яркое пламя", 14см,  6 шт, С-2012</t>
  </si>
  <si>
    <t>С-2012</t>
  </si>
  <si>
    <t>4640306920174</t>
  </si>
  <si>
    <t>041639</t>
  </si>
  <si>
    <t>Свечи для торта разноцветные 24 шт  С-1238</t>
  </si>
  <si>
    <t>С-1238</t>
  </si>
  <si>
    <t>4665295512384</t>
  </si>
  <si>
    <t>03 Свечи с подставками</t>
  </si>
  <si>
    <t>244521</t>
  </si>
  <si>
    <t>Свечи для торта  на подставках "Металлические линии", 0.5*12.5+2 см, 12 шт, С-2001</t>
  </si>
  <si>
    <t>С-2001</t>
  </si>
  <si>
    <t>4640306920068</t>
  </si>
  <si>
    <t>041641</t>
  </si>
  <si>
    <t>Свечи для торта джамбо разноцветные 12 шт  С-1239</t>
  </si>
  <si>
    <t>С-1239</t>
  </si>
  <si>
    <t>4665295512391</t>
  </si>
  <si>
    <t>244539</t>
  </si>
  <si>
    <t>Свечи для торта на подставках "Веселый праздник", 0.4*10.5 + 3см, 6шт, золотистые, С-2019</t>
  </si>
  <si>
    <t>С-2019</t>
  </si>
  <si>
    <t>4640306920242</t>
  </si>
  <si>
    <t>244540</t>
  </si>
  <si>
    <t>Свечи для торта на подставках "Веселый праздник", 0.4*10.5 + 3см, 6шт, серебристые, С-2020</t>
  </si>
  <si>
    <t>С-2020</t>
  </si>
  <si>
    <t>4640306920259</t>
  </si>
  <si>
    <t>244553</t>
  </si>
  <si>
    <t>Свечи для торта на подставках "Веселье", 0.4*10,5 + 3см, 6шт, ассорти, С-2033</t>
  </si>
  <si>
    <t>С-2033</t>
  </si>
  <si>
    <t>4640306920389</t>
  </si>
  <si>
    <t>244549</t>
  </si>
  <si>
    <t>Свечи для торта на подставках "Веселье", 0.4*10,5 + 3см, 6шт, золотистые, С-2029</t>
  </si>
  <si>
    <t>С-2029</t>
  </si>
  <si>
    <t>4640306920341</t>
  </si>
  <si>
    <t>244550</t>
  </si>
  <si>
    <t>Свечи для торта на подставках "Веселье", 0.4*10,5 + 3см, 6шт, серебристые, С-2030</t>
  </si>
  <si>
    <t>С-2030</t>
  </si>
  <si>
    <t>4640306920358</t>
  </si>
  <si>
    <t>244571</t>
  </si>
  <si>
    <t>Свечи для торта на подставках "Веселье", 0.4*5.5 + 4,5 см, 12шт,ассорти, С-2045</t>
  </si>
  <si>
    <t>С-2045</t>
  </si>
  <si>
    <t>4640306920501</t>
  </si>
  <si>
    <t>244564</t>
  </si>
  <si>
    <t>Свечи для торта на подставках "Волшебство",0.4*10,5 + 3см, 6шт,розово-голубые, С-2043</t>
  </si>
  <si>
    <t>С-2043</t>
  </si>
  <si>
    <t>4640306920488</t>
  </si>
  <si>
    <t>244523</t>
  </si>
  <si>
    <t>Свечи для торта на подставках "Металлические звездочки", 0.5*12.5+2 см, 12 шт, С-2003</t>
  </si>
  <si>
    <t>С-2003</t>
  </si>
  <si>
    <t>4640306920082</t>
  </si>
  <si>
    <t>244522</t>
  </si>
  <si>
    <t>Свечи для торта на подставках "Металлические шары", 0.5*12.5+2 см, 12 шт, С-2002</t>
  </si>
  <si>
    <t>С-2002</t>
  </si>
  <si>
    <t>4640306920075</t>
  </si>
  <si>
    <t>244569</t>
  </si>
  <si>
    <t>Свечи для торта на подставках "Праздничный всплеск", 0.4*10,5 + 4,5 см, 10шт, разноцветные, С-2049</t>
  </si>
  <si>
    <t>С-2049</t>
  </si>
  <si>
    <t>4640306920549</t>
  </si>
  <si>
    <t>244568</t>
  </si>
  <si>
    <t>Свечи для торта на подставках "Праздничный всплеск", 0.4*10,5 + 4,5 см, 10шт, черные, С-2048</t>
  </si>
  <si>
    <t>С-2048</t>
  </si>
  <si>
    <t>4640306920532</t>
  </si>
  <si>
    <t>244573</t>
  </si>
  <si>
    <t>Свечи для торта на подставках "Сияние", 0.4*12 + 4 см, 6шт,  белые, С-2052</t>
  </si>
  <si>
    <t>С-2052</t>
  </si>
  <si>
    <t>4640306920570</t>
  </si>
  <si>
    <t>244572</t>
  </si>
  <si>
    <t>Свечи для торта на подставках "Сияние", 0.4*12 + 4 см, 6шт, черные, С-2051</t>
  </si>
  <si>
    <t>С-2051</t>
  </si>
  <si>
    <t>4640306920563</t>
  </si>
  <si>
    <t>244547</t>
  </si>
  <si>
    <t>Свечи для торта на подставках "Торжество", 0.5*13 + 2см, 6шт, ассорти, С-2027</t>
  </si>
  <si>
    <t>С-2027</t>
  </si>
  <si>
    <t>4640306920327</t>
  </si>
  <si>
    <t>244543</t>
  </si>
  <si>
    <t>Свечи для торта на подставках "Торжество", 0.5*13 + 2см, 6шт, золотистые, С-2023</t>
  </si>
  <si>
    <t>С-2023</t>
  </si>
  <si>
    <t>4640306920280</t>
  </si>
  <si>
    <t>244545</t>
  </si>
  <si>
    <t>Свечи для торта на подставках "Торжество", 0.5*13 + 2см, 6шт, розовые, С-2025</t>
  </si>
  <si>
    <t>С-2025</t>
  </si>
  <si>
    <t>4640306920303</t>
  </si>
  <si>
    <t>244546</t>
  </si>
  <si>
    <t>Свечи для торта на подставках "Торжество", 0.5*13 + 2см, 6шт, синие, С-2026</t>
  </si>
  <si>
    <t>С-2026</t>
  </si>
  <si>
    <t>4640306920310</t>
  </si>
  <si>
    <t>244526</t>
  </si>
  <si>
    <t>Свечи для торта на подставках "Яркий блеск", 0.4*12 + 4 см, 6 шт, золотистые, С-2006</t>
  </si>
  <si>
    <t>С-2006</t>
  </si>
  <si>
    <t>4640306920112</t>
  </si>
  <si>
    <t>244527</t>
  </si>
  <si>
    <t>Свечи для торта на подставках "Яркий блеск", 0.4*12 + 4 см, 6 шт, серебристые, С-2007</t>
  </si>
  <si>
    <t>С-2007</t>
  </si>
  <si>
    <t>4640306920129</t>
  </si>
  <si>
    <t>244554</t>
  </si>
  <si>
    <t>Свечи для торта на подставках "Яркий праздник", 0.4*10,5 + 3см, 6шт, золотистые, С-2034</t>
  </si>
  <si>
    <t>С-2034</t>
  </si>
  <si>
    <t>4640306920396</t>
  </si>
  <si>
    <t>244556</t>
  </si>
  <si>
    <t>Свечи для торта на подставках "Яркий праздник", 0.4*10,5 + 3см, 6шт, розовые, С-2036</t>
  </si>
  <si>
    <t>С-2036</t>
  </si>
  <si>
    <t>4640306920419</t>
  </si>
  <si>
    <t>244555</t>
  </si>
  <si>
    <t>Свечи для торта на подставках "Яркий праздник", 0.4*10,5 + 3см, 6шт, серебристые, С-2035</t>
  </si>
  <si>
    <t>С-2035</t>
  </si>
  <si>
    <t>4640306920402</t>
  </si>
  <si>
    <t>072915</t>
  </si>
  <si>
    <t>Свечи для торта с подставками. Весёлая радуга,  24 шт.  С-0467</t>
  </si>
  <si>
    <t>С-0467</t>
  </si>
  <si>
    <t>4665303204676</t>
  </si>
  <si>
    <t>072914</t>
  </si>
  <si>
    <t>Свечи для торта с подставками. Цветное ассорти,  24 шт.  С-0466</t>
  </si>
  <si>
    <t>С-0466</t>
  </si>
  <si>
    <t>4665303204669</t>
  </si>
  <si>
    <t>072913</t>
  </si>
  <si>
    <t>Свечи для торта с подставками. Яркие цвета,  24 шт. С-0465</t>
  </si>
  <si>
    <t>С-0465</t>
  </si>
  <si>
    <t>4665303204652</t>
  </si>
  <si>
    <t>041627</t>
  </si>
  <si>
    <t>Свечи для торта с цветным узором 12 шт с подставками  С-1227</t>
  </si>
  <si>
    <t>С-1227</t>
  </si>
  <si>
    <t>4665295512278</t>
  </si>
  <si>
    <t>163774</t>
  </si>
  <si>
    <t>Свечи для торта Счастливый праздник, Золотые 10 шт с подставками С-2985</t>
  </si>
  <si>
    <t>С-2985</t>
  </si>
  <si>
    <t>4610144829854</t>
  </si>
  <si>
    <t>163780</t>
  </si>
  <si>
    <t>Свечи для торта Счастливый праздник, Малиновые 10 шт  с подставками С-2988</t>
  </si>
  <si>
    <t>С-2988</t>
  </si>
  <si>
    <t>4610144829885</t>
  </si>
  <si>
    <t>163776</t>
  </si>
  <si>
    <t>Свечи для торта Счастливый праздник, Серебряные 10 шт  с подставками С-2986</t>
  </si>
  <si>
    <t>С-2986</t>
  </si>
  <si>
    <t>4610144829861</t>
  </si>
  <si>
    <t>163770</t>
  </si>
  <si>
    <t>Свечи для торта Счастливый праздник, Синие 10 шт с подставками С-2983</t>
  </si>
  <si>
    <t>С-2983</t>
  </si>
  <si>
    <t>4610144829830</t>
  </si>
  <si>
    <t>163771</t>
  </si>
  <si>
    <t>Свечи для торта Счастливый праздник, Фиолетовые 10 шт с подставками С-2984</t>
  </si>
  <si>
    <t>С-2984</t>
  </si>
  <si>
    <t>4610144829847</t>
  </si>
  <si>
    <t>04 Свечи на пиках</t>
  </si>
  <si>
    <t>192865</t>
  </si>
  <si>
    <t>Свечи для торта Благородное золото С Днем Рождения на пиках С-8335</t>
  </si>
  <si>
    <t>С-8335</t>
  </si>
  <si>
    <t>4610144883351</t>
  </si>
  <si>
    <t>192798</t>
  </si>
  <si>
    <t>Свечи для торта Игривые золотые С Днем Рождения на пиках С-8274</t>
  </si>
  <si>
    <t>С-8274</t>
  </si>
  <si>
    <t>4610144882743</t>
  </si>
  <si>
    <t>113983</t>
  </si>
  <si>
    <t>Свечи для торта на длинных пиках. Золотые звезды, 4 шт С-2466</t>
  </si>
  <si>
    <t>С-2466</t>
  </si>
  <si>
    <t>4665306724669</t>
  </si>
  <si>
    <t>113982</t>
  </si>
  <si>
    <t>Свечи для торта на длинных пиках. Серебряные звезды, 4 шт С-2465</t>
  </si>
  <si>
    <t>С-2465</t>
  </si>
  <si>
    <t>4665306724652</t>
  </si>
  <si>
    <t>122880</t>
  </si>
  <si>
    <t>Свечи для торта на пиках  Кексы, 5 шт. С-6012</t>
  </si>
  <si>
    <t>С-6012</t>
  </si>
  <si>
    <t>4665307360125</t>
  </si>
  <si>
    <t>114057</t>
  </si>
  <si>
    <t>Свечи для торта на пиках. Золотые сердечки, 5 шт.  С-2540</t>
  </si>
  <si>
    <t>С-2540</t>
  </si>
  <si>
    <t>4665306725406</t>
  </si>
  <si>
    <t>192867</t>
  </si>
  <si>
    <t>Свечи для торта яркое настроение С Днем Рождения на пиках С-8337</t>
  </si>
  <si>
    <t>С-8337</t>
  </si>
  <si>
    <t>4610144883375</t>
  </si>
  <si>
    <t>03 Воздушные шарики</t>
  </si>
  <si>
    <t>Аксессуары для воздушных шаров</t>
  </si>
  <si>
    <t>230975</t>
  </si>
  <si>
    <t>Подставка-держатель на 7 шаров "Праздник", 70 см ПШВ-7950</t>
  </si>
  <si>
    <t>ПШВ-7950</t>
  </si>
  <si>
    <t>4670159179504</t>
  </si>
  <si>
    <t>226300</t>
  </si>
  <si>
    <t>Ручной насос для воздушных шариков, 28,5 см, зеленый РУН-6028</t>
  </si>
  <si>
    <t>РУН-6028</t>
  </si>
  <si>
    <t>4670159160281</t>
  </si>
  <si>
    <t>226296</t>
  </si>
  <si>
    <t>Ручной насос для воздушных шариков, 28,5 см, фиолетовый РУН-6025</t>
  </si>
  <si>
    <t>РУН-6025</t>
  </si>
  <si>
    <t>4670159160250</t>
  </si>
  <si>
    <t>206963</t>
  </si>
  <si>
    <t>Ручной насос для воздушных шариков, красный РУН-5691</t>
  </si>
  <si>
    <t>РУН-5691</t>
  </si>
  <si>
    <t>4670159056911</t>
  </si>
  <si>
    <t>Наборы воздушных шаров</t>
  </si>
  <si>
    <t xml:space="preserve"> Наборы воздушных шаров 5шт</t>
  </si>
  <si>
    <t>214272</t>
  </si>
  <si>
    <t>Набор шаров рис. 1ст.2цв "Взрывной мужчина" цветные, 30см,5диз(5шт/уп),собст.разр. ШВ-9823</t>
  </si>
  <si>
    <t>ШВ-9823</t>
  </si>
  <si>
    <t>4670159098232</t>
  </si>
  <si>
    <t>214270</t>
  </si>
  <si>
    <t>Набор шаров рис. 1ст.2цв "Королева вдохновения" розово-желтый, 30см,5диз(5шт/уп),собст.разр. ШВ-9821</t>
  </si>
  <si>
    <t>ШВ-9821</t>
  </si>
  <si>
    <t>4670159098218</t>
  </si>
  <si>
    <t>214264</t>
  </si>
  <si>
    <t>Набор шаров рис. 1ст.2цв "Лучший из лучших" сине-черный, 30см,5диз(5шт/уп),собст.разр. ШВ-9815</t>
  </si>
  <si>
    <t>ШВ-9815</t>
  </si>
  <si>
    <t>4670159098157</t>
  </si>
  <si>
    <t>214268</t>
  </si>
  <si>
    <t>Набор шаров рис. 1ст.2цв "С Днем Рождения!" розово-белый, 30см,5диз(5шт/уп),собст.разр. ШВ-9819</t>
  </si>
  <si>
    <t>ШВ-9819</t>
  </si>
  <si>
    <t>4670159098195</t>
  </si>
  <si>
    <t>214266</t>
  </si>
  <si>
    <t>Набор шаров рис. 1ст.2цв "С Днем Рождения!" серо-голубой, 30см,5диз(5шт/уп),собст.разр. ШВ-9817</t>
  </si>
  <si>
    <t>ШВ-9817</t>
  </si>
  <si>
    <t>4670159098171</t>
  </si>
  <si>
    <t>214258</t>
  </si>
  <si>
    <t>Набор шаров рис. 1ст.2цв "С Днем Рождения!" сине-оранжевый, 30см,5диз(5шт/уп),собст.разр. ШВ-9809</t>
  </si>
  <si>
    <t>ШВ-9809</t>
  </si>
  <si>
    <t>4670159098096</t>
  </si>
  <si>
    <t>214262</t>
  </si>
  <si>
    <t>Набор шаров рис. 1ст.2цв "Умница и красавица" розово-фиолет.,30см,5диз(5шт/уп),собст.разр. ШВ-9813</t>
  </si>
  <si>
    <t>ШВ-9813</t>
  </si>
  <si>
    <t>4670159098133</t>
  </si>
  <si>
    <t>Наборы воздушных шаров 25шт</t>
  </si>
  <si>
    <t>214261</t>
  </si>
  <si>
    <t>Набор шаров рис. 1ст.2цв "Happy Birthday!" розово-голубой, 30см,5диз(25шт/уп),собст.разр. ШВ-9812</t>
  </si>
  <si>
    <t>ШВ-9812</t>
  </si>
  <si>
    <t>4670159098126</t>
  </si>
  <si>
    <t>214273</t>
  </si>
  <si>
    <t>Набор шаров рис. 1ст.2цв "Взрывной мужчина" цветные, 30см,5диз(25шт/уп),собст.разр. ШВ-9824</t>
  </si>
  <si>
    <t>ШВ-9824</t>
  </si>
  <si>
    <t>4670159098249</t>
  </si>
  <si>
    <t>214275</t>
  </si>
  <si>
    <t>Набор шаров рис. 1ст.2цв "Поздравляю!"  оранжево бирюзовый, 30см,5диз(25шт/уп),собст.разр. ШВ-9826</t>
  </si>
  <si>
    <t>ШВ-9826</t>
  </si>
  <si>
    <t>4670159098263</t>
  </si>
  <si>
    <t>214269</t>
  </si>
  <si>
    <t>Набор шаров рис. 1ст.2цв "С Днем Рождения!" розово-белый, 30см,5диз(25шт/уп),собст.разр. ШВ-9820</t>
  </si>
  <si>
    <t>ШВ-9820</t>
  </si>
  <si>
    <t>4670159098201</t>
  </si>
  <si>
    <t>Фольгированные шары цифры</t>
  </si>
  <si>
    <t>Золото</t>
  </si>
  <si>
    <t>236649</t>
  </si>
  <si>
    <t>Воздушный шар Цифра "0", золотистый, фольга, 40'/101 см, ШВ-0756</t>
  </si>
  <si>
    <t>ШВ-0756</t>
  </si>
  <si>
    <t>4670159207566</t>
  </si>
  <si>
    <t>04 Хэллоуин</t>
  </si>
  <si>
    <t>Аксессуары</t>
  </si>
  <si>
    <t>229002</t>
  </si>
  <si>
    <t>Ведро пластиковое. Тыква для подарков 11 см КРК-7323</t>
  </si>
  <si>
    <t>КРК-7323</t>
  </si>
  <si>
    <t>4670159173151</t>
  </si>
  <si>
    <t>251238</t>
  </si>
  <si>
    <t>Гирлянда растяжка  тканевая "Тыквы и мыши" 3 м ГТ-2569</t>
  </si>
  <si>
    <t>ГТ-2569</t>
  </si>
  <si>
    <t>4640306925698</t>
  </si>
  <si>
    <t>229000</t>
  </si>
  <si>
    <t>Карнавальный аксессуар.  Перчатки "Скелетон", 50*10 см КРК-7321</t>
  </si>
  <si>
    <t>КРК-7321</t>
  </si>
  <si>
    <t>4670159173137</t>
  </si>
  <si>
    <t>229036</t>
  </si>
  <si>
    <t>Карнавальный аксессуар. Декоративная паутина на Хэллоуин.(2 паука в наборе,100г.),белая КРК-7339</t>
  </si>
  <si>
    <t>КРК-7339</t>
  </si>
  <si>
    <t>4670159173311</t>
  </si>
  <si>
    <t>229028</t>
  </si>
  <si>
    <t>Карнавальный аксессуар. Декоративная паутина на Хэллоуин.(2 паука в наборе,20г.),белая КРК-7337</t>
  </si>
  <si>
    <t>КРК-7337</t>
  </si>
  <si>
    <t>4670159173298</t>
  </si>
  <si>
    <t>229032</t>
  </si>
  <si>
    <t>Карнавальный аксессуар. Декоративная паутина на Хэллоуин.(2 паука в наборе,60г.),белая КРК-7338</t>
  </si>
  <si>
    <t>КРК-7338</t>
  </si>
  <si>
    <t>4670159173304</t>
  </si>
  <si>
    <t>229019</t>
  </si>
  <si>
    <t>Карнавальный аксессуар. Накладные усы на липкой основе (в наборе 6шт), "Джентльмен" КРК-7333</t>
  </si>
  <si>
    <t>КРК-7333</t>
  </si>
  <si>
    <t>4670159173250</t>
  </si>
  <si>
    <t>222527</t>
  </si>
  <si>
    <t>Карнавальный аксессуар. Ушки Эльфа, 2шт УД-3667</t>
  </si>
  <si>
    <t>УД-3667</t>
  </si>
  <si>
    <t>4670159136675</t>
  </si>
  <si>
    <t>222528</t>
  </si>
  <si>
    <t>Карнавальный аксессуар. Ушки Эльфа, 4шт УД-3668</t>
  </si>
  <si>
    <t>УД-3668</t>
  </si>
  <si>
    <t>4670159136682</t>
  </si>
  <si>
    <t>251244</t>
  </si>
  <si>
    <t>Карнавальный декор Пауки и паутина, 10 пауков, паутина площадь 30 м2 КРК-2575</t>
  </si>
  <si>
    <t>КРК-2575</t>
  </si>
  <si>
    <t>4640306925759</t>
  </si>
  <si>
    <t>251247</t>
  </si>
  <si>
    <t>Мантия карнавальная. "Мантия вампира", черно-красная, 158 см КРК-2578</t>
  </si>
  <si>
    <t>КРК-2578</t>
  </si>
  <si>
    <t>4640306925780</t>
  </si>
  <si>
    <t>251248</t>
  </si>
  <si>
    <t>Мантия карнавальная. "Мантия вампира", черно-красная, 170 см КРК-2579</t>
  </si>
  <si>
    <t>КРК-2579</t>
  </si>
  <si>
    <t>4640306925797</t>
  </si>
  <si>
    <t>249819</t>
  </si>
  <si>
    <t>Сувенир Ползающая рука (двигается), 13*15*15см, работает от батареек 3*ААА(не в комплекте) И-2485</t>
  </si>
  <si>
    <t>И-2485</t>
  </si>
  <si>
    <t>4640306924851</t>
  </si>
  <si>
    <t>273993</t>
  </si>
  <si>
    <t>Фонарь из тыквы, 30*15 см, работает от батареек 3*LR44 КРА-2558</t>
  </si>
  <si>
    <t>КРА-2558</t>
  </si>
  <si>
    <t>4680942625583</t>
  </si>
  <si>
    <t>Гирлянды</t>
  </si>
  <si>
    <t>228265</t>
  </si>
  <si>
    <t>Гирлянда cветодиодная с насадками Летучие мышки 1,65м,батар. 2шт АА (не в компл), 10 ламп ГН-6859</t>
  </si>
  <si>
    <t>ГН-6859</t>
  </si>
  <si>
    <t>4670159168591</t>
  </si>
  <si>
    <t>228264</t>
  </si>
  <si>
    <t>Гирлянда cветодиодная с насадками Паучки фиолет. 1,65м,батар. 2шт АА (не в компл), 10 ламп ГН-6858</t>
  </si>
  <si>
    <t>ГН-6858</t>
  </si>
  <si>
    <t>4670159168584</t>
  </si>
  <si>
    <t>228266</t>
  </si>
  <si>
    <t>Гирлянда cветодиодная с насадками Тыковки в шляпах 1,65м,батар. 2шт АА (не в компл), 10 ламп ГН-6860</t>
  </si>
  <si>
    <t>ГН-6860</t>
  </si>
  <si>
    <t>4670159168607</t>
  </si>
  <si>
    <t>228262</t>
  </si>
  <si>
    <t>Гирлянда cветодиодная с насадками Черепки 1,65м, батар. 2шт АА (не в компл), 10 ламп, ГН-6857</t>
  </si>
  <si>
    <t>ГН-6857</t>
  </si>
  <si>
    <t>4670159168577</t>
  </si>
  <si>
    <t>251242</t>
  </si>
  <si>
    <t>Гирлянда с насадками "Дух праздника", 2 м, 10LED ламп, работает от 2AA (не в комплекте)  ГН-2573</t>
  </si>
  <si>
    <t>ГН-2573</t>
  </si>
  <si>
    <t>4640306925735</t>
  </si>
  <si>
    <t>228996</t>
  </si>
  <si>
    <t>Гирлянда с насадками Тыковки 2 м работает от батареек 2AA ГН-7350</t>
  </si>
  <si>
    <t>ГН-7350</t>
  </si>
  <si>
    <t>4670159173502</t>
  </si>
  <si>
    <t>Костюмы</t>
  </si>
  <si>
    <t>209887</t>
  </si>
  <si>
    <t>Карнавальный набор 2 в 1 "Принцесса паучков" (юбка,крылья) КРК-7303</t>
  </si>
  <si>
    <t>КРК-7303</t>
  </si>
  <si>
    <t>4670159073031</t>
  </si>
  <si>
    <t>229006</t>
  </si>
  <si>
    <t>Карнавальный набор 5 в 1 "Злая ведьма" (шляпа, ногти, нос, подбородок, зубы) КРК-7326</t>
  </si>
  <si>
    <t>КРК-7326</t>
  </si>
  <si>
    <t>4670159173182</t>
  </si>
  <si>
    <t>Ободки</t>
  </si>
  <si>
    <t>207992</t>
  </si>
  <si>
    <t>Ободок карнавальный. "Красный трезубец", 19*21 см КРК-5593</t>
  </si>
  <si>
    <t>КРК-5593</t>
  </si>
  <si>
    <t>4670159055938</t>
  </si>
  <si>
    <t>Очки</t>
  </si>
  <si>
    <t>207998</t>
  </si>
  <si>
    <t>Карнавальная маска 3 в 1. "Озорной пират", ( очки, борода, шляпа), 24*26см КРК-5597</t>
  </si>
  <si>
    <t>КРК-5597</t>
  </si>
  <si>
    <t>4670159055976</t>
  </si>
  <si>
    <t>228280</t>
  </si>
  <si>
    <t>Карнавальные очки Необычная паутинка 16.2*4.7 см КРК-7029</t>
  </si>
  <si>
    <t>КРК-7029</t>
  </si>
  <si>
    <t>4670159170297</t>
  </si>
  <si>
    <t>210003</t>
  </si>
  <si>
    <t>Светильник декоративный.  на батарейках "Тыковка", AG13*3 (не в компл), 5.8*7.7*12 ПВ-7354</t>
  </si>
  <si>
    <t>ПВ-7354</t>
  </si>
  <si>
    <t>4670159073543</t>
  </si>
  <si>
    <t>Шляпы</t>
  </si>
  <si>
    <t>251240</t>
  </si>
  <si>
    <t>Карнавальная шляпа "Пятна страха", черный с красным, 57 размер КРК-2571</t>
  </si>
  <si>
    <t>КРК-2571</t>
  </si>
  <si>
    <t>4640306925711</t>
  </si>
  <si>
    <t>228126</t>
  </si>
  <si>
    <t>Карнавальная шляпа Ведьмина вечеринка, черный с золотистым, 40*40*70 см КРК-6853</t>
  </si>
  <si>
    <t>КРК-6853</t>
  </si>
  <si>
    <t>4670159168539</t>
  </si>
  <si>
    <t>228129</t>
  </si>
  <si>
    <t>Карнавальная шляпа Милая ведьмочка, черный, 40*40*70 см КРК-6856</t>
  </si>
  <si>
    <t>КРК-6856</t>
  </si>
  <si>
    <t>4670159168560</t>
  </si>
  <si>
    <t>228128</t>
  </si>
  <si>
    <t>Карнавальная шляпа Ночное сияние, черный с золотистым, 40*40*55 см КРК-6855</t>
  </si>
  <si>
    <t>КРК-6855</t>
  </si>
  <si>
    <t>4670159168553</t>
  </si>
  <si>
    <t>228127</t>
  </si>
  <si>
    <t>Карнавальная шляпа Озорная ведьма черный, 40*40*55 см КРК-6854</t>
  </si>
  <si>
    <t>КРК-6854</t>
  </si>
  <si>
    <t>4670159168546</t>
  </si>
  <si>
    <t>122421</t>
  </si>
  <si>
    <t>Карнавальная шляпа Пирата КРК-5845</t>
  </si>
  <si>
    <t>КРК-5845</t>
  </si>
  <si>
    <t>4665307358450</t>
  </si>
  <si>
    <t>275185</t>
  </si>
  <si>
    <t>Карнавальная шляпа. "Ведьмочка", черная КРК-3452</t>
  </si>
  <si>
    <t>КРК-3452</t>
  </si>
  <si>
    <t>4680942634523</t>
  </si>
  <si>
    <t>209919</t>
  </si>
  <si>
    <t>Карнавальная шляпа. "Остров сокровищ", коричневая. КРК-7316</t>
  </si>
  <si>
    <t>КРК-7316</t>
  </si>
  <si>
    <t>4670159073161</t>
  </si>
  <si>
    <t>05 Карнавальная продукция</t>
  </si>
  <si>
    <t>Денежные пистолеты</t>
  </si>
  <si>
    <t>221604</t>
  </si>
  <si>
    <t>Аксессуар для карнавала. Пистолет с деньгами (100 купюр), механический,17*19 см, золотистый УД-3533</t>
  </si>
  <si>
    <t>УД-3533</t>
  </si>
  <si>
    <t>4670159135333</t>
  </si>
  <si>
    <t>221603</t>
  </si>
  <si>
    <t>Аксессуар для карнавала. Пистолет с деньгами (100 купюр), механический,17*19 см, розовый УД-3532</t>
  </si>
  <si>
    <t>УД-3532</t>
  </si>
  <si>
    <t>4670159135326</t>
  </si>
  <si>
    <t>Карнавальные крылья</t>
  </si>
  <si>
    <t>228289</t>
  </si>
  <si>
    <t>Карнавальные крылья "Ангелок", белый, 74*27см КРК-7039</t>
  </si>
  <si>
    <t>КРК-7039</t>
  </si>
  <si>
    <t>4670159170396</t>
  </si>
  <si>
    <t>122374</t>
  </si>
  <si>
    <t>Карнавальные крылья Ангел КРК-5775</t>
  </si>
  <si>
    <t>КРК-5775</t>
  </si>
  <si>
    <t>4665307357750</t>
  </si>
  <si>
    <t>Костюмы всесезонные</t>
  </si>
  <si>
    <t>172261</t>
  </si>
  <si>
    <t>Карнавальная юбка "Нежность", в ассортименте КРК-9885</t>
  </si>
  <si>
    <t>КРК-9885</t>
  </si>
  <si>
    <t>4610144858854</t>
  </si>
  <si>
    <t>224708</t>
  </si>
  <si>
    <t>Карнавальная юбка "Нежность", фиолетовая КРК-5116</t>
  </si>
  <si>
    <t>КРК-5116</t>
  </si>
  <si>
    <t>4670159151166</t>
  </si>
  <si>
    <t>209877</t>
  </si>
  <si>
    <t>Карнавальный набор 2 в 1 "Весенняя нимфа" (юбка,крылья) КРК-7297</t>
  </si>
  <si>
    <t>КРК-7297</t>
  </si>
  <si>
    <t>4670159072973</t>
  </si>
  <si>
    <t>209868</t>
  </si>
  <si>
    <t>Карнавальный набор 2 в 1 "Весенняя фея" (юбка,крылья),фиолетовый. КРК-7295</t>
  </si>
  <si>
    <t>КРК-7295</t>
  </si>
  <si>
    <t>4670159072959</t>
  </si>
  <si>
    <t>122366</t>
  </si>
  <si>
    <t>Карнавальный набор 2 в 1 Маленькая бабочка крылья КРК-5770</t>
  </si>
  <si>
    <t>КРК-5770</t>
  </si>
  <si>
    <t>4665307357705</t>
  </si>
  <si>
    <t>122361</t>
  </si>
  <si>
    <t>Карнавальный набор 3 в 1  Нежная бабочка, в ассортименте КРК-5766</t>
  </si>
  <si>
    <t>КРК-5766</t>
  </si>
  <si>
    <t>4665307357668</t>
  </si>
  <si>
    <t>275192</t>
  </si>
  <si>
    <t>Карнавальный набор 3 в 1 "Волшебник" (галстук, палочка, очки) КРК-3459</t>
  </si>
  <si>
    <t>КРК-3459</t>
  </si>
  <si>
    <t>4680942634592</t>
  </si>
  <si>
    <t>209858</t>
  </si>
  <si>
    <t>Карнавальный набор 3 в 1 "Сахарная фея" (юбка,палочка, ободок), розовый.КРК-7290</t>
  </si>
  <si>
    <t>КРК-7290</t>
  </si>
  <si>
    <t>4670159072904</t>
  </si>
  <si>
    <t>275193</t>
  </si>
  <si>
    <t>Карнавальный набор 3 в 1 "Стиль 1920" (повязка, ожерелье, палочка) КРК-3460</t>
  </si>
  <si>
    <t>КРК-3460</t>
  </si>
  <si>
    <t>4680942634608</t>
  </si>
  <si>
    <t>209584</t>
  </si>
  <si>
    <t>Карнавальный набор 3в1 "Праздничный зайчик" (бабочка,хвост, ободок) КРК-6274</t>
  </si>
  <si>
    <t>КРК-6274</t>
  </si>
  <si>
    <t>4670159062745</t>
  </si>
  <si>
    <t>209869</t>
  </si>
  <si>
    <t>Карнавальный набор 4 в 1 "Фея сновидений" (юбка,крылья,ободок, палочка) КРК-7296</t>
  </si>
  <si>
    <t>КРК-7296</t>
  </si>
  <si>
    <t>4670159072966</t>
  </si>
  <si>
    <t>201881</t>
  </si>
  <si>
    <t>Карнавальный набор с крыльями , Желтая Пчелка КРК-3047</t>
  </si>
  <si>
    <t>КРК-3047</t>
  </si>
  <si>
    <t>4670159030478</t>
  </si>
  <si>
    <t>Маски</t>
  </si>
  <si>
    <t>208006</t>
  </si>
  <si>
    <t>Карнавальная маска. "Загадка ночи" АП-5606</t>
  </si>
  <si>
    <t>АП-5606</t>
  </si>
  <si>
    <t>4670159056065</t>
  </si>
  <si>
    <t>275191</t>
  </si>
  <si>
    <t>Карнавальная маска. "Кролик в стразах" КРК-3458</t>
  </si>
  <si>
    <t>КРК-3458</t>
  </si>
  <si>
    <t>4680942634585</t>
  </si>
  <si>
    <t>275190</t>
  </si>
  <si>
    <t>Карнавальная маска. "Кролик", черный КРК-3457</t>
  </si>
  <si>
    <t>КРК-3457</t>
  </si>
  <si>
    <t>4680942634578</t>
  </si>
  <si>
    <t>208004</t>
  </si>
  <si>
    <t>Карнавальная маска. "Ночная вуаль" АП-5604</t>
  </si>
  <si>
    <t>АП-5604</t>
  </si>
  <si>
    <t>4670159056041</t>
  </si>
  <si>
    <t>254351</t>
  </si>
  <si>
    <t>Маска карнавальная. "Венецианка", белая КРК-2950</t>
  </si>
  <si>
    <t>КРК-2950</t>
  </si>
  <si>
    <t>4640306929504</t>
  </si>
  <si>
    <t>254338</t>
  </si>
  <si>
    <t>Маска карнавальная. "Венецианка", чёрная КРК-2946</t>
  </si>
  <si>
    <t>КРК-2946</t>
  </si>
  <si>
    <t>4640306929467</t>
  </si>
  <si>
    <t>254341</t>
  </si>
  <si>
    <t>Маска карнавальная. "Загадка", чёрная КРК-2947</t>
  </si>
  <si>
    <t>КРК-2947</t>
  </si>
  <si>
    <t>4640306929474</t>
  </si>
  <si>
    <t>254361</t>
  </si>
  <si>
    <t>Маска карнавальная. "Загадочная дама", чёрная КРК-2954</t>
  </si>
  <si>
    <t>КРК-2954</t>
  </si>
  <si>
    <t>4640306929542</t>
  </si>
  <si>
    <t>254348</t>
  </si>
  <si>
    <t>Маска карнавальная. "Кружево", чёрная КРК-2949</t>
  </si>
  <si>
    <t>КРК-2949</t>
  </si>
  <si>
    <t>4640306929498</t>
  </si>
  <si>
    <t>254358</t>
  </si>
  <si>
    <t>Маска карнавальная. "Рыцарь", серебристая КРК-2953</t>
  </si>
  <si>
    <t>КРК-2953</t>
  </si>
  <si>
    <t>4640306929535</t>
  </si>
  <si>
    <t>254344</t>
  </si>
  <si>
    <t>Маска карнавальная. "Тайна", чёрная КРК-2948</t>
  </si>
  <si>
    <t>КРК-2948</t>
  </si>
  <si>
    <t>4640306929481</t>
  </si>
  <si>
    <t>254365</t>
  </si>
  <si>
    <t>Маска карнавальная. "Чёрный лебедь", чёрная КРК-2955</t>
  </si>
  <si>
    <t>КРК-2955</t>
  </si>
  <si>
    <t>4640306929559</t>
  </si>
  <si>
    <t>Ободки всесезонные</t>
  </si>
  <si>
    <t>209578</t>
  </si>
  <si>
    <t>Карнавальный ободок "Игривый зайка", черный. КРК-6270</t>
  </si>
  <si>
    <t>КРК-6270</t>
  </si>
  <si>
    <t>4670159062707</t>
  </si>
  <si>
    <t>275179</t>
  </si>
  <si>
    <t>Карнавальный ободок с фатой "Нежные цветы", белый КРК-3448</t>
  </si>
  <si>
    <t>КРК-3448</t>
  </si>
  <si>
    <t>4680942634486</t>
  </si>
  <si>
    <t>275178</t>
  </si>
  <si>
    <t>Карнавальный ободок с фатой "Цветы ночи", черный КРК-3447</t>
  </si>
  <si>
    <t>КРК-3447</t>
  </si>
  <si>
    <t>4680942634479</t>
  </si>
  <si>
    <t>Парики</t>
  </si>
  <si>
    <t>209857</t>
  </si>
  <si>
    <t>Карнавальный парик. "Яркое настроение" 100г. КРК-7289</t>
  </si>
  <si>
    <t>КРК-7289</t>
  </si>
  <si>
    <t>4670159072898</t>
  </si>
  <si>
    <t>122423</t>
  </si>
  <si>
    <t>Карнавальная шляпа Цилиндр КРК-5844</t>
  </si>
  <si>
    <t>КРК-5844</t>
  </si>
  <si>
    <t>4665307358443</t>
  </si>
  <si>
    <t>275189</t>
  </si>
  <si>
    <t>Карнавальная шляпа. "Грация", черная КРК-3456</t>
  </si>
  <si>
    <t>КРК-3456</t>
  </si>
  <si>
    <t>4680942634561</t>
  </si>
  <si>
    <t>209913</t>
  </si>
  <si>
    <t>Карнавальная шляпа. "Дискомэн", черная. КРК-7315</t>
  </si>
  <si>
    <t>КРК-7315</t>
  </si>
  <si>
    <t>4670159073154</t>
  </si>
  <si>
    <t>275188</t>
  </si>
  <si>
    <t>Карнавальная шляпа. "Каска пожарного", пластик, красная КРК-3455</t>
  </si>
  <si>
    <t>КРК-3455</t>
  </si>
  <si>
    <t>4680942634554</t>
  </si>
  <si>
    <t>275184</t>
  </si>
  <si>
    <t>Карнавальная шляпа. "Мафиози", черная КРК-3451</t>
  </si>
  <si>
    <t>КРК-3451</t>
  </si>
  <si>
    <t>4680942634516</t>
  </si>
  <si>
    <t>275181</t>
  </si>
  <si>
    <t>Карнавальная шляпа. "Пилот", синяя КРК-3450</t>
  </si>
  <si>
    <t>КРК-3450</t>
  </si>
  <si>
    <t>4680942634509</t>
  </si>
  <si>
    <t>209909</t>
  </si>
  <si>
    <t>Карнавальная шляпа. "Слуга востока", красная. КРК-7312</t>
  </si>
  <si>
    <t>КРК-7312</t>
  </si>
  <si>
    <t>4670159073123</t>
  </si>
  <si>
    <t>209921</t>
  </si>
  <si>
    <t>Карнавальная шляпа. "Студент отличник", черная.  КРК-7317</t>
  </si>
  <si>
    <t>КРК-7317</t>
  </si>
  <si>
    <t>4670159073178</t>
  </si>
  <si>
    <t>228999</t>
  </si>
  <si>
    <t>Карнавальная шляпа. "Фараон Египта" КРК-7320</t>
  </si>
  <si>
    <t>КРК-7320</t>
  </si>
  <si>
    <t>4670159173120</t>
  </si>
  <si>
    <t>209900</t>
  </si>
  <si>
    <t>Карнавальная шляпа. "Хранитель закона", черная. КРК-7308</t>
  </si>
  <si>
    <t>КРК-7308</t>
  </si>
  <si>
    <t>4670159073086</t>
  </si>
  <si>
    <t>209898</t>
  </si>
  <si>
    <t>Карнавальная шляпа. "Хранитель порядка", черная.  КРК-7307</t>
  </si>
  <si>
    <t>КРК-7307</t>
  </si>
  <si>
    <t>4670159073079</t>
  </si>
  <si>
    <t>275180</t>
  </si>
  <si>
    <t>Карнавальная шляпа. "Черный цилиндр", черная КРК-3449</t>
  </si>
  <si>
    <t>КРК-3449</t>
  </si>
  <si>
    <t>4680942634493</t>
  </si>
  <si>
    <t>08 Квесты</t>
  </si>
  <si>
    <t>249551</t>
  </si>
  <si>
    <t>Игра-квест по поиску подарка "Весёлые зверята" ИКВ-5781</t>
  </si>
  <si>
    <t>ИКВ-5781</t>
  </si>
  <si>
    <t>4670159257813</t>
  </si>
  <si>
    <t>249552</t>
  </si>
  <si>
    <t>Игра-квест по поиску подарка "КОТОквест" ИКВ-5782</t>
  </si>
  <si>
    <t>ИКВ-5782</t>
  </si>
  <si>
    <t>4670159257820</t>
  </si>
  <si>
    <t>09 Дождик для фотосессии</t>
  </si>
  <si>
    <t>213033</t>
  </si>
  <si>
    <t>Дождик фольгир. для фотозоны с эффектом голографии, 1*2м, толщина: 0.016мм, серебристый ДЖ-9347</t>
  </si>
  <si>
    <t>ДЖ-9347</t>
  </si>
  <si>
    <t>4670159093473</t>
  </si>
  <si>
    <t>213032</t>
  </si>
  <si>
    <t>Дождик фольгированный для фотозоны "Вечеринка", 1*2м, толщина: 0.016мм, золотистый ДЖ-9346</t>
  </si>
  <si>
    <t>ДЖ-9346</t>
  </si>
  <si>
    <t>4670159093466</t>
  </si>
  <si>
    <t>213031</t>
  </si>
  <si>
    <t>Дождик фольгированный для фотозоны "Вечеринка", 1*2м, толщина: 0.016мм, красный ДЖ-9345</t>
  </si>
  <si>
    <t>ДЖ-9345</t>
  </si>
  <si>
    <t>4670159093459</t>
  </si>
  <si>
    <t>213030</t>
  </si>
  <si>
    <t>Дождик фольгированный для фотозоны "Вечеринка", 1*2м, толщина: 0.016мм, серебристый ДЖ-9344</t>
  </si>
  <si>
    <t>ДЖ-9344</t>
  </si>
  <si>
    <t>4670159093442</t>
  </si>
  <si>
    <t>229369</t>
  </si>
  <si>
    <t>Дождик фольгированный для фотозоны "Карнавал", 1*2м,фрагмент 3*3см, золотистый, набор 2шт ДЖ-7519</t>
  </si>
  <si>
    <t>ДЖ-7519</t>
  </si>
  <si>
    <t>4670159175193</t>
  </si>
  <si>
    <t>06 ШКОЛА И ДЕТСКИЙ САД</t>
  </si>
  <si>
    <t>01 Грамоты без отделки</t>
  </si>
  <si>
    <t>273767</t>
  </si>
  <si>
    <t>Благодарность классическая А4, символика РФ ГБ-2581</t>
  </si>
  <si>
    <t>ГБ-2581</t>
  </si>
  <si>
    <t>4680942625811</t>
  </si>
  <si>
    <t>273768</t>
  </si>
  <si>
    <t>Благодарственное письмо  классическое А4, символика РФ ГБ-2582</t>
  </si>
  <si>
    <t>ГБ-2582</t>
  </si>
  <si>
    <t>4680942625828</t>
  </si>
  <si>
    <t>283166</t>
  </si>
  <si>
    <t>Грамота А4, Выпускники ГБ-6940</t>
  </si>
  <si>
    <t>ГБ-6940</t>
  </si>
  <si>
    <t>4680942669402</t>
  </si>
  <si>
    <t>283165</t>
  </si>
  <si>
    <t>Грамота А4, Малыши выпускники ГБ-6939</t>
  </si>
  <si>
    <t>ГБ-6939</t>
  </si>
  <si>
    <t>4680942669396</t>
  </si>
  <si>
    <t>283167</t>
  </si>
  <si>
    <t>Грамота А4, Спортивная ГБ-6941</t>
  </si>
  <si>
    <t>ГБ-6941</t>
  </si>
  <si>
    <t>4680942669419</t>
  </si>
  <si>
    <t>273770</t>
  </si>
  <si>
    <t>Грамота классическая А4, символика РФ, красная ГБ-2584</t>
  </si>
  <si>
    <t>ГБ-2584</t>
  </si>
  <si>
    <t>4680942625842</t>
  </si>
  <si>
    <t>273769</t>
  </si>
  <si>
    <t>Грамота классическая А4, символика РФ, синяя ГБ-2583</t>
  </si>
  <si>
    <t>ГБ-2583</t>
  </si>
  <si>
    <t>4680942625835</t>
  </si>
  <si>
    <t>273772</t>
  </si>
  <si>
    <t>Грамота классическая А4, символика РФ, синяя ГБ-2586</t>
  </si>
  <si>
    <t>ГБ-2586</t>
  </si>
  <si>
    <t>4680942625866</t>
  </si>
  <si>
    <t>273775</t>
  </si>
  <si>
    <t>Грамота классическая А4, символика РФ, синяя ГБ-2589</t>
  </si>
  <si>
    <t>ГБ-2589</t>
  </si>
  <si>
    <t>4680942625897</t>
  </si>
  <si>
    <t>273771</t>
  </si>
  <si>
    <t>Грамота школьная, А4 ГБ-2585</t>
  </si>
  <si>
    <t>ГБ-2585</t>
  </si>
  <si>
    <t>4680942625859</t>
  </si>
  <si>
    <t>273773</t>
  </si>
  <si>
    <t>Диплом с символикой РФ, А4, синий ГБ-2587</t>
  </si>
  <si>
    <t>ГБ-2587</t>
  </si>
  <si>
    <t>4680942625873</t>
  </si>
  <si>
    <t>273774</t>
  </si>
  <si>
    <t>Диплом с символикой РФ, А4, синий ГБ-2588</t>
  </si>
  <si>
    <t>ГБ-2588</t>
  </si>
  <si>
    <t>4680942625880</t>
  </si>
  <si>
    <t>02 Закладки</t>
  </si>
  <si>
    <t>1 Закладки-ляссе самоклеящиеся</t>
  </si>
  <si>
    <t xml:space="preserve"> Закладки-ляссе самоклеящиеся   А4</t>
  </si>
  <si>
    <t>252885</t>
  </si>
  <si>
    <t>Закладки-ляссе самоклеящиеся  А4 Color lights MEGA набо (20 шт) ЗЛ-6465</t>
  </si>
  <si>
    <t>ЗЛ-6465</t>
  </si>
  <si>
    <t>4670159264651</t>
  </si>
  <si>
    <t>177412</t>
  </si>
  <si>
    <t>Закладки-ляссе самоклеящиеся  А4 Color lights MEGA набор (10 шт)  ЗЛ-0187</t>
  </si>
  <si>
    <t>ЗЛ-0187</t>
  </si>
  <si>
    <t>4620129701877</t>
  </si>
  <si>
    <t>252886</t>
  </si>
  <si>
    <t>Закладки-ляссе самоклеящиеся  А4 Flashing lights MEGA набо (20 шт)  ЗЛ-6466</t>
  </si>
  <si>
    <t>ЗЛ-6466</t>
  </si>
  <si>
    <t>4670159264668</t>
  </si>
  <si>
    <t>177410</t>
  </si>
  <si>
    <t>Закладки-ляссе самоклеящиеся  А4 Flashing lights MEGA набор (10 шт)   ЗЛ-0186</t>
  </si>
  <si>
    <t>ЗЛ-0186</t>
  </si>
  <si>
    <t>4620129701860</t>
  </si>
  <si>
    <t>280415</t>
  </si>
  <si>
    <t>Закладки-ляссе самоклеящиеся "Весенние оттенки" 3 шт ЗЛ-6443</t>
  </si>
  <si>
    <t>ЗЛ-6443</t>
  </si>
  <si>
    <t>4680942664438</t>
  </si>
  <si>
    <t>280412</t>
  </si>
  <si>
    <t>Закладки-ляссе самоклеящиеся "Голубое море" 3 шт ЗЛ-6444</t>
  </si>
  <si>
    <t>ЗЛ-6444</t>
  </si>
  <si>
    <t>4680942664445</t>
  </si>
  <si>
    <t>280414</t>
  </si>
  <si>
    <t>Закладки-ляссе самоклеящиеся "Морские мотивы" 3 шт ЗЛ-6446</t>
  </si>
  <si>
    <t>ЗЛ-6446</t>
  </si>
  <si>
    <t>4680942664469</t>
  </si>
  <si>
    <t>280409</t>
  </si>
  <si>
    <t>Закладки-ляссе самоклеящиеся "Точки" 3 шт ЗЛ-6445</t>
  </si>
  <si>
    <t>ЗЛ-6445</t>
  </si>
  <si>
    <t>4680942664452</t>
  </si>
  <si>
    <t xml:space="preserve"> Закладки-ляссе самоклеящиеся  Стандарт</t>
  </si>
  <si>
    <t>280422</t>
  </si>
  <si>
    <t>Закладки-ляссе самоклеящиеся "Яркий акцент" 4 шт ЗЛ-6449</t>
  </si>
  <si>
    <t>ЗЛ-6449</t>
  </si>
  <si>
    <t>4680942664490</t>
  </si>
  <si>
    <t>282219</t>
  </si>
  <si>
    <t>Закладки-ляссе самоклеящиеся Летнее настроение 4шт ЗЛ-6450</t>
  </si>
  <si>
    <t>ЗЛ-6450</t>
  </si>
  <si>
    <t>4680942664506</t>
  </si>
  <si>
    <t xml:space="preserve"> Закладки-ляссе самоклеящиеся Премиум</t>
  </si>
  <si>
    <t>252887</t>
  </si>
  <si>
    <t>Закладки-ляссе самоклеящиеся  А5 Color lights MEGA набо (20 шт) ЗЛ-6467</t>
  </si>
  <si>
    <t>ЗЛ-6467</t>
  </si>
  <si>
    <t>4670159264675</t>
  </si>
  <si>
    <t>135364</t>
  </si>
  <si>
    <t>Закладки-ляссе самоклеящиеся  А5 Color lights MEGA набор (10 шт) ЗЛ-2172</t>
  </si>
  <si>
    <t>ЗЛ-2172</t>
  </si>
  <si>
    <t>4665307421727</t>
  </si>
  <si>
    <t>252888</t>
  </si>
  <si>
    <t>Закладки-ляссе самоклеящиеся  А5 Flashing lights MEGA набо (20 шт) ЗЛ-6468</t>
  </si>
  <si>
    <t>ЗЛ-6468</t>
  </si>
  <si>
    <t>4670159264682</t>
  </si>
  <si>
    <t>280417</t>
  </si>
  <si>
    <t>Закладки-ляссе самоклеящиеся "Контраст" 3 шт ЗЛ-6452</t>
  </si>
  <si>
    <t>ЗЛ-6452</t>
  </si>
  <si>
    <t>4680942664520</t>
  </si>
  <si>
    <t>280418</t>
  </si>
  <si>
    <t>Закладки-ляссе самоклеящиеся "Нежные цвета" 3 шт ЗЛ-6453</t>
  </si>
  <si>
    <t>ЗЛ-6453</t>
  </si>
  <si>
    <t>4680942664537</t>
  </si>
  <si>
    <t>280420</t>
  </si>
  <si>
    <t>Закладки-ляссе самоклеящиеся "Цвета моря" 3 шт ЗЛ-6454</t>
  </si>
  <si>
    <t>ЗЛ-6454</t>
  </si>
  <si>
    <t>4680942664544</t>
  </si>
  <si>
    <t>280416</t>
  </si>
  <si>
    <t>Закладки-ляссе самоклеящиеся "Цветочное настроение" 3 шт ЗЛ-6455</t>
  </si>
  <si>
    <t>ЗЛ-6455</t>
  </si>
  <si>
    <t>4680942664551</t>
  </si>
  <si>
    <t>280421</t>
  </si>
  <si>
    <t>Закладки-ляссе самоклеящиеся "Я Люблю Россию" ЗЛ-6456</t>
  </si>
  <si>
    <t>ЗЛ-6456</t>
  </si>
  <si>
    <t>4680942664568</t>
  </si>
  <si>
    <t>155972</t>
  </si>
  <si>
    <t>Закладки-ляссе самоклеящиеся А5 Flashing lights MEGA набор (10 шт) З-0001/ЗЛ-2173</t>
  </si>
  <si>
    <t>З-0001/ЗЛ-2173</t>
  </si>
  <si>
    <t>4680088493572</t>
  </si>
  <si>
    <t>282220</t>
  </si>
  <si>
    <t>Закладки-ляссе самоклеящиеся Радужная палитра 7 шт ЗЛ-6457</t>
  </si>
  <si>
    <t>ЗЛ-6457</t>
  </si>
  <si>
    <t>4680942664575</t>
  </si>
  <si>
    <t>042129</t>
  </si>
  <si>
    <t>Закладки-ляссе самоклеящиеся Яркий горошек  3 шт 3-20-0009</t>
  </si>
  <si>
    <t>3-20-0009</t>
  </si>
  <si>
    <t>978537822541500009</t>
  </si>
  <si>
    <t>Закладки-ляссе ПВХ собственная разработка</t>
  </si>
  <si>
    <t>271783</t>
  </si>
  <si>
    <t>Закладки-ляссе самоклящиеся ПВХ Звездочеты 6 шт в наборе ЗЛ-1681</t>
  </si>
  <si>
    <t>ЗЛ-1681</t>
  </si>
  <si>
    <t>4680942616819</t>
  </si>
  <si>
    <t>271786</t>
  </si>
  <si>
    <t>Закладки-ляссе самоклящиеся ПВХ салатовые, 12 шт ЗЛ-1684</t>
  </si>
  <si>
    <t>ЗЛ-1684</t>
  </si>
  <si>
    <t>4680942616840</t>
  </si>
  <si>
    <t>271788</t>
  </si>
  <si>
    <t>Закладки-ляссе самоклящиеся ПВХ Тропический микс, 12 шт ЗЛ-1686</t>
  </si>
  <si>
    <t>ЗЛ-1686</t>
  </si>
  <si>
    <t>4680942616864</t>
  </si>
  <si>
    <t>271785</t>
  </si>
  <si>
    <t>Закладки-ляссе самоклящиеся ПВХ фиолетовые, 6 шт ЗЛ-1683</t>
  </si>
  <si>
    <t>ЗЛ-1683</t>
  </si>
  <si>
    <t>4680942616833</t>
  </si>
  <si>
    <t>271787</t>
  </si>
  <si>
    <t>Закладки-ляссе самоклящиеся ПВХ Школьный переполох, 6 шт ЗЛ-1685</t>
  </si>
  <si>
    <t>ЗЛ-1685</t>
  </si>
  <si>
    <t>4680942616857</t>
  </si>
  <si>
    <t>03 Школьный альбом</t>
  </si>
  <si>
    <t>263720</t>
  </si>
  <si>
    <t>ШКОЛЬНЫЙ АЛЬБОМ — 3 АФ-9182</t>
  </si>
  <si>
    <t>АФ-9182</t>
  </si>
  <si>
    <t>4670159291824</t>
  </si>
  <si>
    <t>236600</t>
  </si>
  <si>
    <t>Школьный альбом 2 АФ-0587</t>
  </si>
  <si>
    <t>АФ-0587</t>
  </si>
  <si>
    <t>4670159205876</t>
  </si>
  <si>
    <t>178108</t>
  </si>
  <si>
    <t>Школьный альбом АФ-0524</t>
  </si>
  <si>
    <t>АФ-0524</t>
  </si>
  <si>
    <t>4620129705240</t>
  </si>
  <si>
    <t>07 ЗАПИСНЫЕ КНИЖКИ, СКЕТЧБУКИ</t>
  </si>
  <si>
    <t>04 Стикербуки "Собственная разработка"</t>
  </si>
  <si>
    <t>Стикербуки "Собственная разработка" А6 на гребне</t>
  </si>
  <si>
    <t>179174</t>
  </si>
  <si>
    <t>Стикербук "Мой прованс" (А6, 16 л.) СБ16-1379</t>
  </si>
  <si>
    <t>СБ16-1379</t>
  </si>
  <si>
    <t>4620129713795</t>
  </si>
  <si>
    <t>08 КОНВЕРТЫ ДЛЯ ДЕНЕГ (СОБСТВЕННАЯ РАЗРАБОТКА)</t>
  </si>
  <si>
    <t>00 Свадебные конверты для денег</t>
  </si>
  <si>
    <t>2 Стандарт</t>
  </si>
  <si>
    <t>Стандарт (6+0 (золото/серебро))</t>
  </si>
  <si>
    <t>259513</t>
  </si>
  <si>
    <t>Конверт для денег "Свадебный. Поздравляю. Нежные цветы"  (6+0 (золото/серебро))  ЗСС-0060</t>
  </si>
  <si>
    <t>ЗСС-0060</t>
  </si>
  <si>
    <t>4630493777354</t>
  </si>
  <si>
    <t>3 Dream Cards</t>
  </si>
  <si>
    <t>2 Dream Cards (фольга)</t>
  </si>
  <si>
    <t>262351</t>
  </si>
  <si>
    <t>Dream Cards Конверт для денег С днем свадьбы!, 4+0, фольга (Ангел в цветах) КОН-7022</t>
  </si>
  <si>
    <t>КОН-7022</t>
  </si>
  <si>
    <t>4640520770227</t>
  </si>
  <si>
    <t>262354</t>
  </si>
  <si>
    <t>Dream Cards Конверт для денег С днем свадьбы!, 4+0, фольга (Торт) КОН-7023</t>
  </si>
  <si>
    <t>КОН-7023</t>
  </si>
  <si>
    <t>4640520770234</t>
  </si>
  <si>
    <t>3 Dream Cards (Soft Touch )</t>
  </si>
  <si>
    <t>262356</t>
  </si>
  <si>
    <t>Dream Cards Конверт для денег Soft Touch С днем свадьбы!, 4+0, фольга (Пара) КОН-7035</t>
  </si>
  <si>
    <t>КОН-7035</t>
  </si>
  <si>
    <t>4640520770357</t>
  </si>
  <si>
    <t>262359</t>
  </si>
  <si>
    <t>Dream Cards Конверт для денег Soft Touch С днем свадьбы!, 4+0, фольга (Сердце) КОН-7037</t>
  </si>
  <si>
    <t>КОН-7037</t>
  </si>
  <si>
    <t>4640520770371</t>
  </si>
  <si>
    <t>01 Серия "Optima"</t>
  </si>
  <si>
    <t>3 Optima УФ-лак</t>
  </si>
  <si>
    <t>270166</t>
  </si>
  <si>
    <t>Optima Конверт для денег Поздравляем,  торт , УФ-лак 1-04-0637</t>
  </si>
  <si>
    <t>1-04-0637</t>
  </si>
  <si>
    <t>4680942608210</t>
  </si>
  <si>
    <t>270167</t>
  </si>
  <si>
    <t>Optima Конверт для денег Поздравляю подарки, УФ-лак 1-04-0638</t>
  </si>
  <si>
    <t>1-04-0638</t>
  </si>
  <si>
    <t>4680942608227</t>
  </si>
  <si>
    <t>270174</t>
  </si>
  <si>
    <t>Optima Конверт для денег Поздравляю, золотой бант,  УФ-лак 1-04-0645</t>
  </si>
  <si>
    <t>1-04-0645</t>
  </si>
  <si>
    <t>4680942608296</t>
  </si>
  <si>
    <t>270169</t>
  </si>
  <si>
    <t>Optima Конверт для денег Поздравляю, синий бант, УФ-лак 1-04-0640</t>
  </si>
  <si>
    <t>1-04-0640</t>
  </si>
  <si>
    <t>4680942608241</t>
  </si>
  <si>
    <t>270172</t>
  </si>
  <si>
    <t>Optima Конверт для денег С наилучшими пожеланиями, полосы УФ-лак 1-04-0643</t>
  </si>
  <si>
    <t>1-04-0643</t>
  </si>
  <si>
    <t>4680942608272</t>
  </si>
  <si>
    <t>270175</t>
  </si>
  <si>
    <t>Optima Конверт для денег С праздником, цветы  УФ-лак 1-04-0646</t>
  </si>
  <si>
    <t>1-04-0646</t>
  </si>
  <si>
    <t>4680942608302</t>
  </si>
  <si>
    <t>02 Стандарт</t>
  </si>
  <si>
    <t>1 Без обработки</t>
  </si>
  <si>
    <t>282358</t>
  </si>
  <si>
    <t>Конверт для денег "Без текста" (Бежевые бантики) 01-05-6688</t>
  </si>
  <si>
    <t>01-05-6688</t>
  </si>
  <si>
    <t>4680942666883</t>
  </si>
  <si>
    <t>282362</t>
  </si>
  <si>
    <t>Конверт для денег "Без текста" (Котик отдыхает) 01-05-6692</t>
  </si>
  <si>
    <t>01-05-6692</t>
  </si>
  <si>
    <t>4680942666920</t>
  </si>
  <si>
    <t>282366</t>
  </si>
  <si>
    <t>Конверт для денег "Без текста" (Оранжевая машина) 01-05-6696</t>
  </si>
  <si>
    <t>01-05-6696</t>
  </si>
  <si>
    <t>4680942666968</t>
  </si>
  <si>
    <t>282363</t>
  </si>
  <si>
    <t>Конверт для денег "Без текста" (Праздничные узоры) 01-05-6693</t>
  </si>
  <si>
    <t>01-05-6693</t>
  </si>
  <si>
    <t>4680942666937</t>
  </si>
  <si>
    <t>282355</t>
  </si>
  <si>
    <t>Конверт для денег "Поздравляю!" (Разноцветные шарики) 01-05-6685</t>
  </si>
  <si>
    <t>01-05-6685</t>
  </si>
  <si>
    <t>4680942666852</t>
  </si>
  <si>
    <t>272882</t>
  </si>
  <si>
    <t>Конверт для денег "Поздравляю" (Аксессуары успеха) 1-05-0351</t>
  </si>
  <si>
    <t>1-05-0351</t>
  </si>
  <si>
    <t>4680942623862</t>
  </si>
  <si>
    <t>282368</t>
  </si>
  <si>
    <t>Конверт для денег "Поздравляю" (Деловой стиль) 01-05-6698</t>
  </si>
  <si>
    <t>01-05-6698</t>
  </si>
  <si>
    <t>4680942666982</t>
  </si>
  <si>
    <t>282360</t>
  </si>
  <si>
    <t>Конверт для денег "Поздравляю" (Изумрудный шик) 01-05-6690</t>
  </si>
  <si>
    <t>01-05-6690</t>
  </si>
  <si>
    <t>4680942666906</t>
  </si>
  <si>
    <t>272885</t>
  </si>
  <si>
    <t>Конверт для денег "Поздравляю" (Салют) 1-05-0354</t>
  </si>
  <si>
    <t>1-05-0354</t>
  </si>
  <si>
    <t>4680942623893</t>
  </si>
  <si>
    <t>282359</t>
  </si>
  <si>
    <t>Конверт для денег "С благодарностью!" (Объемные линии) 01-05-6689</t>
  </si>
  <si>
    <t>01-05-6689</t>
  </si>
  <si>
    <t>4680942666890</t>
  </si>
  <si>
    <t>227370</t>
  </si>
  <si>
    <t>Конверт для денег "С днем рождения!" (единорог с подарком) 1-05-0274</t>
  </si>
  <si>
    <t>1-05-0274</t>
  </si>
  <si>
    <t>466529551837900274</t>
  </si>
  <si>
    <t>282354</t>
  </si>
  <si>
    <t>Конверт для денег "С днём рождения!" (Крольчата) 01-05-6684</t>
  </si>
  <si>
    <t>01-05-6684</t>
  </si>
  <si>
    <t>4680942666845</t>
  </si>
  <si>
    <t>227371</t>
  </si>
  <si>
    <t>Конверт для денег "С днем рождения!" (мужские аксессуары) 1-05-0276</t>
  </si>
  <si>
    <t>1-05-0276</t>
  </si>
  <si>
    <t>466529551837900276</t>
  </si>
  <si>
    <t>282367</t>
  </si>
  <si>
    <t>Конверт для денег "С днём рождения" (Клубничный котик) 01-05-6697</t>
  </si>
  <si>
    <t>01-05-6697</t>
  </si>
  <si>
    <t>4680942666975</t>
  </si>
  <si>
    <t>282365</t>
  </si>
  <si>
    <t>Конверт для денег "С днём рождения" (Мужской стиль) 01-05-6695</t>
  </si>
  <si>
    <t>01-05-6695</t>
  </si>
  <si>
    <t>4680942666951</t>
  </si>
  <si>
    <t>272880</t>
  </si>
  <si>
    <t>Конверт для денег "С наилучшими пожеланиями" (Россыпь звезд) 1-05-0349</t>
  </si>
  <si>
    <t>1-05-0349</t>
  </si>
  <si>
    <t>4680942623848</t>
  </si>
  <si>
    <t>272858</t>
  </si>
  <si>
    <t>Конверт для денег "С праздником!" (Стиль и роскошь) 1-05-0341</t>
  </si>
  <si>
    <t>1-05-0341</t>
  </si>
  <si>
    <t>4680942623763</t>
  </si>
  <si>
    <t>282357</t>
  </si>
  <si>
    <t>Конверт для денег "С юбилеем" (Бантики) 01-05-6687</t>
  </si>
  <si>
    <t>01-05-6687</t>
  </si>
  <si>
    <t>4680942666876</t>
  </si>
  <si>
    <t>247898</t>
  </si>
  <si>
    <t>Конверт для денег "Сияй, как звезды!" (девушка и звезды) 1-05-0303</t>
  </si>
  <si>
    <t>1-05-0303</t>
  </si>
  <si>
    <t>466529551837900303</t>
  </si>
  <si>
    <t>238201</t>
  </si>
  <si>
    <t>Конверт для денег "Следуй за мечтой" (беседка) 1-05-0281</t>
  </si>
  <si>
    <t>1-05-0281</t>
  </si>
  <si>
    <t>466529551837900281</t>
  </si>
  <si>
    <t>282364</t>
  </si>
  <si>
    <t>Конверт для денег "Спасибо" (Плавные линии) 01-05-6694</t>
  </si>
  <si>
    <t>01-05-6694</t>
  </si>
  <si>
    <t>4680942666944</t>
  </si>
  <si>
    <t>282356</t>
  </si>
  <si>
    <t>Конверт для денег "Чтобы не жизнь была, а сказка" (Красочные ставни) 01-05-6686</t>
  </si>
  <si>
    <t>01-05-6686</t>
  </si>
  <si>
    <t>4680942666869</t>
  </si>
  <si>
    <t>220463</t>
  </si>
  <si>
    <t>Конверт для денег Без надписи (цветная абстракция) 1-05-0239</t>
  </si>
  <si>
    <t>1-05-0239</t>
  </si>
  <si>
    <t>466529551837900239</t>
  </si>
  <si>
    <t>282361</t>
  </si>
  <si>
    <t>Конверт для денег Без текста (Большой букет) 01-05-6691</t>
  </si>
  <si>
    <t>01-05-6691</t>
  </si>
  <si>
    <t>4680942666913</t>
  </si>
  <si>
    <t>247951</t>
  </si>
  <si>
    <t>Конверт для денег Без текста (красная абстракция) 1-05-0312</t>
  </si>
  <si>
    <t>1-05-0312</t>
  </si>
  <si>
    <t>466529551837900312</t>
  </si>
  <si>
    <t>270142</t>
  </si>
  <si>
    <t>Конверт для денег Поздравляю! Жемчуг 1-05-0337</t>
  </si>
  <si>
    <t>1-05-0337</t>
  </si>
  <si>
    <t>4680942607381</t>
  </si>
  <si>
    <t>270137</t>
  </si>
  <si>
    <t>Конверт для денег Поздравляю! Подарки 1-05-0332</t>
  </si>
  <si>
    <t>1-05-0332</t>
  </si>
  <si>
    <t>4680942607336</t>
  </si>
  <si>
    <t>270140</t>
  </si>
  <si>
    <t>Конверт для денег Поздравляю! Синяя клетка 1-05-0335</t>
  </si>
  <si>
    <t>1-05-0335</t>
  </si>
  <si>
    <t>4680942607367</t>
  </si>
  <si>
    <t>270145</t>
  </si>
  <si>
    <t>Конверт для денег Поздравляю! Узор 1-05-0340</t>
  </si>
  <si>
    <t>1-05-0340</t>
  </si>
  <si>
    <t>4680942607411</t>
  </si>
  <si>
    <t>270143</t>
  </si>
  <si>
    <t>Конверт для денег Поздравляю! Цветы 1-05-0338</t>
  </si>
  <si>
    <t>1-05-0338</t>
  </si>
  <si>
    <t>4680942607398</t>
  </si>
  <si>
    <t>270144</t>
  </si>
  <si>
    <t>Конверт для денег С Днем рождения! Абстракция 1-05-0339</t>
  </si>
  <si>
    <t>1-05-0339</t>
  </si>
  <si>
    <t>4680942607404</t>
  </si>
  <si>
    <t>270141</t>
  </si>
  <si>
    <t>Конверт для денег С Днем рождения! Шарик 1-05-0336</t>
  </si>
  <si>
    <t>1-05-0336</t>
  </si>
  <si>
    <t>4680942607374</t>
  </si>
  <si>
    <t>270138</t>
  </si>
  <si>
    <t>Конверт для денег С наилучшими пожеланиями! Цветы 1-05-0333</t>
  </si>
  <si>
    <t>1-05-0333</t>
  </si>
  <si>
    <t>4680942607343</t>
  </si>
  <si>
    <t>2 Доп.пантон (5+0 (золото))</t>
  </si>
  <si>
    <t>270160</t>
  </si>
  <si>
    <t>Конверт для денег  Поздравляю. Косметика (5+0 (золото)) ЗСС-0786</t>
  </si>
  <si>
    <t>ЗСС-0786</t>
  </si>
  <si>
    <t>4680942607862</t>
  </si>
  <si>
    <t>270159</t>
  </si>
  <si>
    <t>Конверт для денег  Поздравляю. Панда (5+0 (золото)) ЗСС-0785</t>
  </si>
  <si>
    <t>ЗСС-0785</t>
  </si>
  <si>
    <t>4680942607855</t>
  </si>
  <si>
    <t>270158</t>
  </si>
  <si>
    <t>Конверт для денег  Поздравляю. Ромашки (5+0 (золото)) ЗСС-0784</t>
  </si>
  <si>
    <t>ЗСС-0784</t>
  </si>
  <si>
    <t>4680942607848</t>
  </si>
  <si>
    <t>270156</t>
  </si>
  <si>
    <t>Конверт для денег  Поздравляю. Цветы (5+0 (золото)) ЗСС-0782</t>
  </si>
  <si>
    <t>ЗСС-0782</t>
  </si>
  <si>
    <t>4680942607824</t>
  </si>
  <si>
    <t>270157</t>
  </si>
  <si>
    <t>Конверт для денег  Поздравляю. Шары (5+0 (золото)) ЗСС-0783</t>
  </si>
  <si>
    <t>ЗСС-0783</t>
  </si>
  <si>
    <t>4680942607831</t>
  </si>
  <si>
    <t>251550</t>
  </si>
  <si>
    <t>Конверт для денег "Без текста. Котики" (5+0 (золото)) ЗСС-0043</t>
  </si>
  <si>
    <t>ЗСС-0043</t>
  </si>
  <si>
    <t>467015905562400043</t>
  </si>
  <si>
    <t>282373</t>
  </si>
  <si>
    <t>Конверт для денег "Без текста" (Подарок с шариками) (5+0 (золото)) ЗСС-6643</t>
  </si>
  <si>
    <t>ЗСС-6643</t>
  </si>
  <si>
    <t>4680942666432</t>
  </si>
  <si>
    <t>282370</t>
  </si>
  <si>
    <t>Конверт для денег "Без текста" (Русские мотивы) (5+0 (золото)) ЗСС-6640</t>
  </si>
  <si>
    <t>ЗСС-6640</t>
  </si>
  <si>
    <t>4680942666401</t>
  </si>
  <si>
    <t>282380</t>
  </si>
  <si>
    <t>Конверт для денег "Без текста" (Тканевый бантик) (5+0 (золото)) ЗСС-6650</t>
  </si>
  <si>
    <t>ЗСС-6650</t>
  </si>
  <si>
    <t>4680942666500</t>
  </si>
  <si>
    <t>282371</t>
  </si>
  <si>
    <t>Конверт для денег "В день свадьбы" (Цветы и кольца) (5+0 (золото)) ЗСС-6641</t>
  </si>
  <si>
    <t>ЗСС-6641</t>
  </si>
  <si>
    <t>4680942666418</t>
  </si>
  <si>
    <t>282377</t>
  </si>
  <si>
    <t>Конверт для денег "Лучшему из лучших" (Сильный характер) (5+0 (золото)) ЗСС-6647</t>
  </si>
  <si>
    <t>ЗСС-6647</t>
  </si>
  <si>
    <t>4680942666470</t>
  </si>
  <si>
    <t>282383</t>
  </si>
  <si>
    <t>Конверт для денег "Поздравляем" (Нежные голубые листья) (5+0 (золото)) ЗСС-6653</t>
  </si>
  <si>
    <t>ЗСС-6653</t>
  </si>
  <si>
    <t>4680942666531</t>
  </si>
  <si>
    <t>251546</t>
  </si>
  <si>
    <t>Конверт для денег "Поздравляю Воздушные шары" (5+0 (золото)) ЗСС-0039</t>
  </si>
  <si>
    <t>ЗСС-0039</t>
  </si>
  <si>
    <t>467015905562400039</t>
  </si>
  <si>
    <t>282376</t>
  </si>
  <si>
    <t>Конверт для денег "Поздравляю!" (Нежный розовый) (5+0 (золото)) ЗСС-6646</t>
  </si>
  <si>
    <t>ЗСС-6646</t>
  </si>
  <si>
    <t>4680942666463</t>
  </si>
  <si>
    <t>282374</t>
  </si>
  <si>
    <t>Конверт для денег "Поздравляю" (Букет из шариков) (5+0 (золото)) ЗСС-6644</t>
  </si>
  <si>
    <t>ЗСС-6644</t>
  </si>
  <si>
    <t>4680942666449</t>
  </si>
  <si>
    <t>282382</t>
  </si>
  <si>
    <t>Конверт для денег "Поздравляю" (Волшебные цветы) (5+0 (золото)) ЗСС-6652</t>
  </si>
  <si>
    <t>ЗСС-6652</t>
  </si>
  <si>
    <t>4680942666524</t>
  </si>
  <si>
    <t>251548</t>
  </si>
  <si>
    <t>Конверт для денег "С Днем Рождения. Забавные коты" (5+0 (золото)) ЗСС-0041</t>
  </si>
  <si>
    <t>ЗСС-0041</t>
  </si>
  <si>
    <t>467015905562400041</t>
  </si>
  <si>
    <t>282378</t>
  </si>
  <si>
    <t>Конверт для денег "С днём рождения" (Воздушные шарики) (5+0 (золото)) ЗСС-6648</t>
  </si>
  <si>
    <t>ЗСС-6648</t>
  </si>
  <si>
    <t>4680942666487</t>
  </si>
  <si>
    <t>282379</t>
  </si>
  <si>
    <t>Конверт для денег "С днём рождения" (Зайчик) (5+0 (золото)) ЗСС-6649</t>
  </si>
  <si>
    <t>ЗСС-6649</t>
  </si>
  <si>
    <t>4680942666494</t>
  </si>
  <si>
    <t>282372</t>
  </si>
  <si>
    <t>Конверт для денег "С днём рождения" (Медвежонок и букет) (5+0 (золото)) ЗСС-6642</t>
  </si>
  <si>
    <t>ЗСС-6642</t>
  </si>
  <si>
    <t>4680942666425</t>
  </si>
  <si>
    <t>282375</t>
  </si>
  <si>
    <t>Конверт для денег "С днём рождения" (Разноцветные шарики) (5+0 (золото)) ЗСС-6645</t>
  </si>
  <si>
    <t>ЗСС-6645</t>
  </si>
  <si>
    <t>4680942666456</t>
  </si>
  <si>
    <t>282381</t>
  </si>
  <si>
    <t>Конверт для денег "С Днем рождения" (Цветочки) (5+0 (золото)) ЗСС-6651</t>
  </si>
  <si>
    <t>ЗСС-6651</t>
  </si>
  <si>
    <t>4680942666517</t>
  </si>
  <si>
    <t>282369</t>
  </si>
  <si>
    <t>Конверт для денег "Спасибо!" (Птичка) (5+0 (золото)) ЗСС-6639</t>
  </si>
  <si>
    <t>ЗСС-6639</t>
  </si>
  <si>
    <t>4680942666395</t>
  </si>
  <si>
    <t>3 Доп.пантон (6+0 (золото/серебро))</t>
  </si>
  <si>
    <t>278615</t>
  </si>
  <si>
    <t>Конверт для денег "Без текста. Бант"  (6+0 (золото/серебро)) ЗСС-0069</t>
  </si>
  <si>
    <t>ЗСС-0069</t>
  </si>
  <si>
    <t>4680942648728</t>
  </si>
  <si>
    <t>278621</t>
  </si>
  <si>
    <t>Конверт для денег "Поздравляю. Букет"  (6+0 (золото/серебро)) ЗСС-0075</t>
  </si>
  <si>
    <t>ЗСС-0075</t>
  </si>
  <si>
    <t>4680942648780</t>
  </si>
  <si>
    <t>278616</t>
  </si>
  <si>
    <t>Конверт для денег "С Днем Рождения. Кошечка"  (6+0 (золото/серебро)) ЗСС-0070</t>
  </si>
  <si>
    <t>ЗСС-0070</t>
  </si>
  <si>
    <t>4680942648735</t>
  </si>
  <si>
    <t>278607</t>
  </si>
  <si>
    <t>Конверт для денег "С Днем Рождения. Торт, шары, подарки"  (6+0 (золото/серебро)) ЗСС-0062</t>
  </si>
  <si>
    <t>ЗСС-0062</t>
  </si>
  <si>
    <t>4680942648650</t>
  </si>
  <si>
    <t>278614</t>
  </si>
  <si>
    <t>Конверт для денег "С Днем Рождения. Цветочная композиция"  (6+0 (золото/серебро)) ЗСС-0068</t>
  </si>
  <si>
    <t>ЗСС-0068</t>
  </si>
  <si>
    <t>4680942648711</t>
  </si>
  <si>
    <t>4 Кожа</t>
  </si>
  <si>
    <t>282311</t>
  </si>
  <si>
    <t>Конверт для денег "Без текста" (Зеленый бант) 1-20-6599</t>
  </si>
  <si>
    <t>1-20-6599</t>
  </si>
  <si>
    <t>4680942665992</t>
  </si>
  <si>
    <t>282306</t>
  </si>
  <si>
    <t>Конверт для денег "Без текста" (Красочный ковер) 1-20-6594</t>
  </si>
  <si>
    <t>1-20-6594</t>
  </si>
  <si>
    <t>4680942665947</t>
  </si>
  <si>
    <t>282316</t>
  </si>
  <si>
    <t>Конверт для денег "Без текста" (Пейзаж) 1-20-6604</t>
  </si>
  <si>
    <t>1-20-6604</t>
  </si>
  <si>
    <t>4680942666043</t>
  </si>
  <si>
    <t>282315</t>
  </si>
  <si>
    <t>Конверт для денег "Без текста" (Строгий костюм) 1-20-6603</t>
  </si>
  <si>
    <t>1-20-6603</t>
  </si>
  <si>
    <t>4680942666036</t>
  </si>
  <si>
    <t>282309</t>
  </si>
  <si>
    <t>Конверт для денег "Поздравляем" (Малиновое золото) 1-20-6597</t>
  </si>
  <si>
    <t>1-20-6597</t>
  </si>
  <si>
    <t>4680942665978</t>
  </si>
  <si>
    <t>282307</t>
  </si>
  <si>
    <t>Конверт для денег "Поздравляю" (Гармоничные узоры) 1-20-6595</t>
  </si>
  <si>
    <t>1-20-6595</t>
  </si>
  <si>
    <t>4680942665954</t>
  </si>
  <si>
    <t>282308</t>
  </si>
  <si>
    <t>Конверт для денег "Поздравляю" (Розовый букет) 1-20-6596</t>
  </si>
  <si>
    <t>1-20-6596</t>
  </si>
  <si>
    <t>4680942665961</t>
  </si>
  <si>
    <t>282310</t>
  </si>
  <si>
    <t>Конверт для денег "Поздравляю" (Синяя строгость) 1-20-6598</t>
  </si>
  <si>
    <t>1-20-6598</t>
  </si>
  <si>
    <t>4680942665985</t>
  </si>
  <si>
    <t>244001</t>
  </si>
  <si>
    <t>Конверт для денег "С днем варенья" (клубничное варенье) 1-20-1156</t>
  </si>
  <si>
    <t>1-20-1156</t>
  </si>
  <si>
    <t>978537820682701156</t>
  </si>
  <si>
    <t>282319</t>
  </si>
  <si>
    <t>Конверт для денег "С днём рождения" (Красочный вид) 1-20-6607</t>
  </si>
  <si>
    <t>1-20-6607</t>
  </si>
  <si>
    <t>4680942666074</t>
  </si>
  <si>
    <t>282312</t>
  </si>
  <si>
    <t>Конверт для денег "С днем рождения" (Сине-золотые шарики) 1-20-6600</t>
  </si>
  <si>
    <t>1-20-6600</t>
  </si>
  <si>
    <t>4680942666005</t>
  </si>
  <si>
    <t>282317</t>
  </si>
  <si>
    <t>Конверт для денег "С днём рождения" (Собачка) 1-20-6605</t>
  </si>
  <si>
    <t>1-20-6605</t>
  </si>
  <si>
    <t>4680942666050</t>
  </si>
  <si>
    <t>282320</t>
  </si>
  <si>
    <t>Конверт для денег "С днём рождения" (Торжество с подарками) 1-20-6608</t>
  </si>
  <si>
    <t>1-20-6608</t>
  </si>
  <si>
    <t>4680942666081</t>
  </si>
  <si>
    <t>243998</t>
  </si>
  <si>
    <t>Конверт для денег "С КРЯздником" (веселые гуси) 1-20-1153</t>
  </si>
  <si>
    <t>1-20-1153</t>
  </si>
  <si>
    <t>978537820682701153</t>
  </si>
  <si>
    <t>282318</t>
  </si>
  <si>
    <t>Конверт для денег "Спасибо" (Величественные узоры) 1-20-6606</t>
  </si>
  <si>
    <t>1-20-6606</t>
  </si>
  <si>
    <t>4680942666067</t>
  </si>
  <si>
    <t>282313</t>
  </si>
  <si>
    <t>Конверт для денег "Спасибо" (Лимоны и синие узоры) 1-20-6601</t>
  </si>
  <si>
    <t>1-20-6601</t>
  </si>
  <si>
    <t>4680942666012</t>
  </si>
  <si>
    <t>282314</t>
  </si>
  <si>
    <t>Конверт для денег "Спасибо" (Нежные цветочки) 1-20-6602</t>
  </si>
  <si>
    <t>1-20-6602</t>
  </si>
  <si>
    <t>4680942666029</t>
  </si>
  <si>
    <t>272870</t>
  </si>
  <si>
    <t>Конверт для денег Без текста (Деловой набор) 1-20-1186</t>
  </si>
  <si>
    <t>1-20-1186</t>
  </si>
  <si>
    <t>4680942622513</t>
  </si>
  <si>
    <t>243992</t>
  </si>
  <si>
    <t>Конверт для денег Без текста (котики играют) 1-20-1147</t>
  </si>
  <si>
    <t>1-20-1147</t>
  </si>
  <si>
    <t>978537820682701147</t>
  </si>
  <si>
    <t>244004</t>
  </si>
  <si>
    <t>Конверт для денег Без текста (милые корги) 1-20-1159</t>
  </si>
  <si>
    <t>1-20-1159</t>
  </si>
  <si>
    <t>978537820682701159</t>
  </si>
  <si>
    <t>264453</t>
  </si>
  <si>
    <t>Конверт для денег Вот подарок... (недовольный котик) 1-20-1171</t>
  </si>
  <si>
    <t>1-20-1171</t>
  </si>
  <si>
    <t>4640520773297</t>
  </si>
  <si>
    <t>272872</t>
  </si>
  <si>
    <t>Конверт для денег Для тебя (Букет и кофе) 1-20-1187</t>
  </si>
  <si>
    <t>1-20-1187</t>
  </si>
  <si>
    <t>4680942622520</t>
  </si>
  <si>
    <t>272867</t>
  </si>
  <si>
    <t>Конверт для денег Лучший имидж -быть самим собой (крутой мотоцикл) 1-20-1184</t>
  </si>
  <si>
    <t>1-20-1184</t>
  </si>
  <si>
    <t>4680942622490</t>
  </si>
  <si>
    <t>272861</t>
  </si>
  <si>
    <t>Конверт для денег Поздравляю (Акварельный пион) 1-20-1179</t>
  </si>
  <si>
    <t>1-20-1179</t>
  </si>
  <si>
    <t>4680942622445</t>
  </si>
  <si>
    <t>272859</t>
  </si>
  <si>
    <t>Конверт для денег Поздравляю (Гармония чёрного и золота) 1-20-1177</t>
  </si>
  <si>
    <t>1-20-1177</t>
  </si>
  <si>
    <t>4680942622421</t>
  </si>
  <si>
    <t>272866</t>
  </si>
  <si>
    <t>Конверт для денег Поздравляю (Элегантность в каждой детали) 1-20-1183</t>
  </si>
  <si>
    <t>1-20-1183</t>
  </si>
  <si>
    <t>4680942622483</t>
  </si>
  <si>
    <t>272864</t>
  </si>
  <si>
    <t>Конверт для денег С днем рождения (веселая собачка) 1-20-1182</t>
  </si>
  <si>
    <t>1-20-1182</t>
  </si>
  <si>
    <t>4680942622476</t>
  </si>
  <si>
    <t>272857</t>
  </si>
  <si>
    <t>Конверт для денег С днем рождения (Механизмы успеха) 1-20-1176</t>
  </si>
  <si>
    <t>1-20-1176</t>
  </si>
  <si>
    <t>4680942622414</t>
  </si>
  <si>
    <t>6 Soft Touch</t>
  </si>
  <si>
    <t>263962</t>
  </si>
  <si>
    <t>Конверт для денег Soft Touch  Без текста (Королева красок) КСТ-7249</t>
  </si>
  <si>
    <t>КСТ-7249</t>
  </si>
  <si>
    <t>4640520772498</t>
  </si>
  <si>
    <t>263971</t>
  </si>
  <si>
    <t>Конверт для денег Soft Touch  Для тебя (Красный бант) КСТ-7253</t>
  </si>
  <si>
    <t>КСТ-7253</t>
  </si>
  <si>
    <t>4640520772535</t>
  </si>
  <si>
    <t>263958</t>
  </si>
  <si>
    <t>Конверт для денег Soft Touch  Для тебя (Нежные цветы) КСТ-7245</t>
  </si>
  <si>
    <t>КСТ-7245</t>
  </si>
  <si>
    <t>4640520772450</t>
  </si>
  <si>
    <t>263968</t>
  </si>
  <si>
    <t>Конверт для денег Soft Touch  Для тебя милый маленький подарочек (Белый котик) КСТ-7251</t>
  </si>
  <si>
    <t>КСТ-7251</t>
  </si>
  <si>
    <t>4640520772511</t>
  </si>
  <si>
    <t>263960</t>
  </si>
  <si>
    <t>Конверт для денег Soft Touch  Лучший подарок для тебя (Маяк) КСТ-7247</t>
  </si>
  <si>
    <t>КСТ-7247</t>
  </si>
  <si>
    <t>4640520772474</t>
  </si>
  <si>
    <t>263977</t>
  </si>
  <si>
    <t>Конверт для денег Soft Touch  Настоящему мужчине (Мужской стиль и элегантность) КСТ-7256</t>
  </si>
  <si>
    <t>КСТ-7256</t>
  </si>
  <si>
    <t>4640520772566</t>
  </si>
  <si>
    <t>263954</t>
  </si>
  <si>
    <t>Конверт для денег Soft Touch  Поздравляем (Пингвин и медведь) КСТ-7243</t>
  </si>
  <si>
    <t>КСТ-7243</t>
  </si>
  <si>
    <t>4640520772436</t>
  </si>
  <si>
    <t>263959</t>
  </si>
  <si>
    <t>Конверт для денег Soft Touch  Поздравляю (Воздушные шарики) КСТ-7246</t>
  </si>
  <si>
    <t>КСТ-7246</t>
  </si>
  <si>
    <t>4640520772467</t>
  </si>
  <si>
    <t>263970</t>
  </si>
  <si>
    <t>Конверт для денег Soft Touch  Поздравляю (Яркая бабочка) КСТ-7252</t>
  </si>
  <si>
    <t>КСТ-7252</t>
  </si>
  <si>
    <t>4640520772528</t>
  </si>
  <si>
    <t>263973</t>
  </si>
  <si>
    <t>Конверт для денег Soft Touch  С Днем рождения (Веселый корги) КСТ-7254</t>
  </si>
  <si>
    <t>КСТ-7254</t>
  </si>
  <si>
    <t>4640520772542</t>
  </si>
  <si>
    <t>263961</t>
  </si>
  <si>
    <t>Конверт для денег Soft Touch  С Днем рождения (Яркий праздник) КСТ-7248</t>
  </si>
  <si>
    <t>КСТ-7248</t>
  </si>
  <si>
    <t>4640520772481</t>
  </si>
  <si>
    <t>263956</t>
  </si>
  <si>
    <t>Конверт для денег Soft Touch  С Днем рождения! (Бабочки и розы) КСТ-7244</t>
  </si>
  <si>
    <t>КСТ-7244</t>
  </si>
  <si>
    <t>4640520772443</t>
  </si>
  <si>
    <t>263966</t>
  </si>
  <si>
    <t>Конверт для денег Soft Touch  С Днем рождения! (Яркие шарики) КСТ-7250</t>
  </si>
  <si>
    <t>КСТ-7250</t>
  </si>
  <si>
    <t>4640520772504</t>
  </si>
  <si>
    <t>263948</t>
  </si>
  <si>
    <t>Конверт для денег Soft Touch  Счастливых моментов (Милый мишка) КСТ-7242</t>
  </si>
  <si>
    <t>КСТ-7242</t>
  </si>
  <si>
    <t>4640520772429</t>
  </si>
  <si>
    <t>263975</t>
  </si>
  <si>
    <t>Конверт для денег Soft Touch Без текста (Тропический вихрь) КСТ-7255</t>
  </si>
  <si>
    <t>КСТ-7255</t>
  </si>
  <si>
    <t>4640520772559</t>
  </si>
  <si>
    <t>213860</t>
  </si>
  <si>
    <t>Конверт для денег Soft Touch Поздравляю! (Огненный гонщик) КСТ-9549</t>
  </si>
  <si>
    <t>КСТ-9549</t>
  </si>
  <si>
    <t>4670159095491</t>
  </si>
  <si>
    <t>213862</t>
  </si>
  <si>
    <t>Конверт для денег Soft Touch С днем рождения! (Милые котики) КСТ-9550</t>
  </si>
  <si>
    <t>КСТ-9550</t>
  </si>
  <si>
    <t>4670159095507</t>
  </si>
  <si>
    <t>03 Dream Cards</t>
  </si>
  <si>
    <t xml:space="preserve"> 00 Dream Cards наборы</t>
  </si>
  <si>
    <t>271890</t>
  </si>
  <si>
    <t>Dream Cards Набор конвертов для денег 10 шт,с лентой(цвет.крафт)"Желанный подарок"(соб.раз) КОН-1742</t>
  </si>
  <si>
    <t>КОН-1742</t>
  </si>
  <si>
    <t>271889</t>
  </si>
  <si>
    <t>Dream Cards Набор конвертов для денег 6 шт, с лентой (цветн.крафт) "Поздравление"(собс.раз) КОН-1741</t>
  </si>
  <si>
    <t>КОН-1741</t>
  </si>
  <si>
    <t>271753</t>
  </si>
  <si>
    <t>Dream Cards Набор конвертов для денег, фольга, с лентой, 6 шт "Нежность" (собст.разр) КОН-1743</t>
  </si>
  <si>
    <t>КОН-1743</t>
  </si>
  <si>
    <t xml:space="preserve"> 1 Dream Cards (крафт lux color)</t>
  </si>
  <si>
    <t>185826</t>
  </si>
  <si>
    <t>Dream Cards Конверты для денег крафт lux color С днем Рождения (АвокаДОДо) КЯ-0021</t>
  </si>
  <si>
    <t>КЯ-0021</t>
  </si>
  <si>
    <t>466530742185700021</t>
  </si>
  <si>
    <t>185831</t>
  </si>
  <si>
    <t>Dream Cards Конверты для денег крафт lux color С днем Рождения (лето) КЯ-0026</t>
  </si>
  <si>
    <t>КЯ-0026</t>
  </si>
  <si>
    <t>466530742185700026</t>
  </si>
  <si>
    <t xml:space="preserve"> 3 Dream Cards (уф-лак)</t>
  </si>
  <si>
    <t>278589</t>
  </si>
  <si>
    <t>Dream Cards Конверт для денег "Без текста" (Розовые пионы)  1-11-0190</t>
  </si>
  <si>
    <t>1-11-0190</t>
  </si>
  <si>
    <t>4680942649220</t>
  </si>
  <si>
    <t>278585</t>
  </si>
  <si>
    <t>Dream Cards Конверт для денег "Поздравляю!" (конфетти) 1-11-0187</t>
  </si>
  <si>
    <t>1-11-0187</t>
  </si>
  <si>
    <t>4680942649190</t>
  </si>
  <si>
    <t xml:space="preserve"> 4 Dream Cards (лен)</t>
  </si>
  <si>
    <t>259276</t>
  </si>
  <si>
    <t>Dream Cards Конверт для денег "Без текста" (птичка в цветах) ЛХ-0194</t>
  </si>
  <si>
    <t>ЛХ-0194</t>
  </si>
  <si>
    <t>4630493777491</t>
  </si>
  <si>
    <t>259275</t>
  </si>
  <si>
    <t>Dream Cards Конверт для денег "Поздравляем!" (синие и белые шарики ) ЛХ-0193</t>
  </si>
  <si>
    <t>ЛХ-0193</t>
  </si>
  <si>
    <t>4630493777484</t>
  </si>
  <si>
    <t xml:space="preserve"> 5 Dream Cards (холст)</t>
  </si>
  <si>
    <t>259249</t>
  </si>
  <si>
    <t>Dream Cards Конверт для денег Желаю жить без всяких стрессов (холст, котик) ЛХ-0198</t>
  </si>
  <si>
    <t>ЛХ-0198</t>
  </si>
  <si>
    <t>4630493777088</t>
  </si>
  <si>
    <t>278570</t>
  </si>
  <si>
    <t>Dream Cards Конверт для денег Поздравляю  (холст, динамичные зигзаги) ЛХ-0224</t>
  </si>
  <si>
    <t>ЛХ-0224</t>
  </si>
  <si>
    <t>4680942648322</t>
  </si>
  <si>
    <t>259260</t>
  </si>
  <si>
    <t>Dream Cards Конверт для денег Поздравляю  (холст, нежные цветы) ЛХ-0209</t>
  </si>
  <si>
    <t>ЛХ-0209</t>
  </si>
  <si>
    <t>4630493777194</t>
  </si>
  <si>
    <t>227484</t>
  </si>
  <si>
    <t>Dream Cards Конверт для денег С днем рождения (холст, динозавры) ЛХ-0175</t>
  </si>
  <si>
    <t>ЛХ-0175</t>
  </si>
  <si>
    <t>466530176881100175</t>
  </si>
  <si>
    <t>278550</t>
  </si>
  <si>
    <t>Dream Cards Конверт для денег С Днем рождения (холст, шарики, подарки) ЛХ-0218</t>
  </si>
  <si>
    <t>ЛХ-0218</t>
  </si>
  <si>
    <t>4680942648261</t>
  </si>
  <si>
    <t>259248</t>
  </si>
  <si>
    <t>Dream Cards Конверт для денег Счастливых моментов (холст, завтрак мечты) ЛХ-0197</t>
  </si>
  <si>
    <t>ЛХ-0197</t>
  </si>
  <si>
    <t>4630493777071</t>
  </si>
  <si>
    <t xml:space="preserve"> 6 Dream Cards Soft Touch </t>
  </si>
  <si>
    <t>263573</t>
  </si>
  <si>
    <t>Dream Cards Конверт для денег  "Поздравляю!" Серебряный подарок КОН-7216</t>
  </si>
  <si>
    <t>КОН-7216</t>
  </si>
  <si>
    <t>4640520772160</t>
  </si>
  <si>
    <t>244771</t>
  </si>
  <si>
    <t>Dream Cards Конверт для денег Soft Touch Без текста (Золотистый узор) КОН-2069</t>
  </si>
  <si>
    <t>КОН-2069</t>
  </si>
  <si>
    <t>4640306920693</t>
  </si>
  <si>
    <t>244767</t>
  </si>
  <si>
    <t>Dream Cards Конверт для денег Soft Touch Поздравляем (Зверята на шариках) КОН-2065</t>
  </si>
  <si>
    <t>КОН-2065</t>
  </si>
  <si>
    <t>4640306920655</t>
  </si>
  <si>
    <t>263572</t>
  </si>
  <si>
    <t>Dream Cards Конверт для денег Soft-touch "Для тебя!" КОН-7215</t>
  </si>
  <si>
    <t>КОН-7215</t>
  </si>
  <si>
    <t>4640520772153</t>
  </si>
  <si>
    <t>263575</t>
  </si>
  <si>
    <t>Dream Cards Конверт для денег Soft-touch "Поздравляю!" Металл шарики КОН-7218</t>
  </si>
  <si>
    <t>КОН-7218</t>
  </si>
  <si>
    <t>4640520772184</t>
  </si>
  <si>
    <t>263568</t>
  </si>
  <si>
    <t>Dream Cards Конверт для денег Soft-touch "Полевые цветы" КОН-7211</t>
  </si>
  <si>
    <t>КОН-7211</t>
  </si>
  <si>
    <t>4640520772115</t>
  </si>
  <si>
    <t>263597</t>
  </si>
  <si>
    <t>Dream Cards Конверт для денег Soft-touch "Ромашки" КОН-7223</t>
  </si>
  <si>
    <t>КОН-7223</t>
  </si>
  <si>
    <t>4640520772238</t>
  </si>
  <si>
    <t>263596</t>
  </si>
  <si>
    <t>Dream Cards Конверт для денег Soft-touch "Спасибо!" Золотой бант КОН-7222</t>
  </si>
  <si>
    <t>КОН-7222</t>
  </si>
  <si>
    <t>4640520772221</t>
  </si>
  <si>
    <t xml:space="preserve"> 7 Dream Cards Soft Touch (фольга)</t>
  </si>
  <si>
    <t>Dream Cards Soft Touch (фольга) 4+0</t>
  </si>
  <si>
    <t>243041</t>
  </si>
  <si>
    <t>Dream Cards Конверт для денег Soft Touch Без текста 4+0, фольга (разноцветный с золотым) КОН-2660</t>
  </si>
  <si>
    <t>КОН-2660</t>
  </si>
  <si>
    <t>4670159226604</t>
  </si>
  <si>
    <t>262346</t>
  </si>
  <si>
    <t>Dream Cards Конверт для денег Soft Touch Поздравляю! Больших побед, 4+0, фольга (Смокинг) КОН-7038</t>
  </si>
  <si>
    <t>КОН-7038</t>
  </si>
  <si>
    <t>4640520770388</t>
  </si>
  <si>
    <t>262332</t>
  </si>
  <si>
    <t>Dream Cards Конверт для денег Soft Touch Поздравляю!, 4+0, фольга (Волны на красном) КОН-7028</t>
  </si>
  <si>
    <t>КОН-7028</t>
  </si>
  <si>
    <t>4640520770289</t>
  </si>
  <si>
    <t>262337</t>
  </si>
  <si>
    <t>Dream Cards Конверт для денег Soft Touch Поздравляю!, 4+0, фольга (Волны на синем) КОН-7030</t>
  </si>
  <si>
    <t>КОН-7030</t>
  </si>
  <si>
    <t>4640520770302</t>
  </si>
  <si>
    <t>262336</t>
  </si>
  <si>
    <t>Dream Cards Конверт для денег Soft Touch Поздравляю!, 4+0, фольга (Золотистые полосы) КОН-7029</t>
  </si>
  <si>
    <t>КОН-7029</t>
  </si>
  <si>
    <t>4640520770296</t>
  </si>
  <si>
    <t>262348</t>
  </si>
  <si>
    <t>Dream Cards Конверт для денег Soft Touch Поздравляю!, 4+0, фольга (Золотистый узор) КОН-7040</t>
  </si>
  <si>
    <t>КОН-7040</t>
  </si>
  <si>
    <t>4640520770401</t>
  </si>
  <si>
    <t>262349</t>
  </si>
  <si>
    <t>Dream Cards Конверт для денег Soft Touch С днем Рождения!, 4+0, фольга (Подарок на шариках) КОН-7041</t>
  </si>
  <si>
    <t>КОН-7041</t>
  </si>
  <si>
    <t>4640520770418</t>
  </si>
  <si>
    <t>262338</t>
  </si>
  <si>
    <t>Dream Cards Конверт для денег Soft Touch С Днем Рождения!, 4+0, фольга (Розовые пионы) КОН-7031</t>
  </si>
  <si>
    <t>КОН-7031</t>
  </si>
  <si>
    <t>4640520770319</t>
  </si>
  <si>
    <t>262350</t>
  </si>
  <si>
    <t>Dream Cards Конверт для денег Soft Touch С днем Рождения!, 4+0, фольга (Стильный подарок) КОН-7042</t>
  </si>
  <si>
    <t>КОН-7042</t>
  </si>
  <si>
    <t>4640520770425</t>
  </si>
  <si>
    <t>262340</t>
  </si>
  <si>
    <t>Dream Cards Конверт для денегSoft Touch С Днем Рождения!, 4+0, фольга (Ежик с шарами) КОН-7032</t>
  </si>
  <si>
    <t>КОН-7032</t>
  </si>
  <si>
    <t>4640520770326</t>
  </si>
  <si>
    <t>Dream Cards Soft Touch (фольга) 4+4</t>
  </si>
  <si>
    <t>264560</t>
  </si>
  <si>
    <t>Dream Cards Конверт для денег Soft Touch Для тебя! 4+4, фольга (акварельные цветы) КОН-7350</t>
  </si>
  <si>
    <t>КОН-7350</t>
  </si>
  <si>
    <t>4640520773501</t>
  </si>
  <si>
    <t>264552</t>
  </si>
  <si>
    <t>Dream Cards Конверт для денег Soft Touch Подарок 4+4, фольга (стильная абстракция) КОН-7341</t>
  </si>
  <si>
    <t>КОН-7341</t>
  </si>
  <si>
    <t>4640520773419</t>
  </si>
  <si>
    <t>264556</t>
  </si>
  <si>
    <t>Dream Cards Конверт для денег Soft Touch Поздравляю 4+4, фольга (сладкий торт) КОН-7345</t>
  </si>
  <si>
    <t>КОН-7345</t>
  </si>
  <si>
    <t>4640520773457</t>
  </si>
  <si>
    <t>264555</t>
  </si>
  <si>
    <t>Dream Cards Конверт для денег Soft Touch Поздравляю! 4+4, фольга (горные цветы) КОН-7344</t>
  </si>
  <si>
    <t>КОН-7344</t>
  </si>
  <si>
    <t>4640520773440</t>
  </si>
  <si>
    <t>264561</t>
  </si>
  <si>
    <t>Dream Cards Конверт для денег Soft Touch С днем свадьбы! 4+4, фольга (кольца) КОН-7340</t>
  </si>
  <si>
    <t>КОН-7340</t>
  </si>
  <si>
    <t>4640520773402</t>
  </si>
  <si>
    <t>264562</t>
  </si>
  <si>
    <t>Dream Cards Конверт для денег Soft Touch Свадебный 4+4, фольга (Белые цветы) КОН-7348</t>
  </si>
  <si>
    <t>КОН-7348</t>
  </si>
  <si>
    <t>4640520773488</t>
  </si>
  <si>
    <t xml:space="preserve"> 9 Dream Cards (холодная фольга+твин лак)</t>
  </si>
  <si>
    <t>245384</t>
  </si>
  <si>
    <t>Dream Cards Конверт для денег "Золотистые сердечки. Поздравляю" (хол.фольга+ твин лак) ФХЛ-00067</t>
  </si>
  <si>
    <t>ФХЛ-00067</t>
  </si>
  <si>
    <t>466530672064700067</t>
  </si>
  <si>
    <t>245383</t>
  </si>
  <si>
    <t>Dream Cards Конверт для денег "Элегантность. Поздравляю" (хол.фольга+ твин лак) ФХЛ-00066</t>
  </si>
  <si>
    <t>ФХЛ-00066</t>
  </si>
  <si>
    <t>466530672064700066</t>
  </si>
  <si>
    <t>10 Dream Cards (фольга)</t>
  </si>
  <si>
    <t>267623</t>
  </si>
  <si>
    <t>Dream Cards Конверт для денег Подарок, 4+0, фольга (золотые точки), КОН-7735</t>
  </si>
  <si>
    <t>КОН-7735</t>
  </si>
  <si>
    <t>4640520777356</t>
  </si>
  <si>
    <t>267628</t>
  </si>
  <si>
    <t>Dream Cards Конверт для денег Поздравляю, 4+0, фольга  (звезды), КОН-7740</t>
  </si>
  <si>
    <t>КОН-7740</t>
  </si>
  <si>
    <t>4640520777400</t>
  </si>
  <si>
    <t>267624</t>
  </si>
  <si>
    <t>Dream Cards Конверт для денег Поздравляю, 4+0, фольга (белый бант), КОН-7736</t>
  </si>
  <si>
    <t>КОН-7736</t>
  </si>
  <si>
    <t>4640520777363</t>
  </si>
  <si>
    <t>267632</t>
  </si>
  <si>
    <t>Dream Cards Конверт для денег Поздравляю, 4+0, фольга (золотой блеск), КОН-7743</t>
  </si>
  <si>
    <t>КОН-7743</t>
  </si>
  <si>
    <t>4640520777431</t>
  </si>
  <si>
    <t>262317</t>
  </si>
  <si>
    <t>Dream Cards Конверт для денег Поздравляю!, 4+0, фольга (Шары на синем) КОН-7013</t>
  </si>
  <si>
    <t>КОН-7013</t>
  </si>
  <si>
    <t>4640520770135</t>
  </si>
  <si>
    <t>267630</t>
  </si>
  <si>
    <t>Dream Cards Конверт для денег С Днем рождения, 4+0, фольга (цветочная радость), КОН-7742</t>
  </si>
  <si>
    <t>КОН-7742</t>
  </si>
  <si>
    <t>4640520777424</t>
  </si>
  <si>
    <t>262326</t>
  </si>
  <si>
    <t>Dream Cards Конверт для денег С днем рождения!, 4+0, фольга (Золотистый контур) КОН-7021</t>
  </si>
  <si>
    <t>КОН-7021</t>
  </si>
  <si>
    <t>4640520770210</t>
  </si>
  <si>
    <t>262322</t>
  </si>
  <si>
    <t>Dream Cards Конверт для денег С днем рождения!, 4+0, фольга (Мужские аксессуары) КОН-7018</t>
  </si>
  <si>
    <t>КОН-7018</t>
  </si>
  <si>
    <t>4640520770180</t>
  </si>
  <si>
    <t>262329</t>
  </si>
  <si>
    <t>Dream Cards Конверт для денег С днем рождения!, 4+0, фольга (Панда с тортом) КОН-7025</t>
  </si>
  <si>
    <t>КОН-7025</t>
  </si>
  <si>
    <t>4640520770258</t>
  </si>
  <si>
    <t>262330</t>
  </si>
  <si>
    <t>Dream Cards Конверт для денег С днем рождения!, 4+0, фольга (Подарки на синем) КОН-7026</t>
  </si>
  <si>
    <t>КОН-7026</t>
  </si>
  <si>
    <t>4640520770265</t>
  </si>
  <si>
    <t>09 ШУТОЧНЫЕ ДЕНЬГИ</t>
  </si>
  <si>
    <t>Шуточные деньги (европодвес)</t>
  </si>
  <si>
    <t>040492</t>
  </si>
  <si>
    <t>Шуточные деньги 100 долларов 9-51-0004</t>
  </si>
  <si>
    <t>9-51-0004</t>
  </si>
  <si>
    <t>4670159004776</t>
  </si>
  <si>
    <t>266365</t>
  </si>
  <si>
    <t>Шуточные деньги 100 дублей, новый образец 9-51-0024</t>
  </si>
  <si>
    <t>9-51-0024</t>
  </si>
  <si>
    <t>4665295515590</t>
  </si>
  <si>
    <t>040493</t>
  </si>
  <si>
    <t>Шуточные деньги 100 евро  9-51-0005</t>
  </si>
  <si>
    <t>9-51-0005</t>
  </si>
  <si>
    <t>4670159004790</t>
  </si>
  <si>
    <t>040501</t>
  </si>
  <si>
    <t>Шуточные деньги 1000 долларов 9-51-0010</t>
  </si>
  <si>
    <t>9-51-0010</t>
  </si>
  <si>
    <t>4670159004806</t>
  </si>
  <si>
    <t>040503</t>
  </si>
  <si>
    <t>Шуточные деньги 1000 дублей 9-51-0011</t>
  </si>
  <si>
    <t>9-51-0011</t>
  </si>
  <si>
    <t>4670159004318</t>
  </si>
  <si>
    <t>040489</t>
  </si>
  <si>
    <t>Шуточные деньги 1000000 долларов 9-51-0001</t>
  </si>
  <si>
    <t>9-51-0001</t>
  </si>
  <si>
    <t>4670159004813</t>
  </si>
  <si>
    <t>076342</t>
  </si>
  <si>
    <t>Шуточные деньги 200 дублей 9-51-0019</t>
  </si>
  <si>
    <t>9-51-0019</t>
  </si>
  <si>
    <t>4670159004820</t>
  </si>
  <si>
    <t>076343</t>
  </si>
  <si>
    <t>Шуточные деньги 2000 дублей 9-51-0018</t>
  </si>
  <si>
    <t>9-51-0018</t>
  </si>
  <si>
    <t>4670159004356</t>
  </si>
  <si>
    <t>040490</t>
  </si>
  <si>
    <t>Шуточные деньги 50 долларов  9-51-0002</t>
  </si>
  <si>
    <t>9-51-0002</t>
  </si>
  <si>
    <t>4670159004844</t>
  </si>
  <si>
    <t>040499</t>
  </si>
  <si>
    <t>Шуточные деньги 500 дублей 9-51-0009</t>
  </si>
  <si>
    <t>9-51-0009</t>
  </si>
  <si>
    <t>4670159004387</t>
  </si>
  <si>
    <t>040504</t>
  </si>
  <si>
    <t>Шуточные деньги 5000 дублей 9-51-0012</t>
  </si>
  <si>
    <t>9-51-0012</t>
  </si>
  <si>
    <t>4670159004424</t>
  </si>
  <si>
    <t>Шуточные деньги под ленту</t>
  </si>
  <si>
    <t>266366</t>
  </si>
  <si>
    <t>Шуточные деньги 100 дублей, новый образец 9-50-0021</t>
  </si>
  <si>
    <t>9-50-0021</t>
  </si>
  <si>
    <t>4640520774843</t>
  </si>
  <si>
    <t>Стандартный размер</t>
  </si>
  <si>
    <t>039952</t>
  </si>
  <si>
    <t>Шуточные деньги 100 долларов 9-50-0005</t>
  </si>
  <si>
    <t>9-50-0005</t>
  </si>
  <si>
    <t>4670159004271</t>
  </si>
  <si>
    <t>039953</t>
  </si>
  <si>
    <t>Шуточные деньги 100 дублей 9-50-0006</t>
  </si>
  <si>
    <t>9-50-0006</t>
  </si>
  <si>
    <t>4670159004288</t>
  </si>
  <si>
    <t>039957</t>
  </si>
  <si>
    <t>Шуточные деньги 1000 долларов 9-50-0010</t>
  </si>
  <si>
    <t>9-50-0010</t>
  </si>
  <si>
    <t>4670159004295</t>
  </si>
  <si>
    <t>039963</t>
  </si>
  <si>
    <t>Шуточные деньги 1000 дублей 9-50-0015</t>
  </si>
  <si>
    <t>9-50-0015</t>
  </si>
  <si>
    <t>4670159004301</t>
  </si>
  <si>
    <t>076348</t>
  </si>
  <si>
    <t>Шуточные деньги 200 дублей 9-50-0018</t>
  </si>
  <si>
    <t>9-50-0018</t>
  </si>
  <si>
    <t>4670159004332</t>
  </si>
  <si>
    <t>039958</t>
  </si>
  <si>
    <t>Шуточные деньги 200 евро 9-50-0011</t>
  </si>
  <si>
    <t>9-50-0011</t>
  </si>
  <si>
    <t>4670159004868</t>
  </si>
  <si>
    <t>076347</t>
  </si>
  <si>
    <t>Шуточные деньги 2000 дублей 9-50-0017</t>
  </si>
  <si>
    <t>9-50-0017</t>
  </si>
  <si>
    <t>4670159004349</t>
  </si>
  <si>
    <t>039960</t>
  </si>
  <si>
    <t>Шуточные деньги 500 дублей 9-50-0012</t>
  </si>
  <si>
    <t>9-50-0012</t>
  </si>
  <si>
    <t>4670159004363</t>
  </si>
  <si>
    <t>039961</t>
  </si>
  <si>
    <t>Шуточные деньги 5000 дублей 9-50-0013</t>
  </si>
  <si>
    <t>9-50-0013</t>
  </si>
  <si>
    <t>4670159004417</t>
  </si>
  <si>
    <t>256308</t>
  </si>
  <si>
    <t>Шуточные деньги 5000 дублей, новый образец 9-50-0020</t>
  </si>
  <si>
    <t>9-50-0020</t>
  </si>
  <si>
    <t>4630493770867</t>
  </si>
  <si>
    <t>10 ИГРЫ</t>
  </si>
  <si>
    <t>01 Игральные карты</t>
  </si>
  <si>
    <t>01 Классические игральные карты</t>
  </si>
  <si>
    <t>Классические игральные карты "Производство Китай"</t>
  </si>
  <si>
    <t>071636</t>
  </si>
  <si>
    <t>Карты игральные 36 шт/колода ИН-0419</t>
  </si>
  <si>
    <t>ИН-0419</t>
  </si>
  <si>
    <t>4665303204195</t>
  </si>
  <si>
    <t>071637</t>
  </si>
  <si>
    <t>Карты игральные 54 шт/колода ИН-0420</t>
  </si>
  <si>
    <t>ИН-0420</t>
  </si>
  <si>
    <t>4665303204201</t>
  </si>
  <si>
    <t>Классические игральные карты "Собственное производство"</t>
  </si>
  <si>
    <t>117874</t>
  </si>
  <si>
    <t>Карты игральные "Король игры" 36 шт. ИН-4069</t>
  </si>
  <si>
    <t>ИН-4069</t>
  </si>
  <si>
    <t>4665307340691</t>
  </si>
  <si>
    <t>02 Карточные игры</t>
  </si>
  <si>
    <t>01 Карточные коммуникативные игры</t>
  </si>
  <si>
    <t>01 Малый формат</t>
  </si>
  <si>
    <t>092221</t>
  </si>
  <si>
    <t>Загадки Шерлока. Загадочные дела 12+ ИН-0664</t>
  </si>
  <si>
    <t>ИН-0664</t>
  </si>
  <si>
    <t>4665305406641</t>
  </si>
  <si>
    <t>02 Средний формат</t>
  </si>
  <si>
    <t>189037</t>
  </si>
  <si>
    <t>Карточная игра Быстрословы ИК-6461</t>
  </si>
  <si>
    <t>ИК-6461</t>
  </si>
  <si>
    <t>4620129764513</t>
  </si>
  <si>
    <t>176905</t>
  </si>
  <si>
    <t>Карточная игра Иными словами (55 карточек) ИН-9745</t>
  </si>
  <si>
    <t>ИН-9745</t>
  </si>
  <si>
    <t>4610144897457</t>
  </si>
  <si>
    <t>176910</t>
  </si>
  <si>
    <t>Карточная игра Картодил против Крокомима (55 карточек) 12+  ИН-9749</t>
  </si>
  <si>
    <t>ИН-9749</t>
  </si>
  <si>
    <t>4610144897495</t>
  </si>
  <si>
    <t>176903</t>
  </si>
  <si>
    <t>Карточная игра Мемасы (55 карточек) ИН-9743</t>
  </si>
  <si>
    <t>ИН-9743</t>
  </si>
  <si>
    <t>4610144897433</t>
  </si>
  <si>
    <t>189032</t>
  </si>
  <si>
    <t>Карточная игра Отвечай или действуй ИК-6459</t>
  </si>
  <si>
    <t>ИК-6459</t>
  </si>
  <si>
    <t>4620129764490</t>
  </si>
  <si>
    <t>194119</t>
  </si>
  <si>
    <t>Карточная игра. Правда или вызов (55  карточек) ИН-9514</t>
  </si>
  <si>
    <t>ИН-9514</t>
  </si>
  <si>
    <t>4620129785143</t>
  </si>
  <si>
    <t>084250</t>
  </si>
  <si>
    <t>Угадай меня  ИН-9150</t>
  </si>
  <si>
    <t>ИН-9150</t>
  </si>
  <si>
    <t>4665305391503</t>
  </si>
  <si>
    <t>05 Премиум формат в коммуникативных играх</t>
  </si>
  <si>
    <t>197575</t>
  </si>
  <si>
    <t>Карточная игра  "Крокодайл kids" 5+  (100 карт, песочные часы) ИН-1346</t>
  </si>
  <si>
    <t>ИН-1346</t>
  </si>
  <si>
    <t>4665308685722</t>
  </si>
  <si>
    <t>02 Алкогольные и игры 18+</t>
  </si>
  <si>
    <t>05 Премиум формат</t>
  </si>
  <si>
    <t>208160</t>
  </si>
  <si>
    <t>Карточная игра Угадай меня Classic 18+ big box (200 карточек, песочные часы, 4 ободка) ИН-6349</t>
  </si>
  <si>
    <t>ИН-6349</t>
  </si>
  <si>
    <t>4670159063292</t>
  </si>
  <si>
    <t>03 Настольные игры</t>
  </si>
  <si>
    <t>АВТОМАТ ПРИЗОВ</t>
  </si>
  <si>
    <t>218913</t>
  </si>
  <si>
    <t>Игрушка Хваталка. Автомат призов "Нежный зайка", 26,2*12,2*32,2см. ИХА-2151</t>
  </si>
  <si>
    <t>ИХА-2151</t>
  </si>
  <si>
    <t>4670159121510</t>
  </si>
  <si>
    <t>218910</t>
  </si>
  <si>
    <t>Игрушка. Автомат призов "Мишутка", 20*33*19 см. ИХА-2148</t>
  </si>
  <si>
    <t>ИХА-2148</t>
  </si>
  <si>
    <t>4670159121480</t>
  </si>
  <si>
    <t>АЛКОГОЛЬНЫЕ ИГРЫ</t>
  </si>
  <si>
    <t>275170</t>
  </si>
  <si>
    <t>Алкогольная игра "Рулетка", 30 см ИГН-3427</t>
  </si>
  <si>
    <t>ИГН-3427</t>
  </si>
  <si>
    <t>4680942634271</t>
  </si>
  <si>
    <t>079690</t>
  </si>
  <si>
    <t>Алкогольная игра Рулетка, 30 см: 16 стопок ИН-3730</t>
  </si>
  <si>
    <t>ИН-3730</t>
  </si>
  <si>
    <t>4665303237308</t>
  </si>
  <si>
    <t>ДОМИНО</t>
  </si>
  <si>
    <t>275158</t>
  </si>
  <si>
    <t>Домино (пластиковые кости 28 шт) в деревянном сундучке "Бабушкин сундук" 20,5*12,5*4см ИГН-3415</t>
  </si>
  <si>
    <t>ИГН-3415</t>
  </si>
  <si>
    <t>4680942634158</t>
  </si>
  <si>
    <t>275157</t>
  </si>
  <si>
    <t>Домино (пластиковые кости 28 шт) в деревянном сундучке "Классика" 20,5*12,5*4см ИГН-3414</t>
  </si>
  <si>
    <t>ИГН-3414</t>
  </si>
  <si>
    <t>4680942634141</t>
  </si>
  <si>
    <t>275160</t>
  </si>
  <si>
    <t>Домино (пластиковые кости 28 шт) в деревянном сундучке "Орнамент" 20,5*12,5*4см ИГН-3417</t>
  </si>
  <si>
    <t>ИГН-3417</t>
  </si>
  <si>
    <t>4680942634172</t>
  </si>
  <si>
    <t>275159</t>
  </si>
  <si>
    <t>Домино (пластиковые кости 28 шт) в деревянном сундучке "Узорное" 20,5*12,5*4см ИГН-3416</t>
  </si>
  <si>
    <t>ИГН-3416</t>
  </si>
  <si>
    <t>4680942634165</t>
  </si>
  <si>
    <t>235663</t>
  </si>
  <si>
    <t>Домино (пластиковые кости 28шт) в деревянной коробке  "Мрамор",  20.5*12.5см ИГН-0304</t>
  </si>
  <si>
    <t>ИГН-0304</t>
  </si>
  <si>
    <t>4670159203049</t>
  </si>
  <si>
    <t>235660</t>
  </si>
  <si>
    <t>Домино (пластиковые кости 28шт) в деревянной коробке  "Резьба",  20.5*12.5см ИГН-0300</t>
  </si>
  <si>
    <t>ИГН-0300</t>
  </si>
  <si>
    <t>4670159203001</t>
  </si>
  <si>
    <t>235664</t>
  </si>
  <si>
    <t>Домино (пластиковые кости 28шт) в деревянной коробке  "Старина",  20.5*12.5см ИГН-0305</t>
  </si>
  <si>
    <t>ИГН-0305</t>
  </si>
  <si>
    <t>4670159203056</t>
  </si>
  <si>
    <t>235662</t>
  </si>
  <si>
    <t>Домино (пластиковые кости 28шт) в деревянной коробке  "Узорчатые",  20.5*12.5см ИГН-0302</t>
  </si>
  <si>
    <t>ИГН-0302</t>
  </si>
  <si>
    <t>4670159203025</t>
  </si>
  <si>
    <t>211340</t>
  </si>
  <si>
    <t>Домино (пластиковые кости 28шт) в деревянной коробке "Классика", 20.5*12.5*4см ИН-7720</t>
  </si>
  <si>
    <t>ИН-7720</t>
  </si>
  <si>
    <t>4670159077206</t>
  </si>
  <si>
    <t>211329</t>
  </si>
  <si>
    <t>Домино (пластиковые кости 28шт) в жестяной коробке "Азарт", 20.5*12.5*4см ИН-7713</t>
  </si>
  <si>
    <t>ИН-7713</t>
  </si>
  <si>
    <t>4670159077138</t>
  </si>
  <si>
    <t>211331</t>
  </si>
  <si>
    <t>Домино (пластиковые кости 28шт) в жестяной коробке "Базар", 20.5*12.5*4см ИН-7714</t>
  </si>
  <si>
    <t>ИН-7714</t>
  </si>
  <si>
    <t>4670159077145</t>
  </si>
  <si>
    <t>122656</t>
  </si>
  <si>
    <t>Домино в деревянном футляре Резное, 21х12х4 см ИН-6458</t>
  </si>
  <si>
    <t>ИН-6458</t>
  </si>
  <si>
    <t>4665307363386</t>
  </si>
  <si>
    <t>ЛОТО</t>
  </si>
  <si>
    <t>275171</t>
  </si>
  <si>
    <t>Настольная игра "Бинго" ИГН-3428</t>
  </si>
  <si>
    <t>ИГН-3428</t>
  </si>
  <si>
    <t>4680942634288</t>
  </si>
  <si>
    <t>235669</t>
  </si>
  <si>
    <t>Русское Лото  (деревянные бочонки 90шт) в деревянной коробке "Посиделки"  23.5*13.5*8.5см ИГН-0310</t>
  </si>
  <si>
    <t>ИГН-0310</t>
  </si>
  <si>
    <t>4670159203100</t>
  </si>
  <si>
    <t>235668</t>
  </si>
  <si>
    <t>Русское Лото  (деревянные бочонки 90шт) в деревянной коробке "Традиция"  24*10.5*7.5 см ИГН-0309</t>
  </si>
  <si>
    <t>ИГН-0309</t>
  </si>
  <si>
    <t>4670159203094</t>
  </si>
  <si>
    <t>235667</t>
  </si>
  <si>
    <t>Русское Лото  (деревянные бочонки 90шт) в деревянной коробке "Узор"  24*13.5*9.5 см ИГН-0308</t>
  </si>
  <si>
    <t>ИГН-0308</t>
  </si>
  <si>
    <t>4670159203087</t>
  </si>
  <si>
    <t>235666</t>
  </si>
  <si>
    <t>Русское Лото  (деревянные бочонки 90шт) в коробке из экокожи "Блэк"  25*13.5*9 см ИГН-0307</t>
  </si>
  <si>
    <t>ИГН-0307</t>
  </si>
  <si>
    <t>4670159203070</t>
  </si>
  <si>
    <t>275156</t>
  </si>
  <si>
    <t>Русское Лото (деревянные бочонки 90 шт) в деревянном сундуке 24*13,5*9см ИГН-3413</t>
  </si>
  <si>
    <t>ИГН-3413</t>
  </si>
  <si>
    <t>4680942634134</t>
  </si>
  <si>
    <t>275154</t>
  </si>
  <si>
    <t>Русское Лото (деревянные бочонки 90 шт) в деревянном сундучке 24*13,5*9см ИГН-3411</t>
  </si>
  <si>
    <t>ИГН-3411</t>
  </si>
  <si>
    <t>4680942634110</t>
  </si>
  <si>
    <t>275155</t>
  </si>
  <si>
    <t>Русское Лото (деревянные бочонки 90 шт) в деревянном сундучке 24*13,5*9см ИГН-3412</t>
  </si>
  <si>
    <t>ИГН-3412</t>
  </si>
  <si>
    <t>4680942634127</t>
  </si>
  <si>
    <t>267040</t>
  </si>
  <si>
    <t>Русское Лото (деревянные бочонки 90 шт) в деревянном сундучке 24*14*9см ИН-7535</t>
  </si>
  <si>
    <t>ИН-7535</t>
  </si>
  <si>
    <t>4640520775352</t>
  </si>
  <si>
    <t>211333</t>
  </si>
  <si>
    <t>Русское лото (деревянные бочонки 90шт) в деревянной коробке "Джекпот" 24*14*9.5см ИН-7716</t>
  </si>
  <si>
    <t>ИН-7716</t>
  </si>
  <si>
    <t>4670159077169</t>
  </si>
  <si>
    <t>211336</t>
  </si>
  <si>
    <t>Русское лото (деревянные бочонки 90шт) в деревянной коробке "Кружево" 20.5*12.5*4см ИН-7718</t>
  </si>
  <si>
    <t>ИН-7718</t>
  </si>
  <si>
    <t>4670159077183</t>
  </si>
  <si>
    <t>211339</t>
  </si>
  <si>
    <t>Русское лото (деревянные бочонки 90шт) в деревянной коробке "Старинное" 19.5*12.5*7см ИН-7719</t>
  </si>
  <si>
    <t>ИН-7719</t>
  </si>
  <si>
    <t>4670159077190</t>
  </si>
  <si>
    <t>211335</t>
  </si>
  <si>
    <t>Русское лото (деревянные бочонки 90шт) в деревянной коробке "Узоры" 24*14*9.5см ИН-7717</t>
  </si>
  <si>
    <t>ИН-7717</t>
  </si>
  <si>
    <t>4670159077176</t>
  </si>
  <si>
    <t>211332</t>
  </si>
  <si>
    <t>Русское лото (деревянные бочонки 90шт) в жестяной коробке "Традиция", 24*12*8см ИН-7715</t>
  </si>
  <si>
    <t>ИН-7715</t>
  </si>
  <si>
    <t>4670159077152</t>
  </si>
  <si>
    <t>235665</t>
  </si>
  <si>
    <t>Русское Лото (деревянные бочонки 90шт) в картонной коробке "Русский стиль"  24*13*8 см ИГН-0306</t>
  </si>
  <si>
    <t>ИГН-0306</t>
  </si>
  <si>
    <t>4670159203063</t>
  </si>
  <si>
    <t>МАТЕМАТИЧЕСКИЕ ИГРЫ</t>
  </si>
  <si>
    <t>267035</t>
  </si>
  <si>
    <t>Математическая игра "В десятку" (деревянные кости 8шт) в картонной коробке 22*22*4см ИН-7530</t>
  </si>
  <si>
    <t>ИН-7530</t>
  </si>
  <si>
    <t>4640520775307</t>
  </si>
  <si>
    <t>НАБОРЫ</t>
  </si>
  <si>
    <t>275161</t>
  </si>
  <si>
    <t>Настольная игра 3в1 шахматы, шашки, нарды  (фигуры из дерева) 29*14.5*4 см ИГН-3418</t>
  </si>
  <si>
    <t>ИГН-3418</t>
  </si>
  <si>
    <t>4680942634189</t>
  </si>
  <si>
    <t>093467</t>
  </si>
  <si>
    <t>Шахматы, нарды, шашки деревянные 3 в 1 (поле 29 см) фигуры из дерева P00024 М</t>
  </si>
  <si>
    <t>P00024</t>
  </si>
  <si>
    <t>4665305391800</t>
  </si>
  <si>
    <t>275169</t>
  </si>
  <si>
    <t>Шахматы, нарды, шашки деревянные 3 в 1 (фигуры из пластика) 23.5*13.5*4 см ИГН-3426</t>
  </si>
  <si>
    <t>ИГН-3426</t>
  </si>
  <si>
    <t>4680942634264</t>
  </si>
  <si>
    <t>275168</t>
  </si>
  <si>
    <t>Шахматы, нарды, шашки магнитные пластиковые 3 в 1, 27*13.5*4 см ИГН-3425</t>
  </si>
  <si>
    <t>ИГН-3425</t>
  </si>
  <si>
    <t>4680942634257</t>
  </si>
  <si>
    <t>257851</t>
  </si>
  <si>
    <t>Шахматы, шашки, нарды. Набор 3 в 1 "Королевская битва" доска и фигуры деревянные, 30*15*3см, ИН-7491</t>
  </si>
  <si>
    <t>ИН-7491</t>
  </si>
  <si>
    <t>4630493774919</t>
  </si>
  <si>
    <t>257852</t>
  </si>
  <si>
    <t>Шахматы, шашки, нарды. Набор 3 в 1 "Ритм игры" доска и фигуры деревянные, 34*17*3,5 см, ИН-7492</t>
  </si>
  <si>
    <t>ИН-7492</t>
  </si>
  <si>
    <t>4630493774926</t>
  </si>
  <si>
    <t>257850</t>
  </si>
  <si>
    <t>Шахматы, шашки, нарды. Набор 3 в 1 "Умный ход" Доска и фигуры деревянные 24*12*3 см, ИН-7490</t>
  </si>
  <si>
    <t>ИН-7490</t>
  </si>
  <si>
    <t>4630493774902</t>
  </si>
  <si>
    <t>НАБОРЫ ДЛЯ ПОКЕРА</t>
  </si>
  <si>
    <t>257846</t>
  </si>
  <si>
    <t>Набор для покера "Вызов" 100 фишек с номиналом, 2 колоды карт, 21*21*6,5см, ИН-7486</t>
  </si>
  <si>
    <t>ИН-7486</t>
  </si>
  <si>
    <t>4630493774865</t>
  </si>
  <si>
    <t>067308</t>
  </si>
  <si>
    <t>Набор для покера "Игрок" 200 фишек без номинала ИН-0143</t>
  </si>
  <si>
    <t>ИН-0143</t>
  </si>
  <si>
    <t>4665303201439</t>
  </si>
  <si>
    <t>235672</t>
  </si>
  <si>
    <t>Набор для покера "Казино" экокожа 300 фишек с номиналом, черный 39*21*6.5см ИГН-0313</t>
  </si>
  <si>
    <t>ИГН-0313</t>
  </si>
  <si>
    <t>4670159203131</t>
  </si>
  <si>
    <t>235673</t>
  </si>
  <si>
    <t>Набор для покера "Казино" экокожа 500 фишек с номиналом, черный 56.5*21*7см ИГН-0314</t>
  </si>
  <si>
    <t>ИГН-0314</t>
  </si>
  <si>
    <t>4670159203148</t>
  </si>
  <si>
    <t>211343</t>
  </si>
  <si>
    <t>Набор для покера "Каре", 200 фишек с номиналом, 24*12*11см ИН-7722</t>
  </si>
  <si>
    <t>ИН-7722</t>
  </si>
  <si>
    <t>4670159077220</t>
  </si>
  <si>
    <t>231893</t>
  </si>
  <si>
    <t>Набор для покера "Кикер" 500 фишек с номиналом, чёрный, 56*8*20 см ИН-8256</t>
  </si>
  <si>
    <t>ИН-8256</t>
  </si>
  <si>
    <t>4670159182566</t>
  </si>
  <si>
    <t>231895</t>
  </si>
  <si>
    <t>Набор для покера "Крупье" 200 фишек с номиналом, чёрный, 30*20.5*6 см ИН-8291</t>
  </si>
  <si>
    <t>ИН-8291</t>
  </si>
  <si>
    <t>4670159182580</t>
  </si>
  <si>
    <t>257848</t>
  </si>
  <si>
    <t>Набор для покера "Ловкость рук" 200 фишек с номиналом, 2 колоды, 30*21,5*6см, деревян. кейс, ИН-7488</t>
  </si>
  <si>
    <t>ИН-7488</t>
  </si>
  <si>
    <t>4630493774889</t>
  </si>
  <si>
    <t>067309</t>
  </si>
  <si>
    <t>Набор для покера "Любитель" 100 фишек без номинала ИН-0144</t>
  </si>
  <si>
    <t>ИН-0144</t>
  </si>
  <si>
    <t>4665303201446</t>
  </si>
  <si>
    <t>231896</t>
  </si>
  <si>
    <t>Набор для покера "Овербет"  300 фишек с номиналом, чёрный, 39*21*6.5 см ИН-8292</t>
  </si>
  <si>
    <t>ИН-8292</t>
  </si>
  <si>
    <t>4670159182597</t>
  </si>
  <si>
    <t>257847</t>
  </si>
  <si>
    <t>Набор для покера "Победитель" 100 фишек с номиналом, 2 колоды карт, 21*21*7см, ИН-7487</t>
  </si>
  <si>
    <t>ИН-7487</t>
  </si>
  <si>
    <t>4630493774872</t>
  </si>
  <si>
    <t>067310</t>
  </si>
  <si>
    <t>Набор для покера "Профессионал" 200 фишек с номиналом ИН-0145</t>
  </si>
  <si>
    <t>ИН-0145</t>
  </si>
  <si>
    <t>4665303201453</t>
  </si>
  <si>
    <t>079688</t>
  </si>
  <si>
    <t>Набор для покера Poker chips в металлическом футляре, 100 фишек с номиналом ИН-3727</t>
  </si>
  <si>
    <t>ИН-3727</t>
  </si>
  <si>
    <t>4665303237278</t>
  </si>
  <si>
    <t>079689</t>
  </si>
  <si>
    <t>Набор для покера Professional Poker в металлическом футляре, 80 фишек с номиналом ИН-3728</t>
  </si>
  <si>
    <t>ИН-3728</t>
  </si>
  <si>
    <t>4665303237285</t>
  </si>
  <si>
    <t>231894</t>
  </si>
  <si>
    <t>Набор для покера в металл. коробке "Бэкдор", 300 фишек с номиналом, 21*35*7 см ИН-8257</t>
  </si>
  <si>
    <t>ИН-8257</t>
  </si>
  <si>
    <t>4670159182573</t>
  </si>
  <si>
    <t>231891</t>
  </si>
  <si>
    <t>Набор для покера в металл. коробке "Бэкдор", 500 фишек с номиналом, cукно, 29*7*33 см ИН-8290</t>
  </si>
  <si>
    <t>ИН-8290</t>
  </si>
  <si>
    <t>4670159182542</t>
  </si>
  <si>
    <t>257849</t>
  </si>
  <si>
    <t>Набор для покера в металл.коробке "Королевская игра" 500 фишек с номиналом, 32*29*7,5 см, ИН-7489</t>
  </si>
  <si>
    <t>ИН-7489</t>
  </si>
  <si>
    <t>4630493774896</t>
  </si>
  <si>
    <t>211344</t>
  </si>
  <si>
    <t>Набор для покера в металлической коробке "Стрит", 100 фишек с номиналом, 20*20*5см ИН-7723</t>
  </si>
  <si>
    <t>ИН-7723</t>
  </si>
  <si>
    <t>4670159077237</t>
  </si>
  <si>
    <t>079693</t>
  </si>
  <si>
    <t>Набор для покера в пакете  Дорожный, 80 фишек с номиналом ИН-3729</t>
  </si>
  <si>
    <t>ИН-3729</t>
  </si>
  <si>
    <t>4665303237292</t>
  </si>
  <si>
    <t>231897</t>
  </si>
  <si>
    <t>Шафл машинка для перемешивания карт (4 колоды) "Кикер", на батарейках (4*R14/С, не в компл.) ИН-8293</t>
  </si>
  <si>
    <t>ИН-8293</t>
  </si>
  <si>
    <t>4670159182603</t>
  </si>
  <si>
    <t>ШАХМАТЫ</t>
  </si>
  <si>
    <t>275164</t>
  </si>
  <si>
    <t>Шахматы деревянные (фигуры из дерева)  23,5*11,5*3см ИГН-3421</t>
  </si>
  <si>
    <t>ИГН-3421</t>
  </si>
  <si>
    <t>4680942634219</t>
  </si>
  <si>
    <t>275165</t>
  </si>
  <si>
    <t>Шахматы деревянные (фигуры из дерева)  23,5*11,5*3см ИГН-3422</t>
  </si>
  <si>
    <t>ИГН-3422</t>
  </si>
  <si>
    <t>4680942634226</t>
  </si>
  <si>
    <t>275166</t>
  </si>
  <si>
    <t>Шахматы деревянные (фигуры из дерева)  23,5*11,5*3см ИГН-3423</t>
  </si>
  <si>
    <t>ИГН-3423</t>
  </si>
  <si>
    <t>4680942634233</t>
  </si>
  <si>
    <t>275167</t>
  </si>
  <si>
    <t>Шахматы деревянные (фигуры из дерева)  23,5*11,5*3см ИГН-3424</t>
  </si>
  <si>
    <t>ИГН-3424</t>
  </si>
  <si>
    <t>4680942634240</t>
  </si>
  <si>
    <t>093474</t>
  </si>
  <si>
    <t>Шахматы магнитные пластиковые (поле 25 см) P00082 М</t>
  </si>
  <si>
    <t>P00082</t>
  </si>
  <si>
    <t>4665305392227</t>
  </si>
  <si>
    <t>275163</t>
  </si>
  <si>
    <t>Шахматы магнитные пластиковые (фигуры из пластика) 27*13,5*3,8 ИГН-3420</t>
  </si>
  <si>
    <t>ИГН-3420</t>
  </si>
  <si>
    <t>4680942634202</t>
  </si>
  <si>
    <t>275162</t>
  </si>
  <si>
    <t>Шахматы магнитные пластиковые (фигуры из пластика) 27*13,5*8см ИГН-3419</t>
  </si>
  <si>
    <t>ИГН-3419</t>
  </si>
  <si>
    <t>4680942634196</t>
  </si>
  <si>
    <t>11 ТОВАРЫ ДЛЯ ДОМА</t>
  </si>
  <si>
    <t>Таблетницы</t>
  </si>
  <si>
    <t>223401</t>
  </si>
  <si>
    <t>Таблетница круглая фиолетовая на неделю 8.5*4*2 см ТЛ-4221</t>
  </si>
  <si>
    <t>ТЛ-4221</t>
  </si>
  <si>
    <t>4670159142218</t>
  </si>
  <si>
    <t>223411</t>
  </si>
  <si>
    <t>Таблетница мини на день, 4 приема  9*9*2 см(7.5*7.5*2) ТЛ-4226</t>
  </si>
  <si>
    <t>ТЛ-4226</t>
  </si>
  <si>
    <t>4670159142263</t>
  </si>
  <si>
    <t>223405</t>
  </si>
  <si>
    <t>Таблетница цветная 7 дней 3 приема 17.5*10.5*2.6 см ТЛ-4224</t>
  </si>
  <si>
    <t>ТЛ-4224</t>
  </si>
  <si>
    <t>4670159142249</t>
  </si>
  <si>
    <t>223403</t>
  </si>
  <si>
    <t>Таблетница-органайзер на 7 дней, 4 приема 11.5*4.5*13 см ТЛ-4223</t>
  </si>
  <si>
    <t>ТЛ-4223</t>
  </si>
  <si>
    <t>4670159142232</t>
  </si>
  <si>
    <t>Товары для ванной</t>
  </si>
  <si>
    <t>Коврики для ванной</t>
  </si>
  <si>
    <t>220693</t>
  </si>
  <si>
    <t>Коврик для ванны "Стиль", бежевый, 50*80 см БП-2869</t>
  </si>
  <si>
    <t>БП-2869</t>
  </si>
  <si>
    <t>4670159128694</t>
  </si>
  <si>
    <t>220700</t>
  </si>
  <si>
    <t>Коврик для ванны "Уют", бежевый, 50*80 см БП-2873</t>
  </si>
  <si>
    <t>БП-2873</t>
  </si>
  <si>
    <t>4670159128731</t>
  </si>
  <si>
    <t>220697</t>
  </si>
  <si>
    <t>Набор из двух ковриков для ванны и туалета "Модный", бежевый, 50*80 см, 50*40 см БП-2879</t>
  </si>
  <si>
    <t>БП-2879</t>
  </si>
  <si>
    <t>4670159128793</t>
  </si>
  <si>
    <t>220696</t>
  </si>
  <si>
    <t>Набор из двух ковриков для ванны и туалета "Модный", белый, 50*80 см, 50*40 см БП-2878</t>
  </si>
  <si>
    <t>БП-2878</t>
  </si>
  <si>
    <t>4670159128786</t>
  </si>
  <si>
    <t>220695</t>
  </si>
  <si>
    <t>Набор из двух ковриков для ванны и туалета "Модный", серый, 50*80 см, 50*40 см БП-2877</t>
  </si>
  <si>
    <t>БП-2877</t>
  </si>
  <si>
    <t>4670159128779</t>
  </si>
  <si>
    <t>12 ЭЛЕКТРОНИКА</t>
  </si>
  <si>
    <t>2 Аксессуары для смартфонов</t>
  </si>
  <si>
    <t>1 Чехлы</t>
  </si>
  <si>
    <t>219046</t>
  </si>
  <si>
    <t>Чехол для смартфона iPh11 прозрачн.белый,Magsafe (защит.керам.пленка в компл 100D)8*15.5cм ЧС-2153</t>
  </si>
  <si>
    <t>ЧС-2153</t>
  </si>
  <si>
    <t>4670159121534</t>
  </si>
  <si>
    <t>2 Защита для провода и блока</t>
  </si>
  <si>
    <t>239188</t>
  </si>
  <si>
    <t>Защита для блока и провода зарядного устройства "Нежность" ЗЗ-1874</t>
  </si>
  <si>
    <t>ЗЗ-1874</t>
  </si>
  <si>
    <t>4670159218746</t>
  </si>
  <si>
    <t>239191</t>
  </si>
  <si>
    <t>Защита для блока и провода зарядного устройства "Розовые сердечки" ЗЗ-1877</t>
  </si>
  <si>
    <t>ЗЗ-1877</t>
  </si>
  <si>
    <t>4670159218777</t>
  </si>
  <si>
    <t>239190</t>
  </si>
  <si>
    <t>Защита для провода зарядного устройства "Белая лапка" ЗЗ-1876</t>
  </si>
  <si>
    <t>ЗЗ-1876</t>
  </si>
  <si>
    <t>4670159218760</t>
  </si>
  <si>
    <t>239193</t>
  </si>
  <si>
    <t>Защита для провода зарядного устройства "Розовая лапка" ЗЗ-1879</t>
  </si>
  <si>
    <t>ЗЗ-1879</t>
  </si>
  <si>
    <t>4670159218791</t>
  </si>
  <si>
    <t>3 Подставки и держатели</t>
  </si>
  <si>
    <t>231400</t>
  </si>
  <si>
    <t>Увеличитель экрана телефона белый, 10 дюймов, 26*17 см, пластик УЭ-8186</t>
  </si>
  <si>
    <t>УЭ-8186</t>
  </si>
  <si>
    <t>4670159181866</t>
  </si>
  <si>
    <t>231399</t>
  </si>
  <si>
    <t>Увеличитель экрана телефона красный, 10 дюймов, 26*17 см, пластик УЭ-8185</t>
  </si>
  <si>
    <t>УЭ-8185</t>
  </si>
  <si>
    <t>4670159181859</t>
  </si>
  <si>
    <t>231403</t>
  </si>
  <si>
    <t>Увеличитель экрана телефона красный, 12 дюймов, 26*17 см, пластик УЭ-8188</t>
  </si>
  <si>
    <t>УЭ-8188</t>
  </si>
  <si>
    <t>4670159181880</t>
  </si>
  <si>
    <t>231397</t>
  </si>
  <si>
    <t>Увеличитель экрана телефона черный, 10 дюймов, 26*17 см, пластик УЭ-8184</t>
  </si>
  <si>
    <t>УЭ-8184</t>
  </si>
  <si>
    <t>4670159181842</t>
  </si>
  <si>
    <t>231401</t>
  </si>
  <si>
    <t>Увеличитель экрана телефона черный, 12 дюймов, 26*17 см, пластик УЭ-8187</t>
  </si>
  <si>
    <t>УЭ-8187</t>
  </si>
  <si>
    <t>4670159181873</t>
  </si>
  <si>
    <t>220333</t>
  </si>
  <si>
    <t>Умный держатель для смартфона (емкость батареи 1200 мАч, кабель в комплекте) TPH-2731</t>
  </si>
  <si>
    <t>TPH-2731</t>
  </si>
  <si>
    <t>4670159127314</t>
  </si>
  <si>
    <t>3 Портативное аудио</t>
  </si>
  <si>
    <t>1 Колонка беспроводная</t>
  </si>
  <si>
    <t>212644</t>
  </si>
  <si>
    <t>Портативная акустич.беспровод.колонка.Автомобиль.USB,87,5-108,0 MHz,20.5*8.3*10см КЛН-8022</t>
  </si>
  <si>
    <t>КЛН-8022</t>
  </si>
  <si>
    <t>4670159080220</t>
  </si>
  <si>
    <t>212642</t>
  </si>
  <si>
    <t>Портативная акустич.беспровод.колонка.Автомобиль.USB,87,5-108,0 MHz,31*13*11см КЛН-8021</t>
  </si>
  <si>
    <t>КЛН-8021</t>
  </si>
  <si>
    <t>4670159080213</t>
  </si>
  <si>
    <t>212639</t>
  </si>
  <si>
    <t>Портативная акустич.беспровод.колонка.Автомобиль.Красная.USB,87,5-108,0 MHz,31*13*11см КЛН-8019</t>
  </si>
  <si>
    <t>КЛН-8019</t>
  </si>
  <si>
    <t>4670159080190</t>
  </si>
  <si>
    <t>212636</t>
  </si>
  <si>
    <t>Портативная акустич.беспровод.колонка.Автомобиль.Чёрная.USB,87,5-108,0 MHz, 22.3*9.5*5.5см КЛН-8017</t>
  </si>
  <si>
    <t>КЛН-8017</t>
  </si>
  <si>
    <t>4670159080176</t>
  </si>
  <si>
    <t>212635</t>
  </si>
  <si>
    <t>Портативная акустич.беспровод.колонка.Автомобиль.Чёрная.USB,87,5-108,0 MHz,22.7*9.2*7.2см КЛН-8016</t>
  </si>
  <si>
    <t>КЛН-8016</t>
  </si>
  <si>
    <t>4670159080169</t>
  </si>
  <si>
    <t>222720</t>
  </si>
  <si>
    <t>Портативная акустич.беспровод.колонка.Автомобиль.Чёрная.USB,87,5-108,0 MHz,23.3*9.4*9.3см КЛН-3996</t>
  </si>
  <si>
    <t>КЛН-3996</t>
  </si>
  <si>
    <t>4670159139966</t>
  </si>
  <si>
    <t>212637</t>
  </si>
  <si>
    <t>Портативная акустич.беспровод.колонка.Автомобиль.Чёрная.USB,87,5-108,0 MHz,26.5*12*12.2см КЛН-8018</t>
  </si>
  <si>
    <t>КЛН-8018</t>
  </si>
  <si>
    <t>4670159080183</t>
  </si>
  <si>
    <t>216250</t>
  </si>
  <si>
    <t>Портативная колонка с микрофоном "Моя дискотека" ПКЛ-0809</t>
  </si>
  <si>
    <t>ПКЛ-0809</t>
  </si>
  <si>
    <t>4670159108092</t>
  </si>
  <si>
    <t>216249</t>
  </si>
  <si>
    <t>Портативная колонка с микрофоном "Пошумим?" ПКЛ-0808</t>
  </si>
  <si>
    <t>ПКЛ-0808</t>
  </si>
  <si>
    <t>4670159108085</t>
  </si>
  <si>
    <t>2 Наушники</t>
  </si>
  <si>
    <t>218662</t>
  </si>
  <si>
    <t>Наушники вкладыши беспроводные "Кэжуал", белый, 45 мАч НШБ-2074</t>
  </si>
  <si>
    <t>НШБ-2074</t>
  </si>
  <si>
    <t>4670159120827</t>
  </si>
  <si>
    <t>3 Аксессуары для наушников</t>
  </si>
  <si>
    <t>239199</t>
  </si>
  <si>
    <t>Чехол на наушники AP pro "Звездочки" Ч-1885</t>
  </si>
  <si>
    <t>Ч-1885</t>
  </si>
  <si>
    <t>4670159218852</t>
  </si>
  <si>
    <t>4 Студийные лампы</t>
  </si>
  <si>
    <t>225626</t>
  </si>
  <si>
    <t>RGB лампа с эффектом заката, 34-60см, 16 цветов, пульт управления (3*ААА, не в комплекте), ЛМК-5114</t>
  </si>
  <si>
    <t>ЛМК-5114</t>
  </si>
  <si>
    <t>4670159151142</t>
  </si>
  <si>
    <t>5 Бьюти-инвентарь</t>
  </si>
  <si>
    <t>Фены</t>
  </si>
  <si>
    <t>222869</t>
  </si>
  <si>
    <t>Фен д/волос "Прическа",5 насадок, кабель 1,8 м, 4 т.режима, 1600Вт,фиол-серый,25*7.7*9.8см HD-4034</t>
  </si>
  <si>
    <t>HD-4034</t>
  </si>
  <si>
    <t>4670159140344</t>
  </si>
  <si>
    <t>222868</t>
  </si>
  <si>
    <t>Фен д/волос "Укладка",5 насадок, кабель 1,8 м, 4 темп.режима, 1600Вт,роз-серый,25*7.7*9.8см HD-4033</t>
  </si>
  <si>
    <t>HD-4033</t>
  </si>
  <si>
    <t>4670159140337</t>
  </si>
  <si>
    <t>7 Обогреватели и вентиляторы</t>
  </si>
  <si>
    <t>Вентиляторы</t>
  </si>
  <si>
    <t>Напольные</t>
  </si>
  <si>
    <t>246313</t>
  </si>
  <si>
    <t>Вентилятор колонный механический, 3 скорости, 45Вт, 80см, белый MW SF-4148</t>
  </si>
  <si>
    <t>SF-4148</t>
  </si>
  <si>
    <t>4670159241485</t>
  </si>
  <si>
    <t>246314</t>
  </si>
  <si>
    <t>Вентилятор колонный механический, 3 скорости, 45Вт, 80см, серый MW SF-4149</t>
  </si>
  <si>
    <t>SF-4149</t>
  </si>
  <si>
    <t>4670159241492</t>
  </si>
  <si>
    <t>246315</t>
  </si>
  <si>
    <t>Вентилятор колонный сенсорный, 3 скорости, со смартфона, пульт ДУ, 50Вт, 102см, белый MR MR-1102</t>
  </si>
  <si>
    <t>MR-1102</t>
  </si>
  <si>
    <t>4670159241508</t>
  </si>
  <si>
    <t>246316</t>
  </si>
  <si>
    <t>Вентилятор колонный сенсорный, 3 скорости, со смартфона, пульт ДУ, 50Вт, 102см, белый MW SF-4151</t>
  </si>
  <si>
    <t>SF-4151</t>
  </si>
  <si>
    <t>4670159241515</t>
  </si>
  <si>
    <t>246317</t>
  </si>
  <si>
    <t>Вентилятор колонный сенсорный, 3 скорости, со смартфона, пульт ДУ, 50Вт, 102см, черный MW SF-4152</t>
  </si>
  <si>
    <t>SF-4152</t>
  </si>
  <si>
    <t>4670159241522</t>
  </si>
  <si>
    <t>227782</t>
  </si>
  <si>
    <t>Вентилятор колонный, белый, 20×20×78.5 см  SF-3944</t>
  </si>
  <si>
    <t>SF-3944</t>
  </si>
  <si>
    <t>4670159139447</t>
  </si>
  <si>
    <t>222863</t>
  </si>
  <si>
    <t>Вентилятор колонный, напольный, 3 режима,  45 Вт, белый, 80 см SF-3748</t>
  </si>
  <si>
    <t>SF-3748</t>
  </si>
  <si>
    <t>4670159137481</t>
  </si>
  <si>
    <t>222864</t>
  </si>
  <si>
    <t>Вентилятор колонный, напольный, 3 режима,  45 Вт, чёрный, 80 см SF-3749</t>
  </si>
  <si>
    <t>SF-3749</t>
  </si>
  <si>
    <t>4670159137498</t>
  </si>
  <si>
    <t>227783</t>
  </si>
  <si>
    <t>Вентилятор колонный, черный, 20×20×78.5 см  SF-3945</t>
  </si>
  <si>
    <t>SF-3945</t>
  </si>
  <si>
    <t>246312</t>
  </si>
  <si>
    <t>Вентилятор напольный механический хромированный,3 скорости,3 лопасти,60Вт,54см,серебрист. MW SF-4147</t>
  </si>
  <si>
    <t>SF-4147</t>
  </si>
  <si>
    <t>4670159241478</t>
  </si>
  <si>
    <t>246308</t>
  </si>
  <si>
    <t>Вентилятор напольный механический, 3 скорости, 3 лопасти, 40Вт, 91см, белый MW SF-4146</t>
  </si>
  <si>
    <t>SF-4146</t>
  </si>
  <si>
    <t>4670159241461</t>
  </si>
  <si>
    <t>246302</t>
  </si>
  <si>
    <t>Вентилятор напольный механический, 3 скорости, 3 лопасти, 45Вт, 120см белый/серый, MW SF-4141</t>
  </si>
  <si>
    <t>SF-4141</t>
  </si>
  <si>
    <t>4670159241416</t>
  </si>
  <si>
    <t>246295</t>
  </si>
  <si>
    <t>Вентилятор напольный механический, 3 скорости, 3 лопасти, 45Вт, 120см, белый, MW SF-4137</t>
  </si>
  <si>
    <t>SF-4137</t>
  </si>
  <si>
    <t>4670159241379</t>
  </si>
  <si>
    <t>246303</t>
  </si>
  <si>
    <t>Вентилятор напольный механический, 3 скорости, 3 лопасти, 45Вт, 120см, белый/голубой, MW SF-4142</t>
  </si>
  <si>
    <t>SF-4142</t>
  </si>
  <si>
    <t>4670159241423</t>
  </si>
  <si>
    <t>246292</t>
  </si>
  <si>
    <t>Вентилятор напольный механический, 3 скорости, 3 лопасти, 45Вт, 120см, серый, MW SF-4136</t>
  </si>
  <si>
    <t>SF-4136</t>
  </si>
  <si>
    <t>4670159241362</t>
  </si>
  <si>
    <t>246299</t>
  </si>
  <si>
    <t>Вентилятор напольный механический, 3 скорости, 3 лопасти, 45Вт, 120см, чёрный, MW SF-4139</t>
  </si>
  <si>
    <t>SF-4139</t>
  </si>
  <si>
    <t>4670159241393</t>
  </si>
  <si>
    <t>246301</t>
  </si>
  <si>
    <t>Вентилятор напольный механический, 3 скорости, 3 лопасти, 45Вт, 120см, чёрный, MW SF-4140</t>
  </si>
  <si>
    <t>SF-4140</t>
  </si>
  <si>
    <t>4670159241409</t>
  </si>
  <si>
    <t>246304</t>
  </si>
  <si>
    <t>Вентилятор напольный механический, 3 скорости, 5 лопастей, 45Вт, 120см, белый, MW SF-4143</t>
  </si>
  <si>
    <t>SF-4143</t>
  </si>
  <si>
    <t>4670159241430</t>
  </si>
  <si>
    <t>246306</t>
  </si>
  <si>
    <t>Вентилятор напольный сенсорный, 3 скорости, 3 лопасти, 45Вт, 120см, белый, пульт ДУ, MW SF-4144</t>
  </si>
  <si>
    <t>SF-4144</t>
  </si>
  <si>
    <t>246307</t>
  </si>
  <si>
    <t>Вентилятор напольный сенсорный, 3 скорости, 3 лопасти, 45Вт, 120см, пульт ДУ, черный, MW SF-4145</t>
  </si>
  <si>
    <t>SF-4145</t>
  </si>
  <si>
    <t>222861</t>
  </si>
  <si>
    <t>Вентилятор напольный, 2 режима работы, белый, пульт в комплекте, 120 см SF-3746</t>
  </si>
  <si>
    <t>SF-3746</t>
  </si>
  <si>
    <t>4670159137467</t>
  </si>
  <si>
    <t>222862</t>
  </si>
  <si>
    <t>Вентилятор напольный, 2 режима работы, черный, пульт в комплекте, 120 см SF-3747</t>
  </si>
  <si>
    <t>SF-3747</t>
  </si>
  <si>
    <t>4670159137474</t>
  </si>
  <si>
    <t>222866</t>
  </si>
  <si>
    <t>Вентилятор напольный, 3 режима,  100 Вт, чёрный, 60 см, D-45см SF-3751</t>
  </si>
  <si>
    <t>SF-3751</t>
  </si>
  <si>
    <t>4670159137511</t>
  </si>
  <si>
    <t>222865</t>
  </si>
  <si>
    <t>Вентилятор напольный, 3 режима,  50 Вт, чёрный, 52 см, D-35см SF-3750</t>
  </si>
  <si>
    <t>SF-3750</t>
  </si>
  <si>
    <t>4670159137504</t>
  </si>
  <si>
    <t>222859</t>
  </si>
  <si>
    <t>Вентилятор напольный, 3 режима, белый,  40 Вт ± 5 Вт, 120 см, D-40см SF-3744</t>
  </si>
  <si>
    <t>SF-3744</t>
  </si>
  <si>
    <t>4670159137443</t>
  </si>
  <si>
    <t>222860</t>
  </si>
  <si>
    <t>Вентилятор напольный, 3 режима, чёрный,  40 Вт ± 5 Вт, 120 см, D-40см SF-3745</t>
  </si>
  <si>
    <t>SF-3745</t>
  </si>
  <si>
    <t>4670159137450</t>
  </si>
  <si>
    <t>227779</t>
  </si>
  <si>
    <t>Вентилятор напольный, чёрный, 39×42×120 см  SF-3943</t>
  </si>
  <si>
    <t>SF-3943</t>
  </si>
  <si>
    <t>4670159139430</t>
  </si>
  <si>
    <t>246319</t>
  </si>
  <si>
    <t>Вентилятор промышленный напольный механический,3 скор.,2 лопасти,170Вт,65*45*175см,черн., MW SF-4154</t>
  </si>
  <si>
    <t>SF-4154</t>
  </si>
  <si>
    <t>Настольные</t>
  </si>
  <si>
    <t>246335</t>
  </si>
  <si>
    <t>Вентилятор настольный механический, 3 скорости, 36*50* 26см, 45Вт, белый, MW TF-4214</t>
  </si>
  <si>
    <t>TF-4214</t>
  </si>
  <si>
    <t>246336</t>
  </si>
  <si>
    <t>Вентилятор настольный механический, 3 скорости, 36*50* 26см, 45Вт, синий, MW TF-4215</t>
  </si>
  <si>
    <t>TF-4215</t>
  </si>
  <si>
    <t>4670159242154</t>
  </si>
  <si>
    <t>246325</t>
  </si>
  <si>
    <t>Вентилятор настольный механический, 3 скорости, 5 лопастей, 50Вт, 31*50*40см, черный, MW TF-4218</t>
  </si>
  <si>
    <t>TF-4218</t>
  </si>
  <si>
    <t>4670159242185</t>
  </si>
  <si>
    <t>246331</t>
  </si>
  <si>
    <t>Вентилятор настольный с увлаж. 500 мл 7 цвет USB 16*8* 23см, 3 скор, 10Вт, разм S, белый, MW HF-4209</t>
  </si>
  <si>
    <t>HF-4209</t>
  </si>
  <si>
    <t>4670159242093</t>
  </si>
  <si>
    <t>246333</t>
  </si>
  <si>
    <t>Вентилятор настольный с увлаж. 500 мл 7 цвет USB 16*8* 23см, 3 скор, 10Вт, разм S, черн, MW HF-4211</t>
  </si>
  <si>
    <t>HF-4211</t>
  </si>
  <si>
    <t>4670159242116</t>
  </si>
  <si>
    <t>246334</t>
  </si>
  <si>
    <t>Вентилятор настольный с увлаж. 500 мл 7 цвет USB 21*26*4см, 3 скор, 10Вт, разм М, черн, MW HF-4212</t>
  </si>
  <si>
    <t>HF-4212</t>
  </si>
  <si>
    <t>4670159242123</t>
  </si>
  <si>
    <t>246332</t>
  </si>
  <si>
    <t>Вентилятор настольный с увлаж. 600 мл 7 цвет USB 21*26*4см, 3 скор, 10Вт, разм М, белый, MW HF-4210</t>
  </si>
  <si>
    <t>HF-4210</t>
  </si>
  <si>
    <t>4670159242109</t>
  </si>
  <si>
    <t>246320</t>
  </si>
  <si>
    <t>Вентилятор настольный с увлажнителем 350 мл, USB, 6 Вт, батарея 1200мАч, светло-зеленый, MW HF-4213</t>
  </si>
  <si>
    <t>HF-4213</t>
  </si>
  <si>
    <t>4670159242130</t>
  </si>
  <si>
    <t>246328</t>
  </si>
  <si>
    <t>Вентилятор портативный на прищепке, 3 скор, USB, 5Вт, 13*14*17см, батар 2000мАч, белый, MW PF-4223</t>
  </si>
  <si>
    <t>PF-4223</t>
  </si>
  <si>
    <t>4670159242239</t>
  </si>
  <si>
    <t>246327</t>
  </si>
  <si>
    <t>Вентилятор портативный на прищепке, 3 скор, USB, 5Вт, 13*14*17см, батар 2000мАч, черный, MW PF-4222</t>
  </si>
  <si>
    <t>PF-4222</t>
  </si>
  <si>
    <t>4670159242222</t>
  </si>
  <si>
    <t>246326</t>
  </si>
  <si>
    <t>Вентилятор циклонный, настольный/настенный, 3 скорости, 5Вт, 19*20*20см, серый/фиол, MW CF-4221</t>
  </si>
  <si>
    <t>CF-4221</t>
  </si>
  <si>
    <t>4670159242215</t>
  </si>
  <si>
    <t>Портативные</t>
  </si>
  <si>
    <t>246329</t>
  </si>
  <si>
    <t>Мини-вентилятор портативный на шею, USB, 8*12*4см, батарея 2000мАч, белый, MW PF-4228</t>
  </si>
  <si>
    <t>PF-4228</t>
  </si>
  <si>
    <t>4670159242284</t>
  </si>
  <si>
    <t>246330</t>
  </si>
  <si>
    <t>Мини-вентилятор портативный на шею, USB, 8*12*4см, батарея 2000мАч, зелёный, MW PF-4229</t>
  </si>
  <si>
    <t>PF-4229</t>
  </si>
  <si>
    <t>4670159242291</t>
  </si>
  <si>
    <t>246324</t>
  </si>
  <si>
    <t>Мини-вентилятор портативный на шею, USB, батарея 2000мАч, 6Вт, 9*9*6см, белый, MW PF-4227</t>
  </si>
  <si>
    <t>PF-4227</t>
  </si>
  <si>
    <t>4670159242277</t>
  </si>
  <si>
    <t>246323</t>
  </si>
  <si>
    <t>Мини-вентилятор портативный на шею, USB, батарея 2000мАч, 6Вт, 9*9*6см, зеленый, MW PF-4226</t>
  </si>
  <si>
    <t>PF-4226</t>
  </si>
  <si>
    <t>4670159242260</t>
  </si>
  <si>
    <t>246321</t>
  </si>
  <si>
    <t>Мини-вентилятор портативный с пауэрбанк 2 в 1, USB, 5Вт, батар 3000мАч, 17*8*2см, белый, MW PF-4219</t>
  </si>
  <si>
    <t>PF-4219</t>
  </si>
  <si>
    <t>4670159242192</t>
  </si>
  <si>
    <t>246322</t>
  </si>
  <si>
    <t>Мини-вентилятор портативный с пауэрбанк 2 в 1, USB, 5Вт, батарея 3000мАч,17*8*2см, черн., MW PF-4220</t>
  </si>
  <si>
    <t>PF-4220</t>
  </si>
  <si>
    <t>4670159242208</t>
  </si>
  <si>
    <t>Обогреватели</t>
  </si>
  <si>
    <t>240458</t>
  </si>
  <si>
    <t>Вентилятор-обогреватель 2 в 1, 1000 Вт MR-1101</t>
  </si>
  <si>
    <t>MR-1101</t>
  </si>
  <si>
    <t>4670159218104</t>
  </si>
  <si>
    <t>239901</t>
  </si>
  <si>
    <t>Обогреватель керамический "Тепло", черный, 1500W,с реж. хол. обдува, пл.обогрева 20квм ВН-2055</t>
  </si>
  <si>
    <t>ВН-2055</t>
  </si>
  <si>
    <t>4670159220558</t>
  </si>
  <si>
    <t>239903</t>
  </si>
  <si>
    <t>Обогреватель электрический "Модерн" 2000W, 3 режима работы, с режимом холодного обдува ВН-2057</t>
  </si>
  <si>
    <t>ВН-2057</t>
  </si>
  <si>
    <t>4670159220572</t>
  </si>
  <si>
    <t>8 Сушилки для обуви</t>
  </si>
  <si>
    <t>226181</t>
  </si>
  <si>
    <t>Сушилка для обуви электрическая с таймером(3;6;9ч),тип пит. от сети;20Вт; 17*7,1*2,9см,белая СУ-5671</t>
  </si>
  <si>
    <t>СУ-5671</t>
  </si>
  <si>
    <t>4670159156710</t>
  </si>
  <si>
    <t>9 Фонарь налобный</t>
  </si>
  <si>
    <t>218904</t>
  </si>
  <si>
    <t>Фонарь налобный, светодиодный, тип питания: USB(аккумуляторный) с функцией powerbank ФН-1877</t>
  </si>
  <si>
    <t>ФН-1877</t>
  </si>
  <si>
    <t>4670159118770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</si>
</sst>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8" formatCode="0.000"/>
    <numFmt numFmtId="169" formatCode="0.00000"/>
    <numFmt numFmtId="170" formatCode="0.0000"/>
    <numFmt numFmtId="171" formatCode="#\ ##0.00"/>
    <numFmt numFmtId="172" formatCode="0.0"/>
    <numFmt numFmtId="173" formatCode="#\ ##0"/>
  </numFmts>
  <fonts count="17">
    <font>
      <sz val="8"/>
      <name val="Arial"/>
      <charset val="134"/>
    </font>
    <font>
      <b/>
      <sz val="11"/>
      <name val="Arial"/>
      <family val="2"/>
      <charset val="204"/>
    </font>
    <font>
      <b/>
      <sz val="12"/>
      <name val="Arial"/>
      <family val="2"/>
      <charset val="204"/>
    </font>
    <font>
      <b/>
      <sz val="14"/>
      <name val="Arial"/>
      <family val="2"/>
      <charset val="204"/>
    </font>
    <font>
      <b/>
      <sz val="18"/>
      <name val="Arial"/>
      <family val="2"/>
      <charset val="204"/>
    </font>
    <font>
      <b/>
      <sz val="12"/>
      <name val="Arial"/>
      <family val="2"/>
      <charset val="204"/>
    </font>
    <font>
      <b/>
      <sz val="16"/>
      <name val="Arial"/>
      <family val="2"/>
      <charset val="204"/>
    </font>
    <font>
      <b/>
      <sz val="8"/>
      <name val="Arial"/>
      <family val="2"/>
      <charset val="204"/>
    </font>
    <font>
      <b/>
      <sz val="11"/>
      <name val="Arial"/>
      <family val="2"/>
      <charset val="204"/>
    </font>
    <font>
      <b/>
      <u/>
      <sz val="12"/>
      <color rgb="FF0000FF"/>
      <name val="Arial"/>
      <family val="2"/>
      <charset val="204"/>
    </font>
    <font>
      <b/>
      <sz val="12"/>
      <color rgb="FF0000FF"/>
      <name val="Arial"/>
      <family val="2"/>
      <charset val="204"/>
    </font>
    <font>
      <b/>
      <i/>
      <u/>
      <sz val="9"/>
      <color rgb="FF000000"/>
      <name val="Arial"/>
      <family val="2"/>
      <charset val="204"/>
    </font>
    <font>
      <b/>
      <i/>
      <sz val="9"/>
      <color rgb="FF000000"/>
      <name val="Arial"/>
      <family val="2"/>
      <charset val="204"/>
    </font>
    <font>
      <b/>
      <sz val="10"/>
      <name val="Arial"/>
      <family val="2"/>
      <charset val="204"/>
    </font>
    <font>
      <b/>
      <sz val="14"/>
      <name val="Arial"/>
      <family val="2"/>
      <charset val="204"/>
    </font>
    <font>
      <b/>
      <sz val="14"/>
      <color rgb="FF000000"/>
      <name val="Arial"/>
      <family val="2"/>
      <charset val="204"/>
    </font>
    <font>
      <b/>
      <sz val="8"/>
      <color rgb="FFFF0000"/>
      <name val="Arial"/>
      <family val="2"/>
      <charset val="204"/>
    </font>
  </fonts>
  <fills count="5">
    <fill>
      <patternFill patternType="none"/>
    </fill>
    <fill>
      <patternFill patternType="gray125"/>
    </fill>
    <fill>
      <patternFill patternType="solid">
        <fgColor rgb="FFFFFF00"/>
        <bgColor indexed="64"/>
      </patternFill>
    </fill>
    <fill>
      <patternFill patternType="solid">
        <fgColor indexed="27"/>
        <bgColor indexed="64"/>
      </patternFill>
    </fill>
    <fill>
      <patternFill patternType="solid">
        <fgColor rgb="FFFFA07A"/>
        <bgColor indexed="64"/>
      </patternFill>
    </fill>
  </fills>
  <borders count="8">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3">
    <xf numFmtId="0" fontId="0" fillId="0" borderId="0" xfId="0"/>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center" vertical="center"/>
    </xf>
    <xf numFmtId="0" fontId="1" fillId="0" borderId="0" xfId="0" applyFont="1" applyAlignment="1">
      <alignment horizontal="center" vertical="center"/>
    </xf>
    <xf numFmtId="1" fontId="0" fillId="2" borderId="6" xfId="0" applyNumberFormat="1" applyFill="1" applyBorder="1" applyAlignment="1">
      <alignment horizontal="center" vertical="center"/>
    </xf>
    <xf numFmtId="0" fontId="0" fillId="2" borderId="7" xfId="0" applyFill="1" applyBorder="1" applyAlignment="1">
      <alignment horizontal="center" vertical="center" wrapText="1"/>
    </xf>
    <xf numFmtId="0" fontId="1" fillId="2" borderId="7"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1" fontId="2" fillId="2" borderId="7" xfId="0" applyNumberFormat="1" applyFont="1" applyFill="1" applyBorder="1" applyAlignment="1">
      <alignment horizontal="center" vertical="center"/>
    </xf>
    <xf numFmtId="0" fontId="0" fillId="2" borderId="7" xfId="0" applyFill="1" applyBorder="1" applyAlignment="1">
      <alignment horizontal="center" vertical="center"/>
    </xf>
    <xf numFmtId="2" fontId="15" fillId="2" borderId="7" xfId="0" applyNumberFormat="1" applyFont="1" applyFill="1" applyBorder="1" applyAlignment="1">
      <alignment horizontal="center" vertical="center"/>
    </xf>
    <xf numFmtId="0" fontId="0" fillId="3" borderId="7" xfId="0" applyFill="1" applyBorder="1" applyAlignment="1" applyProtection="1">
      <alignment horizontal="center" vertical="center"/>
      <protection locked="0"/>
    </xf>
    <xf numFmtId="168" fontId="0" fillId="2" borderId="7" xfId="0" applyNumberFormat="1" applyFill="1" applyBorder="1" applyAlignment="1">
      <alignment horizontal="center" vertical="center"/>
    </xf>
    <xf numFmtId="169" fontId="0" fillId="2" borderId="7" xfId="0" applyNumberFormat="1" applyFill="1" applyBorder="1" applyAlignment="1">
      <alignment horizontal="center" vertical="center"/>
    </xf>
    <xf numFmtId="170" fontId="0" fillId="2" borderId="7" xfId="0" applyNumberFormat="1" applyFill="1" applyBorder="1" applyAlignment="1">
      <alignment horizontal="center" vertical="center"/>
    </xf>
    <xf numFmtId="0" fontId="2" fillId="2" borderId="7" xfId="0" applyFont="1" applyFill="1" applyBorder="1" applyAlignment="1">
      <alignment horizontal="center" vertical="center"/>
    </xf>
    <xf numFmtId="171" fontId="15" fillId="2" borderId="7" xfId="0" applyNumberFormat="1" applyFont="1" applyFill="1" applyBorder="1" applyAlignment="1">
      <alignment horizontal="center" vertical="center"/>
    </xf>
    <xf numFmtId="2" fontId="0" fillId="2" borderId="7" xfId="0" applyNumberFormat="1" applyFill="1" applyBorder="1" applyAlignment="1">
      <alignment horizontal="center" vertical="center"/>
    </xf>
    <xf numFmtId="0" fontId="16" fillId="2" borderId="7" xfId="0" applyFont="1" applyFill="1" applyBorder="1" applyAlignment="1">
      <alignment horizontal="center" vertical="center"/>
    </xf>
    <xf numFmtId="1" fontId="0" fillId="0" borderId="6" xfId="0" applyNumberFormat="1" applyBorder="1" applyAlignment="1">
      <alignment horizontal="center" vertical="center"/>
    </xf>
    <xf numFmtId="0" fontId="0" fillId="0" borderId="7" xfId="0" applyBorder="1" applyAlignment="1">
      <alignment horizontal="center" vertical="center" wrapText="1"/>
    </xf>
    <xf numFmtId="0" fontId="1" fillId="0" borderId="7"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2" fontId="15" fillId="0" borderId="7" xfId="0" applyNumberFormat="1" applyFont="1" applyBorder="1" applyAlignment="1">
      <alignment horizontal="center" vertical="center"/>
    </xf>
    <xf numFmtId="168" fontId="0" fillId="0" borderId="7" xfId="0" applyNumberFormat="1" applyBorder="1" applyAlignment="1">
      <alignment horizontal="center" vertical="center"/>
    </xf>
    <xf numFmtId="169" fontId="0" fillId="0" borderId="7" xfId="0" applyNumberFormat="1" applyBorder="1" applyAlignment="1">
      <alignment horizontal="center" vertical="center"/>
    </xf>
    <xf numFmtId="1" fontId="2" fillId="0" borderId="7" xfId="0" applyNumberFormat="1" applyFont="1" applyBorder="1" applyAlignment="1">
      <alignment horizontal="center" vertical="center"/>
    </xf>
    <xf numFmtId="2" fontId="0" fillId="0" borderId="7" xfId="0" applyNumberFormat="1" applyBorder="1" applyAlignment="1">
      <alignment horizontal="center" vertical="center"/>
    </xf>
    <xf numFmtId="170" fontId="0" fillId="0" borderId="7" xfId="0" applyNumberFormat="1" applyBorder="1" applyAlignment="1">
      <alignment horizontal="center" vertical="center"/>
    </xf>
    <xf numFmtId="0" fontId="16" fillId="0" borderId="7" xfId="0" applyFont="1" applyBorder="1" applyAlignment="1">
      <alignment horizontal="center" vertical="center"/>
    </xf>
    <xf numFmtId="171" fontId="15" fillId="0" borderId="7" xfId="0" applyNumberFormat="1" applyFont="1" applyBorder="1" applyAlignment="1">
      <alignment horizontal="center" vertical="center"/>
    </xf>
    <xf numFmtId="1" fontId="0" fillId="4" borderId="6" xfId="0" applyNumberFormat="1" applyFill="1" applyBorder="1" applyAlignment="1">
      <alignment horizontal="center" vertical="center"/>
    </xf>
    <xf numFmtId="0" fontId="0" fillId="4" borderId="7" xfId="0" applyFill="1" applyBorder="1" applyAlignment="1">
      <alignment horizontal="center" vertical="center" wrapText="1"/>
    </xf>
    <xf numFmtId="0" fontId="1" fillId="4" borderId="7" xfId="0" applyFont="1" applyFill="1" applyBorder="1" applyAlignment="1">
      <alignment horizontal="center" vertical="center"/>
    </xf>
    <xf numFmtId="172" fontId="0" fillId="0" borderId="7" xfId="0" applyNumberFormat="1" applyBorder="1" applyAlignment="1">
      <alignment horizontal="center" vertical="center"/>
    </xf>
    <xf numFmtId="1" fontId="2" fillId="4" borderId="7" xfId="0" applyNumberFormat="1" applyFont="1" applyFill="1" applyBorder="1" applyAlignment="1">
      <alignment horizontal="center" vertical="center"/>
    </xf>
    <xf numFmtId="0" fontId="0" fillId="4" borderId="7" xfId="0" applyFill="1" applyBorder="1" applyAlignment="1">
      <alignment horizontal="center" vertical="center"/>
    </xf>
    <xf numFmtId="2" fontId="15" fillId="4" borderId="7" xfId="0" applyNumberFormat="1" applyFont="1" applyFill="1" applyBorder="1" applyAlignment="1">
      <alignment horizontal="center" vertical="center"/>
    </xf>
    <xf numFmtId="2" fontId="0" fillId="4" borderId="7" xfId="0" applyNumberFormat="1" applyFill="1" applyBorder="1" applyAlignment="1">
      <alignment horizontal="center" vertical="center"/>
    </xf>
    <xf numFmtId="169" fontId="0" fillId="4" borderId="7" xfId="0" applyNumberFormat="1" applyFill="1" applyBorder="1" applyAlignment="1">
      <alignment horizontal="center" vertical="center"/>
    </xf>
    <xf numFmtId="168" fontId="0" fillId="4" borderId="7" xfId="0" applyNumberFormat="1" applyFill="1" applyBorder="1" applyAlignment="1">
      <alignment horizontal="center" vertical="center"/>
    </xf>
    <xf numFmtId="170" fontId="0" fillId="4" borderId="7" xfId="0" applyNumberFormat="1" applyFill="1" applyBorder="1" applyAlignment="1">
      <alignment horizontal="center" vertical="center"/>
    </xf>
    <xf numFmtId="0" fontId="16" fillId="4" borderId="7" xfId="0" applyFont="1" applyFill="1" applyBorder="1" applyAlignment="1">
      <alignment horizontal="center" vertical="center"/>
    </xf>
    <xf numFmtId="1" fontId="0" fillId="0" borderId="7" xfId="0" applyNumberFormat="1" applyBorder="1" applyAlignment="1">
      <alignment horizontal="center" vertical="center"/>
    </xf>
    <xf numFmtId="172" fontId="15" fillId="4" borderId="7" xfId="0" applyNumberFormat="1" applyFont="1" applyFill="1" applyBorder="1" applyAlignment="1">
      <alignment horizontal="center" vertical="center"/>
    </xf>
    <xf numFmtId="173" fontId="0" fillId="0" borderId="6" xfId="0" applyNumberFormat="1" applyBorder="1" applyAlignment="1">
      <alignment horizontal="center" vertical="center"/>
    </xf>
    <xf numFmtId="173" fontId="0" fillId="2" borderId="6" xfId="0" applyNumberFormat="1" applyFill="1" applyBorder="1" applyAlignment="1">
      <alignment horizontal="center" vertical="center"/>
    </xf>
    <xf numFmtId="173" fontId="0" fillId="4" borderId="6" xfId="0" applyNumberFormat="1" applyFill="1" applyBorder="1" applyAlignment="1">
      <alignment horizontal="center" vertical="center"/>
    </xf>
    <xf numFmtId="172" fontId="0" fillId="2" borderId="7" xfId="0" applyNumberFormat="1" applyFill="1" applyBorder="1" applyAlignment="1">
      <alignment horizontal="center" vertical="center"/>
    </xf>
    <xf numFmtId="1" fontId="0" fillId="2" borderId="7" xfId="0" applyNumberFormat="1" applyFill="1" applyBorder="1" applyAlignment="1">
      <alignment horizontal="center" vertical="center"/>
    </xf>
    <xf numFmtId="0" fontId="1" fillId="0" borderId="7"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13"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0" fillId="2" borderId="7" xfId="0" applyFill="1" applyBorder="1" applyAlignment="1">
      <alignment horizontal="center" vertical="center" wrapText="1"/>
    </xf>
    <xf numFmtId="0" fontId="0" fillId="0" borderId="7" xfId="0" applyBorder="1" applyAlignment="1">
      <alignment horizontal="center" vertical="center" wrapText="1"/>
    </xf>
    <xf numFmtId="0" fontId="0" fillId="4" borderId="7" xfId="0" applyFill="1" applyBorder="1" applyAlignment="1">
      <alignment horizontal="center" vertical="center" wrapText="1"/>
    </xf>
    <xf numFmtId="0" fontId="7" fillId="2" borderId="1"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4"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3182" Type="http://schemas.openxmlformats.org/officeDocument/2006/relationships/image" Target="../media/image3182.jpeg"/><Relationship Id="rId4026" Type="http://schemas.openxmlformats.org/officeDocument/2006/relationships/image" Target="../media/image4026.jpeg"/><Relationship Id="rId3042" Type="http://schemas.openxmlformats.org/officeDocument/2006/relationships/image" Target="../media/image3042.jpeg"/><Relationship Id="rId3999" Type="http://schemas.openxmlformats.org/officeDocument/2006/relationships/image" Target="../media/image3999.jpeg"/><Relationship Id="rId170" Type="http://schemas.openxmlformats.org/officeDocument/2006/relationships/image" Target="../media/image170.jpeg"/><Relationship Id="rId3859" Type="http://schemas.openxmlformats.org/officeDocument/2006/relationships/image" Target="../media/image3859.jpeg"/><Relationship Id="rId987" Type="http://schemas.openxmlformats.org/officeDocument/2006/relationships/image" Target="../media/image987.jpeg"/><Relationship Id="rId2668" Type="http://schemas.openxmlformats.org/officeDocument/2006/relationships/image" Target="../media/image2668.jpeg"/><Relationship Id="rId2875" Type="http://schemas.openxmlformats.org/officeDocument/2006/relationships/image" Target="../media/image2875.jpeg"/><Relationship Id="rId3719" Type="http://schemas.openxmlformats.org/officeDocument/2006/relationships/image" Target="../media/image3719.jpeg"/><Relationship Id="rId3926" Type="http://schemas.openxmlformats.org/officeDocument/2006/relationships/image" Target="../media/image3926.jpeg"/><Relationship Id="rId847" Type="http://schemas.openxmlformats.org/officeDocument/2006/relationships/image" Target="../media/image847.jpeg"/><Relationship Id="rId1477" Type="http://schemas.openxmlformats.org/officeDocument/2006/relationships/image" Target="../media/image1477.jpeg"/><Relationship Id="rId1684" Type="http://schemas.openxmlformats.org/officeDocument/2006/relationships/image" Target="../media/image1684.jpeg"/><Relationship Id="rId1891" Type="http://schemas.openxmlformats.org/officeDocument/2006/relationships/image" Target="../media/image1891.jpeg"/><Relationship Id="rId2528" Type="http://schemas.openxmlformats.org/officeDocument/2006/relationships/image" Target="../media/image2528.jpeg"/><Relationship Id="rId2735" Type="http://schemas.openxmlformats.org/officeDocument/2006/relationships/image" Target="../media/image2735.jpeg"/><Relationship Id="rId2942" Type="http://schemas.openxmlformats.org/officeDocument/2006/relationships/image" Target="../media/image2942.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2802" Type="http://schemas.openxmlformats.org/officeDocument/2006/relationships/image" Target="../media/image2802.jpeg"/><Relationship Id="rId43" Type="http://schemas.openxmlformats.org/officeDocument/2006/relationships/image" Target="../media/image43.jpeg"/><Relationship Id="rId1404" Type="http://schemas.openxmlformats.org/officeDocument/2006/relationships/image" Target="../media/image1404.jpeg"/><Relationship Id="rId1611" Type="http://schemas.openxmlformats.org/officeDocument/2006/relationships/image" Target="../media/image1611.jpeg"/><Relationship Id="rId3369" Type="http://schemas.openxmlformats.org/officeDocument/2006/relationships/image" Target="../media/image3369.jpeg"/><Relationship Id="rId3576" Type="http://schemas.openxmlformats.org/officeDocument/2006/relationships/image" Target="../media/image3576.jpeg"/><Relationship Id="rId497" Type="http://schemas.openxmlformats.org/officeDocument/2006/relationships/image" Target="../media/image497.jpeg"/><Relationship Id="rId2178" Type="http://schemas.openxmlformats.org/officeDocument/2006/relationships/image" Target="../media/image2178.jpeg"/><Relationship Id="rId2385" Type="http://schemas.openxmlformats.org/officeDocument/2006/relationships/image" Target="../media/image2385.jpeg"/><Relationship Id="rId3229" Type="http://schemas.openxmlformats.org/officeDocument/2006/relationships/image" Target="../media/image3229.jpeg"/><Relationship Id="rId3783" Type="http://schemas.openxmlformats.org/officeDocument/2006/relationships/image" Target="../media/image3783.jpeg"/><Relationship Id="rId3990" Type="http://schemas.openxmlformats.org/officeDocument/2006/relationships/image" Target="../media/image3990.jpeg"/><Relationship Id="rId357" Type="http://schemas.openxmlformats.org/officeDocument/2006/relationships/image" Target="../media/image357.jpeg"/><Relationship Id="rId1194" Type="http://schemas.openxmlformats.org/officeDocument/2006/relationships/image" Target="../media/image1194.jpeg"/><Relationship Id="rId2038" Type="http://schemas.openxmlformats.org/officeDocument/2006/relationships/image" Target="../media/image2038.jpeg"/><Relationship Id="rId2592" Type="http://schemas.openxmlformats.org/officeDocument/2006/relationships/image" Target="../media/image2592.jpeg"/><Relationship Id="rId3436" Type="http://schemas.openxmlformats.org/officeDocument/2006/relationships/image" Target="../media/image3436.jpeg"/><Relationship Id="rId3643" Type="http://schemas.openxmlformats.org/officeDocument/2006/relationships/image" Target="../media/image3643.jpeg"/><Relationship Id="rId3850" Type="http://schemas.openxmlformats.org/officeDocument/2006/relationships/image" Target="../media/image3850.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2245" Type="http://schemas.openxmlformats.org/officeDocument/2006/relationships/image" Target="../media/image2245.jpeg"/><Relationship Id="rId2452" Type="http://schemas.openxmlformats.org/officeDocument/2006/relationships/image" Target="../media/image2452.jpeg"/><Relationship Id="rId3503" Type="http://schemas.openxmlformats.org/officeDocument/2006/relationships/image" Target="../media/image3503.jpeg"/><Relationship Id="rId3710" Type="http://schemas.openxmlformats.org/officeDocument/2006/relationships/image" Target="../media/image3710.jpeg"/><Relationship Id="rId424" Type="http://schemas.openxmlformats.org/officeDocument/2006/relationships/image" Target="../media/image424.jpeg"/><Relationship Id="rId631" Type="http://schemas.openxmlformats.org/officeDocument/2006/relationships/image" Target="../media/image631.jpeg"/><Relationship Id="rId1054" Type="http://schemas.openxmlformats.org/officeDocument/2006/relationships/image" Target="../media/image1054.jpeg"/><Relationship Id="rId1261" Type="http://schemas.openxmlformats.org/officeDocument/2006/relationships/image" Target="../media/image1261.jpeg"/><Relationship Id="rId2105" Type="http://schemas.openxmlformats.org/officeDocument/2006/relationships/image" Target="../media/image2105.jpeg"/><Relationship Id="rId2312" Type="http://schemas.openxmlformats.org/officeDocument/2006/relationships/image" Target="../media/image2312.jpeg"/><Relationship Id="rId1121" Type="http://schemas.openxmlformats.org/officeDocument/2006/relationships/image" Target="../media/image1121.jpeg"/><Relationship Id="rId3086" Type="http://schemas.openxmlformats.org/officeDocument/2006/relationships/image" Target="../media/image3086.jpeg"/><Relationship Id="rId3293" Type="http://schemas.openxmlformats.org/officeDocument/2006/relationships/image" Target="../media/image3293.jpeg"/><Relationship Id="rId1938" Type="http://schemas.openxmlformats.org/officeDocument/2006/relationships/image" Target="../media/image1938.jpeg"/><Relationship Id="rId3153" Type="http://schemas.openxmlformats.org/officeDocument/2006/relationships/image" Target="../media/image3153.jpeg"/><Relationship Id="rId3360" Type="http://schemas.openxmlformats.org/officeDocument/2006/relationships/image" Target="../media/image3360.jpeg"/><Relationship Id="rId281" Type="http://schemas.openxmlformats.org/officeDocument/2006/relationships/image" Target="../media/image281.jpeg"/><Relationship Id="rId3013" Type="http://schemas.openxmlformats.org/officeDocument/2006/relationships/image" Target="../media/image3013.jpeg"/><Relationship Id="rId141" Type="http://schemas.openxmlformats.org/officeDocument/2006/relationships/image" Target="../media/image141.jpeg"/><Relationship Id="rId3220" Type="http://schemas.openxmlformats.org/officeDocument/2006/relationships/image" Target="../media/image3220.jpeg"/><Relationship Id="rId7" Type="http://schemas.openxmlformats.org/officeDocument/2006/relationships/image" Target="../media/image7.jpeg"/><Relationship Id="rId2779" Type="http://schemas.openxmlformats.org/officeDocument/2006/relationships/image" Target="../media/image2779.jpeg"/><Relationship Id="rId2986" Type="http://schemas.openxmlformats.org/officeDocument/2006/relationships/image" Target="../media/image2986.jpeg"/><Relationship Id="rId958" Type="http://schemas.openxmlformats.org/officeDocument/2006/relationships/image" Target="../media/image958.jpeg"/><Relationship Id="rId1588" Type="http://schemas.openxmlformats.org/officeDocument/2006/relationships/image" Target="../media/image1588.jpeg"/><Relationship Id="rId1795" Type="http://schemas.openxmlformats.org/officeDocument/2006/relationships/image" Target="../media/image1795.jpeg"/><Relationship Id="rId2639" Type="http://schemas.openxmlformats.org/officeDocument/2006/relationships/image" Target="../media/image2639.jpeg"/><Relationship Id="rId2846" Type="http://schemas.openxmlformats.org/officeDocument/2006/relationships/image" Target="../media/image2846.jpeg"/><Relationship Id="rId87" Type="http://schemas.openxmlformats.org/officeDocument/2006/relationships/image" Target="../media/image87.jpeg"/><Relationship Id="rId818" Type="http://schemas.openxmlformats.org/officeDocument/2006/relationships/image" Target="../media/image818.jpeg"/><Relationship Id="rId1448" Type="http://schemas.openxmlformats.org/officeDocument/2006/relationships/image" Target="../media/image1448.jpeg"/><Relationship Id="rId1655" Type="http://schemas.openxmlformats.org/officeDocument/2006/relationships/image" Target="../media/image1655.jpeg"/><Relationship Id="rId2706" Type="http://schemas.openxmlformats.org/officeDocument/2006/relationships/image" Target="../media/image2706.jpeg"/><Relationship Id="rId4061" Type="http://schemas.openxmlformats.org/officeDocument/2006/relationships/image" Target="../media/image4061.jpeg"/><Relationship Id="rId1308" Type="http://schemas.openxmlformats.org/officeDocument/2006/relationships/image" Target="../media/image1308.jpeg"/><Relationship Id="rId1862" Type="http://schemas.openxmlformats.org/officeDocument/2006/relationships/image" Target="../media/image1862.jpeg"/><Relationship Id="rId2913" Type="http://schemas.openxmlformats.org/officeDocument/2006/relationships/image" Target="../media/image2913.jpeg"/><Relationship Id="rId1515" Type="http://schemas.openxmlformats.org/officeDocument/2006/relationships/image" Target="../media/image1515.jpeg"/><Relationship Id="rId1722" Type="http://schemas.openxmlformats.org/officeDocument/2006/relationships/image" Target="../media/image1722.jpeg"/><Relationship Id="rId14" Type="http://schemas.openxmlformats.org/officeDocument/2006/relationships/image" Target="../media/image14.jpeg"/><Relationship Id="rId3687" Type="http://schemas.openxmlformats.org/officeDocument/2006/relationships/image" Target="../media/image3687.jpeg"/><Relationship Id="rId3894" Type="http://schemas.openxmlformats.org/officeDocument/2006/relationships/image" Target="../media/image3894.jpeg"/><Relationship Id="rId2289" Type="http://schemas.openxmlformats.org/officeDocument/2006/relationships/image" Target="../media/image2289.jpeg"/><Relationship Id="rId2496" Type="http://schemas.openxmlformats.org/officeDocument/2006/relationships/image" Target="../media/image2496.jpeg"/><Relationship Id="rId3547" Type="http://schemas.openxmlformats.org/officeDocument/2006/relationships/image" Target="../media/image3547.jpeg"/><Relationship Id="rId3754" Type="http://schemas.openxmlformats.org/officeDocument/2006/relationships/image" Target="../media/image3754.jpeg"/><Relationship Id="rId3961" Type="http://schemas.openxmlformats.org/officeDocument/2006/relationships/image" Target="../media/image3961.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2149" Type="http://schemas.openxmlformats.org/officeDocument/2006/relationships/image" Target="../media/image2149.jpeg"/><Relationship Id="rId2356" Type="http://schemas.openxmlformats.org/officeDocument/2006/relationships/image" Target="../media/image2356.jpeg"/><Relationship Id="rId2563" Type="http://schemas.openxmlformats.org/officeDocument/2006/relationships/image" Target="../media/image2563.jpeg"/><Relationship Id="rId2770" Type="http://schemas.openxmlformats.org/officeDocument/2006/relationships/image" Target="../media/image2770.jpeg"/><Relationship Id="rId3407" Type="http://schemas.openxmlformats.org/officeDocument/2006/relationships/image" Target="../media/image3407.jpeg"/><Relationship Id="rId3614" Type="http://schemas.openxmlformats.org/officeDocument/2006/relationships/image" Target="../media/image3614.jpeg"/><Relationship Id="rId3821" Type="http://schemas.openxmlformats.org/officeDocument/2006/relationships/image" Target="../media/image3821.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5.jpeg"/><Relationship Id="rId1372" Type="http://schemas.openxmlformats.org/officeDocument/2006/relationships/image" Target="../media/image1372.jpeg"/><Relationship Id="rId2009" Type="http://schemas.openxmlformats.org/officeDocument/2006/relationships/image" Target="../media/image2009.jpeg"/><Relationship Id="rId2216" Type="http://schemas.openxmlformats.org/officeDocument/2006/relationships/image" Target="../media/image2216.jpeg"/><Relationship Id="rId2423" Type="http://schemas.openxmlformats.org/officeDocument/2006/relationships/image" Target="../media/image2423.jpeg"/><Relationship Id="rId2630" Type="http://schemas.openxmlformats.org/officeDocument/2006/relationships/image" Target="../media/image2630.jpe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3197" Type="http://schemas.openxmlformats.org/officeDocument/2006/relationships/image" Target="../media/image3197.jpeg"/><Relationship Id="rId3057" Type="http://schemas.openxmlformats.org/officeDocument/2006/relationships/image" Target="../media/image3057.jpeg"/><Relationship Id="rId185" Type="http://schemas.openxmlformats.org/officeDocument/2006/relationships/image" Target="../media/image185.jpeg"/><Relationship Id="rId1909" Type="http://schemas.openxmlformats.org/officeDocument/2006/relationships/image" Target="../media/image1909.jpeg"/><Relationship Id="rId3264" Type="http://schemas.openxmlformats.org/officeDocument/2006/relationships/image" Target="../media/image3264.jpeg"/><Relationship Id="rId3471" Type="http://schemas.openxmlformats.org/officeDocument/2006/relationships/image" Target="../media/image3471.jpeg"/><Relationship Id="rId392" Type="http://schemas.openxmlformats.org/officeDocument/2006/relationships/image" Target="../media/image392.jpeg"/><Relationship Id="rId2073" Type="http://schemas.openxmlformats.org/officeDocument/2006/relationships/image" Target="../media/image2073.jpeg"/><Relationship Id="rId2280" Type="http://schemas.openxmlformats.org/officeDocument/2006/relationships/image" Target="../media/image2280.jpeg"/><Relationship Id="rId3124" Type="http://schemas.openxmlformats.org/officeDocument/2006/relationships/image" Target="../media/image3124.jpeg"/><Relationship Id="rId3331" Type="http://schemas.openxmlformats.org/officeDocument/2006/relationships/image" Target="../media/image3331.jpeg"/><Relationship Id="rId252" Type="http://schemas.openxmlformats.org/officeDocument/2006/relationships/image" Target="../media/image252.jpeg"/><Relationship Id="rId2140" Type="http://schemas.openxmlformats.org/officeDocument/2006/relationships/image" Target="../media/image2140.jpeg"/><Relationship Id="rId112" Type="http://schemas.openxmlformats.org/officeDocument/2006/relationships/image" Target="../media/image112.jpeg"/><Relationship Id="rId1699" Type="http://schemas.openxmlformats.org/officeDocument/2006/relationships/image" Target="../media/image1699.jpeg"/><Relationship Id="rId2000" Type="http://schemas.openxmlformats.org/officeDocument/2006/relationships/image" Target="../media/image2000.jpeg"/><Relationship Id="rId2957" Type="http://schemas.openxmlformats.org/officeDocument/2006/relationships/image" Target="../media/image2957.jpeg"/><Relationship Id="rId929" Type="http://schemas.openxmlformats.org/officeDocument/2006/relationships/image" Target="../media/image929.jpeg"/><Relationship Id="rId1559" Type="http://schemas.openxmlformats.org/officeDocument/2006/relationships/image" Target="../media/image1559.jpeg"/><Relationship Id="rId1766" Type="http://schemas.openxmlformats.org/officeDocument/2006/relationships/image" Target="../media/image1766.jpeg"/><Relationship Id="rId1973" Type="http://schemas.openxmlformats.org/officeDocument/2006/relationships/image" Target="../media/image1973.jpeg"/><Relationship Id="rId2817" Type="http://schemas.openxmlformats.org/officeDocument/2006/relationships/image" Target="../media/image2817.jpeg"/><Relationship Id="rId4032" Type="http://schemas.openxmlformats.org/officeDocument/2006/relationships/image" Target="../media/image4032.jpe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jpeg"/><Relationship Id="rId3798" Type="http://schemas.openxmlformats.org/officeDocument/2006/relationships/image" Target="../media/image3798.jpeg"/><Relationship Id="rId3658" Type="http://schemas.openxmlformats.org/officeDocument/2006/relationships/image" Target="../media/image3658.jpeg"/><Relationship Id="rId3865" Type="http://schemas.openxmlformats.org/officeDocument/2006/relationships/image" Target="../media/image3865.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2467" Type="http://schemas.openxmlformats.org/officeDocument/2006/relationships/image" Target="../media/image2467.jpeg"/><Relationship Id="rId2674" Type="http://schemas.openxmlformats.org/officeDocument/2006/relationships/image" Target="../media/image2674.jpeg"/><Relationship Id="rId3518" Type="http://schemas.openxmlformats.org/officeDocument/2006/relationships/image" Target="../media/image3518.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327" Type="http://schemas.openxmlformats.org/officeDocument/2006/relationships/image" Target="../media/image2327.jpeg"/><Relationship Id="rId2881" Type="http://schemas.openxmlformats.org/officeDocument/2006/relationships/image" Target="../media/image2881.jpeg"/><Relationship Id="rId3725" Type="http://schemas.openxmlformats.org/officeDocument/2006/relationships/image" Target="../media/image3725.jpeg"/><Relationship Id="rId3932" Type="http://schemas.openxmlformats.org/officeDocument/2006/relationships/image" Target="../media/image3932.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2534" Type="http://schemas.openxmlformats.org/officeDocument/2006/relationships/image" Target="../media/image2534.jpeg"/><Relationship Id="rId2741" Type="http://schemas.openxmlformats.org/officeDocument/2006/relationships/image" Target="../media/image2741.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eg"/><Relationship Id="rId1203" Type="http://schemas.openxmlformats.org/officeDocument/2006/relationships/image" Target="../media/image1203.jpeg"/><Relationship Id="rId1410" Type="http://schemas.openxmlformats.org/officeDocument/2006/relationships/image" Target="../media/image1410.jpeg"/><Relationship Id="rId3168" Type="http://schemas.openxmlformats.org/officeDocument/2006/relationships/image" Target="../media/image3168.jpeg"/><Relationship Id="rId3375" Type="http://schemas.openxmlformats.org/officeDocument/2006/relationships/image" Target="../media/image3375.jpeg"/><Relationship Id="rId3582" Type="http://schemas.openxmlformats.org/officeDocument/2006/relationships/image" Target="../media/image3582.jpeg"/><Relationship Id="rId296" Type="http://schemas.openxmlformats.org/officeDocument/2006/relationships/image" Target="../media/image296.jpeg"/><Relationship Id="rId2184" Type="http://schemas.openxmlformats.org/officeDocument/2006/relationships/image" Target="../media/image2184.jpeg"/><Relationship Id="rId2391" Type="http://schemas.openxmlformats.org/officeDocument/2006/relationships/image" Target="../media/image2391.jpeg"/><Relationship Id="rId3028" Type="http://schemas.openxmlformats.org/officeDocument/2006/relationships/image" Target="../media/image3028.jpeg"/><Relationship Id="rId3235" Type="http://schemas.openxmlformats.org/officeDocument/2006/relationships/image" Target="../media/image3235.jpeg"/><Relationship Id="rId3442" Type="http://schemas.openxmlformats.org/officeDocument/2006/relationships/image" Target="../media/image3442.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044" Type="http://schemas.openxmlformats.org/officeDocument/2006/relationships/image" Target="../media/image2044.jpeg"/><Relationship Id="rId2251" Type="http://schemas.openxmlformats.org/officeDocument/2006/relationships/image" Target="../media/image2251.jpeg"/><Relationship Id="rId3302" Type="http://schemas.openxmlformats.org/officeDocument/2006/relationships/image" Target="../media/image3302.jpe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jpeg"/><Relationship Id="rId2111" Type="http://schemas.openxmlformats.org/officeDocument/2006/relationships/image" Target="../media/image2111.jpeg"/><Relationship Id="rId4076" Type="http://schemas.openxmlformats.org/officeDocument/2006/relationships/image" Target="../media/image4076.jpeg"/><Relationship Id="rId1877" Type="http://schemas.openxmlformats.org/officeDocument/2006/relationships/image" Target="../media/image1877.jpeg"/><Relationship Id="rId2928" Type="http://schemas.openxmlformats.org/officeDocument/2006/relationships/image" Target="../media/image2928.jpeg"/><Relationship Id="rId1737" Type="http://schemas.openxmlformats.org/officeDocument/2006/relationships/image" Target="../media/image1737.jpeg"/><Relationship Id="rId1944" Type="http://schemas.openxmlformats.org/officeDocument/2006/relationships/image" Target="../media/image1944.jpeg"/><Relationship Id="rId3092" Type="http://schemas.openxmlformats.org/officeDocument/2006/relationships/image" Target="../media/image3092.jpeg"/><Relationship Id="rId29" Type="http://schemas.openxmlformats.org/officeDocument/2006/relationships/image" Target="../media/image29.jpeg"/><Relationship Id="rId4003" Type="http://schemas.openxmlformats.org/officeDocument/2006/relationships/image" Target="../media/image4003.jpeg"/><Relationship Id="rId1804" Type="http://schemas.openxmlformats.org/officeDocument/2006/relationships/image" Target="../media/image1804.jpeg"/><Relationship Id="rId3769" Type="http://schemas.openxmlformats.org/officeDocument/2006/relationships/image" Target="../media/image3769.jpeg"/><Relationship Id="rId3976" Type="http://schemas.openxmlformats.org/officeDocument/2006/relationships/image" Target="../media/image3976.jpeg"/><Relationship Id="rId897" Type="http://schemas.openxmlformats.org/officeDocument/2006/relationships/image" Target="../media/image897.jpeg"/><Relationship Id="rId2578" Type="http://schemas.openxmlformats.org/officeDocument/2006/relationships/image" Target="../media/image2578.jpeg"/><Relationship Id="rId2785" Type="http://schemas.openxmlformats.org/officeDocument/2006/relationships/image" Target="../media/image2785.jpeg"/><Relationship Id="rId2992" Type="http://schemas.openxmlformats.org/officeDocument/2006/relationships/image" Target="../media/image2992.jpeg"/><Relationship Id="rId3629" Type="http://schemas.openxmlformats.org/officeDocument/2006/relationships/image" Target="../media/image3629.jpeg"/><Relationship Id="rId3836" Type="http://schemas.openxmlformats.org/officeDocument/2006/relationships/image" Target="../media/image3836.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2438" Type="http://schemas.openxmlformats.org/officeDocument/2006/relationships/image" Target="../media/image2438.jpeg"/><Relationship Id="rId2645" Type="http://schemas.openxmlformats.org/officeDocument/2006/relationships/image" Target="../media/image2645.jpeg"/><Relationship Id="rId2852" Type="http://schemas.openxmlformats.org/officeDocument/2006/relationships/image" Target="../media/image2852.jpeg"/><Relationship Id="rId3903" Type="http://schemas.openxmlformats.org/officeDocument/2006/relationships/image" Target="../media/image3903.jpe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eg"/><Relationship Id="rId2712" Type="http://schemas.openxmlformats.org/officeDocument/2006/relationships/image" Target="../media/image2712.jpe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3279" Type="http://schemas.openxmlformats.org/officeDocument/2006/relationships/image" Target="../media/image3279.jpeg"/><Relationship Id="rId3486" Type="http://schemas.openxmlformats.org/officeDocument/2006/relationships/image" Target="../media/image3486.jpeg"/><Relationship Id="rId3693" Type="http://schemas.openxmlformats.org/officeDocument/2006/relationships/image" Target="../media/image3693.jpeg"/><Relationship Id="rId20" Type="http://schemas.openxmlformats.org/officeDocument/2006/relationships/image" Target="../media/image20.jpeg"/><Relationship Id="rId2088" Type="http://schemas.openxmlformats.org/officeDocument/2006/relationships/image" Target="../media/image2088.jpeg"/><Relationship Id="rId2295" Type="http://schemas.openxmlformats.org/officeDocument/2006/relationships/image" Target="../media/image2295.jpeg"/><Relationship Id="rId3139" Type="http://schemas.openxmlformats.org/officeDocument/2006/relationships/image" Target="../media/image3139.jpeg"/><Relationship Id="rId3346" Type="http://schemas.openxmlformats.org/officeDocument/2006/relationships/image" Target="../media/image3346.jpe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jpeg"/><Relationship Id="rId3553" Type="http://schemas.openxmlformats.org/officeDocument/2006/relationships/image" Target="../media/image3553.jpeg"/><Relationship Id="rId3760" Type="http://schemas.openxmlformats.org/officeDocument/2006/relationships/image" Target="../media/image3760.jpeg"/><Relationship Id="rId127" Type="http://schemas.openxmlformats.org/officeDocument/2006/relationships/image" Target="../media/image127.jpeg"/><Relationship Id="rId681" Type="http://schemas.openxmlformats.org/officeDocument/2006/relationships/image" Target="../media/image681.jpeg"/><Relationship Id="rId2362" Type="http://schemas.openxmlformats.org/officeDocument/2006/relationships/image" Target="../media/image2362.jpeg"/><Relationship Id="rId3206" Type="http://schemas.openxmlformats.org/officeDocument/2006/relationships/image" Target="../media/image3206.jpeg"/><Relationship Id="rId3413" Type="http://schemas.openxmlformats.org/officeDocument/2006/relationships/image" Target="../media/image3413.jpeg"/><Relationship Id="rId3620" Type="http://schemas.openxmlformats.org/officeDocument/2006/relationships/image" Target="../media/image3620.jpeg"/><Relationship Id="rId334" Type="http://schemas.openxmlformats.org/officeDocument/2006/relationships/image" Target="../media/image334.jpeg"/><Relationship Id="rId541" Type="http://schemas.openxmlformats.org/officeDocument/2006/relationships/image" Target="../media/image541.jpeg"/><Relationship Id="rId1171" Type="http://schemas.openxmlformats.org/officeDocument/2006/relationships/image" Target="../media/image1171.jpeg"/><Relationship Id="rId2015" Type="http://schemas.openxmlformats.org/officeDocument/2006/relationships/image" Target="../media/image2015.jpeg"/><Relationship Id="rId2222" Type="http://schemas.openxmlformats.org/officeDocument/2006/relationships/image" Target="../media/image2222.jpeg"/><Relationship Id="rId401" Type="http://schemas.openxmlformats.org/officeDocument/2006/relationships/image" Target="../media/image401.jpeg"/><Relationship Id="rId1031" Type="http://schemas.openxmlformats.org/officeDocument/2006/relationships/image" Target="../media/image1031.jpeg"/><Relationship Id="rId1988" Type="http://schemas.openxmlformats.org/officeDocument/2006/relationships/image" Target="../media/image1988.jpeg"/><Relationship Id="rId4047" Type="http://schemas.openxmlformats.org/officeDocument/2006/relationships/image" Target="../media/image4047.jpeg"/><Relationship Id="rId1848" Type="http://schemas.openxmlformats.org/officeDocument/2006/relationships/image" Target="../media/image1848.jpeg"/><Relationship Id="rId3063" Type="http://schemas.openxmlformats.org/officeDocument/2006/relationships/image" Target="../media/image3063.jpeg"/><Relationship Id="rId3270" Type="http://schemas.openxmlformats.org/officeDocument/2006/relationships/image" Target="../media/image3270.jpeg"/><Relationship Id="rId191" Type="http://schemas.openxmlformats.org/officeDocument/2006/relationships/image" Target="../media/image191.jpeg"/><Relationship Id="rId1708" Type="http://schemas.openxmlformats.org/officeDocument/2006/relationships/image" Target="../media/image1708.jpeg"/><Relationship Id="rId1915" Type="http://schemas.openxmlformats.org/officeDocument/2006/relationships/image" Target="../media/image1915.jpeg"/><Relationship Id="rId3130" Type="http://schemas.openxmlformats.org/officeDocument/2006/relationships/image" Target="../media/image3130.jpeg"/><Relationship Id="rId2689" Type="http://schemas.openxmlformats.org/officeDocument/2006/relationships/image" Target="../media/image2689.jpeg"/><Relationship Id="rId2896" Type="http://schemas.openxmlformats.org/officeDocument/2006/relationships/image" Target="../media/image2896.jpeg"/><Relationship Id="rId3947" Type="http://schemas.openxmlformats.org/officeDocument/2006/relationships/image" Target="../media/image3947.jpeg"/><Relationship Id="rId868" Type="http://schemas.openxmlformats.org/officeDocument/2006/relationships/image" Target="../media/image868.jpeg"/><Relationship Id="rId1498" Type="http://schemas.openxmlformats.org/officeDocument/2006/relationships/image" Target="../media/image1498.jpeg"/><Relationship Id="rId2549" Type="http://schemas.openxmlformats.org/officeDocument/2006/relationships/image" Target="../media/image2549.jpeg"/><Relationship Id="rId2756" Type="http://schemas.openxmlformats.org/officeDocument/2006/relationships/image" Target="../media/image2756.jpeg"/><Relationship Id="rId2963" Type="http://schemas.openxmlformats.org/officeDocument/2006/relationships/image" Target="../media/image2963.jpeg"/><Relationship Id="rId3807" Type="http://schemas.openxmlformats.org/officeDocument/2006/relationships/image" Target="../media/image3807.jpe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2409" Type="http://schemas.openxmlformats.org/officeDocument/2006/relationships/image" Target="../media/image2409.jpeg"/><Relationship Id="rId2616" Type="http://schemas.openxmlformats.org/officeDocument/2006/relationships/image" Target="../media/image2616.jpeg"/><Relationship Id="rId64" Type="http://schemas.openxmlformats.org/officeDocument/2006/relationships/image" Target="../media/image64.jpeg"/><Relationship Id="rId1218" Type="http://schemas.openxmlformats.org/officeDocument/2006/relationships/image" Target="../media/image1218.jpeg"/><Relationship Id="rId1425" Type="http://schemas.openxmlformats.org/officeDocument/2006/relationships/image" Target="../media/image1425.jpeg"/><Relationship Id="rId2823" Type="http://schemas.openxmlformats.org/officeDocument/2006/relationships/image" Target="../media/image2823.jpeg"/><Relationship Id="rId1632" Type="http://schemas.openxmlformats.org/officeDocument/2006/relationships/image" Target="../media/image1632.jpeg"/><Relationship Id="rId2199" Type="http://schemas.openxmlformats.org/officeDocument/2006/relationships/image" Target="../media/image2199.jpeg"/><Relationship Id="rId3597" Type="http://schemas.openxmlformats.org/officeDocument/2006/relationships/image" Target="../media/image3597.jpeg"/><Relationship Id="rId3457" Type="http://schemas.openxmlformats.org/officeDocument/2006/relationships/image" Target="../media/image3457.jpeg"/><Relationship Id="rId3664" Type="http://schemas.openxmlformats.org/officeDocument/2006/relationships/image" Target="../media/image3664.jpeg"/><Relationship Id="rId3871" Type="http://schemas.openxmlformats.org/officeDocument/2006/relationships/image" Target="../media/image3871.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2059" Type="http://schemas.openxmlformats.org/officeDocument/2006/relationships/image" Target="../media/image2059.jpeg"/><Relationship Id="rId2266" Type="http://schemas.openxmlformats.org/officeDocument/2006/relationships/image" Target="../media/image2266.jpeg"/><Relationship Id="rId2473" Type="http://schemas.openxmlformats.org/officeDocument/2006/relationships/image" Target="../media/image2473.jpeg"/><Relationship Id="rId2680" Type="http://schemas.openxmlformats.org/officeDocument/2006/relationships/image" Target="../media/image2680.jpeg"/><Relationship Id="rId3317" Type="http://schemas.openxmlformats.org/officeDocument/2006/relationships/image" Target="../media/image3317.jpeg"/><Relationship Id="rId3524" Type="http://schemas.openxmlformats.org/officeDocument/2006/relationships/image" Target="../media/image3524.jpeg"/><Relationship Id="rId3731" Type="http://schemas.openxmlformats.org/officeDocument/2006/relationships/image" Target="../media/image3731.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2126" Type="http://schemas.openxmlformats.org/officeDocument/2006/relationships/image" Target="../media/image2126.jpeg"/><Relationship Id="rId2333" Type="http://schemas.openxmlformats.org/officeDocument/2006/relationships/image" Target="../media/image2333.jpeg"/><Relationship Id="rId2540" Type="http://schemas.openxmlformats.org/officeDocument/2006/relationships/image" Target="../media/image2540.jpe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jpeg"/><Relationship Id="rId2400" Type="http://schemas.openxmlformats.org/officeDocument/2006/relationships/image" Target="../media/image2400.jpeg"/><Relationship Id="rId1002" Type="http://schemas.openxmlformats.org/officeDocument/2006/relationships/image" Target="../media/image1002.jpeg"/><Relationship Id="rId1959" Type="http://schemas.openxmlformats.org/officeDocument/2006/relationships/image" Target="../media/image1959.jpeg"/><Relationship Id="rId3174" Type="http://schemas.openxmlformats.org/officeDocument/2006/relationships/image" Target="../media/image3174.jpeg"/><Relationship Id="rId4018" Type="http://schemas.openxmlformats.org/officeDocument/2006/relationships/image" Target="../media/image4018.jpeg"/><Relationship Id="rId1819" Type="http://schemas.openxmlformats.org/officeDocument/2006/relationships/image" Target="../media/image1819.jpeg"/><Relationship Id="rId3381" Type="http://schemas.openxmlformats.org/officeDocument/2006/relationships/image" Target="../media/image3381.jpeg"/><Relationship Id="rId2190" Type="http://schemas.openxmlformats.org/officeDocument/2006/relationships/image" Target="../media/image2190.jpeg"/><Relationship Id="rId3034" Type="http://schemas.openxmlformats.org/officeDocument/2006/relationships/image" Target="../media/image3034.jpeg"/><Relationship Id="rId3241" Type="http://schemas.openxmlformats.org/officeDocument/2006/relationships/image" Target="../media/image3241.jpeg"/><Relationship Id="rId162" Type="http://schemas.openxmlformats.org/officeDocument/2006/relationships/image" Target="../media/image162.jpeg"/><Relationship Id="rId2050" Type="http://schemas.openxmlformats.org/officeDocument/2006/relationships/image" Target="../media/image2050.jpeg"/><Relationship Id="rId3101" Type="http://schemas.openxmlformats.org/officeDocument/2006/relationships/image" Target="../media/image3101.jpeg"/><Relationship Id="rId979" Type="http://schemas.openxmlformats.org/officeDocument/2006/relationships/image" Target="../media/image979.jpeg"/><Relationship Id="rId839" Type="http://schemas.openxmlformats.org/officeDocument/2006/relationships/image" Target="../media/image839.jpeg"/><Relationship Id="rId1469" Type="http://schemas.openxmlformats.org/officeDocument/2006/relationships/image" Target="../media/image1469.jpeg"/><Relationship Id="rId2867" Type="http://schemas.openxmlformats.org/officeDocument/2006/relationships/image" Target="../media/image2867.jpeg"/><Relationship Id="rId3918" Type="http://schemas.openxmlformats.org/officeDocument/2006/relationships/image" Target="../media/image3918.jpe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eg"/><Relationship Id="rId2934" Type="http://schemas.openxmlformats.org/officeDocument/2006/relationships/image" Target="../media/image2934.jpe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1950" Type="http://schemas.openxmlformats.org/officeDocument/2006/relationships/image" Target="../media/image1950.jpeg"/><Relationship Id="rId35" Type="http://schemas.openxmlformats.org/officeDocument/2006/relationships/image" Target="../media/image35.jpeg"/><Relationship Id="rId1603" Type="http://schemas.openxmlformats.org/officeDocument/2006/relationships/image" Target="../media/image1603.jpeg"/><Relationship Id="rId1810" Type="http://schemas.openxmlformats.org/officeDocument/2006/relationships/image" Target="../media/image1810.jpeg"/><Relationship Id="rId3568" Type="http://schemas.openxmlformats.org/officeDocument/2006/relationships/image" Target="../media/image3568.jpeg"/><Relationship Id="rId3775" Type="http://schemas.openxmlformats.org/officeDocument/2006/relationships/image" Target="../media/image3775.jpeg"/><Relationship Id="rId3982" Type="http://schemas.openxmlformats.org/officeDocument/2006/relationships/image" Target="../media/image3982.jpeg"/><Relationship Id="rId489" Type="http://schemas.openxmlformats.org/officeDocument/2006/relationships/image" Target="../media/image489.jpeg"/><Relationship Id="rId696" Type="http://schemas.openxmlformats.org/officeDocument/2006/relationships/image" Target="../media/image696.jpeg"/><Relationship Id="rId2377" Type="http://schemas.openxmlformats.org/officeDocument/2006/relationships/image" Target="../media/image2377.jpeg"/><Relationship Id="rId2584" Type="http://schemas.openxmlformats.org/officeDocument/2006/relationships/image" Target="../media/image2584.jpeg"/><Relationship Id="rId2791" Type="http://schemas.openxmlformats.org/officeDocument/2006/relationships/image" Target="../media/image2791.jpeg"/><Relationship Id="rId3428" Type="http://schemas.openxmlformats.org/officeDocument/2006/relationships/image" Target="../media/image3428.jpeg"/><Relationship Id="rId3635" Type="http://schemas.openxmlformats.org/officeDocument/2006/relationships/image" Target="../media/image3635.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2237" Type="http://schemas.openxmlformats.org/officeDocument/2006/relationships/image" Target="../media/image2237.jpeg"/><Relationship Id="rId2444" Type="http://schemas.openxmlformats.org/officeDocument/2006/relationships/image" Target="../media/image2444.jpeg"/><Relationship Id="rId3842" Type="http://schemas.openxmlformats.org/officeDocument/2006/relationships/image" Target="../media/image3842.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2651" Type="http://schemas.openxmlformats.org/officeDocument/2006/relationships/image" Target="../media/image2651.jpeg"/><Relationship Id="rId3702" Type="http://schemas.openxmlformats.org/officeDocument/2006/relationships/image" Target="../media/image3702.jpeg"/><Relationship Id="rId623" Type="http://schemas.openxmlformats.org/officeDocument/2006/relationships/image" Target="../media/image623.jpeg"/><Relationship Id="rId830" Type="http://schemas.openxmlformats.org/officeDocument/2006/relationships/image" Target="../media/image830.jpeg"/><Relationship Id="rId1460" Type="http://schemas.openxmlformats.org/officeDocument/2006/relationships/image" Target="../media/image1460.jpeg"/><Relationship Id="rId2304" Type="http://schemas.openxmlformats.org/officeDocument/2006/relationships/image" Target="../media/image2304.jpeg"/><Relationship Id="rId2511" Type="http://schemas.openxmlformats.org/officeDocument/2006/relationships/image" Target="../media/image2511.jpeg"/><Relationship Id="rId1113" Type="http://schemas.openxmlformats.org/officeDocument/2006/relationships/image" Target="../media/image1113.jpeg"/><Relationship Id="rId1320" Type="http://schemas.openxmlformats.org/officeDocument/2006/relationships/image" Target="../media/image1320.jpeg"/><Relationship Id="rId3078" Type="http://schemas.openxmlformats.org/officeDocument/2006/relationships/image" Target="../media/image3078.jpeg"/><Relationship Id="rId3285" Type="http://schemas.openxmlformats.org/officeDocument/2006/relationships/image" Target="../media/image3285.jpeg"/><Relationship Id="rId3492" Type="http://schemas.openxmlformats.org/officeDocument/2006/relationships/image" Target="../media/image3492.jpeg"/><Relationship Id="rId2094" Type="http://schemas.openxmlformats.org/officeDocument/2006/relationships/image" Target="../media/image2094.jpeg"/><Relationship Id="rId3145" Type="http://schemas.openxmlformats.org/officeDocument/2006/relationships/image" Target="../media/image3145.jpeg"/><Relationship Id="rId3352" Type="http://schemas.openxmlformats.org/officeDocument/2006/relationships/image" Target="../media/image3352.jpe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eg"/><Relationship Id="rId3005" Type="http://schemas.openxmlformats.org/officeDocument/2006/relationships/image" Target="../media/image3005.jpeg"/><Relationship Id="rId3212" Type="http://schemas.openxmlformats.org/officeDocument/2006/relationships/image" Target="../media/image3212.jpe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eg"/><Relationship Id="rId200" Type="http://schemas.openxmlformats.org/officeDocument/2006/relationships/image" Target="../media/image200.jpeg"/><Relationship Id="rId2978" Type="http://schemas.openxmlformats.org/officeDocument/2006/relationships/image" Target="../media/image2978.jpeg"/><Relationship Id="rId1787" Type="http://schemas.openxmlformats.org/officeDocument/2006/relationships/image" Target="../media/image1787.jpeg"/><Relationship Id="rId1994" Type="http://schemas.openxmlformats.org/officeDocument/2006/relationships/image" Target="../media/image1994.jpeg"/><Relationship Id="rId2838" Type="http://schemas.openxmlformats.org/officeDocument/2006/relationships/image" Target="../media/image2838.jpeg"/><Relationship Id="rId79" Type="http://schemas.openxmlformats.org/officeDocument/2006/relationships/image" Target="../media/image79.jpeg"/><Relationship Id="rId1647" Type="http://schemas.openxmlformats.org/officeDocument/2006/relationships/image" Target="../media/image1647.jpeg"/><Relationship Id="rId1854" Type="http://schemas.openxmlformats.org/officeDocument/2006/relationships/image" Target="../media/image1854.jpeg"/><Relationship Id="rId2905" Type="http://schemas.openxmlformats.org/officeDocument/2006/relationships/image" Target="../media/image2905.jpeg"/><Relationship Id="rId4053" Type="http://schemas.openxmlformats.org/officeDocument/2006/relationships/image" Target="../media/image4053.jpeg"/><Relationship Id="rId1507" Type="http://schemas.openxmlformats.org/officeDocument/2006/relationships/image" Target="../media/image1507.jpeg"/><Relationship Id="rId1714" Type="http://schemas.openxmlformats.org/officeDocument/2006/relationships/image" Target="../media/image1714.jpeg"/><Relationship Id="rId1921" Type="http://schemas.openxmlformats.org/officeDocument/2006/relationships/image" Target="../media/image1921.jpeg"/><Relationship Id="rId3679" Type="http://schemas.openxmlformats.org/officeDocument/2006/relationships/image" Target="../media/image3679.jpeg"/><Relationship Id="rId2488" Type="http://schemas.openxmlformats.org/officeDocument/2006/relationships/image" Target="../media/image2488.jpeg"/><Relationship Id="rId3886" Type="http://schemas.openxmlformats.org/officeDocument/2006/relationships/image" Target="../media/image3886.jpeg"/><Relationship Id="rId1297" Type="http://schemas.openxmlformats.org/officeDocument/2006/relationships/image" Target="../media/image1297.jpeg"/><Relationship Id="rId2695" Type="http://schemas.openxmlformats.org/officeDocument/2006/relationships/image" Target="../media/image2695.jpeg"/><Relationship Id="rId3539" Type="http://schemas.openxmlformats.org/officeDocument/2006/relationships/image" Target="../media/image3539.jpeg"/><Relationship Id="rId3746" Type="http://schemas.openxmlformats.org/officeDocument/2006/relationships/image" Target="../media/image3746.jpeg"/><Relationship Id="rId3953" Type="http://schemas.openxmlformats.org/officeDocument/2006/relationships/image" Target="../media/image3953.jpeg"/><Relationship Id="rId667" Type="http://schemas.openxmlformats.org/officeDocument/2006/relationships/image" Target="../media/image667.jpeg"/><Relationship Id="rId874" Type="http://schemas.openxmlformats.org/officeDocument/2006/relationships/image" Target="../media/image874.jpeg"/><Relationship Id="rId2348" Type="http://schemas.openxmlformats.org/officeDocument/2006/relationships/image" Target="../media/image2348.jpeg"/><Relationship Id="rId2555" Type="http://schemas.openxmlformats.org/officeDocument/2006/relationships/image" Target="../media/image2555.jpeg"/><Relationship Id="rId2762" Type="http://schemas.openxmlformats.org/officeDocument/2006/relationships/image" Target="../media/image2762.jpeg"/><Relationship Id="rId3606" Type="http://schemas.openxmlformats.org/officeDocument/2006/relationships/image" Target="../media/image3606.jpeg"/><Relationship Id="rId3813" Type="http://schemas.openxmlformats.org/officeDocument/2006/relationships/image" Target="../media/image3813.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2208" Type="http://schemas.openxmlformats.org/officeDocument/2006/relationships/image" Target="../media/image2208.jpeg"/><Relationship Id="rId2415" Type="http://schemas.openxmlformats.org/officeDocument/2006/relationships/image" Target="../media/image2415.jpeg"/><Relationship Id="rId2622" Type="http://schemas.openxmlformats.org/officeDocument/2006/relationships/image" Target="../media/image2622.jpe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3189" Type="http://schemas.openxmlformats.org/officeDocument/2006/relationships/image" Target="../media/image3189.jpeg"/><Relationship Id="rId3396" Type="http://schemas.openxmlformats.org/officeDocument/2006/relationships/image" Target="../media/image3396.jpeg"/><Relationship Id="rId3049" Type="http://schemas.openxmlformats.org/officeDocument/2006/relationships/image" Target="../media/image3049.jpeg"/><Relationship Id="rId3256" Type="http://schemas.openxmlformats.org/officeDocument/2006/relationships/image" Target="../media/image3256.jpeg"/><Relationship Id="rId3463" Type="http://schemas.openxmlformats.org/officeDocument/2006/relationships/image" Target="../media/image3463.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2065" Type="http://schemas.openxmlformats.org/officeDocument/2006/relationships/image" Target="../media/image2065.jpeg"/><Relationship Id="rId2272" Type="http://schemas.openxmlformats.org/officeDocument/2006/relationships/image" Target="../media/image2272.jpeg"/><Relationship Id="rId3116" Type="http://schemas.openxmlformats.org/officeDocument/2006/relationships/image" Target="../media/image3116.jpeg"/><Relationship Id="rId3670" Type="http://schemas.openxmlformats.org/officeDocument/2006/relationships/image" Target="../media/image3670.jpeg"/><Relationship Id="rId244" Type="http://schemas.openxmlformats.org/officeDocument/2006/relationships/image" Target="../media/image244.jpeg"/><Relationship Id="rId1081" Type="http://schemas.openxmlformats.org/officeDocument/2006/relationships/image" Target="../media/image1081.jpeg"/><Relationship Id="rId3323" Type="http://schemas.openxmlformats.org/officeDocument/2006/relationships/image" Target="../media/image3323.jpeg"/><Relationship Id="rId3530" Type="http://schemas.openxmlformats.org/officeDocument/2006/relationships/image" Target="../media/image3530.jpeg"/><Relationship Id="rId451" Type="http://schemas.openxmlformats.org/officeDocument/2006/relationships/image" Target="../media/image451.jpeg"/><Relationship Id="rId2132" Type="http://schemas.openxmlformats.org/officeDocument/2006/relationships/image" Target="../media/image2132.jpeg"/><Relationship Id="rId104" Type="http://schemas.openxmlformats.org/officeDocument/2006/relationships/image" Target="../media/image104.jpeg"/><Relationship Id="rId311" Type="http://schemas.openxmlformats.org/officeDocument/2006/relationships/image" Target="../media/image311.jpeg"/><Relationship Id="rId1898" Type="http://schemas.openxmlformats.org/officeDocument/2006/relationships/image" Target="../media/image1898.jpeg"/><Relationship Id="rId2949" Type="http://schemas.openxmlformats.org/officeDocument/2006/relationships/image" Target="../media/image2949.jpeg"/><Relationship Id="rId1758" Type="http://schemas.openxmlformats.org/officeDocument/2006/relationships/image" Target="../media/image1758.jpeg"/><Relationship Id="rId2809" Type="http://schemas.openxmlformats.org/officeDocument/2006/relationships/image" Target="../media/image2809.jpeg"/><Relationship Id="rId1965" Type="http://schemas.openxmlformats.org/officeDocument/2006/relationships/image" Target="../media/image1965.jpeg"/><Relationship Id="rId3180" Type="http://schemas.openxmlformats.org/officeDocument/2006/relationships/image" Target="../media/image3180.jpeg"/><Relationship Id="rId4024" Type="http://schemas.openxmlformats.org/officeDocument/2006/relationships/image" Target="../media/image4024.jpeg"/><Relationship Id="rId1618" Type="http://schemas.openxmlformats.org/officeDocument/2006/relationships/image" Target="../media/image1618.jpeg"/><Relationship Id="rId1825" Type="http://schemas.openxmlformats.org/officeDocument/2006/relationships/image" Target="../media/image1825.jpeg"/><Relationship Id="rId3040" Type="http://schemas.openxmlformats.org/officeDocument/2006/relationships/image" Target="../media/image3040.jpeg"/><Relationship Id="rId3997" Type="http://schemas.openxmlformats.org/officeDocument/2006/relationships/image" Target="../media/image3997.jpeg"/><Relationship Id="rId2599" Type="http://schemas.openxmlformats.org/officeDocument/2006/relationships/image" Target="../media/image2599.jpeg"/><Relationship Id="rId3857" Type="http://schemas.openxmlformats.org/officeDocument/2006/relationships/image" Target="../media/image3857.jpeg"/><Relationship Id="rId778" Type="http://schemas.openxmlformats.org/officeDocument/2006/relationships/image" Target="../media/image778.jpeg"/><Relationship Id="rId985" Type="http://schemas.openxmlformats.org/officeDocument/2006/relationships/image" Target="../media/image985.jpeg"/><Relationship Id="rId2459" Type="http://schemas.openxmlformats.org/officeDocument/2006/relationships/image" Target="../media/image2459.jpeg"/><Relationship Id="rId2666" Type="http://schemas.openxmlformats.org/officeDocument/2006/relationships/image" Target="../media/image2666.jpeg"/><Relationship Id="rId2873" Type="http://schemas.openxmlformats.org/officeDocument/2006/relationships/image" Target="../media/image2873.jpeg"/><Relationship Id="rId3717" Type="http://schemas.openxmlformats.org/officeDocument/2006/relationships/image" Target="../media/image3717.jpeg"/><Relationship Id="rId3924" Type="http://schemas.openxmlformats.org/officeDocument/2006/relationships/image" Target="../media/image3924.jpeg"/><Relationship Id="rId638" Type="http://schemas.openxmlformats.org/officeDocument/2006/relationships/image" Target="../media/image638.jpeg"/><Relationship Id="rId845" Type="http://schemas.openxmlformats.org/officeDocument/2006/relationships/image" Target="../media/image845.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319" Type="http://schemas.openxmlformats.org/officeDocument/2006/relationships/image" Target="../media/image2319.jpeg"/><Relationship Id="rId2526" Type="http://schemas.openxmlformats.org/officeDocument/2006/relationships/image" Target="../media/image2526.jpeg"/><Relationship Id="rId2733" Type="http://schemas.openxmlformats.org/officeDocument/2006/relationships/image" Target="../media/image2733.jpe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2940" Type="http://schemas.openxmlformats.org/officeDocument/2006/relationships/image" Target="../media/image2940.jpeg"/><Relationship Id="rId912" Type="http://schemas.openxmlformats.org/officeDocument/2006/relationships/image" Target="../media/image912.jpeg"/><Relationship Id="rId2800" Type="http://schemas.openxmlformats.org/officeDocument/2006/relationships/image" Target="../media/image2800.jpeg"/><Relationship Id="rId41" Type="http://schemas.openxmlformats.org/officeDocument/2006/relationships/image" Target="../media/image41.jpeg"/><Relationship Id="rId1402" Type="http://schemas.openxmlformats.org/officeDocument/2006/relationships/image" Target="../media/image1402.jpeg"/><Relationship Id="rId288" Type="http://schemas.openxmlformats.org/officeDocument/2006/relationships/image" Target="../media/image288.jpeg"/><Relationship Id="rId3367" Type="http://schemas.openxmlformats.org/officeDocument/2006/relationships/image" Target="../media/image3367.jpeg"/><Relationship Id="rId3574" Type="http://schemas.openxmlformats.org/officeDocument/2006/relationships/image" Target="../media/image3574.jpeg"/><Relationship Id="rId3781" Type="http://schemas.openxmlformats.org/officeDocument/2006/relationships/image" Target="../media/image3781.jpeg"/><Relationship Id="rId495" Type="http://schemas.openxmlformats.org/officeDocument/2006/relationships/image" Target="../media/image495.jpeg"/><Relationship Id="rId2176" Type="http://schemas.openxmlformats.org/officeDocument/2006/relationships/image" Target="../media/image2176.jpeg"/><Relationship Id="rId2383" Type="http://schemas.openxmlformats.org/officeDocument/2006/relationships/image" Target="../media/image2383.jpeg"/><Relationship Id="rId2590" Type="http://schemas.openxmlformats.org/officeDocument/2006/relationships/image" Target="../media/image2590.jpeg"/><Relationship Id="rId3227" Type="http://schemas.openxmlformats.org/officeDocument/2006/relationships/image" Target="../media/image3227.jpeg"/><Relationship Id="rId3434" Type="http://schemas.openxmlformats.org/officeDocument/2006/relationships/image" Target="../media/image3434.jpeg"/><Relationship Id="rId3641" Type="http://schemas.openxmlformats.org/officeDocument/2006/relationships/image" Target="../media/image3641.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2036" Type="http://schemas.openxmlformats.org/officeDocument/2006/relationships/image" Target="../media/image2036.jpeg"/><Relationship Id="rId2243" Type="http://schemas.openxmlformats.org/officeDocument/2006/relationships/image" Target="../media/image2243.jpeg"/><Relationship Id="rId2450" Type="http://schemas.openxmlformats.org/officeDocument/2006/relationships/image" Target="../media/image2450.jpeg"/><Relationship Id="rId3501" Type="http://schemas.openxmlformats.org/officeDocument/2006/relationships/image" Target="../media/image3501.jpe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jpeg"/><Relationship Id="rId2103" Type="http://schemas.openxmlformats.org/officeDocument/2006/relationships/image" Target="../media/image2103.jpeg"/><Relationship Id="rId2310" Type="http://schemas.openxmlformats.org/officeDocument/2006/relationships/image" Target="../media/image2310.jpeg"/><Relationship Id="rId4068" Type="http://schemas.openxmlformats.org/officeDocument/2006/relationships/image" Target="../media/image4068.jpeg"/><Relationship Id="rId1869" Type="http://schemas.openxmlformats.org/officeDocument/2006/relationships/image" Target="../media/image1869.jpeg"/><Relationship Id="rId3084" Type="http://schemas.openxmlformats.org/officeDocument/2006/relationships/image" Target="../media/image3084.jpeg"/><Relationship Id="rId3291" Type="http://schemas.openxmlformats.org/officeDocument/2006/relationships/image" Target="../media/image3291.jpeg"/><Relationship Id="rId1729" Type="http://schemas.openxmlformats.org/officeDocument/2006/relationships/image" Target="../media/image1729.jpeg"/><Relationship Id="rId1936" Type="http://schemas.openxmlformats.org/officeDocument/2006/relationships/image" Target="../media/image1936.jpeg"/><Relationship Id="rId3151" Type="http://schemas.openxmlformats.org/officeDocument/2006/relationships/image" Target="../media/image3151.jpeg"/><Relationship Id="rId3011" Type="http://schemas.openxmlformats.org/officeDocument/2006/relationships/image" Target="../media/image3011.jpeg"/><Relationship Id="rId3968" Type="http://schemas.openxmlformats.org/officeDocument/2006/relationships/image" Target="../media/image3968.jpeg"/><Relationship Id="rId5" Type="http://schemas.openxmlformats.org/officeDocument/2006/relationships/image" Target="../media/image5.jpeg"/><Relationship Id="rId889" Type="http://schemas.openxmlformats.org/officeDocument/2006/relationships/image" Target="../media/image889.jpeg"/><Relationship Id="rId2777" Type="http://schemas.openxmlformats.org/officeDocument/2006/relationships/image" Target="../media/image2777.jpeg"/><Relationship Id="rId749" Type="http://schemas.openxmlformats.org/officeDocument/2006/relationships/image" Target="../media/image749.jpeg"/><Relationship Id="rId1379" Type="http://schemas.openxmlformats.org/officeDocument/2006/relationships/image" Target="../media/image1379.jpeg"/><Relationship Id="rId1586" Type="http://schemas.openxmlformats.org/officeDocument/2006/relationships/image" Target="../media/image1586.jpeg"/><Relationship Id="rId2984" Type="http://schemas.openxmlformats.org/officeDocument/2006/relationships/image" Target="../media/image2984.jpeg"/><Relationship Id="rId3828" Type="http://schemas.openxmlformats.org/officeDocument/2006/relationships/image" Target="../media/image3828.jpeg"/><Relationship Id="rId609" Type="http://schemas.openxmlformats.org/officeDocument/2006/relationships/image" Target="../media/image609.jpeg"/><Relationship Id="rId956" Type="http://schemas.openxmlformats.org/officeDocument/2006/relationships/image" Target="../media/image956.jpeg"/><Relationship Id="rId1239" Type="http://schemas.openxmlformats.org/officeDocument/2006/relationships/image" Target="../media/image1239.jpeg"/><Relationship Id="rId1793" Type="http://schemas.openxmlformats.org/officeDocument/2006/relationships/image" Target="../media/image1793.jpeg"/><Relationship Id="rId2637" Type="http://schemas.openxmlformats.org/officeDocument/2006/relationships/image" Target="../media/image2637.jpeg"/><Relationship Id="rId2844" Type="http://schemas.openxmlformats.org/officeDocument/2006/relationships/image" Target="../media/image2844.jpeg"/><Relationship Id="rId85" Type="http://schemas.openxmlformats.org/officeDocument/2006/relationships/image" Target="../media/image85.jpeg"/><Relationship Id="rId816" Type="http://schemas.openxmlformats.org/officeDocument/2006/relationships/image" Target="../media/image816.jpeg"/><Relationship Id="rId1446" Type="http://schemas.openxmlformats.org/officeDocument/2006/relationships/image" Target="../media/image1446.jpeg"/><Relationship Id="rId1653" Type="http://schemas.openxmlformats.org/officeDocument/2006/relationships/image" Target="../media/image1653.jpeg"/><Relationship Id="rId1860" Type="http://schemas.openxmlformats.org/officeDocument/2006/relationships/image" Target="../media/image1860.jpeg"/><Relationship Id="rId2704" Type="http://schemas.openxmlformats.org/officeDocument/2006/relationships/image" Target="../media/image2704.jpeg"/><Relationship Id="rId2911" Type="http://schemas.openxmlformats.org/officeDocument/2006/relationships/image" Target="../media/image2911.jpe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3478" Type="http://schemas.openxmlformats.org/officeDocument/2006/relationships/image" Target="../media/image3478.jpeg"/><Relationship Id="rId3685" Type="http://schemas.openxmlformats.org/officeDocument/2006/relationships/image" Target="../media/image3685.jpeg"/><Relationship Id="rId3892" Type="http://schemas.openxmlformats.org/officeDocument/2006/relationships/image" Target="../media/image3892.jpeg"/><Relationship Id="rId399" Type="http://schemas.openxmlformats.org/officeDocument/2006/relationships/image" Target="../media/image399.jpeg"/><Relationship Id="rId2287" Type="http://schemas.openxmlformats.org/officeDocument/2006/relationships/image" Target="../media/image2287.jpeg"/><Relationship Id="rId2494" Type="http://schemas.openxmlformats.org/officeDocument/2006/relationships/image" Target="../media/image2494.jpeg"/><Relationship Id="rId3338" Type="http://schemas.openxmlformats.org/officeDocument/2006/relationships/image" Target="../media/image3338.jpeg"/><Relationship Id="rId3545" Type="http://schemas.openxmlformats.org/officeDocument/2006/relationships/image" Target="../media/image3545.jpeg"/><Relationship Id="rId3752" Type="http://schemas.openxmlformats.org/officeDocument/2006/relationships/image" Target="../media/image3752.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147" Type="http://schemas.openxmlformats.org/officeDocument/2006/relationships/image" Target="../media/image2147.jpeg"/><Relationship Id="rId2354" Type="http://schemas.openxmlformats.org/officeDocument/2006/relationships/image" Target="../media/image2354.jpeg"/><Relationship Id="rId2561" Type="http://schemas.openxmlformats.org/officeDocument/2006/relationships/image" Target="../media/image2561.jpeg"/><Relationship Id="rId3405" Type="http://schemas.openxmlformats.org/officeDocument/2006/relationships/image" Target="../media/image3405.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163" Type="http://schemas.openxmlformats.org/officeDocument/2006/relationships/image" Target="../media/image1163.jpeg"/><Relationship Id="rId1370" Type="http://schemas.openxmlformats.org/officeDocument/2006/relationships/image" Target="../media/image1370.jpeg"/><Relationship Id="rId2007" Type="http://schemas.openxmlformats.org/officeDocument/2006/relationships/image" Target="../media/image2007.jpeg"/><Relationship Id="rId2214" Type="http://schemas.openxmlformats.org/officeDocument/2006/relationships/image" Target="../media/image2214.jpeg"/><Relationship Id="rId3612" Type="http://schemas.openxmlformats.org/officeDocument/2006/relationships/image" Target="../media/image3612.jpeg"/><Relationship Id="rId740" Type="http://schemas.openxmlformats.org/officeDocument/2006/relationships/image" Target="../media/image740.jpeg"/><Relationship Id="rId1023" Type="http://schemas.openxmlformats.org/officeDocument/2006/relationships/image" Target="../media/image1023.jpeg"/><Relationship Id="rId2421" Type="http://schemas.openxmlformats.org/officeDocument/2006/relationships/image" Target="../media/image2421.jpeg"/><Relationship Id="rId600" Type="http://schemas.openxmlformats.org/officeDocument/2006/relationships/image" Target="../media/image600.jpeg"/><Relationship Id="rId1230" Type="http://schemas.openxmlformats.org/officeDocument/2006/relationships/image" Target="../media/image1230.jpeg"/><Relationship Id="rId3195" Type="http://schemas.openxmlformats.org/officeDocument/2006/relationships/image" Target="../media/image3195.jpeg"/><Relationship Id="rId4039" Type="http://schemas.openxmlformats.org/officeDocument/2006/relationships/image" Target="../media/image4039.jpeg"/><Relationship Id="rId3055" Type="http://schemas.openxmlformats.org/officeDocument/2006/relationships/image" Target="../media/image3055.jpeg"/><Relationship Id="rId3262" Type="http://schemas.openxmlformats.org/officeDocument/2006/relationships/image" Target="../media/image3262.jpe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jpeg"/><Relationship Id="rId2071" Type="http://schemas.openxmlformats.org/officeDocument/2006/relationships/image" Target="../media/image2071.jpeg"/><Relationship Id="rId3122" Type="http://schemas.openxmlformats.org/officeDocument/2006/relationships/image" Target="../media/image3122.jpeg"/><Relationship Id="rId250" Type="http://schemas.openxmlformats.org/officeDocument/2006/relationships/image" Target="../media/image250.jpeg"/><Relationship Id="rId110" Type="http://schemas.openxmlformats.org/officeDocument/2006/relationships/image" Target="../media/image110.jpeg"/><Relationship Id="rId2888" Type="http://schemas.openxmlformats.org/officeDocument/2006/relationships/image" Target="../media/image2888.jpeg"/><Relationship Id="rId3939" Type="http://schemas.openxmlformats.org/officeDocument/2006/relationships/image" Target="../media/image3939.jpeg"/><Relationship Id="rId1697" Type="http://schemas.openxmlformats.org/officeDocument/2006/relationships/image" Target="../media/image1697.jpeg"/><Relationship Id="rId2748" Type="http://schemas.openxmlformats.org/officeDocument/2006/relationships/image" Target="../media/image2748.jpeg"/><Relationship Id="rId2955" Type="http://schemas.openxmlformats.org/officeDocument/2006/relationships/image" Target="../media/image2955.jpeg"/><Relationship Id="rId927" Type="http://schemas.openxmlformats.org/officeDocument/2006/relationships/image" Target="../media/image927.jpeg"/><Relationship Id="rId1557" Type="http://schemas.openxmlformats.org/officeDocument/2006/relationships/image" Target="../media/image1557.jpeg"/><Relationship Id="rId1764" Type="http://schemas.openxmlformats.org/officeDocument/2006/relationships/image" Target="../media/image1764.jpeg"/><Relationship Id="rId1971" Type="http://schemas.openxmlformats.org/officeDocument/2006/relationships/image" Target="../media/image1971.jpeg"/><Relationship Id="rId2608" Type="http://schemas.openxmlformats.org/officeDocument/2006/relationships/image" Target="../media/image2608.jpeg"/><Relationship Id="rId2815" Type="http://schemas.openxmlformats.org/officeDocument/2006/relationships/image" Target="../media/image2815.jpeg"/><Relationship Id="rId56" Type="http://schemas.openxmlformats.org/officeDocument/2006/relationships/image" Target="../media/image5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4030" Type="http://schemas.openxmlformats.org/officeDocument/2006/relationships/image" Target="../media/image4030.jpeg"/><Relationship Id="rId3589" Type="http://schemas.openxmlformats.org/officeDocument/2006/relationships/image" Target="../media/image3589.jpeg"/><Relationship Id="rId3796" Type="http://schemas.openxmlformats.org/officeDocument/2006/relationships/image" Target="../media/image3796.jpeg"/><Relationship Id="rId2398" Type="http://schemas.openxmlformats.org/officeDocument/2006/relationships/image" Target="../media/image2398.jpeg"/><Relationship Id="rId3449" Type="http://schemas.openxmlformats.org/officeDocument/2006/relationships/image" Target="../media/image3449.jpeg"/><Relationship Id="rId577" Type="http://schemas.openxmlformats.org/officeDocument/2006/relationships/image" Target="../media/image577.jpeg"/><Relationship Id="rId2258" Type="http://schemas.openxmlformats.org/officeDocument/2006/relationships/image" Target="../media/image2258.jpeg"/><Relationship Id="rId3656" Type="http://schemas.openxmlformats.org/officeDocument/2006/relationships/image" Target="../media/image3656.jpeg"/><Relationship Id="rId3863" Type="http://schemas.openxmlformats.org/officeDocument/2006/relationships/image" Target="../media/image3863.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2465" Type="http://schemas.openxmlformats.org/officeDocument/2006/relationships/image" Target="../media/image2465.jpeg"/><Relationship Id="rId2672" Type="http://schemas.openxmlformats.org/officeDocument/2006/relationships/image" Target="../media/image2672.jpeg"/><Relationship Id="rId3309" Type="http://schemas.openxmlformats.org/officeDocument/2006/relationships/image" Target="../media/image3309.jpeg"/><Relationship Id="rId3516" Type="http://schemas.openxmlformats.org/officeDocument/2006/relationships/image" Target="../media/image3516.jpeg"/><Relationship Id="rId3723" Type="http://schemas.openxmlformats.org/officeDocument/2006/relationships/image" Target="../media/image3723.jpeg"/><Relationship Id="rId3930" Type="http://schemas.openxmlformats.org/officeDocument/2006/relationships/image" Target="../media/image3930.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2118" Type="http://schemas.openxmlformats.org/officeDocument/2006/relationships/image" Target="../media/image2118.jpeg"/><Relationship Id="rId2325" Type="http://schemas.openxmlformats.org/officeDocument/2006/relationships/image" Target="../media/image2325.jpeg"/><Relationship Id="rId2532" Type="http://schemas.openxmlformats.org/officeDocument/2006/relationships/image" Target="../media/image2532.jpeg"/><Relationship Id="rId504" Type="http://schemas.openxmlformats.org/officeDocument/2006/relationships/image" Target="../media/image504.jpeg"/><Relationship Id="rId711" Type="http://schemas.openxmlformats.org/officeDocument/2006/relationships/image" Target="../media/image711.jpeg"/><Relationship Id="rId1134" Type="http://schemas.openxmlformats.org/officeDocument/2006/relationships/image" Target="../media/image1134.jpeg"/><Relationship Id="rId1341" Type="http://schemas.openxmlformats.org/officeDocument/2006/relationships/image" Target="../media/image1341.jpeg"/><Relationship Id="rId1201" Type="http://schemas.openxmlformats.org/officeDocument/2006/relationships/image" Target="../media/image1201.jpeg"/><Relationship Id="rId3099" Type="http://schemas.openxmlformats.org/officeDocument/2006/relationships/image" Target="../media/image3099.jpeg"/><Relationship Id="rId3166" Type="http://schemas.openxmlformats.org/officeDocument/2006/relationships/image" Target="../media/image3166.jpeg"/><Relationship Id="rId3373" Type="http://schemas.openxmlformats.org/officeDocument/2006/relationships/image" Target="../media/image3373.jpeg"/><Relationship Id="rId3580" Type="http://schemas.openxmlformats.org/officeDocument/2006/relationships/image" Target="../media/image3580.jpeg"/><Relationship Id="rId294" Type="http://schemas.openxmlformats.org/officeDocument/2006/relationships/image" Target="../media/image294.jpeg"/><Relationship Id="rId2182" Type="http://schemas.openxmlformats.org/officeDocument/2006/relationships/image" Target="../media/image2182.jpeg"/><Relationship Id="rId3026" Type="http://schemas.openxmlformats.org/officeDocument/2006/relationships/image" Target="../media/image3026.jpeg"/><Relationship Id="rId3233" Type="http://schemas.openxmlformats.org/officeDocument/2006/relationships/image" Target="../media/image3233.jpe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jpeg"/><Relationship Id="rId3440" Type="http://schemas.openxmlformats.org/officeDocument/2006/relationships/image" Target="../media/image3440.jpeg"/><Relationship Id="rId2999" Type="http://schemas.openxmlformats.org/officeDocument/2006/relationships/image" Target="../media/image2999.jpeg"/><Relationship Id="rId3300" Type="http://schemas.openxmlformats.org/officeDocument/2006/relationships/image" Target="../media/image3300.jpeg"/><Relationship Id="rId221" Type="http://schemas.openxmlformats.org/officeDocument/2006/relationships/image" Target="../media/image221.jpeg"/><Relationship Id="rId2859" Type="http://schemas.openxmlformats.org/officeDocument/2006/relationships/image" Target="../media/image2859.jpe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eg"/><Relationship Id="rId4074" Type="http://schemas.openxmlformats.org/officeDocument/2006/relationships/image" Target="../media/image4074.jpeg"/><Relationship Id="rId1528" Type="http://schemas.openxmlformats.org/officeDocument/2006/relationships/image" Target="../media/image1528.jpeg"/><Relationship Id="rId2926" Type="http://schemas.openxmlformats.org/officeDocument/2006/relationships/image" Target="../media/image2926.jpeg"/><Relationship Id="rId3090" Type="http://schemas.openxmlformats.org/officeDocument/2006/relationships/image" Target="../media/image3090.jpeg"/><Relationship Id="rId1735" Type="http://schemas.openxmlformats.org/officeDocument/2006/relationships/image" Target="../media/image1735.jpeg"/><Relationship Id="rId1942" Type="http://schemas.openxmlformats.org/officeDocument/2006/relationships/image" Target="../media/image1942.jpeg"/><Relationship Id="rId4001" Type="http://schemas.openxmlformats.org/officeDocument/2006/relationships/image" Target="../media/image4001.jpeg"/><Relationship Id="rId27" Type="http://schemas.openxmlformats.org/officeDocument/2006/relationships/image" Target="../media/image27.jpeg"/><Relationship Id="rId1802" Type="http://schemas.openxmlformats.org/officeDocument/2006/relationships/image" Target="../media/image1802.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2064" Type="http://schemas.openxmlformats.org/officeDocument/2006/relationships/image" Target="../media/image2064.jpeg"/><Relationship Id="rId2271" Type="http://schemas.openxmlformats.org/officeDocument/2006/relationships/image" Target="../media/image2271.jpeg"/><Relationship Id="rId3115" Type="http://schemas.openxmlformats.org/officeDocument/2006/relationships/image" Target="../media/image3115.jpeg"/><Relationship Id="rId3322" Type="http://schemas.openxmlformats.org/officeDocument/2006/relationships/image" Target="../media/image3322.jpeg"/><Relationship Id="rId3767" Type="http://schemas.openxmlformats.org/officeDocument/2006/relationships/image" Target="../media/image3767.jpeg"/><Relationship Id="rId3974" Type="http://schemas.openxmlformats.org/officeDocument/2006/relationships/image" Target="../media/image3974.jpeg"/><Relationship Id="rId243" Type="http://schemas.openxmlformats.org/officeDocument/2006/relationships/image" Target="../media/image243.jpeg"/><Relationship Id="rId450" Type="http://schemas.openxmlformats.org/officeDocument/2006/relationships/image" Target="../media/image450.jpeg"/><Relationship Id="rId688" Type="http://schemas.openxmlformats.org/officeDocument/2006/relationships/image" Target="../media/image688.jpeg"/><Relationship Id="rId895" Type="http://schemas.openxmlformats.org/officeDocument/2006/relationships/image" Target="../media/image895.jpeg"/><Relationship Id="rId1080" Type="http://schemas.openxmlformats.org/officeDocument/2006/relationships/image" Target="../media/image1080.jpeg"/><Relationship Id="rId2131" Type="http://schemas.openxmlformats.org/officeDocument/2006/relationships/image" Target="../media/image2131.jpeg"/><Relationship Id="rId2369" Type="http://schemas.openxmlformats.org/officeDocument/2006/relationships/image" Target="../media/image2369.jpeg"/><Relationship Id="rId2576" Type="http://schemas.openxmlformats.org/officeDocument/2006/relationships/image" Target="../media/image2576.jpeg"/><Relationship Id="rId2783" Type="http://schemas.openxmlformats.org/officeDocument/2006/relationships/image" Target="../media/image2783.jpeg"/><Relationship Id="rId2990" Type="http://schemas.openxmlformats.org/officeDocument/2006/relationships/image" Target="../media/image2990.jpeg"/><Relationship Id="rId3627" Type="http://schemas.openxmlformats.org/officeDocument/2006/relationships/image" Target="../media/image3627.jpeg"/><Relationship Id="rId3834" Type="http://schemas.openxmlformats.org/officeDocument/2006/relationships/image" Target="../media/image3834.jpeg"/><Relationship Id="rId103" Type="http://schemas.openxmlformats.org/officeDocument/2006/relationships/image" Target="../media/image103.jpeg"/><Relationship Id="rId310" Type="http://schemas.openxmlformats.org/officeDocument/2006/relationships/image" Target="../media/image310.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2229" Type="http://schemas.openxmlformats.org/officeDocument/2006/relationships/image" Target="../media/image2229.jpeg"/><Relationship Id="rId2436" Type="http://schemas.openxmlformats.org/officeDocument/2006/relationships/image" Target="../media/image2436.jpeg"/><Relationship Id="rId2643" Type="http://schemas.openxmlformats.org/officeDocument/2006/relationships/image" Target="../media/image2643.jpeg"/><Relationship Id="rId2850" Type="http://schemas.openxmlformats.org/officeDocument/2006/relationships/image" Target="../media/image2850.jpeg"/><Relationship Id="rId91" Type="http://schemas.openxmlformats.org/officeDocument/2006/relationships/image" Target="../media/image91.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1897" Type="http://schemas.openxmlformats.org/officeDocument/2006/relationships/image" Target="../media/image1897.jpeg"/><Relationship Id="rId2503" Type="http://schemas.openxmlformats.org/officeDocument/2006/relationships/image" Target="../media/image2503.jpeg"/><Relationship Id="rId2948" Type="http://schemas.openxmlformats.org/officeDocument/2006/relationships/image" Target="../media/image2948.jpeg"/><Relationship Id="rId3901" Type="http://schemas.openxmlformats.org/officeDocument/2006/relationships/image" Target="../media/image3901.jpeg"/><Relationship Id="rId1105" Type="http://schemas.openxmlformats.org/officeDocument/2006/relationships/image" Target="../media/image1105.jpeg"/><Relationship Id="rId1312" Type="http://schemas.openxmlformats.org/officeDocument/2006/relationships/image" Target="../media/image1312.jpeg"/><Relationship Id="rId1757" Type="http://schemas.openxmlformats.org/officeDocument/2006/relationships/image" Target="../media/image1757.jpeg"/><Relationship Id="rId1964" Type="http://schemas.openxmlformats.org/officeDocument/2006/relationships/image" Target="../media/image1964.jpeg"/><Relationship Id="rId2710" Type="http://schemas.openxmlformats.org/officeDocument/2006/relationships/image" Target="../media/image2710.jpeg"/><Relationship Id="rId2808" Type="http://schemas.openxmlformats.org/officeDocument/2006/relationships/image" Target="../media/image2808.jpeg"/><Relationship Id="rId49" Type="http://schemas.openxmlformats.org/officeDocument/2006/relationships/image" Target="../media/image49.jpeg"/><Relationship Id="rId1617" Type="http://schemas.openxmlformats.org/officeDocument/2006/relationships/image" Target="../media/image1617.jpeg"/><Relationship Id="rId1824" Type="http://schemas.openxmlformats.org/officeDocument/2006/relationships/image" Target="../media/image1824.jpeg"/><Relationship Id="rId3277" Type="http://schemas.openxmlformats.org/officeDocument/2006/relationships/image" Target="../media/image3277.jpeg"/><Relationship Id="rId4023" Type="http://schemas.openxmlformats.org/officeDocument/2006/relationships/image" Target="../media/image4023.jpeg"/><Relationship Id="rId198" Type="http://schemas.openxmlformats.org/officeDocument/2006/relationships/image" Target="../media/image198.jpeg"/><Relationship Id="rId2086" Type="http://schemas.openxmlformats.org/officeDocument/2006/relationships/image" Target="../media/image2086.jpeg"/><Relationship Id="rId3484" Type="http://schemas.openxmlformats.org/officeDocument/2006/relationships/image" Target="../media/image3484.jpeg"/><Relationship Id="rId3691" Type="http://schemas.openxmlformats.org/officeDocument/2006/relationships/image" Target="../media/image3691.jpeg"/><Relationship Id="rId3789" Type="http://schemas.openxmlformats.org/officeDocument/2006/relationships/image" Target="../media/image3789.jpeg"/><Relationship Id="rId2293" Type="http://schemas.openxmlformats.org/officeDocument/2006/relationships/image" Target="../media/image2293.jpeg"/><Relationship Id="rId2598" Type="http://schemas.openxmlformats.org/officeDocument/2006/relationships/image" Target="../media/image2598.jpeg"/><Relationship Id="rId3137" Type="http://schemas.openxmlformats.org/officeDocument/2006/relationships/image" Target="../media/image3137.jpeg"/><Relationship Id="rId3344" Type="http://schemas.openxmlformats.org/officeDocument/2006/relationships/image" Target="../media/image3344.jpeg"/><Relationship Id="rId3551" Type="http://schemas.openxmlformats.org/officeDocument/2006/relationships/image" Target="../media/image3551.jpeg"/><Relationship Id="rId3996" Type="http://schemas.openxmlformats.org/officeDocument/2006/relationships/image" Target="../media/image3996.jpe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eg"/><Relationship Id="rId2360" Type="http://schemas.openxmlformats.org/officeDocument/2006/relationships/image" Target="../media/image2360.jpeg"/><Relationship Id="rId3204" Type="http://schemas.openxmlformats.org/officeDocument/2006/relationships/image" Target="../media/image3204.jpeg"/><Relationship Id="rId3411" Type="http://schemas.openxmlformats.org/officeDocument/2006/relationships/image" Target="../media/image3411.jpeg"/><Relationship Id="rId3649" Type="http://schemas.openxmlformats.org/officeDocument/2006/relationships/image" Target="../media/image3649.jpeg"/><Relationship Id="rId3856" Type="http://schemas.openxmlformats.org/officeDocument/2006/relationships/image" Target="../media/image3856.jpeg"/><Relationship Id="rId125" Type="http://schemas.openxmlformats.org/officeDocument/2006/relationships/image" Target="../media/image125.jpeg"/><Relationship Id="rId332" Type="http://schemas.openxmlformats.org/officeDocument/2006/relationships/image" Target="../media/image332.jpeg"/><Relationship Id="rId777" Type="http://schemas.openxmlformats.org/officeDocument/2006/relationships/image" Target="../media/image777.jpeg"/><Relationship Id="rId984" Type="http://schemas.openxmlformats.org/officeDocument/2006/relationships/image" Target="../media/image984.jpeg"/><Relationship Id="rId2013" Type="http://schemas.openxmlformats.org/officeDocument/2006/relationships/image" Target="../media/image2013.jpeg"/><Relationship Id="rId2220" Type="http://schemas.openxmlformats.org/officeDocument/2006/relationships/image" Target="../media/image2220.jpeg"/><Relationship Id="rId2458" Type="http://schemas.openxmlformats.org/officeDocument/2006/relationships/image" Target="../media/image2458.jpeg"/><Relationship Id="rId2665" Type="http://schemas.openxmlformats.org/officeDocument/2006/relationships/image" Target="../media/image2665.jpeg"/><Relationship Id="rId2872" Type="http://schemas.openxmlformats.org/officeDocument/2006/relationships/image" Target="../media/image2872.jpeg"/><Relationship Id="rId3509" Type="http://schemas.openxmlformats.org/officeDocument/2006/relationships/image" Target="../media/image3509.jpeg"/><Relationship Id="rId3716" Type="http://schemas.openxmlformats.org/officeDocument/2006/relationships/image" Target="../media/image3716.jpeg"/><Relationship Id="rId3923" Type="http://schemas.openxmlformats.org/officeDocument/2006/relationships/image" Target="../media/image3923.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318" Type="http://schemas.openxmlformats.org/officeDocument/2006/relationships/image" Target="../media/image2318.jpeg"/><Relationship Id="rId2525" Type="http://schemas.openxmlformats.org/officeDocument/2006/relationships/image" Target="../media/image2525.jpeg"/><Relationship Id="rId2732" Type="http://schemas.openxmlformats.org/officeDocument/2006/relationships/image" Target="../media/image2732.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1779" Type="http://schemas.openxmlformats.org/officeDocument/2006/relationships/image" Target="../media/image1779.jpeg"/><Relationship Id="rId1986" Type="http://schemas.openxmlformats.org/officeDocument/2006/relationships/image" Target="../media/image1986.jpeg"/><Relationship Id="rId4045" Type="http://schemas.openxmlformats.org/officeDocument/2006/relationships/image" Target="../media/image4045.jpeg"/><Relationship Id="rId40" Type="http://schemas.openxmlformats.org/officeDocument/2006/relationships/image" Target="../media/image40.jpeg"/><Relationship Id="rId1401" Type="http://schemas.openxmlformats.org/officeDocument/2006/relationships/image" Target="../media/image1401.jpeg"/><Relationship Id="rId1639" Type="http://schemas.openxmlformats.org/officeDocument/2006/relationships/image" Target="../media/image1639.jpeg"/><Relationship Id="rId1846" Type="http://schemas.openxmlformats.org/officeDocument/2006/relationships/image" Target="../media/image1846.jpeg"/><Relationship Id="rId3061" Type="http://schemas.openxmlformats.org/officeDocument/2006/relationships/image" Target="../media/image3061.jpeg"/><Relationship Id="rId3299" Type="http://schemas.openxmlformats.org/officeDocument/2006/relationships/image" Target="../media/image3299.jpeg"/><Relationship Id="rId1706" Type="http://schemas.openxmlformats.org/officeDocument/2006/relationships/image" Target="../media/image1706.jpeg"/><Relationship Id="rId1913" Type="http://schemas.openxmlformats.org/officeDocument/2006/relationships/image" Target="../media/image1913.jpeg"/><Relationship Id="rId3159" Type="http://schemas.openxmlformats.org/officeDocument/2006/relationships/image" Target="../media/image3159.jpeg"/><Relationship Id="rId3366" Type="http://schemas.openxmlformats.org/officeDocument/2006/relationships/image" Target="../media/image3366.jpeg"/><Relationship Id="rId3573" Type="http://schemas.openxmlformats.org/officeDocument/2006/relationships/image" Target="../media/image3573.jpe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eg"/><Relationship Id="rId2382" Type="http://schemas.openxmlformats.org/officeDocument/2006/relationships/image" Target="../media/image2382.jpeg"/><Relationship Id="rId3019" Type="http://schemas.openxmlformats.org/officeDocument/2006/relationships/image" Target="../media/image3019.jpeg"/><Relationship Id="rId3226" Type="http://schemas.openxmlformats.org/officeDocument/2006/relationships/image" Target="../media/image3226.jpeg"/><Relationship Id="rId3780" Type="http://schemas.openxmlformats.org/officeDocument/2006/relationships/image" Target="../media/image3780.jpeg"/><Relationship Id="rId3878" Type="http://schemas.openxmlformats.org/officeDocument/2006/relationships/image" Target="../media/image3878.jpeg"/><Relationship Id="rId147" Type="http://schemas.openxmlformats.org/officeDocument/2006/relationships/image" Target="../media/image147.jpeg"/><Relationship Id="rId354" Type="http://schemas.openxmlformats.org/officeDocument/2006/relationships/image" Target="../media/image354.jpeg"/><Relationship Id="rId799" Type="http://schemas.openxmlformats.org/officeDocument/2006/relationships/image" Target="../media/image799.jpeg"/><Relationship Id="rId1191" Type="http://schemas.openxmlformats.org/officeDocument/2006/relationships/image" Target="../media/image1191.jpeg"/><Relationship Id="rId2035" Type="http://schemas.openxmlformats.org/officeDocument/2006/relationships/image" Target="../media/image2035.jpeg"/><Relationship Id="rId2687" Type="http://schemas.openxmlformats.org/officeDocument/2006/relationships/image" Target="../media/image2687.jpeg"/><Relationship Id="rId2894" Type="http://schemas.openxmlformats.org/officeDocument/2006/relationships/image" Target="../media/image2894.jpeg"/><Relationship Id="rId3433" Type="http://schemas.openxmlformats.org/officeDocument/2006/relationships/image" Target="../media/image3433.jpeg"/><Relationship Id="rId3640" Type="http://schemas.openxmlformats.org/officeDocument/2006/relationships/image" Target="../media/image3640.jpeg"/><Relationship Id="rId3738" Type="http://schemas.openxmlformats.org/officeDocument/2006/relationships/image" Target="../media/image3738.jpeg"/><Relationship Id="rId561" Type="http://schemas.openxmlformats.org/officeDocument/2006/relationships/image" Target="../media/image561.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96" Type="http://schemas.openxmlformats.org/officeDocument/2006/relationships/image" Target="../media/image1496.jpeg"/><Relationship Id="rId2242" Type="http://schemas.openxmlformats.org/officeDocument/2006/relationships/image" Target="../media/image2242.jpeg"/><Relationship Id="rId2547" Type="http://schemas.openxmlformats.org/officeDocument/2006/relationships/image" Target="../media/image2547.jpeg"/><Relationship Id="rId3500" Type="http://schemas.openxmlformats.org/officeDocument/2006/relationships/image" Target="../media/image3500.jpeg"/><Relationship Id="rId3945" Type="http://schemas.openxmlformats.org/officeDocument/2006/relationships/image" Target="../media/image3945.jpeg"/><Relationship Id="rId214" Type="http://schemas.openxmlformats.org/officeDocument/2006/relationships/image" Target="../media/image214.jpeg"/><Relationship Id="rId421" Type="http://schemas.openxmlformats.org/officeDocument/2006/relationships/image" Target="../media/image421.jpeg"/><Relationship Id="rId519" Type="http://schemas.openxmlformats.org/officeDocument/2006/relationships/image" Target="../media/image519.jpeg"/><Relationship Id="rId1051" Type="http://schemas.openxmlformats.org/officeDocument/2006/relationships/image" Target="../media/image1051.jpeg"/><Relationship Id="rId1149" Type="http://schemas.openxmlformats.org/officeDocument/2006/relationships/image" Target="../media/image1149.jpeg"/><Relationship Id="rId1356" Type="http://schemas.openxmlformats.org/officeDocument/2006/relationships/image" Target="../media/image1356.jpeg"/><Relationship Id="rId2102" Type="http://schemas.openxmlformats.org/officeDocument/2006/relationships/image" Target="../media/image2102.jpeg"/><Relationship Id="rId2754" Type="http://schemas.openxmlformats.org/officeDocument/2006/relationships/image" Target="../media/image2754.jpeg"/><Relationship Id="rId2961" Type="http://schemas.openxmlformats.org/officeDocument/2006/relationships/image" Target="../media/image2961.jpeg"/><Relationship Id="rId3805" Type="http://schemas.openxmlformats.org/officeDocument/2006/relationships/image" Target="../media/image3805.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1868" Type="http://schemas.openxmlformats.org/officeDocument/2006/relationships/image" Target="../media/image1868.jpeg"/><Relationship Id="rId2407" Type="http://schemas.openxmlformats.org/officeDocument/2006/relationships/image" Target="../media/image2407.jpeg"/><Relationship Id="rId2614" Type="http://schemas.openxmlformats.org/officeDocument/2006/relationships/image" Target="../media/image2614.jpeg"/><Relationship Id="rId2821" Type="http://schemas.openxmlformats.org/officeDocument/2006/relationships/image" Target="../media/image2821.jpeg"/><Relationship Id="rId4067" Type="http://schemas.openxmlformats.org/officeDocument/2006/relationships/image" Target="../media/image4067.jpeg"/><Relationship Id="rId62" Type="http://schemas.openxmlformats.org/officeDocument/2006/relationships/image" Target="../media/image6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2919" Type="http://schemas.openxmlformats.org/officeDocument/2006/relationships/image" Target="../media/image2919.jpeg"/><Relationship Id="rId3083" Type="http://schemas.openxmlformats.org/officeDocument/2006/relationships/image" Target="../media/image3083.jpeg"/><Relationship Id="rId3290" Type="http://schemas.openxmlformats.org/officeDocument/2006/relationships/image" Target="../media/image3290.jpeg"/><Relationship Id="rId1728" Type="http://schemas.openxmlformats.org/officeDocument/2006/relationships/image" Target="../media/image1728.jpeg"/><Relationship Id="rId1935" Type="http://schemas.openxmlformats.org/officeDocument/2006/relationships/image" Target="../media/image1935.jpeg"/><Relationship Id="rId3150" Type="http://schemas.openxmlformats.org/officeDocument/2006/relationships/image" Target="../media/image3150.jpeg"/><Relationship Id="rId3388" Type="http://schemas.openxmlformats.org/officeDocument/2006/relationships/image" Target="../media/image3388.jpeg"/><Relationship Id="rId3595" Type="http://schemas.openxmlformats.org/officeDocument/2006/relationships/image" Target="../media/image3595.jpeg"/><Relationship Id="rId2197" Type="http://schemas.openxmlformats.org/officeDocument/2006/relationships/image" Target="../media/image2197.jpeg"/><Relationship Id="rId3010" Type="http://schemas.openxmlformats.org/officeDocument/2006/relationships/image" Target="../media/image3010.jpeg"/><Relationship Id="rId3248" Type="http://schemas.openxmlformats.org/officeDocument/2006/relationships/image" Target="../media/image3248.jpeg"/><Relationship Id="rId3455" Type="http://schemas.openxmlformats.org/officeDocument/2006/relationships/image" Target="../media/image3455.jpeg"/><Relationship Id="rId3662" Type="http://schemas.openxmlformats.org/officeDocument/2006/relationships/image" Target="../media/image3662.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2057" Type="http://schemas.openxmlformats.org/officeDocument/2006/relationships/image" Target="../media/image2057.jpeg"/><Relationship Id="rId2264" Type="http://schemas.openxmlformats.org/officeDocument/2006/relationships/image" Target="../media/image2264.jpeg"/><Relationship Id="rId2471" Type="http://schemas.openxmlformats.org/officeDocument/2006/relationships/image" Target="../media/image2471.jpeg"/><Relationship Id="rId3108" Type="http://schemas.openxmlformats.org/officeDocument/2006/relationships/image" Target="../media/image3108.jpeg"/><Relationship Id="rId3315" Type="http://schemas.openxmlformats.org/officeDocument/2006/relationships/image" Target="../media/image3315.jpeg"/><Relationship Id="rId3522" Type="http://schemas.openxmlformats.org/officeDocument/2006/relationships/image" Target="../media/image3522.jpeg"/><Relationship Id="rId3967" Type="http://schemas.openxmlformats.org/officeDocument/2006/relationships/image" Target="../media/image3967.jpeg"/><Relationship Id="rId4" Type="http://schemas.openxmlformats.org/officeDocument/2006/relationships/image" Target="../media/image4.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888" Type="http://schemas.openxmlformats.org/officeDocument/2006/relationships/image" Target="../media/image888.jpeg"/><Relationship Id="rId1073" Type="http://schemas.openxmlformats.org/officeDocument/2006/relationships/image" Target="../media/image1073.jpeg"/><Relationship Id="rId1280" Type="http://schemas.openxmlformats.org/officeDocument/2006/relationships/image" Target="../media/image1280.jpeg"/><Relationship Id="rId2124" Type="http://schemas.openxmlformats.org/officeDocument/2006/relationships/image" Target="../media/image2124.jpeg"/><Relationship Id="rId2331" Type="http://schemas.openxmlformats.org/officeDocument/2006/relationships/image" Target="../media/image2331.jpeg"/><Relationship Id="rId2569" Type="http://schemas.openxmlformats.org/officeDocument/2006/relationships/image" Target="../media/image2569.jpeg"/><Relationship Id="rId2776" Type="http://schemas.openxmlformats.org/officeDocument/2006/relationships/image" Target="../media/image2776.jpeg"/><Relationship Id="rId2983" Type="http://schemas.openxmlformats.org/officeDocument/2006/relationships/image" Target="../media/image2983.jpeg"/><Relationship Id="rId3827" Type="http://schemas.openxmlformats.org/officeDocument/2006/relationships/image" Target="../media/image3827.jpeg"/><Relationship Id="rId303" Type="http://schemas.openxmlformats.org/officeDocument/2006/relationships/image" Target="../media/image303.jpeg"/><Relationship Id="rId748" Type="http://schemas.openxmlformats.org/officeDocument/2006/relationships/image" Target="../media/image748.jpeg"/><Relationship Id="rId955" Type="http://schemas.openxmlformats.org/officeDocument/2006/relationships/image" Target="../media/image955.jpeg"/><Relationship Id="rId1140" Type="http://schemas.openxmlformats.org/officeDocument/2006/relationships/image" Target="../media/image1140.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2429" Type="http://schemas.openxmlformats.org/officeDocument/2006/relationships/image" Target="../media/image2429.jpeg"/><Relationship Id="rId2636" Type="http://schemas.openxmlformats.org/officeDocument/2006/relationships/image" Target="../media/image2636.jpeg"/><Relationship Id="rId2843" Type="http://schemas.openxmlformats.org/officeDocument/2006/relationships/image" Target="../media/image2843.jpeg"/><Relationship Id="rId84" Type="http://schemas.openxmlformats.org/officeDocument/2006/relationships/image" Target="../media/image84.jpeg"/><Relationship Id="rId510" Type="http://schemas.openxmlformats.org/officeDocument/2006/relationships/image" Target="../media/image510.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000" Type="http://schemas.openxmlformats.org/officeDocument/2006/relationships/image" Target="../media/image1000.jpeg"/><Relationship Id="rId1305" Type="http://schemas.openxmlformats.org/officeDocument/2006/relationships/image" Target="../media/image1305.jpeg"/><Relationship Id="rId1957" Type="http://schemas.openxmlformats.org/officeDocument/2006/relationships/image" Target="../media/image1957.jpeg"/><Relationship Id="rId2703" Type="http://schemas.openxmlformats.org/officeDocument/2006/relationships/image" Target="../media/image2703.jpeg"/><Relationship Id="rId2910" Type="http://schemas.openxmlformats.org/officeDocument/2006/relationships/image" Target="../media/image2910.jpeg"/><Relationship Id="rId1512" Type="http://schemas.openxmlformats.org/officeDocument/2006/relationships/image" Target="../media/image1512.jpeg"/><Relationship Id="rId1817" Type="http://schemas.openxmlformats.org/officeDocument/2006/relationships/image" Target="../media/image1817.jpeg"/><Relationship Id="rId3172" Type="http://schemas.openxmlformats.org/officeDocument/2006/relationships/image" Target="../media/image3172.jpeg"/><Relationship Id="rId4016" Type="http://schemas.openxmlformats.org/officeDocument/2006/relationships/image" Target="../media/image4016.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eg"/><Relationship Id="rId3032" Type="http://schemas.openxmlformats.org/officeDocument/2006/relationships/image" Target="../media/image3032.jpeg"/><Relationship Id="rId3477" Type="http://schemas.openxmlformats.org/officeDocument/2006/relationships/image" Target="../media/image3477.jpeg"/><Relationship Id="rId3684" Type="http://schemas.openxmlformats.org/officeDocument/2006/relationships/image" Target="../media/image3684.jpeg"/><Relationship Id="rId3891" Type="http://schemas.openxmlformats.org/officeDocument/2006/relationships/image" Target="../media/image3891.jpeg"/><Relationship Id="rId160" Type="http://schemas.openxmlformats.org/officeDocument/2006/relationships/image" Target="../media/image160.jpeg"/><Relationship Id="rId2286" Type="http://schemas.openxmlformats.org/officeDocument/2006/relationships/image" Target="../media/image2286.jpeg"/><Relationship Id="rId2493" Type="http://schemas.openxmlformats.org/officeDocument/2006/relationships/image" Target="../media/image2493.jpeg"/><Relationship Id="rId3337" Type="http://schemas.openxmlformats.org/officeDocument/2006/relationships/image" Target="../media/image3337.jpeg"/><Relationship Id="rId3544" Type="http://schemas.openxmlformats.org/officeDocument/2006/relationships/image" Target="../media/image3544.jpeg"/><Relationship Id="rId3751" Type="http://schemas.openxmlformats.org/officeDocument/2006/relationships/image" Target="../media/image3751.jpeg"/><Relationship Id="rId3989" Type="http://schemas.openxmlformats.org/officeDocument/2006/relationships/image" Target="../media/image3989.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2146" Type="http://schemas.openxmlformats.org/officeDocument/2006/relationships/image" Target="../media/image2146.jpeg"/><Relationship Id="rId2353" Type="http://schemas.openxmlformats.org/officeDocument/2006/relationships/image" Target="../media/image2353.jpeg"/><Relationship Id="rId2560" Type="http://schemas.openxmlformats.org/officeDocument/2006/relationships/image" Target="../media/image2560.jpeg"/><Relationship Id="rId2798" Type="http://schemas.openxmlformats.org/officeDocument/2006/relationships/image" Target="../media/image2798.jpeg"/><Relationship Id="rId3404" Type="http://schemas.openxmlformats.org/officeDocument/2006/relationships/image" Target="../media/image3404.jpeg"/><Relationship Id="rId3611" Type="http://schemas.openxmlformats.org/officeDocument/2006/relationships/image" Target="../media/image3611.jpeg"/><Relationship Id="rId3849" Type="http://schemas.openxmlformats.org/officeDocument/2006/relationships/image" Target="../media/image3849.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977" Type="http://schemas.openxmlformats.org/officeDocument/2006/relationships/image" Target="../media/image977.jpeg"/><Relationship Id="rId1162" Type="http://schemas.openxmlformats.org/officeDocument/2006/relationships/image" Target="../media/image1162.jpeg"/><Relationship Id="rId2006" Type="http://schemas.openxmlformats.org/officeDocument/2006/relationships/image" Target="../media/image2006.jpeg"/><Relationship Id="rId2213" Type="http://schemas.openxmlformats.org/officeDocument/2006/relationships/image" Target="../media/image2213.jpeg"/><Relationship Id="rId2420" Type="http://schemas.openxmlformats.org/officeDocument/2006/relationships/image" Target="../media/image2420.jpeg"/><Relationship Id="rId2658" Type="http://schemas.openxmlformats.org/officeDocument/2006/relationships/image" Target="../media/image2658.jpeg"/><Relationship Id="rId2865" Type="http://schemas.openxmlformats.org/officeDocument/2006/relationships/image" Target="../media/image2865.jpeg"/><Relationship Id="rId3709" Type="http://schemas.openxmlformats.org/officeDocument/2006/relationships/image" Target="../media/image3709.jpeg"/><Relationship Id="rId3916" Type="http://schemas.openxmlformats.org/officeDocument/2006/relationships/image" Target="../media/image3916.jpeg"/><Relationship Id="rId837" Type="http://schemas.openxmlformats.org/officeDocument/2006/relationships/image" Target="../media/image837.jpeg"/><Relationship Id="rId1022" Type="http://schemas.openxmlformats.org/officeDocument/2006/relationships/image" Target="../media/image1022.jpeg"/><Relationship Id="rId1467" Type="http://schemas.openxmlformats.org/officeDocument/2006/relationships/image" Target="../media/image1467.jpe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eg"/><Relationship Id="rId2725" Type="http://schemas.openxmlformats.org/officeDocument/2006/relationships/image" Target="../media/image2725.jpeg"/><Relationship Id="rId2932" Type="http://schemas.openxmlformats.org/officeDocument/2006/relationships/image" Target="../media/image2932.jpe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1979" Type="http://schemas.openxmlformats.org/officeDocument/2006/relationships/image" Target="../media/image1979.jpeg"/><Relationship Id="rId3194" Type="http://schemas.openxmlformats.org/officeDocument/2006/relationships/image" Target="../media/image3194.jpeg"/><Relationship Id="rId4038" Type="http://schemas.openxmlformats.org/officeDocument/2006/relationships/image" Target="../media/image4038.jpeg"/><Relationship Id="rId33" Type="http://schemas.openxmlformats.org/officeDocument/2006/relationships/image" Target="../media/image33.jpeg"/><Relationship Id="rId1601" Type="http://schemas.openxmlformats.org/officeDocument/2006/relationships/image" Target="../media/image1601.jpeg"/><Relationship Id="rId1839" Type="http://schemas.openxmlformats.org/officeDocument/2006/relationships/image" Target="../media/image1839.jpeg"/><Relationship Id="rId3054" Type="http://schemas.openxmlformats.org/officeDocument/2006/relationships/image" Target="../media/image3054.jpeg"/><Relationship Id="rId3499" Type="http://schemas.openxmlformats.org/officeDocument/2006/relationships/image" Target="../media/image3499.jpeg"/><Relationship Id="rId182" Type="http://schemas.openxmlformats.org/officeDocument/2006/relationships/image" Target="../media/image182.jpeg"/><Relationship Id="rId1906" Type="http://schemas.openxmlformats.org/officeDocument/2006/relationships/image" Target="../media/image1906.jpeg"/><Relationship Id="rId3261" Type="http://schemas.openxmlformats.org/officeDocument/2006/relationships/image" Target="../media/image3261.jpeg"/><Relationship Id="rId3359" Type="http://schemas.openxmlformats.org/officeDocument/2006/relationships/image" Target="../media/image3359.jpeg"/><Relationship Id="rId3566" Type="http://schemas.openxmlformats.org/officeDocument/2006/relationships/image" Target="../media/image3566.jpeg"/><Relationship Id="rId487" Type="http://schemas.openxmlformats.org/officeDocument/2006/relationships/image" Target="../media/image487.jpeg"/><Relationship Id="rId694" Type="http://schemas.openxmlformats.org/officeDocument/2006/relationships/image" Target="../media/image694.jpeg"/><Relationship Id="rId2070" Type="http://schemas.openxmlformats.org/officeDocument/2006/relationships/image" Target="../media/image2070.jpeg"/><Relationship Id="rId2168" Type="http://schemas.openxmlformats.org/officeDocument/2006/relationships/image" Target="../media/image2168.jpeg"/><Relationship Id="rId2375" Type="http://schemas.openxmlformats.org/officeDocument/2006/relationships/image" Target="../media/image2375.jpeg"/><Relationship Id="rId3121" Type="http://schemas.openxmlformats.org/officeDocument/2006/relationships/image" Target="../media/image3121.jpeg"/><Relationship Id="rId3219" Type="http://schemas.openxmlformats.org/officeDocument/2006/relationships/image" Target="../media/image3219.jpeg"/><Relationship Id="rId3773" Type="http://schemas.openxmlformats.org/officeDocument/2006/relationships/image" Target="../media/image3773.jpeg"/><Relationship Id="rId3980" Type="http://schemas.openxmlformats.org/officeDocument/2006/relationships/image" Target="../media/image3980.jpeg"/><Relationship Id="rId347" Type="http://schemas.openxmlformats.org/officeDocument/2006/relationships/image" Target="../media/image347.jpeg"/><Relationship Id="rId999" Type="http://schemas.openxmlformats.org/officeDocument/2006/relationships/image" Target="../media/image999.jpeg"/><Relationship Id="rId1184" Type="http://schemas.openxmlformats.org/officeDocument/2006/relationships/image" Target="../media/image1184.jpeg"/><Relationship Id="rId2028" Type="http://schemas.openxmlformats.org/officeDocument/2006/relationships/image" Target="../media/image2028.jpeg"/><Relationship Id="rId2582" Type="http://schemas.openxmlformats.org/officeDocument/2006/relationships/image" Target="../media/image2582.jpeg"/><Relationship Id="rId2887" Type="http://schemas.openxmlformats.org/officeDocument/2006/relationships/image" Target="../media/image2887.jpeg"/><Relationship Id="rId3426" Type="http://schemas.openxmlformats.org/officeDocument/2006/relationships/image" Target="../media/image3426.jpeg"/><Relationship Id="rId3633" Type="http://schemas.openxmlformats.org/officeDocument/2006/relationships/image" Target="../media/image3633.jpeg"/><Relationship Id="rId3840" Type="http://schemas.openxmlformats.org/officeDocument/2006/relationships/image" Target="../media/image3840.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jpeg"/><Relationship Id="rId1391" Type="http://schemas.openxmlformats.org/officeDocument/2006/relationships/image" Target="../media/image1391.jpeg"/><Relationship Id="rId1489" Type="http://schemas.openxmlformats.org/officeDocument/2006/relationships/image" Target="../media/image1489.jpeg"/><Relationship Id="rId1696" Type="http://schemas.openxmlformats.org/officeDocument/2006/relationships/image" Target="../media/image1696.jpeg"/><Relationship Id="rId2235" Type="http://schemas.openxmlformats.org/officeDocument/2006/relationships/image" Target="../media/image2235.jpeg"/><Relationship Id="rId2442" Type="http://schemas.openxmlformats.org/officeDocument/2006/relationships/image" Target="../media/image2442.jpeg"/><Relationship Id="rId3700" Type="http://schemas.openxmlformats.org/officeDocument/2006/relationships/image" Target="../media/image3700.jpeg"/><Relationship Id="rId3938" Type="http://schemas.openxmlformats.org/officeDocument/2006/relationships/image" Target="../media/image3938.jpe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1349" Type="http://schemas.openxmlformats.org/officeDocument/2006/relationships/image" Target="../media/image1349.jpeg"/><Relationship Id="rId2302" Type="http://schemas.openxmlformats.org/officeDocument/2006/relationships/image" Target="../media/image2302.jpeg"/><Relationship Id="rId2747" Type="http://schemas.openxmlformats.org/officeDocument/2006/relationships/image" Target="../media/image2747.jpeg"/><Relationship Id="rId2954" Type="http://schemas.openxmlformats.org/officeDocument/2006/relationships/image" Target="../media/image2954.jpeg"/><Relationship Id="rId719" Type="http://schemas.openxmlformats.org/officeDocument/2006/relationships/image" Target="../media/image719.jpeg"/><Relationship Id="rId926" Type="http://schemas.openxmlformats.org/officeDocument/2006/relationships/image" Target="../media/image926.jpeg"/><Relationship Id="rId1111" Type="http://schemas.openxmlformats.org/officeDocument/2006/relationships/image" Target="../media/image1111.jpeg"/><Relationship Id="rId1556" Type="http://schemas.openxmlformats.org/officeDocument/2006/relationships/image" Target="../media/image1556.jpeg"/><Relationship Id="rId1763" Type="http://schemas.openxmlformats.org/officeDocument/2006/relationships/image" Target="../media/image1763.jpeg"/><Relationship Id="rId1970" Type="http://schemas.openxmlformats.org/officeDocument/2006/relationships/image" Target="../media/image1970.jpeg"/><Relationship Id="rId2607" Type="http://schemas.openxmlformats.org/officeDocument/2006/relationships/image" Target="../media/image2607.jpeg"/><Relationship Id="rId2814" Type="http://schemas.openxmlformats.org/officeDocument/2006/relationships/image" Target="../media/image2814.jpeg"/><Relationship Id="rId55" Type="http://schemas.openxmlformats.org/officeDocument/2006/relationships/image" Target="../media/image5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3076" Type="http://schemas.openxmlformats.org/officeDocument/2006/relationships/image" Target="../media/image3076.jpeg"/><Relationship Id="rId3283" Type="http://schemas.openxmlformats.org/officeDocument/2006/relationships/image" Target="../media/image3283.jpeg"/><Relationship Id="rId3490" Type="http://schemas.openxmlformats.org/officeDocument/2006/relationships/image" Target="../media/image3490.jpeg"/><Relationship Id="rId1928" Type="http://schemas.openxmlformats.org/officeDocument/2006/relationships/image" Target="../media/image1928.jpeg"/><Relationship Id="rId2092" Type="http://schemas.openxmlformats.org/officeDocument/2006/relationships/image" Target="../media/image2092.jpeg"/><Relationship Id="rId3143" Type="http://schemas.openxmlformats.org/officeDocument/2006/relationships/image" Target="../media/image3143.jpeg"/><Relationship Id="rId3350" Type="http://schemas.openxmlformats.org/officeDocument/2006/relationships/image" Target="../media/image3350.jpeg"/><Relationship Id="rId3588" Type="http://schemas.openxmlformats.org/officeDocument/2006/relationships/image" Target="../media/image3588.jpeg"/><Relationship Id="rId3795" Type="http://schemas.openxmlformats.org/officeDocument/2006/relationships/image" Target="../media/image3795.jpeg"/><Relationship Id="rId271" Type="http://schemas.openxmlformats.org/officeDocument/2006/relationships/image" Target="../media/image271.jpeg"/><Relationship Id="rId2397" Type="http://schemas.openxmlformats.org/officeDocument/2006/relationships/image" Target="../media/image2397.jpeg"/><Relationship Id="rId3003" Type="http://schemas.openxmlformats.org/officeDocument/2006/relationships/image" Target="../media/image3003.jpeg"/><Relationship Id="rId3448" Type="http://schemas.openxmlformats.org/officeDocument/2006/relationships/image" Target="../media/image3448.jpeg"/><Relationship Id="rId3655" Type="http://schemas.openxmlformats.org/officeDocument/2006/relationships/image" Target="../media/image3655.jpeg"/><Relationship Id="rId3862" Type="http://schemas.openxmlformats.org/officeDocument/2006/relationships/image" Target="../media/image3862.jpe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57" Type="http://schemas.openxmlformats.org/officeDocument/2006/relationships/image" Target="../media/image2257.jpeg"/><Relationship Id="rId2464" Type="http://schemas.openxmlformats.org/officeDocument/2006/relationships/image" Target="../media/image2464.jpeg"/><Relationship Id="rId2671" Type="http://schemas.openxmlformats.org/officeDocument/2006/relationships/image" Target="../media/image2671.jpeg"/><Relationship Id="rId3210" Type="http://schemas.openxmlformats.org/officeDocument/2006/relationships/image" Target="../media/image3210.jpeg"/><Relationship Id="rId3308" Type="http://schemas.openxmlformats.org/officeDocument/2006/relationships/image" Target="../media/image3308.jpeg"/><Relationship Id="rId3515" Type="http://schemas.openxmlformats.org/officeDocument/2006/relationships/image" Target="../media/image3515.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2117" Type="http://schemas.openxmlformats.org/officeDocument/2006/relationships/image" Target="../media/image2117.jpeg"/><Relationship Id="rId2324" Type="http://schemas.openxmlformats.org/officeDocument/2006/relationships/image" Target="../media/image2324.jpeg"/><Relationship Id="rId2769" Type="http://schemas.openxmlformats.org/officeDocument/2006/relationships/image" Target="../media/image2769.jpeg"/><Relationship Id="rId2976" Type="http://schemas.openxmlformats.org/officeDocument/2006/relationships/image" Target="../media/image2976.jpeg"/><Relationship Id="rId3722" Type="http://schemas.openxmlformats.org/officeDocument/2006/relationships/image" Target="../media/image3722.jpeg"/><Relationship Id="rId850" Type="http://schemas.openxmlformats.org/officeDocument/2006/relationships/image" Target="../media/image850.jpeg"/><Relationship Id="rId948" Type="http://schemas.openxmlformats.org/officeDocument/2006/relationships/image" Target="../media/image948.jpeg"/><Relationship Id="rId1133" Type="http://schemas.openxmlformats.org/officeDocument/2006/relationships/image" Target="../media/image1133.jpeg"/><Relationship Id="rId1578" Type="http://schemas.openxmlformats.org/officeDocument/2006/relationships/image" Target="../media/image1578.jpeg"/><Relationship Id="rId1785" Type="http://schemas.openxmlformats.org/officeDocument/2006/relationships/image" Target="../media/image1785.jpeg"/><Relationship Id="rId1992" Type="http://schemas.openxmlformats.org/officeDocument/2006/relationships/image" Target="../media/image1992.jpeg"/><Relationship Id="rId2531" Type="http://schemas.openxmlformats.org/officeDocument/2006/relationships/image" Target="../media/image2531.jpeg"/><Relationship Id="rId2629" Type="http://schemas.openxmlformats.org/officeDocument/2006/relationships/image" Target="../media/image2629.jpeg"/><Relationship Id="rId2836" Type="http://schemas.openxmlformats.org/officeDocument/2006/relationships/image" Target="../media/image2836.jpeg"/><Relationship Id="rId77" Type="http://schemas.openxmlformats.org/officeDocument/2006/relationships/image" Target="../media/image77.jpeg"/><Relationship Id="rId503" Type="http://schemas.openxmlformats.org/officeDocument/2006/relationships/image" Target="../media/image503.jpeg"/><Relationship Id="rId710" Type="http://schemas.openxmlformats.org/officeDocument/2006/relationships/image" Target="../media/image710.jpeg"/><Relationship Id="rId808" Type="http://schemas.openxmlformats.org/officeDocument/2006/relationships/image" Target="../media/image808.jpeg"/><Relationship Id="rId1340" Type="http://schemas.openxmlformats.org/officeDocument/2006/relationships/image" Target="../media/image1340.jpeg"/><Relationship Id="rId1438" Type="http://schemas.openxmlformats.org/officeDocument/2006/relationships/image" Target="../media/image1438.jpeg"/><Relationship Id="rId1645" Type="http://schemas.openxmlformats.org/officeDocument/2006/relationships/image" Target="../media/image1645.jpeg"/><Relationship Id="rId3098" Type="http://schemas.openxmlformats.org/officeDocument/2006/relationships/image" Target="../media/image3098.jpeg"/><Relationship Id="rId4051" Type="http://schemas.openxmlformats.org/officeDocument/2006/relationships/image" Target="../media/image4051.jpeg"/><Relationship Id="rId1200" Type="http://schemas.openxmlformats.org/officeDocument/2006/relationships/image" Target="../media/image1200.jpeg"/><Relationship Id="rId1852" Type="http://schemas.openxmlformats.org/officeDocument/2006/relationships/image" Target="../media/image1852.jpeg"/><Relationship Id="rId2903" Type="http://schemas.openxmlformats.org/officeDocument/2006/relationships/image" Target="../media/image2903.jpeg"/><Relationship Id="rId1505" Type="http://schemas.openxmlformats.org/officeDocument/2006/relationships/image" Target="../media/image1505.jpeg"/><Relationship Id="rId1712" Type="http://schemas.openxmlformats.org/officeDocument/2006/relationships/image" Target="../media/image1712.jpeg"/><Relationship Id="rId3165" Type="http://schemas.openxmlformats.org/officeDocument/2006/relationships/image" Target="../media/image3165.jpeg"/><Relationship Id="rId3372" Type="http://schemas.openxmlformats.org/officeDocument/2006/relationships/image" Target="../media/image3372.jpeg"/><Relationship Id="rId4009" Type="http://schemas.openxmlformats.org/officeDocument/2006/relationships/image" Target="../media/image4009.jpeg"/><Relationship Id="rId293" Type="http://schemas.openxmlformats.org/officeDocument/2006/relationships/image" Target="../media/image293.jpeg"/><Relationship Id="rId2181" Type="http://schemas.openxmlformats.org/officeDocument/2006/relationships/image" Target="../media/image2181.jpeg"/><Relationship Id="rId3025" Type="http://schemas.openxmlformats.org/officeDocument/2006/relationships/image" Target="../media/image3025.jpeg"/><Relationship Id="rId3232" Type="http://schemas.openxmlformats.org/officeDocument/2006/relationships/image" Target="../media/image3232.jpeg"/><Relationship Id="rId3677" Type="http://schemas.openxmlformats.org/officeDocument/2006/relationships/image" Target="../media/image3677.jpeg"/><Relationship Id="rId3884" Type="http://schemas.openxmlformats.org/officeDocument/2006/relationships/image" Target="../media/image3884.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2041" Type="http://schemas.openxmlformats.org/officeDocument/2006/relationships/image" Target="../media/image2041.jpeg"/><Relationship Id="rId2279" Type="http://schemas.openxmlformats.org/officeDocument/2006/relationships/image" Target="../media/image2279.jpeg"/><Relationship Id="rId2486" Type="http://schemas.openxmlformats.org/officeDocument/2006/relationships/image" Target="../media/image2486.jpeg"/><Relationship Id="rId2693" Type="http://schemas.openxmlformats.org/officeDocument/2006/relationships/image" Target="../media/image2693.jpeg"/><Relationship Id="rId3537" Type="http://schemas.openxmlformats.org/officeDocument/2006/relationships/image" Target="../media/image3537.jpeg"/><Relationship Id="rId3744" Type="http://schemas.openxmlformats.org/officeDocument/2006/relationships/image" Target="../media/image3744.jpeg"/><Relationship Id="rId3951" Type="http://schemas.openxmlformats.org/officeDocument/2006/relationships/image" Target="../media/image3951.jpeg"/><Relationship Id="rId220" Type="http://schemas.openxmlformats.org/officeDocument/2006/relationships/image" Target="../media/image220.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2139" Type="http://schemas.openxmlformats.org/officeDocument/2006/relationships/image" Target="../media/image2139.jpeg"/><Relationship Id="rId2346" Type="http://schemas.openxmlformats.org/officeDocument/2006/relationships/image" Target="../media/image2346.jpeg"/><Relationship Id="rId2553" Type="http://schemas.openxmlformats.org/officeDocument/2006/relationships/image" Target="../media/image2553.jpeg"/><Relationship Id="rId2760" Type="http://schemas.openxmlformats.org/officeDocument/2006/relationships/image" Target="../media/image2760.jpeg"/><Relationship Id="rId2998" Type="http://schemas.openxmlformats.org/officeDocument/2006/relationships/image" Target="../media/image2998.jpeg"/><Relationship Id="rId3604" Type="http://schemas.openxmlformats.org/officeDocument/2006/relationships/image" Target="../media/image3604.jpeg"/><Relationship Id="rId3811" Type="http://schemas.openxmlformats.org/officeDocument/2006/relationships/image" Target="../media/image3811.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2206" Type="http://schemas.openxmlformats.org/officeDocument/2006/relationships/image" Target="../media/image2206.jpeg"/><Relationship Id="rId2413" Type="http://schemas.openxmlformats.org/officeDocument/2006/relationships/image" Target="../media/image2413.jpeg"/><Relationship Id="rId2620" Type="http://schemas.openxmlformats.org/officeDocument/2006/relationships/image" Target="../media/image2620.jpeg"/><Relationship Id="rId2858" Type="http://schemas.openxmlformats.org/officeDocument/2006/relationships/image" Target="../media/image2858.jpeg"/><Relationship Id="rId3909" Type="http://schemas.openxmlformats.org/officeDocument/2006/relationships/image" Target="../media/image3909.jpeg"/><Relationship Id="rId4073" Type="http://schemas.openxmlformats.org/officeDocument/2006/relationships/image" Target="../media/image4073.jpeg"/><Relationship Id="rId99" Type="http://schemas.openxmlformats.org/officeDocument/2006/relationships/image" Target="../media/image99.jpeg"/><Relationship Id="rId1015" Type="http://schemas.openxmlformats.org/officeDocument/2006/relationships/image" Target="../media/image1015.jpeg"/><Relationship Id="rId1222" Type="http://schemas.openxmlformats.org/officeDocument/2006/relationships/image" Target="../media/image1222.jpe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eg"/><Relationship Id="rId2925" Type="http://schemas.openxmlformats.org/officeDocument/2006/relationships/image" Target="../media/image2925.jpeg"/><Relationship Id="rId1527" Type="http://schemas.openxmlformats.org/officeDocument/2006/relationships/image" Target="../media/image1527.jpeg"/><Relationship Id="rId1734" Type="http://schemas.openxmlformats.org/officeDocument/2006/relationships/image" Target="../media/image1734.jpeg"/><Relationship Id="rId1941" Type="http://schemas.openxmlformats.org/officeDocument/2006/relationships/image" Target="../media/image1941.jpeg"/><Relationship Id="rId3187" Type="http://schemas.openxmlformats.org/officeDocument/2006/relationships/image" Target="../media/image3187.jpeg"/><Relationship Id="rId3394" Type="http://schemas.openxmlformats.org/officeDocument/2006/relationships/image" Target="../media/image3394.jpeg"/><Relationship Id="rId26" Type="http://schemas.openxmlformats.org/officeDocument/2006/relationships/image" Target="../media/image26.jpeg"/><Relationship Id="rId3047" Type="http://schemas.openxmlformats.org/officeDocument/2006/relationships/image" Target="../media/image3047.jpeg"/><Relationship Id="rId3699" Type="http://schemas.openxmlformats.org/officeDocument/2006/relationships/image" Target="../media/image3699.jpeg"/><Relationship Id="rId4000" Type="http://schemas.openxmlformats.org/officeDocument/2006/relationships/image" Target="../media/image4000.jpeg"/><Relationship Id="rId175" Type="http://schemas.openxmlformats.org/officeDocument/2006/relationships/image" Target="../media/image175.jpeg"/><Relationship Id="rId1801" Type="http://schemas.openxmlformats.org/officeDocument/2006/relationships/image" Target="../media/image1801.jpeg"/><Relationship Id="rId3254" Type="http://schemas.openxmlformats.org/officeDocument/2006/relationships/image" Target="../media/image3254.jpeg"/><Relationship Id="rId3461" Type="http://schemas.openxmlformats.org/officeDocument/2006/relationships/image" Target="../media/image3461.jpeg"/><Relationship Id="rId3559" Type="http://schemas.openxmlformats.org/officeDocument/2006/relationships/image" Target="../media/image3559.jpeg"/><Relationship Id="rId382" Type="http://schemas.openxmlformats.org/officeDocument/2006/relationships/image" Target="../media/image382.jpeg"/><Relationship Id="rId687" Type="http://schemas.openxmlformats.org/officeDocument/2006/relationships/image" Target="../media/image687.jpeg"/><Relationship Id="rId2063" Type="http://schemas.openxmlformats.org/officeDocument/2006/relationships/image" Target="../media/image2063.jpeg"/><Relationship Id="rId2270" Type="http://schemas.openxmlformats.org/officeDocument/2006/relationships/image" Target="../media/image2270.jpeg"/><Relationship Id="rId2368" Type="http://schemas.openxmlformats.org/officeDocument/2006/relationships/image" Target="../media/image2368.jpeg"/><Relationship Id="rId3114" Type="http://schemas.openxmlformats.org/officeDocument/2006/relationships/image" Target="../media/image3114.jpeg"/><Relationship Id="rId3321" Type="http://schemas.openxmlformats.org/officeDocument/2006/relationships/image" Target="../media/image3321.jpeg"/><Relationship Id="rId3766" Type="http://schemas.openxmlformats.org/officeDocument/2006/relationships/image" Target="../media/image3766.jpeg"/><Relationship Id="rId3973" Type="http://schemas.openxmlformats.org/officeDocument/2006/relationships/image" Target="../media/image3973.jpeg"/><Relationship Id="rId242" Type="http://schemas.openxmlformats.org/officeDocument/2006/relationships/image" Target="../media/image242.jpeg"/><Relationship Id="rId894" Type="http://schemas.openxmlformats.org/officeDocument/2006/relationships/image" Target="../media/image894.jpeg"/><Relationship Id="rId1177" Type="http://schemas.openxmlformats.org/officeDocument/2006/relationships/image" Target="../media/image1177.jpeg"/><Relationship Id="rId2130" Type="http://schemas.openxmlformats.org/officeDocument/2006/relationships/image" Target="../media/image2130.jpeg"/><Relationship Id="rId2575" Type="http://schemas.openxmlformats.org/officeDocument/2006/relationships/image" Target="../media/image2575.jpeg"/><Relationship Id="rId2782" Type="http://schemas.openxmlformats.org/officeDocument/2006/relationships/image" Target="../media/image2782.jpeg"/><Relationship Id="rId3419" Type="http://schemas.openxmlformats.org/officeDocument/2006/relationships/image" Target="../media/image3419.jpeg"/><Relationship Id="rId3626" Type="http://schemas.openxmlformats.org/officeDocument/2006/relationships/image" Target="../media/image3626.jpeg"/><Relationship Id="rId3833" Type="http://schemas.openxmlformats.org/officeDocument/2006/relationships/image" Target="../media/image3833.jpeg"/><Relationship Id="rId102" Type="http://schemas.openxmlformats.org/officeDocument/2006/relationships/image" Target="../media/image102.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1689" Type="http://schemas.openxmlformats.org/officeDocument/2006/relationships/image" Target="../media/image1689.jpeg"/><Relationship Id="rId2228" Type="http://schemas.openxmlformats.org/officeDocument/2006/relationships/image" Target="../media/image2228.jpeg"/><Relationship Id="rId2435" Type="http://schemas.openxmlformats.org/officeDocument/2006/relationships/image" Target="../media/image2435.jpeg"/><Relationship Id="rId2642" Type="http://schemas.openxmlformats.org/officeDocument/2006/relationships/image" Target="../media/image2642.jpeg"/><Relationship Id="rId3900" Type="http://schemas.openxmlformats.org/officeDocument/2006/relationships/image" Target="../media/image3900.jpeg"/><Relationship Id="rId90" Type="http://schemas.openxmlformats.org/officeDocument/2006/relationships/image" Target="../media/image90.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1896" Type="http://schemas.openxmlformats.org/officeDocument/2006/relationships/image" Target="../media/image1896.jpeg"/><Relationship Id="rId2502" Type="http://schemas.openxmlformats.org/officeDocument/2006/relationships/image" Target="../media/image2502.jpeg"/><Relationship Id="rId2947" Type="http://schemas.openxmlformats.org/officeDocument/2006/relationships/image" Target="../media/image2947.jpeg"/><Relationship Id="rId919" Type="http://schemas.openxmlformats.org/officeDocument/2006/relationships/image" Target="../media/image919.jpeg"/><Relationship Id="rId1104" Type="http://schemas.openxmlformats.org/officeDocument/2006/relationships/image" Target="../media/image1104.jpeg"/><Relationship Id="rId1311" Type="http://schemas.openxmlformats.org/officeDocument/2006/relationships/image" Target="../media/image1311.jpe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eg"/><Relationship Id="rId2807" Type="http://schemas.openxmlformats.org/officeDocument/2006/relationships/image" Target="../media/image2807.jpeg"/><Relationship Id="rId4022" Type="http://schemas.openxmlformats.org/officeDocument/2006/relationships/image" Target="../media/image4022.jpeg"/><Relationship Id="rId48" Type="http://schemas.openxmlformats.org/officeDocument/2006/relationships/image" Target="../media/image48.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3069" Type="http://schemas.openxmlformats.org/officeDocument/2006/relationships/image" Target="../media/image3069.jpeg"/><Relationship Id="rId3276" Type="http://schemas.openxmlformats.org/officeDocument/2006/relationships/image" Target="../media/image3276.jpeg"/><Relationship Id="rId3483" Type="http://schemas.openxmlformats.org/officeDocument/2006/relationships/image" Target="../media/image3483.jpeg"/><Relationship Id="rId3690" Type="http://schemas.openxmlformats.org/officeDocument/2006/relationships/image" Target="../media/image3690.jpeg"/><Relationship Id="rId197" Type="http://schemas.openxmlformats.org/officeDocument/2006/relationships/image" Target="../media/image197.jpeg"/><Relationship Id="rId2085" Type="http://schemas.openxmlformats.org/officeDocument/2006/relationships/image" Target="../media/image2085.jpeg"/><Relationship Id="rId2292" Type="http://schemas.openxmlformats.org/officeDocument/2006/relationships/image" Target="../media/image2292.jpeg"/><Relationship Id="rId3136" Type="http://schemas.openxmlformats.org/officeDocument/2006/relationships/image" Target="../media/image3136.jpeg"/><Relationship Id="rId3343" Type="http://schemas.openxmlformats.org/officeDocument/2006/relationships/image" Target="../media/image3343.jpeg"/><Relationship Id="rId3788" Type="http://schemas.openxmlformats.org/officeDocument/2006/relationships/image" Target="../media/image3788.jpeg"/><Relationship Id="rId3995" Type="http://schemas.openxmlformats.org/officeDocument/2006/relationships/image" Target="../media/image3995.jpe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jpeg"/><Relationship Id="rId2597" Type="http://schemas.openxmlformats.org/officeDocument/2006/relationships/image" Target="../media/image2597.jpeg"/><Relationship Id="rId3550" Type="http://schemas.openxmlformats.org/officeDocument/2006/relationships/image" Target="../media/image3550.jpeg"/><Relationship Id="rId3648" Type="http://schemas.openxmlformats.org/officeDocument/2006/relationships/image" Target="../media/image3648.jpeg"/><Relationship Id="rId3855" Type="http://schemas.openxmlformats.org/officeDocument/2006/relationships/image" Target="../media/image3855.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2457" Type="http://schemas.openxmlformats.org/officeDocument/2006/relationships/image" Target="../media/image2457.jpeg"/><Relationship Id="rId2664" Type="http://schemas.openxmlformats.org/officeDocument/2006/relationships/image" Target="../media/image2664.jpeg"/><Relationship Id="rId3203" Type="http://schemas.openxmlformats.org/officeDocument/2006/relationships/image" Target="../media/image3203.jpeg"/><Relationship Id="rId3410" Type="http://schemas.openxmlformats.org/officeDocument/2006/relationships/image" Target="../media/image3410.jpeg"/><Relationship Id="rId3508" Type="http://schemas.openxmlformats.org/officeDocument/2006/relationships/image" Target="../media/image3508.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2012" Type="http://schemas.openxmlformats.org/officeDocument/2006/relationships/image" Target="../media/image2012.jpeg"/><Relationship Id="rId2317" Type="http://schemas.openxmlformats.org/officeDocument/2006/relationships/image" Target="../media/image2317.jpeg"/><Relationship Id="rId2871" Type="http://schemas.openxmlformats.org/officeDocument/2006/relationships/image" Target="../media/image2871.jpeg"/><Relationship Id="rId2969" Type="http://schemas.openxmlformats.org/officeDocument/2006/relationships/image" Target="../media/image2969.jpeg"/><Relationship Id="rId3715" Type="http://schemas.openxmlformats.org/officeDocument/2006/relationships/image" Target="../media/image3715.jpeg"/><Relationship Id="rId3922" Type="http://schemas.openxmlformats.org/officeDocument/2006/relationships/image" Target="../media/image3922.jpe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1778" Type="http://schemas.openxmlformats.org/officeDocument/2006/relationships/image" Target="../media/image1778.jpeg"/><Relationship Id="rId1985" Type="http://schemas.openxmlformats.org/officeDocument/2006/relationships/image" Target="../media/image1985.jpeg"/><Relationship Id="rId2524" Type="http://schemas.openxmlformats.org/officeDocument/2006/relationships/image" Target="../media/image2524.jpeg"/><Relationship Id="rId2731" Type="http://schemas.openxmlformats.org/officeDocument/2006/relationships/image" Target="../media/image2731.jpeg"/><Relationship Id="rId2829" Type="http://schemas.openxmlformats.org/officeDocument/2006/relationships/image" Target="../media/image2829.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1638" Type="http://schemas.openxmlformats.org/officeDocument/2006/relationships/image" Target="../media/image1638.jpeg"/><Relationship Id="rId4044" Type="http://schemas.openxmlformats.org/officeDocument/2006/relationships/image" Target="../media/image4044.jpeg"/><Relationship Id="rId1400" Type="http://schemas.openxmlformats.org/officeDocument/2006/relationships/image" Target="../media/image1400.jpeg"/><Relationship Id="rId1845" Type="http://schemas.openxmlformats.org/officeDocument/2006/relationships/image" Target="../media/image1845.jpeg"/><Relationship Id="rId3060" Type="http://schemas.openxmlformats.org/officeDocument/2006/relationships/image" Target="../media/image3060.jpeg"/><Relationship Id="rId3298" Type="http://schemas.openxmlformats.org/officeDocument/2006/relationships/image" Target="../media/image3298.jpeg"/><Relationship Id="rId1705" Type="http://schemas.openxmlformats.org/officeDocument/2006/relationships/image" Target="../media/image1705.jpeg"/><Relationship Id="rId1912" Type="http://schemas.openxmlformats.org/officeDocument/2006/relationships/image" Target="../media/image1912.jpeg"/><Relationship Id="rId3158" Type="http://schemas.openxmlformats.org/officeDocument/2006/relationships/image" Target="../media/image3158.jpeg"/><Relationship Id="rId3365" Type="http://schemas.openxmlformats.org/officeDocument/2006/relationships/image" Target="../media/image3365.jpeg"/><Relationship Id="rId3572" Type="http://schemas.openxmlformats.org/officeDocument/2006/relationships/image" Target="../media/image3572.jpeg"/><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eg"/><Relationship Id="rId2381" Type="http://schemas.openxmlformats.org/officeDocument/2006/relationships/image" Target="../media/image2381.jpeg"/><Relationship Id="rId3018" Type="http://schemas.openxmlformats.org/officeDocument/2006/relationships/image" Target="../media/image3018.jpeg"/><Relationship Id="rId3225" Type="http://schemas.openxmlformats.org/officeDocument/2006/relationships/image" Target="../media/image3225.jpeg"/><Relationship Id="rId3432" Type="http://schemas.openxmlformats.org/officeDocument/2006/relationships/image" Target="../media/image3432.jpeg"/><Relationship Id="rId3877" Type="http://schemas.openxmlformats.org/officeDocument/2006/relationships/image" Target="../media/image3877.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1190" Type="http://schemas.openxmlformats.org/officeDocument/2006/relationships/image" Target="../media/image1190.jpeg"/><Relationship Id="rId2034" Type="http://schemas.openxmlformats.org/officeDocument/2006/relationships/image" Target="../media/image2034.jpeg"/><Relationship Id="rId2241" Type="http://schemas.openxmlformats.org/officeDocument/2006/relationships/image" Target="../media/image2241.jpeg"/><Relationship Id="rId2479" Type="http://schemas.openxmlformats.org/officeDocument/2006/relationships/image" Target="../media/image2479.jpeg"/><Relationship Id="rId2686" Type="http://schemas.openxmlformats.org/officeDocument/2006/relationships/image" Target="../media/image2686.jpeg"/><Relationship Id="rId2893" Type="http://schemas.openxmlformats.org/officeDocument/2006/relationships/image" Target="../media/image2893.jpeg"/><Relationship Id="rId3737" Type="http://schemas.openxmlformats.org/officeDocument/2006/relationships/image" Target="../media/image3737.jpeg"/><Relationship Id="rId3944" Type="http://schemas.openxmlformats.org/officeDocument/2006/relationships/image" Target="../media/image3944.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1288" Type="http://schemas.openxmlformats.org/officeDocument/2006/relationships/image" Target="../media/image1288.jpeg"/><Relationship Id="rId1495" Type="http://schemas.openxmlformats.org/officeDocument/2006/relationships/image" Target="../media/image1495.jpeg"/><Relationship Id="rId2101" Type="http://schemas.openxmlformats.org/officeDocument/2006/relationships/image" Target="../media/image2101.jpeg"/><Relationship Id="rId2339" Type="http://schemas.openxmlformats.org/officeDocument/2006/relationships/image" Target="../media/image2339.jpeg"/><Relationship Id="rId2546" Type="http://schemas.openxmlformats.org/officeDocument/2006/relationships/image" Target="../media/image2546.jpeg"/><Relationship Id="rId2753" Type="http://schemas.openxmlformats.org/officeDocument/2006/relationships/image" Target="../media/image2753.jpeg"/><Relationship Id="rId2960" Type="http://schemas.openxmlformats.org/officeDocument/2006/relationships/image" Target="../media/image2960.jpeg"/><Relationship Id="rId3804" Type="http://schemas.openxmlformats.org/officeDocument/2006/relationships/image" Target="../media/image3804.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eg"/><Relationship Id="rId2613" Type="http://schemas.openxmlformats.org/officeDocument/2006/relationships/image" Target="../media/image2613.jpeg"/><Relationship Id="rId4066" Type="http://schemas.openxmlformats.org/officeDocument/2006/relationships/image" Target="../media/image4066.jpe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1867" Type="http://schemas.openxmlformats.org/officeDocument/2006/relationships/image" Target="../media/image1867.jpeg"/><Relationship Id="rId2820" Type="http://schemas.openxmlformats.org/officeDocument/2006/relationships/image" Target="../media/image2820.jpeg"/><Relationship Id="rId2918" Type="http://schemas.openxmlformats.org/officeDocument/2006/relationships/image" Target="../media/image2918.jpeg"/><Relationship Id="rId61" Type="http://schemas.openxmlformats.org/officeDocument/2006/relationships/image" Target="../media/image61.jpeg"/><Relationship Id="rId1727" Type="http://schemas.openxmlformats.org/officeDocument/2006/relationships/image" Target="../media/image1727.jpeg"/><Relationship Id="rId1934" Type="http://schemas.openxmlformats.org/officeDocument/2006/relationships/image" Target="../media/image1934.jpeg"/><Relationship Id="rId3082" Type="http://schemas.openxmlformats.org/officeDocument/2006/relationships/image" Target="../media/image3082.jpeg"/><Relationship Id="rId3387" Type="http://schemas.openxmlformats.org/officeDocument/2006/relationships/image" Target="../media/image3387.jpeg"/><Relationship Id="rId19" Type="http://schemas.openxmlformats.org/officeDocument/2006/relationships/image" Target="../media/image19.jpeg"/><Relationship Id="rId2196" Type="http://schemas.openxmlformats.org/officeDocument/2006/relationships/image" Target="../media/image2196.jpeg"/><Relationship Id="rId3594" Type="http://schemas.openxmlformats.org/officeDocument/2006/relationships/image" Target="../media/image3594.jpeg"/><Relationship Id="rId3899" Type="http://schemas.openxmlformats.org/officeDocument/2006/relationships/image" Target="../media/image3899.jpeg"/><Relationship Id="rId168" Type="http://schemas.openxmlformats.org/officeDocument/2006/relationships/image" Target="../media/image168.jpeg"/><Relationship Id="rId3247" Type="http://schemas.openxmlformats.org/officeDocument/2006/relationships/image" Target="../media/image3247.jpeg"/><Relationship Id="rId3454" Type="http://schemas.openxmlformats.org/officeDocument/2006/relationships/image" Target="../media/image3454.jpeg"/><Relationship Id="rId3661" Type="http://schemas.openxmlformats.org/officeDocument/2006/relationships/image" Target="../media/image3661.jpeg"/><Relationship Id="rId375" Type="http://schemas.openxmlformats.org/officeDocument/2006/relationships/image" Target="../media/image375.jpeg"/><Relationship Id="rId582" Type="http://schemas.openxmlformats.org/officeDocument/2006/relationships/image" Target="../media/image582.jpeg"/><Relationship Id="rId2056" Type="http://schemas.openxmlformats.org/officeDocument/2006/relationships/image" Target="../media/image2056.jpeg"/><Relationship Id="rId2263" Type="http://schemas.openxmlformats.org/officeDocument/2006/relationships/image" Target="../media/image2263.jpeg"/><Relationship Id="rId2470" Type="http://schemas.openxmlformats.org/officeDocument/2006/relationships/image" Target="../media/image2470.jpeg"/><Relationship Id="rId3107" Type="http://schemas.openxmlformats.org/officeDocument/2006/relationships/image" Target="../media/image3107.jpeg"/><Relationship Id="rId3314" Type="http://schemas.openxmlformats.org/officeDocument/2006/relationships/image" Target="../media/image3314.jpeg"/><Relationship Id="rId3521" Type="http://schemas.openxmlformats.org/officeDocument/2006/relationships/image" Target="../media/image3521.jpeg"/><Relationship Id="rId3759" Type="http://schemas.openxmlformats.org/officeDocument/2006/relationships/image" Target="../media/image3759.jpeg"/><Relationship Id="rId3966" Type="http://schemas.openxmlformats.org/officeDocument/2006/relationships/image" Target="../media/image3966.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2123" Type="http://schemas.openxmlformats.org/officeDocument/2006/relationships/image" Target="../media/image2123.jpeg"/><Relationship Id="rId2330" Type="http://schemas.openxmlformats.org/officeDocument/2006/relationships/image" Target="../media/image2330.jpeg"/><Relationship Id="rId2568" Type="http://schemas.openxmlformats.org/officeDocument/2006/relationships/image" Target="../media/image2568.jpeg"/><Relationship Id="rId2775" Type="http://schemas.openxmlformats.org/officeDocument/2006/relationships/image" Target="../media/image2775.jpeg"/><Relationship Id="rId2982" Type="http://schemas.openxmlformats.org/officeDocument/2006/relationships/image" Target="../media/image2982.jpeg"/><Relationship Id="rId3619" Type="http://schemas.openxmlformats.org/officeDocument/2006/relationships/image" Target="../media/image3619.jpeg"/><Relationship Id="rId3826" Type="http://schemas.openxmlformats.org/officeDocument/2006/relationships/image" Target="../media/image3826.jpeg"/><Relationship Id="rId302" Type="http://schemas.openxmlformats.org/officeDocument/2006/relationships/image" Target="../media/image302.jpe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jpeg"/><Relationship Id="rId2635" Type="http://schemas.openxmlformats.org/officeDocument/2006/relationships/image" Target="../media/image2635.jpeg"/><Relationship Id="rId2842" Type="http://schemas.openxmlformats.org/officeDocument/2006/relationships/image" Target="../media/image2842.jpeg"/><Relationship Id="rId83" Type="http://schemas.openxmlformats.org/officeDocument/2006/relationships/image" Target="../media/image8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1889" Type="http://schemas.openxmlformats.org/officeDocument/2006/relationships/image" Target="../media/image1889.jpeg"/><Relationship Id="rId2702" Type="http://schemas.openxmlformats.org/officeDocument/2006/relationships/image" Target="../media/image2702.jpeg"/><Relationship Id="rId1304" Type="http://schemas.openxmlformats.org/officeDocument/2006/relationships/image" Target="../media/image1304.jpeg"/><Relationship Id="rId1511" Type="http://schemas.openxmlformats.org/officeDocument/2006/relationships/image" Target="../media/image1511.jpeg"/><Relationship Id="rId1749" Type="http://schemas.openxmlformats.org/officeDocument/2006/relationships/image" Target="../media/image1749.jpeg"/><Relationship Id="rId1956" Type="http://schemas.openxmlformats.org/officeDocument/2006/relationships/image" Target="../media/image1956.jpeg"/><Relationship Id="rId3171" Type="http://schemas.openxmlformats.org/officeDocument/2006/relationships/image" Target="../media/image3171.jpeg"/><Relationship Id="rId4015" Type="http://schemas.openxmlformats.org/officeDocument/2006/relationships/image" Target="../media/image4015.jpeg"/><Relationship Id="rId1609" Type="http://schemas.openxmlformats.org/officeDocument/2006/relationships/image" Target="../media/image1609.jpeg"/><Relationship Id="rId1816" Type="http://schemas.openxmlformats.org/officeDocument/2006/relationships/image" Target="../media/image1816.jpeg"/><Relationship Id="rId3269" Type="http://schemas.openxmlformats.org/officeDocument/2006/relationships/image" Target="../media/image3269.jpeg"/><Relationship Id="rId3476" Type="http://schemas.openxmlformats.org/officeDocument/2006/relationships/image" Target="../media/image3476.jpeg"/><Relationship Id="rId3683" Type="http://schemas.openxmlformats.org/officeDocument/2006/relationships/image" Target="../media/image3683.jpe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jpeg"/><Relationship Id="rId2285" Type="http://schemas.openxmlformats.org/officeDocument/2006/relationships/image" Target="../media/image2285.jpeg"/><Relationship Id="rId2492" Type="http://schemas.openxmlformats.org/officeDocument/2006/relationships/image" Target="../media/image2492.jpeg"/><Relationship Id="rId3031" Type="http://schemas.openxmlformats.org/officeDocument/2006/relationships/image" Target="../media/image3031.jpeg"/><Relationship Id="rId3129" Type="http://schemas.openxmlformats.org/officeDocument/2006/relationships/image" Target="../media/image3129.jpeg"/><Relationship Id="rId3336" Type="http://schemas.openxmlformats.org/officeDocument/2006/relationships/image" Target="../media/image3336.jpeg"/><Relationship Id="rId3890" Type="http://schemas.openxmlformats.org/officeDocument/2006/relationships/image" Target="../media/image3890.jpeg"/><Relationship Id="rId3988" Type="http://schemas.openxmlformats.org/officeDocument/2006/relationships/image" Target="../media/image3988.jpe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jpeg"/><Relationship Id="rId2145" Type="http://schemas.openxmlformats.org/officeDocument/2006/relationships/image" Target="../media/image2145.jpeg"/><Relationship Id="rId2797" Type="http://schemas.openxmlformats.org/officeDocument/2006/relationships/image" Target="../media/image2797.jpeg"/><Relationship Id="rId3543" Type="http://schemas.openxmlformats.org/officeDocument/2006/relationships/image" Target="../media/image3543.jpeg"/><Relationship Id="rId3750" Type="http://schemas.openxmlformats.org/officeDocument/2006/relationships/image" Target="../media/image3750.jpeg"/><Relationship Id="rId3848" Type="http://schemas.openxmlformats.org/officeDocument/2006/relationships/image" Target="../media/image3848.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2352" Type="http://schemas.openxmlformats.org/officeDocument/2006/relationships/image" Target="../media/image2352.jpeg"/><Relationship Id="rId2657" Type="http://schemas.openxmlformats.org/officeDocument/2006/relationships/image" Target="../media/image2657.jpeg"/><Relationship Id="rId3403" Type="http://schemas.openxmlformats.org/officeDocument/2006/relationships/image" Target="../media/image3403.jpeg"/><Relationship Id="rId3610" Type="http://schemas.openxmlformats.org/officeDocument/2006/relationships/image" Target="../media/image3610.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161" Type="http://schemas.openxmlformats.org/officeDocument/2006/relationships/image" Target="../media/image1161.jpeg"/><Relationship Id="rId1259" Type="http://schemas.openxmlformats.org/officeDocument/2006/relationships/image" Target="../media/image1259.jpeg"/><Relationship Id="rId1466" Type="http://schemas.openxmlformats.org/officeDocument/2006/relationships/image" Target="../media/image1466.jpeg"/><Relationship Id="rId2005" Type="http://schemas.openxmlformats.org/officeDocument/2006/relationships/image" Target="../media/image2005.jpeg"/><Relationship Id="rId2212" Type="http://schemas.openxmlformats.org/officeDocument/2006/relationships/image" Target="../media/image2212.jpeg"/><Relationship Id="rId2864" Type="http://schemas.openxmlformats.org/officeDocument/2006/relationships/image" Target="../media/image2864.jpeg"/><Relationship Id="rId3708" Type="http://schemas.openxmlformats.org/officeDocument/2006/relationships/image" Target="../media/image3708.jpeg"/><Relationship Id="rId3915" Type="http://schemas.openxmlformats.org/officeDocument/2006/relationships/image" Target="../media/image3915.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1673" Type="http://schemas.openxmlformats.org/officeDocument/2006/relationships/image" Target="../media/image1673.jpeg"/><Relationship Id="rId1880" Type="http://schemas.openxmlformats.org/officeDocument/2006/relationships/image" Target="../media/image1880.jpeg"/><Relationship Id="rId1978" Type="http://schemas.openxmlformats.org/officeDocument/2006/relationships/image" Target="../media/image1978.jpeg"/><Relationship Id="rId2517" Type="http://schemas.openxmlformats.org/officeDocument/2006/relationships/image" Target="../media/image2517.jpeg"/><Relationship Id="rId2724" Type="http://schemas.openxmlformats.org/officeDocument/2006/relationships/image" Target="../media/image2724.jpeg"/><Relationship Id="rId2931" Type="http://schemas.openxmlformats.org/officeDocument/2006/relationships/image" Target="../media/image2931.jpe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3193" Type="http://schemas.openxmlformats.org/officeDocument/2006/relationships/image" Target="../media/image3193.jpeg"/><Relationship Id="rId4037" Type="http://schemas.openxmlformats.org/officeDocument/2006/relationships/image" Target="../media/image4037.jpeg"/><Relationship Id="rId32" Type="http://schemas.openxmlformats.org/officeDocument/2006/relationships/image" Target="../media/image32.jpeg"/><Relationship Id="rId1600" Type="http://schemas.openxmlformats.org/officeDocument/2006/relationships/image" Target="../media/image1600.jpeg"/><Relationship Id="rId1838" Type="http://schemas.openxmlformats.org/officeDocument/2006/relationships/image" Target="../media/image1838.jpeg"/><Relationship Id="rId3053" Type="http://schemas.openxmlformats.org/officeDocument/2006/relationships/image" Target="../media/image3053.jpeg"/><Relationship Id="rId3260" Type="http://schemas.openxmlformats.org/officeDocument/2006/relationships/image" Target="../media/image3260.jpeg"/><Relationship Id="rId3498" Type="http://schemas.openxmlformats.org/officeDocument/2006/relationships/image" Target="../media/image3498.jpeg"/><Relationship Id="rId181" Type="http://schemas.openxmlformats.org/officeDocument/2006/relationships/image" Target="../media/image181.jpeg"/><Relationship Id="rId1905" Type="http://schemas.openxmlformats.org/officeDocument/2006/relationships/image" Target="../media/image1905.jpeg"/><Relationship Id="rId3120" Type="http://schemas.openxmlformats.org/officeDocument/2006/relationships/image" Target="../media/image3120.jpeg"/><Relationship Id="rId3358" Type="http://schemas.openxmlformats.org/officeDocument/2006/relationships/image" Target="../media/image3358.jpeg"/><Relationship Id="rId3565" Type="http://schemas.openxmlformats.org/officeDocument/2006/relationships/image" Target="../media/image3565.jpeg"/><Relationship Id="rId3772" Type="http://schemas.openxmlformats.org/officeDocument/2006/relationships/image" Target="../media/image3772.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2167" Type="http://schemas.openxmlformats.org/officeDocument/2006/relationships/image" Target="../media/image2167.jpeg"/><Relationship Id="rId2374" Type="http://schemas.openxmlformats.org/officeDocument/2006/relationships/image" Target="../media/image2374.jpeg"/><Relationship Id="rId2581" Type="http://schemas.openxmlformats.org/officeDocument/2006/relationships/image" Target="../media/image2581.jpeg"/><Relationship Id="rId3218" Type="http://schemas.openxmlformats.org/officeDocument/2006/relationships/image" Target="../media/image3218.jpeg"/><Relationship Id="rId3425" Type="http://schemas.openxmlformats.org/officeDocument/2006/relationships/image" Target="../media/image3425.jpeg"/><Relationship Id="rId3632" Type="http://schemas.openxmlformats.org/officeDocument/2006/relationships/image" Target="../media/image3632.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1183" Type="http://schemas.openxmlformats.org/officeDocument/2006/relationships/image" Target="../media/image1183.jpeg"/><Relationship Id="rId1390" Type="http://schemas.openxmlformats.org/officeDocument/2006/relationships/image" Target="../media/image1390.jpeg"/><Relationship Id="rId2027" Type="http://schemas.openxmlformats.org/officeDocument/2006/relationships/image" Target="../media/image2027.jpeg"/><Relationship Id="rId2234" Type="http://schemas.openxmlformats.org/officeDocument/2006/relationships/image" Target="../media/image2234.jpeg"/><Relationship Id="rId2441" Type="http://schemas.openxmlformats.org/officeDocument/2006/relationships/image" Target="../media/image2441.jpeg"/><Relationship Id="rId2679" Type="http://schemas.openxmlformats.org/officeDocument/2006/relationships/image" Target="../media/image2679.jpeg"/><Relationship Id="rId2886" Type="http://schemas.openxmlformats.org/officeDocument/2006/relationships/image" Target="../media/image2886.jpeg"/><Relationship Id="rId3937" Type="http://schemas.openxmlformats.org/officeDocument/2006/relationships/image" Target="../media/image3937.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1488" Type="http://schemas.openxmlformats.org/officeDocument/2006/relationships/image" Target="../media/image1488.jpeg"/><Relationship Id="rId1695" Type="http://schemas.openxmlformats.org/officeDocument/2006/relationships/image" Target="../media/image1695.jpeg"/><Relationship Id="rId2539" Type="http://schemas.openxmlformats.org/officeDocument/2006/relationships/image" Target="../media/image2539.jpeg"/><Relationship Id="rId2746" Type="http://schemas.openxmlformats.org/officeDocument/2006/relationships/image" Target="../media/image2746.jpeg"/><Relationship Id="rId2953" Type="http://schemas.openxmlformats.org/officeDocument/2006/relationships/image" Target="../media/image2953.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1250" Type="http://schemas.openxmlformats.org/officeDocument/2006/relationships/image" Target="../media/image1250.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2301" Type="http://schemas.openxmlformats.org/officeDocument/2006/relationships/image" Target="../media/image2301.jpeg"/><Relationship Id="rId2606" Type="http://schemas.openxmlformats.org/officeDocument/2006/relationships/image" Target="../media/image2606.jpeg"/><Relationship Id="rId4059" Type="http://schemas.openxmlformats.org/officeDocument/2006/relationships/image" Target="../media/image4059.jpeg"/><Relationship Id="rId1110" Type="http://schemas.openxmlformats.org/officeDocument/2006/relationships/image" Target="../media/image1110.jpeg"/><Relationship Id="rId1208" Type="http://schemas.openxmlformats.org/officeDocument/2006/relationships/image" Target="../media/image1208.jpeg"/><Relationship Id="rId1415" Type="http://schemas.openxmlformats.org/officeDocument/2006/relationships/image" Target="../media/image1415.jpeg"/><Relationship Id="rId2813" Type="http://schemas.openxmlformats.org/officeDocument/2006/relationships/image" Target="../media/image2813.jpeg"/><Relationship Id="rId54" Type="http://schemas.openxmlformats.org/officeDocument/2006/relationships/image" Target="../media/image54.jpeg"/><Relationship Id="rId1622" Type="http://schemas.openxmlformats.org/officeDocument/2006/relationships/image" Target="../media/image1622.jpeg"/><Relationship Id="rId1927" Type="http://schemas.openxmlformats.org/officeDocument/2006/relationships/image" Target="../media/image1927.jpeg"/><Relationship Id="rId3075" Type="http://schemas.openxmlformats.org/officeDocument/2006/relationships/image" Target="../media/image3075.jpeg"/><Relationship Id="rId3282" Type="http://schemas.openxmlformats.org/officeDocument/2006/relationships/image" Target="../media/image3282.jpeg"/><Relationship Id="rId2091" Type="http://schemas.openxmlformats.org/officeDocument/2006/relationships/image" Target="../media/image2091.jpeg"/><Relationship Id="rId2189" Type="http://schemas.openxmlformats.org/officeDocument/2006/relationships/image" Target="../media/image2189.jpeg"/><Relationship Id="rId3142" Type="http://schemas.openxmlformats.org/officeDocument/2006/relationships/image" Target="../media/image3142.jpeg"/><Relationship Id="rId3587" Type="http://schemas.openxmlformats.org/officeDocument/2006/relationships/image" Target="../media/image3587.jpeg"/><Relationship Id="rId3794" Type="http://schemas.openxmlformats.org/officeDocument/2006/relationships/image" Target="../media/image3794.jpeg"/><Relationship Id="rId270" Type="http://schemas.openxmlformats.org/officeDocument/2006/relationships/image" Target="../media/image270.jpeg"/><Relationship Id="rId2396" Type="http://schemas.openxmlformats.org/officeDocument/2006/relationships/image" Target="../media/image2396.jpeg"/><Relationship Id="rId3002" Type="http://schemas.openxmlformats.org/officeDocument/2006/relationships/image" Target="../media/image3002.jpeg"/><Relationship Id="rId3447" Type="http://schemas.openxmlformats.org/officeDocument/2006/relationships/image" Target="../media/image3447.jpeg"/><Relationship Id="rId3654" Type="http://schemas.openxmlformats.org/officeDocument/2006/relationships/image" Target="../media/image3654.jpeg"/><Relationship Id="rId3861" Type="http://schemas.openxmlformats.org/officeDocument/2006/relationships/image" Target="../media/image3861.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049" Type="http://schemas.openxmlformats.org/officeDocument/2006/relationships/image" Target="../media/image2049.jpeg"/><Relationship Id="rId2256" Type="http://schemas.openxmlformats.org/officeDocument/2006/relationships/image" Target="../media/image2256.jpeg"/><Relationship Id="rId2463" Type="http://schemas.openxmlformats.org/officeDocument/2006/relationships/image" Target="../media/image2463.jpeg"/><Relationship Id="rId2670" Type="http://schemas.openxmlformats.org/officeDocument/2006/relationships/image" Target="../media/image2670.jpeg"/><Relationship Id="rId3307" Type="http://schemas.openxmlformats.org/officeDocument/2006/relationships/image" Target="../media/image3307.jpeg"/><Relationship Id="rId3514" Type="http://schemas.openxmlformats.org/officeDocument/2006/relationships/image" Target="../media/image3514.jpeg"/><Relationship Id="rId3721" Type="http://schemas.openxmlformats.org/officeDocument/2006/relationships/image" Target="../media/image3721.jpeg"/><Relationship Id="rId3959" Type="http://schemas.openxmlformats.org/officeDocument/2006/relationships/image" Target="../media/image3959.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2116" Type="http://schemas.openxmlformats.org/officeDocument/2006/relationships/image" Target="../media/image2116.jpeg"/><Relationship Id="rId2323" Type="http://schemas.openxmlformats.org/officeDocument/2006/relationships/image" Target="../media/image2323.jpeg"/><Relationship Id="rId2530" Type="http://schemas.openxmlformats.org/officeDocument/2006/relationships/image" Target="../media/image2530.jpeg"/><Relationship Id="rId2768" Type="http://schemas.openxmlformats.org/officeDocument/2006/relationships/image" Target="../media/image2768.jpeg"/><Relationship Id="rId2975" Type="http://schemas.openxmlformats.org/officeDocument/2006/relationships/image" Target="../media/image2975.jpeg"/><Relationship Id="rId3819" Type="http://schemas.openxmlformats.org/officeDocument/2006/relationships/image" Target="../media/image3819.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2.jpe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eg"/><Relationship Id="rId2628" Type="http://schemas.openxmlformats.org/officeDocument/2006/relationships/image" Target="../media/image2628.jpeg"/><Relationship Id="rId2835" Type="http://schemas.openxmlformats.org/officeDocument/2006/relationships/image" Target="../media/image2835.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2902" Type="http://schemas.openxmlformats.org/officeDocument/2006/relationships/image" Target="../media/image2902.jpeg"/><Relationship Id="rId3097" Type="http://schemas.openxmlformats.org/officeDocument/2006/relationships/image" Target="../media/image3097.jpeg"/><Relationship Id="rId4050" Type="http://schemas.openxmlformats.org/officeDocument/2006/relationships/image" Target="../media/image4050.jpeg"/><Relationship Id="rId1504" Type="http://schemas.openxmlformats.org/officeDocument/2006/relationships/image" Target="../media/image1504.jpeg"/><Relationship Id="rId1711" Type="http://schemas.openxmlformats.org/officeDocument/2006/relationships/image" Target="../media/image1711.jpeg"/><Relationship Id="rId1949" Type="http://schemas.openxmlformats.org/officeDocument/2006/relationships/image" Target="../media/image1949.jpeg"/><Relationship Id="rId3164" Type="http://schemas.openxmlformats.org/officeDocument/2006/relationships/image" Target="../media/image3164.jpeg"/><Relationship Id="rId4008" Type="http://schemas.openxmlformats.org/officeDocument/2006/relationships/image" Target="../media/image4008.jpeg"/><Relationship Id="rId292" Type="http://schemas.openxmlformats.org/officeDocument/2006/relationships/image" Target="../media/image292.jpeg"/><Relationship Id="rId1809" Type="http://schemas.openxmlformats.org/officeDocument/2006/relationships/image" Target="../media/image1809.jpeg"/><Relationship Id="rId3371" Type="http://schemas.openxmlformats.org/officeDocument/2006/relationships/image" Target="../media/image3371.jpeg"/><Relationship Id="rId3469" Type="http://schemas.openxmlformats.org/officeDocument/2006/relationships/image" Target="../media/image3469.jpeg"/><Relationship Id="rId3676" Type="http://schemas.openxmlformats.org/officeDocument/2006/relationships/image" Target="../media/image3676.jpeg"/><Relationship Id="rId597" Type="http://schemas.openxmlformats.org/officeDocument/2006/relationships/image" Target="../media/image597.jpeg"/><Relationship Id="rId2180" Type="http://schemas.openxmlformats.org/officeDocument/2006/relationships/image" Target="../media/image2180.jpeg"/><Relationship Id="rId2278" Type="http://schemas.openxmlformats.org/officeDocument/2006/relationships/image" Target="../media/image2278.jpeg"/><Relationship Id="rId2485" Type="http://schemas.openxmlformats.org/officeDocument/2006/relationships/image" Target="../media/image2485.jpeg"/><Relationship Id="rId3024" Type="http://schemas.openxmlformats.org/officeDocument/2006/relationships/image" Target="../media/image3024.jpeg"/><Relationship Id="rId3231" Type="http://schemas.openxmlformats.org/officeDocument/2006/relationships/image" Target="../media/image3231.jpeg"/><Relationship Id="rId3329" Type="http://schemas.openxmlformats.org/officeDocument/2006/relationships/image" Target="../media/image3329.jpeg"/><Relationship Id="rId3883" Type="http://schemas.openxmlformats.org/officeDocument/2006/relationships/image" Target="../media/image3883.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2040" Type="http://schemas.openxmlformats.org/officeDocument/2006/relationships/image" Target="../media/image2040.jpeg"/><Relationship Id="rId2138" Type="http://schemas.openxmlformats.org/officeDocument/2006/relationships/image" Target="../media/image2138.jpeg"/><Relationship Id="rId2692" Type="http://schemas.openxmlformats.org/officeDocument/2006/relationships/image" Target="../media/image2692.jpeg"/><Relationship Id="rId2997" Type="http://schemas.openxmlformats.org/officeDocument/2006/relationships/image" Target="../media/image2997.jpeg"/><Relationship Id="rId3536" Type="http://schemas.openxmlformats.org/officeDocument/2006/relationships/image" Target="../media/image3536.jpeg"/><Relationship Id="rId3743" Type="http://schemas.openxmlformats.org/officeDocument/2006/relationships/image" Target="../media/image3743.jpeg"/><Relationship Id="rId3950" Type="http://schemas.openxmlformats.org/officeDocument/2006/relationships/image" Target="../media/image3950.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599" Type="http://schemas.openxmlformats.org/officeDocument/2006/relationships/image" Target="../media/image1599.jpeg"/><Relationship Id="rId2345" Type="http://schemas.openxmlformats.org/officeDocument/2006/relationships/image" Target="../media/image2345.jpeg"/><Relationship Id="rId2552" Type="http://schemas.openxmlformats.org/officeDocument/2006/relationships/image" Target="../media/image2552.jpeg"/><Relationship Id="rId3603" Type="http://schemas.openxmlformats.org/officeDocument/2006/relationships/image" Target="../media/image3603.jpeg"/><Relationship Id="rId3810" Type="http://schemas.openxmlformats.org/officeDocument/2006/relationships/image" Target="../media/image3810.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1459" Type="http://schemas.openxmlformats.org/officeDocument/2006/relationships/image" Target="../media/image1459.jpeg"/><Relationship Id="rId2205" Type="http://schemas.openxmlformats.org/officeDocument/2006/relationships/image" Target="../media/image2205.jpeg"/><Relationship Id="rId2412" Type="http://schemas.openxmlformats.org/officeDocument/2006/relationships/image" Target="../media/image2412.jpeg"/><Relationship Id="rId2857" Type="http://schemas.openxmlformats.org/officeDocument/2006/relationships/image" Target="../media/image2857.jpeg"/><Relationship Id="rId3908" Type="http://schemas.openxmlformats.org/officeDocument/2006/relationships/image" Target="../media/image3908.jpeg"/><Relationship Id="rId4072" Type="http://schemas.openxmlformats.org/officeDocument/2006/relationships/image" Target="../media/image4072.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1221" Type="http://schemas.openxmlformats.org/officeDocument/2006/relationships/image" Target="../media/image1221.jpe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eg"/><Relationship Id="rId2924" Type="http://schemas.openxmlformats.org/officeDocument/2006/relationships/image" Target="../media/image2924.jpe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jpeg"/><Relationship Id="rId3186" Type="http://schemas.openxmlformats.org/officeDocument/2006/relationships/image" Target="../media/image3186.jpeg"/><Relationship Id="rId3393" Type="http://schemas.openxmlformats.org/officeDocument/2006/relationships/image" Target="../media/image3393.jpeg"/><Relationship Id="rId25" Type="http://schemas.openxmlformats.org/officeDocument/2006/relationships/image" Target="../media/image25.jpeg"/><Relationship Id="rId1800" Type="http://schemas.openxmlformats.org/officeDocument/2006/relationships/image" Target="../media/image1800.jpeg"/><Relationship Id="rId3046" Type="http://schemas.openxmlformats.org/officeDocument/2006/relationships/image" Target="../media/image3046.jpeg"/><Relationship Id="rId3253" Type="http://schemas.openxmlformats.org/officeDocument/2006/relationships/image" Target="../media/image3253.jpeg"/><Relationship Id="rId3460" Type="http://schemas.openxmlformats.org/officeDocument/2006/relationships/image" Target="../media/image3460.jpeg"/><Relationship Id="rId3698" Type="http://schemas.openxmlformats.org/officeDocument/2006/relationships/image" Target="../media/image3698.jpeg"/><Relationship Id="rId174" Type="http://schemas.openxmlformats.org/officeDocument/2006/relationships/image" Target="../media/image174.jpeg"/><Relationship Id="rId381" Type="http://schemas.openxmlformats.org/officeDocument/2006/relationships/image" Target="../media/image381.jpeg"/><Relationship Id="rId2062" Type="http://schemas.openxmlformats.org/officeDocument/2006/relationships/image" Target="../media/image2062.jpeg"/><Relationship Id="rId3113" Type="http://schemas.openxmlformats.org/officeDocument/2006/relationships/image" Target="../media/image3113.jpeg"/><Relationship Id="rId3558" Type="http://schemas.openxmlformats.org/officeDocument/2006/relationships/image" Target="../media/image3558.jpeg"/><Relationship Id="rId3765" Type="http://schemas.openxmlformats.org/officeDocument/2006/relationships/image" Target="../media/image3765.jpeg"/><Relationship Id="rId3972" Type="http://schemas.openxmlformats.org/officeDocument/2006/relationships/image" Target="../media/image3972.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2367" Type="http://schemas.openxmlformats.org/officeDocument/2006/relationships/image" Target="../media/image2367.jpeg"/><Relationship Id="rId2574" Type="http://schemas.openxmlformats.org/officeDocument/2006/relationships/image" Target="../media/image2574.jpeg"/><Relationship Id="rId2781" Type="http://schemas.openxmlformats.org/officeDocument/2006/relationships/image" Target="../media/image2781.jpeg"/><Relationship Id="rId3320" Type="http://schemas.openxmlformats.org/officeDocument/2006/relationships/image" Target="../media/image3320.jpeg"/><Relationship Id="rId3418" Type="http://schemas.openxmlformats.org/officeDocument/2006/relationships/image" Target="../media/image3418.jpeg"/><Relationship Id="rId3625" Type="http://schemas.openxmlformats.org/officeDocument/2006/relationships/image" Target="../media/image3625.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2227" Type="http://schemas.openxmlformats.org/officeDocument/2006/relationships/image" Target="../media/image2227.jpeg"/><Relationship Id="rId2434" Type="http://schemas.openxmlformats.org/officeDocument/2006/relationships/image" Target="../media/image2434.jpeg"/><Relationship Id="rId2879" Type="http://schemas.openxmlformats.org/officeDocument/2006/relationships/image" Target="../media/image2879.jpeg"/><Relationship Id="rId3832" Type="http://schemas.openxmlformats.org/officeDocument/2006/relationships/image" Target="../media/image3832.jpeg"/><Relationship Id="rId101" Type="http://schemas.openxmlformats.org/officeDocument/2006/relationships/image" Target="../media/image101.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1688" Type="http://schemas.openxmlformats.org/officeDocument/2006/relationships/image" Target="../media/image1688.jpeg"/><Relationship Id="rId1895" Type="http://schemas.openxmlformats.org/officeDocument/2006/relationships/image" Target="../media/image1895.jpeg"/><Relationship Id="rId2641" Type="http://schemas.openxmlformats.org/officeDocument/2006/relationships/image" Target="../media/image2641.jpeg"/><Relationship Id="rId2739" Type="http://schemas.openxmlformats.org/officeDocument/2006/relationships/image" Target="../media/image2739.jpeg"/><Relationship Id="rId2946" Type="http://schemas.openxmlformats.org/officeDocument/2006/relationships/image" Target="../media/image2946.jpeg"/><Relationship Id="rId613" Type="http://schemas.openxmlformats.org/officeDocument/2006/relationships/image" Target="../media/image613.jpeg"/><Relationship Id="rId820" Type="http://schemas.openxmlformats.org/officeDocument/2006/relationships/image" Target="../media/image820.jpeg"/><Relationship Id="rId918" Type="http://schemas.openxmlformats.org/officeDocument/2006/relationships/image" Target="../media/image918.jpeg"/><Relationship Id="rId1450" Type="http://schemas.openxmlformats.org/officeDocument/2006/relationships/image" Target="../media/image1450.jpeg"/><Relationship Id="rId1548" Type="http://schemas.openxmlformats.org/officeDocument/2006/relationships/image" Target="../media/image1548.jpeg"/><Relationship Id="rId1755" Type="http://schemas.openxmlformats.org/officeDocument/2006/relationships/image" Target="../media/image1755.jpeg"/><Relationship Id="rId2501" Type="http://schemas.openxmlformats.org/officeDocument/2006/relationships/image" Target="../media/image2501.jpeg"/><Relationship Id="rId1103" Type="http://schemas.openxmlformats.org/officeDocument/2006/relationships/image" Target="../media/image1103.jpeg"/><Relationship Id="rId1310" Type="http://schemas.openxmlformats.org/officeDocument/2006/relationships/image" Target="../media/image1310.jpeg"/><Relationship Id="rId1408" Type="http://schemas.openxmlformats.org/officeDocument/2006/relationships/image" Target="../media/image1408.jpeg"/><Relationship Id="rId1962" Type="http://schemas.openxmlformats.org/officeDocument/2006/relationships/image" Target="../media/image1962.jpeg"/><Relationship Id="rId2806" Type="http://schemas.openxmlformats.org/officeDocument/2006/relationships/image" Target="../media/image2806.jpeg"/><Relationship Id="rId4021" Type="http://schemas.openxmlformats.org/officeDocument/2006/relationships/image" Target="../media/image4021.jpe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3068" Type="http://schemas.openxmlformats.org/officeDocument/2006/relationships/image" Target="../media/image3068.jpeg"/><Relationship Id="rId3275" Type="http://schemas.openxmlformats.org/officeDocument/2006/relationships/image" Target="../media/image3275.jpeg"/><Relationship Id="rId3482" Type="http://schemas.openxmlformats.org/officeDocument/2006/relationships/image" Target="../media/image3482.jpeg"/><Relationship Id="rId196" Type="http://schemas.openxmlformats.org/officeDocument/2006/relationships/image" Target="../media/image196.jpeg"/><Relationship Id="rId2084" Type="http://schemas.openxmlformats.org/officeDocument/2006/relationships/image" Target="../media/image2084.jpeg"/><Relationship Id="rId2291" Type="http://schemas.openxmlformats.org/officeDocument/2006/relationships/image" Target="../media/image2291.jpeg"/><Relationship Id="rId3135" Type="http://schemas.openxmlformats.org/officeDocument/2006/relationships/image" Target="../media/image3135.jpeg"/><Relationship Id="rId3342" Type="http://schemas.openxmlformats.org/officeDocument/2006/relationships/image" Target="../media/image3342.jpeg"/><Relationship Id="rId3787" Type="http://schemas.openxmlformats.org/officeDocument/2006/relationships/image" Target="../media/image3787.jpeg"/><Relationship Id="rId3994" Type="http://schemas.openxmlformats.org/officeDocument/2006/relationships/image" Target="../media/image3994.jpeg"/><Relationship Id="rId263" Type="http://schemas.openxmlformats.org/officeDocument/2006/relationships/image" Target="../media/image263.jpeg"/><Relationship Id="rId470" Type="http://schemas.openxmlformats.org/officeDocument/2006/relationships/image" Target="../media/image470.jpeg"/><Relationship Id="rId2151" Type="http://schemas.openxmlformats.org/officeDocument/2006/relationships/image" Target="../media/image2151.jpeg"/><Relationship Id="rId2389" Type="http://schemas.openxmlformats.org/officeDocument/2006/relationships/image" Target="../media/image2389.jpeg"/><Relationship Id="rId2596" Type="http://schemas.openxmlformats.org/officeDocument/2006/relationships/image" Target="../media/image2596.jpeg"/><Relationship Id="rId3202" Type="http://schemas.openxmlformats.org/officeDocument/2006/relationships/image" Target="../media/image3202.jpeg"/><Relationship Id="rId3647" Type="http://schemas.openxmlformats.org/officeDocument/2006/relationships/image" Target="../media/image3647.jpeg"/><Relationship Id="rId3854" Type="http://schemas.openxmlformats.org/officeDocument/2006/relationships/image" Target="../media/image3854.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2011" Type="http://schemas.openxmlformats.org/officeDocument/2006/relationships/image" Target="../media/image2011.jpeg"/><Relationship Id="rId2249" Type="http://schemas.openxmlformats.org/officeDocument/2006/relationships/image" Target="../media/image2249.jpeg"/><Relationship Id="rId2456" Type="http://schemas.openxmlformats.org/officeDocument/2006/relationships/image" Target="../media/image2456.jpeg"/><Relationship Id="rId2663" Type="http://schemas.openxmlformats.org/officeDocument/2006/relationships/image" Target="../media/image2663.jpeg"/><Relationship Id="rId2870" Type="http://schemas.openxmlformats.org/officeDocument/2006/relationships/image" Target="../media/image2870.jpeg"/><Relationship Id="rId3507" Type="http://schemas.openxmlformats.org/officeDocument/2006/relationships/image" Target="../media/image3507.jpeg"/><Relationship Id="rId3714" Type="http://schemas.openxmlformats.org/officeDocument/2006/relationships/image" Target="../media/image3714.jpeg"/><Relationship Id="rId3921" Type="http://schemas.openxmlformats.org/officeDocument/2006/relationships/image" Target="../media/image3921.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2109" Type="http://schemas.openxmlformats.org/officeDocument/2006/relationships/image" Target="../media/image2109.jpeg"/><Relationship Id="rId2316" Type="http://schemas.openxmlformats.org/officeDocument/2006/relationships/image" Target="../media/image2316.jpeg"/><Relationship Id="rId2523" Type="http://schemas.openxmlformats.org/officeDocument/2006/relationships/image" Target="../media/image2523.jpeg"/><Relationship Id="rId2730" Type="http://schemas.openxmlformats.org/officeDocument/2006/relationships/image" Target="../media/image2730.jpeg"/><Relationship Id="rId2968" Type="http://schemas.openxmlformats.org/officeDocument/2006/relationships/image" Target="../media/image2968.jpe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1777" Type="http://schemas.openxmlformats.org/officeDocument/2006/relationships/image" Target="../media/image1777.jpeg"/><Relationship Id="rId1984" Type="http://schemas.openxmlformats.org/officeDocument/2006/relationships/image" Target="../media/image1984.jpeg"/><Relationship Id="rId2828" Type="http://schemas.openxmlformats.org/officeDocument/2006/relationships/image" Target="../media/image2828.jpe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3297" Type="http://schemas.openxmlformats.org/officeDocument/2006/relationships/image" Target="../media/image3297.jpeg"/><Relationship Id="rId4043" Type="http://schemas.openxmlformats.org/officeDocument/2006/relationships/image" Target="../media/image4043.jpeg"/><Relationship Id="rId1704" Type="http://schemas.openxmlformats.org/officeDocument/2006/relationships/image" Target="../media/image1704.jpeg"/><Relationship Id="rId3157" Type="http://schemas.openxmlformats.org/officeDocument/2006/relationships/image" Target="../media/image3157.jpeg"/><Relationship Id="rId285" Type="http://schemas.openxmlformats.org/officeDocument/2006/relationships/image" Target="../media/image285.jpeg"/><Relationship Id="rId1911" Type="http://schemas.openxmlformats.org/officeDocument/2006/relationships/image" Target="../media/image1911.jpeg"/><Relationship Id="rId3364" Type="http://schemas.openxmlformats.org/officeDocument/2006/relationships/image" Target="../media/image3364.jpeg"/><Relationship Id="rId3571" Type="http://schemas.openxmlformats.org/officeDocument/2006/relationships/image" Target="../media/image3571.jpeg"/><Relationship Id="rId3669" Type="http://schemas.openxmlformats.org/officeDocument/2006/relationships/image" Target="../media/image3669.jpeg"/><Relationship Id="rId492" Type="http://schemas.openxmlformats.org/officeDocument/2006/relationships/image" Target="../media/image492.jpeg"/><Relationship Id="rId797" Type="http://schemas.openxmlformats.org/officeDocument/2006/relationships/image" Target="../media/image797.jpeg"/><Relationship Id="rId2173" Type="http://schemas.openxmlformats.org/officeDocument/2006/relationships/image" Target="../media/image2173.jpeg"/><Relationship Id="rId2380" Type="http://schemas.openxmlformats.org/officeDocument/2006/relationships/image" Target="../media/image2380.jpeg"/><Relationship Id="rId2478" Type="http://schemas.openxmlformats.org/officeDocument/2006/relationships/image" Target="../media/image2478.jpeg"/><Relationship Id="rId3017" Type="http://schemas.openxmlformats.org/officeDocument/2006/relationships/image" Target="../media/image3017.jpeg"/><Relationship Id="rId3224" Type="http://schemas.openxmlformats.org/officeDocument/2006/relationships/image" Target="../media/image3224.jpeg"/><Relationship Id="rId3431" Type="http://schemas.openxmlformats.org/officeDocument/2006/relationships/image" Target="../media/image3431.jpeg"/><Relationship Id="rId3876" Type="http://schemas.openxmlformats.org/officeDocument/2006/relationships/image" Target="../media/image3876.jpe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7.jpeg"/><Relationship Id="rId2033" Type="http://schemas.openxmlformats.org/officeDocument/2006/relationships/image" Target="../media/image2033.jpeg"/><Relationship Id="rId2240" Type="http://schemas.openxmlformats.org/officeDocument/2006/relationships/image" Target="../media/image2240.jpeg"/><Relationship Id="rId2685" Type="http://schemas.openxmlformats.org/officeDocument/2006/relationships/image" Target="../media/image2685.jpeg"/><Relationship Id="rId2892" Type="http://schemas.openxmlformats.org/officeDocument/2006/relationships/image" Target="../media/image2892.jpeg"/><Relationship Id="rId3529" Type="http://schemas.openxmlformats.org/officeDocument/2006/relationships/image" Target="../media/image3529.jpeg"/><Relationship Id="rId3736" Type="http://schemas.openxmlformats.org/officeDocument/2006/relationships/image" Target="../media/image3736.jpeg"/><Relationship Id="rId3943" Type="http://schemas.openxmlformats.org/officeDocument/2006/relationships/image" Target="../media/image3943.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1799" Type="http://schemas.openxmlformats.org/officeDocument/2006/relationships/image" Target="../media/image1799.jpeg"/><Relationship Id="rId2100" Type="http://schemas.openxmlformats.org/officeDocument/2006/relationships/image" Target="../media/image2100.jpeg"/><Relationship Id="rId2338" Type="http://schemas.openxmlformats.org/officeDocument/2006/relationships/image" Target="../media/image2338.jpeg"/><Relationship Id="rId2545" Type="http://schemas.openxmlformats.org/officeDocument/2006/relationships/image" Target="../media/image2545.jpeg"/><Relationship Id="rId2752" Type="http://schemas.openxmlformats.org/officeDocument/2006/relationships/image" Target="../media/image2752.jpeg"/><Relationship Id="rId3803" Type="http://schemas.openxmlformats.org/officeDocument/2006/relationships/image" Target="../media/image3803.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2405" Type="http://schemas.openxmlformats.org/officeDocument/2006/relationships/image" Target="../media/image2405.jpeg"/><Relationship Id="rId2612" Type="http://schemas.openxmlformats.org/officeDocument/2006/relationships/image" Target="../media/image2612.jpeg"/><Relationship Id="rId4065" Type="http://schemas.openxmlformats.org/officeDocument/2006/relationships/image" Target="../media/image4065.jpe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1659" Type="http://schemas.openxmlformats.org/officeDocument/2006/relationships/image" Target="../media/image1659.jpeg"/><Relationship Id="rId1866" Type="http://schemas.openxmlformats.org/officeDocument/2006/relationships/image" Target="../media/image1866.jpeg"/><Relationship Id="rId2917" Type="http://schemas.openxmlformats.org/officeDocument/2006/relationships/image" Target="../media/image2917.jpeg"/><Relationship Id="rId3081" Type="http://schemas.openxmlformats.org/officeDocument/2006/relationships/image" Target="../media/image3081.jpeg"/><Relationship Id="rId1519" Type="http://schemas.openxmlformats.org/officeDocument/2006/relationships/image" Target="../media/image1519.jpeg"/><Relationship Id="rId1726" Type="http://schemas.openxmlformats.org/officeDocument/2006/relationships/image" Target="../media/image1726.jpeg"/><Relationship Id="rId1933" Type="http://schemas.openxmlformats.org/officeDocument/2006/relationships/image" Target="../media/image1933.jpeg"/><Relationship Id="rId3179" Type="http://schemas.openxmlformats.org/officeDocument/2006/relationships/image" Target="../media/image3179.jpeg"/><Relationship Id="rId3386" Type="http://schemas.openxmlformats.org/officeDocument/2006/relationships/image" Target="../media/image3386.jpeg"/><Relationship Id="rId3593" Type="http://schemas.openxmlformats.org/officeDocument/2006/relationships/image" Target="../media/image3593.jpeg"/><Relationship Id="rId18" Type="http://schemas.openxmlformats.org/officeDocument/2006/relationships/image" Target="../media/image18.jpeg"/><Relationship Id="rId2195" Type="http://schemas.openxmlformats.org/officeDocument/2006/relationships/image" Target="../media/image2195.jpeg"/><Relationship Id="rId3039" Type="http://schemas.openxmlformats.org/officeDocument/2006/relationships/image" Target="../media/image3039.jpeg"/><Relationship Id="rId3246" Type="http://schemas.openxmlformats.org/officeDocument/2006/relationships/image" Target="../media/image3246.jpeg"/><Relationship Id="rId3453" Type="http://schemas.openxmlformats.org/officeDocument/2006/relationships/image" Target="../media/image3453.jpeg"/><Relationship Id="rId3898" Type="http://schemas.openxmlformats.org/officeDocument/2006/relationships/image" Target="../media/image3898.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055" Type="http://schemas.openxmlformats.org/officeDocument/2006/relationships/image" Target="../media/image2055.jpeg"/><Relationship Id="rId2262" Type="http://schemas.openxmlformats.org/officeDocument/2006/relationships/image" Target="../media/image2262.jpeg"/><Relationship Id="rId3106" Type="http://schemas.openxmlformats.org/officeDocument/2006/relationships/image" Target="../media/image3106.jpeg"/><Relationship Id="rId3660" Type="http://schemas.openxmlformats.org/officeDocument/2006/relationships/image" Target="../media/image3660.jpeg"/><Relationship Id="rId3758" Type="http://schemas.openxmlformats.org/officeDocument/2006/relationships/image" Target="../media/image3758.jpeg"/><Relationship Id="rId3965" Type="http://schemas.openxmlformats.org/officeDocument/2006/relationships/image" Target="../media/image3965.jpeg"/><Relationship Id="rId234" Type="http://schemas.openxmlformats.org/officeDocument/2006/relationships/image" Target="../media/image234.jpeg"/><Relationship Id="rId679" Type="http://schemas.openxmlformats.org/officeDocument/2006/relationships/image" Target="../media/image679.jpeg"/><Relationship Id="rId886" Type="http://schemas.openxmlformats.org/officeDocument/2006/relationships/image" Target="../media/image886.jpeg"/><Relationship Id="rId2567" Type="http://schemas.openxmlformats.org/officeDocument/2006/relationships/image" Target="../media/image2567.jpeg"/><Relationship Id="rId2774" Type="http://schemas.openxmlformats.org/officeDocument/2006/relationships/image" Target="../media/image2774.jpeg"/><Relationship Id="rId3313" Type="http://schemas.openxmlformats.org/officeDocument/2006/relationships/image" Target="../media/image3313.jpeg"/><Relationship Id="rId3520" Type="http://schemas.openxmlformats.org/officeDocument/2006/relationships/image" Target="../media/image3520.jpeg"/><Relationship Id="rId3618" Type="http://schemas.openxmlformats.org/officeDocument/2006/relationships/image" Target="../media/image3618.jpe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2122" Type="http://schemas.openxmlformats.org/officeDocument/2006/relationships/image" Target="../media/image2122.jpeg"/><Relationship Id="rId2427" Type="http://schemas.openxmlformats.org/officeDocument/2006/relationships/image" Target="../media/image2427.jpeg"/><Relationship Id="rId2981" Type="http://schemas.openxmlformats.org/officeDocument/2006/relationships/image" Target="../media/image2981.jpeg"/><Relationship Id="rId3825" Type="http://schemas.openxmlformats.org/officeDocument/2006/relationships/image" Target="../media/image3825.jpeg"/><Relationship Id="rId301" Type="http://schemas.openxmlformats.org/officeDocument/2006/relationships/image" Target="../media/image301.jpe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 Id="rId1888" Type="http://schemas.openxmlformats.org/officeDocument/2006/relationships/image" Target="../media/image1888.jpeg"/><Relationship Id="rId2634" Type="http://schemas.openxmlformats.org/officeDocument/2006/relationships/image" Target="../media/image2634.jpeg"/><Relationship Id="rId2841" Type="http://schemas.openxmlformats.org/officeDocument/2006/relationships/image" Target="../media/image2841.jpeg"/><Relationship Id="rId2939" Type="http://schemas.openxmlformats.org/officeDocument/2006/relationships/image" Target="../media/image2939.jpe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1748" Type="http://schemas.openxmlformats.org/officeDocument/2006/relationships/image" Target="../media/image1748.jpeg"/><Relationship Id="rId2701" Type="http://schemas.openxmlformats.org/officeDocument/2006/relationships/image" Target="../media/image2701.jpeg"/><Relationship Id="rId1303" Type="http://schemas.openxmlformats.org/officeDocument/2006/relationships/image" Target="../media/image1303.jpeg"/><Relationship Id="rId1510" Type="http://schemas.openxmlformats.org/officeDocument/2006/relationships/image" Target="../media/image1510.jpeg"/><Relationship Id="rId1955" Type="http://schemas.openxmlformats.org/officeDocument/2006/relationships/image" Target="../media/image1955.jpeg"/><Relationship Id="rId3170" Type="http://schemas.openxmlformats.org/officeDocument/2006/relationships/image" Target="../media/image3170.jpeg"/><Relationship Id="rId4014" Type="http://schemas.openxmlformats.org/officeDocument/2006/relationships/image" Target="../media/image4014.jpeg"/><Relationship Id="rId1608" Type="http://schemas.openxmlformats.org/officeDocument/2006/relationships/image" Target="../media/image1608.jpeg"/><Relationship Id="rId1815" Type="http://schemas.openxmlformats.org/officeDocument/2006/relationships/image" Target="../media/image1815.jpeg"/><Relationship Id="rId3030" Type="http://schemas.openxmlformats.org/officeDocument/2006/relationships/image" Target="../media/image3030.jpeg"/><Relationship Id="rId3268" Type="http://schemas.openxmlformats.org/officeDocument/2006/relationships/image" Target="../media/image3268.jpeg"/><Relationship Id="rId3475" Type="http://schemas.openxmlformats.org/officeDocument/2006/relationships/image" Target="../media/image3475.jpeg"/><Relationship Id="rId3682" Type="http://schemas.openxmlformats.org/officeDocument/2006/relationships/image" Target="../media/image3682.jpe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eg"/><Relationship Id="rId2284" Type="http://schemas.openxmlformats.org/officeDocument/2006/relationships/image" Target="../media/image2284.jpeg"/><Relationship Id="rId2491" Type="http://schemas.openxmlformats.org/officeDocument/2006/relationships/image" Target="../media/image2491.jpeg"/><Relationship Id="rId3128" Type="http://schemas.openxmlformats.org/officeDocument/2006/relationships/image" Target="../media/image3128.jpeg"/><Relationship Id="rId3335" Type="http://schemas.openxmlformats.org/officeDocument/2006/relationships/image" Target="../media/image3335.jpeg"/><Relationship Id="rId3542" Type="http://schemas.openxmlformats.org/officeDocument/2006/relationships/image" Target="../media/image3542.jpeg"/><Relationship Id="rId3987" Type="http://schemas.openxmlformats.org/officeDocument/2006/relationships/image" Target="../media/image3987.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2144" Type="http://schemas.openxmlformats.org/officeDocument/2006/relationships/image" Target="../media/image2144.jpeg"/><Relationship Id="rId2351" Type="http://schemas.openxmlformats.org/officeDocument/2006/relationships/image" Target="../media/image2351.jpeg"/><Relationship Id="rId2589" Type="http://schemas.openxmlformats.org/officeDocument/2006/relationships/image" Target="../media/image2589.jpeg"/><Relationship Id="rId2796" Type="http://schemas.openxmlformats.org/officeDocument/2006/relationships/image" Target="../media/image2796.jpeg"/><Relationship Id="rId3402" Type="http://schemas.openxmlformats.org/officeDocument/2006/relationships/image" Target="../media/image3402.jpeg"/><Relationship Id="rId3847" Type="http://schemas.openxmlformats.org/officeDocument/2006/relationships/image" Target="../media/image3847.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1160" Type="http://schemas.openxmlformats.org/officeDocument/2006/relationships/image" Target="../media/image1160.jpeg"/><Relationship Id="rId1398" Type="http://schemas.openxmlformats.org/officeDocument/2006/relationships/image" Target="../media/image1398.jpeg"/><Relationship Id="rId2004" Type="http://schemas.openxmlformats.org/officeDocument/2006/relationships/image" Target="../media/image2004.jpeg"/><Relationship Id="rId2211" Type="http://schemas.openxmlformats.org/officeDocument/2006/relationships/image" Target="../media/image2211.jpeg"/><Relationship Id="rId2449" Type="http://schemas.openxmlformats.org/officeDocument/2006/relationships/image" Target="../media/image2449.jpeg"/><Relationship Id="rId2656" Type="http://schemas.openxmlformats.org/officeDocument/2006/relationships/image" Target="../media/image2656.jpeg"/><Relationship Id="rId2863" Type="http://schemas.openxmlformats.org/officeDocument/2006/relationships/image" Target="../media/image2863.jpeg"/><Relationship Id="rId3707" Type="http://schemas.openxmlformats.org/officeDocument/2006/relationships/image" Target="../media/image3707.jpeg"/><Relationship Id="rId3914" Type="http://schemas.openxmlformats.org/officeDocument/2006/relationships/image" Target="../media/image3914.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309" Type="http://schemas.openxmlformats.org/officeDocument/2006/relationships/image" Target="../media/image2309.jpeg"/><Relationship Id="rId2516" Type="http://schemas.openxmlformats.org/officeDocument/2006/relationships/image" Target="../media/image2516.jpeg"/><Relationship Id="rId2723" Type="http://schemas.openxmlformats.org/officeDocument/2006/relationships/image" Target="../media/image2723.jpeg"/><Relationship Id="rId1020" Type="http://schemas.openxmlformats.org/officeDocument/2006/relationships/image" Target="../media/image1020.jpe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1977" Type="http://schemas.openxmlformats.org/officeDocument/2006/relationships/image" Target="../media/image1977.jpeg"/><Relationship Id="rId2930" Type="http://schemas.openxmlformats.org/officeDocument/2006/relationships/image" Target="../media/image2930.jpeg"/><Relationship Id="rId902" Type="http://schemas.openxmlformats.org/officeDocument/2006/relationships/image" Target="../media/image902.jpeg"/><Relationship Id="rId1837" Type="http://schemas.openxmlformats.org/officeDocument/2006/relationships/image" Target="../media/image1837.jpeg"/><Relationship Id="rId3192" Type="http://schemas.openxmlformats.org/officeDocument/2006/relationships/image" Target="../media/image3192.jpeg"/><Relationship Id="rId3497" Type="http://schemas.openxmlformats.org/officeDocument/2006/relationships/image" Target="../media/image3497.jpeg"/><Relationship Id="rId4036" Type="http://schemas.openxmlformats.org/officeDocument/2006/relationships/image" Target="../media/image4036.jpeg"/><Relationship Id="rId31" Type="http://schemas.openxmlformats.org/officeDocument/2006/relationships/image" Target="../media/image31.jpeg"/><Relationship Id="rId2099" Type="http://schemas.openxmlformats.org/officeDocument/2006/relationships/image" Target="../media/image2099.jpeg"/><Relationship Id="rId3052" Type="http://schemas.openxmlformats.org/officeDocument/2006/relationships/image" Target="../media/image3052.jpeg"/><Relationship Id="rId180" Type="http://schemas.openxmlformats.org/officeDocument/2006/relationships/image" Target="../media/image180.jpeg"/><Relationship Id="rId278" Type="http://schemas.openxmlformats.org/officeDocument/2006/relationships/image" Target="../media/image278.jpeg"/><Relationship Id="rId1904" Type="http://schemas.openxmlformats.org/officeDocument/2006/relationships/image" Target="../media/image1904.jpeg"/><Relationship Id="rId3357" Type="http://schemas.openxmlformats.org/officeDocument/2006/relationships/image" Target="../media/image3357.jpeg"/><Relationship Id="rId3564" Type="http://schemas.openxmlformats.org/officeDocument/2006/relationships/image" Target="../media/image3564.jpeg"/><Relationship Id="rId3771" Type="http://schemas.openxmlformats.org/officeDocument/2006/relationships/image" Target="../media/image3771.jpeg"/><Relationship Id="rId485" Type="http://schemas.openxmlformats.org/officeDocument/2006/relationships/image" Target="../media/image485.jpeg"/><Relationship Id="rId692" Type="http://schemas.openxmlformats.org/officeDocument/2006/relationships/image" Target="../media/image692.jpeg"/><Relationship Id="rId2166" Type="http://schemas.openxmlformats.org/officeDocument/2006/relationships/image" Target="../media/image2166.jpeg"/><Relationship Id="rId2373" Type="http://schemas.openxmlformats.org/officeDocument/2006/relationships/image" Target="../media/image2373.jpeg"/><Relationship Id="rId2580" Type="http://schemas.openxmlformats.org/officeDocument/2006/relationships/image" Target="../media/image2580.jpeg"/><Relationship Id="rId3217" Type="http://schemas.openxmlformats.org/officeDocument/2006/relationships/image" Target="../media/image3217.jpeg"/><Relationship Id="rId3424" Type="http://schemas.openxmlformats.org/officeDocument/2006/relationships/image" Target="../media/image3424.jpeg"/><Relationship Id="rId3631" Type="http://schemas.openxmlformats.org/officeDocument/2006/relationships/image" Target="../media/image3631.jpeg"/><Relationship Id="rId3869" Type="http://schemas.openxmlformats.org/officeDocument/2006/relationships/image" Target="../media/image3869.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2.jpeg"/><Relationship Id="rId2026" Type="http://schemas.openxmlformats.org/officeDocument/2006/relationships/image" Target="../media/image2026.jpeg"/><Relationship Id="rId2233" Type="http://schemas.openxmlformats.org/officeDocument/2006/relationships/image" Target="../media/image2233.jpeg"/><Relationship Id="rId2440" Type="http://schemas.openxmlformats.org/officeDocument/2006/relationships/image" Target="../media/image2440.jpeg"/><Relationship Id="rId2678" Type="http://schemas.openxmlformats.org/officeDocument/2006/relationships/image" Target="../media/image2678.jpeg"/><Relationship Id="rId2885" Type="http://schemas.openxmlformats.org/officeDocument/2006/relationships/image" Target="../media/image2885.jpeg"/><Relationship Id="rId3729" Type="http://schemas.openxmlformats.org/officeDocument/2006/relationships/image" Target="../media/image3729.jpeg"/><Relationship Id="rId3936" Type="http://schemas.openxmlformats.org/officeDocument/2006/relationships/image" Target="../media/image3936.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7.jpeg"/><Relationship Id="rId1694" Type="http://schemas.openxmlformats.org/officeDocument/2006/relationships/image" Target="../media/image1694.jpeg"/><Relationship Id="rId2300" Type="http://schemas.openxmlformats.org/officeDocument/2006/relationships/image" Target="../media/image2300.jpeg"/><Relationship Id="rId2538" Type="http://schemas.openxmlformats.org/officeDocument/2006/relationships/image" Target="../media/image2538.jpeg"/><Relationship Id="rId2745" Type="http://schemas.openxmlformats.org/officeDocument/2006/relationships/image" Target="../media/image2745.jpeg"/><Relationship Id="rId2952" Type="http://schemas.openxmlformats.org/officeDocument/2006/relationships/image" Target="../media/image2952.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1999" Type="http://schemas.openxmlformats.org/officeDocument/2006/relationships/image" Target="../media/image1999.jpeg"/><Relationship Id="rId2605" Type="http://schemas.openxmlformats.org/officeDocument/2006/relationships/image" Target="../media/image2605.jpeg"/><Relationship Id="rId2812" Type="http://schemas.openxmlformats.org/officeDocument/2006/relationships/image" Target="../media/image2812.jpeg"/><Relationship Id="rId4058" Type="http://schemas.openxmlformats.org/officeDocument/2006/relationships/image" Target="../media/image4058.jpeg"/><Relationship Id="rId53" Type="http://schemas.openxmlformats.org/officeDocument/2006/relationships/image" Target="../media/image5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1859" Type="http://schemas.openxmlformats.org/officeDocument/2006/relationships/image" Target="../media/image1859.jpeg"/><Relationship Id="rId3074" Type="http://schemas.openxmlformats.org/officeDocument/2006/relationships/image" Target="../media/image3074.jpeg"/><Relationship Id="rId1719" Type="http://schemas.openxmlformats.org/officeDocument/2006/relationships/image" Target="../media/image1719.jpeg"/><Relationship Id="rId1926" Type="http://schemas.openxmlformats.org/officeDocument/2006/relationships/image" Target="../media/image1926.jpeg"/><Relationship Id="rId3281" Type="http://schemas.openxmlformats.org/officeDocument/2006/relationships/image" Target="../media/image3281.jpeg"/><Relationship Id="rId3379" Type="http://schemas.openxmlformats.org/officeDocument/2006/relationships/image" Target="../media/image3379.jpeg"/><Relationship Id="rId3586" Type="http://schemas.openxmlformats.org/officeDocument/2006/relationships/image" Target="../media/image3586.jpeg"/><Relationship Id="rId3793" Type="http://schemas.openxmlformats.org/officeDocument/2006/relationships/image" Target="../media/image3793.jpeg"/><Relationship Id="rId2090" Type="http://schemas.openxmlformats.org/officeDocument/2006/relationships/image" Target="../media/image2090.jpeg"/><Relationship Id="rId2188" Type="http://schemas.openxmlformats.org/officeDocument/2006/relationships/image" Target="../media/image2188.jpeg"/><Relationship Id="rId2395" Type="http://schemas.openxmlformats.org/officeDocument/2006/relationships/image" Target="../media/image2395.jpeg"/><Relationship Id="rId3141" Type="http://schemas.openxmlformats.org/officeDocument/2006/relationships/image" Target="../media/image3141.jpeg"/><Relationship Id="rId3239" Type="http://schemas.openxmlformats.org/officeDocument/2006/relationships/image" Target="../media/image3239.jpeg"/><Relationship Id="rId3446" Type="http://schemas.openxmlformats.org/officeDocument/2006/relationships/image" Target="../media/image3446.jpeg"/><Relationship Id="rId367" Type="http://schemas.openxmlformats.org/officeDocument/2006/relationships/image" Target="../media/image367.jpeg"/><Relationship Id="rId574" Type="http://schemas.openxmlformats.org/officeDocument/2006/relationships/image" Target="../media/image574.jpeg"/><Relationship Id="rId2048" Type="http://schemas.openxmlformats.org/officeDocument/2006/relationships/image" Target="../media/image2048.jpeg"/><Relationship Id="rId2255" Type="http://schemas.openxmlformats.org/officeDocument/2006/relationships/image" Target="../media/image2255.jpeg"/><Relationship Id="rId3001" Type="http://schemas.openxmlformats.org/officeDocument/2006/relationships/image" Target="../media/image3001.jpeg"/><Relationship Id="rId3653" Type="http://schemas.openxmlformats.org/officeDocument/2006/relationships/image" Target="../media/image3653.jpeg"/><Relationship Id="rId3860" Type="http://schemas.openxmlformats.org/officeDocument/2006/relationships/image" Target="../media/image3860.jpeg"/><Relationship Id="rId3958" Type="http://schemas.openxmlformats.org/officeDocument/2006/relationships/image" Target="../media/image3958.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2462" Type="http://schemas.openxmlformats.org/officeDocument/2006/relationships/image" Target="../media/image2462.jpeg"/><Relationship Id="rId2767" Type="http://schemas.openxmlformats.org/officeDocument/2006/relationships/image" Target="../media/image2767.jpeg"/><Relationship Id="rId3306" Type="http://schemas.openxmlformats.org/officeDocument/2006/relationships/image" Target="../media/image3306.jpeg"/><Relationship Id="rId3513" Type="http://schemas.openxmlformats.org/officeDocument/2006/relationships/image" Target="../media/image3513.jpeg"/><Relationship Id="rId3720" Type="http://schemas.openxmlformats.org/officeDocument/2006/relationships/image" Target="../media/image3720.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71.jpeg"/><Relationship Id="rId1369" Type="http://schemas.openxmlformats.org/officeDocument/2006/relationships/image" Target="../media/image1369.jpeg"/><Relationship Id="rId1576" Type="http://schemas.openxmlformats.org/officeDocument/2006/relationships/image" Target="../media/image1576.jpeg"/><Relationship Id="rId2115" Type="http://schemas.openxmlformats.org/officeDocument/2006/relationships/image" Target="../media/image2115.jpeg"/><Relationship Id="rId2322" Type="http://schemas.openxmlformats.org/officeDocument/2006/relationships/image" Target="../media/image2322.jpeg"/><Relationship Id="rId2974" Type="http://schemas.openxmlformats.org/officeDocument/2006/relationships/image" Target="../media/image2974.jpeg"/><Relationship Id="rId3818" Type="http://schemas.openxmlformats.org/officeDocument/2006/relationships/image" Target="../media/image3818.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1229" Type="http://schemas.openxmlformats.org/officeDocument/2006/relationships/image" Target="../media/image1229.jpeg"/><Relationship Id="rId1783" Type="http://schemas.openxmlformats.org/officeDocument/2006/relationships/image" Target="../media/image1783.jpeg"/><Relationship Id="rId1990" Type="http://schemas.openxmlformats.org/officeDocument/2006/relationships/image" Target="../media/image1990.jpeg"/><Relationship Id="rId2627" Type="http://schemas.openxmlformats.org/officeDocument/2006/relationships/image" Target="../media/image2627.jpeg"/><Relationship Id="rId2834" Type="http://schemas.openxmlformats.org/officeDocument/2006/relationships/image" Target="../media/image2834.jpe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image" Target="../media/image1850.jpeg"/><Relationship Id="rId2901" Type="http://schemas.openxmlformats.org/officeDocument/2006/relationships/image" Target="../media/image2901.jpeg"/><Relationship Id="rId3096" Type="http://schemas.openxmlformats.org/officeDocument/2006/relationships/image" Target="../media/image3096.jpeg"/><Relationship Id="rId1503" Type="http://schemas.openxmlformats.org/officeDocument/2006/relationships/image" Target="../media/image1503.jpeg"/><Relationship Id="rId1710" Type="http://schemas.openxmlformats.org/officeDocument/2006/relationships/image" Target="../media/image1710.jpeg"/><Relationship Id="rId1948" Type="http://schemas.openxmlformats.org/officeDocument/2006/relationships/image" Target="../media/image1948.jpeg"/><Relationship Id="rId3163" Type="http://schemas.openxmlformats.org/officeDocument/2006/relationships/image" Target="../media/image3163.jpeg"/><Relationship Id="rId3370" Type="http://schemas.openxmlformats.org/officeDocument/2006/relationships/image" Target="../media/image3370.jpeg"/><Relationship Id="rId4007" Type="http://schemas.openxmlformats.org/officeDocument/2006/relationships/image" Target="../media/image4007.jpeg"/><Relationship Id="rId291" Type="http://schemas.openxmlformats.org/officeDocument/2006/relationships/image" Target="../media/image291.jpeg"/><Relationship Id="rId1808" Type="http://schemas.openxmlformats.org/officeDocument/2006/relationships/image" Target="../media/image1808.jpeg"/><Relationship Id="rId3023" Type="http://schemas.openxmlformats.org/officeDocument/2006/relationships/image" Target="../media/image3023.jpeg"/><Relationship Id="rId3468" Type="http://schemas.openxmlformats.org/officeDocument/2006/relationships/image" Target="../media/image3468.jpeg"/><Relationship Id="rId3675" Type="http://schemas.openxmlformats.org/officeDocument/2006/relationships/image" Target="../media/image3675.jpeg"/><Relationship Id="rId3882" Type="http://schemas.openxmlformats.org/officeDocument/2006/relationships/image" Target="../media/image3882.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2277" Type="http://schemas.openxmlformats.org/officeDocument/2006/relationships/image" Target="../media/image2277.jpeg"/><Relationship Id="rId2484" Type="http://schemas.openxmlformats.org/officeDocument/2006/relationships/image" Target="../media/image2484.jpeg"/><Relationship Id="rId2691" Type="http://schemas.openxmlformats.org/officeDocument/2006/relationships/image" Target="../media/image2691.jpeg"/><Relationship Id="rId3230" Type="http://schemas.openxmlformats.org/officeDocument/2006/relationships/image" Target="../media/image3230.jpeg"/><Relationship Id="rId3328" Type="http://schemas.openxmlformats.org/officeDocument/2006/relationships/image" Target="../media/image3328.jpeg"/><Relationship Id="rId3535" Type="http://schemas.openxmlformats.org/officeDocument/2006/relationships/image" Target="../media/image3535.jpeg"/><Relationship Id="rId3742" Type="http://schemas.openxmlformats.org/officeDocument/2006/relationships/image" Target="../media/image3742.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2137" Type="http://schemas.openxmlformats.org/officeDocument/2006/relationships/image" Target="../media/image2137.jpeg"/><Relationship Id="rId2344" Type="http://schemas.openxmlformats.org/officeDocument/2006/relationships/image" Target="../media/image2344.jpeg"/><Relationship Id="rId2551" Type="http://schemas.openxmlformats.org/officeDocument/2006/relationships/image" Target="../media/image2551.jpeg"/><Relationship Id="rId2789" Type="http://schemas.openxmlformats.org/officeDocument/2006/relationships/image" Target="../media/image2789.jpeg"/><Relationship Id="rId2996" Type="http://schemas.openxmlformats.org/officeDocument/2006/relationships/image" Target="../media/image2996.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3.jpeg"/><Relationship Id="rId1598" Type="http://schemas.openxmlformats.org/officeDocument/2006/relationships/image" Target="../media/image1598.jpeg"/><Relationship Id="rId2204" Type="http://schemas.openxmlformats.org/officeDocument/2006/relationships/image" Target="../media/image2204.jpeg"/><Relationship Id="rId2649" Type="http://schemas.openxmlformats.org/officeDocument/2006/relationships/image" Target="../media/image2649.jpeg"/><Relationship Id="rId2856" Type="http://schemas.openxmlformats.org/officeDocument/2006/relationships/image" Target="../media/image2856.jpeg"/><Relationship Id="rId3602" Type="http://schemas.openxmlformats.org/officeDocument/2006/relationships/image" Target="../media/image3602.jpeg"/><Relationship Id="rId3907" Type="http://schemas.openxmlformats.org/officeDocument/2006/relationships/image" Target="../media/image3907.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jpeg"/><Relationship Id="rId2411" Type="http://schemas.openxmlformats.org/officeDocument/2006/relationships/image" Target="../media/image2411.jpeg"/><Relationship Id="rId2509" Type="http://schemas.openxmlformats.org/officeDocument/2006/relationships/image" Target="../media/image2509.jpeg"/><Relationship Id="rId2716" Type="http://schemas.openxmlformats.org/officeDocument/2006/relationships/image" Target="../media/image2716.jpeg"/><Relationship Id="rId4071" Type="http://schemas.openxmlformats.org/officeDocument/2006/relationships/image" Target="../media/image4071.jpeg"/><Relationship Id="rId1220" Type="http://schemas.openxmlformats.org/officeDocument/2006/relationships/image" Target="../media/image1220.jpeg"/><Relationship Id="rId1318" Type="http://schemas.openxmlformats.org/officeDocument/2006/relationships/image" Target="../media/image1318.jpeg"/><Relationship Id="rId1525" Type="http://schemas.openxmlformats.org/officeDocument/2006/relationships/image" Target="../media/image1525.jpeg"/><Relationship Id="rId2923" Type="http://schemas.openxmlformats.org/officeDocument/2006/relationships/image" Target="../media/image2923.jpeg"/><Relationship Id="rId1732" Type="http://schemas.openxmlformats.org/officeDocument/2006/relationships/image" Target="../media/image1732.jpeg"/><Relationship Id="rId3185" Type="http://schemas.openxmlformats.org/officeDocument/2006/relationships/image" Target="../media/image3185.jpeg"/><Relationship Id="rId3392" Type="http://schemas.openxmlformats.org/officeDocument/2006/relationships/image" Target="../media/image3392.jpeg"/><Relationship Id="rId4029" Type="http://schemas.openxmlformats.org/officeDocument/2006/relationships/image" Target="../media/image4029.jpeg"/><Relationship Id="rId24" Type="http://schemas.openxmlformats.org/officeDocument/2006/relationships/image" Target="../media/image24.jpeg"/><Relationship Id="rId2299" Type="http://schemas.openxmlformats.org/officeDocument/2006/relationships/image" Target="../media/image2299.jpeg"/><Relationship Id="rId3045" Type="http://schemas.openxmlformats.org/officeDocument/2006/relationships/image" Target="../media/image3045.jpeg"/><Relationship Id="rId3252" Type="http://schemas.openxmlformats.org/officeDocument/2006/relationships/image" Target="../media/image3252.jpeg"/><Relationship Id="rId3697" Type="http://schemas.openxmlformats.org/officeDocument/2006/relationships/image" Target="../media/image3697.jpe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eg"/><Relationship Id="rId3112" Type="http://schemas.openxmlformats.org/officeDocument/2006/relationships/image" Target="../media/image3112.jpeg"/><Relationship Id="rId3557" Type="http://schemas.openxmlformats.org/officeDocument/2006/relationships/image" Target="../media/image3557.jpeg"/><Relationship Id="rId3764" Type="http://schemas.openxmlformats.org/officeDocument/2006/relationships/image" Target="../media/image3764.jpeg"/><Relationship Id="rId3971" Type="http://schemas.openxmlformats.org/officeDocument/2006/relationships/image" Target="../media/image3971.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2159" Type="http://schemas.openxmlformats.org/officeDocument/2006/relationships/image" Target="../media/image2159.jpeg"/><Relationship Id="rId2366" Type="http://schemas.openxmlformats.org/officeDocument/2006/relationships/image" Target="../media/image2366.jpeg"/><Relationship Id="rId2573" Type="http://schemas.openxmlformats.org/officeDocument/2006/relationships/image" Target="../media/image2573.jpeg"/><Relationship Id="rId2780" Type="http://schemas.openxmlformats.org/officeDocument/2006/relationships/image" Target="../media/image2780.jpeg"/><Relationship Id="rId3417" Type="http://schemas.openxmlformats.org/officeDocument/2006/relationships/image" Target="../media/image3417.jpeg"/><Relationship Id="rId3624" Type="http://schemas.openxmlformats.org/officeDocument/2006/relationships/image" Target="../media/image3624.jpeg"/><Relationship Id="rId3831" Type="http://schemas.openxmlformats.org/officeDocument/2006/relationships/image" Target="../media/image3831.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2019" Type="http://schemas.openxmlformats.org/officeDocument/2006/relationships/image" Target="../media/image2019.jpeg"/><Relationship Id="rId2226" Type="http://schemas.openxmlformats.org/officeDocument/2006/relationships/image" Target="../media/image2226.jpeg"/><Relationship Id="rId2433" Type="http://schemas.openxmlformats.org/officeDocument/2006/relationships/image" Target="../media/image2433.jpeg"/><Relationship Id="rId2640" Type="http://schemas.openxmlformats.org/officeDocument/2006/relationships/image" Target="../media/image2640.jpeg"/><Relationship Id="rId2878" Type="http://schemas.openxmlformats.org/officeDocument/2006/relationships/image" Target="../media/image2878.jpeg"/><Relationship Id="rId3929" Type="http://schemas.openxmlformats.org/officeDocument/2006/relationships/image" Target="../media/image3929.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1687" Type="http://schemas.openxmlformats.org/officeDocument/2006/relationships/image" Target="../media/image1687.jpeg"/><Relationship Id="rId1894" Type="http://schemas.openxmlformats.org/officeDocument/2006/relationships/image" Target="../media/image1894.jpeg"/><Relationship Id="rId2500" Type="http://schemas.openxmlformats.org/officeDocument/2006/relationships/image" Target="../media/image2500.jpeg"/><Relationship Id="rId2738" Type="http://schemas.openxmlformats.org/officeDocument/2006/relationships/image" Target="../media/image2738.jpeg"/><Relationship Id="rId2945" Type="http://schemas.openxmlformats.org/officeDocument/2006/relationships/image" Target="../media/image2945.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eg"/><Relationship Id="rId2805" Type="http://schemas.openxmlformats.org/officeDocument/2006/relationships/image" Target="../media/image2805.jpeg"/><Relationship Id="rId46" Type="http://schemas.openxmlformats.org/officeDocument/2006/relationships/image" Target="../media/image46.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3067" Type="http://schemas.openxmlformats.org/officeDocument/2006/relationships/image" Target="../media/image3067.jpeg"/><Relationship Id="rId3274" Type="http://schemas.openxmlformats.org/officeDocument/2006/relationships/image" Target="../media/image3274.jpeg"/><Relationship Id="rId4020" Type="http://schemas.openxmlformats.org/officeDocument/2006/relationships/image" Target="../media/image4020.jpeg"/><Relationship Id="rId195" Type="http://schemas.openxmlformats.org/officeDocument/2006/relationships/image" Target="../media/image195.jpeg"/><Relationship Id="rId1919" Type="http://schemas.openxmlformats.org/officeDocument/2006/relationships/image" Target="../media/image1919.jpeg"/><Relationship Id="rId3481" Type="http://schemas.openxmlformats.org/officeDocument/2006/relationships/image" Target="../media/image3481.jpeg"/><Relationship Id="rId3579" Type="http://schemas.openxmlformats.org/officeDocument/2006/relationships/image" Target="../media/image3579.jpeg"/><Relationship Id="rId3786" Type="http://schemas.openxmlformats.org/officeDocument/2006/relationships/image" Target="../media/image3786.jpeg"/><Relationship Id="rId2083" Type="http://schemas.openxmlformats.org/officeDocument/2006/relationships/image" Target="../media/image2083.jpeg"/><Relationship Id="rId2290" Type="http://schemas.openxmlformats.org/officeDocument/2006/relationships/image" Target="../media/image2290.jpeg"/><Relationship Id="rId2388" Type="http://schemas.openxmlformats.org/officeDocument/2006/relationships/image" Target="../media/image2388.jpeg"/><Relationship Id="rId2595" Type="http://schemas.openxmlformats.org/officeDocument/2006/relationships/image" Target="../media/image2595.jpeg"/><Relationship Id="rId3134" Type="http://schemas.openxmlformats.org/officeDocument/2006/relationships/image" Target="../media/image3134.jpeg"/><Relationship Id="rId3341" Type="http://schemas.openxmlformats.org/officeDocument/2006/relationships/image" Target="../media/image3341.jpeg"/><Relationship Id="rId3439" Type="http://schemas.openxmlformats.org/officeDocument/2006/relationships/image" Target="../media/image3439.jpeg"/><Relationship Id="rId3993" Type="http://schemas.openxmlformats.org/officeDocument/2006/relationships/image" Target="../media/image3993.jpeg"/><Relationship Id="rId262" Type="http://schemas.openxmlformats.org/officeDocument/2006/relationships/image" Target="../media/image262.jpeg"/><Relationship Id="rId567" Type="http://schemas.openxmlformats.org/officeDocument/2006/relationships/image" Target="../media/image567.jpeg"/><Relationship Id="rId1197" Type="http://schemas.openxmlformats.org/officeDocument/2006/relationships/image" Target="../media/image1197.jpeg"/><Relationship Id="rId2150" Type="http://schemas.openxmlformats.org/officeDocument/2006/relationships/image" Target="../media/image2150.jpeg"/><Relationship Id="rId2248" Type="http://schemas.openxmlformats.org/officeDocument/2006/relationships/image" Target="../media/image2248.jpeg"/><Relationship Id="rId3201" Type="http://schemas.openxmlformats.org/officeDocument/2006/relationships/image" Target="../media/image3201.jpeg"/><Relationship Id="rId3646" Type="http://schemas.openxmlformats.org/officeDocument/2006/relationships/image" Target="../media/image3646.jpeg"/><Relationship Id="rId3853" Type="http://schemas.openxmlformats.org/officeDocument/2006/relationships/image" Target="../media/image3853.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2010" Type="http://schemas.openxmlformats.org/officeDocument/2006/relationships/image" Target="../media/image2010.jpeg"/><Relationship Id="rId2455" Type="http://schemas.openxmlformats.org/officeDocument/2006/relationships/image" Target="../media/image2455.jpeg"/><Relationship Id="rId2662" Type="http://schemas.openxmlformats.org/officeDocument/2006/relationships/image" Target="../media/image2662.jpeg"/><Relationship Id="rId3506" Type="http://schemas.openxmlformats.org/officeDocument/2006/relationships/image" Target="../media/image3506.jpeg"/><Relationship Id="rId3713" Type="http://schemas.openxmlformats.org/officeDocument/2006/relationships/image" Target="../media/image3713.jpeg"/><Relationship Id="rId3920" Type="http://schemas.openxmlformats.org/officeDocument/2006/relationships/image" Target="../media/image3920.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1569" Type="http://schemas.openxmlformats.org/officeDocument/2006/relationships/image" Target="../media/image1569.jpeg"/><Relationship Id="rId2108" Type="http://schemas.openxmlformats.org/officeDocument/2006/relationships/image" Target="../media/image2108.jpeg"/><Relationship Id="rId2315" Type="http://schemas.openxmlformats.org/officeDocument/2006/relationships/image" Target="../media/image2315.jpeg"/><Relationship Id="rId2522" Type="http://schemas.openxmlformats.org/officeDocument/2006/relationships/image" Target="../media/image2522.jpeg"/><Relationship Id="rId2967" Type="http://schemas.openxmlformats.org/officeDocument/2006/relationships/image" Target="../media/image2967.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1331" Type="http://schemas.openxmlformats.org/officeDocument/2006/relationships/image" Target="../media/image1331.jpeg"/><Relationship Id="rId1776" Type="http://schemas.openxmlformats.org/officeDocument/2006/relationships/image" Target="../media/image1776.jpeg"/><Relationship Id="rId1983" Type="http://schemas.openxmlformats.org/officeDocument/2006/relationships/image" Target="../media/image1983.jpeg"/><Relationship Id="rId2827" Type="http://schemas.openxmlformats.org/officeDocument/2006/relationships/image" Target="../media/image2827.jpeg"/><Relationship Id="rId4042" Type="http://schemas.openxmlformats.org/officeDocument/2006/relationships/image" Target="../media/image4042.jpeg"/><Relationship Id="rId68" Type="http://schemas.openxmlformats.org/officeDocument/2006/relationships/image" Target="../media/image68.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3089" Type="http://schemas.openxmlformats.org/officeDocument/2006/relationships/image" Target="../media/image3089.jpeg"/><Relationship Id="rId3296" Type="http://schemas.openxmlformats.org/officeDocument/2006/relationships/image" Target="../media/image3296.jpeg"/><Relationship Id="rId1703" Type="http://schemas.openxmlformats.org/officeDocument/2006/relationships/image" Target="../media/image1703.jpeg"/><Relationship Id="rId1910" Type="http://schemas.openxmlformats.org/officeDocument/2006/relationships/image" Target="../media/image1910.jpeg"/><Relationship Id="rId3156" Type="http://schemas.openxmlformats.org/officeDocument/2006/relationships/image" Target="../media/image3156.jpeg"/><Relationship Id="rId3363" Type="http://schemas.openxmlformats.org/officeDocument/2006/relationships/image" Target="../media/image3363.jpe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eg"/><Relationship Id="rId3016" Type="http://schemas.openxmlformats.org/officeDocument/2006/relationships/image" Target="../media/image3016.jpeg"/><Relationship Id="rId3223" Type="http://schemas.openxmlformats.org/officeDocument/2006/relationships/image" Target="../media/image3223.jpeg"/><Relationship Id="rId3570" Type="http://schemas.openxmlformats.org/officeDocument/2006/relationships/image" Target="../media/image3570.jpeg"/><Relationship Id="rId3668" Type="http://schemas.openxmlformats.org/officeDocument/2006/relationships/image" Target="../media/image3668.jpeg"/><Relationship Id="rId3875" Type="http://schemas.openxmlformats.org/officeDocument/2006/relationships/image" Target="../media/image3875.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2477" Type="http://schemas.openxmlformats.org/officeDocument/2006/relationships/image" Target="../media/image2477.jpeg"/><Relationship Id="rId2684" Type="http://schemas.openxmlformats.org/officeDocument/2006/relationships/image" Target="../media/image2684.jpeg"/><Relationship Id="rId3430" Type="http://schemas.openxmlformats.org/officeDocument/2006/relationships/image" Target="../media/image3430.jpeg"/><Relationship Id="rId3528" Type="http://schemas.openxmlformats.org/officeDocument/2006/relationships/image" Target="../media/image3528.jpeg"/><Relationship Id="rId3735" Type="http://schemas.openxmlformats.org/officeDocument/2006/relationships/image" Target="../media/image3735.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2032" Type="http://schemas.openxmlformats.org/officeDocument/2006/relationships/image" Target="../media/image2032.jpeg"/><Relationship Id="rId2337" Type="http://schemas.openxmlformats.org/officeDocument/2006/relationships/image" Target="../media/image2337.jpeg"/><Relationship Id="rId2544" Type="http://schemas.openxmlformats.org/officeDocument/2006/relationships/image" Target="../media/image2544.jpeg"/><Relationship Id="rId2891" Type="http://schemas.openxmlformats.org/officeDocument/2006/relationships/image" Target="../media/image2891.jpeg"/><Relationship Id="rId2989" Type="http://schemas.openxmlformats.org/officeDocument/2006/relationships/image" Target="../media/image2989.jpeg"/><Relationship Id="rId3942" Type="http://schemas.openxmlformats.org/officeDocument/2006/relationships/image" Target="../media/image3942.jpe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1798" Type="http://schemas.openxmlformats.org/officeDocument/2006/relationships/image" Target="../media/image1798.jpeg"/><Relationship Id="rId2751" Type="http://schemas.openxmlformats.org/officeDocument/2006/relationships/image" Target="../media/image2751.jpeg"/><Relationship Id="rId2849" Type="http://schemas.openxmlformats.org/officeDocument/2006/relationships/image" Target="../media/image2849.jpeg"/><Relationship Id="rId3802" Type="http://schemas.openxmlformats.org/officeDocument/2006/relationships/image" Target="../media/image3802.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865" Type="http://schemas.openxmlformats.org/officeDocument/2006/relationships/image" Target="../media/image1865.jpeg"/><Relationship Id="rId2404" Type="http://schemas.openxmlformats.org/officeDocument/2006/relationships/image" Target="../media/image2404.jpeg"/><Relationship Id="rId2611" Type="http://schemas.openxmlformats.org/officeDocument/2006/relationships/image" Target="../media/image2611.jpeg"/><Relationship Id="rId2709" Type="http://schemas.openxmlformats.org/officeDocument/2006/relationships/image" Target="../media/image2709.jpeg"/><Relationship Id="rId4064" Type="http://schemas.openxmlformats.org/officeDocument/2006/relationships/image" Target="../media/image4064.jpeg"/><Relationship Id="rId1213" Type="http://schemas.openxmlformats.org/officeDocument/2006/relationships/image" Target="../media/image1213.jpeg"/><Relationship Id="rId1420" Type="http://schemas.openxmlformats.org/officeDocument/2006/relationships/image" Target="../media/image1420.jpeg"/><Relationship Id="rId1518" Type="http://schemas.openxmlformats.org/officeDocument/2006/relationships/image" Target="../media/image1518.jpeg"/><Relationship Id="rId2916" Type="http://schemas.openxmlformats.org/officeDocument/2006/relationships/image" Target="../media/image2916.jpeg"/><Relationship Id="rId3080" Type="http://schemas.openxmlformats.org/officeDocument/2006/relationships/image" Target="../media/image3080.jpeg"/><Relationship Id="rId1725" Type="http://schemas.openxmlformats.org/officeDocument/2006/relationships/image" Target="../media/image1725.jpeg"/><Relationship Id="rId1932" Type="http://schemas.openxmlformats.org/officeDocument/2006/relationships/image" Target="../media/image1932.jpeg"/><Relationship Id="rId3178" Type="http://schemas.openxmlformats.org/officeDocument/2006/relationships/image" Target="../media/image3178.jpeg"/><Relationship Id="rId3385" Type="http://schemas.openxmlformats.org/officeDocument/2006/relationships/image" Target="../media/image3385.jpeg"/><Relationship Id="rId3592" Type="http://schemas.openxmlformats.org/officeDocument/2006/relationships/image" Target="../media/image3592.jpeg"/><Relationship Id="rId17" Type="http://schemas.openxmlformats.org/officeDocument/2006/relationships/image" Target="../media/image17.jpeg"/><Relationship Id="rId2194" Type="http://schemas.openxmlformats.org/officeDocument/2006/relationships/image" Target="../media/image2194.jpeg"/><Relationship Id="rId3038" Type="http://schemas.openxmlformats.org/officeDocument/2006/relationships/image" Target="../media/image3038.jpeg"/><Relationship Id="rId3245" Type="http://schemas.openxmlformats.org/officeDocument/2006/relationships/image" Target="../media/image3245.jpeg"/><Relationship Id="rId3452" Type="http://schemas.openxmlformats.org/officeDocument/2006/relationships/image" Target="../media/image3452.jpeg"/><Relationship Id="rId3897" Type="http://schemas.openxmlformats.org/officeDocument/2006/relationships/image" Target="../media/image3897.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2054" Type="http://schemas.openxmlformats.org/officeDocument/2006/relationships/image" Target="../media/image2054.jpeg"/><Relationship Id="rId2261" Type="http://schemas.openxmlformats.org/officeDocument/2006/relationships/image" Target="../media/image2261.jpeg"/><Relationship Id="rId2499" Type="http://schemas.openxmlformats.org/officeDocument/2006/relationships/image" Target="../media/image2499.jpeg"/><Relationship Id="rId3105" Type="http://schemas.openxmlformats.org/officeDocument/2006/relationships/image" Target="../media/image3105.jpeg"/><Relationship Id="rId3312" Type="http://schemas.openxmlformats.org/officeDocument/2006/relationships/image" Target="../media/image3312.jpeg"/><Relationship Id="rId3757" Type="http://schemas.openxmlformats.org/officeDocument/2006/relationships/image" Target="../media/image3757.jpeg"/><Relationship Id="rId3964" Type="http://schemas.openxmlformats.org/officeDocument/2006/relationships/image" Target="../media/image3964.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121" Type="http://schemas.openxmlformats.org/officeDocument/2006/relationships/image" Target="../media/image2121.jpeg"/><Relationship Id="rId2359" Type="http://schemas.openxmlformats.org/officeDocument/2006/relationships/image" Target="../media/image2359.jpeg"/><Relationship Id="rId2566" Type="http://schemas.openxmlformats.org/officeDocument/2006/relationships/image" Target="../media/image2566.jpeg"/><Relationship Id="rId2773" Type="http://schemas.openxmlformats.org/officeDocument/2006/relationships/image" Target="../media/image2773.jpeg"/><Relationship Id="rId2980" Type="http://schemas.openxmlformats.org/officeDocument/2006/relationships/image" Target="../media/image2980.jpeg"/><Relationship Id="rId3617" Type="http://schemas.openxmlformats.org/officeDocument/2006/relationships/image" Target="../media/image3617.jpeg"/><Relationship Id="rId3824" Type="http://schemas.openxmlformats.org/officeDocument/2006/relationships/image" Target="../media/image3824.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2219" Type="http://schemas.openxmlformats.org/officeDocument/2006/relationships/image" Target="../media/image2219.jpeg"/><Relationship Id="rId2426" Type="http://schemas.openxmlformats.org/officeDocument/2006/relationships/image" Target="../media/image2426.jpeg"/><Relationship Id="rId2633" Type="http://schemas.openxmlformats.org/officeDocument/2006/relationships/image" Target="../media/image2633.jpe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1887" Type="http://schemas.openxmlformats.org/officeDocument/2006/relationships/image" Target="../media/image1887.jpeg"/><Relationship Id="rId2840" Type="http://schemas.openxmlformats.org/officeDocument/2006/relationships/image" Target="../media/image2840.jpeg"/><Relationship Id="rId2938" Type="http://schemas.openxmlformats.org/officeDocument/2006/relationships/image" Target="../media/image2938.jpeg"/><Relationship Id="rId1302" Type="http://schemas.openxmlformats.org/officeDocument/2006/relationships/image" Target="../media/image1302.jpeg"/><Relationship Id="rId1747" Type="http://schemas.openxmlformats.org/officeDocument/2006/relationships/image" Target="../media/image1747.jpeg"/><Relationship Id="rId1954" Type="http://schemas.openxmlformats.org/officeDocument/2006/relationships/image" Target="../media/image1954.jpeg"/><Relationship Id="rId2700" Type="http://schemas.openxmlformats.org/officeDocument/2006/relationships/image" Target="../media/image2700.jpeg"/><Relationship Id="rId39" Type="http://schemas.openxmlformats.org/officeDocument/2006/relationships/image" Target="../media/image39.jpeg"/><Relationship Id="rId1607" Type="http://schemas.openxmlformats.org/officeDocument/2006/relationships/image" Target="../media/image1607.jpeg"/><Relationship Id="rId1814" Type="http://schemas.openxmlformats.org/officeDocument/2006/relationships/image" Target="../media/image1814.jpeg"/><Relationship Id="rId3267" Type="http://schemas.openxmlformats.org/officeDocument/2006/relationships/image" Target="../media/image3267.jpeg"/><Relationship Id="rId4013" Type="http://schemas.openxmlformats.org/officeDocument/2006/relationships/image" Target="../media/image4013.jpe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eg"/><Relationship Id="rId3474" Type="http://schemas.openxmlformats.org/officeDocument/2006/relationships/image" Target="../media/image3474.jpeg"/><Relationship Id="rId3681" Type="http://schemas.openxmlformats.org/officeDocument/2006/relationships/image" Target="../media/image3681.jpeg"/><Relationship Id="rId3779" Type="http://schemas.openxmlformats.org/officeDocument/2006/relationships/image" Target="../media/image3779.jpeg"/><Relationship Id="rId2283" Type="http://schemas.openxmlformats.org/officeDocument/2006/relationships/image" Target="../media/image2283.jpeg"/><Relationship Id="rId2490" Type="http://schemas.openxmlformats.org/officeDocument/2006/relationships/image" Target="../media/image2490.jpeg"/><Relationship Id="rId2588" Type="http://schemas.openxmlformats.org/officeDocument/2006/relationships/image" Target="../media/image2588.jpeg"/><Relationship Id="rId3127" Type="http://schemas.openxmlformats.org/officeDocument/2006/relationships/image" Target="../media/image3127.jpeg"/><Relationship Id="rId3334" Type="http://schemas.openxmlformats.org/officeDocument/2006/relationships/image" Target="../media/image3334.jpeg"/><Relationship Id="rId3541" Type="http://schemas.openxmlformats.org/officeDocument/2006/relationships/image" Target="../media/image3541.jpeg"/><Relationship Id="rId3986" Type="http://schemas.openxmlformats.org/officeDocument/2006/relationships/image" Target="../media/image3986.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397" Type="http://schemas.openxmlformats.org/officeDocument/2006/relationships/image" Target="../media/image1397.jpeg"/><Relationship Id="rId2143" Type="http://schemas.openxmlformats.org/officeDocument/2006/relationships/image" Target="../media/image2143.jpeg"/><Relationship Id="rId2350" Type="http://schemas.openxmlformats.org/officeDocument/2006/relationships/image" Target="../media/image2350.jpeg"/><Relationship Id="rId2795" Type="http://schemas.openxmlformats.org/officeDocument/2006/relationships/image" Target="../media/image2795.jpeg"/><Relationship Id="rId3401" Type="http://schemas.openxmlformats.org/officeDocument/2006/relationships/image" Target="../media/image3401.jpeg"/><Relationship Id="rId3639" Type="http://schemas.openxmlformats.org/officeDocument/2006/relationships/image" Target="../media/image3639.jpeg"/><Relationship Id="rId3846" Type="http://schemas.openxmlformats.org/officeDocument/2006/relationships/image" Target="../media/image3846.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2003" Type="http://schemas.openxmlformats.org/officeDocument/2006/relationships/image" Target="../media/image2003.jpeg"/><Relationship Id="rId2210" Type="http://schemas.openxmlformats.org/officeDocument/2006/relationships/image" Target="../media/image2210.jpeg"/><Relationship Id="rId2448" Type="http://schemas.openxmlformats.org/officeDocument/2006/relationships/image" Target="../media/image2448.jpeg"/><Relationship Id="rId2655" Type="http://schemas.openxmlformats.org/officeDocument/2006/relationships/image" Target="../media/image2655.jpeg"/><Relationship Id="rId2862" Type="http://schemas.openxmlformats.org/officeDocument/2006/relationships/image" Target="../media/image2862.jpeg"/><Relationship Id="rId3706" Type="http://schemas.openxmlformats.org/officeDocument/2006/relationships/image" Target="../media/image3706.jpeg"/><Relationship Id="rId3913" Type="http://schemas.openxmlformats.org/officeDocument/2006/relationships/image" Target="../media/image3913.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308" Type="http://schemas.openxmlformats.org/officeDocument/2006/relationships/image" Target="../media/image2308.jpeg"/><Relationship Id="rId2515" Type="http://schemas.openxmlformats.org/officeDocument/2006/relationships/image" Target="../media/image2515.jpeg"/><Relationship Id="rId2722" Type="http://schemas.openxmlformats.org/officeDocument/2006/relationships/image" Target="../media/image2722.jpe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jpeg"/><Relationship Id="rId1976" Type="http://schemas.openxmlformats.org/officeDocument/2006/relationships/image" Target="../media/image1976.jpeg"/><Relationship Id="rId3191" Type="http://schemas.openxmlformats.org/officeDocument/2006/relationships/image" Target="../media/image3191.jpeg"/><Relationship Id="rId4035" Type="http://schemas.openxmlformats.org/officeDocument/2006/relationships/image" Target="../media/image4035.jpeg"/><Relationship Id="rId30" Type="http://schemas.openxmlformats.org/officeDocument/2006/relationships/image" Target="../media/image30.jpeg"/><Relationship Id="rId1629" Type="http://schemas.openxmlformats.org/officeDocument/2006/relationships/image" Target="../media/image1629.jpeg"/><Relationship Id="rId1836" Type="http://schemas.openxmlformats.org/officeDocument/2006/relationships/image" Target="../media/image1836.jpeg"/><Relationship Id="rId3289" Type="http://schemas.openxmlformats.org/officeDocument/2006/relationships/image" Target="../media/image3289.jpeg"/><Relationship Id="rId3496" Type="http://schemas.openxmlformats.org/officeDocument/2006/relationships/image" Target="../media/image3496.jpeg"/><Relationship Id="rId1903" Type="http://schemas.openxmlformats.org/officeDocument/2006/relationships/image" Target="../media/image1903.jpeg"/><Relationship Id="rId2098" Type="http://schemas.openxmlformats.org/officeDocument/2006/relationships/image" Target="../media/image2098.jpeg"/><Relationship Id="rId3051" Type="http://schemas.openxmlformats.org/officeDocument/2006/relationships/image" Target="../media/image3051.jpeg"/><Relationship Id="rId3149" Type="http://schemas.openxmlformats.org/officeDocument/2006/relationships/image" Target="../media/image3149.jpeg"/><Relationship Id="rId3356" Type="http://schemas.openxmlformats.org/officeDocument/2006/relationships/image" Target="../media/image3356.jpeg"/><Relationship Id="rId3563" Type="http://schemas.openxmlformats.org/officeDocument/2006/relationships/image" Target="../media/image3563.jpe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eg"/><Relationship Id="rId3009" Type="http://schemas.openxmlformats.org/officeDocument/2006/relationships/image" Target="../media/image3009.jpeg"/><Relationship Id="rId3216" Type="http://schemas.openxmlformats.org/officeDocument/2006/relationships/image" Target="../media/image3216.jpeg"/><Relationship Id="rId3770" Type="http://schemas.openxmlformats.org/officeDocument/2006/relationships/image" Target="../media/image3770.jpeg"/><Relationship Id="rId3868" Type="http://schemas.openxmlformats.org/officeDocument/2006/relationships/image" Target="../media/image3868.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96" Type="http://schemas.openxmlformats.org/officeDocument/2006/relationships/image" Target="../media/image996.jpeg"/><Relationship Id="rId2025" Type="http://schemas.openxmlformats.org/officeDocument/2006/relationships/image" Target="../media/image2025.jpeg"/><Relationship Id="rId2372" Type="http://schemas.openxmlformats.org/officeDocument/2006/relationships/image" Target="../media/image2372.jpeg"/><Relationship Id="rId2677" Type="http://schemas.openxmlformats.org/officeDocument/2006/relationships/image" Target="../media/image2677.jpeg"/><Relationship Id="rId2884" Type="http://schemas.openxmlformats.org/officeDocument/2006/relationships/image" Target="../media/image2884.jpeg"/><Relationship Id="rId3423" Type="http://schemas.openxmlformats.org/officeDocument/2006/relationships/image" Target="../media/image3423.jpeg"/><Relationship Id="rId3630" Type="http://schemas.openxmlformats.org/officeDocument/2006/relationships/image" Target="../media/image3630.jpeg"/><Relationship Id="rId3728" Type="http://schemas.openxmlformats.org/officeDocument/2006/relationships/image" Target="../media/image3728.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81.jpeg"/><Relationship Id="rId1279" Type="http://schemas.openxmlformats.org/officeDocument/2006/relationships/image" Target="../media/image1279.jpeg"/><Relationship Id="rId1486" Type="http://schemas.openxmlformats.org/officeDocument/2006/relationships/image" Target="../media/image1486.jpeg"/><Relationship Id="rId2232" Type="http://schemas.openxmlformats.org/officeDocument/2006/relationships/image" Target="../media/image2232.jpeg"/><Relationship Id="rId2537" Type="http://schemas.openxmlformats.org/officeDocument/2006/relationships/image" Target="../media/image2537.jpeg"/><Relationship Id="rId3935" Type="http://schemas.openxmlformats.org/officeDocument/2006/relationships/image" Target="../media/image3935.jpe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1998" Type="http://schemas.openxmlformats.org/officeDocument/2006/relationships/image" Target="../media/image1998.jpeg"/><Relationship Id="rId2744" Type="http://schemas.openxmlformats.org/officeDocument/2006/relationships/image" Target="../media/image2744.jpeg"/><Relationship Id="rId2951" Type="http://schemas.openxmlformats.org/officeDocument/2006/relationships/image" Target="../media/image2951.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1858" Type="http://schemas.openxmlformats.org/officeDocument/2006/relationships/image" Target="../media/image1858.jpeg"/><Relationship Id="rId2604" Type="http://schemas.openxmlformats.org/officeDocument/2006/relationships/image" Target="../media/image2604.jpeg"/><Relationship Id="rId2811" Type="http://schemas.openxmlformats.org/officeDocument/2006/relationships/image" Target="../media/image2811.jpeg"/><Relationship Id="rId4057" Type="http://schemas.openxmlformats.org/officeDocument/2006/relationships/image" Target="../media/image4057.jpeg"/><Relationship Id="rId52" Type="http://schemas.openxmlformats.org/officeDocument/2006/relationships/image" Target="../media/image5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2909" Type="http://schemas.openxmlformats.org/officeDocument/2006/relationships/image" Target="../media/image2909.jpeg"/><Relationship Id="rId3073" Type="http://schemas.openxmlformats.org/officeDocument/2006/relationships/image" Target="../media/image3073.jpeg"/><Relationship Id="rId3280" Type="http://schemas.openxmlformats.org/officeDocument/2006/relationships/image" Target="../media/image3280.jpeg"/><Relationship Id="rId1718" Type="http://schemas.openxmlformats.org/officeDocument/2006/relationships/image" Target="../media/image1718.jpeg"/><Relationship Id="rId1925" Type="http://schemas.openxmlformats.org/officeDocument/2006/relationships/image" Target="../media/image1925.jpeg"/><Relationship Id="rId3140" Type="http://schemas.openxmlformats.org/officeDocument/2006/relationships/image" Target="../media/image3140.jpeg"/><Relationship Id="rId3378" Type="http://schemas.openxmlformats.org/officeDocument/2006/relationships/image" Target="../media/image3378.jpeg"/><Relationship Id="rId3585" Type="http://schemas.openxmlformats.org/officeDocument/2006/relationships/image" Target="../media/image3585.jpeg"/><Relationship Id="rId3792" Type="http://schemas.openxmlformats.org/officeDocument/2006/relationships/image" Target="../media/image3792.jpeg"/><Relationship Id="rId299" Type="http://schemas.openxmlformats.org/officeDocument/2006/relationships/image" Target="../media/image299.jpeg"/><Relationship Id="rId2187" Type="http://schemas.openxmlformats.org/officeDocument/2006/relationships/image" Target="../media/image2187.jpeg"/><Relationship Id="rId2394" Type="http://schemas.openxmlformats.org/officeDocument/2006/relationships/image" Target="../media/image2394.jpeg"/><Relationship Id="rId3238" Type="http://schemas.openxmlformats.org/officeDocument/2006/relationships/image" Target="../media/image3238.jpeg"/><Relationship Id="rId3445" Type="http://schemas.openxmlformats.org/officeDocument/2006/relationships/image" Target="../media/image3445.jpeg"/><Relationship Id="rId3652" Type="http://schemas.openxmlformats.org/officeDocument/2006/relationships/image" Target="../media/image3652.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047" Type="http://schemas.openxmlformats.org/officeDocument/2006/relationships/image" Target="../media/image2047.jpeg"/><Relationship Id="rId2254" Type="http://schemas.openxmlformats.org/officeDocument/2006/relationships/image" Target="../media/image2254.jpeg"/><Relationship Id="rId2461" Type="http://schemas.openxmlformats.org/officeDocument/2006/relationships/image" Target="../media/image2461.jpeg"/><Relationship Id="rId2699" Type="http://schemas.openxmlformats.org/officeDocument/2006/relationships/image" Target="../media/image2699.jpeg"/><Relationship Id="rId3000" Type="http://schemas.openxmlformats.org/officeDocument/2006/relationships/image" Target="../media/image3000.jpeg"/><Relationship Id="rId3305" Type="http://schemas.openxmlformats.org/officeDocument/2006/relationships/image" Target="../media/image3305.jpeg"/><Relationship Id="rId3512" Type="http://schemas.openxmlformats.org/officeDocument/2006/relationships/image" Target="../media/image3512.jpeg"/><Relationship Id="rId3957" Type="http://schemas.openxmlformats.org/officeDocument/2006/relationships/image" Target="../media/image3957.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70.jpeg"/><Relationship Id="rId2114" Type="http://schemas.openxmlformats.org/officeDocument/2006/relationships/image" Target="../media/image2114.jpeg"/><Relationship Id="rId2559" Type="http://schemas.openxmlformats.org/officeDocument/2006/relationships/image" Target="../media/image2559.jpeg"/><Relationship Id="rId2766" Type="http://schemas.openxmlformats.org/officeDocument/2006/relationships/image" Target="../media/image2766.jpeg"/><Relationship Id="rId2973" Type="http://schemas.openxmlformats.org/officeDocument/2006/relationships/image" Target="../media/image2973.jpeg"/><Relationship Id="rId3817" Type="http://schemas.openxmlformats.org/officeDocument/2006/relationships/image" Target="../media/image3817.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2321" Type="http://schemas.openxmlformats.org/officeDocument/2006/relationships/image" Target="../media/image2321.jpeg"/><Relationship Id="rId2419" Type="http://schemas.openxmlformats.org/officeDocument/2006/relationships/image" Target="../media/image2419.jpeg"/><Relationship Id="rId2626" Type="http://schemas.openxmlformats.org/officeDocument/2006/relationships/image" Target="../media/image2626.jpeg"/><Relationship Id="rId2833" Type="http://schemas.openxmlformats.org/officeDocument/2006/relationships/image" Target="../media/image2833.jpeg"/><Relationship Id="rId74" Type="http://schemas.openxmlformats.org/officeDocument/2006/relationships/image" Target="../media/image74.jpeg"/><Relationship Id="rId500" Type="http://schemas.openxmlformats.org/officeDocument/2006/relationships/image" Target="../media/image500.jpeg"/><Relationship Id="rId805" Type="http://schemas.openxmlformats.org/officeDocument/2006/relationships/image" Target="../media/image805.jpeg"/><Relationship Id="rId1130" Type="http://schemas.openxmlformats.org/officeDocument/2006/relationships/image" Target="../media/image1130.jpeg"/><Relationship Id="rId1228" Type="http://schemas.openxmlformats.org/officeDocument/2006/relationships/image" Target="../media/image1228.jpeg"/><Relationship Id="rId1435" Type="http://schemas.openxmlformats.org/officeDocument/2006/relationships/image" Target="../media/image1435.jpeg"/><Relationship Id="rId1642" Type="http://schemas.openxmlformats.org/officeDocument/2006/relationships/image" Target="../media/image1642.jpeg"/><Relationship Id="rId1947" Type="http://schemas.openxmlformats.org/officeDocument/2006/relationships/image" Target="../media/image1947.jpeg"/><Relationship Id="rId2900" Type="http://schemas.openxmlformats.org/officeDocument/2006/relationships/image" Target="../media/image2900.jpeg"/><Relationship Id="rId3095" Type="http://schemas.openxmlformats.org/officeDocument/2006/relationships/image" Target="../media/image3095.jpeg"/><Relationship Id="rId1502" Type="http://schemas.openxmlformats.org/officeDocument/2006/relationships/image" Target="../media/image1502.jpeg"/><Relationship Id="rId1807" Type="http://schemas.openxmlformats.org/officeDocument/2006/relationships/image" Target="../media/image1807.jpeg"/><Relationship Id="rId3162" Type="http://schemas.openxmlformats.org/officeDocument/2006/relationships/image" Target="../media/image3162.jpeg"/><Relationship Id="rId4006" Type="http://schemas.openxmlformats.org/officeDocument/2006/relationships/image" Target="../media/image4006.jpeg"/><Relationship Id="rId290" Type="http://schemas.openxmlformats.org/officeDocument/2006/relationships/image" Target="../media/image290.jpeg"/><Relationship Id="rId388" Type="http://schemas.openxmlformats.org/officeDocument/2006/relationships/image" Target="../media/image388.jpeg"/><Relationship Id="rId2069" Type="http://schemas.openxmlformats.org/officeDocument/2006/relationships/image" Target="../media/image2069.jpeg"/><Relationship Id="rId3022" Type="http://schemas.openxmlformats.org/officeDocument/2006/relationships/image" Target="../media/image3022.jpeg"/><Relationship Id="rId3467" Type="http://schemas.openxmlformats.org/officeDocument/2006/relationships/image" Target="../media/image3467.jpeg"/><Relationship Id="rId3674" Type="http://schemas.openxmlformats.org/officeDocument/2006/relationships/image" Target="../media/image3674.jpeg"/><Relationship Id="rId3881" Type="http://schemas.openxmlformats.org/officeDocument/2006/relationships/image" Target="../media/image3881.jpeg"/><Relationship Id="rId150" Type="http://schemas.openxmlformats.org/officeDocument/2006/relationships/image" Target="../media/image150.jpeg"/><Relationship Id="rId595" Type="http://schemas.openxmlformats.org/officeDocument/2006/relationships/image" Target="../media/image595.jpeg"/><Relationship Id="rId2276" Type="http://schemas.openxmlformats.org/officeDocument/2006/relationships/image" Target="../media/image2276.jpeg"/><Relationship Id="rId2483" Type="http://schemas.openxmlformats.org/officeDocument/2006/relationships/image" Target="../media/image2483.jpeg"/><Relationship Id="rId2690" Type="http://schemas.openxmlformats.org/officeDocument/2006/relationships/image" Target="../media/image2690.jpeg"/><Relationship Id="rId3327" Type="http://schemas.openxmlformats.org/officeDocument/2006/relationships/image" Target="../media/image3327.jpeg"/><Relationship Id="rId3534" Type="http://schemas.openxmlformats.org/officeDocument/2006/relationships/image" Target="../media/image3534.jpeg"/><Relationship Id="rId3741" Type="http://schemas.openxmlformats.org/officeDocument/2006/relationships/image" Target="../media/image3741.jpeg"/><Relationship Id="rId3979" Type="http://schemas.openxmlformats.org/officeDocument/2006/relationships/image" Target="../media/image3979.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2136" Type="http://schemas.openxmlformats.org/officeDocument/2006/relationships/image" Target="../media/image2136.jpeg"/><Relationship Id="rId2343" Type="http://schemas.openxmlformats.org/officeDocument/2006/relationships/image" Target="../media/image2343.jpeg"/><Relationship Id="rId2550" Type="http://schemas.openxmlformats.org/officeDocument/2006/relationships/image" Target="../media/image2550.jpeg"/><Relationship Id="rId2788" Type="http://schemas.openxmlformats.org/officeDocument/2006/relationships/image" Target="../media/image2788.jpeg"/><Relationship Id="rId2995" Type="http://schemas.openxmlformats.org/officeDocument/2006/relationships/image" Target="../media/image2995.jpeg"/><Relationship Id="rId3601" Type="http://schemas.openxmlformats.org/officeDocument/2006/relationships/image" Target="../media/image3601.jpeg"/><Relationship Id="rId3839" Type="http://schemas.openxmlformats.org/officeDocument/2006/relationships/image" Target="../media/image3839.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2.jpeg"/><Relationship Id="rId1597" Type="http://schemas.openxmlformats.org/officeDocument/2006/relationships/image" Target="../media/image1597.jpeg"/><Relationship Id="rId2203" Type="http://schemas.openxmlformats.org/officeDocument/2006/relationships/image" Target="../media/image2203.jpeg"/><Relationship Id="rId2410" Type="http://schemas.openxmlformats.org/officeDocument/2006/relationships/image" Target="../media/image2410.jpeg"/><Relationship Id="rId2648" Type="http://schemas.openxmlformats.org/officeDocument/2006/relationships/image" Target="../media/image2648.jpeg"/><Relationship Id="rId2855" Type="http://schemas.openxmlformats.org/officeDocument/2006/relationships/image" Target="../media/image2855.jpeg"/><Relationship Id="rId3906" Type="http://schemas.openxmlformats.org/officeDocument/2006/relationships/image" Target="../media/image3906.jpeg"/><Relationship Id="rId96" Type="http://schemas.openxmlformats.org/officeDocument/2006/relationships/image" Target="../media/image96.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eg"/><Relationship Id="rId2715" Type="http://schemas.openxmlformats.org/officeDocument/2006/relationships/image" Target="../media/image2715.jpeg"/><Relationship Id="rId2922" Type="http://schemas.openxmlformats.org/officeDocument/2006/relationships/image" Target="../media/image2922.jpeg"/><Relationship Id="rId4070" Type="http://schemas.openxmlformats.org/officeDocument/2006/relationships/image" Target="../media/image4070.jpe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1969" Type="http://schemas.openxmlformats.org/officeDocument/2006/relationships/image" Target="../media/image1969.jpeg"/><Relationship Id="rId3184" Type="http://schemas.openxmlformats.org/officeDocument/2006/relationships/image" Target="../media/image3184.jpeg"/><Relationship Id="rId4028" Type="http://schemas.openxmlformats.org/officeDocument/2006/relationships/image" Target="../media/image4028.jpeg"/><Relationship Id="rId23" Type="http://schemas.openxmlformats.org/officeDocument/2006/relationships/image" Target="../media/image23.jpeg"/><Relationship Id="rId1829" Type="http://schemas.openxmlformats.org/officeDocument/2006/relationships/image" Target="../media/image1829.jpeg"/><Relationship Id="rId3391" Type="http://schemas.openxmlformats.org/officeDocument/2006/relationships/image" Target="../media/image3391.jpeg"/><Relationship Id="rId3489" Type="http://schemas.openxmlformats.org/officeDocument/2006/relationships/image" Target="../media/image3489.jpeg"/><Relationship Id="rId3696" Type="http://schemas.openxmlformats.org/officeDocument/2006/relationships/image" Target="../media/image3696.jpeg"/><Relationship Id="rId2298" Type="http://schemas.openxmlformats.org/officeDocument/2006/relationships/image" Target="../media/image2298.jpeg"/><Relationship Id="rId3044" Type="http://schemas.openxmlformats.org/officeDocument/2006/relationships/image" Target="../media/image3044.jpeg"/><Relationship Id="rId3251" Type="http://schemas.openxmlformats.org/officeDocument/2006/relationships/image" Target="../media/image3251.jpeg"/><Relationship Id="rId3349" Type="http://schemas.openxmlformats.org/officeDocument/2006/relationships/image" Target="../media/image3349.jpeg"/><Relationship Id="rId3556" Type="http://schemas.openxmlformats.org/officeDocument/2006/relationships/image" Target="../media/image3556.jpeg"/><Relationship Id="rId172" Type="http://schemas.openxmlformats.org/officeDocument/2006/relationships/image" Target="../media/image172.jpeg"/><Relationship Id="rId477" Type="http://schemas.openxmlformats.org/officeDocument/2006/relationships/image" Target="../media/image477.jpeg"/><Relationship Id="rId684" Type="http://schemas.openxmlformats.org/officeDocument/2006/relationships/image" Target="../media/image684.jpeg"/><Relationship Id="rId2060" Type="http://schemas.openxmlformats.org/officeDocument/2006/relationships/image" Target="../media/image2060.jpeg"/><Relationship Id="rId2158" Type="http://schemas.openxmlformats.org/officeDocument/2006/relationships/image" Target="../media/image2158.jpeg"/><Relationship Id="rId2365" Type="http://schemas.openxmlformats.org/officeDocument/2006/relationships/image" Target="../media/image2365.jpeg"/><Relationship Id="rId3111" Type="http://schemas.openxmlformats.org/officeDocument/2006/relationships/image" Target="../media/image3111.jpeg"/><Relationship Id="rId3209" Type="http://schemas.openxmlformats.org/officeDocument/2006/relationships/image" Target="../media/image3209.jpeg"/><Relationship Id="rId3763" Type="http://schemas.openxmlformats.org/officeDocument/2006/relationships/image" Target="../media/image3763.jpeg"/><Relationship Id="rId3970" Type="http://schemas.openxmlformats.org/officeDocument/2006/relationships/image" Target="../media/image3970.jpeg"/><Relationship Id="rId337" Type="http://schemas.openxmlformats.org/officeDocument/2006/relationships/image" Target="../media/image337.jpeg"/><Relationship Id="rId891" Type="http://schemas.openxmlformats.org/officeDocument/2006/relationships/image" Target="../media/image891.jpeg"/><Relationship Id="rId989" Type="http://schemas.openxmlformats.org/officeDocument/2006/relationships/image" Target="../media/image989.jpeg"/><Relationship Id="rId2018" Type="http://schemas.openxmlformats.org/officeDocument/2006/relationships/image" Target="../media/image2018.jpeg"/><Relationship Id="rId2572" Type="http://schemas.openxmlformats.org/officeDocument/2006/relationships/image" Target="../media/image2572.jpeg"/><Relationship Id="rId2877" Type="http://schemas.openxmlformats.org/officeDocument/2006/relationships/image" Target="../media/image2877.jpeg"/><Relationship Id="rId3416" Type="http://schemas.openxmlformats.org/officeDocument/2006/relationships/image" Target="../media/image3416.jpeg"/><Relationship Id="rId3623" Type="http://schemas.openxmlformats.org/officeDocument/2006/relationships/image" Target="../media/image3623.jpeg"/><Relationship Id="rId3830" Type="http://schemas.openxmlformats.org/officeDocument/2006/relationships/image" Target="../media/image3830.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4.jpeg"/><Relationship Id="rId1381" Type="http://schemas.openxmlformats.org/officeDocument/2006/relationships/image" Target="../media/image1381.jpeg"/><Relationship Id="rId1479" Type="http://schemas.openxmlformats.org/officeDocument/2006/relationships/image" Target="../media/image1479.jpeg"/><Relationship Id="rId1686" Type="http://schemas.openxmlformats.org/officeDocument/2006/relationships/image" Target="../media/image1686.jpeg"/><Relationship Id="rId2225" Type="http://schemas.openxmlformats.org/officeDocument/2006/relationships/image" Target="../media/image2225.jpeg"/><Relationship Id="rId2432" Type="http://schemas.openxmlformats.org/officeDocument/2006/relationships/image" Target="../media/image2432.jpeg"/><Relationship Id="rId3928" Type="http://schemas.openxmlformats.org/officeDocument/2006/relationships/image" Target="../media/image3928.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339" Type="http://schemas.openxmlformats.org/officeDocument/2006/relationships/image" Target="../media/image1339.jpeg"/><Relationship Id="rId1893" Type="http://schemas.openxmlformats.org/officeDocument/2006/relationships/image" Target="../media/image1893.jpeg"/><Relationship Id="rId2737" Type="http://schemas.openxmlformats.org/officeDocument/2006/relationships/image" Target="../media/image2737.jpeg"/><Relationship Id="rId2944" Type="http://schemas.openxmlformats.org/officeDocument/2006/relationships/image" Target="../media/image2944.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eg"/><Relationship Id="rId45" Type="http://schemas.openxmlformats.org/officeDocument/2006/relationships/image" Target="../media/image45.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3066" Type="http://schemas.openxmlformats.org/officeDocument/2006/relationships/image" Target="../media/image3066.jpeg"/><Relationship Id="rId3273" Type="http://schemas.openxmlformats.org/officeDocument/2006/relationships/image" Target="../media/image3273.jpeg"/><Relationship Id="rId3480" Type="http://schemas.openxmlformats.org/officeDocument/2006/relationships/image" Target="../media/image3480.jpe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eg"/><Relationship Id="rId3133" Type="http://schemas.openxmlformats.org/officeDocument/2006/relationships/image" Target="../media/image3133.jpeg"/><Relationship Id="rId3578" Type="http://schemas.openxmlformats.org/officeDocument/2006/relationships/image" Target="../media/image3578.jpeg"/><Relationship Id="rId3785" Type="http://schemas.openxmlformats.org/officeDocument/2006/relationships/image" Target="../media/image3785.jpeg"/><Relationship Id="rId3992" Type="http://schemas.openxmlformats.org/officeDocument/2006/relationships/image" Target="../media/image3992.jpeg"/><Relationship Id="rId261" Type="http://schemas.openxmlformats.org/officeDocument/2006/relationships/image" Target="../media/image261.jpeg"/><Relationship Id="rId499" Type="http://schemas.openxmlformats.org/officeDocument/2006/relationships/image" Target="../media/image499.jpeg"/><Relationship Id="rId2387" Type="http://schemas.openxmlformats.org/officeDocument/2006/relationships/image" Target="../media/image2387.jpeg"/><Relationship Id="rId2594" Type="http://schemas.openxmlformats.org/officeDocument/2006/relationships/image" Target="../media/image2594.jpeg"/><Relationship Id="rId3340" Type="http://schemas.openxmlformats.org/officeDocument/2006/relationships/image" Target="../media/image3340.jpeg"/><Relationship Id="rId3438" Type="http://schemas.openxmlformats.org/officeDocument/2006/relationships/image" Target="../media/image3438.jpeg"/><Relationship Id="rId3645" Type="http://schemas.openxmlformats.org/officeDocument/2006/relationships/image" Target="../media/image3645.jpeg"/><Relationship Id="rId3852" Type="http://schemas.openxmlformats.org/officeDocument/2006/relationships/image" Target="../media/image3852.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2247" Type="http://schemas.openxmlformats.org/officeDocument/2006/relationships/image" Target="../media/image2247.jpeg"/><Relationship Id="rId2454" Type="http://schemas.openxmlformats.org/officeDocument/2006/relationships/image" Target="../media/image2454.jpeg"/><Relationship Id="rId2899" Type="http://schemas.openxmlformats.org/officeDocument/2006/relationships/image" Target="../media/image2899.jpeg"/><Relationship Id="rId3200" Type="http://schemas.openxmlformats.org/officeDocument/2006/relationships/image" Target="../media/image3200.jpeg"/><Relationship Id="rId3505" Type="http://schemas.openxmlformats.org/officeDocument/2006/relationships/image" Target="../media/image3505.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2107" Type="http://schemas.openxmlformats.org/officeDocument/2006/relationships/image" Target="../media/image2107.jpeg"/><Relationship Id="rId2314" Type="http://schemas.openxmlformats.org/officeDocument/2006/relationships/image" Target="../media/image2314.jpeg"/><Relationship Id="rId2661" Type="http://schemas.openxmlformats.org/officeDocument/2006/relationships/image" Target="../media/image2661.jpeg"/><Relationship Id="rId2759" Type="http://schemas.openxmlformats.org/officeDocument/2006/relationships/image" Target="../media/image2759.jpeg"/><Relationship Id="rId2966" Type="http://schemas.openxmlformats.org/officeDocument/2006/relationships/image" Target="../media/image2966.jpeg"/><Relationship Id="rId3712" Type="http://schemas.openxmlformats.org/officeDocument/2006/relationships/image" Target="../media/image3712.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70.jpeg"/><Relationship Id="rId1568" Type="http://schemas.openxmlformats.org/officeDocument/2006/relationships/image" Target="../media/image1568.jpeg"/><Relationship Id="rId1775" Type="http://schemas.openxmlformats.org/officeDocument/2006/relationships/image" Target="../media/image1775.jpeg"/><Relationship Id="rId2521" Type="http://schemas.openxmlformats.org/officeDocument/2006/relationships/image" Target="../media/image2521.jpeg"/><Relationship Id="rId2619" Type="http://schemas.openxmlformats.org/officeDocument/2006/relationships/image" Target="../media/image2619.jpeg"/><Relationship Id="rId2826" Type="http://schemas.openxmlformats.org/officeDocument/2006/relationships/image" Target="../media/image2826.jpeg"/><Relationship Id="rId67" Type="http://schemas.openxmlformats.org/officeDocument/2006/relationships/image" Target="../media/image67.jpe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1428" Type="http://schemas.openxmlformats.org/officeDocument/2006/relationships/image" Target="../media/image1428.jpeg"/><Relationship Id="rId1635" Type="http://schemas.openxmlformats.org/officeDocument/2006/relationships/image" Target="../media/image1635.jpeg"/><Relationship Id="rId1982" Type="http://schemas.openxmlformats.org/officeDocument/2006/relationships/image" Target="../media/image1982.jpeg"/><Relationship Id="rId3088" Type="http://schemas.openxmlformats.org/officeDocument/2006/relationships/image" Target="../media/image3088.jpeg"/><Relationship Id="rId4041" Type="http://schemas.openxmlformats.org/officeDocument/2006/relationships/image" Target="../media/image4041.jpeg"/><Relationship Id="rId1842" Type="http://schemas.openxmlformats.org/officeDocument/2006/relationships/image" Target="../media/image1842.jpeg"/><Relationship Id="rId3295" Type="http://schemas.openxmlformats.org/officeDocument/2006/relationships/image" Target="../media/image3295.jpeg"/><Relationship Id="rId1702" Type="http://schemas.openxmlformats.org/officeDocument/2006/relationships/image" Target="../media/image1702.jpeg"/><Relationship Id="rId3155" Type="http://schemas.openxmlformats.org/officeDocument/2006/relationships/image" Target="../media/image3155.jpeg"/><Relationship Id="rId3362" Type="http://schemas.openxmlformats.org/officeDocument/2006/relationships/image" Target="../media/image3362.jpe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eg"/><Relationship Id="rId3015" Type="http://schemas.openxmlformats.org/officeDocument/2006/relationships/image" Target="../media/image3015.jpeg"/><Relationship Id="rId3222" Type="http://schemas.openxmlformats.org/officeDocument/2006/relationships/image" Target="../media/image3222.jpeg"/><Relationship Id="rId3667" Type="http://schemas.openxmlformats.org/officeDocument/2006/relationships/image" Target="../media/image3667.jpeg"/><Relationship Id="rId3874" Type="http://schemas.openxmlformats.org/officeDocument/2006/relationships/image" Target="../media/image3874.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2031" Type="http://schemas.openxmlformats.org/officeDocument/2006/relationships/image" Target="../media/image2031.jpeg"/><Relationship Id="rId2269" Type="http://schemas.openxmlformats.org/officeDocument/2006/relationships/image" Target="../media/image2269.jpeg"/><Relationship Id="rId2476" Type="http://schemas.openxmlformats.org/officeDocument/2006/relationships/image" Target="../media/image2476.jpeg"/><Relationship Id="rId2683" Type="http://schemas.openxmlformats.org/officeDocument/2006/relationships/image" Target="../media/image2683.jpeg"/><Relationship Id="rId2890" Type="http://schemas.openxmlformats.org/officeDocument/2006/relationships/image" Target="../media/image2890.jpeg"/><Relationship Id="rId3527" Type="http://schemas.openxmlformats.org/officeDocument/2006/relationships/image" Target="../media/image3527.jpeg"/><Relationship Id="rId3734" Type="http://schemas.openxmlformats.org/officeDocument/2006/relationships/image" Target="../media/image3734.jpeg"/><Relationship Id="rId3941" Type="http://schemas.openxmlformats.org/officeDocument/2006/relationships/image" Target="../media/image3941.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2129" Type="http://schemas.openxmlformats.org/officeDocument/2006/relationships/image" Target="../media/image2129.jpeg"/><Relationship Id="rId2336" Type="http://schemas.openxmlformats.org/officeDocument/2006/relationships/image" Target="../media/image2336.jpeg"/><Relationship Id="rId2543" Type="http://schemas.openxmlformats.org/officeDocument/2006/relationships/image" Target="../media/image2543.jpeg"/><Relationship Id="rId2750" Type="http://schemas.openxmlformats.org/officeDocument/2006/relationships/image" Target="../media/image2750.jpeg"/><Relationship Id="rId2988" Type="http://schemas.openxmlformats.org/officeDocument/2006/relationships/image" Target="../media/image2988.jpeg"/><Relationship Id="rId3801" Type="http://schemas.openxmlformats.org/officeDocument/2006/relationships/image" Target="../media/image3801.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1797" Type="http://schemas.openxmlformats.org/officeDocument/2006/relationships/image" Target="../media/image1797.jpeg"/><Relationship Id="rId2403" Type="http://schemas.openxmlformats.org/officeDocument/2006/relationships/image" Target="../media/image2403.jpeg"/><Relationship Id="rId2848" Type="http://schemas.openxmlformats.org/officeDocument/2006/relationships/image" Target="../media/image2848.jpeg"/><Relationship Id="rId89" Type="http://schemas.openxmlformats.org/officeDocument/2006/relationships/image" Target="../media/image89.jpeg"/><Relationship Id="rId1005" Type="http://schemas.openxmlformats.org/officeDocument/2006/relationships/image" Target="../media/image1005.jpeg"/><Relationship Id="rId1212" Type="http://schemas.openxmlformats.org/officeDocument/2006/relationships/image" Target="../media/image1212.jpeg"/><Relationship Id="rId1657" Type="http://schemas.openxmlformats.org/officeDocument/2006/relationships/image" Target="../media/image1657.jpeg"/><Relationship Id="rId1864" Type="http://schemas.openxmlformats.org/officeDocument/2006/relationships/image" Target="../media/image1864.jpeg"/><Relationship Id="rId2610" Type="http://schemas.openxmlformats.org/officeDocument/2006/relationships/image" Target="../media/image2610.jpeg"/><Relationship Id="rId2708" Type="http://schemas.openxmlformats.org/officeDocument/2006/relationships/image" Target="../media/image2708.jpeg"/><Relationship Id="rId2915" Type="http://schemas.openxmlformats.org/officeDocument/2006/relationships/image" Target="../media/image2915.jpeg"/><Relationship Id="rId4063" Type="http://schemas.openxmlformats.org/officeDocument/2006/relationships/image" Target="../media/image4063.jpeg"/><Relationship Id="rId1517" Type="http://schemas.openxmlformats.org/officeDocument/2006/relationships/image" Target="../media/image1517.jpeg"/><Relationship Id="rId1724" Type="http://schemas.openxmlformats.org/officeDocument/2006/relationships/image" Target="../media/image1724.jpeg"/><Relationship Id="rId3177" Type="http://schemas.openxmlformats.org/officeDocument/2006/relationships/image" Target="../media/image3177.jpeg"/><Relationship Id="rId16" Type="http://schemas.openxmlformats.org/officeDocument/2006/relationships/image" Target="../media/image16.jpeg"/><Relationship Id="rId1931" Type="http://schemas.openxmlformats.org/officeDocument/2006/relationships/image" Target="../media/image1931.jpeg"/><Relationship Id="rId3037" Type="http://schemas.openxmlformats.org/officeDocument/2006/relationships/image" Target="../media/image3037.jpeg"/><Relationship Id="rId3384" Type="http://schemas.openxmlformats.org/officeDocument/2006/relationships/image" Target="../media/image3384.jpeg"/><Relationship Id="rId3591" Type="http://schemas.openxmlformats.org/officeDocument/2006/relationships/image" Target="../media/image3591.jpeg"/><Relationship Id="rId3689" Type="http://schemas.openxmlformats.org/officeDocument/2006/relationships/image" Target="../media/image3689.jpeg"/><Relationship Id="rId3896" Type="http://schemas.openxmlformats.org/officeDocument/2006/relationships/image" Target="../media/image3896.jpeg"/><Relationship Id="rId2193" Type="http://schemas.openxmlformats.org/officeDocument/2006/relationships/image" Target="../media/image2193.jpeg"/><Relationship Id="rId2498" Type="http://schemas.openxmlformats.org/officeDocument/2006/relationships/image" Target="../media/image2498.jpeg"/><Relationship Id="rId3244" Type="http://schemas.openxmlformats.org/officeDocument/2006/relationships/image" Target="../media/image3244.jpeg"/><Relationship Id="rId3451" Type="http://schemas.openxmlformats.org/officeDocument/2006/relationships/image" Target="../media/image3451.jpeg"/><Relationship Id="rId3549" Type="http://schemas.openxmlformats.org/officeDocument/2006/relationships/image" Target="../media/image3549.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2053" Type="http://schemas.openxmlformats.org/officeDocument/2006/relationships/image" Target="../media/image2053.jpeg"/><Relationship Id="rId2260" Type="http://schemas.openxmlformats.org/officeDocument/2006/relationships/image" Target="../media/image2260.jpeg"/><Relationship Id="rId2358" Type="http://schemas.openxmlformats.org/officeDocument/2006/relationships/image" Target="../media/image2358.jpeg"/><Relationship Id="rId3104" Type="http://schemas.openxmlformats.org/officeDocument/2006/relationships/image" Target="../media/image3104.jpeg"/><Relationship Id="rId3311" Type="http://schemas.openxmlformats.org/officeDocument/2006/relationships/image" Target="../media/image3311.jpeg"/><Relationship Id="rId3756" Type="http://schemas.openxmlformats.org/officeDocument/2006/relationships/image" Target="../media/image3756.jpeg"/><Relationship Id="rId3963" Type="http://schemas.openxmlformats.org/officeDocument/2006/relationships/image" Target="../media/image3963.jpeg"/><Relationship Id="rId232" Type="http://schemas.openxmlformats.org/officeDocument/2006/relationships/image" Target="../media/image232.jpeg"/><Relationship Id="rId884" Type="http://schemas.openxmlformats.org/officeDocument/2006/relationships/image" Target="../media/image884.jpeg"/><Relationship Id="rId2120" Type="http://schemas.openxmlformats.org/officeDocument/2006/relationships/image" Target="../media/image2120.jpeg"/><Relationship Id="rId2565" Type="http://schemas.openxmlformats.org/officeDocument/2006/relationships/image" Target="../media/image2565.jpeg"/><Relationship Id="rId2772" Type="http://schemas.openxmlformats.org/officeDocument/2006/relationships/image" Target="../media/image2772.jpeg"/><Relationship Id="rId3409" Type="http://schemas.openxmlformats.org/officeDocument/2006/relationships/image" Target="../media/image3409.jpeg"/><Relationship Id="rId3616" Type="http://schemas.openxmlformats.org/officeDocument/2006/relationships/image" Target="../media/image3616.jpeg"/><Relationship Id="rId3823" Type="http://schemas.openxmlformats.org/officeDocument/2006/relationships/image" Target="../media/image3823.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1679" Type="http://schemas.openxmlformats.org/officeDocument/2006/relationships/image" Target="../media/image1679.jpeg"/><Relationship Id="rId2218" Type="http://schemas.openxmlformats.org/officeDocument/2006/relationships/image" Target="../media/image2218.jpeg"/><Relationship Id="rId2425" Type="http://schemas.openxmlformats.org/officeDocument/2006/relationships/image" Target="../media/image2425.jpeg"/><Relationship Id="rId2632" Type="http://schemas.openxmlformats.org/officeDocument/2006/relationships/image" Target="../media/image2632.jpeg"/><Relationship Id="rId80" Type="http://schemas.openxmlformats.org/officeDocument/2006/relationships/image" Target="../media/image8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1886" Type="http://schemas.openxmlformats.org/officeDocument/2006/relationships/image" Target="../media/image1886.jpeg"/><Relationship Id="rId2937" Type="http://schemas.openxmlformats.org/officeDocument/2006/relationships/image" Target="../media/image2937.jpeg"/><Relationship Id="rId909" Type="http://schemas.openxmlformats.org/officeDocument/2006/relationships/image" Target="../media/image909.jpe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jpeg"/><Relationship Id="rId3199" Type="http://schemas.openxmlformats.org/officeDocument/2006/relationships/image" Target="../media/image3199.jpeg"/><Relationship Id="rId38" Type="http://schemas.openxmlformats.org/officeDocument/2006/relationships/image" Target="../media/image38.jpeg"/><Relationship Id="rId1606" Type="http://schemas.openxmlformats.org/officeDocument/2006/relationships/image" Target="../media/image1606.jpeg"/><Relationship Id="rId1813" Type="http://schemas.openxmlformats.org/officeDocument/2006/relationships/image" Target="../media/image1813.jpeg"/><Relationship Id="rId3059" Type="http://schemas.openxmlformats.org/officeDocument/2006/relationships/image" Target="../media/image3059.jpeg"/><Relationship Id="rId3266" Type="http://schemas.openxmlformats.org/officeDocument/2006/relationships/image" Target="../media/image3266.jpeg"/><Relationship Id="rId3473" Type="http://schemas.openxmlformats.org/officeDocument/2006/relationships/image" Target="../media/image3473.jpeg"/><Relationship Id="rId4012" Type="http://schemas.openxmlformats.org/officeDocument/2006/relationships/image" Target="../media/image4012.jpeg"/><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jpeg"/><Relationship Id="rId2282" Type="http://schemas.openxmlformats.org/officeDocument/2006/relationships/image" Target="../media/image2282.jpeg"/><Relationship Id="rId3126" Type="http://schemas.openxmlformats.org/officeDocument/2006/relationships/image" Target="../media/image3126.jpeg"/><Relationship Id="rId3680" Type="http://schemas.openxmlformats.org/officeDocument/2006/relationships/image" Target="../media/image3680.jpeg"/><Relationship Id="rId3778" Type="http://schemas.openxmlformats.org/officeDocument/2006/relationships/image" Target="../media/image3778.jpeg"/><Relationship Id="rId3985" Type="http://schemas.openxmlformats.org/officeDocument/2006/relationships/image" Target="../media/image3985.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2587" Type="http://schemas.openxmlformats.org/officeDocument/2006/relationships/image" Target="../media/image2587.jpeg"/><Relationship Id="rId2794" Type="http://schemas.openxmlformats.org/officeDocument/2006/relationships/image" Target="../media/image2794.jpeg"/><Relationship Id="rId3333" Type="http://schemas.openxmlformats.org/officeDocument/2006/relationships/image" Target="../media/image3333.jpeg"/><Relationship Id="rId3540" Type="http://schemas.openxmlformats.org/officeDocument/2006/relationships/image" Target="../media/image3540.jpeg"/><Relationship Id="rId3638" Type="http://schemas.openxmlformats.org/officeDocument/2006/relationships/image" Target="../media/image3638.jpeg"/><Relationship Id="rId3845" Type="http://schemas.openxmlformats.org/officeDocument/2006/relationships/image" Target="../media/image3845.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2142" Type="http://schemas.openxmlformats.org/officeDocument/2006/relationships/image" Target="../media/image2142.jpeg"/><Relationship Id="rId2447" Type="http://schemas.openxmlformats.org/officeDocument/2006/relationships/image" Target="../media/image2447.jpeg"/><Relationship Id="rId3400" Type="http://schemas.openxmlformats.org/officeDocument/2006/relationships/image" Target="../media/image3400.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2002" Type="http://schemas.openxmlformats.org/officeDocument/2006/relationships/image" Target="../media/image2002.jpeg"/><Relationship Id="rId2307" Type="http://schemas.openxmlformats.org/officeDocument/2006/relationships/image" Target="../media/image2307.jpeg"/><Relationship Id="rId2654" Type="http://schemas.openxmlformats.org/officeDocument/2006/relationships/image" Target="../media/image2654.jpeg"/><Relationship Id="rId2861" Type="http://schemas.openxmlformats.org/officeDocument/2006/relationships/image" Target="../media/image2861.jpeg"/><Relationship Id="rId2959" Type="http://schemas.openxmlformats.org/officeDocument/2006/relationships/image" Target="../media/image2959.jpeg"/><Relationship Id="rId3705" Type="http://schemas.openxmlformats.org/officeDocument/2006/relationships/image" Target="../media/image3705.jpeg"/><Relationship Id="rId3912" Type="http://schemas.openxmlformats.org/officeDocument/2006/relationships/image" Target="../media/image3912.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jpeg"/><Relationship Id="rId2514" Type="http://schemas.openxmlformats.org/officeDocument/2006/relationships/image" Target="../media/image2514.jpeg"/><Relationship Id="rId2721" Type="http://schemas.openxmlformats.org/officeDocument/2006/relationships/image" Target="../media/image2721.jpeg"/><Relationship Id="rId2819" Type="http://schemas.openxmlformats.org/officeDocument/2006/relationships/image" Target="../media/image2819.jpe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975" Type="http://schemas.openxmlformats.org/officeDocument/2006/relationships/image" Target="../media/image1975.jpeg"/><Relationship Id="rId3190" Type="http://schemas.openxmlformats.org/officeDocument/2006/relationships/image" Target="../media/image3190.jpeg"/><Relationship Id="rId4034" Type="http://schemas.openxmlformats.org/officeDocument/2006/relationships/image" Target="../media/image4034.jpeg"/><Relationship Id="rId1835" Type="http://schemas.openxmlformats.org/officeDocument/2006/relationships/image" Target="../media/image1835.jpeg"/><Relationship Id="rId3050" Type="http://schemas.openxmlformats.org/officeDocument/2006/relationships/image" Target="../media/image3050.jpeg"/><Relationship Id="rId3288" Type="http://schemas.openxmlformats.org/officeDocument/2006/relationships/image" Target="../media/image3288.jpeg"/><Relationship Id="rId3495" Type="http://schemas.openxmlformats.org/officeDocument/2006/relationships/image" Target="../media/image3495.jpeg"/><Relationship Id="rId1902" Type="http://schemas.openxmlformats.org/officeDocument/2006/relationships/image" Target="../media/image1902.jpeg"/><Relationship Id="rId2097" Type="http://schemas.openxmlformats.org/officeDocument/2006/relationships/image" Target="../media/image2097.jpeg"/><Relationship Id="rId3148" Type="http://schemas.openxmlformats.org/officeDocument/2006/relationships/image" Target="../media/image3148.jpeg"/><Relationship Id="rId3355" Type="http://schemas.openxmlformats.org/officeDocument/2006/relationships/image" Target="../media/image3355.jpeg"/><Relationship Id="rId3562" Type="http://schemas.openxmlformats.org/officeDocument/2006/relationships/image" Target="../media/image3562.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2164" Type="http://schemas.openxmlformats.org/officeDocument/2006/relationships/image" Target="../media/image2164.jpeg"/><Relationship Id="rId2371" Type="http://schemas.openxmlformats.org/officeDocument/2006/relationships/image" Target="../media/image2371.jpeg"/><Relationship Id="rId3008" Type="http://schemas.openxmlformats.org/officeDocument/2006/relationships/image" Target="../media/image3008.jpeg"/><Relationship Id="rId3215" Type="http://schemas.openxmlformats.org/officeDocument/2006/relationships/image" Target="../media/image3215.jpeg"/><Relationship Id="rId3422" Type="http://schemas.openxmlformats.org/officeDocument/2006/relationships/image" Target="../media/image3422.jpeg"/><Relationship Id="rId3867" Type="http://schemas.openxmlformats.org/officeDocument/2006/relationships/image" Target="../media/image3867.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80.jpeg"/><Relationship Id="rId2024" Type="http://schemas.openxmlformats.org/officeDocument/2006/relationships/image" Target="../media/image2024.jpeg"/><Relationship Id="rId2231" Type="http://schemas.openxmlformats.org/officeDocument/2006/relationships/image" Target="../media/image2231.jpeg"/><Relationship Id="rId2469" Type="http://schemas.openxmlformats.org/officeDocument/2006/relationships/image" Target="../media/image2469.jpeg"/><Relationship Id="rId2676" Type="http://schemas.openxmlformats.org/officeDocument/2006/relationships/image" Target="../media/image2676.jpeg"/><Relationship Id="rId2883" Type="http://schemas.openxmlformats.org/officeDocument/2006/relationships/image" Target="../media/image2883.jpeg"/><Relationship Id="rId3727" Type="http://schemas.openxmlformats.org/officeDocument/2006/relationships/image" Target="../media/image3727.jpeg"/><Relationship Id="rId3934" Type="http://schemas.openxmlformats.org/officeDocument/2006/relationships/image" Target="../media/image3934.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2329" Type="http://schemas.openxmlformats.org/officeDocument/2006/relationships/image" Target="../media/image2329.jpeg"/><Relationship Id="rId2536" Type="http://schemas.openxmlformats.org/officeDocument/2006/relationships/image" Target="../media/image2536.jpeg"/><Relationship Id="rId2743" Type="http://schemas.openxmlformats.org/officeDocument/2006/relationships/image" Target="../media/image2743.jpeg"/><Relationship Id="rId410" Type="http://schemas.openxmlformats.org/officeDocument/2006/relationships/image" Target="../media/image410.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1997" Type="http://schemas.openxmlformats.org/officeDocument/2006/relationships/image" Target="../media/image1997.jpeg"/><Relationship Id="rId2603" Type="http://schemas.openxmlformats.org/officeDocument/2006/relationships/image" Target="../media/image2603.jpeg"/><Relationship Id="rId2950" Type="http://schemas.openxmlformats.org/officeDocument/2006/relationships/image" Target="../media/image2950.jpeg"/><Relationship Id="rId4056" Type="http://schemas.openxmlformats.org/officeDocument/2006/relationships/image" Target="../media/image4056.jpeg"/><Relationship Id="rId1205" Type="http://schemas.openxmlformats.org/officeDocument/2006/relationships/image" Target="../media/image1205.jpeg"/><Relationship Id="rId1857" Type="http://schemas.openxmlformats.org/officeDocument/2006/relationships/image" Target="../media/image1857.jpeg"/><Relationship Id="rId2810" Type="http://schemas.openxmlformats.org/officeDocument/2006/relationships/image" Target="../media/image2810.jpeg"/><Relationship Id="rId2908" Type="http://schemas.openxmlformats.org/officeDocument/2006/relationships/image" Target="../media/image2908.jpeg"/><Relationship Id="rId51" Type="http://schemas.openxmlformats.org/officeDocument/2006/relationships/image" Target="../media/image51.jpeg"/><Relationship Id="rId1412" Type="http://schemas.openxmlformats.org/officeDocument/2006/relationships/image" Target="../media/image1412.jpeg"/><Relationship Id="rId1717" Type="http://schemas.openxmlformats.org/officeDocument/2006/relationships/image" Target="../media/image1717.jpeg"/><Relationship Id="rId1924" Type="http://schemas.openxmlformats.org/officeDocument/2006/relationships/image" Target="../media/image1924.jpeg"/><Relationship Id="rId3072" Type="http://schemas.openxmlformats.org/officeDocument/2006/relationships/image" Target="../media/image3072.jpeg"/><Relationship Id="rId3377" Type="http://schemas.openxmlformats.org/officeDocument/2006/relationships/image" Target="../media/image3377.jpeg"/><Relationship Id="rId298" Type="http://schemas.openxmlformats.org/officeDocument/2006/relationships/image" Target="../media/image298.jpeg"/><Relationship Id="rId3584" Type="http://schemas.openxmlformats.org/officeDocument/2006/relationships/image" Target="../media/image3584.jpeg"/><Relationship Id="rId3791" Type="http://schemas.openxmlformats.org/officeDocument/2006/relationships/image" Target="../media/image3791.jpeg"/><Relationship Id="rId3889" Type="http://schemas.openxmlformats.org/officeDocument/2006/relationships/image" Target="../media/image3889.jpeg"/><Relationship Id="rId158" Type="http://schemas.openxmlformats.org/officeDocument/2006/relationships/image" Target="../media/image158.jpeg"/><Relationship Id="rId2186" Type="http://schemas.openxmlformats.org/officeDocument/2006/relationships/image" Target="../media/image2186.jpeg"/><Relationship Id="rId2393" Type="http://schemas.openxmlformats.org/officeDocument/2006/relationships/image" Target="../media/image2393.jpeg"/><Relationship Id="rId2698" Type="http://schemas.openxmlformats.org/officeDocument/2006/relationships/image" Target="../media/image2698.jpeg"/><Relationship Id="rId3237" Type="http://schemas.openxmlformats.org/officeDocument/2006/relationships/image" Target="../media/image3237.jpeg"/><Relationship Id="rId3444" Type="http://schemas.openxmlformats.org/officeDocument/2006/relationships/image" Target="../media/image3444.jpeg"/><Relationship Id="rId3651" Type="http://schemas.openxmlformats.org/officeDocument/2006/relationships/image" Target="../media/image3651.jpeg"/><Relationship Id="rId365" Type="http://schemas.openxmlformats.org/officeDocument/2006/relationships/image" Target="../media/image365.jpeg"/><Relationship Id="rId572" Type="http://schemas.openxmlformats.org/officeDocument/2006/relationships/image" Target="../media/image572.jpeg"/><Relationship Id="rId2046" Type="http://schemas.openxmlformats.org/officeDocument/2006/relationships/image" Target="../media/image2046.jpeg"/><Relationship Id="rId2253" Type="http://schemas.openxmlformats.org/officeDocument/2006/relationships/image" Target="../media/image2253.jpeg"/><Relationship Id="rId2460" Type="http://schemas.openxmlformats.org/officeDocument/2006/relationships/image" Target="../media/image2460.jpeg"/><Relationship Id="rId3304" Type="http://schemas.openxmlformats.org/officeDocument/2006/relationships/image" Target="../media/image3304.jpeg"/><Relationship Id="rId3511" Type="http://schemas.openxmlformats.org/officeDocument/2006/relationships/image" Target="../media/image3511.jpeg"/><Relationship Id="rId3749" Type="http://schemas.openxmlformats.org/officeDocument/2006/relationships/image" Target="../media/image3749.jpeg"/><Relationship Id="rId3956" Type="http://schemas.openxmlformats.org/officeDocument/2006/relationships/image" Target="../media/image3956.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2113" Type="http://schemas.openxmlformats.org/officeDocument/2006/relationships/image" Target="../media/image2113.jpeg"/><Relationship Id="rId2320" Type="http://schemas.openxmlformats.org/officeDocument/2006/relationships/image" Target="../media/image2320.jpeg"/><Relationship Id="rId2558" Type="http://schemas.openxmlformats.org/officeDocument/2006/relationships/image" Target="../media/image2558.jpeg"/><Relationship Id="rId2765" Type="http://schemas.openxmlformats.org/officeDocument/2006/relationships/image" Target="../media/image2765.jpeg"/><Relationship Id="rId2972" Type="http://schemas.openxmlformats.org/officeDocument/2006/relationships/image" Target="../media/image2972.jpeg"/><Relationship Id="rId3609" Type="http://schemas.openxmlformats.org/officeDocument/2006/relationships/image" Target="../media/image3609.jpeg"/><Relationship Id="rId3816" Type="http://schemas.openxmlformats.org/officeDocument/2006/relationships/image" Target="../media/image3816.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2418" Type="http://schemas.openxmlformats.org/officeDocument/2006/relationships/image" Target="../media/image2418.jpeg"/><Relationship Id="rId2625" Type="http://schemas.openxmlformats.org/officeDocument/2006/relationships/image" Target="../media/image2625.jpeg"/><Relationship Id="rId2832" Type="http://schemas.openxmlformats.org/officeDocument/2006/relationships/image" Target="../media/image2832.jpeg"/><Relationship Id="rId73" Type="http://schemas.openxmlformats.org/officeDocument/2006/relationships/image" Target="../media/image73.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879" Type="http://schemas.openxmlformats.org/officeDocument/2006/relationships/image" Target="../media/image1879.jpeg"/><Relationship Id="rId3094" Type="http://schemas.openxmlformats.org/officeDocument/2006/relationships/image" Target="../media/image3094.jpeg"/><Relationship Id="rId1501" Type="http://schemas.openxmlformats.org/officeDocument/2006/relationships/image" Target="../media/image1501.jpeg"/><Relationship Id="rId1739" Type="http://schemas.openxmlformats.org/officeDocument/2006/relationships/image" Target="../media/image1739.jpeg"/><Relationship Id="rId1946" Type="http://schemas.openxmlformats.org/officeDocument/2006/relationships/image" Target="../media/image1946.jpeg"/><Relationship Id="rId3399" Type="http://schemas.openxmlformats.org/officeDocument/2006/relationships/image" Target="../media/image3399.jpeg"/><Relationship Id="rId4005" Type="http://schemas.openxmlformats.org/officeDocument/2006/relationships/image" Target="../media/image4005.jpeg"/><Relationship Id="rId1806" Type="http://schemas.openxmlformats.org/officeDocument/2006/relationships/image" Target="../media/image1806.jpeg"/><Relationship Id="rId3161" Type="http://schemas.openxmlformats.org/officeDocument/2006/relationships/image" Target="../media/image3161.jpeg"/><Relationship Id="rId3259" Type="http://schemas.openxmlformats.org/officeDocument/2006/relationships/image" Target="../media/image3259.jpeg"/><Relationship Id="rId3466" Type="http://schemas.openxmlformats.org/officeDocument/2006/relationships/image" Target="../media/image3466.jpeg"/><Relationship Id="rId387" Type="http://schemas.openxmlformats.org/officeDocument/2006/relationships/image" Target="../media/image387.jpeg"/><Relationship Id="rId594" Type="http://schemas.openxmlformats.org/officeDocument/2006/relationships/image" Target="../media/image594.jpeg"/><Relationship Id="rId2068" Type="http://schemas.openxmlformats.org/officeDocument/2006/relationships/image" Target="../media/image2068.jpeg"/><Relationship Id="rId2275" Type="http://schemas.openxmlformats.org/officeDocument/2006/relationships/image" Target="../media/image2275.jpeg"/><Relationship Id="rId3021" Type="http://schemas.openxmlformats.org/officeDocument/2006/relationships/image" Target="../media/image3021.jpeg"/><Relationship Id="rId3119" Type="http://schemas.openxmlformats.org/officeDocument/2006/relationships/image" Target="../media/image3119.jpeg"/><Relationship Id="rId3326" Type="http://schemas.openxmlformats.org/officeDocument/2006/relationships/image" Target="../media/image3326.jpeg"/><Relationship Id="rId3673" Type="http://schemas.openxmlformats.org/officeDocument/2006/relationships/image" Target="../media/image3673.jpeg"/><Relationship Id="rId3880" Type="http://schemas.openxmlformats.org/officeDocument/2006/relationships/image" Target="../media/image3880.jpeg"/><Relationship Id="rId3978" Type="http://schemas.openxmlformats.org/officeDocument/2006/relationships/image" Target="../media/image3978.jpeg"/><Relationship Id="rId247" Type="http://schemas.openxmlformats.org/officeDocument/2006/relationships/image" Target="../media/image247.jpeg"/><Relationship Id="rId899" Type="http://schemas.openxmlformats.org/officeDocument/2006/relationships/image" Target="../media/image899.jpeg"/><Relationship Id="rId1084" Type="http://schemas.openxmlformats.org/officeDocument/2006/relationships/image" Target="../media/image1084.jpeg"/><Relationship Id="rId2482" Type="http://schemas.openxmlformats.org/officeDocument/2006/relationships/image" Target="../media/image2482.jpeg"/><Relationship Id="rId2787" Type="http://schemas.openxmlformats.org/officeDocument/2006/relationships/image" Target="../media/image2787.jpeg"/><Relationship Id="rId3533" Type="http://schemas.openxmlformats.org/officeDocument/2006/relationships/image" Target="../media/image3533.jpeg"/><Relationship Id="rId3740" Type="http://schemas.openxmlformats.org/officeDocument/2006/relationships/image" Target="../media/image3740.jpeg"/><Relationship Id="rId3838" Type="http://schemas.openxmlformats.org/officeDocument/2006/relationships/image" Target="../media/image3838.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91.jpeg"/><Relationship Id="rId1389" Type="http://schemas.openxmlformats.org/officeDocument/2006/relationships/image" Target="../media/image1389.jpeg"/><Relationship Id="rId1596" Type="http://schemas.openxmlformats.org/officeDocument/2006/relationships/image" Target="../media/image1596.jpeg"/><Relationship Id="rId2135" Type="http://schemas.openxmlformats.org/officeDocument/2006/relationships/image" Target="../media/image2135.jpeg"/><Relationship Id="rId2342" Type="http://schemas.openxmlformats.org/officeDocument/2006/relationships/image" Target="../media/image2342.jpeg"/><Relationship Id="rId2647" Type="http://schemas.openxmlformats.org/officeDocument/2006/relationships/image" Target="../media/image2647.jpeg"/><Relationship Id="rId2994" Type="http://schemas.openxmlformats.org/officeDocument/2006/relationships/image" Target="../media/image2994.jpeg"/><Relationship Id="rId3600" Type="http://schemas.openxmlformats.org/officeDocument/2006/relationships/image" Target="../media/image3600.jpeg"/><Relationship Id="rId314" Type="http://schemas.openxmlformats.org/officeDocument/2006/relationships/image" Target="../media/image314.jpe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51.jpeg"/><Relationship Id="rId1249" Type="http://schemas.openxmlformats.org/officeDocument/2006/relationships/image" Target="../media/image1249.jpeg"/><Relationship Id="rId2202" Type="http://schemas.openxmlformats.org/officeDocument/2006/relationships/image" Target="../media/image2202.jpeg"/><Relationship Id="rId2854" Type="http://schemas.openxmlformats.org/officeDocument/2006/relationships/image" Target="../media/image2854.jpeg"/><Relationship Id="rId3905" Type="http://schemas.openxmlformats.org/officeDocument/2006/relationships/image" Target="../media/image3905.jpeg"/><Relationship Id="rId95" Type="http://schemas.openxmlformats.org/officeDocument/2006/relationships/image" Target="../media/image95.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1968" Type="http://schemas.openxmlformats.org/officeDocument/2006/relationships/image" Target="../media/image1968.jpeg"/><Relationship Id="rId2507" Type="http://schemas.openxmlformats.org/officeDocument/2006/relationships/image" Target="../media/image2507.jpeg"/><Relationship Id="rId2714" Type="http://schemas.openxmlformats.org/officeDocument/2006/relationships/image" Target="../media/image2714.jpeg"/><Relationship Id="rId2921" Type="http://schemas.openxmlformats.org/officeDocument/2006/relationships/image" Target="../media/image2921.jpe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3183" Type="http://schemas.openxmlformats.org/officeDocument/2006/relationships/image" Target="../media/image3183.jpeg"/><Relationship Id="rId3390" Type="http://schemas.openxmlformats.org/officeDocument/2006/relationships/image" Target="../media/image3390.jpeg"/><Relationship Id="rId4027" Type="http://schemas.openxmlformats.org/officeDocument/2006/relationships/image" Target="../media/image4027.jpeg"/><Relationship Id="rId22" Type="http://schemas.openxmlformats.org/officeDocument/2006/relationships/image" Target="../media/image22.jpeg"/><Relationship Id="rId1828" Type="http://schemas.openxmlformats.org/officeDocument/2006/relationships/image" Target="../media/image1828.jpeg"/><Relationship Id="rId3043" Type="http://schemas.openxmlformats.org/officeDocument/2006/relationships/image" Target="../media/image3043.jpeg"/><Relationship Id="rId3250" Type="http://schemas.openxmlformats.org/officeDocument/2006/relationships/image" Target="../media/image3250.jpeg"/><Relationship Id="rId3488" Type="http://schemas.openxmlformats.org/officeDocument/2006/relationships/image" Target="../media/image3488.jpeg"/><Relationship Id="rId3695" Type="http://schemas.openxmlformats.org/officeDocument/2006/relationships/image" Target="../media/image3695.jpeg"/><Relationship Id="rId171" Type="http://schemas.openxmlformats.org/officeDocument/2006/relationships/image" Target="../media/image171.jpeg"/><Relationship Id="rId2297" Type="http://schemas.openxmlformats.org/officeDocument/2006/relationships/image" Target="../media/image2297.jpeg"/><Relationship Id="rId3348" Type="http://schemas.openxmlformats.org/officeDocument/2006/relationships/image" Target="../media/image3348.jpeg"/><Relationship Id="rId3555" Type="http://schemas.openxmlformats.org/officeDocument/2006/relationships/image" Target="../media/image3555.jpeg"/><Relationship Id="rId3762" Type="http://schemas.openxmlformats.org/officeDocument/2006/relationships/image" Target="../media/image3762.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2157" Type="http://schemas.openxmlformats.org/officeDocument/2006/relationships/image" Target="../media/image2157.jpeg"/><Relationship Id="rId2364" Type="http://schemas.openxmlformats.org/officeDocument/2006/relationships/image" Target="../media/image2364.jpeg"/><Relationship Id="rId2571" Type="http://schemas.openxmlformats.org/officeDocument/2006/relationships/image" Target="../media/image2571.jpeg"/><Relationship Id="rId3110" Type="http://schemas.openxmlformats.org/officeDocument/2006/relationships/image" Target="../media/image3110.jpeg"/><Relationship Id="rId3208" Type="http://schemas.openxmlformats.org/officeDocument/2006/relationships/image" Target="../media/image3208.jpeg"/><Relationship Id="rId3415" Type="http://schemas.openxmlformats.org/officeDocument/2006/relationships/image" Target="../media/image3415.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3.jpeg"/><Relationship Id="rId1380" Type="http://schemas.openxmlformats.org/officeDocument/2006/relationships/image" Target="../media/image1380.jpeg"/><Relationship Id="rId2017" Type="http://schemas.openxmlformats.org/officeDocument/2006/relationships/image" Target="../media/image2017.jpeg"/><Relationship Id="rId2224" Type="http://schemas.openxmlformats.org/officeDocument/2006/relationships/image" Target="../media/image2224.jpeg"/><Relationship Id="rId2669" Type="http://schemas.openxmlformats.org/officeDocument/2006/relationships/image" Target="../media/image2669.jpeg"/><Relationship Id="rId2876" Type="http://schemas.openxmlformats.org/officeDocument/2006/relationships/image" Target="../media/image2876.jpeg"/><Relationship Id="rId3622" Type="http://schemas.openxmlformats.org/officeDocument/2006/relationships/image" Target="../media/image3622.jpeg"/><Relationship Id="rId3927" Type="http://schemas.openxmlformats.org/officeDocument/2006/relationships/image" Target="../media/image3927.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8.jpeg"/><Relationship Id="rId1685" Type="http://schemas.openxmlformats.org/officeDocument/2006/relationships/image" Target="../media/image1685.jpeg"/><Relationship Id="rId1892" Type="http://schemas.openxmlformats.org/officeDocument/2006/relationships/image" Target="../media/image1892.jpeg"/><Relationship Id="rId2431" Type="http://schemas.openxmlformats.org/officeDocument/2006/relationships/image" Target="../media/image2431.jpeg"/><Relationship Id="rId2529" Type="http://schemas.openxmlformats.org/officeDocument/2006/relationships/image" Target="../media/image2529.jpeg"/><Relationship Id="rId2736" Type="http://schemas.openxmlformats.org/officeDocument/2006/relationships/image" Target="../media/image2736.jpeg"/><Relationship Id="rId610" Type="http://schemas.openxmlformats.org/officeDocument/2006/relationships/image" Target="../media/image610.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2943" Type="http://schemas.openxmlformats.org/officeDocument/2006/relationships/image" Target="../media/image2943.jpeg"/><Relationship Id="rId4049" Type="http://schemas.openxmlformats.org/officeDocument/2006/relationships/image" Target="../media/image4049.jpeg"/><Relationship Id="rId1100" Type="http://schemas.openxmlformats.org/officeDocument/2006/relationships/image" Target="../media/image1100.jpeg"/><Relationship Id="rId1405" Type="http://schemas.openxmlformats.org/officeDocument/2006/relationships/image" Target="../media/image1405.jpeg"/><Relationship Id="rId1752" Type="http://schemas.openxmlformats.org/officeDocument/2006/relationships/image" Target="../media/image1752.jpeg"/><Relationship Id="rId2803" Type="http://schemas.openxmlformats.org/officeDocument/2006/relationships/image" Target="../media/image2803.jpeg"/><Relationship Id="rId44" Type="http://schemas.openxmlformats.org/officeDocument/2006/relationships/image" Target="../media/image44.jpeg"/><Relationship Id="rId1612" Type="http://schemas.openxmlformats.org/officeDocument/2006/relationships/image" Target="../media/image1612.jpeg"/><Relationship Id="rId1917" Type="http://schemas.openxmlformats.org/officeDocument/2006/relationships/image" Target="../media/image1917.jpeg"/><Relationship Id="rId3065" Type="http://schemas.openxmlformats.org/officeDocument/2006/relationships/image" Target="../media/image3065.jpeg"/><Relationship Id="rId3272" Type="http://schemas.openxmlformats.org/officeDocument/2006/relationships/image" Target="../media/image3272.jpeg"/><Relationship Id="rId193" Type="http://schemas.openxmlformats.org/officeDocument/2006/relationships/image" Target="../media/image193.jpeg"/><Relationship Id="rId498" Type="http://schemas.openxmlformats.org/officeDocument/2006/relationships/image" Target="../media/image498.jpeg"/><Relationship Id="rId2081" Type="http://schemas.openxmlformats.org/officeDocument/2006/relationships/image" Target="../media/image2081.jpeg"/><Relationship Id="rId2179" Type="http://schemas.openxmlformats.org/officeDocument/2006/relationships/image" Target="../media/image2179.jpeg"/><Relationship Id="rId3132" Type="http://schemas.openxmlformats.org/officeDocument/2006/relationships/image" Target="../media/image3132.jpeg"/><Relationship Id="rId3577" Type="http://schemas.openxmlformats.org/officeDocument/2006/relationships/image" Target="../media/image3577.jpeg"/><Relationship Id="rId3784" Type="http://schemas.openxmlformats.org/officeDocument/2006/relationships/image" Target="../media/image3784.jpeg"/><Relationship Id="rId3991" Type="http://schemas.openxmlformats.org/officeDocument/2006/relationships/image" Target="../media/image3991.jpeg"/><Relationship Id="rId260" Type="http://schemas.openxmlformats.org/officeDocument/2006/relationships/image" Target="../media/image260.jpeg"/><Relationship Id="rId2386" Type="http://schemas.openxmlformats.org/officeDocument/2006/relationships/image" Target="../media/image2386.jpeg"/><Relationship Id="rId2593" Type="http://schemas.openxmlformats.org/officeDocument/2006/relationships/image" Target="../media/image2593.jpeg"/><Relationship Id="rId3437" Type="http://schemas.openxmlformats.org/officeDocument/2006/relationships/image" Target="../media/image3437.jpeg"/><Relationship Id="rId3644" Type="http://schemas.openxmlformats.org/officeDocument/2006/relationships/image" Target="../media/image3644.jpeg"/><Relationship Id="rId3851" Type="http://schemas.openxmlformats.org/officeDocument/2006/relationships/image" Target="../media/image3851.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2039" Type="http://schemas.openxmlformats.org/officeDocument/2006/relationships/image" Target="../media/image2039.jpeg"/><Relationship Id="rId2246" Type="http://schemas.openxmlformats.org/officeDocument/2006/relationships/image" Target="../media/image2246.jpeg"/><Relationship Id="rId2453" Type="http://schemas.openxmlformats.org/officeDocument/2006/relationships/image" Target="../media/image2453.jpeg"/><Relationship Id="rId2660" Type="http://schemas.openxmlformats.org/officeDocument/2006/relationships/image" Target="../media/image2660.jpeg"/><Relationship Id="rId2898" Type="http://schemas.openxmlformats.org/officeDocument/2006/relationships/image" Target="../media/image2898.jpeg"/><Relationship Id="rId3504" Type="http://schemas.openxmlformats.org/officeDocument/2006/relationships/image" Target="../media/image3504.jpeg"/><Relationship Id="rId3711" Type="http://schemas.openxmlformats.org/officeDocument/2006/relationships/image" Target="../media/image3711.jpeg"/><Relationship Id="rId3949" Type="http://schemas.openxmlformats.org/officeDocument/2006/relationships/image" Target="../media/image3949.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106" Type="http://schemas.openxmlformats.org/officeDocument/2006/relationships/image" Target="../media/image2106.jpeg"/><Relationship Id="rId2313" Type="http://schemas.openxmlformats.org/officeDocument/2006/relationships/image" Target="../media/image2313.jpeg"/><Relationship Id="rId2520" Type="http://schemas.openxmlformats.org/officeDocument/2006/relationships/image" Target="../media/image2520.jpeg"/><Relationship Id="rId2758" Type="http://schemas.openxmlformats.org/officeDocument/2006/relationships/image" Target="../media/image2758.jpeg"/><Relationship Id="rId2965" Type="http://schemas.openxmlformats.org/officeDocument/2006/relationships/image" Target="../media/image2965.jpeg"/><Relationship Id="rId3809" Type="http://schemas.openxmlformats.org/officeDocument/2006/relationships/image" Target="../media/image3809.jpeg"/><Relationship Id="rId937" Type="http://schemas.openxmlformats.org/officeDocument/2006/relationships/image" Target="../media/image937.jpeg"/><Relationship Id="rId1122" Type="http://schemas.openxmlformats.org/officeDocument/2006/relationships/image" Target="../media/image1122.jpeg"/><Relationship Id="rId1567" Type="http://schemas.openxmlformats.org/officeDocument/2006/relationships/image" Target="../media/image1567.jpeg"/><Relationship Id="rId1774" Type="http://schemas.openxmlformats.org/officeDocument/2006/relationships/image" Target="../media/image1774.jpeg"/><Relationship Id="rId1981" Type="http://schemas.openxmlformats.org/officeDocument/2006/relationships/image" Target="../media/image1981.jpeg"/><Relationship Id="rId2618" Type="http://schemas.openxmlformats.org/officeDocument/2006/relationships/image" Target="../media/image2618.jpeg"/><Relationship Id="rId2825" Type="http://schemas.openxmlformats.org/officeDocument/2006/relationships/image" Target="../media/image2825.jpeg"/><Relationship Id="rId66" Type="http://schemas.openxmlformats.org/officeDocument/2006/relationships/image" Target="../media/image66.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3087" Type="http://schemas.openxmlformats.org/officeDocument/2006/relationships/image" Target="../media/image3087.jpeg"/><Relationship Id="rId3294" Type="http://schemas.openxmlformats.org/officeDocument/2006/relationships/image" Target="../media/image3294.jpeg"/><Relationship Id="rId4040" Type="http://schemas.openxmlformats.org/officeDocument/2006/relationships/image" Target="../media/image4040.jpeg"/><Relationship Id="rId1939" Type="http://schemas.openxmlformats.org/officeDocument/2006/relationships/image" Target="../media/image1939.jpeg"/><Relationship Id="rId3599" Type="http://schemas.openxmlformats.org/officeDocument/2006/relationships/image" Target="../media/image3599.jpeg"/><Relationship Id="rId1701" Type="http://schemas.openxmlformats.org/officeDocument/2006/relationships/image" Target="../media/image1701.jpeg"/><Relationship Id="rId3154" Type="http://schemas.openxmlformats.org/officeDocument/2006/relationships/image" Target="../media/image3154.jpeg"/><Relationship Id="rId3361" Type="http://schemas.openxmlformats.org/officeDocument/2006/relationships/image" Target="../media/image3361.jpeg"/><Relationship Id="rId3459" Type="http://schemas.openxmlformats.org/officeDocument/2006/relationships/image" Target="../media/image3459.jpeg"/><Relationship Id="rId3666" Type="http://schemas.openxmlformats.org/officeDocument/2006/relationships/image" Target="../media/image3666.jpeg"/><Relationship Id="rId282" Type="http://schemas.openxmlformats.org/officeDocument/2006/relationships/image" Target="../media/image282.jpeg"/><Relationship Id="rId587" Type="http://schemas.openxmlformats.org/officeDocument/2006/relationships/image" Target="../media/image587.jpeg"/><Relationship Id="rId2170" Type="http://schemas.openxmlformats.org/officeDocument/2006/relationships/image" Target="../media/image2170.jpeg"/><Relationship Id="rId2268" Type="http://schemas.openxmlformats.org/officeDocument/2006/relationships/image" Target="../media/image2268.jpeg"/><Relationship Id="rId3014" Type="http://schemas.openxmlformats.org/officeDocument/2006/relationships/image" Target="../media/image3014.jpeg"/><Relationship Id="rId3221" Type="http://schemas.openxmlformats.org/officeDocument/2006/relationships/image" Target="../media/image3221.jpeg"/><Relationship Id="rId3319" Type="http://schemas.openxmlformats.org/officeDocument/2006/relationships/image" Target="../media/image3319.jpeg"/><Relationship Id="rId3873" Type="http://schemas.openxmlformats.org/officeDocument/2006/relationships/image" Target="../media/image3873.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2030" Type="http://schemas.openxmlformats.org/officeDocument/2006/relationships/image" Target="../media/image2030.jpeg"/><Relationship Id="rId2128" Type="http://schemas.openxmlformats.org/officeDocument/2006/relationships/image" Target="../media/image2128.jpeg"/><Relationship Id="rId2475" Type="http://schemas.openxmlformats.org/officeDocument/2006/relationships/image" Target="../media/image2475.jpeg"/><Relationship Id="rId2682" Type="http://schemas.openxmlformats.org/officeDocument/2006/relationships/image" Target="../media/image2682.jpeg"/><Relationship Id="rId2987" Type="http://schemas.openxmlformats.org/officeDocument/2006/relationships/image" Target="../media/image2987.jpeg"/><Relationship Id="rId3526" Type="http://schemas.openxmlformats.org/officeDocument/2006/relationships/image" Target="../media/image3526.jpeg"/><Relationship Id="rId3733" Type="http://schemas.openxmlformats.org/officeDocument/2006/relationships/image" Target="../media/image3733.jpeg"/><Relationship Id="rId3940" Type="http://schemas.openxmlformats.org/officeDocument/2006/relationships/image" Target="../media/image3940.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4.jpeg"/><Relationship Id="rId1491" Type="http://schemas.openxmlformats.org/officeDocument/2006/relationships/image" Target="../media/image1491.jpeg"/><Relationship Id="rId1589" Type="http://schemas.openxmlformats.org/officeDocument/2006/relationships/image" Target="../media/image1589.jpeg"/><Relationship Id="rId2335" Type="http://schemas.openxmlformats.org/officeDocument/2006/relationships/image" Target="../media/image2335.jpeg"/><Relationship Id="rId2542" Type="http://schemas.openxmlformats.org/officeDocument/2006/relationships/image" Target="../media/image2542.jpeg"/><Relationship Id="rId3800" Type="http://schemas.openxmlformats.org/officeDocument/2006/relationships/image" Target="../media/image3800.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2402" Type="http://schemas.openxmlformats.org/officeDocument/2006/relationships/image" Target="../media/image2402.jpeg"/><Relationship Id="rId2847" Type="http://schemas.openxmlformats.org/officeDocument/2006/relationships/image" Target="../media/image2847.jpeg"/><Relationship Id="rId4062" Type="http://schemas.openxmlformats.org/officeDocument/2006/relationships/image" Target="../media/image4062.jpeg"/><Relationship Id="rId88" Type="http://schemas.openxmlformats.org/officeDocument/2006/relationships/image" Target="../media/image8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11.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eg"/><Relationship Id="rId2914" Type="http://schemas.openxmlformats.org/officeDocument/2006/relationships/image" Target="../media/image2914.jpe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930" Type="http://schemas.openxmlformats.org/officeDocument/2006/relationships/image" Target="../media/image1930.jpeg"/><Relationship Id="rId3176" Type="http://schemas.openxmlformats.org/officeDocument/2006/relationships/image" Target="../media/image3176.jpeg"/><Relationship Id="rId3383" Type="http://schemas.openxmlformats.org/officeDocument/2006/relationships/image" Target="../media/image3383.jpeg"/><Relationship Id="rId3590" Type="http://schemas.openxmlformats.org/officeDocument/2006/relationships/image" Target="../media/image3590.jpeg"/><Relationship Id="rId15" Type="http://schemas.openxmlformats.org/officeDocument/2006/relationships/image" Target="../media/image15.jpeg"/><Relationship Id="rId2192" Type="http://schemas.openxmlformats.org/officeDocument/2006/relationships/image" Target="../media/image2192.jpeg"/><Relationship Id="rId3036" Type="http://schemas.openxmlformats.org/officeDocument/2006/relationships/image" Target="../media/image3036.jpeg"/><Relationship Id="rId3243" Type="http://schemas.openxmlformats.org/officeDocument/2006/relationships/image" Target="../media/image3243.jpeg"/><Relationship Id="rId3688" Type="http://schemas.openxmlformats.org/officeDocument/2006/relationships/image" Target="../media/image3688.jpeg"/><Relationship Id="rId3895" Type="http://schemas.openxmlformats.org/officeDocument/2006/relationships/image" Target="../media/image3895.jpe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eg"/><Relationship Id="rId2497" Type="http://schemas.openxmlformats.org/officeDocument/2006/relationships/image" Target="../media/image2497.jpeg"/><Relationship Id="rId3450" Type="http://schemas.openxmlformats.org/officeDocument/2006/relationships/image" Target="../media/image3450.jpeg"/><Relationship Id="rId3548" Type="http://schemas.openxmlformats.org/officeDocument/2006/relationships/image" Target="../media/image3548.jpeg"/><Relationship Id="rId3755" Type="http://schemas.openxmlformats.org/officeDocument/2006/relationships/image" Target="../media/image3755.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357" Type="http://schemas.openxmlformats.org/officeDocument/2006/relationships/image" Target="../media/image2357.jpeg"/><Relationship Id="rId2564" Type="http://schemas.openxmlformats.org/officeDocument/2006/relationships/image" Target="../media/image2564.jpeg"/><Relationship Id="rId3103" Type="http://schemas.openxmlformats.org/officeDocument/2006/relationships/image" Target="../media/image3103.jpeg"/><Relationship Id="rId3310" Type="http://schemas.openxmlformats.org/officeDocument/2006/relationships/image" Target="../media/image3310.jpeg"/><Relationship Id="rId3408" Type="http://schemas.openxmlformats.org/officeDocument/2006/relationships/image" Target="../media/image3408.jpeg"/><Relationship Id="rId3615" Type="http://schemas.openxmlformats.org/officeDocument/2006/relationships/image" Target="../media/image3615.jpeg"/><Relationship Id="rId3962" Type="http://schemas.openxmlformats.org/officeDocument/2006/relationships/image" Target="../media/image3962.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2217" Type="http://schemas.openxmlformats.org/officeDocument/2006/relationships/image" Target="../media/image2217.jpeg"/><Relationship Id="rId2771" Type="http://schemas.openxmlformats.org/officeDocument/2006/relationships/image" Target="../media/image2771.jpeg"/><Relationship Id="rId2869" Type="http://schemas.openxmlformats.org/officeDocument/2006/relationships/image" Target="../media/image2869.jpeg"/><Relationship Id="rId3822" Type="http://schemas.openxmlformats.org/officeDocument/2006/relationships/image" Target="../media/image3822.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1678" Type="http://schemas.openxmlformats.org/officeDocument/2006/relationships/image" Target="../media/image1678.jpeg"/><Relationship Id="rId1885" Type="http://schemas.openxmlformats.org/officeDocument/2006/relationships/image" Target="../media/image1885.jpeg"/><Relationship Id="rId2424" Type="http://schemas.openxmlformats.org/officeDocument/2006/relationships/image" Target="../media/image2424.jpeg"/><Relationship Id="rId2631" Type="http://schemas.openxmlformats.org/officeDocument/2006/relationships/image" Target="../media/image2631.jpeg"/><Relationship Id="rId2729" Type="http://schemas.openxmlformats.org/officeDocument/2006/relationships/image" Target="../media/image2729.jpeg"/><Relationship Id="rId2936" Type="http://schemas.openxmlformats.org/officeDocument/2006/relationships/image" Target="../media/image2936.jpeg"/><Relationship Id="rId603" Type="http://schemas.openxmlformats.org/officeDocument/2006/relationships/image" Target="../media/image603.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1300" Type="http://schemas.openxmlformats.org/officeDocument/2006/relationships/image" Target="../media/image1300.jpeg"/><Relationship Id="rId1745" Type="http://schemas.openxmlformats.org/officeDocument/2006/relationships/image" Target="../media/image1745.jpeg"/><Relationship Id="rId1952" Type="http://schemas.openxmlformats.org/officeDocument/2006/relationships/image" Target="../media/image1952.jpeg"/><Relationship Id="rId3198" Type="http://schemas.openxmlformats.org/officeDocument/2006/relationships/image" Target="../media/image3198.jpeg"/><Relationship Id="rId4011" Type="http://schemas.openxmlformats.org/officeDocument/2006/relationships/image" Target="../media/image4011.jpeg"/><Relationship Id="rId37" Type="http://schemas.openxmlformats.org/officeDocument/2006/relationships/image" Target="../media/image37.jpeg"/><Relationship Id="rId1605" Type="http://schemas.openxmlformats.org/officeDocument/2006/relationships/image" Target="../media/image1605.jpeg"/><Relationship Id="rId1812" Type="http://schemas.openxmlformats.org/officeDocument/2006/relationships/image" Target="../media/image1812.jpeg"/><Relationship Id="rId3058" Type="http://schemas.openxmlformats.org/officeDocument/2006/relationships/image" Target="../media/image3058.jpeg"/><Relationship Id="rId3265" Type="http://schemas.openxmlformats.org/officeDocument/2006/relationships/image" Target="../media/image3265.jpeg"/><Relationship Id="rId3472" Type="http://schemas.openxmlformats.org/officeDocument/2006/relationships/image" Target="../media/image3472.jpe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eg"/><Relationship Id="rId2281" Type="http://schemas.openxmlformats.org/officeDocument/2006/relationships/image" Target="../media/image2281.jpeg"/><Relationship Id="rId3125" Type="http://schemas.openxmlformats.org/officeDocument/2006/relationships/image" Target="../media/image3125.jpeg"/><Relationship Id="rId3332" Type="http://schemas.openxmlformats.org/officeDocument/2006/relationships/image" Target="../media/image3332.jpeg"/><Relationship Id="rId3777" Type="http://schemas.openxmlformats.org/officeDocument/2006/relationships/image" Target="../media/image3777.jpeg"/><Relationship Id="rId3984" Type="http://schemas.openxmlformats.org/officeDocument/2006/relationships/image" Target="../media/image3984.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1090" Type="http://schemas.openxmlformats.org/officeDocument/2006/relationships/image" Target="../media/image1090.jpeg"/><Relationship Id="rId2141" Type="http://schemas.openxmlformats.org/officeDocument/2006/relationships/image" Target="../media/image2141.jpeg"/><Relationship Id="rId2379" Type="http://schemas.openxmlformats.org/officeDocument/2006/relationships/image" Target="../media/image2379.jpeg"/><Relationship Id="rId2586" Type="http://schemas.openxmlformats.org/officeDocument/2006/relationships/image" Target="../media/image2586.jpeg"/><Relationship Id="rId2793" Type="http://schemas.openxmlformats.org/officeDocument/2006/relationships/image" Target="../media/image2793.jpeg"/><Relationship Id="rId3637" Type="http://schemas.openxmlformats.org/officeDocument/2006/relationships/image" Target="../media/image3637.jpeg"/><Relationship Id="rId3844" Type="http://schemas.openxmlformats.org/officeDocument/2006/relationships/image" Target="../media/image3844.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2001" Type="http://schemas.openxmlformats.org/officeDocument/2006/relationships/image" Target="../media/image2001.jpeg"/><Relationship Id="rId2239" Type="http://schemas.openxmlformats.org/officeDocument/2006/relationships/image" Target="../media/image2239.jpeg"/><Relationship Id="rId2446" Type="http://schemas.openxmlformats.org/officeDocument/2006/relationships/image" Target="../media/image2446.jpeg"/><Relationship Id="rId2653" Type="http://schemas.openxmlformats.org/officeDocument/2006/relationships/image" Target="../media/image2653.jpeg"/><Relationship Id="rId2860" Type="http://schemas.openxmlformats.org/officeDocument/2006/relationships/image" Target="../media/image2860.jpeg"/><Relationship Id="rId3704" Type="http://schemas.openxmlformats.org/officeDocument/2006/relationships/image" Target="../media/image3704.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eg"/><Relationship Id="rId2513" Type="http://schemas.openxmlformats.org/officeDocument/2006/relationships/image" Target="../media/image2513.jpeg"/><Relationship Id="rId2958" Type="http://schemas.openxmlformats.org/officeDocument/2006/relationships/image" Target="../media/image2958.jpeg"/><Relationship Id="rId3911" Type="http://schemas.openxmlformats.org/officeDocument/2006/relationships/image" Target="../media/image3911.jpeg"/><Relationship Id="rId1115" Type="http://schemas.openxmlformats.org/officeDocument/2006/relationships/image" Target="../media/image1115.jpeg"/><Relationship Id="rId1322" Type="http://schemas.openxmlformats.org/officeDocument/2006/relationships/image" Target="../media/image1322.jpeg"/><Relationship Id="rId1767" Type="http://schemas.openxmlformats.org/officeDocument/2006/relationships/image" Target="../media/image1767.jpeg"/><Relationship Id="rId1974" Type="http://schemas.openxmlformats.org/officeDocument/2006/relationships/image" Target="../media/image1974.jpeg"/><Relationship Id="rId2720" Type="http://schemas.openxmlformats.org/officeDocument/2006/relationships/image" Target="../media/image2720.jpeg"/><Relationship Id="rId2818" Type="http://schemas.openxmlformats.org/officeDocument/2006/relationships/image" Target="../media/image2818.jpeg"/><Relationship Id="rId59" Type="http://schemas.openxmlformats.org/officeDocument/2006/relationships/image" Target="../media/image59.jpeg"/><Relationship Id="rId1627" Type="http://schemas.openxmlformats.org/officeDocument/2006/relationships/image" Target="../media/image1627.jpeg"/><Relationship Id="rId1834" Type="http://schemas.openxmlformats.org/officeDocument/2006/relationships/image" Target="../media/image1834.jpeg"/><Relationship Id="rId3287" Type="http://schemas.openxmlformats.org/officeDocument/2006/relationships/image" Target="../media/image3287.jpeg"/><Relationship Id="rId4033" Type="http://schemas.openxmlformats.org/officeDocument/2006/relationships/image" Target="../media/image4033.jpeg"/><Relationship Id="rId2096" Type="http://schemas.openxmlformats.org/officeDocument/2006/relationships/image" Target="../media/image2096.jpeg"/><Relationship Id="rId3494" Type="http://schemas.openxmlformats.org/officeDocument/2006/relationships/image" Target="../media/image3494.jpeg"/><Relationship Id="rId3799" Type="http://schemas.openxmlformats.org/officeDocument/2006/relationships/image" Target="../media/image3799.jpeg"/><Relationship Id="rId1901" Type="http://schemas.openxmlformats.org/officeDocument/2006/relationships/image" Target="../media/image1901.jpeg"/><Relationship Id="rId3147" Type="http://schemas.openxmlformats.org/officeDocument/2006/relationships/image" Target="../media/image3147.jpeg"/><Relationship Id="rId3354" Type="http://schemas.openxmlformats.org/officeDocument/2006/relationships/image" Target="../media/image3354.jpeg"/><Relationship Id="rId3561" Type="http://schemas.openxmlformats.org/officeDocument/2006/relationships/image" Target="../media/image3561.jpeg"/><Relationship Id="rId3659" Type="http://schemas.openxmlformats.org/officeDocument/2006/relationships/image" Target="../media/image3659.jpeg"/><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eg"/><Relationship Id="rId2370" Type="http://schemas.openxmlformats.org/officeDocument/2006/relationships/image" Target="../media/image2370.jpeg"/><Relationship Id="rId3007" Type="http://schemas.openxmlformats.org/officeDocument/2006/relationships/image" Target="../media/image3007.jpeg"/><Relationship Id="rId3214" Type="http://schemas.openxmlformats.org/officeDocument/2006/relationships/image" Target="../media/image3214.jpeg"/><Relationship Id="rId3421" Type="http://schemas.openxmlformats.org/officeDocument/2006/relationships/image" Target="../media/image3421.jpeg"/><Relationship Id="rId3866" Type="http://schemas.openxmlformats.org/officeDocument/2006/relationships/image" Target="../media/image3866.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3" Type="http://schemas.openxmlformats.org/officeDocument/2006/relationships/image" Target="../media/image2023.jpeg"/><Relationship Id="rId2230" Type="http://schemas.openxmlformats.org/officeDocument/2006/relationships/image" Target="../media/image2230.jpeg"/><Relationship Id="rId2468" Type="http://schemas.openxmlformats.org/officeDocument/2006/relationships/image" Target="../media/image2468.jpeg"/><Relationship Id="rId2675" Type="http://schemas.openxmlformats.org/officeDocument/2006/relationships/image" Target="../media/image2675.jpeg"/><Relationship Id="rId2882" Type="http://schemas.openxmlformats.org/officeDocument/2006/relationships/image" Target="../media/image2882.jpeg"/><Relationship Id="rId3519" Type="http://schemas.openxmlformats.org/officeDocument/2006/relationships/image" Target="../media/image3519.jpeg"/><Relationship Id="rId3726" Type="http://schemas.openxmlformats.org/officeDocument/2006/relationships/image" Target="../media/image3726.jpeg"/><Relationship Id="rId3933" Type="http://schemas.openxmlformats.org/officeDocument/2006/relationships/image" Target="../media/image3933.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2328" Type="http://schemas.openxmlformats.org/officeDocument/2006/relationships/image" Target="../media/image2328.jpeg"/><Relationship Id="rId2535" Type="http://schemas.openxmlformats.org/officeDocument/2006/relationships/image" Target="../media/image2535.jpeg"/><Relationship Id="rId2742" Type="http://schemas.openxmlformats.org/officeDocument/2006/relationships/image" Target="../media/image2742.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1996" Type="http://schemas.openxmlformats.org/officeDocument/2006/relationships/image" Target="../media/image1996.jpeg"/><Relationship Id="rId2602" Type="http://schemas.openxmlformats.org/officeDocument/2006/relationships/image" Target="../media/image2602.jpeg"/><Relationship Id="rId4055" Type="http://schemas.openxmlformats.org/officeDocument/2006/relationships/image" Target="../media/image4055.jpeg"/><Relationship Id="rId50" Type="http://schemas.openxmlformats.org/officeDocument/2006/relationships/image" Target="../media/image50.jpe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1856" Type="http://schemas.openxmlformats.org/officeDocument/2006/relationships/image" Target="../media/image1856.jpeg"/><Relationship Id="rId2907" Type="http://schemas.openxmlformats.org/officeDocument/2006/relationships/image" Target="../media/image2907.jpeg"/><Relationship Id="rId3071" Type="http://schemas.openxmlformats.org/officeDocument/2006/relationships/image" Target="../media/image3071.jpeg"/><Relationship Id="rId1509" Type="http://schemas.openxmlformats.org/officeDocument/2006/relationships/image" Target="../media/image1509.jpeg"/><Relationship Id="rId1716" Type="http://schemas.openxmlformats.org/officeDocument/2006/relationships/image" Target="../media/image1716.jpeg"/><Relationship Id="rId1923" Type="http://schemas.openxmlformats.org/officeDocument/2006/relationships/image" Target="../media/image1923.jpeg"/><Relationship Id="rId3169" Type="http://schemas.openxmlformats.org/officeDocument/2006/relationships/image" Target="../media/image3169.jpeg"/><Relationship Id="rId3376" Type="http://schemas.openxmlformats.org/officeDocument/2006/relationships/image" Target="../media/image3376.jpeg"/><Relationship Id="rId3583" Type="http://schemas.openxmlformats.org/officeDocument/2006/relationships/image" Target="../media/image3583.jpeg"/><Relationship Id="rId297" Type="http://schemas.openxmlformats.org/officeDocument/2006/relationships/image" Target="../media/image297.jpeg"/><Relationship Id="rId2185" Type="http://schemas.openxmlformats.org/officeDocument/2006/relationships/image" Target="../media/image2185.jpeg"/><Relationship Id="rId2392" Type="http://schemas.openxmlformats.org/officeDocument/2006/relationships/image" Target="../media/image2392.jpeg"/><Relationship Id="rId3029" Type="http://schemas.openxmlformats.org/officeDocument/2006/relationships/image" Target="../media/image3029.jpeg"/><Relationship Id="rId3236" Type="http://schemas.openxmlformats.org/officeDocument/2006/relationships/image" Target="../media/image3236.jpeg"/><Relationship Id="rId3790" Type="http://schemas.openxmlformats.org/officeDocument/2006/relationships/image" Target="../media/image3790.jpeg"/><Relationship Id="rId3888" Type="http://schemas.openxmlformats.org/officeDocument/2006/relationships/image" Target="../media/image3888.jpe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jpeg"/><Relationship Id="rId2697" Type="http://schemas.openxmlformats.org/officeDocument/2006/relationships/image" Target="../media/image2697.jpeg"/><Relationship Id="rId3443" Type="http://schemas.openxmlformats.org/officeDocument/2006/relationships/image" Target="../media/image3443.jpeg"/><Relationship Id="rId3650" Type="http://schemas.openxmlformats.org/officeDocument/2006/relationships/image" Target="../media/image3650.jpeg"/><Relationship Id="rId3748" Type="http://schemas.openxmlformats.org/officeDocument/2006/relationships/image" Target="../media/image3748.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2252" Type="http://schemas.openxmlformats.org/officeDocument/2006/relationships/image" Target="../media/image2252.jpeg"/><Relationship Id="rId2557" Type="http://schemas.openxmlformats.org/officeDocument/2006/relationships/image" Target="../media/image2557.jpeg"/><Relationship Id="rId3303" Type="http://schemas.openxmlformats.org/officeDocument/2006/relationships/image" Target="../media/image3303.jpeg"/><Relationship Id="rId3510" Type="http://schemas.openxmlformats.org/officeDocument/2006/relationships/image" Target="../media/image3510.jpeg"/><Relationship Id="rId3608" Type="http://schemas.openxmlformats.org/officeDocument/2006/relationships/image" Target="../media/image3608.jpeg"/><Relationship Id="rId3955" Type="http://schemas.openxmlformats.org/officeDocument/2006/relationships/image" Target="../media/image3955.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9.jpeg"/><Relationship Id="rId1366" Type="http://schemas.openxmlformats.org/officeDocument/2006/relationships/image" Target="../media/image1366.jpeg"/><Relationship Id="rId2112" Type="http://schemas.openxmlformats.org/officeDocument/2006/relationships/image" Target="../media/image2112.jpeg"/><Relationship Id="rId2417" Type="http://schemas.openxmlformats.org/officeDocument/2006/relationships/image" Target="../media/image2417.jpeg"/><Relationship Id="rId2764" Type="http://schemas.openxmlformats.org/officeDocument/2006/relationships/image" Target="../media/image2764.jpeg"/><Relationship Id="rId2971" Type="http://schemas.openxmlformats.org/officeDocument/2006/relationships/image" Target="../media/image2971.jpeg"/><Relationship Id="rId3815" Type="http://schemas.openxmlformats.org/officeDocument/2006/relationships/image" Target="../media/image3815.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1878" Type="http://schemas.openxmlformats.org/officeDocument/2006/relationships/image" Target="../media/image1878.jpeg"/><Relationship Id="rId2624" Type="http://schemas.openxmlformats.org/officeDocument/2006/relationships/image" Target="../media/image2624.jpeg"/><Relationship Id="rId2831" Type="http://schemas.openxmlformats.org/officeDocument/2006/relationships/image" Target="../media/image2831.jpeg"/><Relationship Id="rId2929" Type="http://schemas.openxmlformats.org/officeDocument/2006/relationships/image" Target="../media/image2929.jpeg"/><Relationship Id="rId4077" Type="http://schemas.openxmlformats.org/officeDocument/2006/relationships/image" Target="../media/image4077.jpeg"/><Relationship Id="rId72" Type="http://schemas.openxmlformats.org/officeDocument/2006/relationships/image" Target="../media/image7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738" Type="http://schemas.openxmlformats.org/officeDocument/2006/relationships/image" Target="../media/image1738.jpeg"/><Relationship Id="rId3093" Type="http://schemas.openxmlformats.org/officeDocument/2006/relationships/image" Target="../media/image3093.jpeg"/><Relationship Id="rId1500" Type="http://schemas.openxmlformats.org/officeDocument/2006/relationships/image" Target="../media/image1500.jpeg"/><Relationship Id="rId1945" Type="http://schemas.openxmlformats.org/officeDocument/2006/relationships/image" Target="../media/image1945.jpeg"/><Relationship Id="rId3160" Type="http://schemas.openxmlformats.org/officeDocument/2006/relationships/image" Target="../media/image3160.jpeg"/><Relationship Id="rId3398" Type="http://schemas.openxmlformats.org/officeDocument/2006/relationships/image" Target="../media/image3398.jpeg"/><Relationship Id="rId4004" Type="http://schemas.openxmlformats.org/officeDocument/2006/relationships/image" Target="../media/image4004.jpeg"/><Relationship Id="rId1805" Type="http://schemas.openxmlformats.org/officeDocument/2006/relationships/image" Target="../media/image1805.jpeg"/><Relationship Id="rId3020" Type="http://schemas.openxmlformats.org/officeDocument/2006/relationships/image" Target="../media/image3020.jpeg"/><Relationship Id="rId3258" Type="http://schemas.openxmlformats.org/officeDocument/2006/relationships/image" Target="../media/image3258.jpeg"/><Relationship Id="rId3465" Type="http://schemas.openxmlformats.org/officeDocument/2006/relationships/image" Target="../media/image3465.jpeg"/><Relationship Id="rId3672" Type="http://schemas.openxmlformats.org/officeDocument/2006/relationships/image" Target="../media/image3672.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2067" Type="http://schemas.openxmlformats.org/officeDocument/2006/relationships/image" Target="../media/image2067.jpeg"/><Relationship Id="rId2274" Type="http://schemas.openxmlformats.org/officeDocument/2006/relationships/image" Target="../media/image2274.jpeg"/><Relationship Id="rId2481" Type="http://schemas.openxmlformats.org/officeDocument/2006/relationships/image" Target="../media/image2481.jpeg"/><Relationship Id="rId3118" Type="http://schemas.openxmlformats.org/officeDocument/2006/relationships/image" Target="../media/image3118.jpeg"/><Relationship Id="rId3325" Type="http://schemas.openxmlformats.org/officeDocument/2006/relationships/image" Target="../media/image3325.jpeg"/><Relationship Id="rId3532" Type="http://schemas.openxmlformats.org/officeDocument/2006/relationships/image" Target="../media/image3532.jpeg"/><Relationship Id="rId3977" Type="http://schemas.openxmlformats.org/officeDocument/2006/relationships/image" Target="../media/image3977.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90.jpeg"/><Relationship Id="rId2134" Type="http://schemas.openxmlformats.org/officeDocument/2006/relationships/image" Target="../media/image2134.jpeg"/><Relationship Id="rId2341" Type="http://schemas.openxmlformats.org/officeDocument/2006/relationships/image" Target="../media/image2341.jpeg"/><Relationship Id="rId2579" Type="http://schemas.openxmlformats.org/officeDocument/2006/relationships/image" Target="../media/image2579.jpeg"/><Relationship Id="rId2786" Type="http://schemas.openxmlformats.org/officeDocument/2006/relationships/image" Target="../media/image2786.jpeg"/><Relationship Id="rId2993" Type="http://schemas.openxmlformats.org/officeDocument/2006/relationships/image" Target="../media/image2993.jpeg"/><Relationship Id="rId3837" Type="http://schemas.openxmlformats.org/officeDocument/2006/relationships/image" Target="../media/image3837.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50.jpeg"/><Relationship Id="rId1388" Type="http://schemas.openxmlformats.org/officeDocument/2006/relationships/image" Target="../media/image1388.jpeg"/><Relationship Id="rId1595" Type="http://schemas.openxmlformats.org/officeDocument/2006/relationships/image" Target="../media/image1595.jpeg"/><Relationship Id="rId2439" Type="http://schemas.openxmlformats.org/officeDocument/2006/relationships/image" Target="../media/image2439.jpeg"/><Relationship Id="rId2646" Type="http://schemas.openxmlformats.org/officeDocument/2006/relationships/image" Target="../media/image2646.jpeg"/><Relationship Id="rId2853" Type="http://schemas.openxmlformats.org/officeDocument/2006/relationships/image" Target="../media/image2853.jpeg"/><Relationship Id="rId3904" Type="http://schemas.openxmlformats.org/officeDocument/2006/relationships/image" Target="../media/image3904.jpeg"/><Relationship Id="rId94" Type="http://schemas.openxmlformats.org/officeDocument/2006/relationships/image" Target="../media/image94.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201" Type="http://schemas.openxmlformats.org/officeDocument/2006/relationships/image" Target="../media/image2201.jpeg"/><Relationship Id="rId2506" Type="http://schemas.openxmlformats.org/officeDocument/2006/relationships/image" Target="../media/image2506.jpeg"/><Relationship Id="rId1010" Type="http://schemas.openxmlformats.org/officeDocument/2006/relationships/image" Target="../media/image1010.jpeg"/><Relationship Id="rId1108" Type="http://schemas.openxmlformats.org/officeDocument/2006/relationships/image" Target="../media/image1108.jpeg"/><Relationship Id="rId1315" Type="http://schemas.openxmlformats.org/officeDocument/2006/relationships/image" Target="../media/image1315.jpeg"/><Relationship Id="rId1967" Type="http://schemas.openxmlformats.org/officeDocument/2006/relationships/image" Target="../media/image1967.jpeg"/><Relationship Id="rId2713" Type="http://schemas.openxmlformats.org/officeDocument/2006/relationships/image" Target="../media/image2713.jpeg"/><Relationship Id="rId2920" Type="http://schemas.openxmlformats.org/officeDocument/2006/relationships/image" Target="../media/image2920.jpeg"/><Relationship Id="rId1522" Type="http://schemas.openxmlformats.org/officeDocument/2006/relationships/image" Target="../media/image1522.jpeg"/><Relationship Id="rId21" Type="http://schemas.openxmlformats.org/officeDocument/2006/relationships/image" Target="../media/image21.jpeg"/><Relationship Id="rId2089" Type="http://schemas.openxmlformats.org/officeDocument/2006/relationships/image" Target="../media/image2089.jpeg"/><Relationship Id="rId3487" Type="http://schemas.openxmlformats.org/officeDocument/2006/relationships/image" Target="../media/image3487.jpeg"/><Relationship Id="rId3694" Type="http://schemas.openxmlformats.org/officeDocument/2006/relationships/image" Target="../media/image3694.jpeg"/><Relationship Id="rId2296" Type="http://schemas.openxmlformats.org/officeDocument/2006/relationships/image" Target="../media/image2296.jpeg"/><Relationship Id="rId3347" Type="http://schemas.openxmlformats.org/officeDocument/2006/relationships/image" Target="../media/image3347.jpeg"/><Relationship Id="rId3554" Type="http://schemas.openxmlformats.org/officeDocument/2006/relationships/image" Target="../media/image3554.jpeg"/><Relationship Id="rId3761" Type="http://schemas.openxmlformats.org/officeDocument/2006/relationships/image" Target="../media/image3761.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2156" Type="http://schemas.openxmlformats.org/officeDocument/2006/relationships/image" Target="../media/image2156.jpeg"/><Relationship Id="rId2363" Type="http://schemas.openxmlformats.org/officeDocument/2006/relationships/image" Target="../media/image2363.jpeg"/><Relationship Id="rId2570" Type="http://schemas.openxmlformats.org/officeDocument/2006/relationships/image" Target="../media/image2570.jpeg"/><Relationship Id="rId3207" Type="http://schemas.openxmlformats.org/officeDocument/2006/relationships/image" Target="../media/image3207.jpeg"/><Relationship Id="rId3414" Type="http://schemas.openxmlformats.org/officeDocument/2006/relationships/image" Target="../media/image3414.jpeg"/><Relationship Id="rId3621" Type="http://schemas.openxmlformats.org/officeDocument/2006/relationships/image" Target="../media/image3621.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172" Type="http://schemas.openxmlformats.org/officeDocument/2006/relationships/image" Target="../media/image1172.jpeg"/><Relationship Id="rId2016" Type="http://schemas.openxmlformats.org/officeDocument/2006/relationships/image" Target="../media/image2016.jpeg"/><Relationship Id="rId2223" Type="http://schemas.openxmlformats.org/officeDocument/2006/relationships/image" Target="../media/image2223.jpeg"/><Relationship Id="rId2430" Type="http://schemas.openxmlformats.org/officeDocument/2006/relationships/image" Target="../media/image2430.jpeg"/><Relationship Id="rId402" Type="http://schemas.openxmlformats.org/officeDocument/2006/relationships/image" Target="../media/image402.jpeg"/><Relationship Id="rId1032" Type="http://schemas.openxmlformats.org/officeDocument/2006/relationships/image" Target="../media/image1032.jpeg"/><Relationship Id="rId1989" Type="http://schemas.openxmlformats.org/officeDocument/2006/relationships/image" Target="../media/image1989.jpeg"/><Relationship Id="rId4048" Type="http://schemas.openxmlformats.org/officeDocument/2006/relationships/image" Target="../media/image4048.jpeg"/><Relationship Id="rId1849" Type="http://schemas.openxmlformats.org/officeDocument/2006/relationships/image" Target="../media/image1849.jpeg"/><Relationship Id="rId3064" Type="http://schemas.openxmlformats.org/officeDocument/2006/relationships/image" Target="../media/image3064.jpe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3271" Type="http://schemas.openxmlformats.org/officeDocument/2006/relationships/image" Target="../media/image3271.jpeg"/><Relationship Id="rId2080" Type="http://schemas.openxmlformats.org/officeDocument/2006/relationships/image" Target="../media/image2080.jpeg"/><Relationship Id="rId3131" Type="http://schemas.openxmlformats.org/officeDocument/2006/relationships/image" Target="../media/image3131.jpeg"/><Relationship Id="rId2897" Type="http://schemas.openxmlformats.org/officeDocument/2006/relationships/image" Target="../media/image2897.jpeg"/><Relationship Id="rId3948" Type="http://schemas.openxmlformats.org/officeDocument/2006/relationships/image" Target="../media/image3948.jpeg"/><Relationship Id="rId869" Type="http://schemas.openxmlformats.org/officeDocument/2006/relationships/image" Target="../media/image869.jpeg"/><Relationship Id="rId1499" Type="http://schemas.openxmlformats.org/officeDocument/2006/relationships/image" Target="../media/image1499.jpeg"/><Relationship Id="rId729" Type="http://schemas.openxmlformats.org/officeDocument/2006/relationships/image" Target="../media/image729.jpeg"/><Relationship Id="rId1359" Type="http://schemas.openxmlformats.org/officeDocument/2006/relationships/image" Target="../media/image1359.jpeg"/><Relationship Id="rId2757" Type="http://schemas.openxmlformats.org/officeDocument/2006/relationships/image" Target="../media/image2757.jpeg"/><Relationship Id="rId2964" Type="http://schemas.openxmlformats.org/officeDocument/2006/relationships/image" Target="../media/image2964.jpeg"/><Relationship Id="rId3808" Type="http://schemas.openxmlformats.org/officeDocument/2006/relationships/image" Target="../media/image3808.jpeg"/><Relationship Id="rId936" Type="http://schemas.openxmlformats.org/officeDocument/2006/relationships/image" Target="../media/image936.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1980" Type="http://schemas.openxmlformats.org/officeDocument/2006/relationships/image" Target="../media/image1980.jpeg"/><Relationship Id="rId2617" Type="http://schemas.openxmlformats.org/officeDocument/2006/relationships/image" Target="../media/image2617.jpeg"/><Relationship Id="rId2824" Type="http://schemas.openxmlformats.org/officeDocument/2006/relationships/image" Target="../media/image2824.jpe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1700" Type="http://schemas.openxmlformats.org/officeDocument/2006/relationships/image" Target="../media/image1700.jpeg"/><Relationship Id="rId3598" Type="http://schemas.openxmlformats.org/officeDocument/2006/relationships/image" Target="../media/image3598.jpeg"/><Relationship Id="rId3458" Type="http://schemas.openxmlformats.org/officeDocument/2006/relationships/image" Target="../media/image3458.jpeg"/><Relationship Id="rId3665" Type="http://schemas.openxmlformats.org/officeDocument/2006/relationships/image" Target="../media/image3665.jpeg"/><Relationship Id="rId3872" Type="http://schemas.openxmlformats.org/officeDocument/2006/relationships/image" Target="../media/image3872.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2267" Type="http://schemas.openxmlformats.org/officeDocument/2006/relationships/image" Target="../media/image2267.jpeg"/><Relationship Id="rId2474" Type="http://schemas.openxmlformats.org/officeDocument/2006/relationships/image" Target="../media/image2474.jpeg"/><Relationship Id="rId2681" Type="http://schemas.openxmlformats.org/officeDocument/2006/relationships/image" Target="../media/image2681.jpeg"/><Relationship Id="rId3318" Type="http://schemas.openxmlformats.org/officeDocument/2006/relationships/image" Target="../media/image3318.jpeg"/><Relationship Id="rId3525" Type="http://schemas.openxmlformats.org/officeDocument/2006/relationships/image" Target="../media/image3525.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2127" Type="http://schemas.openxmlformats.org/officeDocument/2006/relationships/image" Target="../media/image2127.jpeg"/><Relationship Id="rId2334" Type="http://schemas.openxmlformats.org/officeDocument/2006/relationships/image" Target="../media/image2334.jpeg"/><Relationship Id="rId3732" Type="http://schemas.openxmlformats.org/officeDocument/2006/relationships/image" Target="../media/image3732.jpeg"/><Relationship Id="rId306" Type="http://schemas.openxmlformats.org/officeDocument/2006/relationships/image" Target="../media/image306.jpeg"/><Relationship Id="rId860" Type="http://schemas.openxmlformats.org/officeDocument/2006/relationships/image" Target="../media/image860.jpeg"/><Relationship Id="rId1143" Type="http://schemas.openxmlformats.org/officeDocument/2006/relationships/image" Target="../media/image1143.jpeg"/><Relationship Id="rId2541" Type="http://schemas.openxmlformats.org/officeDocument/2006/relationships/image" Target="../media/image2541.jpeg"/><Relationship Id="rId513" Type="http://schemas.openxmlformats.org/officeDocument/2006/relationships/image" Target="../media/image513.jpeg"/><Relationship Id="rId720" Type="http://schemas.openxmlformats.org/officeDocument/2006/relationships/image" Target="../media/image720.jpeg"/><Relationship Id="rId1350" Type="http://schemas.openxmlformats.org/officeDocument/2006/relationships/image" Target="../media/image1350.jpeg"/><Relationship Id="rId2401" Type="http://schemas.openxmlformats.org/officeDocument/2006/relationships/image" Target="../media/image2401.jpeg"/><Relationship Id="rId1003" Type="http://schemas.openxmlformats.org/officeDocument/2006/relationships/image" Target="../media/image1003.jpeg"/><Relationship Id="rId1210" Type="http://schemas.openxmlformats.org/officeDocument/2006/relationships/image" Target="../media/image1210.jpeg"/><Relationship Id="rId3175" Type="http://schemas.openxmlformats.org/officeDocument/2006/relationships/image" Target="../media/image3175.jpeg"/><Relationship Id="rId3382" Type="http://schemas.openxmlformats.org/officeDocument/2006/relationships/image" Target="../media/image3382.jpeg"/><Relationship Id="rId4019" Type="http://schemas.openxmlformats.org/officeDocument/2006/relationships/image" Target="../media/image4019.jpeg"/><Relationship Id="rId2191" Type="http://schemas.openxmlformats.org/officeDocument/2006/relationships/image" Target="../media/image2191.jpeg"/><Relationship Id="rId3035" Type="http://schemas.openxmlformats.org/officeDocument/2006/relationships/image" Target="../media/image3035.jpeg"/><Relationship Id="rId3242" Type="http://schemas.openxmlformats.org/officeDocument/2006/relationships/image" Target="../media/image3242.jpeg"/><Relationship Id="rId163" Type="http://schemas.openxmlformats.org/officeDocument/2006/relationships/image" Target="../media/image163.jpeg"/><Relationship Id="rId370" Type="http://schemas.openxmlformats.org/officeDocument/2006/relationships/image" Target="../media/image370.jpeg"/><Relationship Id="rId2051" Type="http://schemas.openxmlformats.org/officeDocument/2006/relationships/image" Target="../media/image2051.jpeg"/><Relationship Id="rId3102" Type="http://schemas.openxmlformats.org/officeDocument/2006/relationships/image" Target="../media/image3102.jpeg"/><Relationship Id="rId230" Type="http://schemas.openxmlformats.org/officeDocument/2006/relationships/image" Target="../media/image230.jpeg"/><Relationship Id="rId2868" Type="http://schemas.openxmlformats.org/officeDocument/2006/relationships/image" Target="../media/image2868.jpeg"/><Relationship Id="rId3919" Type="http://schemas.openxmlformats.org/officeDocument/2006/relationships/image" Target="../media/image3919.jpeg"/><Relationship Id="rId1677" Type="http://schemas.openxmlformats.org/officeDocument/2006/relationships/image" Target="../media/image1677.jpeg"/><Relationship Id="rId1884" Type="http://schemas.openxmlformats.org/officeDocument/2006/relationships/image" Target="../media/image1884.jpeg"/><Relationship Id="rId2728" Type="http://schemas.openxmlformats.org/officeDocument/2006/relationships/image" Target="../media/image2728.jpeg"/><Relationship Id="rId2935" Type="http://schemas.openxmlformats.org/officeDocument/2006/relationships/image" Target="../media/image2935.jpe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jpeg"/><Relationship Id="rId36" Type="http://schemas.openxmlformats.org/officeDocument/2006/relationships/image" Target="../media/image36.jpeg"/><Relationship Id="rId1604" Type="http://schemas.openxmlformats.org/officeDocument/2006/relationships/image" Target="../media/image1604.jpeg"/><Relationship Id="rId4010" Type="http://schemas.openxmlformats.org/officeDocument/2006/relationships/image" Target="../media/image4010.jpeg"/><Relationship Id="rId1811" Type="http://schemas.openxmlformats.org/officeDocument/2006/relationships/image" Target="../media/image1811.jpeg"/><Relationship Id="rId3569" Type="http://schemas.openxmlformats.org/officeDocument/2006/relationships/image" Target="../media/image3569.jpeg"/><Relationship Id="rId697" Type="http://schemas.openxmlformats.org/officeDocument/2006/relationships/image" Target="../media/image697.jpeg"/><Relationship Id="rId2378" Type="http://schemas.openxmlformats.org/officeDocument/2006/relationships/image" Target="../media/image2378.jpeg"/><Relationship Id="rId3429" Type="http://schemas.openxmlformats.org/officeDocument/2006/relationships/image" Target="../media/image3429.jpeg"/><Relationship Id="rId3776" Type="http://schemas.openxmlformats.org/officeDocument/2006/relationships/image" Target="../media/image3776.jpeg"/><Relationship Id="rId3983" Type="http://schemas.openxmlformats.org/officeDocument/2006/relationships/image" Target="../media/image3983.jpeg"/><Relationship Id="rId1187" Type="http://schemas.openxmlformats.org/officeDocument/2006/relationships/image" Target="../media/image1187.jpeg"/><Relationship Id="rId2585" Type="http://schemas.openxmlformats.org/officeDocument/2006/relationships/image" Target="../media/image2585.jpeg"/><Relationship Id="rId2792" Type="http://schemas.openxmlformats.org/officeDocument/2006/relationships/image" Target="../media/image2792.jpeg"/><Relationship Id="rId3636" Type="http://schemas.openxmlformats.org/officeDocument/2006/relationships/image" Target="../media/image3636.jpeg"/><Relationship Id="rId3843" Type="http://schemas.openxmlformats.org/officeDocument/2006/relationships/image" Target="../media/image3843.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2238" Type="http://schemas.openxmlformats.org/officeDocument/2006/relationships/image" Target="../media/image2238.jpeg"/><Relationship Id="rId2445" Type="http://schemas.openxmlformats.org/officeDocument/2006/relationships/image" Target="../media/image2445.jpeg"/><Relationship Id="rId2652" Type="http://schemas.openxmlformats.org/officeDocument/2006/relationships/image" Target="../media/image2652.jpeg"/><Relationship Id="rId3703" Type="http://schemas.openxmlformats.org/officeDocument/2006/relationships/image" Target="../media/image3703.jpeg"/><Relationship Id="rId3910" Type="http://schemas.openxmlformats.org/officeDocument/2006/relationships/image" Target="../media/image3910.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jpeg"/><Relationship Id="rId2512" Type="http://schemas.openxmlformats.org/officeDocument/2006/relationships/image" Target="../media/image2512.jpeg"/><Relationship Id="rId1114" Type="http://schemas.openxmlformats.org/officeDocument/2006/relationships/image" Target="../media/image1114.jpeg"/><Relationship Id="rId1321" Type="http://schemas.openxmlformats.org/officeDocument/2006/relationships/image" Target="../media/image1321.jpeg"/><Relationship Id="rId3079" Type="http://schemas.openxmlformats.org/officeDocument/2006/relationships/image" Target="../media/image3079.jpeg"/><Relationship Id="rId3286" Type="http://schemas.openxmlformats.org/officeDocument/2006/relationships/image" Target="../media/image3286.jpeg"/><Relationship Id="rId3493" Type="http://schemas.openxmlformats.org/officeDocument/2006/relationships/image" Target="../media/image3493.jpeg"/><Relationship Id="rId2095" Type="http://schemas.openxmlformats.org/officeDocument/2006/relationships/image" Target="../media/image2095.jpeg"/><Relationship Id="rId3146" Type="http://schemas.openxmlformats.org/officeDocument/2006/relationships/image" Target="../media/image3146.jpeg"/><Relationship Id="rId3353" Type="http://schemas.openxmlformats.org/officeDocument/2006/relationships/image" Target="../media/image3353.jpeg"/><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jpeg"/><Relationship Id="rId3006" Type="http://schemas.openxmlformats.org/officeDocument/2006/relationships/image" Target="../media/image3006.jpeg"/><Relationship Id="rId3560" Type="http://schemas.openxmlformats.org/officeDocument/2006/relationships/image" Target="../media/image3560.jpeg"/><Relationship Id="rId134" Type="http://schemas.openxmlformats.org/officeDocument/2006/relationships/image" Target="../media/image134.jpeg"/><Relationship Id="rId3213" Type="http://schemas.openxmlformats.org/officeDocument/2006/relationships/image" Target="../media/image3213.jpeg"/><Relationship Id="rId3420" Type="http://schemas.openxmlformats.org/officeDocument/2006/relationships/image" Target="../media/image3420.jpeg"/><Relationship Id="rId341" Type="http://schemas.openxmlformats.org/officeDocument/2006/relationships/image" Target="../media/image341.jpeg"/><Relationship Id="rId2022" Type="http://schemas.openxmlformats.org/officeDocument/2006/relationships/image" Target="../media/image2022.jpeg"/><Relationship Id="rId2979" Type="http://schemas.openxmlformats.org/officeDocument/2006/relationships/image" Target="../media/image2979.jpe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eg"/><Relationship Id="rId2839" Type="http://schemas.openxmlformats.org/officeDocument/2006/relationships/image" Target="../media/image2839.jpeg"/><Relationship Id="rId1648" Type="http://schemas.openxmlformats.org/officeDocument/2006/relationships/image" Target="../media/image1648.jpeg"/><Relationship Id="rId4054" Type="http://schemas.openxmlformats.org/officeDocument/2006/relationships/image" Target="../media/image4054.jpeg"/><Relationship Id="rId1508" Type="http://schemas.openxmlformats.org/officeDocument/2006/relationships/image" Target="../media/image1508.jpeg"/><Relationship Id="rId1855" Type="http://schemas.openxmlformats.org/officeDocument/2006/relationships/image" Target="../media/image1855.jpeg"/><Relationship Id="rId2906" Type="http://schemas.openxmlformats.org/officeDocument/2006/relationships/image" Target="../media/image2906.jpeg"/><Relationship Id="rId3070" Type="http://schemas.openxmlformats.org/officeDocument/2006/relationships/image" Target="../media/image3070.jpeg"/><Relationship Id="rId1715" Type="http://schemas.openxmlformats.org/officeDocument/2006/relationships/image" Target="../media/image1715.jpeg"/><Relationship Id="rId1922" Type="http://schemas.openxmlformats.org/officeDocument/2006/relationships/image" Target="../media/image1922.jpeg"/><Relationship Id="rId3887" Type="http://schemas.openxmlformats.org/officeDocument/2006/relationships/image" Target="../media/image3887.jpeg"/><Relationship Id="rId2489" Type="http://schemas.openxmlformats.org/officeDocument/2006/relationships/image" Target="../media/image2489.jpeg"/><Relationship Id="rId2696" Type="http://schemas.openxmlformats.org/officeDocument/2006/relationships/image" Target="../media/image2696.jpeg"/><Relationship Id="rId3747" Type="http://schemas.openxmlformats.org/officeDocument/2006/relationships/image" Target="../media/image3747.jpeg"/><Relationship Id="rId3954" Type="http://schemas.openxmlformats.org/officeDocument/2006/relationships/image" Target="../media/image3954.jpeg"/><Relationship Id="rId668" Type="http://schemas.openxmlformats.org/officeDocument/2006/relationships/image" Target="../media/image668.jpeg"/><Relationship Id="rId875" Type="http://schemas.openxmlformats.org/officeDocument/2006/relationships/image" Target="../media/image875.jpeg"/><Relationship Id="rId1298" Type="http://schemas.openxmlformats.org/officeDocument/2006/relationships/image" Target="../media/image1298.jpeg"/><Relationship Id="rId2349" Type="http://schemas.openxmlformats.org/officeDocument/2006/relationships/image" Target="../media/image2349.jpeg"/><Relationship Id="rId2556" Type="http://schemas.openxmlformats.org/officeDocument/2006/relationships/image" Target="../media/image2556.jpeg"/><Relationship Id="rId2763" Type="http://schemas.openxmlformats.org/officeDocument/2006/relationships/image" Target="../media/image2763.jpeg"/><Relationship Id="rId2970" Type="http://schemas.openxmlformats.org/officeDocument/2006/relationships/image" Target="../media/image2970.jpeg"/><Relationship Id="rId3607" Type="http://schemas.openxmlformats.org/officeDocument/2006/relationships/image" Target="../media/image3607.jpeg"/><Relationship Id="rId3814" Type="http://schemas.openxmlformats.org/officeDocument/2006/relationships/image" Target="../media/image3814.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eg"/><Relationship Id="rId2416" Type="http://schemas.openxmlformats.org/officeDocument/2006/relationships/image" Target="../media/image2416.jpeg"/><Relationship Id="rId2623" Type="http://schemas.openxmlformats.org/officeDocument/2006/relationships/image" Target="../media/image2623.jpe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2830" Type="http://schemas.openxmlformats.org/officeDocument/2006/relationships/image" Target="../media/image2830.jpeg"/><Relationship Id="rId71" Type="http://schemas.openxmlformats.org/officeDocument/2006/relationships/image" Target="../media/image71.jpeg"/><Relationship Id="rId802" Type="http://schemas.openxmlformats.org/officeDocument/2006/relationships/image" Target="../media/image802.jpeg"/><Relationship Id="rId3397" Type="http://schemas.openxmlformats.org/officeDocument/2006/relationships/image" Target="../media/image3397.jpeg"/><Relationship Id="rId178" Type="http://schemas.openxmlformats.org/officeDocument/2006/relationships/image" Target="../media/image178.jpeg"/><Relationship Id="rId3257" Type="http://schemas.openxmlformats.org/officeDocument/2006/relationships/image" Target="../media/image3257.jpeg"/><Relationship Id="rId3464" Type="http://schemas.openxmlformats.org/officeDocument/2006/relationships/image" Target="../media/image3464.jpeg"/><Relationship Id="rId3671" Type="http://schemas.openxmlformats.org/officeDocument/2006/relationships/image" Target="../media/image3671.jpeg"/><Relationship Id="rId385" Type="http://schemas.openxmlformats.org/officeDocument/2006/relationships/image" Target="../media/image385.jpeg"/><Relationship Id="rId592" Type="http://schemas.openxmlformats.org/officeDocument/2006/relationships/image" Target="../media/image592.jpeg"/><Relationship Id="rId2066" Type="http://schemas.openxmlformats.org/officeDocument/2006/relationships/image" Target="../media/image2066.jpeg"/><Relationship Id="rId2273" Type="http://schemas.openxmlformats.org/officeDocument/2006/relationships/image" Target="../media/image2273.jpeg"/><Relationship Id="rId2480" Type="http://schemas.openxmlformats.org/officeDocument/2006/relationships/image" Target="../media/image2480.jpeg"/><Relationship Id="rId3117" Type="http://schemas.openxmlformats.org/officeDocument/2006/relationships/image" Target="../media/image3117.jpeg"/><Relationship Id="rId3324" Type="http://schemas.openxmlformats.org/officeDocument/2006/relationships/image" Target="../media/image3324.jpeg"/><Relationship Id="rId3531" Type="http://schemas.openxmlformats.org/officeDocument/2006/relationships/image" Target="../media/image3531.jpe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jpeg"/><Relationship Id="rId2133" Type="http://schemas.openxmlformats.org/officeDocument/2006/relationships/image" Target="../media/image2133.jpeg"/><Relationship Id="rId2340" Type="http://schemas.openxmlformats.org/officeDocument/2006/relationships/image" Target="../media/image2340.jpeg"/><Relationship Id="rId105" Type="http://schemas.openxmlformats.org/officeDocument/2006/relationships/image" Target="../media/image105.jpeg"/><Relationship Id="rId312" Type="http://schemas.openxmlformats.org/officeDocument/2006/relationships/image" Target="../media/image312.jpeg"/><Relationship Id="rId2200" Type="http://schemas.openxmlformats.org/officeDocument/2006/relationships/image" Target="../media/image2200.jpeg"/><Relationship Id="rId1899" Type="http://schemas.openxmlformats.org/officeDocument/2006/relationships/image" Target="../media/image1899.jpeg"/><Relationship Id="rId1759" Type="http://schemas.openxmlformats.org/officeDocument/2006/relationships/image" Target="../media/image1759.jpeg"/><Relationship Id="rId1966" Type="http://schemas.openxmlformats.org/officeDocument/2006/relationships/image" Target="../media/image1966.jpeg"/><Relationship Id="rId3181" Type="http://schemas.openxmlformats.org/officeDocument/2006/relationships/image" Target="../media/image3181.jpeg"/><Relationship Id="rId4025" Type="http://schemas.openxmlformats.org/officeDocument/2006/relationships/image" Target="../media/image4025.jpeg"/><Relationship Id="rId1619" Type="http://schemas.openxmlformats.org/officeDocument/2006/relationships/image" Target="../media/image1619.jpeg"/><Relationship Id="rId1826" Type="http://schemas.openxmlformats.org/officeDocument/2006/relationships/image" Target="../media/image1826.jpeg"/><Relationship Id="rId3041" Type="http://schemas.openxmlformats.org/officeDocument/2006/relationships/image" Target="../media/image3041.jpeg"/><Relationship Id="rId3998" Type="http://schemas.openxmlformats.org/officeDocument/2006/relationships/image" Target="../media/image3998.jpeg"/><Relationship Id="rId3858" Type="http://schemas.openxmlformats.org/officeDocument/2006/relationships/image" Target="../media/image3858.jpeg"/><Relationship Id="rId779" Type="http://schemas.openxmlformats.org/officeDocument/2006/relationships/image" Target="../media/image779.jpeg"/><Relationship Id="rId986" Type="http://schemas.openxmlformats.org/officeDocument/2006/relationships/image" Target="../media/image986.jpeg"/><Relationship Id="rId2667" Type="http://schemas.openxmlformats.org/officeDocument/2006/relationships/image" Target="../media/image2667.jpeg"/><Relationship Id="rId3718" Type="http://schemas.openxmlformats.org/officeDocument/2006/relationships/image" Target="../media/image3718.jpeg"/><Relationship Id="rId639" Type="http://schemas.openxmlformats.org/officeDocument/2006/relationships/image" Target="../media/image639.jpeg"/><Relationship Id="rId1269" Type="http://schemas.openxmlformats.org/officeDocument/2006/relationships/image" Target="../media/image1269.jpeg"/><Relationship Id="rId1476" Type="http://schemas.openxmlformats.org/officeDocument/2006/relationships/image" Target="../media/image1476.jpeg"/><Relationship Id="rId2874" Type="http://schemas.openxmlformats.org/officeDocument/2006/relationships/image" Target="../media/image2874.jpeg"/><Relationship Id="rId3925" Type="http://schemas.openxmlformats.org/officeDocument/2006/relationships/image" Target="../media/image3925.jpeg"/><Relationship Id="rId846" Type="http://schemas.openxmlformats.org/officeDocument/2006/relationships/image" Target="../media/image846.jpeg"/><Relationship Id="rId1129" Type="http://schemas.openxmlformats.org/officeDocument/2006/relationships/image" Target="../media/image1129.jpeg"/><Relationship Id="rId1683" Type="http://schemas.openxmlformats.org/officeDocument/2006/relationships/image" Target="../media/image1683.jpeg"/><Relationship Id="rId1890" Type="http://schemas.openxmlformats.org/officeDocument/2006/relationships/image" Target="../media/image1890.jpeg"/><Relationship Id="rId2527" Type="http://schemas.openxmlformats.org/officeDocument/2006/relationships/image" Target="../media/image2527.jpeg"/><Relationship Id="rId2734" Type="http://schemas.openxmlformats.org/officeDocument/2006/relationships/image" Target="../media/image2734.jpeg"/><Relationship Id="rId2941" Type="http://schemas.openxmlformats.org/officeDocument/2006/relationships/image" Target="../media/image2941.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eg"/><Relationship Id="rId42" Type="http://schemas.openxmlformats.org/officeDocument/2006/relationships/image" Target="../media/image42.jpeg"/><Relationship Id="rId1403" Type="http://schemas.openxmlformats.org/officeDocument/2006/relationships/image" Target="../media/image1403.jpeg"/><Relationship Id="rId1610" Type="http://schemas.openxmlformats.org/officeDocument/2006/relationships/image" Target="../media/image1610.jpeg"/><Relationship Id="rId3368" Type="http://schemas.openxmlformats.org/officeDocument/2006/relationships/image" Target="../media/image3368.jpeg"/><Relationship Id="rId3575" Type="http://schemas.openxmlformats.org/officeDocument/2006/relationships/image" Target="../media/image3575.jpeg"/><Relationship Id="rId3782" Type="http://schemas.openxmlformats.org/officeDocument/2006/relationships/image" Target="../media/image3782.jpe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jpeg"/><Relationship Id="rId2384" Type="http://schemas.openxmlformats.org/officeDocument/2006/relationships/image" Target="../media/image2384.jpeg"/><Relationship Id="rId2591" Type="http://schemas.openxmlformats.org/officeDocument/2006/relationships/image" Target="../media/image2591.jpeg"/><Relationship Id="rId3228" Type="http://schemas.openxmlformats.org/officeDocument/2006/relationships/image" Target="../media/image3228.jpeg"/><Relationship Id="rId3435" Type="http://schemas.openxmlformats.org/officeDocument/2006/relationships/image" Target="../media/image3435.jpeg"/><Relationship Id="rId3642" Type="http://schemas.openxmlformats.org/officeDocument/2006/relationships/image" Target="../media/image3642.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2037" Type="http://schemas.openxmlformats.org/officeDocument/2006/relationships/image" Target="../media/image2037.jpeg"/><Relationship Id="rId2244" Type="http://schemas.openxmlformats.org/officeDocument/2006/relationships/image" Target="../media/image2244.jpeg"/><Relationship Id="rId2451" Type="http://schemas.openxmlformats.org/officeDocument/2006/relationships/image" Target="../media/image2451.jpeg"/><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jpeg"/><Relationship Id="rId1260" Type="http://schemas.openxmlformats.org/officeDocument/2006/relationships/image" Target="../media/image1260.jpeg"/><Relationship Id="rId2104" Type="http://schemas.openxmlformats.org/officeDocument/2006/relationships/image" Target="../media/image2104.jpeg"/><Relationship Id="rId3502" Type="http://schemas.openxmlformats.org/officeDocument/2006/relationships/image" Target="../media/image3502.jpeg"/><Relationship Id="rId630" Type="http://schemas.openxmlformats.org/officeDocument/2006/relationships/image" Target="../media/image630.jpeg"/><Relationship Id="rId2311" Type="http://schemas.openxmlformats.org/officeDocument/2006/relationships/image" Target="../media/image2311.jpeg"/><Relationship Id="rId4069" Type="http://schemas.openxmlformats.org/officeDocument/2006/relationships/image" Target="../media/image4069.jpeg"/><Relationship Id="rId1120" Type="http://schemas.openxmlformats.org/officeDocument/2006/relationships/image" Target="../media/image1120.jpeg"/><Relationship Id="rId1937" Type="http://schemas.openxmlformats.org/officeDocument/2006/relationships/image" Target="../media/image1937.jpeg"/><Relationship Id="rId3085" Type="http://schemas.openxmlformats.org/officeDocument/2006/relationships/image" Target="../media/image3085.jpeg"/><Relationship Id="rId3292" Type="http://schemas.openxmlformats.org/officeDocument/2006/relationships/image" Target="../media/image3292.jpeg"/><Relationship Id="rId3152" Type="http://schemas.openxmlformats.org/officeDocument/2006/relationships/image" Target="../media/image3152.jpeg"/><Relationship Id="rId280" Type="http://schemas.openxmlformats.org/officeDocument/2006/relationships/image" Target="../media/image280.jpeg"/><Relationship Id="rId3012" Type="http://schemas.openxmlformats.org/officeDocument/2006/relationships/image" Target="../media/image3012.jpeg"/><Relationship Id="rId140" Type="http://schemas.openxmlformats.org/officeDocument/2006/relationships/image" Target="../media/image140.jpeg"/><Relationship Id="rId3969" Type="http://schemas.openxmlformats.org/officeDocument/2006/relationships/image" Target="../media/image3969.jpeg"/><Relationship Id="rId6" Type="http://schemas.openxmlformats.org/officeDocument/2006/relationships/image" Target="../media/image6.jpeg"/><Relationship Id="rId2778" Type="http://schemas.openxmlformats.org/officeDocument/2006/relationships/image" Target="../media/image2778.jpeg"/><Relationship Id="rId2985" Type="http://schemas.openxmlformats.org/officeDocument/2006/relationships/image" Target="../media/image2985.jpeg"/><Relationship Id="rId3829" Type="http://schemas.openxmlformats.org/officeDocument/2006/relationships/image" Target="../media/image3829.jpeg"/><Relationship Id="rId957" Type="http://schemas.openxmlformats.org/officeDocument/2006/relationships/image" Target="../media/image957.jpeg"/><Relationship Id="rId1587" Type="http://schemas.openxmlformats.org/officeDocument/2006/relationships/image" Target="../media/image1587.jpeg"/><Relationship Id="rId1794" Type="http://schemas.openxmlformats.org/officeDocument/2006/relationships/image" Target="../media/image1794.jpeg"/><Relationship Id="rId2638" Type="http://schemas.openxmlformats.org/officeDocument/2006/relationships/image" Target="../media/image2638.jpeg"/><Relationship Id="rId2845" Type="http://schemas.openxmlformats.org/officeDocument/2006/relationships/image" Target="../media/image2845.jpeg"/><Relationship Id="rId86" Type="http://schemas.openxmlformats.org/officeDocument/2006/relationships/image" Target="../media/image86.jpeg"/><Relationship Id="rId817" Type="http://schemas.openxmlformats.org/officeDocument/2006/relationships/image" Target="../media/image817.jpe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jpeg"/><Relationship Id="rId2912" Type="http://schemas.openxmlformats.org/officeDocument/2006/relationships/image" Target="../media/image2912.jpeg"/><Relationship Id="rId4060" Type="http://schemas.openxmlformats.org/officeDocument/2006/relationships/image" Target="../media/image4060.jpe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3479" Type="http://schemas.openxmlformats.org/officeDocument/2006/relationships/image" Target="../media/image3479.jpeg"/><Relationship Id="rId3686" Type="http://schemas.openxmlformats.org/officeDocument/2006/relationships/image" Target="../media/image3686.jpeg"/><Relationship Id="rId2288" Type="http://schemas.openxmlformats.org/officeDocument/2006/relationships/image" Target="../media/image2288.jpeg"/><Relationship Id="rId2495" Type="http://schemas.openxmlformats.org/officeDocument/2006/relationships/image" Target="../media/image2495.jpeg"/><Relationship Id="rId3339" Type="http://schemas.openxmlformats.org/officeDocument/2006/relationships/image" Target="../media/image3339.jpeg"/><Relationship Id="rId3893" Type="http://schemas.openxmlformats.org/officeDocument/2006/relationships/image" Target="../media/image3893.jpeg"/><Relationship Id="rId467" Type="http://schemas.openxmlformats.org/officeDocument/2006/relationships/image" Target="../media/image467.jpeg"/><Relationship Id="rId1097" Type="http://schemas.openxmlformats.org/officeDocument/2006/relationships/image" Target="../media/image1097.jpeg"/><Relationship Id="rId2148" Type="http://schemas.openxmlformats.org/officeDocument/2006/relationships/image" Target="../media/image2148.jpeg"/><Relationship Id="rId3546" Type="http://schemas.openxmlformats.org/officeDocument/2006/relationships/image" Target="../media/image3546.jpeg"/><Relationship Id="rId3753" Type="http://schemas.openxmlformats.org/officeDocument/2006/relationships/image" Target="../media/image3753.jpeg"/><Relationship Id="rId3960" Type="http://schemas.openxmlformats.org/officeDocument/2006/relationships/image" Target="../media/image3960.jpeg"/><Relationship Id="rId674" Type="http://schemas.openxmlformats.org/officeDocument/2006/relationships/image" Target="../media/image674.jpeg"/><Relationship Id="rId881" Type="http://schemas.openxmlformats.org/officeDocument/2006/relationships/image" Target="../media/image881.jpeg"/><Relationship Id="rId2355" Type="http://schemas.openxmlformats.org/officeDocument/2006/relationships/image" Target="../media/image2355.jpeg"/><Relationship Id="rId2562" Type="http://schemas.openxmlformats.org/officeDocument/2006/relationships/image" Target="../media/image2562.jpeg"/><Relationship Id="rId3406" Type="http://schemas.openxmlformats.org/officeDocument/2006/relationships/image" Target="../media/image3406.jpeg"/><Relationship Id="rId3613" Type="http://schemas.openxmlformats.org/officeDocument/2006/relationships/image" Target="../media/image3613.jpeg"/><Relationship Id="rId3820" Type="http://schemas.openxmlformats.org/officeDocument/2006/relationships/image" Target="../media/image3820.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1164" Type="http://schemas.openxmlformats.org/officeDocument/2006/relationships/image" Target="../media/image1164.jpeg"/><Relationship Id="rId1371" Type="http://schemas.openxmlformats.org/officeDocument/2006/relationships/image" Target="../media/image1371.jpeg"/><Relationship Id="rId2008" Type="http://schemas.openxmlformats.org/officeDocument/2006/relationships/image" Target="../media/image2008.jpeg"/><Relationship Id="rId2215" Type="http://schemas.openxmlformats.org/officeDocument/2006/relationships/image" Target="../media/image2215.jpeg"/><Relationship Id="rId2422" Type="http://schemas.openxmlformats.org/officeDocument/2006/relationships/image" Target="../media/image2422.jpe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3196" Type="http://schemas.openxmlformats.org/officeDocument/2006/relationships/image" Target="../media/image3196.jpeg"/><Relationship Id="rId3056" Type="http://schemas.openxmlformats.org/officeDocument/2006/relationships/image" Target="../media/image3056.jpeg"/><Relationship Id="rId3263" Type="http://schemas.openxmlformats.org/officeDocument/2006/relationships/image" Target="../media/image3263.jpeg"/><Relationship Id="rId3470" Type="http://schemas.openxmlformats.org/officeDocument/2006/relationships/image" Target="../media/image3470.jpe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eg"/><Relationship Id="rId3123" Type="http://schemas.openxmlformats.org/officeDocument/2006/relationships/image" Target="../media/image3123.jpeg"/><Relationship Id="rId251" Type="http://schemas.openxmlformats.org/officeDocument/2006/relationships/image" Target="../media/image251.jpeg"/><Relationship Id="rId3330" Type="http://schemas.openxmlformats.org/officeDocument/2006/relationships/image" Target="../media/image3330.jpeg"/><Relationship Id="rId2889" Type="http://schemas.openxmlformats.org/officeDocument/2006/relationships/image" Target="../media/image2889.jpeg"/><Relationship Id="rId111" Type="http://schemas.openxmlformats.org/officeDocument/2006/relationships/image" Target="../media/image111.jpeg"/><Relationship Id="rId1698" Type="http://schemas.openxmlformats.org/officeDocument/2006/relationships/image" Target="../media/image1698.jpeg"/><Relationship Id="rId2749" Type="http://schemas.openxmlformats.org/officeDocument/2006/relationships/image" Target="../media/image2749.jpeg"/><Relationship Id="rId2956" Type="http://schemas.openxmlformats.org/officeDocument/2006/relationships/image" Target="../media/image2956.jpeg"/><Relationship Id="rId928" Type="http://schemas.openxmlformats.org/officeDocument/2006/relationships/image" Target="../media/image928.jpeg"/><Relationship Id="rId1558" Type="http://schemas.openxmlformats.org/officeDocument/2006/relationships/image" Target="../media/image1558.jpeg"/><Relationship Id="rId1765" Type="http://schemas.openxmlformats.org/officeDocument/2006/relationships/image" Target="../media/image1765.jpeg"/><Relationship Id="rId2609" Type="http://schemas.openxmlformats.org/officeDocument/2006/relationships/image" Target="../media/image2609.jpeg"/><Relationship Id="rId57" Type="http://schemas.openxmlformats.org/officeDocument/2006/relationships/image" Target="../media/image57.jpeg"/><Relationship Id="rId1418" Type="http://schemas.openxmlformats.org/officeDocument/2006/relationships/image" Target="../media/image1418.jpeg"/><Relationship Id="rId1972" Type="http://schemas.openxmlformats.org/officeDocument/2006/relationships/image" Target="../media/image1972.jpeg"/><Relationship Id="rId2816" Type="http://schemas.openxmlformats.org/officeDocument/2006/relationships/image" Target="../media/image2816.jpeg"/><Relationship Id="rId4031" Type="http://schemas.openxmlformats.org/officeDocument/2006/relationships/image" Target="../media/image4031.jpeg"/><Relationship Id="rId1625" Type="http://schemas.openxmlformats.org/officeDocument/2006/relationships/image" Target="../media/image1625.jpeg"/><Relationship Id="rId1832" Type="http://schemas.openxmlformats.org/officeDocument/2006/relationships/image" Target="../media/image1832.jpeg"/><Relationship Id="rId3797" Type="http://schemas.openxmlformats.org/officeDocument/2006/relationships/image" Target="../media/image3797.jpeg"/><Relationship Id="rId2399" Type="http://schemas.openxmlformats.org/officeDocument/2006/relationships/image" Target="../media/image2399.jpeg"/><Relationship Id="rId3657" Type="http://schemas.openxmlformats.org/officeDocument/2006/relationships/image" Target="../media/image3657.jpeg"/><Relationship Id="rId3864" Type="http://schemas.openxmlformats.org/officeDocument/2006/relationships/image" Target="../media/image3864.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259" Type="http://schemas.openxmlformats.org/officeDocument/2006/relationships/image" Target="../media/image2259.jpeg"/><Relationship Id="rId2466" Type="http://schemas.openxmlformats.org/officeDocument/2006/relationships/image" Target="../media/image2466.jpeg"/><Relationship Id="rId2673" Type="http://schemas.openxmlformats.org/officeDocument/2006/relationships/image" Target="../media/image2673.jpeg"/><Relationship Id="rId2880" Type="http://schemas.openxmlformats.org/officeDocument/2006/relationships/image" Target="../media/image2880.jpeg"/><Relationship Id="rId3517" Type="http://schemas.openxmlformats.org/officeDocument/2006/relationships/image" Target="../media/image3517.jpeg"/><Relationship Id="rId3724" Type="http://schemas.openxmlformats.org/officeDocument/2006/relationships/image" Target="../media/image3724.jpeg"/><Relationship Id="rId3931" Type="http://schemas.openxmlformats.org/officeDocument/2006/relationships/image" Target="../media/image3931.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2119" Type="http://schemas.openxmlformats.org/officeDocument/2006/relationships/image" Target="../media/image2119.jpeg"/><Relationship Id="rId2326" Type="http://schemas.openxmlformats.org/officeDocument/2006/relationships/image" Target="../media/image2326.jpeg"/><Relationship Id="rId2533" Type="http://schemas.openxmlformats.org/officeDocument/2006/relationships/image" Target="../media/image2533.jpeg"/><Relationship Id="rId2740" Type="http://schemas.openxmlformats.org/officeDocument/2006/relationships/image" Target="../media/image2740.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1202" Type="http://schemas.openxmlformats.org/officeDocument/2006/relationships/image" Target="../media/image1202.jpeg"/><Relationship Id="rId2600" Type="http://schemas.openxmlformats.org/officeDocument/2006/relationships/image" Target="../media/image2600.jpeg"/><Relationship Id="rId3167" Type="http://schemas.openxmlformats.org/officeDocument/2006/relationships/image" Target="../media/image3167.jpeg"/><Relationship Id="rId295" Type="http://schemas.openxmlformats.org/officeDocument/2006/relationships/image" Target="../media/image295.jpeg"/><Relationship Id="rId3374" Type="http://schemas.openxmlformats.org/officeDocument/2006/relationships/image" Target="../media/image3374.jpeg"/><Relationship Id="rId3581" Type="http://schemas.openxmlformats.org/officeDocument/2006/relationships/image" Target="../media/image3581.jpeg"/><Relationship Id="rId2183" Type="http://schemas.openxmlformats.org/officeDocument/2006/relationships/image" Target="../media/image2183.jpeg"/><Relationship Id="rId2390" Type="http://schemas.openxmlformats.org/officeDocument/2006/relationships/image" Target="../media/image2390.jpeg"/><Relationship Id="rId3027" Type="http://schemas.openxmlformats.org/officeDocument/2006/relationships/image" Target="../media/image3027.jpeg"/><Relationship Id="rId3234" Type="http://schemas.openxmlformats.org/officeDocument/2006/relationships/image" Target="../media/image3234.jpeg"/><Relationship Id="rId3441" Type="http://schemas.openxmlformats.org/officeDocument/2006/relationships/image" Target="../media/image3441.jpe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jpeg"/><Relationship Id="rId2250" Type="http://schemas.openxmlformats.org/officeDocument/2006/relationships/image" Target="../media/image2250.jpeg"/><Relationship Id="rId3301" Type="http://schemas.openxmlformats.org/officeDocument/2006/relationships/image" Target="../media/image3301.jpeg"/><Relationship Id="rId222" Type="http://schemas.openxmlformats.org/officeDocument/2006/relationships/image" Target="../media/image222.jpeg"/><Relationship Id="rId2110" Type="http://schemas.openxmlformats.org/officeDocument/2006/relationships/image" Target="../media/image2110.jpeg"/><Relationship Id="rId4075" Type="http://schemas.openxmlformats.org/officeDocument/2006/relationships/image" Target="../media/image4075.jpeg"/><Relationship Id="rId1669" Type="http://schemas.openxmlformats.org/officeDocument/2006/relationships/image" Target="../media/image1669.jpeg"/><Relationship Id="rId1876" Type="http://schemas.openxmlformats.org/officeDocument/2006/relationships/image" Target="../media/image1876.jpeg"/><Relationship Id="rId2927" Type="http://schemas.openxmlformats.org/officeDocument/2006/relationships/image" Target="../media/image2927.jpeg"/><Relationship Id="rId3091" Type="http://schemas.openxmlformats.org/officeDocument/2006/relationships/image" Target="../media/image3091.jpeg"/><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jpeg"/><Relationship Id="rId28" Type="http://schemas.openxmlformats.org/officeDocument/2006/relationships/image" Target="../media/image28.jpeg"/><Relationship Id="rId1803" Type="http://schemas.openxmlformats.org/officeDocument/2006/relationships/image" Target="../media/image1803.jpeg"/><Relationship Id="rId4002" Type="http://schemas.openxmlformats.org/officeDocument/2006/relationships/image" Target="../media/image4002.jpeg"/><Relationship Id="rId3768" Type="http://schemas.openxmlformats.org/officeDocument/2006/relationships/image" Target="../media/image3768.jpeg"/><Relationship Id="rId3975" Type="http://schemas.openxmlformats.org/officeDocument/2006/relationships/image" Target="../media/image3975.jpeg"/><Relationship Id="rId689" Type="http://schemas.openxmlformats.org/officeDocument/2006/relationships/image" Target="../media/image689.jpeg"/><Relationship Id="rId896" Type="http://schemas.openxmlformats.org/officeDocument/2006/relationships/image" Target="../media/image896.jpeg"/><Relationship Id="rId2577" Type="http://schemas.openxmlformats.org/officeDocument/2006/relationships/image" Target="../media/image2577.jpeg"/><Relationship Id="rId2784" Type="http://schemas.openxmlformats.org/officeDocument/2006/relationships/image" Target="../media/image2784.jpeg"/><Relationship Id="rId3628" Type="http://schemas.openxmlformats.org/officeDocument/2006/relationships/image" Target="../media/image3628.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2437" Type="http://schemas.openxmlformats.org/officeDocument/2006/relationships/image" Target="../media/image2437.jpeg"/><Relationship Id="rId2991" Type="http://schemas.openxmlformats.org/officeDocument/2006/relationships/image" Target="../media/image2991.jpeg"/><Relationship Id="rId3835" Type="http://schemas.openxmlformats.org/officeDocument/2006/relationships/image" Target="../media/image3835.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2644" Type="http://schemas.openxmlformats.org/officeDocument/2006/relationships/image" Target="../media/image2644.jpeg"/><Relationship Id="rId2851" Type="http://schemas.openxmlformats.org/officeDocument/2006/relationships/image" Target="../media/image2851.jpeg"/><Relationship Id="rId3902" Type="http://schemas.openxmlformats.org/officeDocument/2006/relationships/image" Target="../media/image3902.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eg"/><Relationship Id="rId2711" Type="http://schemas.openxmlformats.org/officeDocument/2006/relationships/image" Target="../media/image2711.jpeg"/><Relationship Id="rId1106" Type="http://schemas.openxmlformats.org/officeDocument/2006/relationships/image" Target="../media/image1106.jpeg"/><Relationship Id="rId1313" Type="http://schemas.openxmlformats.org/officeDocument/2006/relationships/image" Target="../media/image1313.jpeg"/><Relationship Id="rId1520" Type="http://schemas.openxmlformats.org/officeDocument/2006/relationships/image" Target="../media/image1520.jpeg"/><Relationship Id="rId3278" Type="http://schemas.openxmlformats.org/officeDocument/2006/relationships/image" Target="../media/image3278.jpeg"/><Relationship Id="rId3485" Type="http://schemas.openxmlformats.org/officeDocument/2006/relationships/image" Target="../media/image3485.jpeg"/><Relationship Id="rId3692" Type="http://schemas.openxmlformats.org/officeDocument/2006/relationships/image" Target="../media/image3692.jpeg"/><Relationship Id="rId199" Type="http://schemas.openxmlformats.org/officeDocument/2006/relationships/image" Target="../media/image199.jpeg"/><Relationship Id="rId2087" Type="http://schemas.openxmlformats.org/officeDocument/2006/relationships/image" Target="../media/image2087.jpeg"/><Relationship Id="rId2294" Type="http://schemas.openxmlformats.org/officeDocument/2006/relationships/image" Target="../media/image2294.jpeg"/><Relationship Id="rId3138" Type="http://schemas.openxmlformats.org/officeDocument/2006/relationships/image" Target="../media/image3138.jpeg"/><Relationship Id="rId3345" Type="http://schemas.openxmlformats.org/officeDocument/2006/relationships/image" Target="../media/image3345.jpeg"/><Relationship Id="rId3552" Type="http://schemas.openxmlformats.org/officeDocument/2006/relationships/image" Target="../media/image3552.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2154" Type="http://schemas.openxmlformats.org/officeDocument/2006/relationships/image" Target="../media/image2154.jpeg"/><Relationship Id="rId2361" Type="http://schemas.openxmlformats.org/officeDocument/2006/relationships/image" Target="../media/image2361.jpeg"/><Relationship Id="rId3205" Type="http://schemas.openxmlformats.org/officeDocument/2006/relationships/image" Target="../media/image3205.jpeg"/><Relationship Id="rId3412" Type="http://schemas.openxmlformats.org/officeDocument/2006/relationships/image" Target="../media/image3412.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1170" Type="http://schemas.openxmlformats.org/officeDocument/2006/relationships/image" Target="../media/image1170.jpeg"/><Relationship Id="rId2014" Type="http://schemas.openxmlformats.org/officeDocument/2006/relationships/image" Target="../media/image2014.jpeg"/><Relationship Id="rId2221" Type="http://schemas.openxmlformats.org/officeDocument/2006/relationships/image" Target="../media/image2221.jpeg"/><Relationship Id="rId1030" Type="http://schemas.openxmlformats.org/officeDocument/2006/relationships/image" Target="../media/image1030.jpeg"/><Relationship Id="rId400" Type="http://schemas.openxmlformats.org/officeDocument/2006/relationships/image" Target="../media/image400.jpeg"/><Relationship Id="rId1987" Type="http://schemas.openxmlformats.org/officeDocument/2006/relationships/image" Target="../media/image1987.jpeg"/><Relationship Id="rId1847" Type="http://schemas.openxmlformats.org/officeDocument/2006/relationships/image" Target="../media/image1847.jpeg"/><Relationship Id="rId4046" Type="http://schemas.openxmlformats.org/officeDocument/2006/relationships/image" Target="../media/image4046.jpeg"/><Relationship Id="rId1707" Type="http://schemas.openxmlformats.org/officeDocument/2006/relationships/image" Target="../media/image1707.jpeg"/><Relationship Id="rId3062" Type="http://schemas.openxmlformats.org/officeDocument/2006/relationships/image" Target="../media/image3062.jpeg"/><Relationship Id="rId190" Type="http://schemas.openxmlformats.org/officeDocument/2006/relationships/image" Target="../media/image190.jpeg"/><Relationship Id="rId1914" Type="http://schemas.openxmlformats.org/officeDocument/2006/relationships/image" Target="../media/image1914.jpeg"/><Relationship Id="rId3879" Type="http://schemas.openxmlformats.org/officeDocument/2006/relationships/image" Target="../media/image3879.jpeg"/><Relationship Id="rId2688" Type="http://schemas.openxmlformats.org/officeDocument/2006/relationships/image" Target="../media/image2688.jpeg"/><Relationship Id="rId2895" Type="http://schemas.openxmlformats.org/officeDocument/2006/relationships/image" Target="../media/image2895.jpeg"/><Relationship Id="rId3739" Type="http://schemas.openxmlformats.org/officeDocument/2006/relationships/image" Target="../media/image3739.jpeg"/><Relationship Id="rId3946" Type="http://schemas.openxmlformats.org/officeDocument/2006/relationships/image" Target="../media/image3946.jpeg"/><Relationship Id="rId867" Type="http://schemas.openxmlformats.org/officeDocument/2006/relationships/image" Target="../media/image867.jpeg"/><Relationship Id="rId1497" Type="http://schemas.openxmlformats.org/officeDocument/2006/relationships/image" Target="../media/image1497.jpeg"/><Relationship Id="rId2548" Type="http://schemas.openxmlformats.org/officeDocument/2006/relationships/image" Target="../media/image2548.jpeg"/><Relationship Id="rId2755" Type="http://schemas.openxmlformats.org/officeDocument/2006/relationships/image" Target="../media/image2755.jpeg"/><Relationship Id="rId2962" Type="http://schemas.openxmlformats.org/officeDocument/2006/relationships/image" Target="../media/image2962.jpeg"/><Relationship Id="rId3806" Type="http://schemas.openxmlformats.org/officeDocument/2006/relationships/image" Target="../media/image3806.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2408" Type="http://schemas.openxmlformats.org/officeDocument/2006/relationships/image" Target="../media/image2408.jpeg"/><Relationship Id="rId2615" Type="http://schemas.openxmlformats.org/officeDocument/2006/relationships/image" Target="../media/image2615.jpeg"/><Relationship Id="rId2822" Type="http://schemas.openxmlformats.org/officeDocument/2006/relationships/image" Target="../media/image2822.jpeg"/><Relationship Id="rId63" Type="http://schemas.openxmlformats.org/officeDocument/2006/relationships/image" Target="../media/image63.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3389" Type="http://schemas.openxmlformats.org/officeDocument/2006/relationships/image" Target="../media/image3389.jpeg"/><Relationship Id="rId3596" Type="http://schemas.openxmlformats.org/officeDocument/2006/relationships/image" Target="../media/image3596.jpeg"/><Relationship Id="rId2198" Type="http://schemas.openxmlformats.org/officeDocument/2006/relationships/image" Target="../media/image2198.jpeg"/><Relationship Id="rId3249" Type="http://schemas.openxmlformats.org/officeDocument/2006/relationships/image" Target="../media/image3249.jpeg"/><Relationship Id="rId3456" Type="http://schemas.openxmlformats.org/officeDocument/2006/relationships/image" Target="../media/image3456.jpeg"/><Relationship Id="rId377" Type="http://schemas.openxmlformats.org/officeDocument/2006/relationships/image" Target="../media/image377.jpeg"/><Relationship Id="rId584" Type="http://schemas.openxmlformats.org/officeDocument/2006/relationships/image" Target="../media/image584.jpeg"/><Relationship Id="rId2058" Type="http://schemas.openxmlformats.org/officeDocument/2006/relationships/image" Target="../media/image2058.jpeg"/><Relationship Id="rId2265" Type="http://schemas.openxmlformats.org/officeDocument/2006/relationships/image" Target="../media/image2265.jpeg"/><Relationship Id="rId3109" Type="http://schemas.openxmlformats.org/officeDocument/2006/relationships/image" Target="../media/image3109.jpeg"/><Relationship Id="rId3663" Type="http://schemas.openxmlformats.org/officeDocument/2006/relationships/image" Target="../media/image3663.jpeg"/><Relationship Id="rId3870" Type="http://schemas.openxmlformats.org/officeDocument/2006/relationships/image" Target="../media/image3870.jpeg"/><Relationship Id="rId237" Type="http://schemas.openxmlformats.org/officeDocument/2006/relationships/image" Target="../media/image237.jpeg"/><Relationship Id="rId791" Type="http://schemas.openxmlformats.org/officeDocument/2006/relationships/image" Target="../media/image791.jpeg"/><Relationship Id="rId1074" Type="http://schemas.openxmlformats.org/officeDocument/2006/relationships/image" Target="../media/image1074.jpeg"/><Relationship Id="rId2472" Type="http://schemas.openxmlformats.org/officeDocument/2006/relationships/image" Target="../media/image2472.jpeg"/><Relationship Id="rId3316" Type="http://schemas.openxmlformats.org/officeDocument/2006/relationships/image" Target="../media/image3316.jpeg"/><Relationship Id="rId3523" Type="http://schemas.openxmlformats.org/officeDocument/2006/relationships/image" Target="../media/image3523.jpeg"/><Relationship Id="rId3730" Type="http://schemas.openxmlformats.org/officeDocument/2006/relationships/image" Target="../media/image3730.jpeg"/><Relationship Id="rId444" Type="http://schemas.openxmlformats.org/officeDocument/2006/relationships/image" Target="../media/image444.jpeg"/><Relationship Id="rId651" Type="http://schemas.openxmlformats.org/officeDocument/2006/relationships/image" Target="../media/image651.jpeg"/><Relationship Id="rId1281" Type="http://schemas.openxmlformats.org/officeDocument/2006/relationships/image" Target="../media/image1281.jpeg"/><Relationship Id="rId2125" Type="http://schemas.openxmlformats.org/officeDocument/2006/relationships/image" Target="../media/image2125.jpeg"/><Relationship Id="rId2332" Type="http://schemas.openxmlformats.org/officeDocument/2006/relationships/image" Target="../media/image2332.jpe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jpeg"/><Relationship Id="rId1001" Type="http://schemas.openxmlformats.org/officeDocument/2006/relationships/image" Target="../media/image1001.jpeg"/><Relationship Id="rId1958" Type="http://schemas.openxmlformats.org/officeDocument/2006/relationships/image" Target="../media/image1958.jpeg"/><Relationship Id="rId3173" Type="http://schemas.openxmlformats.org/officeDocument/2006/relationships/image" Target="../media/image3173.jpeg"/><Relationship Id="rId3380" Type="http://schemas.openxmlformats.org/officeDocument/2006/relationships/image" Target="../media/image3380.jpeg"/><Relationship Id="rId4017" Type="http://schemas.openxmlformats.org/officeDocument/2006/relationships/image" Target="../media/image4017.jpeg"/><Relationship Id="rId1818" Type="http://schemas.openxmlformats.org/officeDocument/2006/relationships/image" Target="../media/image1818.jpeg"/><Relationship Id="rId3033" Type="http://schemas.openxmlformats.org/officeDocument/2006/relationships/image" Target="../media/image3033.jpeg"/><Relationship Id="rId3240" Type="http://schemas.openxmlformats.org/officeDocument/2006/relationships/image" Target="../media/image3240.jpeg"/><Relationship Id="rId161" Type="http://schemas.openxmlformats.org/officeDocument/2006/relationships/image" Target="../media/image161.jpeg"/><Relationship Id="rId2799" Type="http://schemas.openxmlformats.org/officeDocument/2006/relationships/image" Target="../media/image2799.jpeg"/><Relationship Id="rId3100" Type="http://schemas.openxmlformats.org/officeDocument/2006/relationships/image" Target="../media/image3100.jpeg"/><Relationship Id="rId978" Type="http://schemas.openxmlformats.org/officeDocument/2006/relationships/image" Target="../media/image978.jpeg"/><Relationship Id="rId2659" Type="http://schemas.openxmlformats.org/officeDocument/2006/relationships/image" Target="../media/image2659.jpeg"/><Relationship Id="rId2866" Type="http://schemas.openxmlformats.org/officeDocument/2006/relationships/image" Target="../media/image2866.jpeg"/><Relationship Id="rId3917" Type="http://schemas.openxmlformats.org/officeDocument/2006/relationships/image" Target="../media/image3917.jpeg"/><Relationship Id="rId838" Type="http://schemas.openxmlformats.org/officeDocument/2006/relationships/image" Target="../media/image838.jpeg"/><Relationship Id="rId1468" Type="http://schemas.openxmlformats.org/officeDocument/2006/relationships/image" Target="../media/image1468.jpeg"/><Relationship Id="rId1675" Type="http://schemas.openxmlformats.org/officeDocument/2006/relationships/image" Target="../media/image1675.jpeg"/><Relationship Id="rId1882" Type="http://schemas.openxmlformats.org/officeDocument/2006/relationships/image" Target="../media/image1882.jpeg"/><Relationship Id="rId2519" Type="http://schemas.openxmlformats.org/officeDocument/2006/relationships/image" Target="../media/image2519.jpeg"/><Relationship Id="rId2726" Type="http://schemas.openxmlformats.org/officeDocument/2006/relationships/image" Target="../media/image2726.jpeg"/><Relationship Id="rId1328" Type="http://schemas.openxmlformats.org/officeDocument/2006/relationships/image" Target="../media/image1328.jpeg"/><Relationship Id="rId1535" Type="http://schemas.openxmlformats.org/officeDocument/2006/relationships/image" Target="../media/image1535.jpeg"/><Relationship Id="rId2933" Type="http://schemas.openxmlformats.org/officeDocument/2006/relationships/image" Target="../media/image2933.jpeg"/><Relationship Id="rId905" Type="http://schemas.openxmlformats.org/officeDocument/2006/relationships/image" Target="../media/image905.jpeg"/><Relationship Id="rId1742" Type="http://schemas.openxmlformats.org/officeDocument/2006/relationships/image" Target="../media/image1742.jpeg"/><Relationship Id="rId34" Type="http://schemas.openxmlformats.org/officeDocument/2006/relationships/image" Target="../media/image34.jpeg"/><Relationship Id="rId1602" Type="http://schemas.openxmlformats.org/officeDocument/2006/relationships/image" Target="../media/image1602.jpeg"/><Relationship Id="rId3567" Type="http://schemas.openxmlformats.org/officeDocument/2006/relationships/image" Target="../media/image3567.jpeg"/><Relationship Id="rId3774" Type="http://schemas.openxmlformats.org/officeDocument/2006/relationships/image" Target="../media/image3774.jpeg"/><Relationship Id="rId3981" Type="http://schemas.openxmlformats.org/officeDocument/2006/relationships/image" Target="../media/image3981.jpeg"/><Relationship Id="rId488" Type="http://schemas.openxmlformats.org/officeDocument/2006/relationships/image" Target="../media/image488.jpeg"/><Relationship Id="rId695" Type="http://schemas.openxmlformats.org/officeDocument/2006/relationships/image" Target="../media/image695.jpeg"/><Relationship Id="rId2169" Type="http://schemas.openxmlformats.org/officeDocument/2006/relationships/image" Target="../media/image2169.jpeg"/><Relationship Id="rId2376" Type="http://schemas.openxmlformats.org/officeDocument/2006/relationships/image" Target="../media/image2376.jpeg"/><Relationship Id="rId2583" Type="http://schemas.openxmlformats.org/officeDocument/2006/relationships/image" Target="../media/image2583.jpeg"/><Relationship Id="rId2790" Type="http://schemas.openxmlformats.org/officeDocument/2006/relationships/image" Target="../media/image2790.jpeg"/><Relationship Id="rId3427" Type="http://schemas.openxmlformats.org/officeDocument/2006/relationships/image" Target="../media/image3427.jpeg"/><Relationship Id="rId3634" Type="http://schemas.openxmlformats.org/officeDocument/2006/relationships/image" Target="../media/image3634.jpeg"/><Relationship Id="rId3841" Type="http://schemas.openxmlformats.org/officeDocument/2006/relationships/image" Target="../media/image3841.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2029" Type="http://schemas.openxmlformats.org/officeDocument/2006/relationships/image" Target="../media/image2029.jpeg"/><Relationship Id="rId2236" Type="http://schemas.openxmlformats.org/officeDocument/2006/relationships/image" Target="../media/image2236.jpeg"/><Relationship Id="rId2443" Type="http://schemas.openxmlformats.org/officeDocument/2006/relationships/image" Target="../media/image2443.jpeg"/><Relationship Id="rId2650" Type="http://schemas.openxmlformats.org/officeDocument/2006/relationships/image" Target="../media/image2650.jpeg"/><Relationship Id="rId3701" Type="http://schemas.openxmlformats.org/officeDocument/2006/relationships/image" Target="../media/image3701.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2303" Type="http://schemas.openxmlformats.org/officeDocument/2006/relationships/image" Target="../media/image2303.jpeg"/><Relationship Id="rId2510" Type="http://schemas.openxmlformats.org/officeDocument/2006/relationships/image" Target="../media/image2510.jpeg"/><Relationship Id="rId1112" Type="http://schemas.openxmlformats.org/officeDocument/2006/relationships/image" Target="../media/image1112.jpeg"/><Relationship Id="rId3077" Type="http://schemas.openxmlformats.org/officeDocument/2006/relationships/image" Target="../media/image3077.jpeg"/><Relationship Id="rId3284" Type="http://schemas.openxmlformats.org/officeDocument/2006/relationships/image" Target="../media/image3284.jpeg"/><Relationship Id="rId1929" Type="http://schemas.openxmlformats.org/officeDocument/2006/relationships/image" Target="../media/image1929.jpeg"/><Relationship Id="rId2093" Type="http://schemas.openxmlformats.org/officeDocument/2006/relationships/image" Target="../media/image2093.jpeg"/><Relationship Id="rId3491" Type="http://schemas.openxmlformats.org/officeDocument/2006/relationships/image" Target="../media/image3491.jpeg"/><Relationship Id="rId3144" Type="http://schemas.openxmlformats.org/officeDocument/2006/relationships/image" Target="../media/image3144.jpeg"/><Relationship Id="rId3351" Type="http://schemas.openxmlformats.org/officeDocument/2006/relationships/image" Target="../media/image3351.jpeg"/><Relationship Id="rId272" Type="http://schemas.openxmlformats.org/officeDocument/2006/relationships/image" Target="../media/image272.jpeg"/><Relationship Id="rId2160" Type="http://schemas.openxmlformats.org/officeDocument/2006/relationships/image" Target="../media/image2160.jpeg"/><Relationship Id="rId3004" Type="http://schemas.openxmlformats.org/officeDocument/2006/relationships/image" Target="../media/image3004.jpeg"/><Relationship Id="rId3211" Type="http://schemas.openxmlformats.org/officeDocument/2006/relationships/image" Target="../media/image3211.jpeg"/><Relationship Id="rId132" Type="http://schemas.openxmlformats.org/officeDocument/2006/relationships/image" Target="../media/image132.jpeg"/><Relationship Id="rId2020" Type="http://schemas.openxmlformats.org/officeDocument/2006/relationships/image" Target="../media/image2020.jpeg"/><Relationship Id="rId1579" Type="http://schemas.openxmlformats.org/officeDocument/2006/relationships/image" Target="../media/image1579.jpeg"/><Relationship Id="rId2977" Type="http://schemas.openxmlformats.org/officeDocument/2006/relationships/image" Target="../media/image2977.jpeg"/><Relationship Id="rId949" Type="http://schemas.openxmlformats.org/officeDocument/2006/relationships/image" Target="../media/image949.jpeg"/><Relationship Id="rId1786" Type="http://schemas.openxmlformats.org/officeDocument/2006/relationships/image" Target="../media/image1786.jpeg"/><Relationship Id="rId1993" Type="http://schemas.openxmlformats.org/officeDocument/2006/relationships/image" Target="../media/image1993.jpeg"/><Relationship Id="rId2837" Type="http://schemas.openxmlformats.org/officeDocument/2006/relationships/image" Target="../media/image2837.jpeg"/><Relationship Id="rId4052" Type="http://schemas.openxmlformats.org/officeDocument/2006/relationships/image" Target="../media/image4052.jpeg"/><Relationship Id="rId78" Type="http://schemas.openxmlformats.org/officeDocument/2006/relationships/image" Target="../media/image78.jpeg"/><Relationship Id="rId809" Type="http://schemas.openxmlformats.org/officeDocument/2006/relationships/image" Target="../media/image809.jpeg"/><Relationship Id="rId1439" Type="http://schemas.openxmlformats.org/officeDocument/2006/relationships/image" Target="../media/image1439.jpeg"/><Relationship Id="rId1646" Type="http://schemas.openxmlformats.org/officeDocument/2006/relationships/image" Target="../media/image1646.jpeg"/><Relationship Id="rId1853" Type="http://schemas.openxmlformats.org/officeDocument/2006/relationships/image" Target="../media/image1853.jpeg"/><Relationship Id="rId2904" Type="http://schemas.openxmlformats.org/officeDocument/2006/relationships/image" Target="../media/image2904.jpeg"/><Relationship Id="rId1506" Type="http://schemas.openxmlformats.org/officeDocument/2006/relationships/image" Target="../media/image1506.jpeg"/><Relationship Id="rId1713" Type="http://schemas.openxmlformats.org/officeDocument/2006/relationships/image" Target="../media/image1713.jpeg"/><Relationship Id="rId1920" Type="http://schemas.openxmlformats.org/officeDocument/2006/relationships/image" Target="../media/image1920.jpeg"/><Relationship Id="rId3678" Type="http://schemas.openxmlformats.org/officeDocument/2006/relationships/image" Target="../media/image3678.jpeg"/><Relationship Id="rId3885" Type="http://schemas.openxmlformats.org/officeDocument/2006/relationships/image" Target="../media/image3885.jpeg"/><Relationship Id="rId599" Type="http://schemas.openxmlformats.org/officeDocument/2006/relationships/image" Target="../media/image599.jpeg"/><Relationship Id="rId2487" Type="http://schemas.openxmlformats.org/officeDocument/2006/relationships/image" Target="../media/image2487.jpeg"/><Relationship Id="rId2694" Type="http://schemas.openxmlformats.org/officeDocument/2006/relationships/image" Target="../media/image2694.jpeg"/><Relationship Id="rId3538" Type="http://schemas.openxmlformats.org/officeDocument/2006/relationships/image" Target="../media/image3538.jpeg"/><Relationship Id="rId3745" Type="http://schemas.openxmlformats.org/officeDocument/2006/relationships/image" Target="../media/image3745.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2347" Type="http://schemas.openxmlformats.org/officeDocument/2006/relationships/image" Target="../media/image2347.jpeg"/><Relationship Id="rId2554" Type="http://schemas.openxmlformats.org/officeDocument/2006/relationships/image" Target="../media/image2554.jpeg"/><Relationship Id="rId3952" Type="http://schemas.openxmlformats.org/officeDocument/2006/relationships/image" Target="../media/image3952.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2207" Type="http://schemas.openxmlformats.org/officeDocument/2006/relationships/image" Target="../media/image2207.jpeg"/><Relationship Id="rId2761" Type="http://schemas.openxmlformats.org/officeDocument/2006/relationships/image" Target="../media/image2761.jpeg"/><Relationship Id="rId3605" Type="http://schemas.openxmlformats.org/officeDocument/2006/relationships/image" Target="../media/image3605.jpeg"/><Relationship Id="rId3812" Type="http://schemas.openxmlformats.org/officeDocument/2006/relationships/image" Target="../media/image3812.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2414" Type="http://schemas.openxmlformats.org/officeDocument/2006/relationships/image" Target="../media/image2414.jpeg"/><Relationship Id="rId2621" Type="http://schemas.openxmlformats.org/officeDocument/2006/relationships/image" Target="../media/image2621.jpe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3188" Type="http://schemas.openxmlformats.org/officeDocument/2006/relationships/image" Target="../media/image3188.jpeg"/><Relationship Id="rId3395" Type="http://schemas.openxmlformats.org/officeDocument/2006/relationships/image" Target="../media/image3395.jpeg"/><Relationship Id="rId3048" Type="http://schemas.openxmlformats.org/officeDocument/2006/relationships/image" Target="../media/image3048.jpeg"/><Relationship Id="rId3255" Type="http://schemas.openxmlformats.org/officeDocument/2006/relationships/image" Target="../media/image3255.jpeg"/><Relationship Id="rId3462" Type="http://schemas.openxmlformats.org/officeDocument/2006/relationships/image" Target="../media/image3462.jpeg"/></Relationships>
</file>

<file path=xl/drawings/drawing1.xml><?xml version="1.0" encoding="utf-8"?>
<xdr:wsDr xmlns:xdr="http://schemas.openxmlformats.org/drawingml/2006/spreadsheetDrawing" xmlns:a="http://schemas.openxmlformats.org/drawingml/2006/main">
  <xdr:twoCellAnchor>
    <xdr:from>
      <xdr:col>8</xdr:col>
      <xdr:colOff>6350</xdr:colOff>
      <xdr:row>9</xdr:row>
      <xdr:rowOff>25400</xdr:rowOff>
    </xdr:from>
    <xdr:to>
      <xdr:col>8</xdr:col>
      <xdr:colOff>885190</xdr:colOff>
      <xdr:row>9</xdr:row>
      <xdr:rowOff>1209040</xdr:rowOff>
    </xdr:to>
    <xdr:pic>
      <xdr:nvPicPr>
        <xdr:cNvPr id="4206" name="Изображение 4205" descr="resizeПП-00274996"/>
        <xdr:cNvPicPr>
          <a:picLocks noChangeAspect="1"/>
        </xdr:cNvPicPr>
      </xdr:nvPicPr>
      <xdr:blipFill>
        <a:blip xmlns:r="http://schemas.openxmlformats.org/officeDocument/2006/relationships" r:embed="rId1"/>
        <a:stretch>
          <a:fillRect/>
        </a:stretch>
      </xdr:blipFill>
      <xdr:spPr>
        <a:xfrm>
          <a:off x="7264400" y="2400300"/>
          <a:ext cx="878840" cy="1183640"/>
        </a:xfrm>
        <a:prstGeom prst="rect">
          <a:avLst/>
        </a:prstGeom>
      </xdr:spPr>
    </xdr:pic>
    <xdr:clientData/>
  </xdr:twoCellAnchor>
  <xdr:twoCellAnchor>
    <xdr:from>
      <xdr:col>8</xdr:col>
      <xdr:colOff>6350</xdr:colOff>
      <xdr:row>10</xdr:row>
      <xdr:rowOff>25400</xdr:rowOff>
    </xdr:from>
    <xdr:to>
      <xdr:col>8</xdr:col>
      <xdr:colOff>885190</xdr:colOff>
      <xdr:row>10</xdr:row>
      <xdr:rowOff>1209040</xdr:rowOff>
    </xdr:to>
    <xdr:pic>
      <xdr:nvPicPr>
        <xdr:cNvPr id="4207" name="Изображение 4206" descr="resizeПП-00274997"/>
        <xdr:cNvPicPr>
          <a:picLocks noChangeAspect="1"/>
        </xdr:cNvPicPr>
      </xdr:nvPicPr>
      <xdr:blipFill>
        <a:blip xmlns:r="http://schemas.openxmlformats.org/officeDocument/2006/relationships" r:embed="rId2"/>
        <a:stretch>
          <a:fillRect/>
        </a:stretch>
      </xdr:blipFill>
      <xdr:spPr>
        <a:xfrm>
          <a:off x="7264400" y="3622675"/>
          <a:ext cx="878840" cy="1183640"/>
        </a:xfrm>
        <a:prstGeom prst="rect">
          <a:avLst/>
        </a:prstGeom>
      </xdr:spPr>
    </xdr:pic>
    <xdr:clientData/>
  </xdr:twoCellAnchor>
  <xdr:twoCellAnchor>
    <xdr:from>
      <xdr:col>8</xdr:col>
      <xdr:colOff>6350</xdr:colOff>
      <xdr:row>11</xdr:row>
      <xdr:rowOff>25400</xdr:rowOff>
    </xdr:from>
    <xdr:to>
      <xdr:col>8</xdr:col>
      <xdr:colOff>885190</xdr:colOff>
      <xdr:row>11</xdr:row>
      <xdr:rowOff>1209040</xdr:rowOff>
    </xdr:to>
    <xdr:pic>
      <xdr:nvPicPr>
        <xdr:cNvPr id="4208" name="Изображение 4207" descr="resizeПП-00274998"/>
        <xdr:cNvPicPr>
          <a:picLocks noChangeAspect="1"/>
        </xdr:cNvPicPr>
      </xdr:nvPicPr>
      <xdr:blipFill>
        <a:blip xmlns:r="http://schemas.openxmlformats.org/officeDocument/2006/relationships" r:embed="rId3"/>
        <a:stretch>
          <a:fillRect/>
        </a:stretch>
      </xdr:blipFill>
      <xdr:spPr>
        <a:xfrm>
          <a:off x="7264400" y="4845050"/>
          <a:ext cx="878840" cy="1183640"/>
        </a:xfrm>
        <a:prstGeom prst="rect">
          <a:avLst/>
        </a:prstGeom>
      </xdr:spPr>
    </xdr:pic>
    <xdr:clientData/>
  </xdr:twoCellAnchor>
  <xdr:twoCellAnchor>
    <xdr:from>
      <xdr:col>8</xdr:col>
      <xdr:colOff>6350</xdr:colOff>
      <xdr:row>12</xdr:row>
      <xdr:rowOff>25400</xdr:rowOff>
    </xdr:from>
    <xdr:to>
      <xdr:col>8</xdr:col>
      <xdr:colOff>885190</xdr:colOff>
      <xdr:row>12</xdr:row>
      <xdr:rowOff>1209040</xdr:rowOff>
    </xdr:to>
    <xdr:pic>
      <xdr:nvPicPr>
        <xdr:cNvPr id="4209" name="Изображение 4208" descr="resizeПП-00274994"/>
        <xdr:cNvPicPr>
          <a:picLocks noChangeAspect="1"/>
        </xdr:cNvPicPr>
      </xdr:nvPicPr>
      <xdr:blipFill>
        <a:blip xmlns:r="http://schemas.openxmlformats.org/officeDocument/2006/relationships" r:embed="rId4"/>
        <a:stretch>
          <a:fillRect/>
        </a:stretch>
      </xdr:blipFill>
      <xdr:spPr>
        <a:xfrm>
          <a:off x="7264400" y="6067425"/>
          <a:ext cx="878840" cy="1183640"/>
        </a:xfrm>
        <a:prstGeom prst="rect">
          <a:avLst/>
        </a:prstGeom>
      </xdr:spPr>
    </xdr:pic>
    <xdr:clientData/>
  </xdr:twoCellAnchor>
  <xdr:twoCellAnchor>
    <xdr:from>
      <xdr:col>8</xdr:col>
      <xdr:colOff>6350</xdr:colOff>
      <xdr:row>14</xdr:row>
      <xdr:rowOff>25400</xdr:rowOff>
    </xdr:from>
    <xdr:to>
      <xdr:col>8</xdr:col>
      <xdr:colOff>885190</xdr:colOff>
      <xdr:row>14</xdr:row>
      <xdr:rowOff>1209040</xdr:rowOff>
    </xdr:to>
    <xdr:pic>
      <xdr:nvPicPr>
        <xdr:cNvPr id="4210" name="Изображение 4209" descr="resizeПП-00272638"/>
        <xdr:cNvPicPr>
          <a:picLocks noChangeAspect="1"/>
        </xdr:cNvPicPr>
      </xdr:nvPicPr>
      <xdr:blipFill>
        <a:blip xmlns:r="http://schemas.openxmlformats.org/officeDocument/2006/relationships" r:embed="rId5"/>
        <a:stretch>
          <a:fillRect/>
        </a:stretch>
      </xdr:blipFill>
      <xdr:spPr>
        <a:xfrm>
          <a:off x="7264400" y="7442200"/>
          <a:ext cx="878840" cy="1183640"/>
        </a:xfrm>
        <a:prstGeom prst="rect">
          <a:avLst/>
        </a:prstGeom>
      </xdr:spPr>
    </xdr:pic>
    <xdr:clientData/>
  </xdr:twoCellAnchor>
  <xdr:twoCellAnchor>
    <xdr:from>
      <xdr:col>8</xdr:col>
      <xdr:colOff>6350</xdr:colOff>
      <xdr:row>16</xdr:row>
      <xdr:rowOff>25400</xdr:rowOff>
    </xdr:from>
    <xdr:to>
      <xdr:col>8</xdr:col>
      <xdr:colOff>885190</xdr:colOff>
      <xdr:row>16</xdr:row>
      <xdr:rowOff>1209040</xdr:rowOff>
    </xdr:to>
    <xdr:pic>
      <xdr:nvPicPr>
        <xdr:cNvPr id="4211" name="Изображение 4210" descr="resizeПП-00272004"/>
        <xdr:cNvPicPr>
          <a:picLocks noChangeAspect="1"/>
        </xdr:cNvPicPr>
      </xdr:nvPicPr>
      <xdr:blipFill>
        <a:blip xmlns:r="http://schemas.openxmlformats.org/officeDocument/2006/relationships" r:embed="rId6"/>
        <a:stretch>
          <a:fillRect/>
        </a:stretch>
      </xdr:blipFill>
      <xdr:spPr>
        <a:xfrm>
          <a:off x="7264400" y="8816975"/>
          <a:ext cx="878840" cy="1183640"/>
        </a:xfrm>
        <a:prstGeom prst="rect">
          <a:avLst/>
        </a:prstGeom>
      </xdr:spPr>
    </xdr:pic>
    <xdr:clientData/>
  </xdr:twoCellAnchor>
  <xdr:twoCellAnchor>
    <xdr:from>
      <xdr:col>8</xdr:col>
      <xdr:colOff>6350</xdr:colOff>
      <xdr:row>17</xdr:row>
      <xdr:rowOff>25400</xdr:rowOff>
    </xdr:from>
    <xdr:to>
      <xdr:col>8</xdr:col>
      <xdr:colOff>885190</xdr:colOff>
      <xdr:row>17</xdr:row>
      <xdr:rowOff>1209040</xdr:rowOff>
    </xdr:to>
    <xdr:pic>
      <xdr:nvPicPr>
        <xdr:cNvPr id="4212" name="Изображение 4211" descr="resizeПП-00271895"/>
        <xdr:cNvPicPr>
          <a:picLocks noChangeAspect="1"/>
        </xdr:cNvPicPr>
      </xdr:nvPicPr>
      <xdr:blipFill>
        <a:blip xmlns:r="http://schemas.openxmlformats.org/officeDocument/2006/relationships" r:embed="rId7"/>
        <a:stretch>
          <a:fillRect/>
        </a:stretch>
      </xdr:blipFill>
      <xdr:spPr>
        <a:xfrm>
          <a:off x="7264400" y="10039350"/>
          <a:ext cx="878840" cy="1183640"/>
        </a:xfrm>
        <a:prstGeom prst="rect">
          <a:avLst/>
        </a:prstGeom>
      </xdr:spPr>
    </xdr:pic>
    <xdr:clientData/>
  </xdr:twoCellAnchor>
  <xdr:twoCellAnchor>
    <xdr:from>
      <xdr:col>8</xdr:col>
      <xdr:colOff>6350</xdr:colOff>
      <xdr:row>18</xdr:row>
      <xdr:rowOff>25400</xdr:rowOff>
    </xdr:from>
    <xdr:to>
      <xdr:col>8</xdr:col>
      <xdr:colOff>885190</xdr:colOff>
      <xdr:row>18</xdr:row>
      <xdr:rowOff>1209040</xdr:rowOff>
    </xdr:to>
    <xdr:pic>
      <xdr:nvPicPr>
        <xdr:cNvPr id="4213" name="Изображение 4212" descr="resizeПП-00271894"/>
        <xdr:cNvPicPr>
          <a:picLocks noChangeAspect="1"/>
        </xdr:cNvPicPr>
      </xdr:nvPicPr>
      <xdr:blipFill>
        <a:blip xmlns:r="http://schemas.openxmlformats.org/officeDocument/2006/relationships" r:embed="rId8"/>
        <a:stretch>
          <a:fillRect/>
        </a:stretch>
      </xdr:blipFill>
      <xdr:spPr>
        <a:xfrm>
          <a:off x="7264400" y="11261725"/>
          <a:ext cx="878840" cy="1183640"/>
        </a:xfrm>
        <a:prstGeom prst="rect">
          <a:avLst/>
        </a:prstGeom>
      </xdr:spPr>
    </xdr:pic>
    <xdr:clientData/>
  </xdr:twoCellAnchor>
  <xdr:twoCellAnchor>
    <xdr:from>
      <xdr:col>8</xdr:col>
      <xdr:colOff>6350</xdr:colOff>
      <xdr:row>21</xdr:row>
      <xdr:rowOff>25400</xdr:rowOff>
    </xdr:from>
    <xdr:to>
      <xdr:col>8</xdr:col>
      <xdr:colOff>885190</xdr:colOff>
      <xdr:row>21</xdr:row>
      <xdr:rowOff>1209040</xdr:rowOff>
    </xdr:to>
    <xdr:pic>
      <xdr:nvPicPr>
        <xdr:cNvPr id="4214" name="Изображение 4213" descr="resizeПП-00267320"/>
        <xdr:cNvPicPr>
          <a:picLocks noChangeAspect="1"/>
        </xdr:cNvPicPr>
      </xdr:nvPicPr>
      <xdr:blipFill>
        <a:blip xmlns:r="http://schemas.openxmlformats.org/officeDocument/2006/relationships" r:embed="rId9"/>
        <a:stretch>
          <a:fillRect/>
        </a:stretch>
      </xdr:blipFill>
      <xdr:spPr>
        <a:xfrm>
          <a:off x="7264400" y="12788900"/>
          <a:ext cx="878840" cy="1183640"/>
        </a:xfrm>
        <a:prstGeom prst="rect">
          <a:avLst/>
        </a:prstGeom>
      </xdr:spPr>
    </xdr:pic>
    <xdr:clientData/>
  </xdr:twoCellAnchor>
  <xdr:twoCellAnchor>
    <xdr:from>
      <xdr:col>8</xdr:col>
      <xdr:colOff>6350</xdr:colOff>
      <xdr:row>23</xdr:row>
      <xdr:rowOff>25400</xdr:rowOff>
    </xdr:from>
    <xdr:to>
      <xdr:col>8</xdr:col>
      <xdr:colOff>885190</xdr:colOff>
      <xdr:row>23</xdr:row>
      <xdr:rowOff>1209040</xdr:rowOff>
    </xdr:to>
    <xdr:pic>
      <xdr:nvPicPr>
        <xdr:cNvPr id="4215" name="Изображение 4214" descr="resizeПП-00272668"/>
        <xdr:cNvPicPr>
          <a:picLocks noChangeAspect="1"/>
        </xdr:cNvPicPr>
      </xdr:nvPicPr>
      <xdr:blipFill>
        <a:blip xmlns:r="http://schemas.openxmlformats.org/officeDocument/2006/relationships" r:embed="rId10"/>
        <a:stretch>
          <a:fillRect/>
        </a:stretch>
      </xdr:blipFill>
      <xdr:spPr>
        <a:xfrm>
          <a:off x="7264400" y="14163675"/>
          <a:ext cx="878840" cy="1183640"/>
        </a:xfrm>
        <a:prstGeom prst="rect">
          <a:avLst/>
        </a:prstGeom>
      </xdr:spPr>
    </xdr:pic>
    <xdr:clientData/>
  </xdr:twoCellAnchor>
  <xdr:twoCellAnchor>
    <xdr:from>
      <xdr:col>8</xdr:col>
      <xdr:colOff>6350</xdr:colOff>
      <xdr:row>24</xdr:row>
      <xdr:rowOff>25400</xdr:rowOff>
    </xdr:from>
    <xdr:to>
      <xdr:col>8</xdr:col>
      <xdr:colOff>885190</xdr:colOff>
      <xdr:row>24</xdr:row>
      <xdr:rowOff>1209040</xdr:rowOff>
    </xdr:to>
    <xdr:pic>
      <xdr:nvPicPr>
        <xdr:cNvPr id="4216" name="Изображение 4215" descr="resizeПП-00272675"/>
        <xdr:cNvPicPr>
          <a:picLocks noChangeAspect="1"/>
        </xdr:cNvPicPr>
      </xdr:nvPicPr>
      <xdr:blipFill>
        <a:blip xmlns:r="http://schemas.openxmlformats.org/officeDocument/2006/relationships" r:embed="rId11"/>
        <a:stretch>
          <a:fillRect/>
        </a:stretch>
      </xdr:blipFill>
      <xdr:spPr>
        <a:xfrm>
          <a:off x="7264400" y="15386050"/>
          <a:ext cx="878840" cy="1183640"/>
        </a:xfrm>
        <a:prstGeom prst="rect">
          <a:avLst/>
        </a:prstGeom>
      </xdr:spPr>
    </xdr:pic>
    <xdr:clientData/>
  </xdr:twoCellAnchor>
  <xdr:twoCellAnchor>
    <xdr:from>
      <xdr:col>8</xdr:col>
      <xdr:colOff>6350</xdr:colOff>
      <xdr:row>25</xdr:row>
      <xdr:rowOff>25400</xdr:rowOff>
    </xdr:from>
    <xdr:to>
      <xdr:col>8</xdr:col>
      <xdr:colOff>885190</xdr:colOff>
      <xdr:row>25</xdr:row>
      <xdr:rowOff>1209040</xdr:rowOff>
    </xdr:to>
    <xdr:pic>
      <xdr:nvPicPr>
        <xdr:cNvPr id="4217" name="Изображение 4216" descr="resizeПП-00272655"/>
        <xdr:cNvPicPr>
          <a:picLocks noChangeAspect="1"/>
        </xdr:cNvPicPr>
      </xdr:nvPicPr>
      <xdr:blipFill>
        <a:blip xmlns:r="http://schemas.openxmlformats.org/officeDocument/2006/relationships" r:embed="rId12"/>
        <a:stretch>
          <a:fillRect/>
        </a:stretch>
      </xdr:blipFill>
      <xdr:spPr>
        <a:xfrm>
          <a:off x="7264400" y="16608425"/>
          <a:ext cx="878840" cy="1183640"/>
        </a:xfrm>
        <a:prstGeom prst="rect">
          <a:avLst/>
        </a:prstGeom>
      </xdr:spPr>
    </xdr:pic>
    <xdr:clientData/>
  </xdr:twoCellAnchor>
  <xdr:twoCellAnchor>
    <xdr:from>
      <xdr:col>8</xdr:col>
      <xdr:colOff>6350</xdr:colOff>
      <xdr:row>26</xdr:row>
      <xdr:rowOff>25400</xdr:rowOff>
    </xdr:from>
    <xdr:to>
      <xdr:col>8</xdr:col>
      <xdr:colOff>885190</xdr:colOff>
      <xdr:row>26</xdr:row>
      <xdr:rowOff>1209040</xdr:rowOff>
    </xdr:to>
    <xdr:pic>
      <xdr:nvPicPr>
        <xdr:cNvPr id="4218" name="Изображение 4217" descr="resizeПП-00272662"/>
        <xdr:cNvPicPr>
          <a:picLocks noChangeAspect="1"/>
        </xdr:cNvPicPr>
      </xdr:nvPicPr>
      <xdr:blipFill>
        <a:blip xmlns:r="http://schemas.openxmlformats.org/officeDocument/2006/relationships" r:embed="rId13"/>
        <a:stretch>
          <a:fillRect/>
        </a:stretch>
      </xdr:blipFill>
      <xdr:spPr>
        <a:xfrm>
          <a:off x="7264400" y="17830800"/>
          <a:ext cx="878840" cy="1183640"/>
        </a:xfrm>
        <a:prstGeom prst="rect">
          <a:avLst/>
        </a:prstGeom>
      </xdr:spPr>
    </xdr:pic>
    <xdr:clientData/>
  </xdr:twoCellAnchor>
  <xdr:twoCellAnchor>
    <xdr:from>
      <xdr:col>8</xdr:col>
      <xdr:colOff>6350</xdr:colOff>
      <xdr:row>30</xdr:row>
      <xdr:rowOff>25400</xdr:rowOff>
    </xdr:from>
    <xdr:to>
      <xdr:col>8</xdr:col>
      <xdr:colOff>885190</xdr:colOff>
      <xdr:row>30</xdr:row>
      <xdr:rowOff>1209040</xdr:rowOff>
    </xdr:to>
    <xdr:pic>
      <xdr:nvPicPr>
        <xdr:cNvPr id="4219" name="Изображение 4218" descr="resizeПП-00269110"/>
        <xdr:cNvPicPr>
          <a:picLocks noChangeAspect="1"/>
        </xdr:cNvPicPr>
      </xdr:nvPicPr>
      <xdr:blipFill>
        <a:blip xmlns:r="http://schemas.openxmlformats.org/officeDocument/2006/relationships" r:embed="rId14"/>
        <a:stretch>
          <a:fillRect/>
        </a:stretch>
      </xdr:blipFill>
      <xdr:spPr>
        <a:xfrm>
          <a:off x="7264400" y="19510375"/>
          <a:ext cx="878840" cy="1183640"/>
        </a:xfrm>
        <a:prstGeom prst="rect">
          <a:avLst/>
        </a:prstGeom>
      </xdr:spPr>
    </xdr:pic>
    <xdr:clientData/>
  </xdr:twoCellAnchor>
  <xdr:twoCellAnchor>
    <xdr:from>
      <xdr:col>8</xdr:col>
      <xdr:colOff>6350</xdr:colOff>
      <xdr:row>31</xdr:row>
      <xdr:rowOff>25400</xdr:rowOff>
    </xdr:from>
    <xdr:to>
      <xdr:col>8</xdr:col>
      <xdr:colOff>885190</xdr:colOff>
      <xdr:row>31</xdr:row>
      <xdr:rowOff>1209040</xdr:rowOff>
    </xdr:to>
    <xdr:pic>
      <xdr:nvPicPr>
        <xdr:cNvPr id="4220" name="Изображение 4219" descr="resizeПП-00269076"/>
        <xdr:cNvPicPr>
          <a:picLocks noChangeAspect="1"/>
        </xdr:cNvPicPr>
      </xdr:nvPicPr>
      <xdr:blipFill>
        <a:blip xmlns:r="http://schemas.openxmlformats.org/officeDocument/2006/relationships" r:embed="rId15"/>
        <a:stretch>
          <a:fillRect/>
        </a:stretch>
      </xdr:blipFill>
      <xdr:spPr>
        <a:xfrm>
          <a:off x="7264400" y="20732750"/>
          <a:ext cx="878840" cy="1183640"/>
        </a:xfrm>
        <a:prstGeom prst="rect">
          <a:avLst/>
        </a:prstGeom>
      </xdr:spPr>
    </xdr:pic>
    <xdr:clientData/>
  </xdr:twoCellAnchor>
  <xdr:twoCellAnchor>
    <xdr:from>
      <xdr:col>8</xdr:col>
      <xdr:colOff>6350</xdr:colOff>
      <xdr:row>32</xdr:row>
      <xdr:rowOff>25400</xdr:rowOff>
    </xdr:from>
    <xdr:to>
      <xdr:col>8</xdr:col>
      <xdr:colOff>885190</xdr:colOff>
      <xdr:row>32</xdr:row>
      <xdr:rowOff>1209040</xdr:rowOff>
    </xdr:to>
    <xdr:pic>
      <xdr:nvPicPr>
        <xdr:cNvPr id="4221" name="Изображение 4220" descr="resizeПП-00269111"/>
        <xdr:cNvPicPr>
          <a:picLocks noChangeAspect="1"/>
        </xdr:cNvPicPr>
      </xdr:nvPicPr>
      <xdr:blipFill>
        <a:blip xmlns:r="http://schemas.openxmlformats.org/officeDocument/2006/relationships" r:embed="rId16"/>
        <a:stretch>
          <a:fillRect/>
        </a:stretch>
      </xdr:blipFill>
      <xdr:spPr>
        <a:xfrm>
          <a:off x="7264400" y="21955125"/>
          <a:ext cx="878840" cy="1183640"/>
        </a:xfrm>
        <a:prstGeom prst="rect">
          <a:avLst/>
        </a:prstGeom>
      </xdr:spPr>
    </xdr:pic>
    <xdr:clientData/>
  </xdr:twoCellAnchor>
  <xdr:twoCellAnchor>
    <xdr:from>
      <xdr:col>8</xdr:col>
      <xdr:colOff>6350</xdr:colOff>
      <xdr:row>33</xdr:row>
      <xdr:rowOff>25400</xdr:rowOff>
    </xdr:from>
    <xdr:to>
      <xdr:col>8</xdr:col>
      <xdr:colOff>885190</xdr:colOff>
      <xdr:row>33</xdr:row>
      <xdr:rowOff>1209040</xdr:rowOff>
    </xdr:to>
    <xdr:pic>
      <xdr:nvPicPr>
        <xdr:cNvPr id="4222" name="Изображение 4221" descr="resizeПП-00269072"/>
        <xdr:cNvPicPr>
          <a:picLocks noChangeAspect="1"/>
        </xdr:cNvPicPr>
      </xdr:nvPicPr>
      <xdr:blipFill>
        <a:blip xmlns:r="http://schemas.openxmlformats.org/officeDocument/2006/relationships" r:embed="rId17"/>
        <a:stretch>
          <a:fillRect/>
        </a:stretch>
      </xdr:blipFill>
      <xdr:spPr>
        <a:xfrm>
          <a:off x="7264400" y="23177500"/>
          <a:ext cx="878840" cy="1183640"/>
        </a:xfrm>
        <a:prstGeom prst="rect">
          <a:avLst/>
        </a:prstGeom>
      </xdr:spPr>
    </xdr:pic>
    <xdr:clientData/>
  </xdr:twoCellAnchor>
  <xdr:twoCellAnchor>
    <xdr:from>
      <xdr:col>8</xdr:col>
      <xdr:colOff>6350</xdr:colOff>
      <xdr:row>34</xdr:row>
      <xdr:rowOff>25400</xdr:rowOff>
    </xdr:from>
    <xdr:to>
      <xdr:col>8</xdr:col>
      <xdr:colOff>885190</xdr:colOff>
      <xdr:row>34</xdr:row>
      <xdr:rowOff>1209040</xdr:rowOff>
    </xdr:to>
    <xdr:pic>
      <xdr:nvPicPr>
        <xdr:cNvPr id="4223" name="Изображение 4222" descr="resizeПП-00269109"/>
        <xdr:cNvPicPr>
          <a:picLocks noChangeAspect="1"/>
        </xdr:cNvPicPr>
      </xdr:nvPicPr>
      <xdr:blipFill>
        <a:blip xmlns:r="http://schemas.openxmlformats.org/officeDocument/2006/relationships" r:embed="rId18"/>
        <a:stretch>
          <a:fillRect/>
        </a:stretch>
      </xdr:blipFill>
      <xdr:spPr>
        <a:xfrm>
          <a:off x="7264400" y="24399875"/>
          <a:ext cx="878840" cy="1183640"/>
        </a:xfrm>
        <a:prstGeom prst="rect">
          <a:avLst/>
        </a:prstGeom>
      </xdr:spPr>
    </xdr:pic>
    <xdr:clientData/>
  </xdr:twoCellAnchor>
  <xdr:twoCellAnchor>
    <xdr:from>
      <xdr:col>8</xdr:col>
      <xdr:colOff>6350</xdr:colOff>
      <xdr:row>35</xdr:row>
      <xdr:rowOff>25400</xdr:rowOff>
    </xdr:from>
    <xdr:to>
      <xdr:col>8</xdr:col>
      <xdr:colOff>885190</xdr:colOff>
      <xdr:row>35</xdr:row>
      <xdr:rowOff>1209040</xdr:rowOff>
    </xdr:to>
    <xdr:pic>
      <xdr:nvPicPr>
        <xdr:cNvPr id="4224" name="Изображение 4223" descr="resizeПП-00269108"/>
        <xdr:cNvPicPr>
          <a:picLocks noChangeAspect="1"/>
        </xdr:cNvPicPr>
      </xdr:nvPicPr>
      <xdr:blipFill>
        <a:blip xmlns:r="http://schemas.openxmlformats.org/officeDocument/2006/relationships" r:embed="rId19"/>
        <a:stretch>
          <a:fillRect/>
        </a:stretch>
      </xdr:blipFill>
      <xdr:spPr>
        <a:xfrm>
          <a:off x="7264400" y="25622250"/>
          <a:ext cx="878840" cy="1183640"/>
        </a:xfrm>
        <a:prstGeom prst="rect">
          <a:avLst/>
        </a:prstGeom>
      </xdr:spPr>
    </xdr:pic>
    <xdr:clientData/>
  </xdr:twoCellAnchor>
  <xdr:twoCellAnchor>
    <xdr:from>
      <xdr:col>8</xdr:col>
      <xdr:colOff>6350</xdr:colOff>
      <xdr:row>36</xdr:row>
      <xdr:rowOff>25400</xdr:rowOff>
    </xdr:from>
    <xdr:to>
      <xdr:col>8</xdr:col>
      <xdr:colOff>885190</xdr:colOff>
      <xdr:row>36</xdr:row>
      <xdr:rowOff>1209040</xdr:rowOff>
    </xdr:to>
    <xdr:pic>
      <xdr:nvPicPr>
        <xdr:cNvPr id="4225" name="Изображение 4224" descr="resizeПП-00269079"/>
        <xdr:cNvPicPr>
          <a:picLocks noChangeAspect="1"/>
        </xdr:cNvPicPr>
      </xdr:nvPicPr>
      <xdr:blipFill>
        <a:blip xmlns:r="http://schemas.openxmlformats.org/officeDocument/2006/relationships" r:embed="rId20"/>
        <a:stretch>
          <a:fillRect/>
        </a:stretch>
      </xdr:blipFill>
      <xdr:spPr>
        <a:xfrm>
          <a:off x="7264400" y="26844625"/>
          <a:ext cx="878840" cy="1183640"/>
        </a:xfrm>
        <a:prstGeom prst="rect">
          <a:avLst/>
        </a:prstGeom>
      </xdr:spPr>
    </xdr:pic>
    <xdr:clientData/>
  </xdr:twoCellAnchor>
  <xdr:twoCellAnchor>
    <xdr:from>
      <xdr:col>8</xdr:col>
      <xdr:colOff>6350</xdr:colOff>
      <xdr:row>38</xdr:row>
      <xdr:rowOff>25400</xdr:rowOff>
    </xdr:from>
    <xdr:to>
      <xdr:col>8</xdr:col>
      <xdr:colOff>885190</xdr:colOff>
      <xdr:row>38</xdr:row>
      <xdr:rowOff>1209040</xdr:rowOff>
    </xdr:to>
    <xdr:pic>
      <xdr:nvPicPr>
        <xdr:cNvPr id="4226" name="Изображение 4225" descr="resizeПП-00272630"/>
        <xdr:cNvPicPr>
          <a:picLocks noChangeAspect="1"/>
        </xdr:cNvPicPr>
      </xdr:nvPicPr>
      <xdr:blipFill>
        <a:blip xmlns:r="http://schemas.openxmlformats.org/officeDocument/2006/relationships" r:embed="rId21"/>
        <a:stretch>
          <a:fillRect/>
        </a:stretch>
      </xdr:blipFill>
      <xdr:spPr>
        <a:xfrm>
          <a:off x="7264400" y="28219400"/>
          <a:ext cx="878840" cy="1183640"/>
        </a:xfrm>
        <a:prstGeom prst="rect">
          <a:avLst/>
        </a:prstGeom>
      </xdr:spPr>
    </xdr:pic>
    <xdr:clientData/>
  </xdr:twoCellAnchor>
  <xdr:twoCellAnchor>
    <xdr:from>
      <xdr:col>8</xdr:col>
      <xdr:colOff>6350</xdr:colOff>
      <xdr:row>39</xdr:row>
      <xdr:rowOff>25400</xdr:rowOff>
    </xdr:from>
    <xdr:to>
      <xdr:col>8</xdr:col>
      <xdr:colOff>885190</xdr:colOff>
      <xdr:row>39</xdr:row>
      <xdr:rowOff>1209040</xdr:rowOff>
    </xdr:to>
    <xdr:pic>
      <xdr:nvPicPr>
        <xdr:cNvPr id="4227" name="Изображение 4226" descr="resizeПП-00272629"/>
        <xdr:cNvPicPr>
          <a:picLocks noChangeAspect="1"/>
        </xdr:cNvPicPr>
      </xdr:nvPicPr>
      <xdr:blipFill>
        <a:blip xmlns:r="http://schemas.openxmlformats.org/officeDocument/2006/relationships" r:embed="rId22"/>
        <a:stretch>
          <a:fillRect/>
        </a:stretch>
      </xdr:blipFill>
      <xdr:spPr>
        <a:xfrm>
          <a:off x="7264400" y="29441775"/>
          <a:ext cx="878840" cy="1183640"/>
        </a:xfrm>
        <a:prstGeom prst="rect">
          <a:avLst/>
        </a:prstGeom>
      </xdr:spPr>
    </xdr:pic>
    <xdr:clientData/>
  </xdr:twoCellAnchor>
  <xdr:twoCellAnchor>
    <xdr:from>
      <xdr:col>8</xdr:col>
      <xdr:colOff>6350</xdr:colOff>
      <xdr:row>40</xdr:row>
      <xdr:rowOff>25400</xdr:rowOff>
    </xdr:from>
    <xdr:to>
      <xdr:col>8</xdr:col>
      <xdr:colOff>885190</xdr:colOff>
      <xdr:row>40</xdr:row>
      <xdr:rowOff>1209040</xdr:rowOff>
    </xdr:to>
    <xdr:pic>
      <xdr:nvPicPr>
        <xdr:cNvPr id="4228" name="Изображение 4227" descr="resizeПП-00272627"/>
        <xdr:cNvPicPr>
          <a:picLocks noChangeAspect="1"/>
        </xdr:cNvPicPr>
      </xdr:nvPicPr>
      <xdr:blipFill>
        <a:blip xmlns:r="http://schemas.openxmlformats.org/officeDocument/2006/relationships" r:embed="rId23"/>
        <a:stretch>
          <a:fillRect/>
        </a:stretch>
      </xdr:blipFill>
      <xdr:spPr>
        <a:xfrm>
          <a:off x="7264400" y="30664150"/>
          <a:ext cx="878840" cy="1183640"/>
        </a:xfrm>
        <a:prstGeom prst="rect">
          <a:avLst/>
        </a:prstGeom>
      </xdr:spPr>
    </xdr:pic>
    <xdr:clientData/>
  </xdr:twoCellAnchor>
  <xdr:twoCellAnchor>
    <xdr:from>
      <xdr:col>8</xdr:col>
      <xdr:colOff>6350</xdr:colOff>
      <xdr:row>41</xdr:row>
      <xdr:rowOff>25400</xdr:rowOff>
    </xdr:from>
    <xdr:to>
      <xdr:col>8</xdr:col>
      <xdr:colOff>885190</xdr:colOff>
      <xdr:row>41</xdr:row>
      <xdr:rowOff>1209040</xdr:rowOff>
    </xdr:to>
    <xdr:pic>
      <xdr:nvPicPr>
        <xdr:cNvPr id="4229" name="Изображение 4228" descr="resizeПП-00272623"/>
        <xdr:cNvPicPr>
          <a:picLocks noChangeAspect="1"/>
        </xdr:cNvPicPr>
      </xdr:nvPicPr>
      <xdr:blipFill>
        <a:blip xmlns:r="http://schemas.openxmlformats.org/officeDocument/2006/relationships" r:embed="rId24"/>
        <a:stretch>
          <a:fillRect/>
        </a:stretch>
      </xdr:blipFill>
      <xdr:spPr>
        <a:xfrm>
          <a:off x="7264400" y="31886525"/>
          <a:ext cx="878840" cy="1183640"/>
        </a:xfrm>
        <a:prstGeom prst="rect">
          <a:avLst/>
        </a:prstGeom>
      </xdr:spPr>
    </xdr:pic>
    <xdr:clientData/>
  </xdr:twoCellAnchor>
  <xdr:twoCellAnchor>
    <xdr:from>
      <xdr:col>8</xdr:col>
      <xdr:colOff>6350</xdr:colOff>
      <xdr:row>42</xdr:row>
      <xdr:rowOff>25400</xdr:rowOff>
    </xdr:from>
    <xdr:to>
      <xdr:col>8</xdr:col>
      <xdr:colOff>885190</xdr:colOff>
      <xdr:row>42</xdr:row>
      <xdr:rowOff>1209040</xdr:rowOff>
    </xdr:to>
    <xdr:pic>
      <xdr:nvPicPr>
        <xdr:cNvPr id="4230" name="Изображение 4229" descr="resizeПП-00272633"/>
        <xdr:cNvPicPr>
          <a:picLocks noChangeAspect="1"/>
        </xdr:cNvPicPr>
      </xdr:nvPicPr>
      <xdr:blipFill>
        <a:blip xmlns:r="http://schemas.openxmlformats.org/officeDocument/2006/relationships" r:embed="rId25"/>
        <a:stretch>
          <a:fillRect/>
        </a:stretch>
      </xdr:blipFill>
      <xdr:spPr>
        <a:xfrm>
          <a:off x="7264400" y="33108900"/>
          <a:ext cx="878840" cy="1183640"/>
        </a:xfrm>
        <a:prstGeom prst="rect">
          <a:avLst/>
        </a:prstGeom>
      </xdr:spPr>
    </xdr:pic>
    <xdr:clientData/>
  </xdr:twoCellAnchor>
  <xdr:twoCellAnchor>
    <xdr:from>
      <xdr:col>8</xdr:col>
      <xdr:colOff>6350</xdr:colOff>
      <xdr:row>43</xdr:row>
      <xdr:rowOff>25400</xdr:rowOff>
    </xdr:from>
    <xdr:to>
      <xdr:col>8</xdr:col>
      <xdr:colOff>885190</xdr:colOff>
      <xdr:row>43</xdr:row>
      <xdr:rowOff>1209040</xdr:rowOff>
    </xdr:to>
    <xdr:pic>
      <xdr:nvPicPr>
        <xdr:cNvPr id="4231" name="Изображение 4230" descr="resizeПП-00272631"/>
        <xdr:cNvPicPr>
          <a:picLocks noChangeAspect="1"/>
        </xdr:cNvPicPr>
      </xdr:nvPicPr>
      <xdr:blipFill>
        <a:blip xmlns:r="http://schemas.openxmlformats.org/officeDocument/2006/relationships" r:embed="rId26"/>
        <a:stretch>
          <a:fillRect/>
        </a:stretch>
      </xdr:blipFill>
      <xdr:spPr>
        <a:xfrm>
          <a:off x="7264400" y="34331275"/>
          <a:ext cx="878840" cy="1183640"/>
        </a:xfrm>
        <a:prstGeom prst="rect">
          <a:avLst/>
        </a:prstGeom>
      </xdr:spPr>
    </xdr:pic>
    <xdr:clientData/>
  </xdr:twoCellAnchor>
  <xdr:twoCellAnchor>
    <xdr:from>
      <xdr:col>8</xdr:col>
      <xdr:colOff>6350</xdr:colOff>
      <xdr:row>45</xdr:row>
      <xdr:rowOff>25400</xdr:rowOff>
    </xdr:from>
    <xdr:to>
      <xdr:col>8</xdr:col>
      <xdr:colOff>885190</xdr:colOff>
      <xdr:row>45</xdr:row>
      <xdr:rowOff>1209040</xdr:rowOff>
    </xdr:to>
    <xdr:pic>
      <xdr:nvPicPr>
        <xdr:cNvPr id="4232" name="Изображение 4231" descr="resizeПП-00271488"/>
        <xdr:cNvPicPr>
          <a:picLocks noChangeAspect="1"/>
        </xdr:cNvPicPr>
      </xdr:nvPicPr>
      <xdr:blipFill>
        <a:blip xmlns:r="http://schemas.openxmlformats.org/officeDocument/2006/relationships" r:embed="rId27"/>
        <a:stretch>
          <a:fillRect/>
        </a:stretch>
      </xdr:blipFill>
      <xdr:spPr>
        <a:xfrm>
          <a:off x="7264400" y="35706050"/>
          <a:ext cx="878840" cy="1183640"/>
        </a:xfrm>
        <a:prstGeom prst="rect">
          <a:avLst/>
        </a:prstGeom>
      </xdr:spPr>
    </xdr:pic>
    <xdr:clientData/>
  </xdr:twoCellAnchor>
  <xdr:twoCellAnchor>
    <xdr:from>
      <xdr:col>8</xdr:col>
      <xdr:colOff>6350</xdr:colOff>
      <xdr:row>46</xdr:row>
      <xdr:rowOff>25400</xdr:rowOff>
    </xdr:from>
    <xdr:to>
      <xdr:col>8</xdr:col>
      <xdr:colOff>885190</xdr:colOff>
      <xdr:row>46</xdr:row>
      <xdr:rowOff>1209040</xdr:rowOff>
    </xdr:to>
    <xdr:pic>
      <xdr:nvPicPr>
        <xdr:cNvPr id="4233" name="Изображение 4232" descr="resizeПП-00271485"/>
        <xdr:cNvPicPr>
          <a:picLocks noChangeAspect="1"/>
        </xdr:cNvPicPr>
      </xdr:nvPicPr>
      <xdr:blipFill>
        <a:blip xmlns:r="http://schemas.openxmlformats.org/officeDocument/2006/relationships" r:embed="rId28"/>
        <a:stretch>
          <a:fillRect/>
        </a:stretch>
      </xdr:blipFill>
      <xdr:spPr>
        <a:xfrm>
          <a:off x="7264400" y="36928425"/>
          <a:ext cx="878840" cy="1183640"/>
        </a:xfrm>
        <a:prstGeom prst="rect">
          <a:avLst/>
        </a:prstGeom>
      </xdr:spPr>
    </xdr:pic>
    <xdr:clientData/>
  </xdr:twoCellAnchor>
  <xdr:twoCellAnchor>
    <xdr:from>
      <xdr:col>8</xdr:col>
      <xdr:colOff>6350</xdr:colOff>
      <xdr:row>47</xdr:row>
      <xdr:rowOff>25400</xdr:rowOff>
    </xdr:from>
    <xdr:to>
      <xdr:col>8</xdr:col>
      <xdr:colOff>885190</xdr:colOff>
      <xdr:row>47</xdr:row>
      <xdr:rowOff>1209040</xdr:rowOff>
    </xdr:to>
    <xdr:pic>
      <xdr:nvPicPr>
        <xdr:cNvPr id="4234" name="Изображение 4233" descr="resizeПП-00271487"/>
        <xdr:cNvPicPr>
          <a:picLocks noChangeAspect="1"/>
        </xdr:cNvPicPr>
      </xdr:nvPicPr>
      <xdr:blipFill>
        <a:blip xmlns:r="http://schemas.openxmlformats.org/officeDocument/2006/relationships" r:embed="rId29"/>
        <a:stretch>
          <a:fillRect/>
        </a:stretch>
      </xdr:blipFill>
      <xdr:spPr>
        <a:xfrm>
          <a:off x="7264400" y="38150800"/>
          <a:ext cx="878840" cy="1183640"/>
        </a:xfrm>
        <a:prstGeom prst="rect">
          <a:avLst/>
        </a:prstGeom>
      </xdr:spPr>
    </xdr:pic>
    <xdr:clientData/>
  </xdr:twoCellAnchor>
  <xdr:twoCellAnchor>
    <xdr:from>
      <xdr:col>8</xdr:col>
      <xdr:colOff>6350</xdr:colOff>
      <xdr:row>49</xdr:row>
      <xdr:rowOff>25400</xdr:rowOff>
    </xdr:from>
    <xdr:to>
      <xdr:col>8</xdr:col>
      <xdr:colOff>885190</xdr:colOff>
      <xdr:row>49</xdr:row>
      <xdr:rowOff>1209040</xdr:rowOff>
    </xdr:to>
    <xdr:pic>
      <xdr:nvPicPr>
        <xdr:cNvPr id="4235" name="Изображение 4234" descr="resizeПП-00271481"/>
        <xdr:cNvPicPr>
          <a:picLocks noChangeAspect="1"/>
        </xdr:cNvPicPr>
      </xdr:nvPicPr>
      <xdr:blipFill>
        <a:blip xmlns:r="http://schemas.openxmlformats.org/officeDocument/2006/relationships" r:embed="rId30"/>
        <a:stretch>
          <a:fillRect/>
        </a:stretch>
      </xdr:blipFill>
      <xdr:spPr>
        <a:xfrm>
          <a:off x="7264400" y="39525575"/>
          <a:ext cx="878840" cy="1183640"/>
        </a:xfrm>
        <a:prstGeom prst="rect">
          <a:avLst/>
        </a:prstGeom>
      </xdr:spPr>
    </xdr:pic>
    <xdr:clientData/>
  </xdr:twoCellAnchor>
  <xdr:twoCellAnchor>
    <xdr:from>
      <xdr:col>8</xdr:col>
      <xdr:colOff>6350</xdr:colOff>
      <xdr:row>50</xdr:row>
      <xdr:rowOff>25400</xdr:rowOff>
    </xdr:from>
    <xdr:to>
      <xdr:col>8</xdr:col>
      <xdr:colOff>885190</xdr:colOff>
      <xdr:row>50</xdr:row>
      <xdr:rowOff>1209040</xdr:rowOff>
    </xdr:to>
    <xdr:pic>
      <xdr:nvPicPr>
        <xdr:cNvPr id="4236" name="Изображение 4235" descr="resizeПП-00271478"/>
        <xdr:cNvPicPr>
          <a:picLocks noChangeAspect="1"/>
        </xdr:cNvPicPr>
      </xdr:nvPicPr>
      <xdr:blipFill>
        <a:blip xmlns:r="http://schemas.openxmlformats.org/officeDocument/2006/relationships" r:embed="rId31"/>
        <a:stretch>
          <a:fillRect/>
        </a:stretch>
      </xdr:blipFill>
      <xdr:spPr>
        <a:xfrm>
          <a:off x="7264400" y="40747950"/>
          <a:ext cx="878840" cy="1183640"/>
        </a:xfrm>
        <a:prstGeom prst="rect">
          <a:avLst/>
        </a:prstGeom>
      </xdr:spPr>
    </xdr:pic>
    <xdr:clientData/>
  </xdr:twoCellAnchor>
  <xdr:twoCellAnchor>
    <xdr:from>
      <xdr:col>8</xdr:col>
      <xdr:colOff>6350</xdr:colOff>
      <xdr:row>51</xdr:row>
      <xdr:rowOff>25400</xdr:rowOff>
    </xdr:from>
    <xdr:to>
      <xdr:col>8</xdr:col>
      <xdr:colOff>885190</xdr:colOff>
      <xdr:row>51</xdr:row>
      <xdr:rowOff>1209040</xdr:rowOff>
    </xdr:to>
    <xdr:pic>
      <xdr:nvPicPr>
        <xdr:cNvPr id="4237" name="Изображение 4236" descr="resizeПП-00271479"/>
        <xdr:cNvPicPr>
          <a:picLocks noChangeAspect="1"/>
        </xdr:cNvPicPr>
      </xdr:nvPicPr>
      <xdr:blipFill>
        <a:blip xmlns:r="http://schemas.openxmlformats.org/officeDocument/2006/relationships" r:embed="rId32"/>
        <a:stretch>
          <a:fillRect/>
        </a:stretch>
      </xdr:blipFill>
      <xdr:spPr>
        <a:xfrm>
          <a:off x="7264400" y="41970325"/>
          <a:ext cx="878840" cy="1183640"/>
        </a:xfrm>
        <a:prstGeom prst="rect">
          <a:avLst/>
        </a:prstGeom>
      </xdr:spPr>
    </xdr:pic>
    <xdr:clientData/>
  </xdr:twoCellAnchor>
  <xdr:twoCellAnchor>
    <xdr:from>
      <xdr:col>8</xdr:col>
      <xdr:colOff>6350</xdr:colOff>
      <xdr:row>52</xdr:row>
      <xdr:rowOff>25400</xdr:rowOff>
    </xdr:from>
    <xdr:to>
      <xdr:col>8</xdr:col>
      <xdr:colOff>885190</xdr:colOff>
      <xdr:row>52</xdr:row>
      <xdr:rowOff>1209040</xdr:rowOff>
    </xdr:to>
    <xdr:pic>
      <xdr:nvPicPr>
        <xdr:cNvPr id="4238" name="Изображение 4237" descr="resizeПП-00271482"/>
        <xdr:cNvPicPr>
          <a:picLocks noChangeAspect="1"/>
        </xdr:cNvPicPr>
      </xdr:nvPicPr>
      <xdr:blipFill>
        <a:blip xmlns:r="http://schemas.openxmlformats.org/officeDocument/2006/relationships" r:embed="rId33"/>
        <a:stretch>
          <a:fillRect/>
        </a:stretch>
      </xdr:blipFill>
      <xdr:spPr>
        <a:xfrm>
          <a:off x="7264400" y="43192700"/>
          <a:ext cx="878840" cy="1183640"/>
        </a:xfrm>
        <a:prstGeom prst="rect">
          <a:avLst/>
        </a:prstGeom>
      </xdr:spPr>
    </xdr:pic>
    <xdr:clientData/>
  </xdr:twoCellAnchor>
  <xdr:twoCellAnchor>
    <xdr:from>
      <xdr:col>8</xdr:col>
      <xdr:colOff>6350</xdr:colOff>
      <xdr:row>53</xdr:row>
      <xdr:rowOff>25400</xdr:rowOff>
    </xdr:from>
    <xdr:to>
      <xdr:col>8</xdr:col>
      <xdr:colOff>885190</xdr:colOff>
      <xdr:row>53</xdr:row>
      <xdr:rowOff>1209040</xdr:rowOff>
    </xdr:to>
    <xdr:pic>
      <xdr:nvPicPr>
        <xdr:cNvPr id="4239" name="Изображение 4238" descr="resizeПП-00271483"/>
        <xdr:cNvPicPr>
          <a:picLocks noChangeAspect="1"/>
        </xdr:cNvPicPr>
      </xdr:nvPicPr>
      <xdr:blipFill>
        <a:blip xmlns:r="http://schemas.openxmlformats.org/officeDocument/2006/relationships" r:embed="rId34"/>
        <a:stretch>
          <a:fillRect/>
        </a:stretch>
      </xdr:blipFill>
      <xdr:spPr>
        <a:xfrm>
          <a:off x="7264400" y="44415075"/>
          <a:ext cx="878840" cy="1183640"/>
        </a:xfrm>
        <a:prstGeom prst="rect">
          <a:avLst/>
        </a:prstGeom>
      </xdr:spPr>
    </xdr:pic>
    <xdr:clientData/>
  </xdr:twoCellAnchor>
  <xdr:twoCellAnchor>
    <xdr:from>
      <xdr:col>8</xdr:col>
      <xdr:colOff>6350</xdr:colOff>
      <xdr:row>55</xdr:row>
      <xdr:rowOff>25400</xdr:rowOff>
    </xdr:from>
    <xdr:to>
      <xdr:col>8</xdr:col>
      <xdr:colOff>885190</xdr:colOff>
      <xdr:row>55</xdr:row>
      <xdr:rowOff>1209040</xdr:rowOff>
    </xdr:to>
    <xdr:pic>
      <xdr:nvPicPr>
        <xdr:cNvPr id="4240" name="Изображение 4239" descr="resizeПП-00266919"/>
        <xdr:cNvPicPr>
          <a:picLocks noChangeAspect="1"/>
        </xdr:cNvPicPr>
      </xdr:nvPicPr>
      <xdr:blipFill>
        <a:blip xmlns:r="http://schemas.openxmlformats.org/officeDocument/2006/relationships" r:embed="rId35"/>
        <a:stretch>
          <a:fillRect/>
        </a:stretch>
      </xdr:blipFill>
      <xdr:spPr>
        <a:xfrm>
          <a:off x="7264400" y="45789850"/>
          <a:ext cx="878840" cy="1183640"/>
        </a:xfrm>
        <a:prstGeom prst="rect">
          <a:avLst/>
        </a:prstGeom>
      </xdr:spPr>
    </xdr:pic>
    <xdr:clientData/>
  </xdr:twoCellAnchor>
  <xdr:twoCellAnchor>
    <xdr:from>
      <xdr:col>8</xdr:col>
      <xdr:colOff>6350</xdr:colOff>
      <xdr:row>57</xdr:row>
      <xdr:rowOff>25400</xdr:rowOff>
    </xdr:from>
    <xdr:to>
      <xdr:col>8</xdr:col>
      <xdr:colOff>885190</xdr:colOff>
      <xdr:row>57</xdr:row>
      <xdr:rowOff>1209040</xdr:rowOff>
    </xdr:to>
    <xdr:pic>
      <xdr:nvPicPr>
        <xdr:cNvPr id="4241" name="Изображение 4240" descr="resizeПП-00266876"/>
        <xdr:cNvPicPr>
          <a:picLocks noChangeAspect="1"/>
        </xdr:cNvPicPr>
      </xdr:nvPicPr>
      <xdr:blipFill>
        <a:blip xmlns:r="http://schemas.openxmlformats.org/officeDocument/2006/relationships" r:embed="rId36"/>
        <a:stretch>
          <a:fillRect/>
        </a:stretch>
      </xdr:blipFill>
      <xdr:spPr>
        <a:xfrm>
          <a:off x="7264400" y="47164625"/>
          <a:ext cx="878840" cy="1183640"/>
        </a:xfrm>
        <a:prstGeom prst="rect">
          <a:avLst/>
        </a:prstGeom>
      </xdr:spPr>
    </xdr:pic>
    <xdr:clientData/>
  </xdr:twoCellAnchor>
  <xdr:twoCellAnchor>
    <xdr:from>
      <xdr:col>8</xdr:col>
      <xdr:colOff>6350</xdr:colOff>
      <xdr:row>59</xdr:row>
      <xdr:rowOff>25400</xdr:rowOff>
    </xdr:from>
    <xdr:to>
      <xdr:col>8</xdr:col>
      <xdr:colOff>885190</xdr:colOff>
      <xdr:row>59</xdr:row>
      <xdr:rowOff>1209040</xdr:rowOff>
    </xdr:to>
    <xdr:pic>
      <xdr:nvPicPr>
        <xdr:cNvPr id="4242" name="Изображение 4241" descr="resizeПП-00271550"/>
        <xdr:cNvPicPr>
          <a:picLocks noChangeAspect="1"/>
        </xdr:cNvPicPr>
      </xdr:nvPicPr>
      <xdr:blipFill>
        <a:blip xmlns:r="http://schemas.openxmlformats.org/officeDocument/2006/relationships" r:embed="rId37"/>
        <a:stretch>
          <a:fillRect/>
        </a:stretch>
      </xdr:blipFill>
      <xdr:spPr>
        <a:xfrm>
          <a:off x="7264400" y="48539400"/>
          <a:ext cx="878840" cy="1183640"/>
        </a:xfrm>
        <a:prstGeom prst="rect">
          <a:avLst/>
        </a:prstGeom>
      </xdr:spPr>
    </xdr:pic>
    <xdr:clientData/>
  </xdr:twoCellAnchor>
  <xdr:twoCellAnchor>
    <xdr:from>
      <xdr:col>8</xdr:col>
      <xdr:colOff>6350</xdr:colOff>
      <xdr:row>60</xdr:row>
      <xdr:rowOff>25400</xdr:rowOff>
    </xdr:from>
    <xdr:to>
      <xdr:col>8</xdr:col>
      <xdr:colOff>885190</xdr:colOff>
      <xdr:row>60</xdr:row>
      <xdr:rowOff>1209040</xdr:rowOff>
    </xdr:to>
    <xdr:pic>
      <xdr:nvPicPr>
        <xdr:cNvPr id="4243" name="Изображение 4242" descr="resizeПП-00271551"/>
        <xdr:cNvPicPr>
          <a:picLocks noChangeAspect="1"/>
        </xdr:cNvPicPr>
      </xdr:nvPicPr>
      <xdr:blipFill>
        <a:blip xmlns:r="http://schemas.openxmlformats.org/officeDocument/2006/relationships" r:embed="rId38"/>
        <a:stretch>
          <a:fillRect/>
        </a:stretch>
      </xdr:blipFill>
      <xdr:spPr>
        <a:xfrm>
          <a:off x="7264400" y="49761775"/>
          <a:ext cx="878840" cy="1183640"/>
        </a:xfrm>
        <a:prstGeom prst="rect">
          <a:avLst/>
        </a:prstGeom>
      </xdr:spPr>
    </xdr:pic>
    <xdr:clientData/>
  </xdr:twoCellAnchor>
  <xdr:twoCellAnchor>
    <xdr:from>
      <xdr:col>8</xdr:col>
      <xdr:colOff>6350</xdr:colOff>
      <xdr:row>61</xdr:row>
      <xdr:rowOff>25400</xdr:rowOff>
    </xdr:from>
    <xdr:to>
      <xdr:col>8</xdr:col>
      <xdr:colOff>885190</xdr:colOff>
      <xdr:row>61</xdr:row>
      <xdr:rowOff>1209040</xdr:rowOff>
    </xdr:to>
    <xdr:pic>
      <xdr:nvPicPr>
        <xdr:cNvPr id="4244" name="Изображение 4243" descr="resizeПП-00271552"/>
        <xdr:cNvPicPr>
          <a:picLocks noChangeAspect="1"/>
        </xdr:cNvPicPr>
      </xdr:nvPicPr>
      <xdr:blipFill>
        <a:blip xmlns:r="http://schemas.openxmlformats.org/officeDocument/2006/relationships" r:embed="rId39"/>
        <a:stretch>
          <a:fillRect/>
        </a:stretch>
      </xdr:blipFill>
      <xdr:spPr>
        <a:xfrm>
          <a:off x="7264400" y="50984150"/>
          <a:ext cx="878840" cy="1183640"/>
        </a:xfrm>
        <a:prstGeom prst="rect">
          <a:avLst/>
        </a:prstGeom>
      </xdr:spPr>
    </xdr:pic>
    <xdr:clientData/>
  </xdr:twoCellAnchor>
  <xdr:twoCellAnchor>
    <xdr:from>
      <xdr:col>8</xdr:col>
      <xdr:colOff>6350</xdr:colOff>
      <xdr:row>62</xdr:row>
      <xdr:rowOff>25400</xdr:rowOff>
    </xdr:from>
    <xdr:to>
      <xdr:col>8</xdr:col>
      <xdr:colOff>885190</xdr:colOff>
      <xdr:row>62</xdr:row>
      <xdr:rowOff>1209040</xdr:rowOff>
    </xdr:to>
    <xdr:pic>
      <xdr:nvPicPr>
        <xdr:cNvPr id="4245" name="Изображение 4244" descr="resizeПП-00271553"/>
        <xdr:cNvPicPr>
          <a:picLocks noChangeAspect="1"/>
        </xdr:cNvPicPr>
      </xdr:nvPicPr>
      <xdr:blipFill>
        <a:blip xmlns:r="http://schemas.openxmlformats.org/officeDocument/2006/relationships" r:embed="rId40"/>
        <a:stretch>
          <a:fillRect/>
        </a:stretch>
      </xdr:blipFill>
      <xdr:spPr>
        <a:xfrm>
          <a:off x="7264400" y="52206525"/>
          <a:ext cx="878840" cy="1183640"/>
        </a:xfrm>
        <a:prstGeom prst="rect">
          <a:avLst/>
        </a:prstGeom>
      </xdr:spPr>
    </xdr:pic>
    <xdr:clientData/>
  </xdr:twoCellAnchor>
  <xdr:twoCellAnchor>
    <xdr:from>
      <xdr:col>8</xdr:col>
      <xdr:colOff>6350</xdr:colOff>
      <xdr:row>63</xdr:row>
      <xdr:rowOff>25400</xdr:rowOff>
    </xdr:from>
    <xdr:to>
      <xdr:col>8</xdr:col>
      <xdr:colOff>885190</xdr:colOff>
      <xdr:row>63</xdr:row>
      <xdr:rowOff>1209040</xdr:rowOff>
    </xdr:to>
    <xdr:pic>
      <xdr:nvPicPr>
        <xdr:cNvPr id="4246" name="Изображение 4245" descr="resizeПП-00271548"/>
        <xdr:cNvPicPr>
          <a:picLocks noChangeAspect="1"/>
        </xdr:cNvPicPr>
      </xdr:nvPicPr>
      <xdr:blipFill>
        <a:blip xmlns:r="http://schemas.openxmlformats.org/officeDocument/2006/relationships" r:embed="rId41"/>
        <a:stretch>
          <a:fillRect/>
        </a:stretch>
      </xdr:blipFill>
      <xdr:spPr>
        <a:xfrm>
          <a:off x="7264400" y="53428900"/>
          <a:ext cx="878840" cy="1183640"/>
        </a:xfrm>
        <a:prstGeom prst="rect">
          <a:avLst/>
        </a:prstGeom>
      </xdr:spPr>
    </xdr:pic>
    <xdr:clientData/>
  </xdr:twoCellAnchor>
  <xdr:twoCellAnchor>
    <xdr:from>
      <xdr:col>8</xdr:col>
      <xdr:colOff>6350</xdr:colOff>
      <xdr:row>65</xdr:row>
      <xdr:rowOff>25400</xdr:rowOff>
    </xdr:from>
    <xdr:to>
      <xdr:col>8</xdr:col>
      <xdr:colOff>885190</xdr:colOff>
      <xdr:row>65</xdr:row>
      <xdr:rowOff>1209040</xdr:rowOff>
    </xdr:to>
    <xdr:pic>
      <xdr:nvPicPr>
        <xdr:cNvPr id="4247" name="Изображение 4246" descr="resizeПП-00272704"/>
        <xdr:cNvPicPr>
          <a:picLocks noChangeAspect="1"/>
        </xdr:cNvPicPr>
      </xdr:nvPicPr>
      <xdr:blipFill>
        <a:blip xmlns:r="http://schemas.openxmlformats.org/officeDocument/2006/relationships" r:embed="rId42"/>
        <a:stretch>
          <a:fillRect/>
        </a:stretch>
      </xdr:blipFill>
      <xdr:spPr>
        <a:xfrm>
          <a:off x="7264400" y="54803675"/>
          <a:ext cx="878840" cy="1183640"/>
        </a:xfrm>
        <a:prstGeom prst="rect">
          <a:avLst/>
        </a:prstGeom>
      </xdr:spPr>
    </xdr:pic>
    <xdr:clientData/>
  </xdr:twoCellAnchor>
  <xdr:twoCellAnchor>
    <xdr:from>
      <xdr:col>8</xdr:col>
      <xdr:colOff>6350</xdr:colOff>
      <xdr:row>66</xdr:row>
      <xdr:rowOff>25400</xdr:rowOff>
    </xdr:from>
    <xdr:to>
      <xdr:col>8</xdr:col>
      <xdr:colOff>885190</xdr:colOff>
      <xdr:row>66</xdr:row>
      <xdr:rowOff>1209040</xdr:rowOff>
    </xdr:to>
    <xdr:pic>
      <xdr:nvPicPr>
        <xdr:cNvPr id="4248" name="Изображение 4247" descr="resizeПП-00272702"/>
        <xdr:cNvPicPr>
          <a:picLocks noChangeAspect="1"/>
        </xdr:cNvPicPr>
      </xdr:nvPicPr>
      <xdr:blipFill>
        <a:blip xmlns:r="http://schemas.openxmlformats.org/officeDocument/2006/relationships" r:embed="rId43"/>
        <a:stretch>
          <a:fillRect/>
        </a:stretch>
      </xdr:blipFill>
      <xdr:spPr>
        <a:xfrm>
          <a:off x="7264400" y="56026050"/>
          <a:ext cx="878840" cy="1183640"/>
        </a:xfrm>
        <a:prstGeom prst="rect">
          <a:avLst/>
        </a:prstGeom>
      </xdr:spPr>
    </xdr:pic>
    <xdr:clientData/>
  </xdr:twoCellAnchor>
  <xdr:twoCellAnchor>
    <xdr:from>
      <xdr:col>8</xdr:col>
      <xdr:colOff>6350</xdr:colOff>
      <xdr:row>67</xdr:row>
      <xdr:rowOff>25400</xdr:rowOff>
    </xdr:from>
    <xdr:to>
      <xdr:col>8</xdr:col>
      <xdr:colOff>885190</xdr:colOff>
      <xdr:row>67</xdr:row>
      <xdr:rowOff>1209040</xdr:rowOff>
    </xdr:to>
    <xdr:pic>
      <xdr:nvPicPr>
        <xdr:cNvPr id="4249" name="Изображение 4248" descr="resizeПП-00272698"/>
        <xdr:cNvPicPr>
          <a:picLocks noChangeAspect="1"/>
        </xdr:cNvPicPr>
      </xdr:nvPicPr>
      <xdr:blipFill>
        <a:blip xmlns:r="http://schemas.openxmlformats.org/officeDocument/2006/relationships" r:embed="rId44"/>
        <a:stretch>
          <a:fillRect/>
        </a:stretch>
      </xdr:blipFill>
      <xdr:spPr>
        <a:xfrm>
          <a:off x="7264400" y="57248425"/>
          <a:ext cx="878840" cy="1183640"/>
        </a:xfrm>
        <a:prstGeom prst="rect">
          <a:avLst/>
        </a:prstGeom>
      </xdr:spPr>
    </xdr:pic>
    <xdr:clientData/>
  </xdr:twoCellAnchor>
  <xdr:twoCellAnchor>
    <xdr:from>
      <xdr:col>8</xdr:col>
      <xdr:colOff>6350</xdr:colOff>
      <xdr:row>68</xdr:row>
      <xdr:rowOff>25400</xdr:rowOff>
    </xdr:from>
    <xdr:to>
      <xdr:col>8</xdr:col>
      <xdr:colOff>885190</xdr:colOff>
      <xdr:row>68</xdr:row>
      <xdr:rowOff>1209040</xdr:rowOff>
    </xdr:to>
    <xdr:pic>
      <xdr:nvPicPr>
        <xdr:cNvPr id="4250" name="Изображение 4249" descr="resizeПП-00272701"/>
        <xdr:cNvPicPr>
          <a:picLocks noChangeAspect="1"/>
        </xdr:cNvPicPr>
      </xdr:nvPicPr>
      <xdr:blipFill>
        <a:blip xmlns:r="http://schemas.openxmlformats.org/officeDocument/2006/relationships" r:embed="rId45"/>
        <a:stretch>
          <a:fillRect/>
        </a:stretch>
      </xdr:blipFill>
      <xdr:spPr>
        <a:xfrm>
          <a:off x="7264400" y="58470800"/>
          <a:ext cx="878840" cy="1183640"/>
        </a:xfrm>
        <a:prstGeom prst="rect">
          <a:avLst/>
        </a:prstGeom>
      </xdr:spPr>
    </xdr:pic>
    <xdr:clientData/>
  </xdr:twoCellAnchor>
  <xdr:twoCellAnchor>
    <xdr:from>
      <xdr:col>8</xdr:col>
      <xdr:colOff>6350</xdr:colOff>
      <xdr:row>69</xdr:row>
      <xdr:rowOff>25400</xdr:rowOff>
    </xdr:from>
    <xdr:to>
      <xdr:col>8</xdr:col>
      <xdr:colOff>885190</xdr:colOff>
      <xdr:row>69</xdr:row>
      <xdr:rowOff>1209040</xdr:rowOff>
    </xdr:to>
    <xdr:pic>
      <xdr:nvPicPr>
        <xdr:cNvPr id="4251" name="Изображение 4250" descr="resizeПП-00272697"/>
        <xdr:cNvPicPr>
          <a:picLocks noChangeAspect="1"/>
        </xdr:cNvPicPr>
      </xdr:nvPicPr>
      <xdr:blipFill>
        <a:blip xmlns:r="http://schemas.openxmlformats.org/officeDocument/2006/relationships" r:embed="rId46"/>
        <a:stretch>
          <a:fillRect/>
        </a:stretch>
      </xdr:blipFill>
      <xdr:spPr>
        <a:xfrm>
          <a:off x="7264400" y="59693175"/>
          <a:ext cx="878840" cy="1183640"/>
        </a:xfrm>
        <a:prstGeom prst="rect">
          <a:avLst/>
        </a:prstGeom>
      </xdr:spPr>
    </xdr:pic>
    <xdr:clientData/>
  </xdr:twoCellAnchor>
  <xdr:twoCellAnchor>
    <xdr:from>
      <xdr:col>8</xdr:col>
      <xdr:colOff>6350</xdr:colOff>
      <xdr:row>70</xdr:row>
      <xdr:rowOff>25400</xdr:rowOff>
    </xdr:from>
    <xdr:to>
      <xdr:col>8</xdr:col>
      <xdr:colOff>885190</xdr:colOff>
      <xdr:row>70</xdr:row>
      <xdr:rowOff>1209040</xdr:rowOff>
    </xdr:to>
    <xdr:pic>
      <xdr:nvPicPr>
        <xdr:cNvPr id="4252" name="Изображение 4251" descr="resizeПП-00272696"/>
        <xdr:cNvPicPr>
          <a:picLocks noChangeAspect="1"/>
        </xdr:cNvPicPr>
      </xdr:nvPicPr>
      <xdr:blipFill>
        <a:blip xmlns:r="http://schemas.openxmlformats.org/officeDocument/2006/relationships" r:embed="rId47"/>
        <a:stretch>
          <a:fillRect/>
        </a:stretch>
      </xdr:blipFill>
      <xdr:spPr>
        <a:xfrm>
          <a:off x="7264400" y="60915550"/>
          <a:ext cx="878840" cy="1183640"/>
        </a:xfrm>
        <a:prstGeom prst="rect">
          <a:avLst/>
        </a:prstGeom>
      </xdr:spPr>
    </xdr:pic>
    <xdr:clientData/>
  </xdr:twoCellAnchor>
  <xdr:twoCellAnchor>
    <xdr:from>
      <xdr:col>8</xdr:col>
      <xdr:colOff>6350</xdr:colOff>
      <xdr:row>73</xdr:row>
      <xdr:rowOff>25400</xdr:rowOff>
    </xdr:from>
    <xdr:to>
      <xdr:col>8</xdr:col>
      <xdr:colOff>885190</xdr:colOff>
      <xdr:row>73</xdr:row>
      <xdr:rowOff>1209040</xdr:rowOff>
    </xdr:to>
    <xdr:pic>
      <xdr:nvPicPr>
        <xdr:cNvPr id="4253" name="Изображение 4252" descr="resizeПП-00270433"/>
        <xdr:cNvPicPr>
          <a:picLocks noChangeAspect="1"/>
        </xdr:cNvPicPr>
      </xdr:nvPicPr>
      <xdr:blipFill>
        <a:blip xmlns:r="http://schemas.openxmlformats.org/officeDocument/2006/relationships" r:embed="rId48"/>
        <a:stretch>
          <a:fillRect/>
        </a:stretch>
      </xdr:blipFill>
      <xdr:spPr>
        <a:xfrm>
          <a:off x="7264400" y="62442725"/>
          <a:ext cx="878840" cy="1183640"/>
        </a:xfrm>
        <a:prstGeom prst="rect">
          <a:avLst/>
        </a:prstGeom>
      </xdr:spPr>
    </xdr:pic>
    <xdr:clientData/>
  </xdr:twoCellAnchor>
  <xdr:twoCellAnchor>
    <xdr:from>
      <xdr:col>8</xdr:col>
      <xdr:colOff>6350</xdr:colOff>
      <xdr:row>75</xdr:row>
      <xdr:rowOff>25400</xdr:rowOff>
    </xdr:from>
    <xdr:to>
      <xdr:col>8</xdr:col>
      <xdr:colOff>885190</xdr:colOff>
      <xdr:row>75</xdr:row>
      <xdr:rowOff>1209040</xdr:rowOff>
    </xdr:to>
    <xdr:pic>
      <xdr:nvPicPr>
        <xdr:cNvPr id="4254" name="Изображение 4253" descr="resizeПП-00270130"/>
        <xdr:cNvPicPr>
          <a:picLocks noChangeAspect="1"/>
        </xdr:cNvPicPr>
      </xdr:nvPicPr>
      <xdr:blipFill>
        <a:blip xmlns:r="http://schemas.openxmlformats.org/officeDocument/2006/relationships" r:embed="rId49"/>
        <a:stretch>
          <a:fillRect/>
        </a:stretch>
      </xdr:blipFill>
      <xdr:spPr>
        <a:xfrm>
          <a:off x="7264400" y="63817500"/>
          <a:ext cx="878840" cy="1183640"/>
        </a:xfrm>
        <a:prstGeom prst="rect">
          <a:avLst/>
        </a:prstGeom>
      </xdr:spPr>
    </xdr:pic>
    <xdr:clientData/>
  </xdr:twoCellAnchor>
  <xdr:twoCellAnchor>
    <xdr:from>
      <xdr:col>8</xdr:col>
      <xdr:colOff>6350</xdr:colOff>
      <xdr:row>76</xdr:row>
      <xdr:rowOff>25400</xdr:rowOff>
    </xdr:from>
    <xdr:to>
      <xdr:col>8</xdr:col>
      <xdr:colOff>885190</xdr:colOff>
      <xdr:row>76</xdr:row>
      <xdr:rowOff>1209040</xdr:rowOff>
    </xdr:to>
    <xdr:pic>
      <xdr:nvPicPr>
        <xdr:cNvPr id="4255" name="Изображение 4254" descr="resizeПП-00270129"/>
        <xdr:cNvPicPr>
          <a:picLocks noChangeAspect="1"/>
        </xdr:cNvPicPr>
      </xdr:nvPicPr>
      <xdr:blipFill>
        <a:blip xmlns:r="http://schemas.openxmlformats.org/officeDocument/2006/relationships" r:embed="rId50"/>
        <a:stretch>
          <a:fillRect/>
        </a:stretch>
      </xdr:blipFill>
      <xdr:spPr>
        <a:xfrm>
          <a:off x="7264400" y="65039875"/>
          <a:ext cx="878840" cy="1183640"/>
        </a:xfrm>
        <a:prstGeom prst="rect">
          <a:avLst/>
        </a:prstGeom>
      </xdr:spPr>
    </xdr:pic>
    <xdr:clientData/>
  </xdr:twoCellAnchor>
  <xdr:twoCellAnchor>
    <xdr:from>
      <xdr:col>8</xdr:col>
      <xdr:colOff>6350</xdr:colOff>
      <xdr:row>78</xdr:row>
      <xdr:rowOff>25400</xdr:rowOff>
    </xdr:from>
    <xdr:to>
      <xdr:col>8</xdr:col>
      <xdr:colOff>885190</xdr:colOff>
      <xdr:row>78</xdr:row>
      <xdr:rowOff>1209040</xdr:rowOff>
    </xdr:to>
    <xdr:pic>
      <xdr:nvPicPr>
        <xdr:cNvPr id="4256" name="Изображение 4255" descr="resizeПП-00270430"/>
        <xdr:cNvPicPr>
          <a:picLocks noChangeAspect="1"/>
        </xdr:cNvPicPr>
      </xdr:nvPicPr>
      <xdr:blipFill>
        <a:blip xmlns:r="http://schemas.openxmlformats.org/officeDocument/2006/relationships" r:embed="rId51"/>
        <a:stretch>
          <a:fillRect/>
        </a:stretch>
      </xdr:blipFill>
      <xdr:spPr>
        <a:xfrm>
          <a:off x="7264400" y="66414650"/>
          <a:ext cx="878840" cy="1183640"/>
        </a:xfrm>
        <a:prstGeom prst="rect">
          <a:avLst/>
        </a:prstGeom>
      </xdr:spPr>
    </xdr:pic>
    <xdr:clientData/>
  </xdr:twoCellAnchor>
  <xdr:twoCellAnchor>
    <xdr:from>
      <xdr:col>8</xdr:col>
      <xdr:colOff>6350</xdr:colOff>
      <xdr:row>80</xdr:row>
      <xdr:rowOff>25400</xdr:rowOff>
    </xdr:from>
    <xdr:to>
      <xdr:col>8</xdr:col>
      <xdr:colOff>885190</xdr:colOff>
      <xdr:row>80</xdr:row>
      <xdr:rowOff>1209040</xdr:rowOff>
    </xdr:to>
    <xdr:pic>
      <xdr:nvPicPr>
        <xdr:cNvPr id="4257" name="Изображение 4256" descr="resizeПП-00267203"/>
        <xdr:cNvPicPr>
          <a:picLocks noChangeAspect="1"/>
        </xdr:cNvPicPr>
      </xdr:nvPicPr>
      <xdr:blipFill>
        <a:blip xmlns:r="http://schemas.openxmlformats.org/officeDocument/2006/relationships" r:embed="rId52"/>
        <a:stretch>
          <a:fillRect/>
        </a:stretch>
      </xdr:blipFill>
      <xdr:spPr>
        <a:xfrm>
          <a:off x="7264400" y="67789425"/>
          <a:ext cx="878840" cy="1183640"/>
        </a:xfrm>
        <a:prstGeom prst="rect">
          <a:avLst/>
        </a:prstGeom>
      </xdr:spPr>
    </xdr:pic>
    <xdr:clientData/>
  </xdr:twoCellAnchor>
  <xdr:twoCellAnchor>
    <xdr:from>
      <xdr:col>8</xdr:col>
      <xdr:colOff>6350</xdr:colOff>
      <xdr:row>81</xdr:row>
      <xdr:rowOff>25400</xdr:rowOff>
    </xdr:from>
    <xdr:to>
      <xdr:col>8</xdr:col>
      <xdr:colOff>1189990</xdr:colOff>
      <xdr:row>81</xdr:row>
      <xdr:rowOff>904240</xdr:rowOff>
    </xdr:to>
    <xdr:pic>
      <xdr:nvPicPr>
        <xdr:cNvPr id="4258" name="Изображение 4257" descr="resizeПП-00267208"/>
        <xdr:cNvPicPr>
          <a:picLocks noChangeAspect="1"/>
        </xdr:cNvPicPr>
      </xdr:nvPicPr>
      <xdr:blipFill>
        <a:blip xmlns:r="http://schemas.openxmlformats.org/officeDocument/2006/relationships" r:embed="rId53"/>
        <a:stretch>
          <a:fillRect/>
        </a:stretch>
      </xdr:blipFill>
      <xdr:spPr>
        <a:xfrm>
          <a:off x="7264400" y="69011800"/>
          <a:ext cx="1183640" cy="878840"/>
        </a:xfrm>
        <a:prstGeom prst="rect">
          <a:avLst/>
        </a:prstGeom>
      </xdr:spPr>
    </xdr:pic>
    <xdr:clientData/>
  </xdr:twoCellAnchor>
  <xdr:twoCellAnchor>
    <xdr:from>
      <xdr:col>8</xdr:col>
      <xdr:colOff>6350</xdr:colOff>
      <xdr:row>82</xdr:row>
      <xdr:rowOff>25400</xdr:rowOff>
    </xdr:from>
    <xdr:to>
      <xdr:col>8</xdr:col>
      <xdr:colOff>1189990</xdr:colOff>
      <xdr:row>82</xdr:row>
      <xdr:rowOff>904240</xdr:rowOff>
    </xdr:to>
    <xdr:pic>
      <xdr:nvPicPr>
        <xdr:cNvPr id="4259" name="Изображение 4258" descr="resizeПП-00267209"/>
        <xdr:cNvPicPr>
          <a:picLocks noChangeAspect="1"/>
        </xdr:cNvPicPr>
      </xdr:nvPicPr>
      <xdr:blipFill>
        <a:blip xmlns:r="http://schemas.openxmlformats.org/officeDocument/2006/relationships" r:embed="rId54"/>
        <a:stretch>
          <a:fillRect/>
        </a:stretch>
      </xdr:blipFill>
      <xdr:spPr>
        <a:xfrm>
          <a:off x="7264400" y="70234175"/>
          <a:ext cx="1183640" cy="878840"/>
        </a:xfrm>
        <a:prstGeom prst="rect">
          <a:avLst/>
        </a:prstGeom>
      </xdr:spPr>
    </xdr:pic>
    <xdr:clientData/>
  </xdr:twoCellAnchor>
  <xdr:twoCellAnchor>
    <xdr:from>
      <xdr:col>8</xdr:col>
      <xdr:colOff>6350</xdr:colOff>
      <xdr:row>83</xdr:row>
      <xdr:rowOff>25400</xdr:rowOff>
    </xdr:from>
    <xdr:to>
      <xdr:col>8</xdr:col>
      <xdr:colOff>1189990</xdr:colOff>
      <xdr:row>83</xdr:row>
      <xdr:rowOff>904240</xdr:rowOff>
    </xdr:to>
    <xdr:pic>
      <xdr:nvPicPr>
        <xdr:cNvPr id="4260" name="Изображение 4259" descr="resizeПП-00267206"/>
        <xdr:cNvPicPr>
          <a:picLocks noChangeAspect="1"/>
        </xdr:cNvPicPr>
      </xdr:nvPicPr>
      <xdr:blipFill>
        <a:blip xmlns:r="http://schemas.openxmlformats.org/officeDocument/2006/relationships" r:embed="rId55"/>
        <a:stretch>
          <a:fillRect/>
        </a:stretch>
      </xdr:blipFill>
      <xdr:spPr>
        <a:xfrm>
          <a:off x="7264400" y="71456550"/>
          <a:ext cx="1183640" cy="878840"/>
        </a:xfrm>
        <a:prstGeom prst="rect">
          <a:avLst/>
        </a:prstGeom>
      </xdr:spPr>
    </xdr:pic>
    <xdr:clientData/>
  </xdr:twoCellAnchor>
  <xdr:twoCellAnchor>
    <xdr:from>
      <xdr:col>8</xdr:col>
      <xdr:colOff>6350</xdr:colOff>
      <xdr:row>84</xdr:row>
      <xdr:rowOff>25400</xdr:rowOff>
    </xdr:from>
    <xdr:to>
      <xdr:col>8</xdr:col>
      <xdr:colOff>1189990</xdr:colOff>
      <xdr:row>84</xdr:row>
      <xdr:rowOff>904240</xdr:rowOff>
    </xdr:to>
    <xdr:pic>
      <xdr:nvPicPr>
        <xdr:cNvPr id="4261" name="Изображение 4260" descr="resizeПП-00267210"/>
        <xdr:cNvPicPr>
          <a:picLocks noChangeAspect="1"/>
        </xdr:cNvPicPr>
      </xdr:nvPicPr>
      <xdr:blipFill>
        <a:blip xmlns:r="http://schemas.openxmlformats.org/officeDocument/2006/relationships" r:embed="rId56"/>
        <a:stretch>
          <a:fillRect/>
        </a:stretch>
      </xdr:blipFill>
      <xdr:spPr>
        <a:xfrm>
          <a:off x="7264400" y="72678925"/>
          <a:ext cx="1183640" cy="878840"/>
        </a:xfrm>
        <a:prstGeom prst="rect">
          <a:avLst/>
        </a:prstGeom>
      </xdr:spPr>
    </xdr:pic>
    <xdr:clientData/>
  </xdr:twoCellAnchor>
  <xdr:twoCellAnchor>
    <xdr:from>
      <xdr:col>8</xdr:col>
      <xdr:colOff>6350</xdr:colOff>
      <xdr:row>85</xdr:row>
      <xdr:rowOff>25400</xdr:rowOff>
    </xdr:from>
    <xdr:to>
      <xdr:col>8</xdr:col>
      <xdr:colOff>1189990</xdr:colOff>
      <xdr:row>85</xdr:row>
      <xdr:rowOff>904240</xdr:rowOff>
    </xdr:to>
    <xdr:pic>
      <xdr:nvPicPr>
        <xdr:cNvPr id="4262" name="Изображение 4261" descr="resizeПП-00267205"/>
        <xdr:cNvPicPr>
          <a:picLocks noChangeAspect="1"/>
        </xdr:cNvPicPr>
      </xdr:nvPicPr>
      <xdr:blipFill>
        <a:blip xmlns:r="http://schemas.openxmlformats.org/officeDocument/2006/relationships" r:embed="rId57"/>
        <a:stretch>
          <a:fillRect/>
        </a:stretch>
      </xdr:blipFill>
      <xdr:spPr>
        <a:xfrm>
          <a:off x="7264400" y="73901300"/>
          <a:ext cx="1183640" cy="878840"/>
        </a:xfrm>
        <a:prstGeom prst="rect">
          <a:avLst/>
        </a:prstGeom>
      </xdr:spPr>
    </xdr:pic>
    <xdr:clientData/>
  </xdr:twoCellAnchor>
  <xdr:twoCellAnchor>
    <xdr:from>
      <xdr:col>8</xdr:col>
      <xdr:colOff>6350</xdr:colOff>
      <xdr:row>86</xdr:row>
      <xdr:rowOff>25400</xdr:rowOff>
    </xdr:from>
    <xdr:to>
      <xdr:col>8</xdr:col>
      <xdr:colOff>1189990</xdr:colOff>
      <xdr:row>86</xdr:row>
      <xdr:rowOff>904240</xdr:rowOff>
    </xdr:to>
    <xdr:pic>
      <xdr:nvPicPr>
        <xdr:cNvPr id="4263" name="Изображение 4262" descr="resizeПП-00267213"/>
        <xdr:cNvPicPr>
          <a:picLocks noChangeAspect="1"/>
        </xdr:cNvPicPr>
      </xdr:nvPicPr>
      <xdr:blipFill>
        <a:blip xmlns:r="http://schemas.openxmlformats.org/officeDocument/2006/relationships" r:embed="rId58"/>
        <a:stretch>
          <a:fillRect/>
        </a:stretch>
      </xdr:blipFill>
      <xdr:spPr>
        <a:xfrm>
          <a:off x="7264400" y="75123675"/>
          <a:ext cx="1183640" cy="878840"/>
        </a:xfrm>
        <a:prstGeom prst="rect">
          <a:avLst/>
        </a:prstGeom>
      </xdr:spPr>
    </xdr:pic>
    <xdr:clientData/>
  </xdr:twoCellAnchor>
  <xdr:twoCellAnchor>
    <xdr:from>
      <xdr:col>8</xdr:col>
      <xdr:colOff>6350</xdr:colOff>
      <xdr:row>87</xdr:row>
      <xdr:rowOff>25400</xdr:rowOff>
    </xdr:from>
    <xdr:to>
      <xdr:col>8</xdr:col>
      <xdr:colOff>1189990</xdr:colOff>
      <xdr:row>87</xdr:row>
      <xdr:rowOff>904240</xdr:rowOff>
    </xdr:to>
    <xdr:pic>
      <xdr:nvPicPr>
        <xdr:cNvPr id="4264" name="Изображение 4263" descr="resizeПП-00267221"/>
        <xdr:cNvPicPr>
          <a:picLocks noChangeAspect="1"/>
        </xdr:cNvPicPr>
      </xdr:nvPicPr>
      <xdr:blipFill>
        <a:blip xmlns:r="http://schemas.openxmlformats.org/officeDocument/2006/relationships" r:embed="rId59"/>
        <a:stretch>
          <a:fillRect/>
        </a:stretch>
      </xdr:blipFill>
      <xdr:spPr>
        <a:xfrm>
          <a:off x="7264400" y="76346050"/>
          <a:ext cx="1183640" cy="878840"/>
        </a:xfrm>
        <a:prstGeom prst="rect">
          <a:avLst/>
        </a:prstGeom>
      </xdr:spPr>
    </xdr:pic>
    <xdr:clientData/>
  </xdr:twoCellAnchor>
  <xdr:twoCellAnchor>
    <xdr:from>
      <xdr:col>8</xdr:col>
      <xdr:colOff>6350</xdr:colOff>
      <xdr:row>88</xdr:row>
      <xdr:rowOff>25400</xdr:rowOff>
    </xdr:from>
    <xdr:to>
      <xdr:col>8</xdr:col>
      <xdr:colOff>1189990</xdr:colOff>
      <xdr:row>88</xdr:row>
      <xdr:rowOff>904240</xdr:rowOff>
    </xdr:to>
    <xdr:pic>
      <xdr:nvPicPr>
        <xdr:cNvPr id="4265" name="Изображение 4264" descr="resizeПП-00267219"/>
        <xdr:cNvPicPr>
          <a:picLocks noChangeAspect="1"/>
        </xdr:cNvPicPr>
      </xdr:nvPicPr>
      <xdr:blipFill>
        <a:blip xmlns:r="http://schemas.openxmlformats.org/officeDocument/2006/relationships" r:embed="rId60"/>
        <a:stretch>
          <a:fillRect/>
        </a:stretch>
      </xdr:blipFill>
      <xdr:spPr>
        <a:xfrm>
          <a:off x="7264400" y="77568425"/>
          <a:ext cx="1183640" cy="878840"/>
        </a:xfrm>
        <a:prstGeom prst="rect">
          <a:avLst/>
        </a:prstGeom>
      </xdr:spPr>
    </xdr:pic>
    <xdr:clientData/>
  </xdr:twoCellAnchor>
  <xdr:twoCellAnchor>
    <xdr:from>
      <xdr:col>8</xdr:col>
      <xdr:colOff>6350</xdr:colOff>
      <xdr:row>89</xdr:row>
      <xdr:rowOff>25400</xdr:rowOff>
    </xdr:from>
    <xdr:to>
      <xdr:col>8</xdr:col>
      <xdr:colOff>1189990</xdr:colOff>
      <xdr:row>89</xdr:row>
      <xdr:rowOff>904240</xdr:rowOff>
    </xdr:to>
    <xdr:pic>
      <xdr:nvPicPr>
        <xdr:cNvPr id="4266" name="Изображение 4265" descr="resizeПП-00267212"/>
        <xdr:cNvPicPr>
          <a:picLocks noChangeAspect="1"/>
        </xdr:cNvPicPr>
      </xdr:nvPicPr>
      <xdr:blipFill>
        <a:blip xmlns:r="http://schemas.openxmlformats.org/officeDocument/2006/relationships" r:embed="rId61"/>
        <a:stretch>
          <a:fillRect/>
        </a:stretch>
      </xdr:blipFill>
      <xdr:spPr>
        <a:xfrm>
          <a:off x="7264400" y="78790800"/>
          <a:ext cx="1183640" cy="878840"/>
        </a:xfrm>
        <a:prstGeom prst="rect">
          <a:avLst/>
        </a:prstGeom>
      </xdr:spPr>
    </xdr:pic>
    <xdr:clientData/>
  </xdr:twoCellAnchor>
  <xdr:twoCellAnchor>
    <xdr:from>
      <xdr:col>8</xdr:col>
      <xdr:colOff>6350</xdr:colOff>
      <xdr:row>90</xdr:row>
      <xdr:rowOff>25400</xdr:rowOff>
    </xdr:from>
    <xdr:to>
      <xdr:col>8</xdr:col>
      <xdr:colOff>1189990</xdr:colOff>
      <xdr:row>90</xdr:row>
      <xdr:rowOff>904240</xdr:rowOff>
    </xdr:to>
    <xdr:pic>
      <xdr:nvPicPr>
        <xdr:cNvPr id="4267" name="Изображение 4266" descr="resizeПП-00267218"/>
        <xdr:cNvPicPr>
          <a:picLocks noChangeAspect="1"/>
        </xdr:cNvPicPr>
      </xdr:nvPicPr>
      <xdr:blipFill>
        <a:blip xmlns:r="http://schemas.openxmlformats.org/officeDocument/2006/relationships" r:embed="rId62"/>
        <a:stretch>
          <a:fillRect/>
        </a:stretch>
      </xdr:blipFill>
      <xdr:spPr>
        <a:xfrm>
          <a:off x="7264400" y="80013175"/>
          <a:ext cx="1183640" cy="878840"/>
        </a:xfrm>
        <a:prstGeom prst="rect">
          <a:avLst/>
        </a:prstGeom>
      </xdr:spPr>
    </xdr:pic>
    <xdr:clientData/>
  </xdr:twoCellAnchor>
  <xdr:twoCellAnchor>
    <xdr:from>
      <xdr:col>8</xdr:col>
      <xdr:colOff>6350</xdr:colOff>
      <xdr:row>91</xdr:row>
      <xdr:rowOff>25400</xdr:rowOff>
    </xdr:from>
    <xdr:to>
      <xdr:col>8</xdr:col>
      <xdr:colOff>1189990</xdr:colOff>
      <xdr:row>91</xdr:row>
      <xdr:rowOff>904240</xdr:rowOff>
    </xdr:to>
    <xdr:pic>
      <xdr:nvPicPr>
        <xdr:cNvPr id="4268" name="Изображение 4267" descr="resizeПП-00267214"/>
        <xdr:cNvPicPr>
          <a:picLocks noChangeAspect="1"/>
        </xdr:cNvPicPr>
      </xdr:nvPicPr>
      <xdr:blipFill>
        <a:blip xmlns:r="http://schemas.openxmlformats.org/officeDocument/2006/relationships" r:embed="rId63"/>
        <a:stretch>
          <a:fillRect/>
        </a:stretch>
      </xdr:blipFill>
      <xdr:spPr>
        <a:xfrm>
          <a:off x="7264400" y="81235550"/>
          <a:ext cx="1183640" cy="878840"/>
        </a:xfrm>
        <a:prstGeom prst="rect">
          <a:avLst/>
        </a:prstGeom>
      </xdr:spPr>
    </xdr:pic>
    <xdr:clientData/>
  </xdr:twoCellAnchor>
  <xdr:twoCellAnchor>
    <xdr:from>
      <xdr:col>8</xdr:col>
      <xdr:colOff>6350</xdr:colOff>
      <xdr:row>92</xdr:row>
      <xdr:rowOff>25400</xdr:rowOff>
    </xdr:from>
    <xdr:to>
      <xdr:col>8</xdr:col>
      <xdr:colOff>1189990</xdr:colOff>
      <xdr:row>92</xdr:row>
      <xdr:rowOff>904240</xdr:rowOff>
    </xdr:to>
    <xdr:pic>
      <xdr:nvPicPr>
        <xdr:cNvPr id="4269" name="Изображение 4268" descr="resizeПП-00267216"/>
        <xdr:cNvPicPr>
          <a:picLocks noChangeAspect="1"/>
        </xdr:cNvPicPr>
      </xdr:nvPicPr>
      <xdr:blipFill>
        <a:blip xmlns:r="http://schemas.openxmlformats.org/officeDocument/2006/relationships" r:embed="rId64"/>
        <a:stretch>
          <a:fillRect/>
        </a:stretch>
      </xdr:blipFill>
      <xdr:spPr>
        <a:xfrm>
          <a:off x="7264400" y="82457925"/>
          <a:ext cx="1183640" cy="878840"/>
        </a:xfrm>
        <a:prstGeom prst="rect">
          <a:avLst/>
        </a:prstGeom>
      </xdr:spPr>
    </xdr:pic>
    <xdr:clientData/>
  </xdr:twoCellAnchor>
  <xdr:twoCellAnchor>
    <xdr:from>
      <xdr:col>8</xdr:col>
      <xdr:colOff>6350</xdr:colOff>
      <xdr:row>93</xdr:row>
      <xdr:rowOff>25400</xdr:rowOff>
    </xdr:from>
    <xdr:to>
      <xdr:col>8</xdr:col>
      <xdr:colOff>1189990</xdr:colOff>
      <xdr:row>93</xdr:row>
      <xdr:rowOff>904240</xdr:rowOff>
    </xdr:to>
    <xdr:pic>
      <xdr:nvPicPr>
        <xdr:cNvPr id="4270" name="Изображение 4269" descr="resizeПП-00267211"/>
        <xdr:cNvPicPr>
          <a:picLocks noChangeAspect="1"/>
        </xdr:cNvPicPr>
      </xdr:nvPicPr>
      <xdr:blipFill>
        <a:blip xmlns:r="http://schemas.openxmlformats.org/officeDocument/2006/relationships" r:embed="rId65"/>
        <a:stretch>
          <a:fillRect/>
        </a:stretch>
      </xdr:blipFill>
      <xdr:spPr>
        <a:xfrm>
          <a:off x="7264400" y="83680300"/>
          <a:ext cx="1183640" cy="878840"/>
        </a:xfrm>
        <a:prstGeom prst="rect">
          <a:avLst/>
        </a:prstGeom>
      </xdr:spPr>
    </xdr:pic>
    <xdr:clientData/>
  </xdr:twoCellAnchor>
  <xdr:twoCellAnchor>
    <xdr:from>
      <xdr:col>8</xdr:col>
      <xdr:colOff>6350</xdr:colOff>
      <xdr:row>94</xdr:row>
      <xdr:rowOff>25400</xdr:rowOff>
    </xdr:from>
    <xdr:to>
      <xdr:col>8</xdr:col>
      <xdr:colOff>1189990</xdr:colOff>
      <xdr:row>94</xdr:row>
      <xdr:rowOff>904240</xdr:rowOff>
    </xdr:to>
    <xdr:pic>
      <xdr:nvPicPr>
        <xdr:cNvPr id="4271" name="Изображение 4270" descr="resizeПП-00267217"/>
        <xdr:cNvPicPr>
          <a:picLocks noChangeAspect="1"/>
        </xdr:cNvPicPr>
      </xdr:nvPicPr>
      <xdr:blipFill>
        <a:blip xmlns:r="http://schemas.openxmlformats.org/officeDocument/2006/relationships" r:embed="rId66"/>
        <a:stretch>
          <a:fillRect/>
        </a:stretch>
      </xdr:blipFill>
      <xdr:spPr>
        <a:xfrm>
          <a:off x="7264400" y="84902675"/>
          <a:ext cx="1183640" cy="878840"/>
        </a:xfrm>
        <a:prstGeom prst="rect">
          <a:avLst/>
        </a:prstGeom>
      </xdr:spPr>
    </xdr:pic>
    <xdr:clientData/>
  </xdr:twoCellAnchor>
  <xdr:twoCellAnchor>
    <xdr:from>
      <xdr:col>8</xdr:col>
      <xdr:colOff>6350</xdr:colOff>
      <xdr:row>96</xdr:row>
      <xdr:rowOff>25400</xdr:rowOff>
    </xdr:from>
    <xdr:to>
      <xdr:col>8</xdr:col>
      <xdr:colOff>885190</xdr:colOff>
      <xdr:row>96</xdr:row>
      <xdr:rowOff>1209040</xdr:rowOff>
    </xdr:to>
    <xdr:pic>
      <xdr:nvPicPr>
        <xdr:cNvPr id="4272" name="Изображение 4271" descr="resizeПП-00272983"/>
        <xdr:cNvPicPr>
          <a:picLocks noChangeAspect="1"/>
        </xdr:cNvPicPr>
      </xdr:nvPicPr>
      <xdr:blipFill>
        <a:blip xmlns:r="http://schemas.openxmlformats.org/officeDocument/2006/relationships" r:embed="rId67"/>
        <a:stretch>
          <a:fillRect/>
        </a:stretch>
      </xdr:blipFill>
      <xdr:spPr>
        <a:xfrm>
          <a:off x="7264400" y="86277450"/>
          <a:ext cx="878840" cy="1183640"/>
        </a:xfrm>
        <a:prstGeom prst="rect">
          <a:avLst/>
        </a:prstGeom>
      </xdr:spPr>
    </xdr:pic>
    <xdr:clientData/>
  </xdr:twoCellAnchor>
  <xdr:twoCellAnchor>
    <xdr:from>
      <xdr:col>8</xdr:col>
      <xdr:colOff>6350</xdr:colOff>
      <xdr:row>98</xdr:row>
      <xdr:rowOff>25400</xdr:rowOff>
    </xdr:from>
    <xdr:to>
      <xdr:col>8</xdr:col>
      <xdr:colOff>885190</xdr:colOff>
      <xdr:row>98</xdr:row>
      <xdr:rowOff>1209040</xdr:rowOff>
    </xdr:to>
    <xdr:pic>
      <xdr:nvPicPr>
        <xdr:cNvPr id="4273" name="Изображение 4272" descr="resizeПП-00274264"/>
        <xdr:cNvPicPr>
          <a:picLocks noChangeAspect="1"/>
        </xdr:cNvPicPr>
      </xdr:nvPicPr>
      <xdr:blipFill>
        <a:blip xmlns:r="http://schemas.openxmlformats.org/officeDocument/2006/relationships" r:embed="rId68"/>
        <a:stretch>
          <a:fillRect/>
        </a:stretch>
      </xdr:blipFill>
      <xdr:spPr>
        <a:xfrm>
          <a:off x="7264400" y="87652225"/>
          <a:ext cx="878840" cy="1183640"/>
        </a:xfrm>
        <a:prstGeom prst="rect">
          <a:avLst/>
        </a:prstGeom>
      </xdr:spPr>
    </xdr:pic>
    <xdr:clientData/>
  </xdr:twoCellAnchor>
  <xdr:twoCellAnchor>
    <xdr:from>
      <xdr:col>8</xdr:col>
      <xdr:colOff>6350</xdr:colOff>
      <xdr:row>100</xdr:row>
      <xdr:rowOff>25400</xdr:rowOff>
    </xdr:from>
    <xdr:to>
      <xdr:col>8</xdr:col>
      <xdr:colOff>885190</xdr:colOff>
      <xdr:row>100</xdr:row>
      <xdr:rowOff>1209040</xdr:rowOff>
    </xdr:to>
    <xdr:pic>
      <xdr:nvPicPr>
        <xdr:cNvPr id="4274" name="Изображение 4273" descr="resizeПП-00274257"/>
        <xdr:cNvPicPr>
          <a:picLocks noChangeAspect="1"/>
        </xdr:cNvPicPr>
      </xdr:nvPicPr>
      <xdr:blipFill>
        <a:blip xmlns:r="http://schemas.openxmlformats.org/officeDocument/2006/relationships" r:embed="rId69"/>
        <a:stretch>
          <a:fillRect/>
        </a:stretch>
      </xdr:blipFill>
      <xdr:spPr>
        <a:xfrm>
          <a:off x="7264400" y="89027000"/>
          <a:ext cx="878840" cy="1183640"/>
        </a:xfrm>
        <a:prstGeom prst="rect">
          <a:avLst/>
        </a:prstGeom>
      </xdr:spPr>
    </xdr:pic>
    <xdr:clientData/>
  </xdr:twoCellAnchor>
  <xdr:twoCellAnchor>
    <xdr:from>
      <xdr:col>8</xdr:col>
      <xdr:colOff>6350</xdr:colOff>
      <xdr:row>101</xdr:row>
      <xdr:rowOff>25400</xdr:rowOff>
    </xdr:from>
    <xdr:to>
      <xdr:col>8</xdr:col>
      <xdr:colOff>885190</xdr:colOff>
      <xdr:row>101</xdr:row>
      <xdr:rowOff>1209040</xdr:rowOff>
    </xdr:to>
    <xdr:pic>
      <xdr:nvPicPr>
        <xdr:cNvPr id="4275" name="Изображение 4274" descr="resizeПП-00274265"/>
        <xdr:cNvPicPr>
          <a:picLocks noChangeAspect="1"/>
        </xdr:cNvPicPr>
      </xdr:nvPicPr>
      <xdr:blipFill>
        <a:blip xmlns:r="http://schemas.openxmlformats.org/officeDocument/2006/relationships" r:embed="rId70"/>
        <a:stretch>
          <a:fillRect/>
        </a:stretch>
      </xdr:blipFill>
      <xdr:spPr>
        <a:xfrm>
          <a:off x="7264400" y="90249375"/>
          <a:ext cx="878840" cy="1183640"/>
        </a:xfrm>
        <a:prstGeom prst="rect">
          <a:avLst/>
        </a:prstGeom>
      </xdr:spPr>
    </xdr:pic>
    <xdr:clientData/>
  </xdr:twoCellAnchor>
  <xdr:twoCellAnchor>
    <xdr:from>
      <xdr:col>8</xdr:col>
      <xdr:colOff>6350</xdr:colOff>
      <xdr:row>105</xdr:row>
      <xdr:rowOff>25400</xdr:rowOff>
    </xdr:from>
    <xdr:to>
      <xdr:col>8</xdr:col>
      <xdr:colOff>885190</xdr:colOff>
      <xdr:row>105</xdr:row>
      <xdr:rowOff>1209040</xdr:rowOff>
    </xdr:to>
    <xdr:pic>
      <xdr:nvPicPr>
        <xdr:cNvPr id="4276" name="Изображение 4275" descr="resizeПП-00273957"/>
        <xdr:cNvPicPr>
          <a:picLocks noChangeAspect="1"/>
        </xdr:cNvPicPr>
      </xdr:nvPicPr>
      <xdr:blipFill>
        <a:blip xmlns:r="http://schemas.openxmlformats.org/officeDocument/2006/relationships" r:embed="rId71"/>
        <a:stretch>
          <a:fillRect/>
        </a:stretch>
      </xdr:blipFill>
      <xdr:spPr>
        <a:xfrm>
          <a:off x="7264400" y="91928950"/>
          <a:ext cx="878840" cy="1183640"/>
        </a:xfrm>
        <a:prstGeom prst="rect">
          <a:avLst/>
        </a:prstGeom>
      </xdr:spPr>
    </xdr:pic>
    <xdr:clientData/>
  </xdr:twoCellAnchor>
  <xdr:twoCellAnchor>
    <xdr:from>
      <xdr:col>8</xdr:col>
      <xdr:colOff>6350</xdr:colOff>
      <xdr:row>106</xdr:row>
      <xdr:rowOff>25400</xdr:rowOff>
    </xdr:from>
    <xdr:to>
      <xdr:col>8</xdr:col>
      <xdr:colOff>885190</xdr:colOff>
      <xdr:row>106</xdr:row>
      <xdr:rowOff>1209040</xdr:rowOff>
    </xdr:to>
    <xdr:pic>
      <xdr:nvPicPr>
        <xdr:cNvPr id="4277" name="Изображение 4276" descr="resizeПП-00273958"/>
        <xdr:cNvPicPr>
          <a:picLocks noChangeAspect="1"/>
        </xdr:cNvPicPr>
      </xdr:nvPicPr>
      <xdr:blipFill>
        <a:blip xmlns:r="http://schemas.openxmlformats.org/officeDocument/2006/relationships" r:embed="rId72"/>
        <a:stretch>
          <a:fillRect/>
        </a:stretch>
      </xdr:blipFill>
      <xdr:spPr>
        <a:xfrm>
          <a:off x="7264400" y="93151325"/>
          <a:ext cx="878840" cy="1183640"/>
        </a:xfrm>
        <a:prstGeom prst="rect">
          <a:avLst/>
        </a:prstGeom>
      </xdr:spPr>
    </xdr:pic>
    <xdr:clientData/>
  </xdr:twoCellAnchor>
  <xdr:twoCellAnchor>
    <xdr:from>
      <xdr:col>8</xdr:col>
      <xdr:colOff>6350</xdr:colOff>
      <xdr:row>107</xdr:row>
      <xdr:rowOff>25400</xdr:rowOff>
    </xdr:from>
    <xdr:to>
      <xdr:col>8</xdr:col>
      <xdr:colOff>885190</xdr:colOff>
      <xdr:row>107</xdr:row>
      <xdr:rowOff>1209040</xdr:rowOff>
    </xdr:to>
    <xdr:pic>
      <xdr:nvPicPr>
        <xdr:cNvPr id="4278" name="Изображение 4277" descr="resizeПП-00273949"/>
        <xdr:cNvPicPr>
          <a:picLocks noChangeAspect="1"/>
        </xdr:cNvPicPr>
      </xdr:nvPicPr>
      <xdr:blipFill>
        <a:blip xmlns:r="http://schemas.openxmlformats.org/officeDocument/2006/relationships" r:embed="rId73"/>
        <a:stretch>
          <a:fillRect/>
        </a:stretch>
      </xdr:blipFill>
      <xdr:spPr>
        <a:xfrm>
          <a:off x="7264400" y="94373700"/>
          <a:ext cx="878840" cy="1183640"/>
        </a:xfrm>
        <a:prstGeom prst="rect">
          <a:avLst/>
        </a:prstGeom>
      </xdr:spPr>
    </xdr:pic>
    <xdr:clientData/>
  </xdr:twoCellAnchor>
  <xdr:twoCellAnchor>
    <xdr:from>
      <xdr:col>8</xdr:col>
      <xdr:colOff>6350</xdr:colOff>
      <xdr:row>108</xdr:row>
      <xdr:rowOff>25400</xdr:rowOff>
    </xdr:from>
    <xdr:to>
      <xdr:col>8</xdr:col>
      <xdr:colOff>885190</xdr:colOff>
      <xdr:row>108</xdr:row>
      <xdr:rowOff>1209040</xdr:rowOff>
    </xdr:to>
    <xdr:pic>
      <xdr:nvPicPr>
        <xdr:cNvPr id="4279" name="Изображение 4278" descr="resizeПП-00273956"/>
        <xdr:cNvPicPr>
          <a:picLocks noChangeAspect="1"/>
        </xdr:cNvPicPr>
      </xdr:nvPicPr>
      <xdr:blipFill>
        <a:blip xmlns:r="http://schemas.openxmlformats.org/officeDocument/2006/relationships" r:embed="rId74"/>
        <a:stretch>
          <a:fillRect/>
        </a:stretch>
      </xdr:blipFill>
      <xdr:spPr>
        <a:xfrm>
          <a:off x="7264400" y="95596075"/>
          <a:ext cx="878840" cy="1183640"/>
        </a:xfrm>
        <a:prstGeom prst="rect">
          <a:avLst/>
        </a:prstGeom>
      </xdr:spPr>
    </xdr:pic>
    <xdr:clientData/>
  </xdr:twoCellAnchor>
  <xdr:twoCellAnchor>
    <xdr:from>
      <xdr:col>8</xdr:col>
      <xdr:colOff>6350</xdr:colOff>
      <xdr:row>109</xdr:row>
      <xdr:rowOff>25400</xdr:rowOff>
    </xdr:from>
    <xdr:to>
      <xdr:col>8</xdr:col>
      <xdr:colOff>885190</xdr:colOff>
      <xdr:row>109</xdr:row>
      <xdr:rowOff>1209040</xdr:rowOff>
    </xdr:to>
    <xdr:pic>
      <xdr:nvPicPr>
        <xdr:cNvPr id="4280" name="Изображение 4279" descr="resizeПП-00273950"/>
        <xdr:cNvPicPr>
          <a:picLocks noChangeAspect="1"/>
        </xdr:cNvPicPr>
      </xdr:nvPicPr>
      <xdr:blipFill>
        <a:blip xmlns:r="http://schemas.openxmlformats.org/officeDocument/2006/relationships" r:embed="rId75"/>
        <a:stretch>
          <a:fillRect/>
        </a:stretch>
      </xdr:blipFill>
      <xdr:spPr>
        <a:xfrm>
          <a:off x="7264400" y="96818450"/>
          <a:ext cx="878840" cy="1183640"/>
        </a:xfrm>
        <a:prstGeom prst="rect">
          <a:avLst/>
        </a:prstGeom>
      </xdr:spPr>
    </xdr:pic>
    <xdr:clientData/>
  </xdr:twoCellAnchor>
  <xdr:twoCellAnchor>
    <xdr:from>
      <xdr:col>8</xdr:col>
      <xdr:colOff>6350</xdr:colOff>
      <xdr:row>110</xdr:row>
      <xdr:rowOff>25400</xdr:rowOff>
    </xdr:from>
    <xdr:to>
      <xdr:col>8</xdr:col>
      <xdr:colOff>885190</xdr:colOff>
      <xdr:row>110</xdr:row>
      <xdr:rowOff>1209040</xdr:rowOff>
    </xdr:to>
    <xdr:pic>
      <xdr:nvPicPr>
        <xdr:cNvPr id="4281" name="Изображение 4280" descr="resizeПП-00273954"/>
        <xdr:cNvPicPr>
          <a:picLocks noChangeAspect="1"/>
        </xdr:cNvPicPr>
      </xdr:nvPicPr>
      <xdr:blipFill>
        <a:blip xmlns:r="http://schemas.openxmlformats.org/officeDocument/2006/relationships" r:embed="rId76"/>
        <a:stretch>
          <a:fillRect/>
        </a:stretch>
      </xdr:blipFill>
      <xdr:spPr>
        <a:xfrm>
          <a:off x="7264400" y="98040825"/>
          <a:ext cx="878840" cy="1183640"/>
        </a:xfrm>
        <a:prstGeom prst="rect">
          <a:avLst/>
        </a:prstGeom>
      </xdr:spPr>
    </xdr:pic>
    <xdr:clientData/>
  </xdr:twoCellAnchor>
  <xdr:twoCellAnchor>
    <xdr:from>
      <xdr:col>8</xdr:col>
      <xdr:colOff>6350</xdr:colOff>
      <xdr:row>111</xdr:row>
      <xdr:rowOff>25400</xdr:rowOff>
    </xdr:from>
    <xdr:to>
      <xdr:col>8</xdr:col>
      <xdr:colOff>885190</xdr:colOff>
      <xdr:row>111</xdr:row>
      <xdr:rowOff>1209040</xdr:rowOff>
    </xdr:to>
    <xdr:pic>
      <xdr:nvPicPr>
        <xdr:cNvPr id="4282" name="Изображение 4281" descr="resizeПП-00273955"/>
        <xdr:cNvPicPr>
          <a:picLocks noChangeAspect="1"/>
        </xdr:cNvPicPr>
      </xdr:nvPicPr>
      <xdr:blipFill>
        <a:blip xmlns:r="http://schemas.openxmlformats.org/officeDocument/2006/relationships" r:embed="rId77"/>
        <a:stretch>
          <a:fillRect/>
        </a:stretch>
      </xdr:blipFill>
      <xdr:spPr>
        <a:xfrm>
          <a:off x="7264400" y="99263200"/>
          <a:ext cx="878840" cy="1183640"/>
        </a:xfrm>
        <a:prstGeom prst="rect">
          <a:avLst/>
        </a:prstGeom>
      </xdr:spPr>
    </xdr:pic>
    <xdr:clientData/>
  </xdr:twoCellAnchor>
  <xdr:twoCellAnchor>
    <xdr:from>
      <xdr:col>8</xdr:col>
      <xdr:colOff>6350</xdr:colOff>
      <xdr:row>112</xdr:row>
      <xdr:rowOff>25400</xdr:rowOff>
    </xdr:from>
    <xdr:to>
      <xdr:col>8</xdr:col>
      <xdr:colOff>885190</xdr:colOff>
      <xdr:row>112</xdr:row>
      <xdr:rowOff>1209040</xdr:rowOff>
    </xdr:to>
    <xdr:pic>
      <xdr:nvPicPr>
        <xdr:cNvPr id="4283" name="Изображение 4282" descr="resizeПП-00273953"/>
        <xdr:cNvPicPr>
          <a:picLocks noChangeAspect="1"/>
        </xdr:cNvPicPr>
      </xdr:nvPicPr>
      <xdr:blipFill>
        <a:blip xmlns:r="http://schemas.openxmlformats.org/officeDocument/2006/relationships" r:embed="rId78"/>
        <a:stretch>
          <a:fillRect/>
        </a:stretch>
      </xdr:blipFill>
      <xdr:spPr>
        <a:xfrm>
          <a:off x="7264400" y="100485575"/>
          <a:ext cx="878840" cy="1183640"/>
        </a:xfrm>
        <a:prstGeom prst="rect">
          <a:avLst/>
        </a:prstGeom>
      </xdr:spPr>
    </xdr:pic>
    <xdr:clientData/>
  </xdr:twoCellAnchor>
  <xdr:twoCellAnchor>
    <xdr:from>
      <xdr:col>8</xdr:col>
      <xdr:colOff>6350</xdr:colOff>
      <xdr:row>115</xdr:row>
      <xdr:rowOff>25400</xdr:rowOff>
    </xdr:from>
    <xdr:to>
      <xdr:col>8</xdr:col>
      <xdr:colOff>885190</xdr:colOff>
      <xdr:row>115</xdr:row>
      <xdr:rowOff>1209040</xdr:rowOff>
    </xdr:to>
    <xdr:pic>
      <xdr:nvPicPr>
        <xdr:cNvPr id="4284" name="Изображение 4283" descr="resizeПП-00272482"/>
        <xdr:cNvPicPr>
          <a:picLocks noChangeAspect="1"/>
        </xdr:cNvPicPr>
      </xdr:nvPicPr>
      <xdr:blipFill>
        <a:blip xmlns:r="http://schemas.openxmlformats.org/officeDocument/2006/relationships" r:embed="rId79"/>
        <a:stretch>
          <a:fillRect/>
        </a:stretch>
      </xdr:blipFill>
      <xdr:spPr>
        <a:xfrm>
          <a:off x="7264400" y="102012750"/>
          <a:ext cx="878840" cy="1183640"/>
        </a:xfrm>
        <a:prstGeom prst="rect">
          <a:avLst/>
        </a:prstGeom>
      </xdr:spPr>
    </xdr:pic>
    <xdr:clientData/>
  </xdr:twoCellAnchor>
  <xdr:twoCellAnchor>
    <xdr:from>
      <xdr:col>8</xdr:col>
      <xdr:colOff>6350</xdr:colOff>
      <xdr:row>116</xdr:row>
      <xdr:rowOff>25400</xdr:rowOff>
    </xdr:from>
    <xdr:to>
      <xdr:col>8</xdr:col>
      <xdr:colOff>885190</xdr:colOff>
      <xdr:row>116</xdr:row>
      <xdr:rowOff>1209040</xdr:rowOff>
    </xdr:to>
    <xdr:pic>
      <xdr:nvPicPr>
        <xdr:cNvPr id="4285" name="Изображение 4284" descr="resizeПП-00272508"/>
        <xdr:cNvPicPr>
          <a:picLocks noChangeAspect="1"/>
        </xdr:cNvPicPr>
      </xdr:nvPicPr>
      <xdr:blipFill>
        <a:blip xmlns:r="http://schemas.openxmlformats.org/officeDocument/2006/relationships" r:embed="rId80"/>
        <a:stretch>
          <a:fillRect/>
        </a:stretch>
      </xdr:blipFill>
      <xdr:spPr>
        <a:xfrm>
          <a:off x="7264400" y="103235125"/>
          <a:ext cx="878840" cy="1183640"/>
        </a:xfrm>
        <a:prstGeom prst="rect">
          <a:avLst/>
        </a:prstGeom>
      </xdr:spPr>
    </xdr:pic>
    <xdr:clientData/>
  </xdr:twoCellAnchor>
  <xdr:twoCellAnchor>
    <xdr:from>
      <xdr:col>8</xdr:col>
      <xdr:colOff>6350</xdr:colOff>
      <xdr:row>117</xdr:row>
      <xdr:rowOff>25400</xdr:rowOff>
    </xdr:from>
    <xdr:to>
      <xdr:col>8</xdr:col>
      <xdr:colOff>885190</xdr:colOff>
      <xdr:row>117</xdr:row>
      <xdr:rowOff>1209040</xdr:rowOff>
    </xdr:to>
    <xdr:pic>
      <xdr:nvPicPr>
        <xdr:cNvPr id="4286" name="Изображение 4285" descr="resizeПП-00272526"/>
        <xdr:cNvPicPr>
          <a:picLocks noChangeAspect="1"/>
        </xdr:cNvPicPr>
      </xdr:nvPicPr>
      <xdr:blipFill>
        <a:blip xmlns:r="http://schemas.openxmlformats.org/officeDocument/2006/relationships" r:embed="rId81"/>
        <a:stretch>
          <a:fillRect/>
        </a:stretch>
      </xdr:blipFill>
      <xdr:spPr>
        <a:xfrm>
          <a:off x="7264400" y="104457500"/>
          <a:ext cx="878840" cy="1183640"/>
        </a:xfrm>
        <a:prstGeom prst="rect">
          <a:avLst/>
        </a:prstGeom>
      </xdr:spPr>
    </xdr:pic>
    <xdr:clientData/>
  </xdr:twoCellAnchor>
  <xdr:twoCellAnchor>
    <xdr:from>
      <xdr:col>8</xdr:col>
      <xdr:colOff>6350</xdr:colOff>
      <xdr:row>118</xdr:row>
      <xdr:rowOff>25400</xdr:rowOff>
    </xdr:from>
    <xdr:to>
      <xdr:col>8</xdr:col>
      <xdr:colOff>885190</xdr:colOff>
      <xdr:row>118</xdr:row>
      <xdr:rowOff>1209040</xdr:rowOff>
    </xdr:to>
    <xdr:pic>
      <xdr:nvPicPr>
        <xdr:cNvPr id="4287" name="Изображение 4286" descr="resizeПП-00272509"/>
        <xdr:cNvPicPr>
          <a:picLocks noChangeAspect="1"/>
        </xdr:cNvPicPr>
      </xdr:nvPicPr>
      <xdr:blipFill>
        <a:blip xmlns:r="http://schemas.openxmlformats.org/officeDocument/2006/relationships" r:embed="rId82"/>
        <a:stretch>
          <a:fillRect/>
        </a:stretch>
      </xdr:blipFill>
      <xdr:spPr>
        <a:xfrm>
          <a:off x="7264400" y="105679875"/>
          <a:ext cx="878840" cy="1183640"/>
        </a:xfrm>
        <a:prstGeom prst="rect">
          <a:avLst/>
        </a:prstGeom>
      </xdr:spPr>
    </xdr:pic>
    <xdr:clientData/>
  </xdr:twoCellAnchor>
  <xdr:twoCellAnchor>
    <xdr:from>
      <xdr:col>8</xdr:col>
      <xdr:colOff>6350</xdr:colOff>
      <xdr:row>119</xdr:row>
      <xdr:rowOff>25400</xdr:rowOff>
    </xdr:from>
    <xdr:to>
      <xdr:col>8</xdr:col>
      <xdr:colOff>885190</xdr:colOff>
      <xdr:row>119</xdr:row>
      <xdr:rowOff>1209040</xdr:rowOff>
    </xdr:to>
    <xdr:pic>
      <xdr:nvPicPr>
        <xdr:cNvPr id="4288" name="Изображение 4287" descr="resizeПП-00272515"/>
        <xdr:cNvPicPr>
          <a:picLocks noChangeAspect="1"/>
        </xdr:cNvPicPr>
      </xdr:nvPicPr>
      <xdr:blipFill>
        <a:blip xmlns:r="http://schemas.openxmlformats.org/officeDocument/2006/relationships" r:embed="rId83"/>
        <a:stretch>
          <a:fillRect/>
        </a:stretch>
      </xdr:blipFill>
      <xdr:spPr>
        <a:xfrm>
          <a:off x="7264400" y="106902250"/>
          <a:ext cx="878840" cy="1183640"/>
        </a:xfrm>
        <a:prstGeom prst="rect">
          <a:avLst/>
        </a:prstGeom>
      </xdr:spPr>
    </xdr:pic>
    <xdr:clientData/>
  </xdr:twoCellAnchor>
  <xdr:twoCellAnchor>
    <xdr:from>
      <xdr:col>8</xdr:col>
      <xdr:colOff>6350</xdr:colOff>
      <xdr:row>120</xdr:row>
      <xdr:rowOff>25400</xdr:rowOff>
    </xdr:from>
    <xdr:to>
      <xdr:col>8</xdr:col>
      <xdr:colOff>885190</xdr:colOff>
      <xdr:row>120</xdr:row>
      <xdr:rowOff>1209040</xdr:rowOff>
    </xdr:to>
    <xdr:pic>
      <xdr:nvPicPr>
        <xdr:cNvPr id="4289" name="Изображение 4288" descr="resizeПП-00272510"/>
        <xdr:cNvPicPr>
          <a:picLocks noChangeAspect="1"/>
        </xdr:cNvPicPr>
      </xdr:nvPicPr>
      <xdr:blipFill>
        <a:blip xmlns:r="http://schemas.openxmlformats.org/officeDocument/2006/relationships" r:embed="rId84"/>
        <a:stretch>
          <a:fillRect/>
        </a:stretch>
      </xdr:blipFill>
      <xdr:spPr>
        <a:xfrm>
          <a:off x="7264400" y="108124625"/>
          <a:ext cx="878840" cy="1183640"/>
        </a:xfrm>
        <a:prstGeom prst="rect">
          <a:avLst/>
        </a:prstGeom>
      </xdr:spPr>
    </xdr:pic>
    <xdr:clientData/>
  </xdr:twoCellAnchor>
  <xdr:twoCellAnchor>
    <xdr:from>
      <xdr:col>8</xdr:col>
      <xdr:colOff>6350</xdr:colOff>
      <xdr:row>121</xdr:row>
      <xdr:rowOff>25400</xdr:rowOff>
    </xdr:from>
    <xdr:to>
      <xdr:col>8</xdr:col>
      <xdr:colOff>885190</xdr:colOff>
      <xdr:row>121</xdr:row>
      <xdr:rowOff>1209040</xdr:rowOff>
    </xdr:to>
    <xdr:pic>
      <xdr:nvPicPr>
        <xdr:cNvPr id="4290" name="Изображение 4289" descr="resizeПП-00272507"/>
        <xdr:cNvPicPr>
          <a:picLocks noChangeAspect="1"/>
        </xdr:cNvPicPr>
      </xdr:nvPicPr>
      <xdr:blipFill>
        <a:blip xmlns:r="http://schemas.openxmlformats.org/officeDocument/2006/relationships" r:embed="rId85"/>
        <a:stretch>
          <a:fillRect/>
        </a:stretch>
      </xdr:blipFill>
      <xdr:spPr>
        <a:xfrm>
          <a:off x="7264400" y="109347000"/>
          <a:ext cx="878840" cy="1183640"/>
        </a:xfrm>
        <a:prstGeom prst="rect">
          <a:avLst/>
        </a:prstGeom>
      </xdr:spPr>
    </xdr:pic>
    <xdr:clientData/>
  </xdr:twoCellAnchor>
  <xdr:twoCellAnchor>
    <xdr:from>
      <xdr:col>8</xdr:col>
      <xdr:colOff>6350</xdr:colOff>
      <xdr:row>123</xdr:row>
      <xdr:rowOff>25400</xdr:rowOff>
    </xdr:from>
    <xdr:to>
      <xdr:col>8</xdr:col>
      <xdr:colOff>885190</xdr:colOff>
      <xdr:row>123</xdr:row>
      <xdr:rowOff>1209040</xdr:rowOff>
    </xdr:to>
    <xdr:pic>
      <xdr:nvPicPr>
        <xdr:cNvPr id="4291" name="Изображение 4290" descr="resizeПП-00275617"/>
        <xdr:cNvPicPr>
          <a:picLocks noChangeAspect="1"/>
        </xdr:cNvPicPr>
      </xdr:nvPicPr>
      <xdr:blipFill>
        <a:blip xmlns:r="http://schemas.openxmlformats.org/officeDocument/2006/relationships" r:embed="rId86"/>
        <a:stretch>
          <a:fillRect/>
        </a:stretch>
      </xdr:blipFill>
      <xdr:spPr>
        <a:xfrm>
          <a:off x="7264400" y="110721775"/>
          <a:ext cx="878840" cy="1183640"/>
        </a:xfrm>
        <a:prstGeom prst="rect">
          <a:avLst/>
        </a:prstGeom>
      </xdr:spPr>
    </xdr:pic>
    <xdr:clientData/>
  </xdr:twoCellAnchor>
  <xdr:twoCellAnchor>
    <xdr:from>
      <xdr:col>8</xdr:col>
      <xdr:colOff>6350</xdr:colOff>
      <xdr:row>124</xdr:row>
      <xdr:rowOff>25400</xdr:rowOff>
    </xdr:from>
    <xdr:to>
      <xdr:col>8</xdr:col>
      <xdr:colOff>885190</xdr:colOff>
      <xdr:row>124</xdr:row>
      <xdr:rowOff>1209040</xdr:rowOff>
    </xdr:to>
    <xdr:pic>
      <xdr:nvPicPr>
        <xdr:cNvPr id="4292" name="Изображение 4291" descr="resizeПП-00275614"/>
        <xdr:cNvPicPr>
          <a:picLocks noChangeAspect="1"/>
        </xdr:cNvPicPr>
      </xdr:nvPicPr>
      <xdr:blipFill>
        <a:blip xmlns:r="http://schemas.openxmlformats.org/officeDocument/2006/relationships" r:embed="rId87"/>
        <a:stretch>
          <a:fillRect/>
        </a:stretch>
      </xdr:blipFill>
      <xdr:spPr>
        <a:xfrm>
          <a:off x="7264400" y="111944150"/>
          <a:ext cx="878840" cy="1183640"/>
        </a:xfrm>
        <a:prstGeom prst="rect">
          <a:avLst/>
        </a:prstGeom>
      </xdr:spPr>
    </xdr:pic>
    <xdr:clientData/>
  </xdr:twoCellAnchor>
  <xdr:twoCellAnchor>
    <xdr:from>
      <xdr:col>8</xdr:col>
      <xdr:colOff>6350</xdr:colOff>
      <xdr:row>125</xdr:row>
      <xdr:rowOff>25400</xdr:rowOff>
    </xdr:from>
    <xdr:to>
      <xdr:col>8</xdr:col>
      <xdr:colOff>885190</xdr:colOff>
      <xdr:row>125</xdr:row>
      <xdr:rowOff>1209040</xdr:rowOff>
    </xdr:to>
    <xdr:pic>
      <xdr:nvPicPr>
        <xdr:cNvPr id="4293" name="Изображение 4292" descr="resizeПП-00275615"/>
        <xdr:cNvPicPr>
          <a:picLocks noChangeAspect="1"/>
        </xdr:cNvPicPr>
      </xdr:nvPicPr>
      <xdr:blipFill>
        <a:blip xmlns:r="http://schemas.openxmlformats.org/officeDocument/2006/relationships" r:embed="rId88"/>
        <a:stretch>
          <a:fillRect/>
        </a:stretch>
      </xdr:blipFill>
      <xdr:spPr>
        <a:xfrm>
          <a:off x="7264400" y="113166525"/>
          <a:ext cx="878840" cy="1183640"/>
        </a:xfrm>
        <a:prstGeom prst="rect">
          <a:avLst/>
        </a:prstGeom>
      </xdr:spPr>
    </xdr:pic>
    <xdr:clientData/>
  </xdr:twoCellAnchor>
  <xdr:twoCellAnchor>
    <xdr:from>
      <xdr:col>8</xdr:col>
      <xdr:colOff>6350</xdr:colOff>
      <xdr:row>126</xdr:row>
      <xdr:rowOff>25400</xdr:rowOff>
    </xdr:from>
    <xdr:to>
      <xdr:col>8</xdr:col>
      <xdr:colOff>885190</xdr:colOff>
      <xdr:row>126</xdr:row>
      <xdr:rowOff>1209040</xdr:rowOff>
    </xdr:to>
    <xdr:pic>
      <xdr:nvPicPr>
        <xdr:cNvPr id="4294" name="Изображение 4293" descr="resizeПП-00275616"/>
        <xdr:cNvPicPr>
          <a:picLocks noChangeAspect="1"/>
        </xdr:cNvPicPr>
      </xdr:nvPicPr>
      <xdr:blipFill>
        <a:blip xmlns:r="http://schemas.openxmlformats.org/officeDocument/2006/relationships" r:embed="rId89"/>
        <a:stretch>
          <a:fillRect/>
        </a:stretch>
      </xdr:blipFill>
      <xdr:spPr>
        <a:xfrm>
          <a:off x="7264400" y="114388900"/>
          <a:ext cx="878840" cy="1183640"/>
        </a:xfrm>
        <a:prstGeom prst="rect">
          <a:avLst/>
        </a:prstGeom>
      </xdr:spPr>
    </xdr:pic>
    <xdr:clientData/>
  </xdr:twoCellAnchor>
  <xdr:twoCellAnchor>
    <xdr:from>
      <xdr:col>8</xdr:col>
      <xdr:colOff>6350</xdr:colOff>
      <xdr:row>127</xdr:row>
      <xdr:rowOff>25400</xdr:rowOff>
    </xdr:from>
    <xdr:to>
      <xdr:col>8</xdr:col>
      <xdr:colOff>885190</xdr:colOff>
      <xdr:row>127</xdr:row>
      <xdr:rowOff>1209040</xdr:rowOff>
    </xdr:to>
    <xdr:pic>
      <xdr:nvPicPr>
        <xdr:cNvPr id="4295" name="Изображение 4294" descr="resizeПП-00275610"/>
        <xdr:cNvPicPr>
          <a:picLocks noChangeAspect="1"/>
        </xdr:cNvPicPr>
      </xdr:nvPicPr>
      <xdr:blipFill>
        <a:blip xmlns:r="http://schemas.openxmlformats.org/officeDocument/2006/relationships" r:embed="rId90"/>
        <a:stretch>
          <a:fillRect/>
        </a:stretch>
      </xdr:blipFill>
      <xdr:spPr>
        <a:xfrm>
          <a:off x="7264400" y="115611275"/>
          <a:ext cx="878840" cy="1183640"/>
        </a:xfrm>
        <a:prstGeom prst="rect">
          <a:avLst/>
        </a:prstGeom>
      </xdr:spPr>
    </xdr:pic>
    <xdr:clientData/>
  </xdr:twoCellAnchor>
  <xdr:twoCellAnchor>
    <xdr:from>
      <xdr:col>8</xdr:col>
      <xdr:colOff>6350</xdr:colOff>
      <xdr:row>129</xdr:row>
      <xdr:rowOff>25400</xdr:rowOff>
    </xdr:from>
    <xdr:to>
      <xdr:col>8</xdr:col>
      <xdr:colOff>885190</xdr:colOff>
      <xdr:row>129</xdr:row>
      <xdr:rowOff>1209040</xdr:rowOff>
    </xdr:to>
    <xdr:pic>
      <xdr:nvPicPr>
        <xdr:cNvPr id="4296" name="Изображение 4295" descr="resizeПП-00272466"/>
        <xdr:cNvPicPr>
          <a:picLocks noChangeAspect="1"/>
        </xdr:cNvPicPr>
      </xdr:nvPicPr>
      <xdr:blipFill>
        <a:blip xmlns:r="http://schemas.openxmlformats.org/officeDocument/2006/relationships" r:embed="rId91"/>
        <a:stretch>
          <a:fillRect/>
        </a:stretch>
      </xdr:blipFill>
      <xdr:spPr>
        <a:xfrm>
          <a:off x="7264400" y="116986050"/>
          <a:ext cx="878840" cy="1183640"/>
        </a:xfrm>
        <a:prstGeom prst="rect">
          <a:avLst/>
        </a:prstGeom>
      </xdr:spPr>
    </xdr:pic>
    <xdr:clientData/>
  </xdr:twoCellAnchor>
  <xdr:twoCellAnchor>
    <xdr:from>
      <xdr:col>8</xdr:col>
      <xdr:colOff>6350</xdr:colOff>
      <xdr:row>130</xdr:row>
      <xdr:rowOff>25400</xdr:rowOff>
    </xdr:from>
    <xdr:to>
      <xdr:col>8</xdr:col>
      <xdr:colOff>885190</xdr:colOff>
      <xdr:row>130</xdr:row>
      <xdr:rowOff>1209040</xdr:rowOff>
    </xdr:to>
    <xdr:pic>
      <xdr:nvPicPr>
        <xdr:cNvPr id="4297" name="Изображение 4296" descr="resizeПП-00272468"/>
        <xdr:cNvPicPr>
          <a:picLocks noChangeAspect="1"/>
        </xdr:cNvPicPr>
      </xdr:nvPicPr>
      <xdr:blipFill>
        <a:blip xmlns:r="http://schemas.openxmlformats.org/officeDocument/2006/relationships" r:embed="rId92"/>
        <a:stretch>
          <a:fillRect/>
        </a:stretch>
      </xdr:blipFill>
      <xdr:spPr>
        <a:xfrm>
          <a:off x="7264400" y="118208425"/>
          <a:ext cx="878840" cy="1183640"/>
        </a:xfrm>
        <a:prstGeom prst="rect">
          <a:avLst/>
        </a:prstGeom>
      </xdr:spPr>
    </xdr:pic>
    <xdr:clientData/>
  </xdr:twoCellAnchor>
  <xdr:twoCellAnchor>
    <xdr:from>
      <xdr:col>8</xdr:col>
      <xdr:colOff>6350</xdr:colOff>
      <xdr:row>131</xdr:row>
      <xdr:rowOff>25400</xdr:rowOff>
    </xdr:from>
    <xdr:to>
      <xdr:col>8</xdr:col>
      <xdr:colOff>885190</xdr:colOff>
      <xdr:row>131</xdr:row>
      <xdr:rowOff>1209040</xdr:rowOff>
    </xdr:to>
    <xdr:pic>
      <xdr:nvPicPr>
        <xdr:cNvPr id="4298" name="Изображение 4297" descr="resizeПП-00272473"/>
        <xdr:cNvPicPr>
          <a:picLocks noChangeAspect="1"/>
        </xdr:cNvPicPr>
      </xdr:nvPicPr>
      <xdr:blipFill>
        <a:blip xmlns:r="http://schemas.openxmlformats.org/officeDocument/2006/relationships" r:embed="rId93"/>
        <a:stretch>
          <a:fillRect/>
        </a:stretch>
      </xdr:blipFill>
      <xdr:spPr>
        <a:xfrm>
          <a:off x="7264400" y="119430800"/>
          <a:ext cx="878840" cy="1183640"/>
        </a:xfrm>
        <a:prstGeom prst="rect">
          <a:avLst/>
        </a:prstGeom>
      </xdr:spPr>
    </xdr:pic>
    <xdr:clientData/>
  </xdr:twoCellAnchor>
  <xdr:twoCellAnchor>
    <xdr:from>
      <xdr:col>8</xdr:col>
      <xdr:colOff>6350</xdr:colOff>
      <xdr:row>132</xdr:row>
      <xdr:rowOff>25400</xdr:rowOff>
    </xdr:from>
    <xdr:to>
      <xdr:col>8</xdr:col>
      <xdr:colOff>885190</xdr:colOff>
      <xdr:row>132</xdr:row>
      <xdr:rowOff>1209040</xdr:rowOff>
    </xdr:to>
    <xdr:pic>
      <xdr:nvPicPr>
        <xdr:cNvPr id="4299" name="Изображение 4298" descr="resizeПП-00272465"/>
        <xdr:cNvPicPr>
          <a:picLocks noChangeAspect="1"/>
        </xdr:cNvPicPr>
      </xdr:nvPicPr>
      <xdr:blipFill>
        <a:blip xmlns:r="http://schemas.openxmlformats.org/officeDocument/2006/relationships" r:embed="rId94"/>
        <a:stretch>
          <a:fillRect/>
        </a:stretch>
      </xdr:blipFill>
      <xdr:spPr>
        <a:xfrm>
          <a:off x="7264400" y="120653175"/>
          <a:ext cx="878840" cy="1183640"/>
        </a:xfrm>
        <a:prstGeom prst="rect">
          <a:avLst/>
        </a:prstGeom>
      </xdr:spPr>
    </xdr:pic>
    <xdr:clientData/>
  </xdr:twoCellAnchor>
  <xdr:twoCellAnchor>
    <xdr:from>
      <xdr:col>8</xdr:col>
      <xdr:colOff>6350</xdr:colOff>
      <xdr:row>133</xdr:row>
      <xdr:rowOff>25400</xdr:rowOff>
    </xdr:from>
    <xdr:to>
      <xdr:col>8</xdr:col>
      <xdr:colOff>885190</xdr:colOff>
      <xdr:row>133</xdr:row>
      <xdr:rowOff>1209040</xdr:rowOff>
    </xdr:to>
    <xdr:pic>
      <xdr:nvPicPr>
        <xdr:cNvPr id="4300" name="Изображение 4299" descr="resizeПП-00272471"/>
        <xdr:cNvPicPr>
          <a:picLocks noChangeAspect="1"/>
        </xdr:cNvPicPr>
      </xdr:nvPicPr>
      <xdr:blipFill>
        <a:blip xmlns:r="http://schemas.openxmlformats.org/officeDocument/2006/relationships" r:embed="rId95"/>
        <a:stretch>
          <a:fillRect/>
        </a:stretch>
      </xdr:blipFill>
      <xdr:spPr>
        <a:xfrm>
          <a:off x="7264400" y="121875550"/>
          <a:ext cx="878840" cy="1183640"/>
        </a:xfrm>
        <a:prstGeom prst="rect">
          <a:avLst/>
        </a:prstGeom>
      </xdr:spPr>
    </xdr:pic>
    <xdr:clientData/>
  </xdr:twoCellAnchor>
  <xdr:twoCellAnchor>
    <xdr:from>
      <xdr:col>8</xdr:col>
      <xdr:colOff>6350</xdr:colOff>
      <xdr:row>134</xdr:row>
      <xdr:rowOff>25400</xdr:rowOff>
    </xdr:from>
    <xdr:to>
      <xdr:col>8</xdr:col>
      <xdr:colOff>885190</xdr:colOff>
      <xdr:row>134</xdr:row>
      <xdr:rowOff>1209040</xdr:rowOff>
    </xdr:to>
    <xdr:pic>
      <xdr:nvPicPr>
        <xdr:cNvPr id="4301" name="Изображение 4300" descr="resizeПП-00272467"/>
        <xdr:cNvPicPr>
          <a:picLocks noChangeAspect="1"/>
        </xdr:cNvPicPr>
      </xdr:nvPicPr>
      <xdr:blipFill>
        <a:blip xmlns:r="http://schemas.openxmlformats.org/officeDocument/2006/relationships" r:embed="rId96"/>
        <a:stretch>
          <a:fillRect/>
        </a:stretch>
      </xdr:blipFill>
      <xdr:spPr>
        <a:xfrm>
          <a:off x="7264400" y="123097925"/>
          <a:ext cx="878840" cy="1183640"/>
        </a:xfrm>
        <a:prstGeom prst="rect">
          <a:avLst/>
        </a:prstGeom>
      </xdr:spPr>
    </xdr:pic>
    <xdr:clientData/>
  </xdr:twoCellAnchor>
  <xdr:twoCellAnchor>
    <xdr:from>
      <xdr:col>8</xdr:col>
      <xdr:colOff>6350</xdr:colOff>
      <xdr:row>135</xdr:row>
      <xdr:rowOff>25400</xdr:rowOff>
    </xdr:from>
    <xdr:to>
      <xdr:col>8</xdr:col>
      <xdr:colOff>885190</xdr:colOff>
      <xdr:row>135</xdr:row>
      <xdr:rowOff>1209040</xdr:rowOff>
    </xdr:to>
    <xdr:pic>
      <xdr:nvPicPr>
        <xdr:cNvPr id="4302" name="Изображение 4301" descr="resizeПП-00272472"/>
        <xdr:cNvPicPr>
          <a:picLocks noChangeAspect="1"/>
        </xdr:cNvPicPr>
      </xdr:nvPicPr>
      <xdr:blipFill>
        <a:blip xmlns:r="http://schemas.openxmlformats.org/officeDocument/2006/relationships" r:embed="rId97"/>
        <a:stretch>
          <a:fillRect/>
        </a:stretch>
      </xdr:blipFill>
      <xdr:spPr>
        <a:xfrm>
          <a:off x="7264400" y="124320300"/>
          <a:ext cx="878840" cy="1183640"/>
        </a:xfrm>
        <a:prstGeom prst="rect">
          <a:avLst/>
        </a:prstGeom>
      </xdr:spPr>
    </xdr:pic>
    <xdr:clientData/>
  </xdr:twoCellAnchor>
  <xdr:twoCellAnchor>
    <xdr:from>
      <xdr:col>8</xdr:col>
      <xdr:colOff>6350</xdr:colOff>
      <xdr:row>136</xdr:row>
      <xdr:rowOff>25400</xdr:rowOff>
    </xdr:from>
    <xdr:to>
      <xdr:col>8</xdr:col>
      <xdr:colOff>885190</xdr:colOff>
      <xdr:row>136</xdr:row>
      <xdr:rowOff>1209040</xdr:rowOff>
    </xdr:to>
    <xdr:pic>
      <xdr:nvPicPr>
        <xdr:cNvPr id="4303" name="Изображение 4302" descr="resizeПП-00272469"/>
        <xdr:cNvPicPr>
          <a:picLocks noChangeAspect="1"/>
        </xdr:cNvPicPr>
      </xdr:nvPicPr>
      <xdr:blipFill>
        <a:blip xmlns:r="http://schemas.openxmlformats.org/officeDocument/2006/relationships" r:embed="rId98"/>
        <a:stretch>
          <a:fillRect/>
        </a:stretch>
      </xdr:blipFill>
      <xdr:spPr>
        <a:xfrm>
          <a:off x="7264400" y="125542675"/>
          <a:ext cx="878840" cy="1183640"/>
        </a:xfrm>
        <a:prstGeom prst="rect">
          <a:avLst/>
        </a:prstGeom>
      </xdr:spPr>
    </xdr:pic>
    <xdr:clientData/>
  </xdr:twoCellAnchor>
  <xdr:twoCellAnchor>
    <xdr:from>
      <xdr:col>8</xdr:col>
      <xdr:colOff>6350</xdr:colOff>
      <xdr:row>137</xdr:row>
      <xdr:rowOff>25400</xdr:rowOff>
    </xdr:from>
    <xdr:to>
      <xdr:col>8</xdr:col>
      <xdr:colOff>885190</xdr:colOff>
      <xdr:row>137</xdr:row>
      <xdr:rowOff>1209040</xdr:rowOff>
    </xdr:to>
    <xdr:pic>
      <xdr:nvPicPr>
        <xdr:cNvPr id="4304" name="Изображение 4303" descr="resizeПП-00272477"/>
        <xdr:cNvPicPr>
          <a:picLocks noChangeAspect="1"/>
        </xdr:cNvPicPr>
      </xdr:nvPicPr>
      <xdr:blipFill>
        <a:blip xmlns:r="http://schemas.openxmlformats.org/officeDocument/2006/relationships" r:embed="rId99"/>
        <a:stretch>
          <a:fillRect/>
        </a:stretch>
      </xdr:blipFill>
      <xdr:spPr>
        <a:xfrm>
          <a:off x="7264400" y="126765050"/>
          <a:ext cx="878840" cy="1183640"/>
        </a:xfrm>
        <a:prstGeom prst="rect">
          <a:avLst/>
        </a:prstGeom>
      </xdr:spPr>
    </xdr:pic>
    <xdr:clientData/>
  </xdr:twoCellAnchor>
  <xdr:twoCellAnchor>
    <xdr:from>
      <xdr:col>8</xdr:col>
      <xdr:colOff>6350</xdr:colOff>
      <xdr:row>138</xdr:row>
      <xdr:rowOff>25400</xdr:rowOff>
    </xdr:from>
    <xdr:to>
      <xdr:col>8</xdr:col>
      <xdr:colOff>885190</xdr:colOff>
      <xdr:row>138</xdr:row>
      <xdr:rowOff>1209040</xdr:rowOff>
    </xdr:to>
    <xdr:pic>
      <xdr:nvPicPr>
        <xdr:cNvPr id="4305" name="Изображение 4304" descr="resizeПП-00272476"/>
        <xdr:cNvPicPr>
          <a:picLocks noChangeAspect="1"/>
        </xdr:cNvPicPr>
      </xdr:nvPicPr>
      <xdr:blipFill>
        <a:blip xmlns:r="http://schemas.openxmlformats.org/officeDocument/2006/relationships" r:embed="rId100"/>
        <a:stretch>
          <a:fillRect/>
        </a:stretch>
      </xdr:blipFill>
      <xdr:spPr>
        <a:xfrm>
          <a:off x="7264400" y="127987425"/>
          <a:ext cx="878840" cy="1183640"/>
        </a:xfrm>
        <a:prstGeom prst="rect">
          <a:avLst/>
        </a:prstGeom>
      </xdr:spPr>
    </xdr:pic>
    <xdr:clientData/>
  </xdr:twoCellAnchor>
  <xdr:twoCellAnchor>
    <xdr:from>
      <xdr:col>8</xdr:col>
      <xdr:colOff>6350</xdr:colOff>
      <xdr:row>140</xdr:row>
      <xdr:rowOff>25400</xdr:rowOff>
    </xdr:from>
    <xdr:to>
      <xdr:col>8</xdr:col>
      <xdr:colOff>885190</xdr:colOff>
      <xdr:row>140</xdr:row>
      <xdr:rowOff>1209040</xdr:rowOff>
    </xdr:to>
    <xdr:pic>
      <xdr:nvPicPr>
        <xdr:cNvPr id="4306" name="Изображение 4305" descr="resizeПП-00275065"/>
        <xdr:cNvPicPr>
          <a:picLocks noChangeAspect="1"/>
        </xdr:cNvPicPr>
      </xdr:nvPicPr>
      <xdr:blipFill>
        <a:blip xmlns:r="http://schemas.openxmlformats.org/officeDocument/2006/relationships" r:embed="rId101"/>
        <a:stretch>
          <a:fillRect/>
        </a:stretch>
      </xdr:blipFill>
      <xdr:spPr>
        <a:xfrm>
          <a:off x="7264400" y="129362200"/>
          <a:ext cx="878840" cy="1183640"/>
        </a:xfrm>
        <a:prstGeom prst="rect">
          <a:avLst/>
        </a:prstGeom>
      </xdr:spPr>
    </xdr:pic>
    <xdr:clientData/>
  </xdr:twoCellAnchor>
  <xdr:twoCellAnchor>
    <xdr:from>
      <xdr:col>8</xdr:col>
      <xdr:colOff>6350</xdr:colOff>
      <xdr:row>141</xdr:row>
      <xdr:rowOff>25400</xdr:rowOff>
    </xdr:from>
    <xdr:to>
      <xdr:col>8</xdr:col>
      <xdr:colOff>885190</xdr:colOff>
      <xdr:row>141</xdr:row>
      <xdr:rowOff>1209040</xdr:rowOff>
    </xdr:to>
    <xdr:pic>
      <xdr:nvPicPr>
        <xdr:cNvPr id="4307" name="Изображение 4306" descr="resizeПП-00268665"/>
        <xdr:cNvPicPr>
          <a:picLocks noChangeAspect="1"/>
        </xdr:cNvPicPr>
      </xdr:nvPicPr>
      <xdr:blipFill>
        <a:blip xmlns:r="http://schemas.openxmlformats.org/officeDocument/2006/relationships" r:embed="rId102"/>
        <a:stretch>
          <a:fillRect/>
        </a:stretch>
      </xdr:blipFill>
      <xdr:spPr>
        <a:xfrm>
          <a:off x="7264400" y="130584575"/>
          <a:ext cx="878840" cy="1183640"/>
        </a:xfrm>
        <a:prstGeom prst="rect">
          <a:avLst/>
        </a:prstGeom>
      </xdr:spPr>
    </xdr:pic>
    <xdr:clientData/>
  </xdr:twoCellAnchor>
  <xdr:twoCellAnchor>
    <xdr:from>
      <xdr:col>8</xdr:col>
      <xdr:colOff>6350</xdr:colOff>
      <xdr:row>143</xdr:row>
      <xdr:rowOff>25400</xdr:rowOff>
    </xdr:from>
    <xdr:to>
      <xdr:col>8</xdr:col>
      <xdr:colOff>885190</xdr:colOff>
      <xdr:row>143</xdr:row>
      <xdr:rowOff>1209040</xdr:rowOff>
    </xdr:to>
    <xdr:pic>
      <xdr:nvPicPr>
        <xdr:cNvPr id="4308" name="Изображение 4307" descr="resizeПП-00272612"/>
        <xdr:cNvPicPr>
          <a:picLocks noChangeAspect="1"/>
        </xdr:cNvPicPr>
      </xdr:nvPicPr>
      <xdr:blipFill>
        <a:blip xmlns:r="http://schemas.openxmlformats.org/officeDocument/2006/relationships" r:embed="rId103"/>
        <a:stretch>
          <a:fillRect/>
        </a:stretch>
      </xdr:blipFill>
      <xdr:spPr>
        <a:xfrm>
          <a:off x="7264400" y="131959350"/>
          <a:ext cx="878840" cy="1183640"/>
        </a:xfrm>
        <a:prstGeom prst="rect">
          <a:avLst/>
        </a:prstGeom>
      </xdr:spPr>
    </xdr:pic>
    <xdr:clientData/>
  </xdr:twoCellAnchor>
  <xdr:twoCellAnchor>
    <xdr:from>
      <xdr:col>8</xdr:col>
      <xdr:colOff>6350</xdr:colOff>
      <xdr:row>144</xdr:row>
      <xdr:rowOff>25400</xdr:rowOff>
    </xdr:from>
    <xdr:to>
      <xdr:col>8</xdr:col>
      <xdr:colOff>885190</xdr:colOff>
      <xdr:row>144</xdr:row>
      <xdr:rowOff>1209040</xdr:rowOff>
    </xdr:to>
    <xdr:pic>
      <xdr:nvPicPr>
        <xdr:cNvPr id="4309" name="Изображение 4308" descr="resizeПП-00272613"/>
        <xdr:cNvPicPr>
          <a:picLocks noChangeAspect="1"/>
        </xdr:cNvPicPr>
      </xdr:nvPicPr>
      <xdr:blipFill>
        <a:blip xmlns:r="http://schemas.openxmlformats.org/officeDocument/2006/relationships" r:embed="rId104"/>
        <a:stretch>
          <a:fillRect/>
        </a:stretch>
      </xdr:blipFill>
      <xdr:spPr>
        <a:xfrm>
          <a:off x="7264400" y="133181725"/>
          <a:ext cx="878840" cy="1183640"/>
        </a:xfrm>
        <a:prstGeom prst="rect">
          <a:avLst/>
        </a:prstGeom>
      </xdr:spPr>
    </xdr:pic>
    <xdr:clientData/>
  </xdr:twoCellAnchor>
  <xdr:twoCellAnchor>
    <xdr:from>
      <xdr:col>8</xdr:col>
      <xdr:colOff>6350</xdr:colOff>
      <xdr:row>145</xdr:row>
      <xdr:rowOff>25400</xdr:rowOff>
    </xdr:from>
    <xdr:to>
      <xdr:col>8</xdr:col>
      <xdr:colOff>885190</xdr:colOff>
      <xdr:row>145</xdr:row>
      <xdr:rowOff>1209040</xdr:rowOff>
    </xdr:to>
    <xdr:pic>
      <xdr:nvPicPr>
        <xdr:cNvPr id="4310" name="Изображение 4309" descr="resizeПП-00272604"/>
        <xdr:cNvPicPr>
          <a:picLocks noChangeAspect="1"/>
        </xdr:cNvPicPr>
      </xdr:nvPicPr>
      <xdr:blipFill>
        <a:blip xmlns:r="http://schemas.openxmlformats.org/officeDocument/2006/relationships" r:embed="rId105"/>
        <a:stretch>
          <a:fillRect/>
        </a:stretch>
      </xdr:blipFill>
      <xdr:spPr>
        <a:xfrm>
          <a:off x="7264400" y="134404100"/>
          <a:ext cx="878840" cy="1183640"/>
        </a:xfrm>
        <a:prstGeom prst="rect">
          <a:avLst/>
        </a:prstGeom>
      </xdr:spPr>
    </xdr:pic>
    <xdr:clientData/>
  </xdr:twoCellAnchor>
  <xdr:twoCellAnchor>
    <xdr:from>
      <xdr:col>8</xdr:col>
      <xdr:colOff>6350</xdr:colOff>
      <xdr:row>146</xdr:row>
      <xdr:rowOff>25400</xdr:rowOff>
    </xdr:from>
    <xdr:to>
      <xdr:col>8</xdr:col>
      <xdr:colOff>885190</xdr:colOff>
      <xdr:row>146</xdr:row>
      <xdr:rowOff>1209040</xdr:rowOff>
    </xdr:to>
    <xdr:pic>
      <xdr:nvPicPr>
        <xdr:cNvPr id="4311" name="Изображение 4310" descr="resizeПП-00272603"/>
        <xdr:cNvPicPr>
          <a:picLocks noChangeAspect="1"/>
        </xdr:cNvPicPr>
      </xdr:nvPicPr>
      <xdr:blipFill>
        <a:blip xmlns:r="http://schemas.openxmlformats.org/officeDocument/2006/relationships" r:embed="rId106"/>
        <a:stretch>
          <a:fillRect/>
        </a:stretch>
      </xdr:blipFill>
      <xdr:spPr>
        <a:xfrm>
          <a:off x="7264400" y="135626475"/>
          <a:ext cx="878840" cy="1183640"/>
        </a:xfrm>
        <a:prstGeom prst="rect">
          <a:avLst/>
        </a:prstGeom>
      </xdr:spPr>
    </xdr:pic>
    <xdr:clientData/>
  </xdr:twoCellAnchor>
  <xdr:twoCellAnchor>
    <xdr:from>
      <xdr:col>8</xdr:col>
      <xdr:colOff>6350</xdr:colOff>
      <xdr:row>147</xdr:row>
      <xdr:rowOff>25400</xdr:rowOff>
    </xdr:from>
    <xdr:to>
      <xdr:col>8</xdr:col>
      <xdr:colOff>885190</xdr:colOff>
      <xdr:row>147</xdr:row>
      <xdr:rowOff>1209040</xdr:rowOff>
    </xdr:to>
    <xdr:pic>
      <xdr:nvPicPr>
        <xdr:cNvPr id="4312" name="Изображение 4311" descr="resizeПП-00272607"/>
        <xdr:cNvPicPr>
          <a:picLocks noChangeAspect="1"/>
        </xdr:cNvPicPr>
      </xdr:nvPicPr>
      <xdr:blipFill>
        <a:blip xmlns:r="http://schemas.openxmlformats.org/officeDocument/2006/relationships" r:embed="rId107"/>
        <a:stretch>
          <a:fillRect/>
        </a:stretch>
      </xdr:blipFill>
      <xdr:spPr>
        <a:xfrm>
          <a:off x="7264400" y="136848850"/>
          <a:ext cx="878840" cy="1183640"/>
        </a:xfrm>
        <a:prstGeom prst="rect">
          <a:avLst/>
        </a:prstGeom>
      </xdr:spPr>
    </xdr:pic>
    <xdr:clientData/>
  </xdr:twoCellAnchor>
  <xdr:twoCellAnchor>
    <xdr:from>
      <xdr:col>8</xdr:col>
      <xdr:colOff>6350</xdr:colOff>
      <xdr:row>149</xdr:row>
      <xdr:rowOff>25400</xdr:rowOff>
    </xdr:from>
    <xdr:to>
      <xdr:col>8</xdr:col>
      <xdr:colOff>885190</xdr:colOff>
      <xdr:row>149</xdr:row>
      <xdr:rowOff>1209040</xdr:rowOff>
    </xdr:to>
    <xdr:pic>
      <xdr:nvPicPr>
        <xdr:cNvPr id="4313" name="Изображение 4312" descr="resizeПП-00276141"/>
        <xdr:cNvPicPr>
          <a:picLocks noChangeAspect="1"/>
        </xdr:cNvPicPr>
      </xdr:nvPicPr>
      <xdr:blipFill>
        <a:blip xmlns:r="http://schemas.openxmlformats.org/officeDocument/2006/relationships" r:embed="rId108"/>
        <a:stretch>
          <a:fillRect/>
        </a:stretch>
      </xdr:blipFill>
      <xdr:spPr>
        <a:xfrm>
          <a:off x="7264400" y="138223625"/>
          <a:ext cx="878840" cy="1183640"/>
        </a:xfrm>
        <a:prstGeom prst="rect">
          <a:avLst/>
        </a:prstGeom>
      </xdr:spPr>
    </xdr:pic>
    <xdr:clientData/>
  </xdr:twoCellAnchor>
  <xdr:twoCellAnchor>
    <xdr:from>
      <xdr:col>8</xdr:col>
      <xdr:colOff>6350</xdr:colOff>
      <xdr:row>152</xdr:row>
      <xdr:rowOff>25400</xdr:rowOff>
    </xdr:from>
    <xdr:to>
      <xdr:col>8</xdr:col>
      <xdr:colOff>885190</xdr:colOff>
      <xdr:row>152</xdr:row>
      <xdr:rowOff>1209040</xdr:rowOff>
    </xdr:to>
    <xdr:pic>
      <xdr:nvPicPr>
        <xdr:cNvPr id="4314" name="Изображение 4313" descr="resizeПП-00270381"/>
        <xdr:cNvPicPr>
          <a:picLocks noChangeAspect="1"/>
        </xdr:cNvPicPr>
      </xdr:nvPicPr>
      <xdr:blipFill>
        <a:blip xmlns:r="http://schemas.openxmlformats.org/officeDocument/2006/relationships" r:embed="rId109"/>
        <a:stretch>
          <a:fillRect/>
        </a:stretch>
      </xdr:blipFill>
      <xdr:spPr>
        <a:xfrm>
          <a:off x="7264400" y="139750800"/>
          <a:ext cx="878840" cy="1183640"/>
        </a:xfrm>
        <a:prstGeom prst="rect">
          <a:avLst/>
        </a:prstGeom>
      </xdr:spPr>
    </xdr:pic>
    <xdr:clientData/>
  </xdr:twoCellAnchor>
  <xdr:twoCellAnchor>
    <xdr:from>
      <xdr:col>8</xdr:col>
      <xdr:colOff>6350</xdr:colOff>
      <xdr:row>153</xdr:row>
      <xdr:rowOff>25400</xdr:rowOff>
    </xdr:from>
    <xdr:to>
      <xdr:col>8</xdr:col>
      <xdr:colOff>885190</xdr:colOff>
      <xdr:row>153</xdr:row>
      <xdr:rowOff>1209040</xdr:rowOff>
    </xdr:to>
    <xdr:pic>
      <xdr:nvPicPr>
        <xdr:cNvPr id="4315" name="Изображение 4314" descr="resizeПП-00270379"/>
        <xdr:cNvPicPr>
          <a:picLocks noChangeAspect="1"/>
        </xdr:cNvPicPr>
      </xdr:nvPicPr>
      <xdr:blipFill>
        <a:blip xmlns:r="http://schemas.openxmlformats.org/officeDocument/2006/relationships" r:embed="rId110"/>
        <a:stretch>
          <a:fillRect/>
        </a:stretch>
      </xdr:blipFill>
      <xdr:spPr>
        <a:xfrm>
          <a:off x="7264400" y="140973175"/>
          <a:ext cx="878840" cy="1183640"/>
        </a:xfrm>
        <a:prstGeom prst="rect">
          <a:avLst/>
        </a:prstGeom>
      </xdr:spPr>
    </xdr:pic>
    <xdr:clientData/>
  </xdr:twoCellAnchor>
  <xdr:twoCellAnchor>
    <xdr:from>
      <xdr:col>8</xdr:col>
      <xdr:colOff>6350</xdr:colOff>
      <xdr:row>154</xdr:row>
      <xdr:rowOff>25400</xdr:rowOff>
    </xdr:from>
    <xdr:to>
      <xdr:col>8</xdr:col>
      <xdr:colOff>885190</xdr:colOff>
      <xdr:row>154</xdr:row>
      <xdr:rowOff>1209040</xdr:rowOff>
    </xdr:to>
    <xdr:pic>
      <xdr:nvPicPr>
        <xdr:cNvPr id="4316" name="Изображение 4315" descr="resizeПП-00270378"/>
        <xdr:cNvPicPr>
          <a:picLocks noChangeAspect="1"/>
        </xdr:cNvPicPr>
      </xdr:nvPicPr>
      <xdr:blipFill>
        <a:blip xmlns:r="http://schemas.openxmlformats.org/officeDocument/2006/relationships" r:embed="rId111"/>
        <a:stretch>
          <a:fillRect/>
        </a:stretch>
      </xdr:blipFill>
      <xdr:spPr>
        <a:xfrm>
          <a:off x="7264400" y="142195550"/>
          <a:ext cx="878840" cy="1183640"/>
        </a:xfrm>
        <a:prstGeom prst="rect">
          <a:avLst/>
        </a:prstGeom>
      </xdr:spPr>
    </xdr:pic>
    <xdr:clientData/>
  </xdr:twoCellAnchor>
  <xdr:twoCellAnchor>
    <xdr:from>
      <xdr:col>8</xdr:col>
      <xdr:colOff>6350</xdr:colOff>
      <xdr:row>155</xdr:row>
      <xdr:rowOff>25400</xdr:rowOff>
    </xdr:from>
    <xdr:to>
      <xdr:col>8</xdr:col>
      <xdr:colOff>885190</xdr:colOff>
      <xdr:row>155</xdr:row>
      <xdr:rowOff>1209040</xdr:rowOff>
    </xdr:to>
    <xdr:pic>
      <xdr:nvPicPr>
        <xdr:cNvPr id="4317" name="Изображение 4316" descr="resizeПП-00270380"/>
        <xdr:cNvPicPr>
          <a:picLocks noChangeAspect="1"/>
        </xdr:cNvPicPr>
      </xdr:nvPicPr>
      <xdr:blipFill>
        <a:blip xmlns:r="http://schemas.openxmlformats.org/officeDocument/2006/relationships" r:embed="rId112"/>
        <a:stretch>
          <a:fillRect/>
        </a:stretch>
      </xdr:blipFill>
      <xdr:spPr>
        <a:xfrm>
          <a:off x="7264400" y="143417925"/>
          <a:ext cx="878840" cy="1183640"/>
        </a:xfrm>
        <a:prstGeom prst="rect">
          <a:avLst/>
        </a:prstGeom>
      </xdr:spPr>
    </xdr:pic>
    <xdr:clientData/>
  </xdr:twoCellAnchor>
  <xdr:twoCellAnchor>
    <xdr:from>
      <xdr:col>8</xdr:col>
      <xdr:colOff>6350</xdr:colOff>
      <xdr:row>157</xdr:row>
      <xdr:rowOff>25400</xdr:rowOff>
    </xdr:from>
    <xdr:to>
      <xdr:col>8</xdr:col>
      <xdr:colOff>885190</xdr:colOff>
      <xdr:row>157</xdr:row>
      <xdr:rowOff>1209040</xdr:rowOff>
    </xdr:to>
    <xdr:pic>
      <xdr:nvPicPr>
        <xdr:cNvPr id="4318" name="Изображение 4317" descr="resizeПП-00270377"/>
        <xdr:cNvPicPr>
          <a:picLocks noChangeAspect="1"/>
        </xdr:cNvPicPr>
      </xdr:nvPicPr>
      <xdr:blipFill>
        <a:blip xmlns:r="http://schemas.openxmlformats.org/officeDocument/2006/relationships" r:embed="rId113"/>
        <a:stretch>
          <a:fillRect/>
        </a:stretch>
      </xdr:blipFill>
      <xdr:spPr>
        <a:xfrm>
          <a:off x="7264400" y="144792700"/>
          <a:ext cx="878840" cy="1183640"/>
        </a:xfrm>
        <a:prstGeom prst="rect">
          <a:avLst/>
        </a:prstGeom>
      </xdr:spPr>
    </xdr:pic>
    <xdr:clientData/>
  </xdr:twoCellAnchor>
  <xdr:twoCellAnchor>
    <xdr:from>
      <xdr:col>8</xdr:col>
      <xdr:colOff>6350</xdr:colOff>
      <xdr:row>158</xdr:row>
      <xdr:rowOff>25400</xdr:rowOff>
    </xdr:from>
    <xdr:to>
      <xdr:col>8</xdr:col>
      <xdr:colOff>885190</xdr:colOff>
      <xdr:row>158</xdr:row>
      <xdr:rowOff>1209040</xdr:rowOff>
    </xdr:to>
    <xdr:pic>
      <xdr:nvPicPr>
        <xdr:cNvPr id="4319" name="Изображение 4318" descr="resizeПП-00270363"/>
        <xdr:cNvPicPr>
          <a:picLocks noChangeAspect="1"/>
        </xdr:cNvPicPr>
      </xdr:nvPicPr>
      <xdr:blipFill>
        <a:blip xmlns:r="http://schemas.openxmlformats.org/officeDocument/2006/relationships" r:embed="rId114"/>
        <a:stretch>
          <a:fillRect/>
        </a:stretch>
      </xdr:blipFill>
      <xdr:spPr>
        <a:xfrm>
          <a:off x="7264400" y="146015075"/>
          <a:ext cx="878840" cy="1183640"/>
        </a:xfrm>
        <a:prstGeom prst="rect">
          <a:avLst/>
        </a:prstGeom>
      </xdr:spPr>
    </xdr:pic>
    <xdr:clientData/>
  </xdr:twoCellAnchor>
  <xdr:twoCellAnchor>
    <xdr:from>
      <xdr:col>8</xdr:col>
      <xdr:colOff>6350</xdr:colOff>
      <xdr:row>159</xdr:row>
      <xdr:rowOff>25400</xdr:rowOff>
    </xdr:from>
    <xdr:to>
      <xdr:col>8</xdr:col>
      <xdr:colOff>885190</xdr:colOff>
      <xdr:row>159</xdr:row>
      <xdr:rowOff>1209040</xdr:rowOff>
    </xdr:to>
    <xdr:pic>
      <xdr:nvPicPr>
        <xdr:cNvPr id="4320" name="Изображение 4319" descr="resizeПП-00270365"/>
        <xdr:cNvPicPr>
          <a:picLocks noChangeAspect="1"/>
        </xdr:cNvPicPr>
      </xdr:nvPicPr>
      <xdr:blipFill>
        <a:blip xmlns:r="http://schemas.openxmlformats.org/officeDocument/2006/relationships" r:embed="rId115"/>
        <a:stretch>
          <a:fillRect/>
        </a:stretch>
      </xdr:blipFill>
      <xdr:spPr>
        <a:xfrm>
          <a:off x="7264400" y="147237450"/>
          <a:ext cx="878840" cy="1183640"/>
        </a:xfrm>
        <a:prstGeom prst="rect">
          <a:avLst/>
        </a:prstGeom>
      </xdr:spPr>
    </xdr:pic>
    <xdr:clientData/>
  </xdr:twoCellAnchor>
  <xdr:twoCellAnchor>
    <xdr:from>
      <xdr:col>8</xdr:col>
      <xdr:colOff>6350</xdr:colOff>
      <xdr:row>160</xdr:row>
      <xdr:rowOff>25400</xdr:rowOff>
    </xdr:from>
    <xdr:to>
      <xdr:col>8</xdr:col>
      <xdr:colOff>885190</xdr:colOff>
      <xdr:row>160</xdr:row>
      <xdr:rowOff>1209040</xdr:rowOff>
    </xdr:to>
    <xdr:pic>
      <xdr:nvPicPr>
        <xdr:cNvPr id="4321" name="Изображение 4320" descr="resizeПП-00270375"/>
        <xdr:cNvPicPr>
          <a:picLocks noChangeAspect="1"/>
        </xdr:cNvPicPr>
      </xdr:nvPicPr>
      <xdr:blipFill>
        <a:blip xmlns:r="http://schemas.openxmlformats.org/officeDocument/2006/relationships" r:embed="rId116"/>
        <a:stretch>
          <a:fillRect/>
        </a:stretch>
      </xdr:blipFill>
      <xdr:spPr>
        <a:xfrm>
          <a:off x="7264400" y="148459825"/>
          <a:ext cx="878840" cy="1183640"/>
        </a:xfrm>
        <a:prstGeom prst="rect">
          <a:avLst/>
        </a:prstGeom>
      </xdr:spPr>
    </xdr:pic>
    <xdr:clientData/>
  </xdr:twoCellAnchor>
  <xdr:twoCellAnchor>
    <xdr:from>
      <xdr:col>8</xdr:col>
      <xdr:colOff>6350</xdr:colOff>
      <xdr:row>161</xdr:row>
      <xdr:rowOff>25400</xdr:rowOff>
    </xdr:from>
    <xdr:to>
      <xdr:col>8</xdr:col>
      <xdr:colOff>885190</xdr:colOff>
      <xdr:row>161</xdr:row>
      <xdr:rowOff>1209040</xdr:rowOff>
    </xdr:to>
    <xdr:pic>
      <xdr:nvPicPr>
        <xdr:cNvPr id="4322" name="Изображение 4321" descr="resizeПП-00270374"/>
        <xdr:cNvPicPr>
          <a:picLocks noChangeAspect="1"/>
        </xdr:cNvPicPr>
      </xdr:nvPicPr>
      <xdr:blipFill>
        <a:blip xmlns:r="http://schemas.openxmlformats.org/officeDocument/2006/relationships" r:embed="rId117"/>
        <a:stretch>
          <a:fillRect/>
        </a:stretch>
      </xdr:blipFill>
      <xdr:spPr>
        <a:xfrm>
          <a:off x="7264400" y="149682200"/>
          <a:ext cx="878840" cy="1183640"/>
        </a:xfrm>
        <a:prstGeom prst="rect">
          <a:avLst/>
        </a:prstGeom>
      </xdr:spPr>
    </xdr:pic>
    <xdr:clientData/>
  </xdr:twoCellAnchor>
  <xdr:twoCellAnchor>
    <xdr:from>
      <xdr:col>8</xdr:col>
      <xdr:colOff>6350</xdr:colOff>
      <xdr:row>162</xdr:row>
      <xdr:rowOff>25400</xdr:rowOff>
    </xdr:from>
    <xdr:to>
      <xdr:col>8</xdr:col>
      <xdr:colOff>885190</xdr:colOff>
      <xdr:row>162</xdr:row>
      <xdr:rowOff>1209040</xdr:rowOff>
    </xdr:to>
    <xdr:pic>
      <xdr:nvPicPr>
        <xdr:cNvPr id="4323" name="Изображение 4322" descr="resizeПП-00270359"/>
        <xdr:cNvPicPr>
          <a:picLocks noChangeAspect="1"/>
        </xdr:cNvPicPr>
      </xdr:nvPicPr>
      <xdr:blipFill>
        <a:blip xmlns:r="http://schemas.openxmlformats.org/officeDocument/2006/relationships" r:embed="rId118"/>
        <a:stretch>
          <a:fillRect/>
        </a:stretch>
      </xdr:blipFill>
      <xdr:spPr>
        <a:xfrm>
          <a:off x="7264400" y="150904575"/>
          <a:ext cx="878840" cy="1183640"/>
        </a:xfrm>
        <a:prstGeom prst="rect">
          <a:avLst/>
        </a:prstGeom>
      </xdr:spPr>
    </xdr:pic>
    <xdr:clientData/>
  </xdr:twoCellAnchor>
  <xdr:twoCellAnchor>
    <xdr:from>
      <xdr:col>8</xdr:col>
      <xdr:colOff>6350</xdr:colOff>
      <xdr:row>163</xdr:row>
      <xdr:rowOff>25400</xdr:rowOff>
    </xdr:from>
    <xdr:to>
      <xdr:col>8</xdr:col>
      <xdr:colOff>885190</xdr:colOff>
      <xdr:row>163</xdr:row>
      <xdr:rowOff>1209040</xdr:rowOff>
    </xdr:to>
    <xdr:pic>
      <xdr:nvPicPr>
        <xdr:cNvPr id="4324" name="Изображение 4323" descr="resizeПП-00270372"/>
        <xdr:cNvPicPr>
          <a:picLocks noChangeAspect="1"/>
        </xdr:cNvPicPr>
      </xdr:nvPicPr>
      <xdr:blipFill>
        <a:blip xmlns:r="http://schemas.openxmlformats.org/officeDocument/2006/relationships" r:embed="rId119"/>
        <a:stretch>
          <a:fillRect/>
        </a:stretch>
      </xdr:blipFill>
      <xdr:spPr>
        <a:xfrm>
          <a:off x="7264400" y="152126950"/>
          <a:ext cx="878840" cy="1183640"/>
        </a:xfrm>
        <a:prstGeom prst="rect">
          <a:avLst/>
        </a:prstGeom>
      </xdr:spPr>
    </xdr:pic>
    <xdr:clientData/>
  </xdr:twoCellAnchor>
  <xdr:twoCellAnchor>
    <xdr:from>
      <xdr:col>8</xdr:col>
      <xdr:colOff>6350</xdr:colOff>
      <xdr:row>166</xdr:row>
      <xdr:rowOff>25400</xdr:rowOff>
    </xdr:from>
    <xdr:to>
      <xdr:col>8</xdr:col>
      <xdr:colOff>885190</xdr:colOff>
      <xdr:row>166</xdr:row>
      <xdr:rowOff>1209040</xdr:rowOff>
    </xdr:to>
    <xdr:pic>
      <xdr:nvPicPr>
        <xdr:cNvPr id="4325" name="Изображение 4324" descr="resizeПП-00273924"/>
        <xdr:cNvPicPr>
          <a:picLocks noChangeAspect="1"/>
        </xdr:cNvPicPr>
      </xdr:nvPicPr>
      <xdr:blipFill>
        <a:blip xmlns:r="http://schemas.openxmlformats.org/officeDocument/2006/relationships" r:embed="rId120"/>
        <a:stretch>
          <a:fillRect/>
        </a:stretch>
      </xdr:blipFill>
      <xdr:spPr>
        <a:xfrm>
          <a:off x="7264400" y="153654125"/>
          <a:ext cx="878840" cy="1183640"/>
        </a:xfrm>
        <a:prstGeom prst="rect">
          <a:avLst/>
        </a:prstGeom>
      </xdr:spPr>
    </xdr:pic>
    <xdr:clientData/>
  </xdr:twoCellAnchor>
  <xdr:twoCellAnchor>
    <xdr:from>
      <xdr:col>8</xdr:col>
      <xdr:colOff>6350</xdr:colOff>
      <xdr:row>170</xdr:row>
      <xdr:rowOff>25400</xdr:rowOff>
    </xdr:from>
    <xdr:to>
      <xdr:col>8</xdr:col>
      <xdr:colOff>885190</xdr:colOff>
      <xdr:row>170</xdr:row>
      <xdr:rowOff>1209040</xdr:rowOff>
    </xdr:to>
    <xdr:pic>
      <xdr:nvPicPr>
        <xdr:cNvPr id="4326" name="Изображение 4325" descr="resizeПП-00271114"/>
        <xdr:cNvPicPr>
          <a:picLocks noChangeAspect="1"/>
        </xdr:cNvPicPr>
      </xdr:nvPicPr>
      <xdr:blipFill>
        <a:blip xmlns:r="http://schemas.openxmlformats.org/officeDocument/2006/relationships" r:embed="rId121"/>
        <a:stretch>
          <a:fillRect/>
        </a:stretch>
      </xdr:blipFill>
      <xdr:spPr>
        <a:xfrm>
          <a:off x="7264400" y="155333700"/>
          <a:ext cx="878840" cy="1183640"/>
        </a:xfrm>
        <a:prstGeom prst="rect">
          <a:avLst/>
        </a:prstGeom>
      </xdr:spPr>
    </xdr:pic>
    <xdr:clientData/>
  </xdr:twoCellAnchor>
  <xdr:twoCellAnchor>
    <xdr:from>
      <xdr:col>8</xdr:col>
      <xdr:colOff>6350</xdr:colOff>
      <xdr:row>172</xdr:row>
      <xdr:rowOff>25400</xdr:rowOff>
    </xdr:from>
    <xdr:to>
      <xdr:col>8</xdr:col>
      <xdr:colOff>885190</xdr:colOff>
      <xdr:row>172</xdr:row>
      <xdr:rowOff>1209040</xdr:rowOff>
    </xdr:to>
    <xdr:pic>
      <xdr:nvPicPr>
        <xdr:cNvPr id="4327" name="Изображение 4326" descr="resizeПП-00271116"/>
        <xdr:cNvPicPr>
          <a:picLocks noChangeAspect="1"/>
        </xdr:cNvPicPr>
      </xdr:nvPicPr>
      <xdr:blipFill>
        <a:blip xmlns:r="http://schemas.openxmlformats.org/officeDocument/2006/relationships" r:embed="rId122"/>
        <a:stretch>
          <a:fillRect/>
        </a:stretch>
      </xdr:blipFill>
      <xdr:spPr>
        <a:xfrm>
          <a:off x="7264400" y="156708475"/>
          <a:ext cx="878840" cy="1183640"/>
        </a:xfrm>
        <a:prstGeom prst="rect">
          <a:avLst/>
        </a:prstGeom>
      </xdr:spPr>
    </xdr:pic>
    <xdr:clientData/>
  </xdr:twoCellAnchor>
  <xdr:twoCellAnchor>
    <xdr:from>
      <xdr:col>8</xdr:col>
      <xdr:colOff>6350</xdr:colOff>
      <xdr:row>175</xdr:row>
      <xdr:rowOff>25400</xdr:rowOff>
    </xdr:from>
    <xdr:to>
      <xdr:col>8</xdr:col>
      <xdr:colOff>885190</xdr:colOff>
      <xdr:row>175</xdr:row>
      <xdr:rowOff>1209040</xdr:rowOff>
    </xdr:to>
    <xdr:pic>
      <xdr:nvPicPr>
        <xdr:cNvPr id="4328" name="Изображение 4327" descr="resizeПП-00271117"/>
        <xdr:cNvPicPr>
          <a:picLocks noChangeAspect="1"/>
        </xdr:cNvPicPr>
      </xdr:nvPicPr>
      <xdr:blipFill>
        <a:blip xmlns:r="http://schemas.openxmlformats.org/officeDocument/2006/relationships" r:embed="rId123"/>
        <a:stretch>
          <a:fillRect/>
        </a:stretch>
      </xdr:blipFill>
      <xdr:spPr>
        <a:xfrm>
          <a:off x="7264400" y="158235650"/>
          <a:ext cx="878840" cy="1183640"/>
        </a:xfrm>
        <a:prstGeom prst="rect">
          <a:avLst/>
        </a:prstGeom>
      </xdr:spPr>
    </xdr:pic>
    <xdr:clientData/>
  </xdr:twoCellAnchor>
  <xdr:twoCellAnchor>
    <xdr:from>
      <xdr:col>8</xdr:col>
      <xdr:colOff>6350</xdr:colOff>
      <xdr:row>177</xdr:row>
      <xdr:rowOff>25400</xdr:rowOff>
    </xdr:from>
    <xdr:to>
      <xdr:col>8</xdr:col>
      <xdr:colOff>885190</xdr:colOff>
      <xdr:row>177</xdr:row>
      <xdr:rowOff>1209040</xdr:rowOff>
    </xdr:to>
    <xdr:pic>
      <xdr:nvPicPr>
        <xdr:cNvPr id="4329" name="Изображение 4328" descr="resizeПП-00271119"/>
        <xdr:cNvPicPr>
          <a:picLocks noChangeAspect="1"/>
        </xdr:cNvPicPr>
      </xdr:nvPicPr>
      <xdr:blipFill>
        <a:blip xmlns:r="http://schemas.openxmlformats.org/officeDocument/2006/relationships" r:embed="rId124"/>
        <a:stretch>
          <a:fillRect/>
        </a:stretch>
      </xdr:blipFill>
      <xdr:spPr>
        <a:xfrm>
          <a:off x="7264400" y="159610425"/>
          <a:ext cx="878840" cy="1183640"/>
        </a:xfrm>
        <a:prstGeom prst="rect">
          <a:avLst/>
        </a:prstGeom>
      </xdr:spPr>
    </xdr:pic>
    <xdr:clientData/>
  </xdr:twoCellAnchor>
  <xdr:twoCellAnchor>
    <xdr:from>
      <xdr:col>8</xdr:col>
      <xdr:colOff>6350</xdr:colOff>
      <xdr:row>178</xdr:row>
      <xdr:rowOff>25400</xdr:rowOff>
    </xdr:from>
    <xdr:to>
      <xdr:col>8</xdr:col>
      <xdr:colOff>885190</xdr:colOff>
      <xdr:row>178</xdr:row>
      <xdr:rowOff>1209040</xdr:rowOff>
    </xdr:to>
    <xdr:pic>
      <xdr:nvPicPr>
        <xdr:cNvPr id="4330" name="Изображение 4329" descr="resizeПП-00271118"/>
        <xdr:cNvPicPr>
          <a:picLocks noChangeAspect="1"/>
        </xdr:cNvPicPr>
      </xdr:nvPicPr>
      <xdr:blipFill>
        <a:blip xmlns:r="http://schemas.openxmlformats.org/officeDocument/2006/relationships" r:embed="rId125"/>
        <a:stretch>
          <a:fillRect/>
        </a:stretch>
      </xdr:blipFill>
      <xdr:spPr>
        <a:xfrm>
          <a:off x="7264400" y="160832800"/>
          <a:ext cx="878840" cy="1183640"/>
        </a:xfrm>
        <a:prstGeom prst="rect">
          <a:avLst/>
        </a:prstGeom>
      </xdr:spPr>
    </xdr:pic>
    <xdr:clientData/>
  </xdr:twoCellAnchor>
  <xdr:twoCellAnchor>
    <xdr:from>
      <xdr:col>8</xdr:col>
      <xdr:colOff>6350</xdr:colOff>
      <xdr:row>181</xdr:row>
      <xdr:rowOff>25400</xdr:rowOff>
    </xdr:from>
    <xdr:to>
      <xdr:col>8</xdr:col>
      <xdr:colOff>885190</xdr:colOff>
      <xdr:row>181</xdr:row>
      <xdr:rowOff>1209040</xdr:rowOff>
    </xdr:to>
    <xdr:pic>
      <xdr:nvPicPr>
        <xdr:cNvPr id="4331" name="Изображение 4330" descr="resizeПП-00275994"/>
        <xdr:cNvPicPr>
          <a:picLocks noChangeAspect="1"/>
        </xdr:cNvPicPr>
      </xdr:nvPicPr>
      <xdr:blipFill>
        <a:blip xmlns:r="http://schemas.openxmlformats.org/officeDocument/2006/relationships" r:embed="rId126"/>
        <a:stretch>
          <a:fillRect/>
        </a:stretch>
      </xdr:blipFill>
      <xdr:spPr>
        <a:xfrm>
          <a:off x="7264400" y="162359975"/>
          <a:ext cx="878840" cy="1183640"/>
        </a:xfrm>
        <a:prstGeom prst="rect">
          <a:avLst/>
        </a:prstGeom>
      </xdr:spPr>
    </xdr:pic>
    <xdr:clientData/>
  </xdr:twoCellAnchor>
  <xdr:twoCellAnchor>
    <xdr:from>
      <xdr:col>8</xdr:col>
      <xdr:colOff>6350</xdr:colOff>
      <xdr:row>182</xdr:row>
      <xdr:rowOff>25400</xdr:rowOff>
    </xdr:from>
    <xdr:to>
      <xdr:col>8</xdr:col>
      <xdr:colOff>885190</xdr:colOff>
      <xdr:row>182</xdr:row>
      <xdr:rowOff>1209040</xdr:rowOff>
    </xdr:to>
    <xdr:pic>
      <xdr:nvPicPr>
        <xdr:cNvPr id="4332" name="Изображение 4331" descr="resizeПП-00275981"/>
        <xdr:cNvPicPr>
          <a:picLocks noChangeAspect="1"/>
        </xdr:cNvPicPr>
      </xdr:nvPicPr>
      <xdr:blipFill>
        <a:blip xmlns:r="http://schemas.openxmlformats.org/officeDocument/2006/relationships" r:embed="rId127"/>
        <a:stretch>
          <a:fillRect/>
        </a:stretch>
      </xdr:blipFill>
      <xdr:spPr>
        <a:xfrm>
          <a:off x="7264400" y="163582350"/>
          <a:ext cx="878840" cy="1183640"/>
        </a:xfrm>
        <a:prstGeom prst="rect">
          <a:avLst/>
        </a:prstGeom>
      </xdr:spPr>
    </xdr:pic>
    <xdr:clientData/>
  </xdr:twoCellAnchor>
  <xdr:twoCellAnchor>
    <xdr:from>
      <xdr:col>8</xdr:col>
      <xdr:colOff>6350</xdr:colOff>
      <xdr:row>183</xdr:row>
      <xdr:rowOff>25400</xdr:rowOff>
    </xdr:from>
    <xdr:to>
      <xdr:col>8</xdr:col>
      <xdr:colOff>885190</xdr:colOff>
      <xdr:row>183</xdr:row>
      <xdr:rowOff>1209040</xdr:rowOff>
    </xdr:to>
    <xdr:pic>
      <xdr:nvPicPr>
        <xdr:cNvPr id="4333" name="Изображение 4332" descr="resizeПП-00275976"/>
        <xdr:cNvPicPr>
          <a:picLocks noChangeAspect="1"/>
        </xdr:cNvPicPr>
      </xdr:nvPicPr>
      <xdr:blipFill>
        <a:blip xmlns:r="http://schemas.openxmlformats.org/officeDocument/2006/relationships" r:embed="rId128"/>
        <a:stretch>
          <a:fillRect/>
        </a:stretch>
      </xdr:blipFill>
      <xdr:spPr>
        <a:xfrm>
          <a:off x="7264400" y="164804725"/>
          <a:ext cx="878840" cy="1183640"/>
        </a:xfrm>
        <a:prstGeom prst="rect">
          <a:avLst/>
        </a:prstGeom>
      </xdr:spPr>
    </xdr:pic>
    <xdr:clientData/>
  </xdr:twoCellAnchor>
  <xdr:twoCellAnchor>
    <xdr:from>
      <xdr:col>8</xdr:col>
      <xdr:colOff>6350</xdr:colOff>
      <xdr:row>185</xdr:row>
      <xdr:rowOff>25400</xdr:rowOff>
    </xdr:from>
    <xdr:to>
      <xdr:col>8</xdr:col>
      <xdr:colOff>885190</xdr:colOff>
      <xdr:row>185</xdr:row>
      <xdr:rowOff>1209040</xdr:rowOff>
    </xdr:to>
    <xdr:pic>
      <xdr:nvPicPr>
        <xdr:cNvPr id="4334" name="Изображение 4333" descr="resizeПП-00275997"/>
        <xdr:cNvPicPr>
          <a:picLocks noChangeAspect="1"/>
        </xdr:cNvPicPr>
      </xdr:nvPicPr>
      <xdr:blipFill>
        <a:blip xmlns:r="http://schemas.openxmlformats.org/officeDocument/2006/relationships" r:embed="rId129"/>
        <a:stretch>
          <a:fillRect/>
        </a:stretch>
      </xdr:blipFill>
      <xdr:spPr>
        <a:xfrm>
          <a:off x="7264400" y="166179500"/>
          <a:ext cx="878840" cy="1183640"/>
        </a:xfrm>
        <a:prstGeom prst="rect">
          <a:avLst/>
        </a:prstGeom>
      </xdr:spPr>
    </xdr:pic>
    <xdr:clientData/>
  </xdr:twoCellAnchor>
  <xdr:twoCellAnchor>
    <xdr:from>
      <xdr:col>8</xdr:col>
      <xdr:colOff>6350</xdr:colOff>
      <xdr:row>187</xdr:row>
      <xdr:rowOff>25400</xdr:rowOff>
    </xdr:from>
    <xdr:to>
      <xdr:col>8</xdr:col>
      <xdr:colOff>885190</xdr:colOff>
      <xdr:row>187</xdr:row>
      <xdr:rowOff>1209040</xdr:rowOff>
    </xdr:to>
    <xdr:pic>
      <xdr:nvPicPr>
        <xdr:cNvPr id="4335" name="Изображение 4334" descr="resizeПП-00270787"/>
        <xdr:cNvPicPr>
          <a:picLocks noChangeAspect="1"/>
        </xdr:cNvPicPr>
      </xdr:nvPicPr>
      <xdr:blipFill>
        <a:blip xmlns:r="http://schemas.openxmlformats.org/officeDocument/2006/relationships" r:embed="rId130"/>
        <a:stretch>
          <a:fillRect/>
        </a:stretch>
      </xdr:blipFill>
      <xdr:spPr>
        <a:xfrm>
          <a:off x="7264400" y="167554275"/>
          <a:ext cx="878840" cy="1183640"/>
        </a:xfrm>
        <a:prstGeom prst="rect">
          <a:avLst/>
        </a:prstGeom>
      </xdr:spPr>
    </xdr:pic>
    <xdr:clientData/>
  </xdr:twoCellAnchor>
  <xdr:twoCellAnchor>
    <xdr:from>
      <xdr:col>8</xdr:col>
      <xdr:colOff>6350</xdr:colOff>
      <xdr:row>188</xdr:row>
      <xdr:rowOff>25400</xdr:rowOff>
    </xdr:from>
    <xdr:to>
      <xdr:col>8</xdr:col>
      <xdr:colOff>885190</xdr:colOff>
      <xdr:row>188</xdr:row>
      <xdr:rowOff>1209040</xdr:rowOff>
    </xdr:to>
    <xdr:pic>
      <xdr:nvPicPr>
        <xdr:cNvPr id="4336" name="Изображение 4335" descr="resizeПП-00270806"/>
        <xdr:cNvPicPr>
          <a:picLocks noChangeAspect="1"/>
        </xdr:cNvPicPr>
      </xdr:nvPicPr>
      <xdr:blipFill>
        <a:blip xmlns:r="http://schemas.openxmlformats.org/officeDocument/2006/relationships" r:embed="rId131"/>
        <a:stretch>
          <a:fillRect/>
        </a:stretch>
      </xdr:blipFill>
      <xdr:spPr>
        <a:xfrm>
          <a:off x="7264400" y="168776650"/>
          <a:ext cx="878840" cy="1183640"/>
        </a:xfrm>
        <a:prstGeom prst="rect">
          <a:avLst/>
        </a:prstGeom>
      </xdr:spPr>
    </xdr:pic>
    <xdr:clientData/>
  </xdr:twoCellAnchor>
  <xdr:twoCellAnchor>
    <xdr:from>
      <xdr:col>8</xdr:col>
      <xdr:colOff>6350</xdr:colOff>
      <xdr:row>190</xdr:row>
      <xdr:rowOff>25400</xdr:rowOff>
    </xdr:from>
    <xdr:to>
      <xdr:col>8</xdr:col>
      <xdr:colOff>885190</xdr:colOff>
      <xdr:row>190</xdr:row>
      <xdr:rowOff>1209040</xdr:rowOff>
    </xdr:to>
    <xdr:pic>
      <xdr:nvPicPr>
        <xdr:cNvPr id="4337" name="Изображение 4336" descr="resizeПП-00270549"/>
        <xdr:cNvPicPr>
          <a:picLocks noChangeAspect="1"/>
        </xdr:cNvPicPr>
      </xdr:nvPicPr>
      <xdr:blipFill>
        <a:blip xmlns:r="http://schemas.openxmlformats.org/officeDocument/2006/relationships" r:embed="rId132"/>
        <a:stretch>
          <a:fillRect/>
        </a:stretch>
      </xdr:blipFill>
      <xdr:spPr>
        <a:xfrm>
          <a:off x="7264400" y="170151425"/>
          <a:ext cx="878840" cy="1183640"/>
        </a:xfrm>
        <a:prstGeom prst="rect">
          <a:avLst/>
        </a:prstGeom>
      </xdr:spPr>
    </xdr:pic>
    <xdr:clientData/>
  </xdr:twoCellAnchor>
  <xdr:twoCellAnchor>
    <xdr:from>
      <xdr:col>8</xdr:col>
      <xdr:colOff>6350</xdr:colOff>
      <xdr:row>191</xdr:row>
      <xdr:rowOff>25400</xdr:rowOff>
    </xdr:from>
    <xdr:to>
      <xdr:col>8</xdr:col>
      <xdr:colOff>885190</xdr:colOff>
      <xdr:row>191</xdr:row>
      <xdr:rowOff>1209040</xdr:rowOff>
    </xdr:to>
    <xdr:pic>
      <xdr:nvPicPr>
        <xdr:cNvPr id="4338" name="Изображение 4337" descr="resizeПП-00270527"/>
        <xdr:cNvPicPr>
          <a:picLocks noChangeAspect="1"/>
        </xdr:cNvPicPr>
      </xdr:nvPicPr>
      <xdr:blipFill>
        <a:blip xmlns:r="http://schemas.openxmlformats.org/officeDocument/2006/relationships" r:embed="rId133"/>
        <a:stretch>
          <a:fillRect/>
        </a:stretch>
      </xdr:blipFill>
      <xdr:spPr>
        <a:xfrm>
          <a:off x="7264400" y="171373800"/>
          <a:ext cx="878840" cy="1183640"/>
        </a:xfrm>
        <a:prstGeom prst="rect">
          <a:avLst/>
        </a:prstGeom>
      </xdr:spPr>
    </xdr:pic>
    <xdr:clientData/>
  </xdr:twoCellAnchor>
  <xdr:twoCellAnchor>
    <xdr:from>
      <xdr:col>8</xdr:col>
      <xdr:colOff>6350</xdr:colOff>
      <xdr:row>196</xdr:row>
      <xdr:rowOff>25400</xdr:rowOff>
    </xdr:from>
    <xdr:to>
      <xdr:col>8</xdr:col>
      <xdr:colOff>885190</xdr:colOff>
      <xdr:row>196</xdr:row>
      <xdr:rowOff>1209040</xdr:rowOff>
    </xdr:to>
    <xdr:pic>
      <xdr:nvPicPr>
        <xdr:cNvPr id="4339" name="Изображение 4338" descr="resizeПП-00254425"/>
        <xdr:cNvPicPr>
          <a:picLocks noChangeAspect="1"/>
        </xdr:cNvPicPr>
      </xdr:nvPicPr>
      <xdr:blipFill>
        <a:blip xmlns:r="http://schemas.openxmlformats.org/officeDocument/2006/relationships" r:embed="rId134"/>
        <a:stretch>
          <a:fillRect/>
        </a:stretch>
      </xdr:blipFill>
      <xdr:spPr>
        <a:xfrm>
          <a:off x="7264400" y="173205775"/>
          <a:ext cx="878840" cy="1183640"/>
        </a:xfrm>
        <a:prstGeom prst="rect">
          <a:avLst/>
        </a:prstGeom>
      </xdr:spPr>
    </xdr:pic>
    <xdr:clientData/>
  </xdr:twoCellAnchor>
  <xdr:twoCellAnchor>
    <xdr:from>
      <xdr:col>8</xdr:col>
      <xdr:colOff>6350</xdr:colOff>
      <xdr:row>199</xdr:row>
      <xdr:rowOff>25400</xdr:rowOff>
    </xdr:from>
    <xdr:to>
      <xdr:col>8</xdr:col>
      <xdr:colOff>885190</xdr:colOff>
      <xdr:row>199</xdr:row>
      <xdr:rowOff>1209040</xdr:rowOff>
    </xdr:to>
    <xdr:pic>
      <xdr:nvPicPr>
        <xdr:cNvPr id="4340" name="Изображение 4339" descr="resizeПП-00256537"/>
        <xdr:cNvPicPr>
          <a:picLocks noChangeAspect="1"/>
        </xdr:cNvPicPr>
      </xdr:nvPicPr>
      <xdr:blipFill>
        <a:blip xmlns:r="http://schemas.openxmlformats.org/officeDocument/2006/relationships" r:embed="rId135"/>
        <a:stretch>
          <a:fillRect/>
        </a:stretch>
      </xdr:blipFill>
      <xdr:spPr>
        <a:xfrm>
          <a:off x="7264400" y="174732950"/>
          <a:ext cx="878840" cy="1183640"/>
        </a:xfrm>
        <a:prstGeom prst="rect">
          <a:avLst/>
        </a:prstGeom>
      </xdr:spPr>
    </xdr:pic>
    <xdr:clientData/>
  </xdr:twoCellAnchor>
  <xdr:twoCellAnchor>
    <xdr:from>
      <xdr:col>8</xdr:col>
      <xdr:colOff>6350</xdr:colOff>
      <xdr:row>201</xdr:row>
      <xdr:rowOff>25400</xdr:rowOff>
    </xdr:from>
    <xdr:to>
      <xdr:col>8</xdr:col>
      <xdr:colOff>885190</xdr:colOff>
      <xdr:row>201</xdr:row>
      <xdr:rowOff>1209040</xdr:rowOff>
    </xdr:to>
    <xdr:pic>
      <xdr:nvPicPr>
        <xdr:cNvPr id="4341" name="Изображение 4340" descr="resizeПП-00255388"/>
        <xdr:cNvPicPr>
          <a:picLocks noChangeAspect="1"/>
        </xdr:cNvPicPr>
      </xdr:nvPicPr>
      <xdr:blipFill>
        <a:blip xmlns:r="http://schemas.openxmlformats.org/officeDocument/2006/relationships" r:embed="rId136"/>
        <a:stretch>
          <a:fillRect/>
        </a:stretch>
      </xdr:blipFill>
      <xdr:spPr>
        <a:xfrm>
          <a:off x="7264400" y="176107725"/>
          <a:ext cx="878840" cy="1183640"/>
        </a:xfrm>
        <a:prstGeom prst="rect">
          <a:avLst/>
        </a:prstGeom>
      </xdr:spPr>
    </xdr:pic>
    <xdr:clientData/>
  </xdr:twoCellAnchor>
  <xdr:twoCellAnchor>
    <xdr:from>
      <xdr:col>8</xdr:col>
      <xdr:colOff>6350</xdr:colOff>
      <xdr:row>202</xdr:row>
      <xdr:rowOff>25400</xdr:rowOff>
    </xdr:from>
    <xdr:to>
      <xdr:col>8</xdr:col>
      <xdr:colOff>885190</xdr:colOff>
      <xdr:row>202</xdr:row>
      <xdr:rowOff>1209040</xdr:rowOff>
    </xdr:to>
    <xdr:pic>
      <xdr:nvPicPr>
        <xdr:cNvPr id="4342" name="Изображение 4341" descr="resizeПП-00255387"/>
        <xdr:cNvPicPr>
          <a:picLocks noChangeAspect="1"/>
        </xdr:cNvPicPr>
      </xdr:nvPicPr>
      <xdr:blipFill>
        <a:blip xmlns:r="http://schemas.openxmlformats.org/officeDocument/2006/relationships" r:embed="rId137"/>
        <a:stretch>
          <a:fillRect/>
        </a:stretch>
      </xdr:blipFill>
      <xdr:spPr>
        <a:xfrm>
          <a:off x="7264400" y="177330100"/>
          <a:ext cx="878840" cy="1183640"/>
        </a:xfrm>
        <a:prstGeom prst="rect">
          <a:avLst/>
        </a:prstGeom>
      </xdr:spPr>
    </xdr:pic>
    <xdr:clientData/>
  </xdr:twoCellAnchor>
  <xdr:twoCellAnchor>
    <xdr:from>
      <xdr:col>8</xdr:col>
      <xdr:colOff>6350</xdr:colOff>
      <xdr:row>203</xdr:row>
      <xdr:rowOff>25400</xdr:rowOff>
    </xdr:from>
    <xdr:to>
      <xdr:col>8</xdr:col>
      <xdr:colOff>885190</xdr:colOff>
      <xdr:row>203</xdr:row>
      <xdr:rowOff>1209040</xdr:rowOff>
    </xdr:to>
    <xdr:pic>
      <xdr:nvPicPr>
        <xdr:cNvPr id="4343" name="Изображение 4342" descr="resizeПП-00274519"/>
        <xdr:cNvPicPr>
          <a:picLocks noChangeAspect="1"/>
        </xdr:cNvPicPr>
      </xdr:nvPicPr>
      <xdr:blipFill>
        <a:blip xmlns:r="http://schemas.openxmlformats.org/officeDocument/2006/relationships" r:embed="rId138"/>
        <a:stretch>
          <a:fillRect/>
        </a:stretch>
      </xdr:blipFill>
      <xdr:spPr>
        <a:xfrm>
          <a:off x="7264400" y="178552475"/>
          <a:ext cx="878840" cy="1183640"/>
        </a:xfrm>
        <a:prstGeom prst="rect">
          <a:avLst/>
        </a:prstGeom>
      </xdr:spPr>
    </xdr:pic>
    <xdr:clientData/>
  </xdr:twoCellAnchor>
  <xdr:twoCellAnchor>
    <xdr:from>
      <xdr:col>8</xdr:col>
      <xdr:colOff>6350</xdr:colOff>
      <xdr:row>205</xdr:row>
      <xdr:rowOff>25400</xdr:rowOff>
    </xdr:from>
    <xdr:to>
      <xdr:col>8</xdr:col>
      <xdr:colOff>885190</xdr:colOff>
      <xdr:row>205</xdr:row>
      <xdr:rowOff>1209040</xdr:rowOff>
    </xdr:to>
    <xdr:pic>
      <xdr:nvPicPr>
        <xdr:cNvPr id="4344" name="Изображение 4343" descr="resizeПП-00256421"/>
        <xdr:cNvPicPr>
          <a:picLocks noChangeAspect="1"/>
        </xdr:cNvPicPr>
      </xdr:nvPicPr>
      <xdr:blipFill>
        <a:blip xmlns:r="http://schemas.openxmlformats.org/officeDocument/2006/relationships" r:embed="rId139"/>
        <a:stretch>
          <a:fillRect/>
        </a:stretch>
      </xdr:blipFill>
      <xdr:spPr>
        <a:xfrm>
          <a:off x="7264400" y="179927250"/>
          <a:ext cx="878840" cy="1183640"/>
        </a:xfrm>
        <a:prstGeom prst="rect">
          <a:avLst/>
        </a:prstGeom>
      </xdr:spPr>
    </xdr:pic>
    <xdr:clientData/>
  </xdr:twoCellAnchor>
  <xdr:twoCellAnchor>
    <xdr:from>
      <xdr:col>8</xdr:col>
      <xdr:colOff>6350</xdr:colOff>
      <xdr:row>206</xdr:row>
      <xdr:rowOff>25400</xdr:rowOff>
    </xdr:from>
    <xdr:to>
      <xdr:col>8</xdr:col>
      <xdr:colOff>885190</xdr:colOff>
      <xdr:row>206</xdr:row>
      <xdr:rowOff>1209040</xdr:rowOff>
    </xdr:to>
    <xdr:pic>
      <xdr:nvPicPr>
        <xdr:cNvPr id="4345" name="Изображение 4344" descr="resizeПП-00256422"/>
        <xdr:cNvPicPr>
          <a:picLocks noChangeAspect="1"/>
        </xdr:cNvPicPr>
      </xdr:nvPicPr>
      <xdr:blipFill>
        <a:blip xmlns:r="http://schemas.openxmlformats.org/officeDocument/2006/relationships" r:embed="rId140"/>
        <a:stretch>
          <a:fillRect/>
        </a:stretch>
      </xdr:blipFill>
      <xdr:spPr>
        <a:xfrm>
          <a:off x="7264400" y="181149625"/>
          <a:ext cx="878840" cy="1183640"/>
        </a:xfrm>
        <a:prstGeom prst="rect">
          <a:avLst/>
        </a:prstGeom>
      </xdr:spPr>
    </xdr:pic>
    <xdr:clientData/>
  </xdr:twoCellAnchor>
  <xdr:twoCellAnchor>
    <xdr:from>
      <xdr:col>8</xdr:col>
      <xdr:colOff>6350</xdr:colOff>
      <xdr:row>210</xdr:row>
      <xdr:rowOff>25400</xdr:rowOff>
    </xdr:from>
    <xdr:to>
      <xdr:col>8</xdr:col>
      <xdr:colOff>885190</xdr:colOff>
      <xdr:row>210</xdr:row>
      <xdr:rowOff>1209040</xdr:rowOff>
    </xdr:to>
    <xdr:pic>
      <xdr:nvPicPr>
        <xdr:cNvPr id="4346" name="Изображение 4345" descr="resizeПП-00274520"/>
        <xdr:cNvPicPr>
          <a:picLocks noChangeAspect="1"/>
        </xdr:cNvPicPr>
      </xdr:nvPicPr>
      <xdr:blipFill>
        <a:blip xmlns:r="http://schemas.openxmlformats.org/officeDocument/2006/relationships" r:embed="rId141"/>
        <a:stretch>
          <a:fillRect/>
        </a:stretch>
      </xdr:blipFill>
      <xdr:spPr>
        <a:xfrm>
          <a:off x="7264400" y="182829200"/>
          <a:ext cx="878840" cy="1183640"/>
        </a:xfrm>
        <a:prstGeom prst="rect">
          <a:avLst/>
        </a:prstGeom>
      </xdr:spPr>
    </xdr:pic>
    <xdr:clientData/>
  </xdr:twoCellAnchor>
  <xdr:twoCellAnchor>
    <xdr:from>
      <xdr:col>8</xdr:col>
      <xdr:colOff>6350</xdr:colOff>
      <xdr:row>211</xdr:row>
      <xdr:rowOff>25400</xdr:rowOff>
    </xdr:from>
    <xdr:to>
      <xdr:col>8</xdr:col>
      <xdr:colOff>885190</xdr:colOff>
      <xdr:row>211</xdr:row>
      <xdr:rowOff>1209040</xdr:rowOff>
    </xdr:to>
    <xdr:pic>
      <xdr:nvPicPr>
        <xdr:cNvPr id="4347" name="Изображение 4346" descr="resizeПП-00255389"/>
        <xdr:cNvPicPr>
          <a:picLocks noChangeAspect="1"/>
        </xdr:cNvPicPr>
      </xdr:nvPicPr>
      <xdr:blipFill>
        <a:blip xmlns:r="http://schemas.openxmlformats.org/officeDocument/2006/relationships" r:embed="rId142"/>
        <a:stretch>
          <a:fillRect/>
        </a:stretch>
      </xdr:blipFill>
      <xdr:spPr>
        <a:xfrm>
          <a:off x="7264400" y="184051575"/>
          <a:ext cx="878840" cy="1183640"/>
        </a:xfrm>
        <a:prstGeom prst="rect">
          <a:avLst/>
        </a:prstGeom>
      </xdr:spPr>
    </xdr:pic>
    <xdr:clientData/>
  </xdr:twoCellAnchor>
  <xdr:twoCellAnchor>
    <xdr:from>
      <xdr:col>8</xdr:col>
      <xdr:colOff>6350</xdr:colOff>
      <xdr:row>212</xdr:row>
      <xdr:rowOff>25400</xdr:rowOff>
    </xdr:from>
    <xdr:to>
      <xdr:col>8</xdr:col>
      <xdr:colOff>885190</xdr:colOff>
      <xdr:row>212</xdr:row>
      <xdr:rowOff>1209040</xdr:rowOff>
    </xdr:to>
    <xdr:pic>
      <xdr:nvPicPr>
        <xdr:cNvPr id="4348" name="Изображение 4347" descr="resizeПП-00255390"/>
        <xdr:cNvPicPr>
          <a:picLocks noChangeAspect="1"/>
        </xdr:cNvPicPr>
      </xdr:nvPicPr>
      <xdr:blipFill>
        <a:blip xmlns:r="http://schemas.openxmlformats.org/officeDocument/2006/relationships" r:embed="rId143"/>
        <a:stretch>
          <a:fillRect/>
        </a:stretch>
      </xdr:blipFill>
      <xdr:spPr>
        <a:xfrm>
          <a:off x="7264400" y="185273950"/>
          <a:ext cx="878840" cy="1183640"/>
        </a:xfrm>
        <a:prstGeom prst="rect">
          <a:avLst/>
        </a:prstGeom>
      </xdr:spPr>
    </xdr:pic>
    <xdr:clientData/>
  </xdr:twoCellAnchor>
  <xdr:twoCellAnchor>
    <xdr:from>
      <xdr:col>8</xdr:col>
      <xdr:colOff>6350</xdr:colOff>
      <xdr:row>215</xdr:row>
      <xdr:rowOff>25400</xdr:rowOff>
    </xdr:from>
    <xdr:to>
      <xdr:col>8</xdr:col>
      <xdr:colOff>885190</xdr:colOff>
      <xdr:row>215</xdr:row>
      <xdr:rowOff>1209040</xdr:rowOff>
    </xdr:to>
    <xdr:pic>
      <xdr:nvPicPr>
        <xdr:cNvPr id="4349" name="Изображение 4348" descr="resizeПП-00254413"/>
        <xdr:cNvPicPr>
          <a:picLocks noChangeAspect="1"/>
        </xdr:cNvPicPr>
      </xdr:nvPicPr>
      <xdr:blipFill>
        <a:blip xmlns:r="http://schemas.openxmlformats.org/officeDocument/2006/relationships" r:embed="rId144"/>
        <a:stretch>
          <a:fillRect/>
        </a:stretch>
      </xdr:blipFill>
      <xdr:spPr>
        <a:xfrm>
          <a:off x="7264400" y="186801125"/>
          <a:ext cx="878840" cy="1183640"/>
        </a:xfrm>
        <a:prstGeom prst="rect">
          <a:avLst/>
        </a:prstGeom>
      </xdr:spPr>
    </xdr:pic>
    <xdr:clientData/>
  </xdr:twoCellAnchor>
  <xdr:twoCellAnchor>
    <xdr:from>
      <xdr:col>8</xdr:col>
      <xdr:colOff>6350</xdr:colOff>
      <xdr:row>217</xdr:row>
      <xdr:rowOff>25400</xdr:rowOff>
    </xdr:from>
    <xdr:to>
      <xdr:col>8</xdr:col>
      <xdr:colOff>885190</xdr:colOff>
      <xdr:row>217</xdr:row>
      <xdr:rowOff>1209040</xdr:rowOff>
    </xdr:to>
    <xdr:pic>
      <xdr:nvPicPr>
        <xdr:cNvPr id="4350" name="Изображение 4349" descr="resizeПП-00253995"/>
        <xdr:cNvPicPr>
          <a:picLocks noChangeAspect="1"/>
        </xdr:cNvPicPr>
      </xdr:nvPicPr>
      <xdr:blipFill>
        <a:blip xmlns:r="http://schemas.openxmlformats.org/officeDocument/2006/relationships" r:embed="rId145"/>
        <a:stretch>
          <a:fillRect/>
        </a:stretch>
      </xdr:blipFill>
      <xdr:spPr>
        <a:xfrm>
          <a:off x="7264400" y="188175900"/>
          <a:ext cx="878840" cy="1183640"/>
        </a:xfrm>
        <a:prstGeom prst="rect">
          <a:avLst/>
        </a:prstGeom>
      </xdr:spPr>
    </xdr:pic>
    <xdr:clientData/>
  </xdr:twoCellAnchor>
  <xdr:twoCellAnchor>
    <xdr:from>
      <xdr:col>8</xdr:col>
      <xdr:colOff>6350</xdr:colOff>
      <xdr:row>218</xdr:row>
      <xdr:rowOff>25400</xdr:rowOff>
    </xdr:from>
    <xdr:to>
      <xdr:col>8</xdr:col>
      <xdr:colOff>885190</xdr:colOff>
      <xdr:row>218</xdr:row>
      <xdr:rowOff>1209040</xdr:rowOff>
    </xdr:to>
    <xdr:pic>
      <xdr:nvPicPr>
        <xdr:cNvPr id="4351" name="Изображение 4350" descr="resizeПП-00253996"/>
        <xdr:cNvPicPr>
          <a:picLocks noChangeAspect="1"/>
        </xdr:cNvPicPr>
      </xdr:nvPicPr>
      <xdr:blipFill>
        <a:blip xmlns:r="http://schemas.openxmlformats.org/officeDocument/2006/relationships" r:embed="rId146"/>
        <a:stretch>
          <a:fillRect/>
        </a:stretch>
      </xdr:blipFill>
      <xdr:spPr>
        <a:xfrm>
          <a:off x="7264400" y="189398275"/>
          <a:ext cx="878840" cy="1183640"/>
        </a:xfrm>
        <a:prstGeom prst="rect">
          <a:avLst/>
        </a:prstGeom>
      </xdr:spPr>
    </xdr:pic>
    <xdr:clientData/>
  </xdr:twoCellAnchor>
  <xdr:twoCellAnchor>
    <xdr:from>
      <xdr:col>8</xdr:col>
      <xdr:colOff>6350</xdr:colOff>
      <xdr:row>221</xdr:row>
      <xdr:rowOff>25400</xdr:rowOff>
    </xdr:from>
    <xdr:to>
      <xdr:col>8</xdr:col>
      <xdr:colOff>885190</xdr:colOff>
      <xdr:row>221</xdr:row>
      <xdr:rowOff>1209040</xdr:rowOff>
    </xdr:to>
    <xdr:pic>
      <xdr:nvPicPr>
        <xdr:cNvPr id="4352" name="Изображение 4351" descr="resizeПП-00254270"/>
        <xdr:cNvPicPr>
          <a:picLocks noChangeAspect="1"/>
        </xdr:cNvPicPr>
      </xdr:nvPicPr>
      <xdr:blipFill>
        <a:blip xmlns:r="http://schemas.openxmlformats.org/officeDocument/2006/relationships" r:embed="rId147"/>
        <a:stretch>
          <a:fillRect/>
        </a:stretch>
      </xdr:blipFill>
      <xdr:spPr>
        <a:xfrm>
          <a:off x="7264400" y="190925450"/>
          <a:ext cx="878840" cy="1183640"/>
        </a:xfrm>
        <a:prstGeom prst="rect">
          <a:avLst/>
        </a:prstGeom>
      </xdr:spPr>
    </xdr:pic>
    <xdr:clientData/>
  </xdr:twoCellAnchor>
  <xdr:twoCellAnchor>
    <xdr:from>
      <xdr:col>8</xdr:col>
      <xdr:colOff>6350</xdr:colOff>
      <xdr:row>223</xdr:row>
      <xdr:rowOff>25400</xdr:rowOff>
    </xdr:from>
    <xdr:to>
      <xdr:col>8</xdr:col>
      <xdr:colOff>885190</xdr:colOff>
      <xdr:row>223</xdr:row>
      <xdr:rowOff>1209040</xdr:rowOff>
    </xdr:to>
    <xdr:pic>
      <xdr:nvPicPr>
        <xdr:cNvPr id="4353" name="Изображение 4352" descr="resizeПП-00254275"/>
        <xdr:cNvPicPr>
          <a:picLocks noChangeAspect="1"/>
        </xdr:cNvPicPr>
      </xdr:nvPicPr>
      <xdr:blipFill>
        <a:blip xmlns:r="http://schemas.openxmlformats.org/officeDocument/2006/relationships" r:embed="rId148"/>
        <a:stretch>
          <a:fillRect/>
        </a:stretch>
      </xdr:blipFill>
      <xdr:spPr>
        <a:xfrm>
          <a:off x="7264400" y="192300225"/>
          <a:ext cx="878840" cy="1183640"/>
        </a:xfrm>
        <a:prstGeom prst="rect">
          <a:avLst/>
        </a:prstGeom>
      </xdr:spPr>
    </xdr:pic>
    <xdr:clientData/>
  </xdr:twoCellAnchor>
  <xdr:twoCellAnchor>
    <xdr:from>
      <xdr:col>8</xdr:col>
      <xdr:colOff>6350</xdr:colOff>
      <xdr:row>226</xdr:row>
      <xdr:rowOff>25400</xdr:rowOff>
    </xdr:from>
    <xdr:to>
      <xdr:col>8</xdr:col>
      <xdr:colOff>885190</xdr:colOff>
      <xdr:row>226</xdr:row>
      <xdr:rowOff>1209040</xdr:rowOff>
    </xdr:to>
    <xdr:pic>
      <xdr:nvPicPr>
        <xdr:cNvPr id="4354" name="Изображение 4353" descr="resizeПП-00256536"/>
        <xdr:cNvPicPr>
          <a:picLocks noChangeAspect="1"/>
        </xdr:cNvPicPr>
      </xdr:nvPicPr>
      <xdr:blipFill>
        <a:blip xmlns:r="http://schemas.openxmlformats.org/officeDocument/2006/relationships" r:embed="rId149"/>
        <a:stretch>
          <a:fillRect/>
        </a:stretch>
      </xdr:blipFill>
      <xdr:spPr>
        <a:xfrm>
          <a:off x="7264400" y="193827400"/>
          <a:ext cx="878840" cy="1183640"/>
        </a:xfrm>
        <a:prstGeom prst="rect">
          <a:avLst/>
        </a:prstGeom>
      </xdr:spPr>
    </xdr:pic>
    <xdr:clientData/>
  </xdr:twoCellAnchor>
  <xdr:twoCellAnchor>
    <xdr:from>
      <xdr:col>8</xdr:col>
      <xdr:colOff>6350</xdr:colOff>
      <xdr:row>227</xdr:row>
      <xdr:rowOff>25400</xdr:rowOff>
    </xdr:from>
    <xdr:to>
      <xdr:col>8</xdr:col>
      <xdr:colOff>885190</xdr:colOff>
      <xdr:row>227</xdr:row>
      <xdr:rowOff>1209040</xdr:rowOff>
    </xdr:to>
    <xdr:pic>
      <xdr:nvPicPr>
        <xdr:cNvPr id="4355" name="Изображение 4354" descr="resizeПП-00275630"/>
        <xdr:cNvPicPr>
          <a:picLocks noChangeAspect="1"/>
        </xdr:cNvPicPr>
      </xdr:nvPicPr>
      <xdr:blipFill>
        <a:blip xmlns:r="http://schemas.openxmlformats.org/officeDocument/2006/relationships" r:embed="rId150"/>
        <a:stretch>
          <a:fillRect/>
        </a:stretch>
      </xdr:blipFill>
      <xdr:spPr>
        <a:xfrm>
          <a:off x="7264400" y="195049775"/>
          <a:ext cx="878840" cy="1183640"/>
        </a:xfrm>
        <a:prstGeom prst="rect">
          <a:avLst/>
        </a:prstGeom>
      </xdr:spPr>
    </xdr:pic>
    <xdr:clientData/>
  </xdr:twoCellAnchor>
  <xdr:twoCellAnchor>
    <xdr:from>
      <xdr:col>8</xdr:col>
      <xdr:colOff>6350</xdr:colOff>
      <xdr:row>228</xdr:row>
      <xdr:rowOff>25400</xdr:rowOff>
    </xdr:from>
    <xdr:to>
      <xdr:col>8</xdr:col>
      <xdr:colOff>885190</xdr:colOff>
      <xdr:row>228</xdr:row>
      <xdr:rowOff>1209040</xdr:rowOff>
    </xdr:to>
    <xdr:pic>
      <xdr:nvPicPr>
        <xdr:cNvPr id="4356" name="Изображение 4355" descr="resizeПП-00275632"/>
        <xdr:cNvPicPr>
          <a:picLocks noChangeAspect="1"/>
        </xdr:cNvPicPr>
      </xdr:nvPicPr>
      <xdr:blipFill>
        <a:blip xmlns:r="http://schemas.openxmlformats.org/officeDocument/2006/relationships" r:embed="rId151"/>
        <a:stretch>
          <a:fillRect/>
        </a:stretch>
      </xdr:blipFill>
      <xdr:spPr>
        <a:xfrm>
          <a:off x="7264400" y="196272150"/>
          <a:ext cx="878840" cy="1183640"/>
        </a:xfrm>
        <a:prstGeom prst="rect">
          <a:avLst/>
        </a:prstGeom>
      </xdr:spPr>
    </xdr:pic>
    <xdr:clientData/>
  </xdr:twoCellAnchor>
  <xdr:twoCellAnchor>
    <xdr:from>
      <xdr:col>8</xdr:col>
      <xdr:colOff>6350</xdr:colOff>
      <xdr:row>229</xdr:row>
      <xdr:rowOff>25400</xdr:rowOff>
    </xdr:from>
    <xdr:to>
      <xdr:col>8</xdr:col>
      <xdr:colOff>885190</xdr:colOff>
      <xdr:row>229</xdr:row>
      <xdr:rowOff>1209040</xdr:rowOff>
    </xdr:to>
    <xdr:pic>
      <xdr:nvPicPr>
        <xdr:cNvPr id="4357" name="Изображение 4356" descr="resizeПП-00275631"/>
        <xdr:cNvPicPr>
          <a:picLocks noChangeAspect="1"/>
        </xdr:cNvPicPr>
      </xdr:nvPicPr>
      <xdr:blipFill>
        <a:blip xmlns:r="http://schemas.openxmlformats.org/officeDocument/2006/relationships" r:embed="rId152"/>
        <a:stretch>
          <a:fillRect/>
        </a:stretch>
      </xdr:blipFill>
      <xdr:spPr>
        <a:xfrm>
          <a:off x="7264400" y="197494525"/>
          <a:ext cx="878840" cy="1183640"/>
        </a:xfrm>
        <a:prstGeom prst="rect">
          <a:avLst/>
        </a:prstGeom>
      </xdr:spPr>
    </xdr:pic>
    <xdr:clientData/>
  </xdr:twoCellAnchor>
  <xdr:twoCellAnchor>
    <xdr:from>
      <xdr:col>8</xdr:col>
      <xdr:colOff>6350</xdr:colOff>
      <xdr:row>231</xdr:row>
      <xdr:rowOff>25400</xdr:rowOff>
    </xdr:from>
    <xdr:to>
      <xdr:col>8</xdr:col>
      <xdr:colOff>885190</xdr:colOff>
      <xdr:row>231</xdr:row>
      <xdr:rowOff>1209040</xdr:rowOff>
    </xdr:to>
    <xdr:pic>
      <xdr:nvPicPr>
        <xdr:cNvPr id="4358" name="Изображение 4357" descr="resizeПП-00272415"/>
        <xdr:cNvPicPr>
          <a:picLocks noChangeAspect="1"/>
        </xdr:cNvPicPr>
      </xdr:nvPicPr>
      <xdr:blipFill>
        <a:blip xmlns:r="http://schemas.openxmlformats.org/officeDocument/2006/relationships" r:embed="rId153"/>
        <a:stretch>
          <a:fillRect/>
        </a:stretch>
      </xdr:blipFill>
      <xdr:spPr>
        <a:xfrm>
          <a:off x="7264400" y="198869300"/>
          <a:ext cx="878840" cy="1183640"/>
        </a:xfrm>
        <a:prstGeom prst="rect">
          <a:avLst/>
        </a:prstGeom>
      </xdr:spPr>
    </xdr:pic>
    <xdr:clientData/>
  </xdr:twoCellAnchor>
  <xdr:twoCellAnchor>
    <xdr:from>
      <xdr:col>8</xdr:col>
      <xdr:colOff>6350</xdr:colOff>
      <xdr:row>233</xdr:row>
      <xdr:rowOff>25400</xdr:rowOff>
    </xdr:from>
    <xdr:to>
      <xdr:col>8</xdr:col>
      <xdr:colOff>885190</xdr:colOff>
      <xdr:row>233</xdr:row>
      <xdr:rowOff>1209040</xdr:rowOff>
    </xdr:to>
    <xdr:pic>
      <xdr:nvPicPr>
        <xdr:cNvPr id="4359" name="Изображение 4358" descr="resizeПП-00255392"/>
        <xdr:cNvPicPr>
          <a:picLocks noChangeAspect="1"/>
        </xdr:cNvPicPr>
      </xdr:nvPicPr>
      <xdr:blipFill>
        <a:blip xmlns:r="http://schemas.openxmlformats.org/officeDocument/2006/relationships" r:embed="rId154"/>
        <a:stretch>
          <a:fillRect/>
        </a:stretch>
      </xdr:blipFill>
      <xdr:spPr>
        <a:xfrm>
          <a:off x="7264400" y="200244075"/>
          <a:ext cx="878840" cy="1183640"/>
        </a:xfrm>
        <a:prstGeom prst="rect">
          <a:avLst/>
        </a:prstGeom>
      </xdr:spPr>
    </xdr:pic>
    <xdr:clientData/>
  </xdr:twoCellAnchor>
  <xdr:twoCellAnchor>
    <xdr:from>
      <xdr:col>8</xdr:col>
      <xdr:colOff>6350</xdr:colOff>
      <xdr:row>234</xdr:row>
      <xdr:rowOff>25400</xdr:rowOff>
    </xdr:from>
    <xdr:to>
      <xdr:col>8</xdr:col>
      <xdr:colOff>885190</xdr:colOff>
      <xdr:row>234</xdr:row>
      <xdr:rowOff>1209040</xdr:rowOff>
    </xdr:to>
    <xdr:pic>
      <xdr:nvPicPr>
        <xdr:cNvPr id="4360" name="Изображение 4359" descr="resizeПП-00255393"/>
        <xdr:cNvPicPr>
          <a:picLocks noChangeAspect="1"/>
        </xdr:cNvPicPr>
      </xdr:nvPicPr>
      <xdr:blipFill>
        <a:blip xmlns:r="http://schemas.openxmlformats.org/officeDocument/2006/relationships" r:embed="rId155"/>
        <a:stretch>
          <a:fillRect/>
        </a:stretch>
      </xdr:blipFill>
      <xdr:spPr>
        <a:xfrm>
          <a:off x="7264400" y="201466450"/>
          <a:ext cx="878840" cy="1183640"/>
        </a:xfrm>
        <a:prstGeom prst="rect">
          <a:avLst/>
        </a:prstGeom>
      </xdr:spPr>
    </xdr:pic>
    <xdr:clientData/>
  </xdr:twoCellAnchor>
  <xdr:twoCellAnchor>
    <xdr:from>
      <xdr:col>8</xdr:col>
      <xdr:colOff>6350</xdr:colOff>
      <xdr:row>235</xdr:row>
      <xdr:rowOff>25400</xdr:rowOff>
    </xdr:from>
    <xdr:to>
      <xdr:col>8</xdr:col>
      <xdr:colOff>885190</xdr:colOff>
      <xdr:row>235</xdr:row>
      <xdr:rowOff>1209040</xdr:rowOff>
    </xdr:to>
    <xdr:pic>
      <xdr:nvPicPr>
        <xdr:cNvPr id="4361" name="Изображение 4360" descr="resizeПП-00274552"/>
        <xdr:cNvPicPr>
          <a:picLocks noChangeAspect="1"/>
        </xdr:cNvPicPr>
      </xdr:nvPicPr>
      <xdr:blipFill>
        <a:blip xmlns:r="http://schemas.openxmlformats.org/officeDocument/2006/relationships" r:embed="rId156"/>
        <a:stretch>
          <a:fillRect/>
        </a:stretch>
      </xdr:blipFill>
      <xdr:spPr>
        <a:xfrm>
          <a:off x="7264400" y="202688825"/>
          <a:ext cx="878840" cy="1183640"/>
        </a:xfrm>
        <a:prstGeom prst="rect">
          <a:avLst/>
        </a:prstGeom>
      </xdr:spPr>
    </xdr:pic>
    <xdr:clientData/>
  </xdr:twoCellAnchor>
  <xdr:twoCellAnchor>
    <xdr:from>
      <xdr:col>8</xdr:col>
      <xdr:colOff>6350</xdr:colOff>
      <xdr:row>237</xdr:row>
      <xdr:rowOff>25400</xdr:rowOff>
    </xdr:from>
    <xdr:to>
      <xdr:col>8</xdr:col>
      <xdr:colOff>885190</xdr:colOff>
      <xdr:row>237</xdr:row>
      <xdr:rowOff>1209040</xdr:rowOff>
    </xdr:to>
    <xdr:pic>
      <xdr:nvPicPr>
        <xdr:cNvPr id="4362" name="Изображение 4361" descr="resizeПП-00255383"/>
        <xdr:cNvPicPr>
          <a:picLocks noChangeAspect="1"/>
        </xdr:cNvPicPr>
      </xdr:nvPicPr>
      <xdr:blipFill>
        <a:blip xmlns:r="http://schemas.openxmlformats.org/officeDocument/2006/relationships" r:embed="rId157"/>
        <a:stretch>
          <a:fillRect/>
        </a:stretch>
      </xdr:blipFill>
      <xdr:spPr>
        <a:xfrm>
          <a:off x="7264400" y="204063600"/>
          <a:ext cx="878840" cy="1183640"/>
        </a:xfrm>
        <a:prstGeom prst="rect">
          <a:avLst/>
        </a:prstGeom>
      </xdr:spPr>
    </xdr:pic>
    <xdr:clientData/>
  </xdr:twoCellAnchor>
  <xdr:twoCellAnchor>
    <xdr:from>
      <xdr:col>8</xdr:col>
      <xdr:colOff>6350</xdr:colOff>
      <xdr:row>238</xdr:row>
      <xdr:rowOff>25400</xdr:rowOff>
    </xdr:from>
    <xdr:to>
      <xdr:col>8</xdr:col>
      <xdr:colOff>885190</xdr:colOff>
      <xdr:row>238</xdr:row>
      <xdr:rowOff>1209040</xdr:rowOff>
    </xdr:to>
    <xdr:pic>
      <xdr:nvPicPr>
        <xdr:cNvPr id="4363" name="Изображение 4362" descr="resizeПП-00255382"/>
        <xdr:cNvPicPr>
          <a:picLocks noChangeAspect="1"/>
        </xdr:cNvPicPr>
      </xdr:nvPicPr>
      <xdr:blipFill>
        <a:blip xmlns:r="http://schemas.openxmlformats.org/officeDocument/2006/relationships" r:embed="rId158"/>
        <a:stretch>
          <a:fillRect/>
        </a:stretch>
      </xdr:blipFill>
      <xdr:spPr>
        <a:xfrm>
          <a:off x="7264400" y="205285975"/>
          <a:ext cx="878840" cy="1183640"/>
        </a:xfrm>
        <a:prstGeom prst="rect">
          <a:avLst/>
        </a:prstGeom>
      </xdr:spPr>
    </xdr:pic>
    <xdr:clientData/>
  </xdr:twoCellAnchor>
  <xdr:twoCellAnchor>
    <xdr:from>
      <xdr:col>8</xdr:col>
      <xdr:colOff>6350</xdr:colOff>
      <xdr:row>240</xdr:row>
      <xdr:rowOff>25400</xdr:rowOff>
    </xdr:from>
    <xdr:to>
      <xdr:col>8</xdr:col>
      <xdr:colOff>885190</xdr:colOff>
      <xdr:row>240</xdr:row>
      <xdr:rowOff>1209040</xdr:rowOff>
    </xdr:to>
    <xdr:pic>
      <xdr:nvPicPr>
        <xdr:cNvPr id="4364" name="Изображение 4363" descr="resizeПП-00256418"/>
        <xdr:cNvPicPr>
          <a:picLocks noChangeAspect="1"/>
        </xdr:cNvPicPr>
      </xdr:nvPicPr>
      <xdr:blipFill>
        <a:blip xmlns:r="http://schemas.openxmlformats.org/officeDocument/2006/relationships" r:embed="rId159"/>
        <a:stretch>
          <a:fillRect/>
        </a:stretch>
      </xdr:blipFill>
      <xdr:spPr>
        <a:xfrm>
          <a:off x="7264400" y="206660750"/>
          <a:ext cx="878840" cy="1183640"/>
        </a:xfrm>
        <a:prstGeom prst="rect">
          <a:avLst/>
        </a:prstGeom>
      </xdr:spPr>
    </xdr:pic>
    <xdr:clientData/>
  </xdr:twoCellAnchor>
  <xdr:twoCellAnchor>
    <xdr:from>
      <xdr:col>8</xdr:col>
      <xdr:colOff>6350</xdr:colOff>
      <xdr:row>242</xdr:row>
      <xdr:rowOff>25400</xdr:rowOff>
    </xdr:from>
    <xdr:to>
      <xdr:col>8</xdr:col>
      <xdr:colOff>885190</xdr:colOff>
      <xdr:row>242</xdr:row>
      <xdr:rowOff>1209040</xdr:rowOff>
    </xdr:to>
    <xdr:pic>
      <xdr:nvPicPr>
        <xdr:cNvPr id="4365" name="Изображение 4364" descr="resizeПП-00256313"/>
        <xdr:cNvPicPr>
          <a:picLocks noChangeAspect="1"/>
        </xdr:cNvPicPr>
      </xdr:nvPicPr>
      <xdr:blipFill>
        <a:blip xmlns:r="http://schemas.openxmlformats.org/officeDocument/2006/relationships" r:embed="rId160"/>
        <a:stretch>
          <a:fillRect/>
        </a:stretch>
      </xdr:blipFill>
      <xdr:spPr>
        <a:xfrm>
          <a:off x="7264400" y="208035525"/>
          <a:ext cx="878840" cy="1183640"/>
        </a:xfrm>
        <a:prstGeom prst="rect">
          <a:avLst/>
        </a:prstGeom>
      </xdr:spPr>
    </xdr:pic>
    <xdr:clientData/>
  </xdr:twoCellAnchor>
  <xdr:twoCellAnchor>
    <xdr:from>
      <xdr:col>8</xdr:col>
      <xdr:colOff>6350</xdr:colOff>
      <xdr:row>243</xdr:row>
      <xdr:rowOff>25400</xdr:rowOff>
    </xdr:from>
    <xdr:to>
      <xdr:col>8</xdr:col>
      <xdr:colOff>885190</xdr:colOff>
      <xdr:row>243</xdr:row>
      <xdr:rowOff>1209040</xdr:rowOff>
    </xdr:to>
    <xdr:pic>
      <xdr:nvPicPr>
        <xdr:cNvPr id="4366" name="Изображение 4365" descr="resizeПП-00256314"/>
        <xdr:cNvPicPr>
          <a:picLocks noChangeAspect="1"/>
        </xdr:cNvPicPr>
      </xdr:nvPicPr>
      <xdr:blipFill>
        <a:blip xmlns:r="http://schemas.openxmlformats.org/officeDocument/2006/relationships" r:embed="rId161"/>
        <a:stretch>
          <a:fillRect/>
        </a:stretch>
      </xdr:blipFill>
      <xdr:spPr>
        <a:xfrm>
          <a:off x="7264400" y="209257900"/>
          <a:ext cx="878840" cy="1183640"/>
        </a:xfrm>
        <a:prstGeom prst="rect">
          <a:avLst/>
        </a:prstGeom>
      </xdr:spPr>
    </xdr:pic>
    <xdr:clientData/>
  </xdr:twoCellAnchor>
  <xdr:twoCellAnchor>
    <xdr:from>
      <xdr:col>8</xdr:col>
      <xdr:colOff>6350</xdr:colOff>
      <xdr:row>246</xdr:row>
      <xdr:rowOff>25400</xdr:rowOff>
    </xdr:from>
    <xdr:to>
      <xdr:col>8</xdr:col>
      <xdr:colOff>885190</xdr:colOff>
      <xdr:row>246</xdr:row>
      <xdr:rowOff>1209040</xdr:rowOff>
    </xdr:to>
    <xdr:pic>
      <xdr:nvPicPr>
        <xdr:cNvPr id="4367" name="Изображение 4366" descr="resizeПП-00254418"/>
        <xdr:cNvPicPr>
          <a:picLocks noChangeAspect="1"/>
        </xdr:cNvPicPr>
      </xdr:nvPicPr>
      <xdr:blipFill>
        <a:blip xmlns:r="http://schemas.openxmlformats.org/officeDocument/2006/relationships" r:embed="rId162"/>
        <a:stretch>
          <a:fillRect/>
        </a:stretch>
      </xdr:blipFill>
      <xdr:spPr>
        <a:xfrm>
          <a:off x="7264400" y="210785075"/>
          <a:ext cx="878840" cy="1183640"/>
        </a:xfrm>
        <a:prstGeom prst="rect">
          <a:avLst/>
        </a:prstGeom>
      </xdr:spPr>
    </xdr:pic>
    <xdr:clientData/>
  </xdr:twoCellAnchor>
  <xdr:twoCellAnchor>
    <xdr:from>
      <xdr:col>8</xdr:col>
      <xdr:colOff>6350</xdr:colOff>
      <xdr:row>249</xdr:row>
      <xdr:rowOff>25400</xdr:rowOff>
    </xdr:from>
    <xdr:to>
      <xdr:col>8</xdr:col>
      <xdr:colOff>885190</xdr:colOff>
      <xdr:row>249</xdr:row>
      <xdr:rowOff>1209040</xdr:rowOff>
    </xdr:to>
    <xdr:pic>
      <xdr:nvPicPr>
        <xdr:cNvPr id="4368" name="Изображение 4367" descr="resizeПП-00254273"/>
        <xdr:cNvPicPr>
          <a:picLocks noChangeAspect="1"/>
        </xdr:cNvPicPr>
      </xdr:nvPicPr>
      <xdr:blipFill>
        <a:blip xmlns:r="http://schemas.openxmlformats.org/officeDocument/2006/relationships" r:embed="rId163"/>
        <a:stretch>
          <a:fillRect/>
        </a:stretch>
      </xdr:blipFill>
      <xdr:spPr>
        <a:xfrm>
          <a:off x="7264400" y="212312250"/>
          <a:ext cx="878840" cy="1183640"/>
        </a:xfrm>
        <a:prstGeom prst="rect">
          <a:avLst/>
        </a:prstGeom>
      </xdr:spPr>
    </xdr:pic>
    <xdr:clientData/>
  </xdr:twoCellAnchor>
  <xdr:twoCellAnchor>
    <xdr:from>
      <xdr:col>8</xdr:col>
      <xdr:colOff>6350</xdr:colOff>
      <xdr:row>251</xdr:row>
      <xdr:rowOff>25400</xdr:rowOff>
    </xdr:from>
    <xdr:to>
      <xdr:col>8</xdr:col>
      <xdr:colOff>885190</xdr:colOff>
      <xdr:row>251</xdr:row>
      <xdr:rowOff>1209040</xdr:rowOff>
    </xdr:to>
    <xdr:pic>
      <xdr:nvPicPr>
        <xdr:cNvPr id="4369" name="Изображение 4368" descr="resizeПП-00254276"/>
        <xdr:cNvPicPr>
          <a:picLocks noChangeAspect="1"/>
        </xdr:cNvPicPr>
      </xdr:nvPicPr>
      <xdr:blipFill>
        <a:blip xmlns:r="http://schemas.openxmlformats.org/officeDocument/2006/relationships" r:embed="rId164"/>
        <a:stretch>
          <a:fillRect/>
        </a:stretch>
      </xdr:blipFill>
      <xdr:spPr>
        <a:xfrm>
          <a:off x="7264400" y="213687025"/>
          <a:ext cx="878840" cy="1183640"/>
        </a:xfrm>
        <a:prstGeom prst="rect">
          <a:avLst/>
        </a:prstGeom>
      </xdr:spPr>
    </xdr:pic>
    <xdr:clientData/>
  </xdr:twoCellAnchor>
  <xdr:twoCellAnchor>
    <xdr:from>
      <xdr:col>8</xdr:col>
      <xdr:colOff>6350</xdr:colOff>
      <xdr:row>254</xdr:row>
      <xdr:rowOff>25400</xdr:rowOff>
    </xdr:from>
    <xdr:to>
      <xdr:col>8</xdr:col>
      <xdr:colOff>885190</xdr:colOff>
      <xdr:row>254</xdr:row>
      <xdr:rowOff>1209040</xdr:rowOff>
    </xdr:to>
    <xdr:pic>
      <xdr:nvPicPr>
        <xdr:cNvPr id="4370" name="Изображение 4369" descr="resizeПП-00256535"/>
        <xdr:cNvPicPr>
          <a:picLocks noChangeAspect="1"/>
        </xdr:cNvPicPr>
      </xdr:nvPicPr>
      <xdr:blipFill>
        <a:blip xmlns:r="http://schemas.openxmlformats.org/officeDocument/2006/relationships" r:embed="rId165"/>
        <a:stretch>
          <a:fillRect/>
        </a:stretch>
      </xdr:blipFill>
      <xdr:spPr>
        <a:xfrm>
          <a:off x="7264400" y="215214200"/>
          <a:ext cx="878840" cy="1183640"/>
        </a:xfrm>
        <a:prstGeom prst="rect">
          <a:avLst/>
        </a:prstGeom>
      </xdr:spPr>
    </xdr:pic>
    <xdr:clientData/>
  </xdr:twoCellAnchor>
  <xdr:twoCellAnchor>
    <xdr:from>
      <xdr:col>8</xdr:col>
      <xdr:colOff>6350</xdr:colOff>
      <xdr:row>255</xdr:row>
      <xdr:rowOff>25400</xdr:rowOff>
    </xdr:from>
    <xdr:to>
      <xdr:col>8</xdr:col>
      <xdr:colOff>885190</xdr:colOff>
      <xdr:row>255</xdr:row>
      <xdr:rowOff>1209040</xdr:rowOff>
    </xdr:to>
    <xdr:pic>
      <xdr:nvPicPr>
        <xdr:cNvPr id="4371" name="Изображение 4370" descr="resizeПП-00275633"/>
        <xdr:cNvPicPr>
          <a:picLocks noChangeAspect="1"/>
        </xdr:cNvPicPr>
      </xdr:nvPicPr>
      <xdr:blipFill>
        <a:blip xmlns:r="http://schemas.openxmlformats.org/officeDocument/2006/relationships" r:embed="rId166"/>
        <a:stretch>
          <a:fillRect/>
        </a:stretch>
      </xdr:blipFill>
      <xdr:spPr>
        <a:xfrm>
          <a:off x="7264400" y="216436575"/>
          <a:ext cx="878840" cy="1183640"/>
        </a:xfrm>
        <a:prstGeom prst="rect">
          <a:avLst/>
        </a:prstGeom>
      </xdr:spPr>
    </xdr:pic>
    <xdr:clientData/>
  </xdr:twoCellAnchor>
  <xdr:twoCellAnchor>
    <xdr:from>
      <xdr:col>8</xdr:col>
      <xdr:colOff>6350</xdr:colOff>
      <xdr:row>257</xdr:row>
      <xdr:rowOff>25400</xdr:rowOff>
    </xdr:from>
    <xdr:to>
      <xdr:col>8</xdr:col>
      <xdr:colOff>885190</xdr:colOff>
      <xdr:row>257</xdr:row>
      <xdr:rowOff>1209040</xdr:rowOff>
    </xdr:to>
    <xdr:pic>
      <xdr:nvPicPr>
        <xdr:cNvPr id="4372" name="Изображение 4371" descr="resizeПП-00272414"/>
        <xdr:cNvPicPr>
          <a:picLocks noChangeAspect="1"/>
        </xdr:cNvPicPr>
      </xdr:nvPicPr>
      <xdr:blipFill>
        <a:blip xmlns:r="http://schemas.openxmlformats.org/officeDocument/2006/relationships" r:embed="rId167"/>
        <a:stretch>
          <a:fillRect/>
        </a:stretch>
      </xdr:blipFill>
      <xdr:spPr>
        <a:xfrm>
          <a:off x="7264400" y="217811350"/>
          <a:ext cx="878840" cy="1183640"/>
        </a:xfrm>
        <a:prstGeom prst="rect">
          <a:avLst/>
        </a:prstGeom>
      </xdr:spPr>
    </xdr:pic>
    <xdr:clientData/>
  </xdr:twoCellAnchor>
  <xdr:twoCellAnchor>
    <xdr:from>
      <xdr:col>8</xdr:col>
      <xdr:colOff>6350</xdr:colOff>
      <xdr:row>259</xdr:row>
      <xdr:rowOff>25400</xdr:rowOff>
    </xdr:from>
    <xdr:to>
      <xdr:col>8</xdr:col>
      <xdr:colOff>885190</xdr:colOff>
      <xdr:row>259</xdr:row>
      <xdr:rowOff>1209040</xdr:rowOff>
    </xdr:to>
    <xdr:pic>
      <xdr:nvPicPr>
        <xdr:cNvPr id="4373" name="Изображение 4372" descr="resizeПП-00274814"/>
        <xdr:cNvPicPr>
          <a:picLocks noChangeAspect="1"/>
        </xdr:cNvPicPr>
      </xdr:nvPicPr>
      <xdr:blipFill>
        <a:blip xmlns:r="http://schemas.openxmlformats.org/officeDocument/2006/relationships" r:embed="rId168"/>
        <a:stretch>
          <a:fillRect/>
        </a:stretch>
      </xdr:blipFill>
      <xdr:spPr>
        <a:xfrm>
          <a:off x="7264400" y="219186125"/>
          <a:ext cx="878840" cy="1183640"/>
        </a:xfrm>
        <a:prstGeom prst="rect">
          <a:avLst/>
        </a:prstGeom>
      </xdr:spPr>
    </xdr:pic>
    <xdr:clientData/>
  </xdr:twoCellAnchor>
  <xdr:twoCellAnchor>
    <xdr:from>
      <xdr:col>8</xdr:col>
      <xdr:colOff>6350</xdr:colOff>
      <xdr:row>260</xdr:row>
      <xdr:rowOff>25400</xdr:rowOff>
    </xdr:from>
    <xdr:to>
      <xdr:col>8</xdr:col>
      <xdr:colOff>885190</xdr:colOff>
      <xdr:row>260</xdr:row>
      <xdr:rowOff>1209040</xdr:rowOff>
    </xdr:to>
    <xdr:pic>
      <xdr:nvPicPr>
        <xdr:cNvPr id="4374" name="Изображение 4373" descr="resizeПП-00255394"/>
        <xdr:cNvPicPr>
          <a:picLocks noChangeAspect="1"/>
        </xdr:cNvPicPr>
      </xdr:nvPicPr>
      <xdr:blipFill>
        <a:blip xmlns:r="http://schemas.openxmlformats.org/officeDocument/2006/relationships" r:embed="rId169"/>
        <a:stretch>
          <a:fillRect/>
        </a:stretch>
      </xdr:blipFill>
      <xdr:spPr>
        <a:xfrm>
          <a:off x="7264400" y="220408500"/>
          <a:ext cx="878840" cy="1183640"/>
        </a:xfrm>
        <a:prstGeom prst="rect">
          <a:avLst/>
        </a:prstGeom>
      </xdr:spPr>
    </xdr:pic>
    <xdr:clientData/>
  </xdr:twoCellAnchor>
  <xdr:twoCellAnchor>
    <xdr:from>
      <xdr:col>8</xdr:col>
      <xdr:colOff>6350</xdr:colOff>
      <xdr:row>261</xdr:row>
      <xdr:rowOff>25400</xdr:rowOff>
    </xdr:from>
    <xdr:to>
      <xdr:col>8</xdr:col>
      <xdr:colOff>885190</xdr:colOff>
      <xdr:row>261</xdr:row>
      <xdr:rowOff>1209040</xdr:rowOff>
    </xdr:to>
    <xdr:pic>
      <xdr:nvPicPr>
        <xdr:cNvPr id="4375" name="Изображение 4374" descr="resizeПП-00255395"/>
        <xdr:cNvPicPr>
          <a:picLocks noChangeAspect="1"/>
        </xdr:cNvPicPr>
      </xdr:nvPicPr>
      <xdr:blipFill>
        <a:blip xmlns:r="http://schemas.openxmlformats.org/officeDocument/2006/relationships" r:embed="rId170"/>
        <a:stretch>
          <a:fillRect/>
        </a:stretch>
      </xdr:blipFill>
      <xdr:spPr>
        <a:xfrm>
          <a:off x="7264400" y="221630875"/>
          <a:ext cx="878840" cy="1183640"/>
        </a:xfrm>
        <a:prstGeom prst="rect">
          <a:avLst/>
        </a:prstGeom>
      </xdr:spPr>
    </xdr:pic>
    <xdr:clientData/>
  </xdr:twoCellAnchor>
  <xdr:twoCellAnchor>
    <xdr:from>
      <xdr:col>8</xdr:col>
      <xdr:colOff>6350</xdr:colOff>
      <xdr:row>262</xdr:row>
      <xdr:rowOff>25400</xdr:rowOff>
    </xdr:from>
    <xdr:to>
      <xdr:col>8</xdr:col>
      <xdr:colOff>885190</xdr:colOff>
      <xdr:row>262</xdr:row>
      <xdr:rowOff>1209040</xdr:rowOff>
    </xdr:to>
    <xdr:pic>
      <xdr:nvPicPr>
        <xdr:cNvPr id="4376" name="Изображение 4375" descr="resizeПП-00274522"/>
        <xdr:cNvPicPr>
          <a:picLocks noChangeAspect="1"/>
        </xdr:cNvPicPr>
      </xdr:nvPicPr>
      <xdr:blipFill>
        <a:blip xmlns:r="http://schemas.openxmlformats.org/officeDocument/2006/relationships" r:embed="rId171"/>
        <a:stretch>
          <a:fillRect/>
        </a:stretch>
      </xdr:blipFill>
      <xdr:spPr>
        <a:xfrm>
          <a:off x="7264400" y="222853250"/>
          <a:ext cx="878840" cy="1183640"/>
        </a:xfrm>
        <a:prstGeom prst="rect">
          <a:avLst/>
        </a:prstGeom>
      </xdr:spPr>
    </xdr:pic>
    <xdr:clientData/>
  </xdr:twoCellAnchor>
  <xdr:twoCellAnchor>
    <xdr:from>
      <xdr:col>8</xdr:col>
      <xdr:colOff>6350</xdr:colOff>
      <xdr:row>264</xdr:row>
      <xdr:rowOff>25400</xdr:rowOff>
    </xdr:from>
    <xdr:to>
      <xdr:col>8</xdr:col>
      <xdr:colOff>885190</xdr:colOff>
      <xdr:row>264</xdr:row>
      <xdr:rowOff>1209040</xdr:rowOff>
    </xdr:to>
    <xdr:pic>
      <xdr:nvPicPr>
        <xdr:cNvPr id="4377" name="Изображение 4376" descr="resizeПП-00253992"/>
        <xdr:cNvPicPr>
          <a:picLocks noChangeAspect="1"/>
        </xdr:cNvPicPr>
      </xdr:nvPicPr>
      <xdr:blipFill>
        <a:blip xmlns:r="http://schemas.openxmlformats.org/officeDocument/2006/relationships" r:embed="rId172"/>
        <a:stretch>
          <a:fillRect/>
        </a:stretch>
      </xdr:blipFill>
      <xdr:spPr>
        <a:xfrm>
          <a:off x="7264400" y="224228025"/>
          <a:ext cx="878840" cy="1183640"/>
        </a:xfrm>
        <a:prstGeom prst="rect">
          <a:avLst/>
        </a:prstGeom>
      </xdr:spPr>
    </xdr:pic>
    <xdr:clientData/>
  </xdr:twoCellAnchor>
  <xdr:twoCellAnchor>
    <xdr:from>
      <xdr:col>8</xdr:col>
      <xdr:colOff>6350</xdr:colOff>
      <xdr:row>266</xdr:row>
      <xdr:rowOff>25400</xdr:rowOff>
    </xdr:from>
    <xdr:to>
      <xdr:col>8</xdr:col>
      <xdr:colOff>885190</xdr:colOff>
      <xdr:row>266</xdr:row>
      <xdr:rowOff>1209040</xdr:rowOff>
    </xdr:to>
    <xdr:pic>
      <xdr:nvPicPr>
        <xdr:cNvPr id="4378" name="Изображение 4377" descr="resizeПП-00274372"/>
        <xdr:cNvPicPr>
          <a:picLocks noChangeAspect="1"/>
        </xdr:cNvPicPr>
      </xdr:nvPicPr>
      <xdr:blipFill>
        <a:blip xmlns:r="http://schemas.openxmlformats.org/officeDocument/2006/relationships" r:embed="rId173"/>
        <a:stretch>
          <a:fillRect/>
        </a:stretch>
      </xdr:blipFill>
      <xdr:spPr>
        <a:xfrm>
          <a:off x="7264400" y="225602800"/>
          <a:ext cx="878840" cy="1183640"/>
        </a:xfrm>
        <a:prstGeom prst="rect">
          <a:avLst/>
        </a:prstGeom>
      </xdr:spPr>
    </xdr:pic>
    <xdr:clientData/>
  </xdr:twoCellAnchor>
  <xdr:twoCellAnchor>
    <xdr:from>
      <xdr:col>8</xdr:col>
      <xdr:colOff>6350</xdr:colOff>
      <xdr:row>269</xdr:row>
      <xdr:rowOff>25400</xdr:rowOff>
    </xdr:from>
    <xdr:to>
      <xdr:col>8</xdr:col>
      <xdr:colOff>885190</xdr:colOff>
      <xdr:row>269</xdr:row>
      <xdr:rowOff>1209040</xdr:rowOff>
    </xdr:to>
    <xdr:pic>
      <xdr:nvPicPr>
        <xdr:cNvPr id="4379" name="Изображение 4378" descr="resizeПП-00274776"/>
        <xdr:cNvPicPr>
          <a:picLocks noChangeAspect="1"/>
        </xdr:cNvPicPr>
      </xdr:nvPicPr>
      <xdr:blipFill>
        <a:blip xmlns:r="http://schemas.openxmlformats.org/officeDocument/2006/relationships" r:embed="rId174"/>
        <a:stretch>
          <a:fillRect/>
        </a:stretch>
      </xdr:blipFill>
      <xdr:spPr>
        <a:xfrm>
          <a:off x="7264400" y="227129975"/>
          <a:ext cx="878840" cy="1183640"/>
        </a:xfrm>
        <a:prstGeom prst="rect">
          <a:avLst/>
        </a:prstGeom>
      </xdr:spPr>
    </xdr:pic>
    <xdr:clientData/>
  </xdr:twoCellAnchor>
  <xdr:twoCellAnchor>
    <xdr:from>
      <xdr:col>8</xdr:col>
      <xdr:colOff>6350</xdr:colOff>
      <xdr:row>272</xdr:row>
      <xdr:rowOff>25400</xdr:rowOff>
    </xdr:from>
    <xdr:to>
      <xdr:col>8</xdr:col>
      <xdr:colOff>885190</xdr:colOff>
      <xdr:row>272</xdr:row>
      <xdr:rowOff>1209040</xdr:rowOff>
    </xdr:to>
    <xdr:pic>
      <xdr:nvPicPr>
        <xdr:cNvPr id="4380" name="Изображение 4379" descr="resizeПП-00255391"/>
        <xdr:cNvPicPr>
          <a:picLocks noChangeAspect="1"/>
        </xdr:cNvPicPr>
      </xdr:nvPicPr>
      <xdr:blipFill>
        <a:blip xmlns:r="http://schemas.openxmlformats.org/officeDocument/2006/relationships" r:embed="rId175"/>
        <a:stretch>
          <a:fillRect/>
        </a:stretch>
      </xdr:blipFill>
      <xdr:spPr>
        <a:xfrm>
          <a:off x="7264400" y="228657150"/>
          <a:ext cx="878840" cy="1183640"/>
        </a:xfrm>
        <a:prstGeom prst="rect">
          <a:avLst/>
        </a:prstGeom>
      </xdr:spPr>
    </xdr:pic>
    <xdr:clientData/>
  </xdr:twoCellAnchor>
  <xdr:twoCellAnchor>
    <xdr:from>
      <xdr:col>8</xdr:col>
      <xdr:colOff>6350</xdr:colOff>
      <xdr:row>273</xdr:row>
      <xdr:rowOff>25400</xdr:rowOff>
    </xdr:from>
    <xdr:to>
      <xdr:col>8</xdr:col>
      <xdr:colOff>885190</xdr:colOff>
      <xdr:row>273</xdr:row>
      <xdr:rowOff>1209040</xdr:rowOff>
    </xdr:to>
    <xdr:pic>
      <xdr:nvPicPr>
        <xdr:cNvPr id="4381" name="Изображение 4380" descr="resizeПП-00274597"/>
        <xdr:cNvPicPr>
          <a:picLocks noChangeAspect="1"/>
        </xdr:cNvPicPr>
      </xdr:nvPicPr>
      <xdr:blipFill>
        <a:blip xmlns:r="http://schemas.openxmlformats.org/officeDocument/2006/relationships" r:embed="rId176"/>
        <a:stretch>
          <a:fillRect/>
        </a:stretch>
      </xdr:blipFill>
      <xdr:spPr>
        <a:xfrm>
          <a:off x="7264400" y="229879525"/>
          <a:ext cx="878840" cy="1183640"/>
        </a:xfrm>
        <a:prstGeom prst="rect">
          <a:avLst/>
        </a:prstGeom>
      </xdr:spPr>
    </xdr:pic>
    <xdr:clientData/>
  </xdr:twoCellAnchor>
  <xdr:twoCellAnchor>
    <xdr:from>
      <xdr:col>8</xdr:col>
      <xdr:colOff>6350</xdr:colOff>
      <xdr:row>275</xdr:row>
      <xdr:rowOff>25400</xdr:rowOff>
    </xdr:from>
    <xdr:to>
      <xdr:col>8</xdr:col>
      <xdr:colOff>885190</xdr:colOff>
      <xdr:row>275</xdr:row>
      <xdr:rowOff>1209040</xdr:rowOff>
    </xdr:to>
    <xdr:pic>
      <xdr:nvPicPr>
        <xdr:cNvPr id="4382" name="Изображение 4381" descr="resizeПП-00274301"/>
        <xdr:cNvPicPr>
          <a:picLocks noChangeAspect="1"/>
        </xdr:cNvPicPr>
      </xdr:nvPicPr>
      <xdr:blipFill>
        <a:blip xmlns:r="http://schemas.openxmlformats.org/officeDocument/2006/relationships" r:embed="rId177"/>
        <a:stretch>
          <a:fillRect/>
        </a:stretch>
      </xdr:blipFill>
      <xdr:spPr>
        <a:xfrm>
          <a:off x="7264400" y="231254300"/>
          <a:ext cx="878840" cy="1183640"/>
        </a:xfrm>
        <a:prstGeom prst="rect">
          <a:avLst/>
        </a:prstGeom>
      </xdr:spPr>
    </xdr:pic>
    <xdr:clientData/>
  </xdr:twoCellAnchor>
  <xdr:twoCellAnchor>
    <xdr:from>
      <xdr:col>8</xdr:col>
      <xdr:colOff>6350</xdr:colOff>
      <xdr:row>279</xdr:row>
      <xdr:rowOff>25400</xdr:rowOff>
    </xdr:from>
    <xdr:to>
      <xdr:col>8</xdr:col>
      <xdr:colOff>885190</xdr:colOff>
      <xdr:row>279</xdr:row>
      <xdr:rowOff>1209040</xdr:rowOff>
    </xdr:to>
    <xdr:pic>
      <xdr:nvPicPr>
        <xdr:cNvPr id="4383" name="Изображение 4382" descr="resizeПП-00274287"/>
        <xdr:cNvPicPr>
          <a:picLocks noChangeAspect="1"/>
        </xdr:cNvPicPr>
      </xdr:nvPicPr>
      <xdr:blipFill>
        <a:blip xmlns:r="http://schemas.openxmlformats.org/officeDocument/2006/relationships" r:embed="rId178"/>
        <a:stretch>
          <a:fillRect/>
        </a:stretch>
      </xdr:blipFill>
      <xdr:spPr>
        <a:xfrm>
          <a:off x="7264400" y="232933875"/>
          <a:ext cx="878840" cy="1183640"/>
        </a:xfrm>
        <a:prstGeom prst="rect">
          <a:avLst/>
        </a:prstGeom>
      </xdr:spPr>
    </xdr:pic>
    <xdr:clientData/>
  </xdr:twoCellAnchor>
  <xdr:twoCellAnchor>
    <xdr:from>
      <xdr:col>8</xdr:col>
      <xdr:colOff>6350</xdr:colOff>
      <xdr:row>281</xdr:row>
      <xdr:rowOff>25400</xdr:rowOff>
    </xdr:from>
    <xdr:to>
      <xdr:col>8</xdr:col>
      <xdr:colOff>885190</xdr:colOff>
      <xdr:row>281</xdr:row>
      <xdr:rowOff>1209040</xdr:rowOff>
    </xdr:to>
    <xdr:pic>
      <xdr:nvPicPr>
        <xdr:cNvPr id="4384" name="Изображение 4383" descr="resizeПП-00270952"/>
        <xdr:cNvPicPr>
          <a:picLocks noChangeAspect="1"/>
        </xdr:cNvPicPr>
      </xdr:nvPicPr>
      <xdr:blipFill>
        <a:blip xmlns:r="http://schemas.openxmlformats.org/officeDocument/2006/relationships" r:embed="rId179"/>
        <a:stretch>
          <a:fillRect/>
        </a:stretch>
      </xdr:blipFill>
      <xdr:spPr>
        <a:xfrm>
          <a:off x="7264400" y="234308650"/>
          <a:ext cx="878840" cy="1183640"/>
        </a:xfrm>
        <a:prstGeom prst="rect">
          <a:avLst/>
        </a:prstGeom>
      </xdr:spPr>
    </xdr:pic>
    <xdr:clientData/>
  </xdr:twoCellAnchor>
  <xdr:twoCellAnchor>
    <xdr:from>
      <xdr:col>8</xdr:col>
      <xdr:colOff>6350</xdr:colOff>
      <xdr:row>282</xdr:row>
      <xdr:rowOff>25400</xdr:rowOff>
    </xdr:from>
    <xdr:to>
      <xdr:col>8</xdr:col>
      <xdr:colOff>885190</xdr:colOff>
      <xdr:row>282</xdr:row>
      <xdr:rowOff>1209040</xdr:rowOff>
    </xdr:to>
    <xdr:pic>
      <xdr:nvPicPr>
        <xdr:cNvPr id="4385" name="Изображение 4384" descr="resizeПП-00270951"/>
        <xdr:cNvPicPr>
          <a:picLocks noChangeAspect="1"/>
        </xdr:cNvPicPr>
      </xdr:nvPicPr>
      <xdr:blipFill>
        <a:blip xmlns:r="http://schemas.openxmlformats.org/officeDocument/2006/relationships" r:embed="rId180"/>
        <a:stretch>
          <a:fillRect/>
        </a:stretch>
      </xdr:blipFill>
      <xdr:spPr>
        <a:xfrm>
          <a:off x="7264400" y="235531025"/>
          <a:ext cx="878840" cy="1183640"/>
        </a:xfrm>
        <a:prstGeom prst="rect">
          <a:avLst/>
        </a:prstGeom>
      </xdr:spPr>
    </xdr:pic>
    <xdr:clientData/>
  </xdr:twoCellAnchor>
  <xdr:twoCellAnchor>
    <xdr:from>
      <xdr:col>8</xdr:col>
      <xdr:colOff>6350</xdr:colOff>
      <xdr:row>283</xdr:row>
      <xdr:rowOff>25400</xdr:rowOff>
    </xdr:from>
    <xdr:to>
      <xdr:col>8</xdr:col>
      <xdr:colOff>885190</xdr:colOff>
      <xdr:row>283</xdr:row>
      <xdr:rowOff>1209040</xdr:rowOff>
    </xdr:to>
    <xdr:pic>
      <xdr:nvPicPr>
        <xdr:cNvPr id="4386" name="Изображение 4385" descr="resizeПП-00270954"/>
        <xdr:cNvPicPr>
          <a:picLocks noChangeAspect="1"/>
        </xdr:cNvPicPr>
      </xdr:nvPicPr>
      <xdr:blipFill>
        <a:blip xmlns:r="http://schemas.openxmlformats.org/officeDocument/2006/relationships" r:embed="rId181"/>
        <a:stretch>
          <a:fillRect/>
        </a:stretch>
      </xdr:blipFill>
      <xdr:spPr>
        <a:xfrm>
          <a:off x="7264400" y="236753400"/>
          <a:ext cx="878840" cy="1183640"/>
        </a:xfrm>
        <a:prstGeom prst="rect">
          <a:avLst/>
        </a:prstGeom>
      </xdr:spPr>
    </xdr:pic>
    <xdr:clientData/>
  </xdr:twoCellAnchor>
  <xdr:twoCellAnchor>
    <xdr:from>
      <xdr:col>8</xdr:col>
      <xdr:colOff>6350</xdr:colOff>
      <xdr:row>286</xdr:row>
      <xdr:rowOff>25400</xdr:rowOff>
    </xdr:from>
    <xdr:to>
      <xdr:col>8</xdr:col>
      <xdr:colOff>885190</xdr:colOff>
      <xdr:row>286</xdr:row>
      <xdr:rowOff>1209040</xdr:rowOff>
    </xdr:to>
    <xdr:pic>
      <xdr:nvPicPr>
        <xdr:cNvPr id="4387" name="Изображение 4386" descr="resizeПП-00274523"/>
        <xdr:cNvPicPr>
          <a:picLocks noChangeAspect="1"/>
        </xdr:cNvPicPr>
      </xdr:nvPicPr>
      <xdr:blipFill>
        <a:blip xmlns:r="http://schemas.openxmlformats.org/officeDocument/2006/relationships" r:embed="rId182"/>
        <a:stretch>
          <a:fillRect/>
        </a:stretch>
      </xdr:blipFill>
      <xdr:spPr>
        <a:xfrm>
          <a:off x="7264400" y="238280575"/>
          <a:ext cx="878840" cy="1183640"/>
        </a:xfrm>
        <a:prstGeom prst="rect">
          <a:avLst/>
        </a:prstGeom>
      </xdr:spPr>
    </xdr:pic>
    <xdr:clientData/>
  </xdr:twoCellAnchor>
  <xdr:twoCellAnchor>
    <xdr:from>
      <xdr:col>8</xdr:col>
      <xdr:colOff>6350</xdr:colOff>
      <xdr:row>290</xdr:row>
      <xdr:rowOff>25400</xdr:rowOff>
    </xdr:from>
    <xdr:to>
      <xdr:col>8</xdr:col>
      <xdr:colOff>885190</xdr:colOff>
      <xdr:row>290</xdr:row>
      <xdr:rowOff>1209040</xdr:rowOff>
    </xdr:to>
    <xdr:pic>
      <xdr:nvPicPr>
        <xdr:cNvPr id="4388" name="Изображение 4387" descr="resizeПП-00280753"/>
        <xdr:cNvPicPr>
          <a:picLocks noChangeAspect="1"/>
        </xdr:cNvPicPr>
      </xdr:nvPicPr>
      <xdr:blipFill>
        <a:blip xmlns:r="http://schemas.openxmlformats.org/officeDocument/2006/relationships" r:embed="rId183"/>
        <a:stretch>
          <a:fillRect/>
        </a:stretch>
      </xdr:blipFill>
      <xdr:spPr>
        <a:xfrm>
          <a:off x="7264400" y="239960150"/>
          <a:ext cx="878840" cy="1183640"/>
        </a:xfrm>
        <a:prstGeom prst="rect">
          <a:avLst/>
        </a:prstGeom>
      </xdr:spPr>
    </xdr:pic>
    <xdr:clientData/>
  </xdr:twoCellAnchor>
  <xdr:twoCellAnchor>
    <xdr:from>
      <xdr:col>8</xdr:col>
      <xdr:colOff>6350</xdr:colOff>
      <xdr:row>291</xdr:row>
      <xdr:rowOff>25400</xdr:rowOff>
    </xdr:from>
    <xdr:to>
      <xdr:col>8</xdr:col>
      <xdr:colOff>885190</xdr:colOff>
      <xdr:row>291</xdr:row>
      <xdr:rowOff>1209040</xdr:rowOff>
    </xdr:to>
    <xdr:pic>
      <xdr:nvPicPr>
        <xdr:cNvPr id="4389" name="Изображение 4388" descr="resizeПП-00280760"/>
        <xdr:cNvPicPr>
          <a:picLocks noChangeAspect="1"/>
        </xdr:cNvPicPr>
      </xdr:nvPicPr>
      <xdr:blipFill>
        <a:blip xmlns:r="http://schemas.openxmlformats.org/officeDocument/2006/relationships" r:embed="rId184"/>
        <a:stretch>
          <a:fillRect/>
        </a:stretch>
      </xdr:blipFill>
      <xdr:spPr>
        <a:xfrm>
          <a:off x="7264400" y="241182525"/>
          <a:ext cx="878840" cy="1183640"/>
        </a:xfrm>
        <a:prstGeom prst="rect">
          <a:avLst/>
        </a:prstGeom>
      </xdr:spPr>
    </xdr:pic>
    <xdr:clientData/>
  </xdr:twoCellAnchor>
  <xdr:twoCellAnchor>
    <xdr:from>
      <xdr:col>8</xdr:col>
      <xdr:colOff>6350</xdr:colOff>
      <xdr:row>292</xdr:row>
      <xdr:rowOff>25400</xdr:rowOff>
    </xdr:from>
    <xdr:to>
      <xdr:col>8</xdr:col>
      <xdr:colOff>885190</xdr:colOff>
      <xdr:row>292</xdr:row>
      <xdr:rowOff>1209040</xdr:rowOff>
    </xdr:to>
    <xdr:pic>
      <xdr:nvPicPr>
        <xdr:cNvPr id="4390" name="Изображение 4389" descr="resizeПП-00280754"/>
        <xdr:cNvPicPr>
          <a:picLocks noChangeAspect="1"/>
        </xdr:cNvPicPr>
      </xdr:nvPicPr>
      <xdr:blipFill>
        <a:blip xmlns:r="http://schemas.openxmlformats.org/officeDocument/2006/relationships" r:embed="rId185"/>
        <a:stretch>
          <a:fillRect/>
        </a:stretch>
      </xdr:blipFill>
      <xdr:spPr>
        <a:xfrm>
          <a:off x="7264400" y="242404900"/>
          <a:ext cx="878840" cy="1183640"/>
        </a:xfrm>
        <a:prstGeom prst="rect">
          <a:avLst/>
        </a:prstGeom>
      </xdr:spPr>
    </xdr:pic>
    <xdr:clientData/>
  </xdr:twoCellAnchor>
  <xdr:twoCellAnchor>
    <xdr:from>
      <xdr:col>8</xdr:col>
      <xdr:colOff>6350</xdr:colOff>
      <xdr:row>293</xdr:row>
      <xdr:rowOff>25400</xdr:rowOff>
    </xdr:from>
    <xdr:to>
      <xdr:col>8</xdr:col>
      <xdr:colOff>885190</xdr:colOff>
      <xdr:row>293</xdr:row>
      <xdr:rowOff>1209040</xdr:rowOff>
    </xdr:to>
    <xdr:pic>
      <xdr:nvPicPr>
        <xdr:cNvPr id="4391" name="Изображение 4390" descr="resizeПП-00280756"/>
        <xdr:cNvPicPr>
          <a:picLocks noChangeAspect="1"/>
        </xdr:cNvPicPr>
      </xdr:nvPicPr>
      <xdr:blipFill>
        <a:blip xmlns:r="http://schemas.openxmlformats.org/officeDocument/2006/relationships" r:embed="rId186"/>
        <a:stretch>
          <a:fillRect/>
        </a:stretch>
      </xdr:blipFill>
      <xdr:spPr>
        <a:xfrm>
          <a:off x="7264400" y="243627275"/>
          <a:ext cx="878840" cy="1183640"/>
        </a:xfrm>
        <a:prstGeom prst="rect">
          <a:avLst/>
        </a:prstGeom>
      </xdr:spPr>
    </xdr:pic>
    <xdr:clientData/>
  </xdr:twoCellAnchor>
  <xdr:twoCellAnchor>
    <xdr:from>
      <xdr:col>8</xdr:col>
      <xdr:colOff>6350</xdr:colOff>
      <xdr:row>294</xdr:row>
      <xdr:rowOff>25400</xdr:rowOff>
    </xdr:from>
    <xdr:to>
      <xdr:col>8</xdr:col>
      <xdr:colOff>885190</xdr:colOff>
      <xdr:row>294</xdr:row>
      <xdr:rowOff>1209040</xdr:rowOff>
    </xdr:to>
    <xdr:pic>
      <xdr:nvPicPr>
        <xdr:cNvPr id="4392" name="Изображение 4391" descr="resizeПП-00280755"/>
        <xdr:cNvPicPr>
          <a:picLocks noChangeAspect="1"/>
        </xdr:cNvPicPr>
      </xdr:nvPicPr>
      <xdr:blipFill>
        <a:blip xmlns:r="http://schemas.openxmlformats.org/officeDocument/2006/relationships" r:embed="rId187"/>
        <a:stretch>
          <a:fillRect/>
        </a:stretch>
      </xdr:blipFill>
      <xdr:spPr>
        <a:xfrm>
          <a:off x="7264400" y="244849650"/>
          <a:ext cx="878840" cy="1183640"/>
        </a:xfrm>
        <a:prstGeom prst="rect">
          <a:avLst/>
        </a:prstGeom>
      </xdr:spPr>
    </xdr:pic>
    <xdr:clientData/>
  </xdr:twoCellAnchor>
  <xdr:twoCellAnchor>
    <xdr:from>
      <xdr:col>8</xdr:col>
      <xdr:colOff>6350</xdr:colOff>
      <xdr:row>295</xdr:row>
      <xdr:rowOff>25400</xdr:rowOff>
    </xdr:from>
    <xdr:to>
      <xdr:col>8</xdr:col>
      <xdr:colOff>885190</xdr:colOff>
      <xdr:row>295</xdr:row>
      <xdr:rowOff>1209040</xdr:rowOff>
    </xdr:to>
    <xdr:pic>
      <xdr:nvPicPr>
        <xdr:cNvPr id="4393" name="Изображение 4392" descr="resizeПП-00280757"/>
        <xdr:cNvPicPr>
          <a:picLocks noChangeAspect="1"/>
        </xdr:cNvPicPr>
      </xdr:nvPicPr>
      <xdr:blipFill>
        <a:blip xmlns:r="http://schemas.openxmlformats.org/officeDocument/2006/relationships" r:embed="rId188"/>
        <a:stretch>
          <a:fillRect/>
        </a:stretch>
      </xdr:blipFill>
      <xdr:spPr>
        <a:xfrm>
          <a:off x="7264400" y="246072025"/>
          <a:ext cx="878840" cy="1183640"/>
        </a:xfrm>
        <a:prstGeom prst="rect">
          <a:avLst/>
        </a:prstGeom>
      </xdr:spPr>
    </xdr:pic>
    <xdr:clientData/>
  </xdr:twoCellAnchor>
  <xdr:twoCellAnchor>
    <xdr:from>
      <xdr:col>8</xdr:col>
      <xdr:colOff>6350</xdr:colOff>
      <xdr:row>297</xdr:row>
      <xdr:rowOff>25400</xdr:rowOff>
    </xdr:from>
    <xdr:to>
      <xdr:col>8</xdr:col>
      <xdr:colOff>885190</xdr:colOff>
      <xdr:row>297</xdr:row>
      <xdr:rowOff>1209040</xdr:rowOff>
    </xdr:to>
    <xdr:pic>
      <xdr:nvPicPr>
        <xdr:cNvPr id="4394" name="Изображение 4393" descr="resizeПП-00278137"/>
        <xdr:cNvPicPr>
          <a:picLocks noChangeAspect="1"/>
        </xdr:cNvPicPr>
      </xdr:nvPicPr>
      <xdr:blipFill>
        <a:blip xmlns:r="http://schemas.openxmlformats.org/officeDocument/2006/relationships" r:embed="rId189"/>
        <a:stretch>
          <a:fillRect/>
        </a:stretch>
      </xdr:blipFill>
      <xdr:spPr>
        <a:xfrm>
          <a:off x="7264400" y="247446800"/>
          <a:ext cx="878840" cy="1183640"/>
        </a:xfrm>
        <a:prstGeom prst="rect">
          <a:avLst/>
        </a:prstGeom>
      </xdr:spPr>
    </xdr:pic>
    <xdr:clientData/>
  </xdr:twoCellAnchor>
  <xdr:twoCellAnchor>
    <xdr:from>
      <xdr:col>8</xdr:col>
      <xdr:colOff>6350</xdr:colOff>
      <xdr:row>300</xdr:row>
      <xdr:rowOff>25400</xdr:rowOff>
    </xdr:from>
    <xdr:to>
      <xdr:col>8</xdr:col>
      <xdr:colOff>885190</xdr:colOff>
      <xdr:row>300</xdr:row>
      <xdr:rowOff>1209040</xdr:rowOff>
    </xdr:to>
    <xdr:pic>
      <xdr:nvPicPr>
        <xdr:cNvPr id="4395" name="Изображение 4394" descr="resizeПП-00278727"/>
        <xdr:cNvPicPr>
          <a:picLocks noChangeAspect="1"/>
        </xdr:cNvPicPr>
      </xdr:nvPicPr>
      <xdr:blipFill>
        <a:blip xmlns:r="http://schemas.openxmlformats.org/officeDocument/2006/relationships" r:embed="rId190"/>
        <a:stretch>
          <a:fillRect/>
        </a:stretch>
      </xdr:blipFill>
      <xdr:spPr>
        <a:xfrm>
          <a:off x="7264400" y="248973975"/>
          <a:ext cx="878840" cy="1183640"/>
        </a:xfrm>
        <a:prstGeom prst="rect">
          <a:avLst/>
        </a:prstGeom>
      </xdr:spPr>
    </xdr:pic>
    <xdr:clientData/>
  </xdr:twoCellAnchor>
  <xdr:twoCellAnchor>
    <xdr:from>
      <xdr:col>8</xdr:col>
      <xdr:colOff>6350</xdr:colOff>
      <xdr:row>304</xdr:row>
      <xdr:rowOff>25400</xdr:rowOff>
    </xdr:from>
    <xdr:to>
      <xdr:col>8</xdr:col>
      <xdr:colOff>885190</xdr:colOff>
      <xdr:row>304</xdr:row>
      <xdr:rowOff>1209040</xdr:rowOff>
    </xdr:to>
    <xdr:pic>
      <xdr:nvPicPr>
        <xdr:cNvPr id="4396" name="Изображение 4395" descr="resizeПП-00280264"/>
        <xdr:cNvPicPr>
          <a:picLocks noChangeAspect="1"/>
        </xdr:cNvPicPr>
      </xdr:nvPicPr>
      <xdr:blipFill>
        <a:blip xmlns:r="http://schemas.openxmlformats.org/officeDocument/2006/relationships" r:embed="rId191"/>
        <a:stretch>
          <a:fillRect/>
        </a:stretch>
      </xdr:blipFill>
      <xdr:spPr>
        <a:xfrm>
          <a:off x="7264400" y="250653550"/>
          <a:ext cx="878840" cy="1183640"/>
        </a:xfrm>
        <a:prstGeom prst="rect">
          <a:avLst/>
        </a:prstGeom>
      </xdr:spPr>
    </xdr:pic>
    <xdr:clientData/>
  </xdr:twoCellAnchor>
  <xdr:twoCellAnchor>
    <xdr:from>
      <xdr:col>8</xdr:col>
      <xdr:colOff>6350</xdr:colOff>
      <xdr:row>306</xdr:row>
      <xdr:rowOff>25400</xdr:rowOff>
    </xdr:from>
    <xdr:to>
      <xdr:col>8</xdr:col>
      <xdr:colOff>885190</xdr:colOff>
      <xdr:row>306</xdr:row>
      <xdr:rowOff>1209040</xdr:rowOff>
    </xdr:to>
    <xdr:pic>
      <xdr:nvPicPr>
        <xdr:cNvPr id="4397" name="Изображение 4396" descr="resizeПП-00280510"/>
        <xdr:cNvPicPr>
          <a:picLocks noChangeAspect="1"/>
        </xdr:cNvPicPr>
      </xdr:nvPicPr>
      <xdr:blipFill>
        <a:blip xmlns:r="http://schemas.openxmlformats.org/officeDocument/2006/relationships" r:embed="rId192"/>
        <a:stretch>
          <a:fillRect/>
        </a:stretch>
      </xdr:blipFill>
      <xdr:spPr>
        <a:xfrm>
          <a:off x="7264400" y="252028325"/>
          <a:ext cx="878840" cy="1183640"/>
        </a:xfrm>
        <a:prstGeom prst="rect">
          <a:avLst/>
        </a:prstGeom>
      </xdr:spPr>
    </xdr:pic>
    <xdr:clientData/>
  </xdr:twoCellAnchor>
  <xdr:twoCellAnchor>
    <xdr:from>
      <xdr:col>8</xdr:col>
      <xdr:colOff>6350</xdr:colOff>
      <xdr:row>307</xdr:row>
      <xdr:rowOff>25400</xdr:rowOff>
    </xdr:from>
    <xdr:to>
      <xdr:col>8</xdr:col>
      <xdr:colOff>885190</xdr:colOff>
      <xdr:row>307</xdr:row>
      <xdr:rowOff>1209040</xdr:rowOff>
    </xdr:to>
    <xdr:pic>
      <xdr:nvPicPr>
        <xdr:cNvPr id="4398" name="Изображение 4397" descr="resizeПП-00280517"/>
        <xdr:cNvPicPr>
          <a:picLocks noChangeAspect="1"/>
        </xdr:cNvPicPr>
      </xdr:nvPicPr>
      <xdr:blipFill>
        <a:blip xmlns:r="http://schemas.openxmlformats.org/officeDocument/2006/relationships" r:embed="rId193"/>
        <a:stretch>
          <a:fillRect/>
        </a:stretch>
      </xdr:blipFill>
      <xdr:spPr>
        <a:xfrm>
          <a:off x="7264400" y="253250700"/>
          <a:ext cx="878840" cy="1183640"/>
        </a:xfrm>
        <a:prstGeom prst="rect">
          <a:avLst/>
        </a:prstGeom>
      </xdr:spPr>
    </xdr:pic>
    <xdr:clientData/>
  </xdr:twoCellAnchor>
  <xdr:twoCellAnchor>
    <xdr:from>
      <xdr:col>8</xdr:col>
      <xdr:colOff>6350</xdr:colOff>
      <xdr:row>308</xdr:row>
      <xdr:rowOff>25400</xdr:rowOff>
    </xdr:from>
    <xdr:to>
      <xdr:col>8</xdr:col>
      <xdr:colOff>885190</xdr:colOff>
      <xdr:row>308</xdr:row>
      <xdr:rowOff>1209040</xdr:rowOff>
    </xdr:to>
    <xdr:pic>
      <xdr:nvPicPr>
        <xdr:cNvPr id="4399" name="Изображение 4398" descr="resizeПП-00280513"/>
        <xdr:cNvPicPr>
          <a:picLocks noChangeAspect="1"/>
        </xdr:cNvPicPr>
      </xdr:nvPicPr>
      <xdr:blipFill>
        <a:blip xmlns:r="http://schemas.openxmlformats.org/officeDocument/2006/relationships" r:embed="rId194"/>
        <a:stretch>
          <a:fillRect/>
        </a:stretch>
      </xdr:blipFill>
      <xdr:spPr>
        <a:xfrm>
          <a:off x="7264400" y="254473075"/>
          <a:ext cx="878840" cy="1183640"/>
        </a:xfrm>
        <a:prstGeom prst="rect">
          <a:avLst/>
        </a:prstGeom>
      </xdr:spPr>
    </xdr:pic>
    <xdr:clientData/>
  </xdr:twoCellAnchor>
  <xdr:twoCellAnchor>
    <xdr:from>
      <xdr:col>8</xdr:col>
      <xdr:colOff>6350</xdr:colOff>
      <xdr:row>309</xdr:row>
      <xdr:rowOff>25400</xdr:rowOff>
    </xdr:from>
    <xdr:to>
      <xdr:col>8</xdr:col>
      <xdr:colOff>885190</xdr:colOff>
      <xdr:row>309</xdr:row>
      <xdr:rowOff>1209040</xdr:rowOff>
    </xdr:to>
    <xdr:pic>
      <xdr:nvPicPr>
        <xdr:cNvPr id="4400" name="Изображение 4399" descr="resizeПП-00280515"/>
        <xdr:cNvPicPr>
          <a:picLocks noChangeAspect="1"/>
        </xdr:cNvPicPr>
      </xdr:nvPicPr>
      <xdr:blipFill>
        <a:blip xmlns:r="http://schemas.openxmlformats.org/officeDocument/2006/relationships" r:embed="rId195"/>
        <a:stretch>
          <a:fillRect/>
        </a:stretch>
      </xdr:blipFill>
      <xdr:spPr>
        <a:xfrm>
          <a:off x="7264400" y="255695450"/>
          <a:ext cx="878840" cy="1183640"/>
        </a:xfrm>
        <a:prstGeom prst="rect">
          <a:avLst/>
        </a:prstGeom>
      </xdr:spPr>
    </xdr:pic>
    <xdr:clientData/>
  </xdr:twoCellAnchor>
  <xdr:twoCellAnchor>
    <xdr:from>
      <xdr:col>8</xdr:col>
      <xdr:colOff>6350</xdr:colOff>
      <xdr:row>310</xdr:row>
      <xdr:rowOff>25400</xdr:rowOff>
    </xdr:from>
    <xdr:to>
      <xdr:col>8</xdr:col>
      <xdr:colOff>885190</xdr:colOff>
      <xdr:row>310</xdr:row>
      <xdr:rowOff>1209040</xdr:rowOff>
    </xdr:to>
    <xdr:pic>
      <xdr:nvPicPr>
        <xdr:cNvPr id="4401" name="Изображение 4400" descr="resizeПП-00280514"/>
        <xdr:cNvPicPr>
          <a:picLocks noChangeAspect="1"/>
        </xdr:cNvPicPr>
      </xdr:nvPicPr>
      <xdr:blipFill>
        <a:blip xmlns:r="http://schemas.openxmlformats.org/officeDocument/2006/relationships" r:embed="rId196"/>
        <a:stretch>
          <a:fillRect/>
        </a:stretch>
      </xdr:blipFill>
      <xdr:spPr>
        <a:xfrm>
          <a:off x="7264400" y="256917825"/>
          <a:ext cx="878840" cy="1183640"/>
        </a:xfrm>
        <a:prstGeom prst="rect">
          <a:avLst/>
        </a:prstGeom>
      </xdr:spPr>
    </xdr:pic>
    <xdr:clientData/>
  </xdr:twoCellAnchor>
  <xdr:twoCellAnchor>
    <xdr:from>
      <xdr:col>8</xdr:col>
      <xdr:colOff>6350</xdr:colOff>
      <xdr:row>311</xdr:row>
      <xdr:rowOff>25400</xdr:rowOff>
    </xdr:from>
    <xdr:to>
      <xdr:col>8</xdr:col>
      <xdr:colOff>885190</xdr:colOff>
      <xdr:row>311</xdr:row>
      <xdr:rowOff>1209040</xdr:rowOff>
    </xdr:to>
    <xdr:pic>
      <xdr:nvPicPr>
        <xdr:cNvPr id="4402" name="Изображение 4401" descr="resizeПП-00280511"/>
        <xdr:cNvPicPr>
          <a:picLocks noChangeAspect="1"/>
        </xdr:cNvPicPr>
      </xdr:nvPicPr>
      <xdr:blipFill>
        <a:blip xmlns:r="http://schemas.openxmlformats.org/officeDocument/2006/relationships" r:embed="rId197"/>
        <a:stretch>
          <a:fillRect/>
        </a:stretch>
      </xdr:blipFill>
      <xdr:spPr>
        <a:xfrm>
          <a:off x="7264400" y="258140200"/>
          <a:ext cx="878840" cy="1183640"/>
        </a:xfrm>
        <a:prstGeom prst="rect">
          <a:avLst/>
        </a:prstGeom>
      </xdr:spPr>
    </xdr:pic>
    <xdr:clientData/>
  </xdr:twoCellAnchor>
  <xdr:twoCellAnchor>
    <xdr:from>
      <xdr:col>8</xdr:col>
      <xdr:colOff>6350</xdr:colOff>
      <xdr:row>312</xdr:row>
      <xdr:rowOff>25400</xdr:rowOff>
    </xdr:from>
    <xdr:to>
      <xdr:col>8</xdr:col>
      <xdr:colOff>885190</xdr:colOff>
      <xdr:row>312</xdr:row>
      <xdr:rowOff>1209040</xdr:rowOff>
    </xdr:to>
    <xdr:pic>
      <xdr:nvPicPr>
        <xdr:cNvPr id="4403" name="Изображение 4402" descr="resizeПП-00280516"/>
        <xdr:cNvPicPr>
          <a:picLocks noChangeAspect="1"/>
        </xdr:cNvPicPr>
      </xdr:nvPicPr>
      <xdr:blipFill>
        <a:blip xmlns:r="http://schemas.openxmlformats.org/officeDocument/2006/relationships" r:embed="rId198"/>
        <a:stretch>
          <a:fillRect/>
        </a:stretch>
      </xdr:blipFill>
      <xdr:spPr>
        <a:xfrm>
          <a:off x="7264400" y="259362575"/>
          <a:ext cx="878840" cy="1183640"/>
        </a:xfrm>
        <a:prstGeom prst="rect">
          <a:avLst/>
        </a:prstGeom>
      </xdr:spPr>
    </xdr:pic>
    <xdr:clientData/>
  </xdr:twoCellAnchor>
  <xdr:twoCellAnchor>
    <xdr:from>
      <xdr:col>8</xdr:col>
      <xdr:colOff>6350</xdr:colOff>
      <xdr:row>314</xdr:row>
      <xdr:rowOff>25400</xdr:rowOff>
    </xdr:from>
    <xdr:to>
      <xdr:col>8</xdr:col>
      <xdr:colOff>885190</xdr:colOff>
      <xdr:row>314</xdr:row>
      <xdr:rowOff>1209040</xdr:rowOff>
    </xdr:to>
    <xdr:pic>
      <xdr:nvPicPr>
        <xdr:cNvPr id="4404" name="Изображение 4403" descr="resizeПП-00279333"/>
        <xdr:cNvPicPr>
          <a:picLocks noChangeAspect="1"/>
        </xdr:cNvPicPr>
      </xdr:nvPicPr>
      <xdr:blipFill>
        <a:blip xmlns:r="http://schemas.openxmlformats.org/officeDocument/2006/relationships" r:embed="rId199"/>
        <a:stretch>
          <a:fillRect/>
        </a:stretch>
      </xdr:blipFill>
      <xdr:spPr>
        <a:xfrm>
          <a:off x="7264400" y="260737350"/>
          <a:ext cx="878840" cy="1183640"/>
        </a:xfrm>
        <a:prstGeom prst="rect">
          <a:avLst/>
        </a:prstGeom>
      </xdr:spPr>
    </xdr:pic>
    <xdr:clientData/>
  </xdr:twoCellAnchor>
  <xdr:twoCellAnchor>
    <xdr:from>
      <xdr:col>8</xdr:col>
      <xdr:colOff>6350</xdr:colOff>
      <xdr:row>317</xdr:row>
      <xdr:rowOff>25400</xdr:rowOff>
    </xdr:from>
    <xdr:to>
      <xdr:col>8</xdr:col>
      <xdr:colOff>885190</xdr:colOff>
      <xdr:row>317</xdr:row>
      <xdr:rowOff>1209040</xdr:rowOff>
    </xdr:to>
    <xdr:pic>
      <xdr:nvPicPr>
        <xdr:cNvPr id="4405" name="Изображение 4404" descr="resizeПП-00280213"/>
        <xdr:cNvPicPr>
          <a:picLocks noChangeAspect="1"/>
        </xdr:cNvPicPr>
      </xdr:nvPicPr>
      <xdr:blipFill>
        <a:blip xmlns:r="http://schemas.openxmlformats.org/officeDocument/2006/relationships" r:embed="rId200"/>
        <a:stretch>
          <a:fillRect/>
        </a:stretch>
      </xdr:blipFill>
      <xdr:spPr>
        <a:xfrm>
          <a:off x="7264400" y="262264525"/>
          <a:ext cx="878840" cy="1183640"/>
        </a:xfrm>
        <a:prstGeom prst="rect">
          <a:avLst/>
        </a:prstGeom>
      </xdr:spPr>
    </xdr:pic>
    <xdr:clientData/>
  </xdr:twoCellAnchor>
  <xdr:twoCellAnchor>
    <xdr:from>
      <xdr:col>8</xdr:col>
      <xdr:colOff>6350</xdr:colOff>
      <xdr:row>320</xdr:row>
      <xdr:rowOff>25400</xdr:rowOff>
    </xdr:from>
    <xdr:to>
      <xdr:col>8</xdr:col>
      <xdr:colOff>885190</xdr:colOff>
      <xdr:row>320</xdr:row>
      <xdr:rowOff>1209040</xdr:rowOff>
    </xdr:to>
    <xdr:pic>
      <xdr:nvPicPr>
        <xdr:cNvPr id="4406" name="Изображение 4405" descr="resizeПП-00280743"/>
        <xdr:cNvPicPr>
          <a:picLocks noChangeAspect="1"/>
        </xdr:cNvPicPr>
      </xdr:nvPicPr>
      <xdr:blipFill>
        <a:blip xmlns:r="http://schemas.openxmlformats.org/officeDocument/2006/relationships" r:embed="rId201"/>
        <a:stretch>
          <a:fillRect/>
        </a:stretch>
      </xdr:blipFill>
      <xdr:spPr>
        <a:xfrm>
          <a:off x="7264400" y="263791700"/>
          <a:ext cx="878840" cy="1183640"/>
        </a:xfrm>
        <a:prstGeom prst="rect">
          <a:avLst/>
        </a:prstGeom>
      </xdr:spPr>
    </xdr:pic>
    <xdr:clientData/>
  </xdr:twoCellAnchor>
  <xdr:twoCellAnchor>
    <xdr:from>
      <xdr:col>8</xdr:col>
      <xdr:colOff>6350</xdr:colOff>
      <xdr:row>321</xdr:row>
      <xdr:rowOff>25400</xdr:rowOff>
    </xdr:from>
    <xdr:to>
      <xdr:col>8</xdr:col>
      <xdr:colOff>885190</xdr:colOff>
      <xdr:row>321</xdr:row>
      <xdr:rowOff>1209040</xdr:rowOff>
    </xdr:to>
    <xdr:pic>
      <xdr:nvPicPr>
        <xdr:cNvPr id="4407" name="Изображение 4406" descr="resizeПП-00280759"/>
        <xdr:cNvPicPr>
          <a:picLocks noChangeAspect="1"/>
        </xdr:cNvPicPr>
      </xdr:nvPicPr>
      <xdr:blipFill>
        <a:blip xmlns:r="http://schemas.openxmlformats.org/officeDocument/2006/relationships" r:embed="rId202"/>
        <a:stretch>
          <a:fillRect/>
        </a:stretch>
      </xdr:blipFill>
      <xdr:spPr>
        <a:xfrm>
          <a:off x="7264400" y="265014075"/>
          <a:ext cx="878840" cy="1183640"/>
        </a:xfrm>
        <a:prstGeom prst="rect">
          <a:avLst/>
        </a:prstGeom>
      </xdr:spPr>
    </xdr:pic>
    <xdr:clientData/>
  </xdr:twoCellAnchor>
  <xdr:twoCellAnchor>
    <xdr:from>
      <xdr:col>8</xdr:col>
      <xdr:colOff>6350</xdr:colOff>
      <xdr:row>322</xdr:row>
      <xdr:rowOff>25400</xdr:rowOff>
    </xdr:from>
    <xdr:to>
      <xdr:col>8</xdr:col>
      <xdr:colOff>885190</xdr:colOff>
      <xdr:row>322</xdr:row>
      <xdr:rowOff>1209040</xdr:rowOff>
    </xdr:to>
    <xdr:pic>
      <xdr:nvPicPr>
        <xdr:cNvPr id="4408" name="Изображение 4407" descr="resizeПП-00280749"/>
        <xdr:cNvPicPr>
          <a:picLocks noChangeAspect="1"/>
        </xdr:cNvPicPr>
      </xdr:nvPicPr>
      <xdr:blipFill>
        <a:blip xmlns:r="http://schemas.openxmlformats.org/officeDocument/2006/relationships" r:embed="rId203"/>
        <a:stretch>
          <a:fillRect/>
        </a:stretch>
      </xdr:blipFill>
      <xdr:spPr>
        <a:xfrm>
          <a:off x="7264400" y="266236450"/>
          <a:ext cx="878840" cy="1183640"/>
        </a:xfrm>
        <a:prstGeom prst="rect">
          <a:avLst/>
        </a:prstGeom>
      </xdr:spPr>
    </xdr:pic>
    <xdr:clientData/>
  </xdr:twoCellAnchor>
  <xdr:twoCellAnchor>
    <xdr:from>
      <xdr:col>8</xdr:col>
      <xdr:colOff>6350</xdr:colOff>
      <xdr:row>323</xdr:row>
      <xdr:rowOff>25400</xdr:rowOff>
    </xdr:from>
    <xdr:to>
      <xdr:col>8</xdr:col>
      <xdr:colOff>885190</xdr:colOff>
      <xdr:row>323</xdr:row>
      <xdr:rowOff>1209040</xdr:rowOff>
    </xdr:to>
    <xdr:pic>
      <xdr:nvPicPr>
        <xdr:cNvPr id="4409" name="Изображение 4408" descr="resizeПП-00280747"/>
        <xdr:cNvPicPr>
          <a:picLocks noChangeAspect="1"/>
        </xdr:cNvPicPr>
      </xdr:nvPicPr>
      <xdr:blipFill>
        <a:blip xmlns:r="http://schemas.openxmlformats.org/officeDocument/2006/relationships" r:embed="rId204"/>
        <a:stretch>
          <a:fillRect/>
        </a:stretch>
      </xdr:blipFill>
      <xdr:spPr>
        <a:xfrm>
          <a:off x="7264400" y="267458825"/>
          <a:ext cx="878840" cy="1183640"/>
        </a:xfrm>
        <a:prstGeom prst="rect">
          <a:avLst/>
        </a:prstGeom>
      </xdr:spPr>
    </xdr:pic>
    <xdr:clientData/>
  </xdr:twoCellAnchor>
  <xdr:twoCellAnchor>
    <xdr:from>
      <xdr:col>8</xdr:col>
      <xdr:colOff>6350</xdr:colOff>
      <xdr:row>324</xdr:row>
      <xdr:rowOff>25400</xdr:rowOff>
    </xdr:from>
    <xdr:to>
      <xdr:col>8</xdr:col>
      <xdr:colOff>885190</xdr:colOff>
      <xdr:row>324</xdr:row>
      <xdr:rowOff>1209040</xdr:rowOff>
    </xdr:to>
    <xdr:pic>
      <xdr:nvPicPr>
        <xdr:cNvPr id="4410" name="Изображение 4409" descr="resizeПП-00280746"/>
        <xdr:cNvPicPr>
          <a:picLocks noChangeAspect="1"/>
        </xdr:cNvPicPr>
      </xdr:nvPicPr>
      <xdr:blipFill>
        <a:blip xmlns:r="http://schemas.openxmlformats.org/officeDocument/2006/relationships" r:embed="rId205"/>
        <a:stretch>
          <a:fillRect/>
        </a:stretch>
      </xdr:blipFill>
      <xdr:spPr>
        <a:xfrm>
          <a:off x="7264400" y="268681200"/>
          <a:ext cx="878840" cy="1183640"/>
        </a:xfrm>
        <a:prstGeom prst="rect">
          <a:avLst/>
        </a:prstGeom>
      </xdr:spPr>
    </xdr:pic>
    <xdr:clientData/>
  </xdr:twoCellAnchor>
  <xdr:twoCellAnchor>
    <xdr:from>
      <xdr:col>8</xdr:col>
      <xdr:colOff>6350</xdr:colOff>
      <xdr:row>325</xdr:row>
      <xdr:rowOff>25400</xdr:rowOff>
    </xdr:from>
    <xdr:to>
      <xdr:col>8</xdr:col>
      <xdr:colOff>885190</xdr:colOff>
      <xdr:row>325</xdr:row>
      <xdr:rowOff>1209040</xdr:rowOff>
    </xdr:to>
    <xdr:pic>
      <xdr:nvPicPr>
        <xdr:cNvPr id="4411" name="Изображение 4410" descr="resizeПП-00280748"/>
        <xdr:cNvPicPr>
          <a:picLocks noChangeAspect="1"/>
        </xdr:cNvPicPr>
      </xdr:nvPicPr>
      <xdr:blipFill>
        <a:blip xmlns:r="http://schemas.openxmlformats.org/officeDocument/2006/relationships" r:embed="rId206"/>
        <a:stretch>
          <a:fillRect/>
        </a:stretch>
      </xdr:blipFill>
      <xdr:spPr>
        <a:xfrm>
          <a:off x="7264400" y="269903575"/>
          <a:ext cx="878840" cy="1183640"/>
        </a:xfrm>
        <a:prstGeom prst="rect">
          <a:avLst/>
        </a:prstGeom>
      </xdr:spPr>
    </xdr:pic>
    <xdr:clientData/>
  </xdr:twoCellAnchor>
  <xdr:twoCellAnchor>
    <xdr:from>
      <xdr:col>8</xdr:col>
      <xdr:colOff>6350</xdr:colOff>
      <xdr:row>326</xdr:row>
      <xdr:rowOff>25400</xdr:rowOff>
    </xdr:from>
    <xdr:to>
      <xdr:col>8</xdr:col>
      <xdr:colOff>885190</xdr:colOff>
      <xdr:row>326</xdr:row>
      <xdr:rowOff>1209040</xdr:rowOff>
    </xdr:to>
    <xdr:pic>
      <xdr:nvPicPr>
        <xdr:cNvPr id="4412" name="Изображение 4411" descr="resizeПП-00280745"/>
        <xdr:cNvPicPr>
          <a:picLocks noChangeAspect="1"/>
        </xdr:cNvPicPr>
      </xdr:nvPicPr>
      <xdr:blipFill>
        <a:blip xmlns:r="http://schemas.openxmlformats.org/officeDocument/2006/relationships" r:embed="rId207"/>
        <a:stretch>
          <a:fillRect/>
        </a:stretch>
      </xdr:blipFill>
      <xdr:spPr>
        <a:xfrm>
          <a:off x="7264400" y="271125950"/>
          <a:ext cx="878840" cy="1183640"/>
        </a:xfrm>
        <a:prstGeom prst="rect">
          <a:avLst/>
        </a:prstGeom>
      </xdr:spPr>
    </xdr:pic>
    <xdr:clientData/>
  </xdr:twoCellAnchor>
  <xdr:twoCellAnchor>
    <xdr:from>
      <xdr:col>8</xdr:col>
      <xdr:colOff>6350</xdr:colOff>
      <xdr:row>327</xdr:row>
      <xdr:rowOff>25400</xdr:rowOff>
    </xdr:from>
    <xdr:to>
      <xdr:col>8</xdr:col>
      <xdr:colOff>885190</xdr:colOff>
      <xdr:row>327</xdr:row>
      <xdr:rowOff>1209040</xdr:rowOff>
    </xdr:to>
    <xdr:pic>
      <xdr:nvPicPr>
        <xdr:cNvPr id="4413" name="Изображение 4412" descr="resizeПП-00280751"/>
        <xdr:cNvPicPr>
          <a:picLocks noChangeAspect="1"/>
        </xdr:cNvPicPr>
      </xdr:nvPicPr>
      <xdr:blipFill>
        <a:blip xmlns:r="http://schemas.openxmlformats.org/officeDocument/2006/relationships" r:embed="rId208"/>
        <a:stretch>
          <a:fillRect/>
        </a:stretch>
      </xdr:blipFill>
      <xdr:spPr>
        <a:xfrm>
          <a:off x="7264400" y="272348325"/>
          <a:ext cx="878840" cy="1183640"/>
        </a:xfrm>
        <a:prstGeom prst="rect">
          <a:avLst/>
        </a:prstGeom>
      </xdr:spPr>
    </xdr:pic>
    <xdr:clientData/>
  </xdr:twoCellAnchor>
  <xdr:twoCellAnchor>
    <xdr:from>
      <xdr:col>8</xdr:col>
      <xdr:colOff>6350</xdr:colOff>
      <xdr:row>329</xdr:row>
      <xdr:rowOff>25400</xdr:rowOff>
    </xdr:from>
    <xdr:to>
      <xdr:col>8</xdr:col>
      <xdr:colOff>885190</xdr:colOff>
      <xdr:row>329</xdr:row>
      <xdr:rowOff>1209040</xdr:rowOff>
    </xdr:to>
    <xdr:pic>
      <xdr:nvPicPr>
        <xdr:cNvPr id="4414" name="Изображение 4413" descr="resizeПП-00279637"/>
        <xdr:cNvPicPr>
          <a:picLocks noChangeAspect="1"/>
        </xdr:cNvPicPr>
      </xdr:nvPicPr>
      <xdr:blipFill>
        <a:blip xmlns:r="http://schemas.openxmlformats.org/officeDocument/2006/relationships" r:embed="rId209"/>
        <a:stretch>
          <a:fillRect/>
        </a:stretch>
      </xdr:blipFill>
      <xdr:spPr>
        <a:xfrm>
          <a:off x="7264400" y="273723100"/>
          <a:ext cx="878840" cy="1183640"/>
        </a:xfrm>
        <a:prstGeom prst="rect">
          <a:avLst/>
        </a:prstGeom>
      </xdr:spPr>
    </xdr:pic>
    <xdr:clientData/>
  </xdr:twoCellAnchor>
  <xdr:twoCellAnchor>
    <xdr:from>
      <xdr:col>8</xdr:col>
      <xdr:colOff>6350</xdr:colOff>
      <xdr:row>333</xdr:row>
      <xdr:rowOff>25400</xdr:rowOff>
    </xdr:from>
    <xdr:to>
      <xdr:col>8</xdr:col>
      <xdr:colOff>885190</xdr:colOff>
      <xdr:row>333</xdr:row>
      <xdr:rowOff>1209040</xdr:rowOff>
    </xdr:to>
    <xdr:pic>
      <xdr:nvPicPr>
        <xdr:cNvPr id="4415" name="Изображение 4414" descr="resizeПП-00278211"/>
        <xdr:cNvPicPr>
          <a:picLocks noChangeAspect="1"/>
        </xdr:cNvPicPr>
      </xdr:nvPicPr>
      <xdr:blipFill>
        <a:blip xmlns:r="http://schemas.openxmlformats.org/officeDocument/2006/relationships" r:embed="rId210"/>
        <a:stretch>
          <a:fillRect/>
        </a:stretch>
      </xdr:blipFill>
      <xdr:spPr>
        <a:xfrm>
          <a:off x="7264400" y="275402675"/>
          <a:ext cx="878840" cy="1183640"/>
        </a:xfrm>
        <a:prstGeom prst="rect">
          <a:avLst/>
        </a:prstGeom>
      </xdr:spPr>
    </xdr:pic>
    <xdr:clientData/>
  </xdr:twoCellAnchor>
  <xdr:twoCellAnchor>
    <xdr:from>
      <xdr:col>8</xdr:col>
      <xdr:colOff>6350</xdr:colOff>
      <xdr:row>334</xdr:row>
      <xdr:rowOff>25400</xdr:rowOff>
    </xdr:from>
    <xdr:to>
      <xdr:col>8</xdr:col>
      <xdr:colOff>885190</xdr:colOff>
      <xdr:row>334</xdr:row>
      <xdr:rowOff>1209040</xdr:rowOff>
    </xdr:to>
    <xdr:pic>
      <xdr:nvPicPr>
        <xdr:cNvPr id="4416" name="Изображение 4415" descr="resizeПП-00278213"/>
        <xdr:cNvPicPr>
          <a:picLocks noChangeAspect="1"/>
        </xdr:cNvPicPr>
      </xdr:nvPicPr>
      <xdr:blipFill>
        <a:blip xmlns:r="http://schemas.openxmlformats.org/officeDocument/2006/relationships" r:embed="rId211"/>
        <a:stretch>
          <a:fillRect/>
        </a:stretch>
      </xdr:blipFill>
      <xdr:spPr>
        <a:xfrm>
          <a:off x="7264400" y="276625050"/>
          <a:ext cx="878840" cy="1183640"/>
        </a:xfrm>
        <a:prstGeom prst="rect">
          <a:avLst/>
        </a:prstGeom>
      </xdr:spPr>
    </xdr:pic>
    <xdr:clientData/>
  </xdr:twoCellAnchor>
  <xdr:twoCellAnchor>
    <xdr:from>
      <xdr:col>8</xdr:col>
      <xdr:colOff>6350</xdr:colOff>
      <xdr:row>335</xdr:row>
      <xdr:rowOff>25400</xdr:rowOff>
    </xdr:from>
    <xdr:to>
      <xdr:col>8</xdr:col>
      <xdr:colOff>885190</xdr:colOff>
      <xdr:row>335</xdr:row>
      <xdr:rowOff>1209040</xdr:rowOff>
    </xdr:to>
    <xdr:pic>
      <xdr:nvPicPr>
        <xdr:cNvPr id="4417" name="Изображение 4416" descr="resizeПП-00278209"/>
        <xdr:cNvPicPr>
          <a:picLocks noChangeAspect="1"/>
        </xdr:cNvPicPr>
      </xdr:nvPicPr>
      <xdr:blipFill>
        <a:blip xmlns:r="http://schemas.openxmlformats.org/officeDocument/2006/relationships" r:embed="rId212"/>
        <a:stretch>
          <a:fillRect/>
        </a:stretch>
      </xdr:blipFill>
      <xdr:spPr>
        <a:xfrm>
          <a:off x="7264400" y="277847425"/>
          <a:ext cx="878840" cy="1183640"/>
        </a:xfrm>
        <a:prstGeom prst="rect">
          <a:avLst/>
        </a:prstGeom>
      </xdr:spPr>
    </xdr:pic>
    <xdr:clientData/>
  </xdr:twoCellAnchor>
  <xdr:twoCellAnchor>
    <xdr:from>
      <xdr:col>8</xdr:col>
      <xdr:colOff>6350</xdr:colOff>
      <xdr:row>336</xdr:row>
      <xdr:rowOff>25400</xdr:rowOff>
    </xdr:from>
    <xdr:to>
      <xdr:col>8</xdr:col>
      <xdr:colOff>885190</xdr:colOff>
      <xdr:row>336</xdr:row>
      <xdr:rowOff>1209040</xdr:rowOff>
    </xdr:to>
    <xdr:pic>
      <xdr:nvPicPr>
        <xdr:cNvPr id="4418" name="Изображение 4417" descr="resizeПП-00278210"/>
        <xdr:cNvPicPr>
          <a:picLocks noChangeAspect="1"/>
        </xdr:cNvPicPr>
      </xdr:nvPicPr>
      <xdr:blipFill>
        <a:blip xmlns:r="http://schemas.openxmlformats.org/officeDocument/2006/relationships" r:embed="rId213"/>
        <a:stretch>
          <a:fillRect/>
        </a:stretch>
      </xdr:blipFill>
      <xdr:spPr>
        <a:xfrm>
          <a:off x="7264400" y="279069800"/>
          <a:ext cx="878840" cy="1183640"/>
        </a:xfrm>
        <a:prstGeom prst="rect">
          <a:avLst/>
        </a:prstGeom>
      </xdr:spPr>
    </xdr:pic>
    <xdr:clientData/>
  </xdr:twoCellAnchor>
  <xdr:twoCellAnchor>
    <xdr:from>
      <xdr:col>8</xdr:col>
      <xdr:colOff>6350</xdr:colOff>
      <xdr:row>337</xdr:row>
      <xdr:rowOff>25400</xdr:rowOff>
    </xdr:from>
    <xdr:to>
      <xdr:col>8</xdr:col>
      <xdr:colOff>885190</xdr:colOff>
      <xdr:row>337</xdr:row>
      <xdr:rowOff>1209040</xdr:rowOff>
    </xdr:to>
    <xdr:pic>
      <xdr:nvPicPr>
        <xdr:cNvPr id="4419" name="Изображение 4418" descr="resizeПП-00278208"/>
        <xdr:cNvPicPr>
          <a:picLocks noChangeAspect="1"/>
        </xdr:cNvPicPr>
      </xdr:nvPicPr>
      <xdr:blipFill>
        <a:blip xmlns:r="http://schemas.openxmlformats.org/officeDocument/2006/relationships" r:embed="rId214"/>
        <a:stretch>
          <a:fillRect/>
        </a:stretch>
      </xdr:blipFill>
      <xdr:spPr>
        <a:xfrm>
          <a:off x="7264400" y="280292175"/>
          <a:ext cx="878840" cy="1183640"/>
        </a:xfrm>
        <a:prstGeom prst="rect">
          <a:avLst/>
        </a:prstGeom>
      </xdr:spPr>
    </xdr:pic>
    <xdr:clientData/>
  </xdr:twoCellAnchor>
  <xdr:twoCellAnchor>
    <xdr:from>
      <xdr:col>8</xdr:col>
      <xdr:colOff>6350</xdr:colOff>
      <xdr:row>338</xdr:row>
      <xdr:rowOff>25400</xdr:rowOff>
    </xdr:from>
    <xdr:to>
      <xdr:col>8</xdr:col>
      <xdr:colOff>885190</xdr:colOff>
      <xdr:row>338</xdr:row>
      <xdr:rowOff>1209040</xdr:rowOff>
    </xdr:to>
    <xdr:pic>
      <xdr:nvPicPr>
        <xdr:cNvPr id="4420" name="Изображение 4419" descr="resizeПП-00278212"/>
        <xdr:cNvPicPr>
          <a:picLocks noChangeAspect="1"/>
        </xdr:cNvPicPr>
      </xdr:nvPicPr>
      <xdr:blipFill>
        <a:blip xmlns:r="http://schemas.openxmlformats.org/officeDocument/2006/relationships" r:embed="rId215"/>
        <a:stretch>
          <a:fillRect/>
        </a:stretch>
      </xdr:blipFill>
      <xdr:spPr>
        <a:xfrm>
          <a:off x="7264400" y="281514550"/>
          <a:ext cx="878840" cy="1183640"/>
        </a:xfrm>
        <a:prstGeom prst="rect">
          <a:avLst/>
        </a:prstGeom>
      </xdr:spPr>
    </xdr:pic>
    <xdr:clientData/>
  </xdr:twoCellAnchor>
  <xdr:twoCellAnchor>
    <xdr:from>
      <xdr:col>8</xdr:col>
      <xdr:colOff>6350</xdr:colOff>
      <xdr:row>339</xdr:row>
      <xdr:rowOff>25400</xdr:rowOff>
    </xdr:from>
    <xdr:to>
      <xdr:col>8</xdr:col>
      <xdr:colOff>885190</xdr:colOff>
      <xdr:row>339</xdr:row>
      <xdr:rowOff>1209040</xdr:rowOff>
    </xdr:to>
    <xdr:pic>
      <xdr:nvPicPr>
        <xdr:cNvPr id="4421" name="Изображение 4420" descr="resizeПП-00278214"/>
        <xdr:cNvPicPr>
          <a:picLocks noChangeAspect="1"/>
        </xdr:cNvPicPr>
      </xdr:nvPicPr>
      <xdr:blipFill>
        <a:blip xmlns:r="http://schemas.openxmlformats.org/officeDocument/2006/relationships" r:embed="rId216"/>
        <a:stretch>
          <a:fillRect/>
        </a:stretch>
      </xdr:blipFill>
      <xdr:spPr>
        <a:xfrm>
          <a:off x="7264400" y="282736925"/>
          <a:ext cx="878840" cy="1183640"/>
        </a:xfrm>
        <a:prstGeom prst="rect">
          <a:avLst/>
        </a:prstGeom>
      </xdr:spPr>
    </xdr:pic>
    <xdr:clientData/>
  </xdr:twoCellAnchor>
  <xdr:twoCellAnchor>
    <xdr:from>
      <xdr:col>8</xdr:col>
      <xdr:colOff>6350</xdr:colOff>
      <xdr:row>340</xdr:row>
      <xdr:rowOff>25400</xdr:rowOff>
    </xdr:from>
    <xdr:to>
      <xdr:col>8</xdr:col>
      <xdr:colOff>885190</xdr:colOff>
      <xdr:row>340</xdr:row>
      <xdr:rowOff>1209040</xdr:rowOff>
    </xdr:to>
    <xdr:pic>
      <xdr:nvPicPr>
        <xdr:cNvPr id="4422" name="Изображение 4421" descr="resizeПП-00278206"/>
        <xdr:cNvPicPr>
          <a:picLocks noChangeAspect="1"/>
        </xdr:cNvPicPr>
      </xdr:nvPicPr>
      <xdr:blipFill>
        <a:blip xmlns:r="http://schemas.openxmlformats.org/officeDocument/2006/relationships" r:embed="rId217"/>
        <a:stretch>
          <a:fillRect/>
        </a:stretch>
      </xdr:blipFill>
      <xdr:spPr>
        <a:xfrm>
          <a:off x="7264400" y="283959300"/>
          <a:ext cx="878840" cy="1183640"/>
        </a:xfrm>
        <a:prstGeom prst="rect">
          <a:avLst/>
        </a:prstGeom>
      </xdr:spPr>
    </xdr:pic>
    <xdr:clientData/>
  </xdr:twoCellAnchor>
  <xdr:twoCellAnchor>
    <xdr:from>
      <xdr:col>8</xdr:col>
      <xdr:colOff>6350</xdr:colOff>
      <xdr:row>343</xdr:row>
      <xdr:rowOff>25400</xdr:rowOff>
    </xdr:from>
    <xdr:to>
      <xdr:col>8</xdr:col>
      <xdr:colOff>885190</xdr:colOff>
      <xdr:row>343</xdr:row>
      <xdr:rowOff>1209040</xdr:rowOff>
    </xdr:to>
    <xdr:pic>
      <xdr:nvPicPr>
        <xdr:cNvPr id="4423" name="Изображение 4422" descr="resizeПП-00267495"/>
        <xdr:cNvPicPr>
          <a:picLocks noChangeAspect="1"/>
        </xdr:cNvPicPr>
      </xdr:nvPicPr>
      <xdr:blipFill>
        <a:blip xmlns:r="http://schemas.openxmlformats.org/officeDocument/2006/relationships" r:embed="rId218"/>
        <a:stretch>
          <a:fillRect/>
        </a:stretch>
      </xdr:blipFill>
      <xdr:spPr>
        <a:xfrm>
          <a:off x="7264400" y="285486475"/>
          <a:ext cx="878840" cy="1183640"/>
        </a:xfrm>
        <a:prstGeom prst="rect">
          <a:avLst/>
        </a:prstGeom>
      </xdr:spPr>
    </xdr:pic>
    <xdr:clientData/>
  </xdr:twoCellAnchor>
  <xdr:twoCellAnchor>
    <xdr:from>
      <xdr:col>8</xdr:col>
      <xdr:colOff>6350</xdr:colOff>
      <xdr:row>344</xdr:row>
      <xdr:rowOff>25400</xdr:rowOff>
    </xdr:from>
    <xdr:to>
      <xdr:col>8</xdr:col>
      <xdr:colOff>885190</xdr:colOff>
      <xdr:row>344</xdr:row>
      <xdr:rowOff>1209040</xdr:rowOff>
    </xdr:to>
    <xdr:pic>
      <xdr:nvPicPr>
        <xdr:cNvPr id="4424" name="Изображение 4423" descr="resizeПП-00267494"/>
        <xdr:cNvPicPr>
          <a:picLocks noChangeAspect="1"/>
        </xdr:cNvPicPr>
      </xdr:nvPicPr>
      <xdr:blipFill>
        <a:blip xmlns:r="http://schemas.openxmlformats.org/officeDocument/2006/relationships" r:embed="rId219"/>
        <a:stretch>
          <a:fillRect/>
        </a:stretch>
      </xdr:blipFill>
      <xdr:spPr>
        <a:xfrm>
          <a:off x="7264400" y="286708850"/>
          <a:ext cx="878840" cy="1183640"/>
        </a:xfrm>
        <a:prstGeom prst="rect">
          <a:avLst/>
        </a:prstGeom>
      </xdr:spPr>
    </xdr:pic>
    <xdr:clientData/>
  </xdr:twoCellAnchor>
  <xdr:twoCellAnchor>
    <xdr:from>
      <xdr:col>8</xdr:col>
      <xdr:colOff>6350</xdr:colOff>
      <xdr:row>346</xdr:row>
      <xdr:rowOff>25400</xdr:rowOff>
    </xdr:from>
    <xdr:to>
      <xdr:col>8</xdr:col>
      <xdr:colOff>885190</xdr:colOff>
      <xdr:row>346</xdr:row>
      <xdr:rowOff>1209040</xdr:rowOff>
    </xdr:to>
    <xdr:pic>
      <xdr:nvPicPr>
        <xdr:cNvPr id="4425" name="Изображение 4424" descr="resizeПП-00272644"/>
        <xdr:cNvPicPr>
          <a:picLocks noChangeAspect="1"/>
        </xdr:cNvPicPr>
      </xdr:nvPicPr>
      <xdr:blipFill>
        <a:blip xmlns:r="http://schemas.openxmlformats.org/officeDocument/2006/relationships" r:embed="rId220"/>
        <a:stretch>
          <a:fillRect/>
        </a:stretch>
      </xdr:blipFill>
      <xdr:spPr>
        <a:xfrm>
          <a:off x="7264400" y="288083625"/>
          <a:ext cx="878840" cy="1183640"/>
        </a:xfrm>
        <a:prstGeom prst="rect">
          <a:avLst/>
        </a:prstGeom>
      </xdr:spPr>
    </xdr:pic>
    <xdr:clientData/>
  </xdr:twoCellAnchor>
  <xdr:twoCellAnchor>
    <xdr:from>
      <xdr:col>8</xdr:col>
      <xdr:colOff>6350</xdr:colOff>
      <xdr:row>349</xdr:row>
      <xdr:rowOff>25400</xdr:rowOff>
    </xdr:from>
    <xdr:to>
      <xdr:col>8</xdr:col>
      <xdr:colOff>885190</xdr:colOff>
      <xdr:row>349</xdr:row>
      <xdr:rowOff>1209040</xdr:rowOff>
    </xdr:to>
    <xdr:pic>
      <xdr:nvPicPr>
        <xdr:cNvPr id="4426" name="Изображение 4425" descr="resizeПП-00266041"/>
        <xdr:cNvPicPr>
          <a:picLocks noChangeAspect="1"/>
        </xdr:cNvPicPr>
      </xdr:nvPicPr>
      <xdr:blipFill>
        <a:blip xmlns:r="http://schemas.openxmlformats.org/officeDocument/2006/relationships" r:embed="rId221"/>
        <a:stretch>
          <a:fillRect/>
        </a:stretch>
      </xdr:blipFill>
      <xdr:spPr>
        <a:xfrm>
          <a:off x="7264400" y="289610800"/>
          <a:ext cx="878840" cy="1183640"/>
        </a:xfrm>
        <a:prstGeom prst="rect">
          <a:avLst/>
        </a:prstGeom>
      </xdr:spPr>
    </xdr:pic>
    <xdr:clientData/>
  </xdr:twoCellAnchor>
  <xdr:twoCellAnchor>
    <xdr:from>
      <xdr:col>8</xdr:col>
      <xdr:colOff>6350</xdr:colOff>
      <xdr:row>352</xdr:row>
      <xdr:rowOff>25400</xdr:rowOff>
    </xdr:from>
    <xdr:to>
      <xdr:col>8</xdr:col>
      <xdr:colOff>885190</xdr:colOff>
      <xdr:row>352</xdr:row>
      <xdr:rowOff>1209040</xdr:rowOff>
    </xdr:to>
    <xdr:pic>
      <xdr:nvPicPr>
        <xdr:cNvPr id="4427" name="Изображение 4426" descr="resizeПП-00275628"/>
        <xdr:cNvPicPr>
          <a:picLocks noChangeAspect="1"/>
        </xdr:cNvPicPr>
      </xdr:nvPicPr>
      <xdr:blipFill>
        <a:blip xmlns:r="http://schemas.openxmlformats.org/officeDocument/2006/relationships" r:embed="rId222"/>
        <a:stretch>
          <a:fillRect/>
        </a:stretch>
      </xdr:blipFill>
      <xdr:spPr>
        <a:xfrm>
          <a:off x="7264400" y="291137975"/>
          <a:ext cx="878840" cy="1183640"/>
        </a:xfrm>
        <a:prstGeom prst="rect">
          <a:avLst/>
        </a:prstGeom>
      </xdr:spPr>
    </xdr:pic>
    <xdr:clientData/>
  </xdr:twoCellAnchor>
  <xdr:twoCellAnchor>
    <xdr:from>
      <xdr:col>8</xdr:col>
      <xdr:colOff>6350</xdr:colOff>
      <xdr:row>353</xdr:row>
      <xdr:rowOff>25400</xdr:rowOff>
    </xdr:from>
    <xdr:to>
      <xdr:col>8</xdr:col>
      <xdr:colOff>885190</xdr:colOff>
      <xdr:row>353</xdr:row>
      <xdr:rowOff>1209040</xdr:rowOff>
    </xdr:to>
    <xdr:pic>
      <xdr:nvPicPr>
        <xdr:cNvPr id="4428" name="Изображение 4427" descr="resizeПП-00275627"/>
        <xdr:cNvPicPr>
          <a:picLocks noChangeAspect="1"/>
        </xdr:cNvPicPr>
      </xdr:nvPicPr>
      <xdr:blipFill>
        <a:blip xmlns:r="http://schemas.openxmlformats.org/officeDocument/2006/relationships" r:embed="rId223"/>
        <a:stretch>
          <a:fillRect/>
        </a:stretch>
      </xdr:blipFill>
      <xdr:spPr>
        <a:xfrm>
          <a:off x="7264400" y="292360350"/>
          <a:ext cx="878840" cy="1183640"/>
        </a:xfrm>
        <a:prstGeom prst="rect">
          <a:avLst/>
        </a:prstGeom>
      </xdr:spPr>
    </xdr:pic>
    <xdr:clientData/>
  </xdr:twoCellAnchor>
  <xdr:twoCellAnchor>
    <xdr:from>
      <xdr:col>8</xdr:col>
      <xdr:colOff>6350</xdr:colOff>
      <xdr:row>354</xdr:row>
      <xdr:rowOff>25400</xdr:rowOff>
    </xdr:from>
    <xdr:to>
      <xdr:col>8</xdr:col>
      <xdr:colOff>885190</xdr:colOff>
      <xdr:row>354</xdr:row>
      <xdr:rowOff>1209040</xdr:rowOff>
    </xdr:to>
    <xdr:pic>
      <xdr:nvPicPr>
        <xdr:cNvPr id="4429" name="Изображение 4428" descr="resizeПП-00275762"/>
        <xdr:cNvPicPr>
          <a:picLocks noChangeAspect="1"/>
        </xdr:cNvPicPr>
      </xdr:nvPicPr>
      <xdr:blipFill>
        <a:blip xmlns:r="http://schemas.openxmlformats.org/officeDocument/2006/relationships" r:embed="rId224"/>
        <a:stretch>
          <a:fillRect/>
        </a:stretch>
      </xdr:blipFill>
      <xdr:spPr>
        <a:xfrm>
          <a:off x="7264400" y="293582725"/>
          <a:ext cx="878840" cy="1183640"/>
        </a:xfrm>
        <a:prstGeom prst="rect">
          <a:avLst/>
        </a:prstGeom>
      </xdr:spPr>
    </xdr:pic>
    <xdr:clientData/>
  </xdr:twoCellAnchor>
  <xdr:twoCellAnchor>
    <xdr:from>
      <xdr:col>8</xdr:col>
      <xdr:colOff>6350</xdr:colOff>
      <xdr:row>355</xdr:row>
      <xdr:rowOff>25400</xdr:rowOff>
    </xdr:from>
    <xdr:to>
      <xdr:col>8</xdr:col>
      <xdr:colOff>885190</xdr:colOff>
      <xdr:row>355</xdr:row>
      <xdr:rowOff>1209040</xdr:rowOff>
    </xdr:to>
    <xdr:pic>
      <xdr:nvPicPr>
        <xdr:cNvPr id="4430" name="Изображение 4429" descr="resizeПП-00275626"/>
        <xdr:cNvPicPr>
          <a:picLocks noChangeAspect="1"/>
        </xdr:cNvPicPr>
      </xdr:nvPicPr>
      <xdr:blipFill>
        <a:blip xmlns:r="http://schemas.openxmlformats.org/officeDocument/2006/relationships" r:embed="rId225"/>
        <a:stretch>
          <a:fillRect/>
        </a:stretch>
      </xdr:blipFill>
      <xdr:spPr>
        <a:xfrm>
          <a:off x="7264400" y="294805100"/>
          <a:ext cx="878840" cy="1183640"/>
        </a:xfrm>
        <a:prstGeom prst="rect">
          <a:avLst/>
        </a:prstGeom>
      </xdr:spPr>
    </xdr:pic>
    <xdr:clientData/>
  </xdr:twoCellAnchor>
  <xdr:twoCellAnchor>
    <xdr:from>
      <xdr:col>8</xdr:col>
      <xdr:colOff>6350</xdr:colOff>
      <xdr:row>356</xdr:row>
      <xdr:rowOff>25400</xdr:rowOff>
    </xdr:from>
    <xdr:to>
      <xdr:col>8</xdr:col>
      <xdr:colOff>885190</xdr:colOff>
      <xdr:row>356</xdr:row>
      <xdr:rowOff>1209040</xdr:rowOff>
    </xdr:to>
    <xdr:pic>
      <xdr:nvPicPr>
        <xdr:cNvPr id="4431" name="Изображение 4430" descr="resizeПП-00275622"/>
        <xdr:cNvPicPr>
          <a:picLocks noChangeAspect="1"/>
        </xdr:cNvPicPr>
      </xdr:nvPicPr>
      <xdr:blipFill>
        <a:blip xmlns:r="http://schemas.openxmlformats.org/officeDocument/2006/relationships" r:embed="rId226"/>
        <a:stretch>
          <a:fillRect/>
        </a:stretch>
      </xdr:blipFill>
      <xdr:spPr>
        <a:xfrm>
          <a:off x="7264400" y="296027475"/>
          <a:ext cx="878840" cy="1183640"/>
        </a:xfrm>
        <a:prstGeom prst="rect">
          <a:avLst/>
        </a:prstGeom>
      </xdr:spPr>
    </xdr:pic>
    <xdr:clientData/>
  </xdr:twoCellAnchor>
  <xdr:twoCellAnchor>
    <xdr:from>
      <xdr:col>8</xdr:col>
      <xdr:colOff>6350</xdr:colOff>
      <xdr:row>357</xdr:row>
      <xdr:rowOff>25400</xdr:rowOff>
    </xdr:from>
    <xdr:to>
      <xdr:col>8</xdr:col>
      <xdr:colOff>885190</xdr:colOff>
      <xdr:row>357</xdr:row>
      <xdr:rowOff>1209040</xdr:rowOff>
    </xdr:to>
    <xdr:pic>
      <xdr:nvPicPr>
        <xdr:cNvPr id="4432" name="Изображение 4431" descr="resizeПП-00275620"/>
        <xdr:cNvPicPr>
          <a:picLocks noChangeAspect="1"/>
        </xdr:cNvPicPr>
      </xdr:nvPicPr>
      <xdr:blipFill>
        <a:blip xmlns:r="http://schemas.openxmlformats.org/officeDocument/2006/relationships" r:embed="rId227"/>
        <a:stretch>
          <a:fillRect/>
        </a:stretch>
      </xdr:blipFill>
      <xdr:spPr>
        <a:xfrm>
          <a:off x="7264400" y="297249850"/>
          <a:ext cx="878840" cy="1183640"/>
        </a:xfrm>
        <a:prstGeom prst="rect">
          <a:avLst/>
        </a:prstGeom>
      </xdr:spPr>
    </xdr:pic>
    <xdr:clientData/>
  </xdr:twoCellAnchor>
  <xdr:twoCellAnchor>
    <xdr:from>
      <xdr:col>8</xdr:col>
      <xdr:colOff>6350</xdr:colOff>
      <xdr:row>358</xdr:row>
      <xdr:rowOff>25400</xdr:rowOff>
    </xdr:from>
    <xdr:to>
      <xdr:col>8</xdr:col>
      <xdr:colOff>885190</xdr:colOff>
      <xdr:row>358</xdr:row>
      <xdr:rowOff>1209040</xdr:rowOff>
    </xdr:to>
    <xdr:pic>
      <xdr:nvPicPr>
        <xdr:cNvPr id="4433" name="Изображение 4432" descr="resizeПП-00275621"/>
        <xdr:cNvPicPr>
          <a:picLocks noChangeAspect="1"/>
        </xdr:cNvPicPr>
      </xdr:nvPicPr>
      <xdr:blipFill>
        <a:blip xmlns:r="http://schemas.openxmlformats.org/officeDocument/2006/relationships" r:embed="rId228"/>
        <a:stretch>
          <a:fillRect/>
        </a:stretch>
      </xdr:blipFill>
      <xdr:spPr>
        <a:xfrm>
          <a:off x="7264400" y="298472225"/>
          <a:ext cx="878840" cy="1183640"/>
        </a:xfrm>
        <a:prstGeom prst="rect">
          <a:avLst/>
        </a:prstGeom>
      </xdr:spPr>
    </xdr:pic>
    <xdr:clientData/>
  </xdr:twoCellAnchor>
  <xdr:twoCellAnchor>
    <xdr:from>
      <xdr:col>8</xdr:col>
      <xdr:colOff>6350</xdr:colOff>
      <xdr:row>359</xdr:row>
      <xdr:rowOff>25400</xdr:rowOff>
    </xdr:from>
    <xdr:to>
      <xdr:col>8</xdr:col>
      <xdr:colOff>885190</xdr:colOff>
      <xdr:row>359</xdr:row>
      <xdr:rowOff>1209040</xdr:rowOff>
    </xdr:to>
    <xdr:pic>
      <xdr:nvPicPr>
        <xdr:cNvPr id="4434" name="Изображение 4433" descr="resizeПП-00275625"/>
        <xdr:cNvPicPr>
          <a:picLocks noChangeAspect="1"/>
        </xdr:cNvPicPr>
      </xdr:nvPicPr>
      <xdr:blipFill>
        <a:blip xmlns:r="http://schemas.openxmlformats.org/officeDocument/2006/relationships" r:embed="rId229"/>
        <a:stretch>
          <a:fillRect/>
        </a:stretch>
      </xdr:blipFill>
      <xdr:spPr>
        <a:xfrm>
          <a:off x="7264400" y="299694600"/>
          <a:ext cx="878840" cy="1183640"/>
        </a:xfrm>
        <a:prstGeom prst="rect">
          <a:avLst/>
        </a:prstGeom>
      </xdr:spPr>
    </xdr:pic>
    <xdr:clientData/>
  </xdr:twoCellAnchor>
  <xdr:twoCellAnchor>
    <xdr:from>
      <xdr:col>8</xdr:col>
      <xdr:colOff>6350</xdr:colOff>
      <xdr:row>360</xdr:row>
      <xdr:rowOff>25400</xdr:rowOff>
    </xdr:from>
    <xdr:to>
      <xdr:col>8</xdr:col>
      <xdr:colOff>885190</xdr:colOff>
      <xdr:row>360</xdr:row>
      <xdr:rowOff>1209040</xdr:rowOff>
    </xdr:to>
    <xdr:pic>
      <xdr:nvPicPr>
        <xdr:cNvPr id="4435" name="Изображение 4434" descr="resizeПП-00275623"/>
        <xdr:cNvPicPr>
          <a:picLocks noChangeAspect="1"/>
        </xdr:cNvPicPr>
      </xdr:nvPicPr>
      <xdr:blipFill>
        <a:blip xmlns:r="http://schemas.openxmlformats.org/officeDocument/2006/relationships" r:embed="rId230"/>
        <a:stretch>
          <a:fillRect/>
        </a:stretch>
      </xdr:blipFill>
      <xdr:spPr>
        <a:xfrm>
          <a:off x="7264400" y="300916975"/>
          <a:ext cx="878840" cy="1183640"/>
        </a:xfrm>
        <a:prstGeom prst="rect">
          <a:avLst/>
        </a:prstGeom>
      </xdr:spPr>
    </xdr:pic>
    <xdr:clientData/>
  </xdr:twoCellAnchor>
  <xdr:twoCellAnchor>
    <xdr:from>
      <xdr:col>8</xdr:col>
      <xdr:colOff>6350</xdr:colOff>
      <xdr:row>362</xdr:row>
      <xdr:rowOff>25400</xdr:rowOff>
    </xdr:from>
    <xdr:to>
      <xdr:col>8</xdr:col>
      <xdr:colOff>885190</xdr:colOff>
      <xdr:row>362</xdr:row>
      <xdr:rowOff>1209040</xdr:rowOff>
    </xdr:to>
    <xdr:pic>
      <xdr:nvPicPr>
        <xdr:cNvPr id="4436" name="Изображение 4435" descr="resizeПП-00272418"/>
        <xdr:cNvPicPr>
          <a:picLocks noChangeAspect="1"/>
        </xdr:cNvPicPr>
      </xdr:nvPicPr>
      <xdr:blipFill>
        <a:blip xmlns:r="http://schemas.openxmlformats.org/officeDocument/2006/relationships" r:embed="rId231"/>
        <a:stretch>
          <a:fillRect/>
        </a:stretch>
      </xdr:blipFill>
      <xdr:spPr>
        <a:xfrm>
          <a:off x="7264400" y="302291750"/>
          <a:ext cx="878840" cy="1183640"/>
        </a:xfrm>
        <a:prstGeom prst="rect">
          <a:avLst/>
        </a:prstGeom>
      </xdr:spPr>
    </xdr:pic>
    <xdr:clientData/>
  </xdr:twoCellAnchor>
  <xdr:twoCellAnchor>
    <xdr:from>
      <xdr:col>8</xdr:col>
      <xdr:colOff>6350</xdr:colOff>
      <xdr:row>364</xdr:row>
      <xdr:rowOff>25400</xdr:rowOff>
    </xdr:from>
    <xdr:to>
      <xdr:col>8</xdr:col>
      <xdr:colOff>885190</xdr:colOff>
      <xdr:row>364</xdr:row>
      <xdr:rowOff>1209040</xdr:rowOff>
    </xdr:to>
    <xdr:pic>
      <xdr:nvPicPr>
        <xdr:cNvPr id="4437" name="Изображение 4436" descr="resizeПП-00274556"/>
        <xdr:cNvPicPr>
          <a:picLocks noChangeAspect="1"/>
        </xdr:cNvPicPr>
      </xdr:nvPicPr>
      <xdr:blipFill>
        <a:blip xmlns:r="http://schemas.openxmlformats.org/officeDocument/2006/relationships" r:embed="rId232"/>
        <a:stretch>
          <a:fillRect/>
        </a:stretch>
      </xdr:blipFill>
      <xdr:spPr>
        <a:xfrm>
          <a:off x="7264400" y="303666525"/>
          <a:ext cx="878840" cy="1183640"/>
        </a:xfrm>
        <a:prstGeom prst="rect">
          <a:avLst/>
        </a:prstGeom>
      </xdr:spPr>
    </xdr:pic>
    <xdr:clientData/>
  </xdr:twoCellAnchor>
  <xdr:twoCellAnchor>
    <xdr:from>
      <xdr:col>8</xdr:col>
      <xdr:colOff>6350</xdr:colOff>
      <xdr:row>365</xdr:row>
      <xdr:rowOff>25400</xdr:rowOff>
    </xdr:from>
    <xdr:to>
      <xdr:col>8</xdr:col>
      <xdr:colOff>885190</xdr:colOff>
      <xdr:row>365</xdr:row>
      <xdr:rowOff>1209040</xdr:rowOff>
    </xdr:to>
    <xdr:pic>
      <xdr:nvPicPr>
        <xdr:cNvPr id="4438" name="Изображение 4437" descr="resizeПП-00274555"/>
        <xdr:cNvPicPr>
          <a:picLocks noChangeAspect="1"/>
        </xdr:cNvPicPr>
      </xdr:nvPicPr>
      <xdr:blipFill>
        <a:blip xmlns:r="http://schemas.openxmlformats.org/officeDocument/2006/relationships" r:embed="rId233"/>
        <a:stretch>
          <a:fillRect/>
        </a:stretch>
      </xdr:blipFill>
      <xdr:spPr>
        <a:xfrm>
          <a:off x="7264400" y="304888900"/>
          <a:ext cx="878840" cy="1183640"/>
        </a:xfrm>
        <a:prstGeom prst="rect">
          <a:avLst/>
        </a:prstGeom>
      </xdr:spPr>
    </xdr:pic>
    <xdr:clientData/>
  </xdr:twoCellAnchor>
  <xdr:twoCellAnchor>
    <xdr:from>
      <xdr:col>8</xdr:col>
      <xdr:colOff>6350</xdr:colOff>
      <xdr:row>366</xdr:row>
      <xdr:rowOff>25400</xdr:rowOff>
    </xdr:from>
    <xdr:to>
      <xdr:col>8</xdr:col>
      <xdr:colOff>885190</xdr:colOff>
      <xdr:row>366</xdr:row>
      <xdr:rowOff>1209040</xdr:rowOff>
    </xdr:to>
    <xdr:pic>
      <xdr:nvPicPr>
        <xdr:cNvPr id="4439" name="Изображение 4438" descr="resizeПП-00274560"/>
        <xdr:cNvPicPr>
          <a:picLocks noChangeAspect="1"/>
        </xdr:cNvPicPr>
      </xdr:nvPicPr>
      <xdr:blipFill>
        <a:blip xmlns:r="http://schemas.openxmlformats.org/officeDocument/2006/relationships" r:embed="rId234"/>
        <a:stretch>
          <a:fillRect/>
        </a:stretch>
      </xdr:blipFill>
      <xdr:spPr>
        <a:xfrm>
          <a:off x="7264400" y="306111275"/>
          <a:ext cx="878840" cy="1183640"/>
        </a:xfrm>
        <a:prstGeom prst="rect">
          <a:avLst/>
        </a:prstGeom>
      </xdr:spPr>
    </xdr:pic>
    <xdr:clientData/>
  </xdr:twoCellAnchor>
  <xdr:twoCellAnchor>
    <xdr:from>
      <xdr:col>8</xdr:col>
      <xdr:colOff>6350</xdr:colOff>
      <xdr:row>367</xdr:row>
      <xdr:rowOff>25400</xdr:rowOff>
    </xdr:from>
    <xdr:to>
      <xdr:col>8</xdr:col>
      <xdr:colOff>885190</xdr:colOff>
      <xdr:row>367</xdr:row>
      <xdr:rowOff>1209040</xdr:rowOff>
    </xdr:to>
    <xdr:pic>
      <xdr:nvPicPr>
        <xdr:cNvPr id="4440" name="Изображение 4439" descr="resizeПП-00274559"/>
        <xdr:cNvPicPr>
          <a:picLocks noChangeAspect="1"/>
        </xdr:cNvPicPr>
      </xdr:nvPicPr>
      <xdr:blipFill>
        <a:blip xmlns:r="http://schemas.openxmlformats.org/officeDocument/2006/relationships" r:embed="rId235"/>
        <a:stretch>
          <a:fillRect/>
        </a:stretch>
      </xdr:blipFill>
      <xdr:spPr>
        <a:xfrm>
          <a:off x="7264400" y="307333650"/>
          <a:ext cx="878840" cy="1183640"/>
        </a:xfrm>
        <a:prstGeom prst="rect">
          <a:avLst/>
        </a:prstGeom>
      </xdr:spPr>
    </xdr:pic>
    <xdr:clientData/>
  </xdr:twoCellAnchor>
  <xdr:twoCellAnchor>
    <xdr:from>
      <xdr:col>8</xdr:col>
      <xdr:colOff>6350</xdr:colOff>
      <xdr:row>368</xdr:row>
      <xdr:rowOff>25400</xdr:rowOff>
    </xdr:from>
    <xdr:to>
      <xdr:col>8</xdr:col>
      <xdr:colOff>885190</xdr:colOff>
      <xdr:row>368</xdr:row>
      <xdr:rowOff>1209040</xdr:rowOff>
    </xdr:to>
    <xdr:pic>
      <xdr:nvPicPr>
        <xdr:cNvPr id="4441" name="Изображение 4440" descr="resizeПП-00274561"/>
        <xdr:cNvPicPr>
          <a:picLocks noChangeAspect="1"/>
        </xdr:cNvPicPr>
      </xdr:nvPicPr>
      <xdr:blipFill>
        <a:blip xmlns:r="http://schemas.openxmlformats.org/officeDocument/2006/relationships" r:embed="rId236"/>
        <a:stretch>
          <a:fillRect/>
        </a:stretch>
      </xdr:blipFill>
      <xdr:spPr>
        <a:xfrm>
          <a:off x="7264400" y="308556025"/>
          <a:ext cx="878840" cy="1183640"/>
        </a:xfrm>
        <a:prstGeom prst="rect">
          <a:avLst/>
        </a:prstGeom>
      </xdr:spPr>
    </xdr:pic>
    <xdr:clientData/>
  </xdr:twoCellAnchor>
  <xdr:twoCellAnchor>
    <xdr:from>
      <xdr:col>8</xdr:col>
      <xdr:colOff>6350</xdr:colOff>
      <xdr:row>370</xdr:row>
      <xdr:rowOff>25400</xdr:rowOff>
    </xdr:from>
    <xdr:to>
      <xdr:col>8</xdr:col>
      <xdr:colOff>885190</xdr:colOff>
      <xdr:row>370</xdr:row>
      <xdr:rowOff>1209040</xdr:rowOff>
    </xdr:to>
    <xdr:pic>
      <xdr:nvPicPr>
        <xdr:cNvPr id="4442" name="Изображение 4441" descr="resizeПП-00272615"/>
        <xdr:cNvPicPr>
          <a:picLocks noChangeAspect="1"/>
        </xdr:cNvPicPr>
      </xdr:nvPicPr>
      <xdr:blipFill>
        <a:blip xmlns:r="http://schemas.openxmlformats.org/officeDocument/2006/relationships" r:embed="rId237"/>
        <a:stretch>
          <a:fillRect/>
        </a:stretch>
      </xdr:blipFill>
      <xdr:spPr>
        <a:xfrm>
          <a:off x="7264400" y="309930800"/>
          <a:ext cx="878840" cy="1183640"/>
        </a:xfrm>
        <a:prstGeom prst="rect">
          <a:avLst/>
        </a:prstGeom>
      </xdr:spPr>
    </xdr:pic>
    <xdr:clientData/>
  </xdr:twoCellAnchor>
  <xdr:twoCellAnchor>
    <xdr:from>
      <xdr:col>8</xdr:col>
      <xdr:colOff>6350</xdr:colOff>
      <xdr:row>371</xdr:row>
      <xdr:rowOff>25400</xdr:rowOff>
    </xdr:from>
    <xdr:to>
      <xdr:col>8</xdr:col>
      <xdr:colOff>885190</xdr:colOff>
      <xdr:row>371</xdr:row>
      <xdr:rowOff>1209040</xdr:rowOff>
    </xdr:to>
    <xdr:pic>
      <xdr:nvPicPr>
        <xdr:cNvPr id="4443" name="Изображение 4442" descr="resizeПП-00272618"/>
        <xdr:cNvPicPr>
          <a:picLocks noChangeAspect="1"/>
        </xdr:cNvPicPr>
      </xdr:nvPicPr>
      <xdr:blipFill>
        <a:blip xmlns:r="http://schemas.openxmlformats.org/officeDocument/2006/relationships" r:embed="rId238"/>
        <a:stretch>
          <a:fillRect/>
        </a:stretch>
      </xdr:blipFill>
      <xdr:spPr>
        <a:xfrm>
          <a:off x="7264400" y="311153175"/>
          <a:ext cx="878840" cy="1183640"/>
        </a:xfrm>
        <a:prstGeom prst="rect">
          <a:avLst/>
        </a:prstGeom>
      </xdr:spPr>
    </xdr:pic>
    <xdr:clientData/>
  </xdr:twoCellAnchor>
  <xdr:twoCellAnchor>
    <xdr:from>
      <xdr:col>8</xdr:col>
      <xdr:colOff>6350</xdr:colOff>
      <xdr:row>373</xdr:row>
      <xdr:rowOff>25400</xdr:rowOff>
    </xdr:from>
    <xdr:to>
      <xdr:col>8</xdr:col>
      <xdr:colOff>885190</xdr:colOff>
      <xdr:row>373</xdr:row>
      <xdr:rowOff>1209040</xdr:rowOff>
    </xdr:to>
    <xdr:pic>
      <xdr:nvPicPr>
        <xdr:cNvPr id="4444" name="Изображение 4443" descr="resizeПП-00270721"/>
        <xdr:cNvPicPr>
          <a:picLocks noChangeAspect="1"/>
        </xdr:cNvPicPr>
      </xdr:nvPicPr>
      <xdr:blipFill>
        <a:blip xmlns:r="http://schemas.openxmlformats.org/officeDocument/2006/relationships" r:embed="rId239"/>
        <a:stretch>
          <a:fillRect/>
        </a:stretch>
      </xdr:blipFill>
      <xdr:spPr>
        <a:xfrm>
          <a:off x="7264400" y="312527950"/>
          <a:ext cx="878840" cy="1183640"/>
        </a:xfrm>
        <a:prstGeom prst="rect">
          <a:avLst/>
        </a:prstGeom>
      </xdr:spPr>
    </xdr:pic>
    <xdr:clientData/>
  </xdr:twoCellAnchor>
  <xdr:twoCellAnchor>
    <xdr:from>
      <xdr:col>8</xdr:col>
      <xdr:colOff>6350</xdr:colOff>
      <xdr:row>374</xdr:row>
      <xdr:rowOff>25400</xdr:rowOff>
    </xdr:from>
    <xdr:to>
      <xdr:col>8</xdr:col>
      <xdr:colOff>885190</xdr:colOff>
      <xdr:row>374</xdr:row>
      <xdr:rowOff>1209040</xdr:rowOff>
    </xdr:to>
    <xdr:pic>
      <xdr:nvPicPr>
        <xdr:cNvPr id="4445" name="Изображение 4444" descr="resizeПП-00270719"/>
        <xdr:cNvPicPr>
          <a:picLocks noChangeAspect="1"/>
        </xdr:cNvPicPr>
      </xdr:nvPicPr>
      <xdr:blipFill>
        <a:blip xmlns:r="http://schemas.openxmlformats.org/officeDocument/2006/relationships" r:embed="rId240"/>
        <a:stretch>
          <a:fillRect/>
        </a:stretch>
      </xdr:blipFill>
      <xdr:spPr>
        <a:xfrm>
          <a:off x="7264400" y="313750325"/>
          <a:ext cx="878840" cy="1183640"/>
        </a:xfrm>
        <a:prstGeom prst="rect">
          <a:avLst/>
        </a:prstGeom>
      </xdr:spPr>
    </xdr:pic>
    <xdr:clientData/>
  </xdr:twoCellAnchor>
  <xdr:twoCellAnchor>
    <xdr:from>
      <xdr:col>8</xdr:col>
      <xdr:colOff>6350</xdr:colOff>
      <xdr:row>375</xdr:row>
      <xdr:rowOff>25400</xdr:rowOff>
    </xdr:from>
    <xdr:to>
      <xdr:col>8</xdr:col>
      <xdr:colOff>885190</xdr:colOff>
      <xdr:row>375</xdr:row>
      <xdr:rowOff>1209040</xdr:rowOff>
    </xdr:to>
    <xdr:pic>
      <xdr:nvPicPr>
        <xdr:cNvPr id="4446" name="Изображение 4445" descr="resizeПП-00270723"/>
        <xdr:cNvPicPr>
          <a:picLocks noChangeAspect="1"/>
        </xdr:cNvPicPr>
      </xdr:nvPicPr>
      <xdr:blipFill>
        <a:blip xmlns:r="http://schemas.openxmlformats.org/officeDocument/2006/relationships" r:embed="rId241"/>
        <a:stretch>
          <a:fillRect/>
        </a:stretch>
      </xdr:blipFill>
      <xdr:spPr>
        <a:xfrm>
          <a:off x="7264400" y="314972700"/>
          <a:ext cx="878840" cy="1183640"/>
        </a:xfrm>
        <a:prstGeom prst="rect">
          <a:avLst/>
        </a:prstGeom>
      </xdr:spPr>
    </xdr:pic>
    <xdr:clientData/>
  </xdr:twoCellAnchor>
  <xdr:twoCellAnchor>
    <xdr:from>
      <xdr:col>8</xdr:col>
      <xdr:colOff>6350</xdr:colOff>
      <xdr:row>381</xdr:row>
      <xdr:rowOff>25400</xdr:rowOff>
    </xdr:from>
    <xdr:to>
      <xdr:col>8</xdr:col>
      <xdr:colOff>885190</xdr:colOff>
      <xdr:row>381</xdr:row>
      <xdr:rowOff>1209040</xdr:rowOff>
    </xdr:to>
    <xdr:pic>
      <xdr:nvPicPr>
        <xdr:cNvPr id="4447" name="Изображение 4446" descr="resizeПП-00279633"/>
        <xdr:cNvPicPr>
          <a:picLocks noChangeAspect="1"/>
        </xdr:cNvPicPr>
      </xdr:nvPicPr>
      <xdr:blipFill>
        <a:blip xmlns:r="http://schemas.openxmlformats.org/officeDocument/2006/relationships" r:embed="rId242"/>
        <a:stretch>
          <a:fillRect/>
        </a:stretch>
      </xdr:blipFill>
      <xdr:spPr>
        <a:xfrm>
          <a:off x="7264400" y="316957075"/>
          <a:ext cx="878840" cy="1183640"/>
        </a:xfrm>
        <a:prstGeom prst="rect">
          <a:avLst/>
        </a:prstGeom>
      </xdr:spPr>
    </xdr:pic>
    <xdr:clientData/>
  </xdr:twoCellAnchor>
  <xdr:twoCellAnchor>
    <xdr:from>
      <xdr:col>8</xdr:col>
      <xdr:colOff>6350</xdr:colOff>
      <xdr:row>383</xdr:row>
      <xdr:rowOff>25400</xdr:rowOff>
    </xdr:from>
    <xdr:to>
      <xdr:col>8</xdr:col>
      <xdr:colOff>885190</xdr:colOff>
      <xdr:row>383</xdr:row>
      <xdr:rowOff>1209040</xdr:rowOff>
    </xdr:to>
    <xdr:pic>
      <xdr:nvPicPr>
        <xdr:cNvPr id="4448" name="Изображение 4447" descr="resizeПП-00280518"/>
        <xdr:cNvPicPr>
          <a:picLocks noChangeAspect="1"/>
        </xdr:cNvPicPr>
      </xdr:nvPicPr>
      <xdr:blipFill>
        <a:blip xmlns:r="http://schemas.openxmlformats.org/officeDocument/2006/relationships" r:embed="rId243"/>
        <a:stretch>
          <a:fillRect/>
        </a:stretch>
      </xdr:blipFill>
      <xdr:spPr>
        <a:xfrm>
          <a:off x="7264400" y="318331850"/>
          <a:ext cx="878840" cy="1183640"/>
        </a:xfrm>
        <a:prstGeom prst="rect">
          <a:avLst/>
        </a:prstGeom>
      </xdr:spPr>
    </xdr:pic>
    <xdr:clientData/>
  </xdr:twoCellAnchor>
  <xdr:twoCellAnchor>
    <xdr:from>
      <xdr:col>8</xdr:col>
      <xdr:colOff>6350</xdr:colOff>
      <xdr:row>384</xdr:row>
      <xdr:rowOff>25400</xdr:rowOff>
    </xdr:from>
    <xdr:to>
      <xdr:col>8</xdr:col>
      <xdr:colOff>885190</xdr:colOff>
      <xdr:row>384</xdr:row>
      <xdr:rowOff>1209040</xdr:rowOff>
    </xdr:to>
    <xdr:pic>
      <xdr:nvPicPr>
        <xdr:cNvPr id="4449" name="Изображение 4448" descr="resizeПП-00279345"/>
        <xdr:cNvPicPr>
          <a:picLocks noChangeAspect="1"/>
        </xdr:cNvPicPr>
      </xdr:nvPicPr>
      <xdr:blipFill>
        <a:blip xmlns:r="http://schemas.openxmlformats.org/officeDocument/2006/relationships" r:embed="rId244"/>
        <a:stretch>
          <a:fillRect/>
        </a:stretch>
      </xdr:blipFill>
      <xdr:spPr>
        <a:xfrm>
          <a:off x="7264400" y="319554225"/>
          <a:ext cx="878840" cy="1183640"/>
        </a:xfrm>
        <a:prstGeom prst="rect">
          <a:avLst/>
        </a:prstGeom>
      </xdr:spPr>
    </xdr:pic>
    <xdr:clientData/>
  </xdr:twoCellAnchor>
  <xdr:twoCellAnchor>
    <xdr:from>
      <xdr:col>8</xdr:col>
      <xdr:colOff>6350</xdr:colOff>
      <xdr:row>385</xdr:row>
      <xdr:rowOff>25400</xdr:rowOff>
    </xdr:from>
    <xdr:to>
      <xdr:col>8</xdr:col>
      <xdr:colOff>885190</xdr:colOff>
      <xdr:row>385</xdr:row>
      <xdr:rowOff>1209040</xdr:rowOff>
    </xdr:to>
    <xdr:pic>
      <xdr:nvPicPr>
        <xdr:cNvPr id="4450" name="Изображение 4449" descr="resizeПП-00280524"/>
        <xdr:cNvPicPr>
          <a:picLocks noChangeAspect="1"/>
        </xdr:cNvPicPr>
      </xdr:nvPicPr>
      <xdr:blipFill>
        <a:blip xmlns:r="http://schemas.openxmlformats.org/officeDocument/2006/relationships" r:embed="rId245"/>
        <a:stretch>
          <a:fillRect/>
        </a:stretch>
      </xdr:blipFill>
      <xdr:spPr>
        <a:xfrm>
          <a:off x="7264400" y="320776600"/>
          <a:ext cx="878840" cy="1183640"/>
        </a:xfrm>
        <a:prstGeom prst="rect">
          <a:avLst/>
        </a:prstGeom>
      </xdr:spPr>
    </xdr:pic>
    <xdr:clientData/>
  </xdr:twoCellAnchor>
  <xdr:twoCellAnchor>
    <xdr:from>
      <xdr:col>8</xdr:col>
      <xdr:colOff>6350</xdr:colOff>
      <xdr:row>386</xdr:row>
      <xdr:rowOff>25400</xdr:rowOff>
    </xdr:from>
    <xdr:to>
      <xdr:col>8</xdr:col>
      <xdr:colOff>885190</xdr:colOff>
      <xdr:row>386</xdr:row>
      <xdr:rowOff>1209040</xdr:rowOff>
    </xdr:to>
    <xdr:pic>
      <xdr:nvPicPr>
        <xdr:cNvPr id="4451" name="Изображение 4450" descr="resizeПП-00280519"/>
        <xdr:cNvPicPr>
          <a:picLocks noChangeAspect="1"/>
        </xdr:cNvPicPr>
      </xdr:nvPicPr>
      <xdr:blipFill>
        <a:blip xmlns:r="http://schemas.openxmlformats.org/officeDocument/2006/relationships" r:embed="rId246"/>
        <a:stretch>
          <a:fillRect/>
        </a:stretch>
      </xdr:blipFill>
      <xdr:spPr>
        <a:xfrm>
          <a:off x="7264400" y="321998975"/>
          <a:ext cx="878840" cy="1183640"/>
        </a:xfrm>
        <a:prstGeom prst="rect">
          <a:avLst/>
        </a:prstGeom>
      </xdr:spPr>
    </xdr:pic>
    <xdr:clientData/>
  </xdr:twoCellAnchor>
  <xdr:twoCellAnchor>
    <xdr:from>
      <xdr:col>8</xdr:col>
      <xdr:colOff>6350</xdr:colOff>
      <xdr:row>387</xdr:row>
      <xdr:rowOff>25400</xdr:rowOff>
    </xdr:from>
    <xdr:to>
      <xdr:col>8</xdr:col>
      <xdr:colOff>885190</xdr:colOff>
      <xdr:row>387</xdr:row>
      <xdr:rowOff>1209040</xdr:rowOff>
    </xdr:to>
    <xdr:pic>
      <xdr:nvPicPr>
        <xdr:cNvPr id="4452" name="Изображение 4451" descr="resizeПП-00280521"/>
        <xdr:cNvPicPr>
          <a:picLocks noChangeAspect="1"/>
        </xdr:cNvPicPr>
      </xdr:nvPicPr>
      <xdr:blipFill>
        <a:blip xmlns:r="http://schemas.openxmlformats.org/officeDocument/2006/relationships" r:embed="rId247"/>
        <a:stretch>
          <a:fillRect/>
        </a:stretch>
      </xdr:blipFill>
      <xdr:spPr>
        <a:xfrm>
          <a:off x="7264400" y="323221350"/>
          <a:ext cx="878840" cy="1183640"/>
        </a:xfrm>
        <a:prstGeom prst="rect">
          <a:avLst/>
        </a:prstGeom>
      </xdr:spPr>
    </xdr:pic>
    <xdr:clientData/>
  </xdr:twoCellAnchor>
  <xdr:twoCellAnchor>
    <xdr:from>
      <xdr:col>8</xdr:col>
      <xdr:colOff>6350</xdr:colOff>
      <xdr:row>391</xdr:row>
      <xdr:rowOff>25400</xdr:rowOff>
    </xdr:from>
    <xdr:to>
      <xdr:col>8</xdr:col>
      <xdr:colOff>885190</xdr:colOff>
      <xdr:row>391</xdr:row>
      <xdr:rowOff>1209040</xdr:rowOff>
    </xdr:to>
    <xdr:pic>
      <xdr:nvPicPr>
        <xdr:cNvPr id="4453" name="Изображение 4452" descr="resizeПП-00237458"/>
        <xdr:cNvPicPr>
          <a:picLocks noChangeAspect="1"/>
        </xdr:cNvPicPr>
      </xdr:nvPicPr>
      <xdr:blipFill>
        <a:blip xmlns:r="http://schemas.openxmlformats.org/officeDocument/2006/relationships" r:embed="rId248"/>
        <a:stretch>
          <a:fillRect/>
        </a:stretch>
      </xdr:blipFill>
      <xdr:spPr>
        <a:xfrm>
          <a:off x="7264400" y="324900925"/>
          <a:ext cx="878840" cy="1183640"/>
        </a:xfrm>
        <a:prstGeom prst="rect">
          <a:avLst/>
        </a:prstGeom>
      </xdr:spPr>
    </xdr:pic>
    <xdr:clientData/>
  </xdr:twoCellAnchor>
  <xdr:twoCellAnchor>
    <xdr:from>
      <xdr:col>8</xdr:col>
      <xdr:colOff>6350</xdr:colOff>
      <xdr:row>393</xdr:row>
      <xdr:rowOff>25400</xdr:rowOff>
    </xdr:from>
    <xdr:to>
      <xdr:col>8</xdr:col>
      <xdr:colOff>885190</xdr:colOff>
      <xdr:row>393</xdr:row>
      <xdr:rowOff>1209040</xdr:rowOff>
    </xdr:to>
    <xdr:pic>
      <xdr:nvPicPr>
        <xdr:cNvPr id="4454" name="Изображение 4453" descr="resizeПП-00234983"/>
        <xdr:cNvPicPr>
          <a:picLocks noChangeAspect="1"/>
        </xdr:cNvPicPr>
      </xdr:nvPicPr>
      <xdr:blipFill>
        <a:blip xmlns:r="http://schemas.openxmlformats.org/officeDocument/2006/relationships" r:embed="rId249"/>
        <a:stretch>
          <a:fillRect/>
        </a:stretch>
      </xdr:blipFill>
      <xdr:spPr>
        <a:xfrm>
          <a:off x="7264400" y="326275700"/>
          <a:ext cx="878840" cy="1183640"/>
        </a:xfrm>
        <a:prstGeom prst="rect">
          <a:avLst/>
        </a:prstGeom>
      </xdr:spPr>
    </xdr:pic>
    <xdr:clientData/>
  </xdr:twoCellAnchor>
  <xdr:twoCellAnchor>
    <xdr:from>
      <xdr:col>8</xdr:col>
      <xdr:colOff>6350</xdr:colOff>
      <xdr:row>394</xdr:row>
      <xdr:rowOff>25400</xdr:rowOff>
    </xdr:from>
    <xdr:to>
      <xdr:col>8</xdr:col>
      <xdr:colOff>885190</xdr:colOff>
      <xdr:row>394</xdr:row>
      <xdr:rowOff>1209040</xdr:rowOff>
    </xdr:to>
    <xdr:pic>
      <xdr:nvPicPr>
        <xdr:cNvPr id="4455" name="Изображение 4454" descr="resizeПП-00234984"/>
        <xdr:cNvPicPr>
          <a:picLocks noChangeAspect="1"/>
        </xdr:cNvPicPr>
      </xdr:nvPicPr>
      <xdr:blipFill>
        <a:blip xmlns:r="http://schemas.openxmlformats.org/officeDocument/2006/relationships" r:embed="rId250"/>
        <a:stretch>
          <a:fillRect/>
        </a:stretch>
      </xdr:blipFill>
      <xdr:spPr>
        <a:xfrm>
          <a:off x="7264400" y="327498075"/>
          <a:ext cx="878840" cy="1183640"/>
        </a:xfrm>
        <a:prstGeom prst="rect">
          <a:avLst/>
        </a:prstGeom>
      </xdr:spPr>
    </xdr:pic>
    <xdr:clientData/>
  </xdr:twoCellAnchor>
  <xdr:twoCellAnchor>
    <xdr:from>
      <xdr:col>8</xdr:col>
      <xdr:colOff>6350</xdr:colOff>
      <xdr:row>395</xdr:row>
      <xdr:rowOff>25400</xdr:rowOff>
    </xdr:from>
    <xdr:to>
      <xdr:col>8</xdr:col>
      <xdr:colOff>885190</xdr:colOff>
      <xdr:row>395</xdr:row>
      <xdr:rowOff>1209040</xdr:rowOff>
    </xdr:to>
    <xdr:pic>
      <xdr:nvPicPr>
        <xdr:cNvPr id="4456" name="Изображение 4455" descr="resizeПП-00234986"/>
        <xdr:cNvPicPr>
          <a:picLocks noChangeAspect="1"/>
        </xdr:cNvPicPr>
      </xdr:nvPicPr>
      <xdr:blipFill>
        <a:blip xmlns:r="http://schemas.openxmlformats.org/officeDocument/2006/relationships" r:embed="rId251"/>
        <a:stretch>
          <a:fillRect/>
        </a:stretch>
      </xdr:blipFill>
      <xdr:spPr>
        <a:xfrm>
          <a:off x="7264400" y="328720450"/>
          <a:ext cx="878840" cy="1183640"/>
        </a:xfrm>
        <a:prstGeom prst="rect">
          <a:avLst/>
        </a:prstGeom>
      </xdr:spPr>
    </xdr:pic>
    <xdr:clientData/>
  </xdr:twoCellAnchor>
  <xdr:twoCellAnchor>
    <xdr:from>
      <xdr:col>8</xdr:col>
      <xdr:colOff>6350</xdr:colOff>
      <xdr:row>396</xdr:row>
      <xdr:rowOff>25400</xdr:rowOff>
    </xdr:from>
    <xdr:to>
      <xdr:col>8</xdr:col>
      <xdr:colOff>885190</xdr:colOff>
      <xdr:row>396</xdr:row>
      <xdr:rowOff>1209040</xdr:rowOff>
    </xdr:to>
    <xdr:pic>
      <xdr:nvPicPr>
        <xdr:cNvPr id="4457" name="Изображение 4456" descr="resizeПП-00234985"/>
        <xdr:cNvPicPr>
          <a:picLocks noChangeAspect="1"/>
        </xdr:cNvPicPr>
      </xdr:nvPicPr>
      <xdr:blipFill>
        <a:blip xmlns:r="http://schemas.openxmlformats.org/officeDocument/2006/relationships" r:embed="rId252"/>
        <a:stretch>
          <a:fillRect/>
        </a:stretch>
      </xdr:blipFill>
      <xdr:spPr>
        <a:xfrm>
          <a:off x="7264400" y="329942825"/>
          <a:ext cx="878840" cy="1183640"/>
        </a:xfrm>
        <a:prstGeom prst="rect">
          <a:avLst/>
        </a:prstGeom>
      </xdr:spPr>
    </xdr:pic>
    <xdr:clientData/>
  </xdr:twoCellAnchor>
  <xdr:twoCellAnchor>
    <xdr:from>
      <xdr:col>8</xdr:col>
      <xdr:colOff>6350</xdr:colOff>
      <xdr:row>397</xdr:row>
      <xdr:rowOff>25400</xdr:rowOff>
    </xdr:from>
    <xdr:to>
      <xdr:col>8</xdr:col>
      <xdr:colOff>885190</xdr:colOff>
      <xdr:row>397</xdr:row>
      <xdr:rowOff>1209040</xdr:rowOff>
    </xdr:to>
    <xdr:pic>
      <xdr:nvPicPr>
        <xdr:cNvPr id="4458" name="Изображение 4457" descr="resizeПП-00252854"/>
        <xdr:cNvPicPr>
          <a:picLocks noChangeAspect="1"/>
        </xdr:cNvPicPr>
      </xdr:nvPicPr>
      <xdr:blipFill>
        <a:blip xmlns:r="http://schemas.openxmlformats.org/officeDocument/2006/relationships" r:embed="rId253"/>
        <a:stretch>
          <a:fillRect/>
        </a:stretch>
      </xdr:blipFill>
      <xdr:spPr>
        <a:xfrm>
          <a:off x="7264400" y="331165200"/>
          <a:ext cx="878840" cy="1183640"/>
        </a:xfrm>
        <a:prstGeom prst="rect">
          <a:avLst/>
        </a:prstGeom>
      </xdr:spPr>
    </xdr:pic>
    <xdr:clientData/>
  </xdr:twoCellAnchor>
  <xdr:twoCellAnchor>
    <xdr:from>
      <xdr:col>8</xdr:col>
      <xdr:colOff>6350</xdr:colOff>
      <xdr:row>398</xdr:row>
      <xdr:rowOff>25400</xdr:rowOff>
    </xdr:from>
    <xdr:to>
      <xdr:col>8</xdr:col>
      <xdr:colOff>885190</xdr:colOff>
      <xdr:row>398</xdr:row>
      <xdr:rowOff>1209040</xdr:rowOff>
    </xdr:to>
    <xdr:pic>
      <xdr:nvPicPr>
        <xdr:cNvPr id="4459" name="Изображение 4458" descr="resizeПП-00234979"/>
        <xdr:cNvPicPr>
          <a:picLocks noChangeAspect="1"/>
        </xdr:cNvPicPr>
      </xdr:nvPicPr>
      <xdr:blipFill>
        <a:blip xmlns:r="http://schemas.openxmlformats.org/officeDocument/2006/relationships" r:embed="rId254"/>
        <a:stretch>
          <a:fillRect/>
        </a:stretch>
      </xdr:blipFill>
      <xdr:spPr>
        <a:xfrm>
          <a:off x="7264400" y="332387575"/>
          <a:ext cx="878840" cy="1183640"/>
        </a:xfrm>
        <a:prstGeom prst="rect">
          <a:avLst/>
        </a:prstGeom>
      </xdr:spPr>
    </xdr:pic>
    <xdr:clientData/>
  </xdr:twoCellAnchor>
  <xdr:twoCellAnchor>
    <xdr:from>
      <xdr:col>8</xdr:col>
      <xdr:colOff>6350</xdr:colOff>
      <xdr:row>399</xdr:row>
      <xdr:rowOff>25400</xdr:rowOff>
    </xdr:from>
    <xdr:to>
      <xdr:col>8</xdr:col>
      <xdr:colOff>885190</xdr:colOff>
      <xdr:row>399</xdr:row>
      <xdr:rowOff>1209040</xdr:rowOff>
    </xdr:to>
    <xdr:pic>
      <xdr:nvPicPr>
        <xdr:cNvPr id="4460" name="Изображение 4459" descr="resizeПП-00252853"/>
        <xdr:cNvPicPr>
          <a:picLocks noChangeAspect="1"/>
        </xdr:cNvPicPr>
      </xdr:nvPicPr>
      <xdr:blipFill>
        <a:blip xmlns:r="http://schemas.openxmlformats.org/officeDocument/2006/relationships" r:embed="rId255"/>
        <a:stretch>
          <a:fillRect/>
        </a:stretch>
      </xdr:blipFill>
      <xdr:spPr>
        <a:xfrm>
          <a:off x="7264400" y="333609950"/>
          <a:ext cx="878840" cy="1183640"/>
        </a:xfrm>
        <a:prstGeom prst="rect">
          <a:avLst/>
        </a:prstGeom>
      </xdr:spPr>
    </xdr:pic>
    <xdr:clientData/>
  </xdr:twoCellAnchor>
  <xdr:twoCellAnchor>
    <xdr:from>
      <xdr:col>8</xdr:col>
      <xdr:colOff>6350</xdr:colOff>
      <xdr:row>401</xdr:row>
      <xdr:rowOff>25400</xdr:rowOff>
    </xdr:from>
    <xdr:to>
      <xdr:col>8</xdr:col>
      <xdr:colOff>885190</xdr:colOff>
      <xdr:row>401</xdr:row>
      <xdr:rowOff>1209040</xdr:rowOff>
    </xdr:to>
    <xdr:pic>
      <xdr:nvPicPr>
        <xdr:cNvPr id="4461" name="Изображение 4460" descr="resizeПП-00237437"/>
        <xdr:cNvPicPr>
          <a:picLocks noChangeAspect="1"/>
        </xdr:cNvPicPr>
      </xdr:nvPicPr>
      <xdr:blipFill>
        <a:blip xmlns:r="http://schemas.openxmlformats.org/officeDocument/2006/relationships" r:embed="rId256"/>
        <a:stretch>
          <a:fillRect/>
        </a:stretch>
      </xdr:blipFill>
      <xdr:spPr>
        <a:xfrm>
          <a:off x="7264400" y="334984725"/>
          <a:ext cx="878840" cy="1183640"/>
        </a:xfrm>
        <a:prstGeom prst="rect">
          <a:avLst/>
        </a:prstGeom>
      </xdr:spPr>
    </xdr:pic>
    <xdr:clientData/>
  </xdr:twoCellAnchor>
  <xdr:twoCellAnchor>
    <xdr:from>
      <xdr:col>8</xdr:col>
      <xdr:colOff>6350</xdr:colOff>
      <xdr:row>402</xdr:row>
      <xdr:rowOff>25400</xdr:rowOff>
    </xdr:from>
    <xdr:to>
      <xdr:col>8</xdr:col>
      <xdr:colOff>885190</xdr:colOff>
      <xdr:row>402</xdr:row>
      <xdr:rowOff>1209040</xdr:rowOff>
    </xdr:to>
    <xdr:pic>
      <xdr:nvPicPr>
        <xdr:cNvPr id="4462" name="Изображение 4461" descr="resizeПП-00228299"/>
        <xdr:cNvPicPr>
          <a:picLocks noChangeAspect="1"/>
        </xdr:cNvPicPr>
      </xdr:nvPicPr>
      <xdr:blipFill>
        <a:blip xmlns:r="http://schemas.openxmlformats.org/officeDocument/2006/relationships" r:embed="rId257"/>
        <a:stretch>
          <a:fillRect/>
        </a:stretch>
      </xdr:blipFill>
      <xdr:spPr>
        <a:xfrm>
          <a:off x="7264400" y="336207100"/>
          <a:ext cx="878840" cy="1183640"/>
        </a:xfrm>
        <a:prstGeom prst="rect">
          <a:avLst/>
        </a:prstGeom>
      </xdr:spPr>
    </xdr:pic>
    <xdr:clientData/>
  </xdr:twoCellAnchor>
  <xdr:twoCellAnchor>
    <xdr:from>
      <xdr:col>8</xdr:col>
      <xdr:colOff>6350</xdr:colOff>
      <xdr:row>403</xdr:row>
      <xdr:rowOff>25400</xdr:rowOff>
    </xdr:from>
    <xdr:to>
      <xdr:col>8</xdr:col>
      <xdr:colOff>885190</xdr:colOff>
      <xdr:row>403</xdr:row>
      <xdr:rowOff>1209040</xdr:rowOff>
    </xdr:to>
    <xdr:pic>
      <xdr:nvPicPr>
        <xdr:cNvPr id="4463" name="Изображение 4462" descr="resizeПП-00237438"/>
        <xdr:cNvPicPr>
          <a:picLocks noChangeAspect="1"/>
        </xdr:cNvPicPr>
      </xdr:nvPicPr>
      <xdr:blipFill>
        <a:blip xmlns:r="http://schemas.openxmlformats.org/officeDocument/2006/relationships" r:embed="rId258"/>
        <a:stretch>
          <a:fillRect/>
        </a:stretch>
      </xdr:blipFill>
      <xdr:spPr>
        <a:xfrm>
          <a:off x="7264400" y="337429475"/>
          <a:ext cx="878840" cy="1183640"/>
        </a:xfrm>
        <a:prstGeom prst="rect">
          <a:avLst/>
        </a:prstGeom>
      </xdr:spPr>
    </xdr:pic>
    <xdr:clientData/>
  </xdr:twoCellAnchor>
  <xdr:twoCellAnchor>
    <xdr:from>
      <xdr:col>8</xdr:col>
      <xdr:colOff>6350</xdr:colOff>
      <xdr:row>405</xdr:row>
      <xdr:rowOff>25400</xdr:rowOff>
    </xdr:from>
    <xdr:to>
      <xdr:col>8</xdr:col>
      <xdr:colOff>885190</xdr:colOff>
      <xdr:row>405</xdr:row>
      <xdr:rowOff>1209040</xdr:rowOff>
    </xdr:to>
    <xdr:pic>
      <xdr:nvPicPr>
        <xdr:cNvPr id="4464" name="Изображение 4463" descr="resizeПП-00261122"/>
        <xdr:cNvPicPr>
          <a:picLocks noChangeAspect="1"/>
        </xdr:cNvPicPr>
      </xdr:nvPicPr>
      <xdr:blipFill>
        <a:blip xmlns:r="http://schemas.openxmlformats.org/officeDocument/2006/relationships" r:embed="rId259"/>
        <a:stretch>
          <a:fillRect/>
        </a:stretch>
      </xdr:blipFill>
      <xdr:spPr>
        <a:xfrm>
          <a:off x="7264400" y="338804250"/>
          <a:ext cx="878840" cy="1183640"/>
        </a:xfrm>
        <a:prstGeom prst="rect">
          <a:avLst/>
        </a:prstGeom>
      </xdr:spPr>
    </xdr:pic>
    <xdr:clientData/>
  </xdr:twoCellAnchor>
  <xdr:twoCellAnchor>
    <xdr:from>
      <xdr:col>8</xdr:col>
      <xdr:colOff>6350</xdr:colOff>
      <xdr:row>406</xdr:row>
      <xdr:rowOff>25400</xdr:rowOff>
    </xdr:from>
    <xdr:to>
      <xdr:col>8</xdr:col>
      <xdr:colOff>885190</xdr:colOff>
      <xdr:row>406</xdr:row>
      <xdr:rowOff>1209040</xdr:rowOff>
    </xdr:to>
    <xdr:pic>
      <xdr:nvPicPr>
        <xdr:cNvPr id="4465" name="Изображение 4464" descr="resizeПП-00261120"/>
        <xdr:cNvPicPr>
          <a:picLocks noChangeAspect="1"/>
        </xdr:cNvPicPr>
      </xdr:nvPicPr>
      <xdr:blipFill>
        <a:blip xmlns:r="http://schemas.openxmlformats.org/officeDocument/2006/relationships" r:embed="rId260"/>
        <a:stretch>
          <a:fillRect/>
        </a:stretch>
      </xdr:blipFill>
      <xdr:spPr>
        <a:xfrm>
          <a:off x="7264400" y="340026625"/>
          <a:ext cx="878840" cy="1183640"/>
        </a:xfrm>
        <a:prstGeom prst="rect">
          <a:avLst/>
        </a:prstGeom>
      </xdr:spPr>
    </xdr:pic>
    <xdr:clientData/>
  </xdr:twoCellAnchor>
  <xdr:twoCellAnchor>
    <xdr:from>
      <xdr:col>8</xdr:col>
      <xdr:colOff>6350</xdr:colOff>
      <xdr:row>407</xdr:row>
      <xdr:rowOff>25400</xdr:rowOff>
    </xdr:from>
    <xdr:to>
      <xdr:col>8</xdr:col>
      <xdr:colOff>885190</xdr:colOff>
      <xdr:row>407</xdr:row>
      <xdr:rowOff>1209040</xdr:rowOff>
    </xdr:to>
    <xdr:pic>
      <xdr:nvPicPr>
        <xdr:cNvPr id="4466" name="Изображение 4465" descr="resizeПП-00261121"/>
        <xdr:cNvPicPr>
          <a:picLocks noChangeAspect="1"/>
        </xdr:cNvPicPr>
      </xdr:nvPicPr>
      <xdr:blipFill>
        <a:blip xmlns:r="http://schemas.openxmlformats.org/officeDocument/2006/relationships" r:embed="rId261"/>
        <a:stretch>
          <a:fillRect/>
        </a:stretch>
      </xdr:blipFill>
      <xdr:spPr>
        <a:xfrm>
          <a:off x="7264400" y="341249000"/>
          <a:ext cx="878840" cy="1183640"/>
        </a:xfrm>
        <a:prstGeom prst="rect">
          <a:avLst/>
        </a:prstGeom>
      </xdr:spPr>
    </xdr:pic>
    <xdr:clientData/>
  </xdr:twoCellAnchor>
  <xdr:twoCellAnchor>
    <xdr:from>
      <xdr:col>8</xdr:col>
      <xdr:colOff>6350</xdr:colOff>
      <xdr:row>411</xdr:row>
      <xdr:rowOff>25400</xdr:rowOff>
    </xdr:from>
    <xdr:to>
      <xdr:col>8</xdr:col>
      <xdr:colOff>885190</xdr:colOff>
      <xdr:row>411</xdr:row>
      <xdr:rowOff>1209040</xdr:rowOff>
    </xdr:to>
    <xdr:pic>
      <xdr:nvPicPr>
        <xdr:cNvPr id="4467" name="Изображение 4466" descr="resizeПП-00236249"/>
        <xdr:cNvPicPr>
          <a:picLocks noChangeAspect="1"/>
        </xdr:cNvPicPr>
      </xdr:nvPicPr>
      <xdr:blipFill>
        <a:blip xmlns:r="http://schemas.openxmlformats.org/officeDocument/2006/relationships" r:embed="rId262"/>
        <a:stretch>
          <a:fillRect/>
        </a:stretch>
      </xdr:blipFill>
      <xdr:spPr>
        <a:xfrm>
          <a:off x="7264400" y="342928575"/>
          <a:ext cx="878840" cy="1183640"/>
        </a:xfrm>
        <a:prstGeom prst="rect">
          <a:avLst/>
        </a:prstGeom>
      </xdr:spPr>
    </xdr:pic>
    <xdr:clientData/>
  </xdr:twoCellAnchor>
  <xdr:twoCellAnchor>
    <xdr:from>
      <xdr:col>8</xdr:col>
      <xdr:colOff>6350</xdr:colOff>
      <xdr:row>412</xdr:row>
      <xdr:rowOff>25400</xdr:rowOff>
    </xdr:from>
    <xdr:to>
      <xdr:col>8</xdr:col>
      <xdr:colOff>885190</xdr:colOff>
      <xdr:row>412</xdr:row>
      <xdr:rowOff>1209040</xdr:rowOff>
    </xdr:to>
    <xdr:pic>
      <xdr:nvPicPr>
        <xdr:cNvPr id="4468" name="Изображение 4467" descr="resizeПП-00236247"/>
        <xdr:cNvPicPr>
          <a:picLocks noChangeAspect="1"/>
        </xdr:cNvPicPr>
      </xdr:nvPicPr>
      <xdr:blipFill>
        <a:blip xmlns:r="http://schemas.openxmlformats.org/officeDocument/2006/relationships" r:embed="rId263"/>
        <a:stretch>
          <a:fillRect/>
        </a:stretch>
      </xdr:blipFill>
      <xdr:spPr>
        <a:xfrm>
          <a:off x="7264400" y="344150950"/>
          <a:ext cx="878840" cy="1183640"/>
        </a:xfrm>
        <a:prstGeom prst="rect">
          <a:avLst/>
        </a:prstGeom>
      </xdr:spPr>
    </xdr:pic>
    <xdr:clientData/>
  </xdr:twoCellAnchor>
  <xdr:twoCellAnchor>
    <xdr:from>
      <xdr:col>8</xdr:col>
      <xdr:colOff>6350</xdr:colOff>
      <xdr:row>413</xdr:row>
      <xdr:rowOff>25400</xdr:rowOff>
    </xdr:from>
    <xdr:to>
      <xdr:col>8</xdr:col>
      <xdr:colOff>885190</xdr:colOff>
      <xdr:row>413</xdr:row>
      <xdr:rowOff>1209040</xdr:rowOff>
    </xdr:to>
    <xdr:pic>
      <xdr:nvPicPr>
        <xdr:cNvPr id="4469" name="Изображение 4468" descr="resizeПП-00236242"/>
        <xdr:cNvPicPr>
          <a:picLocks noChangeAspect="1"/>
        </xdr:cNvPicPr>
      </xdr:nvPicPr>
      <xdr:blipFill>
        <a:blip xmlns:r="http://schemas.openxmlformats.org/officeDocument/2006/relationships" r:embed="rId264"/>
        <a:stretch>
          <a:fillRect/>
        </a:stretch>
      </xdr:blipFill>
      <xdr:spPr>
        <a:xfrm>
          <a:off x="7264400" y="345373325"/>
          <a:ext cx="878840" cy="1183640"/>
        </a:xfrm>
        <a:prstGeom prst="rect">
          <a:avLst/>
        </a:prstGeom>
      </xdr:spPr>
    </xdr:pic>
    <xdr:clientData/>
  </xdr:twoCellAnchor>
  <xdr:twoCellAnchor>
    <xdr:from>
      <xdr:col>8</xdr:col>
      <xdr:colOff>6350</xdr:colOff>
      <xdr:row>414</xdr:row>
      <xdr:rowOff>25400</xdr:rowOff>
    </xdr:from>
    <xdr:to>
      <xdr:col>8</xdr:col>
      <xdr:colOff>885190</xdr:colOff>
      <xdr:row>414</xdr:row>
      <xdr:rowOff>1209040</xdr:rowOff>
    </xdr:to>
    <xdr:pic>
      <xdr:nvPicPr>
        <xdr:cNvPr id="4470" name="Изображение 4469" descr="resizeПП-00236244"/>
        <xdr:cNvPicPr>
          <a:picLocks noChangeAspect="1"/>
        </xdr:cNvPicPr>
      </xdr:nvPicPr>
      <xdr:blipFill>
        <a:blip xmlns:r="http://schemas.openxmlformats.org/officeDocument/2006/relationships" r:embed="rId265"/>
        <a:stretch>
          <a:fillRect/>
        </a:stretch>
      </xdr:blipFill>
      <xdr:spPr>
        <a:xfrm>
          <a:off x="7264400" y="346595700"/>
          <a:ext cx="878840" cy="1183640"/>
        </a:xfrm>
        <a:prstGeom prst="rect">
          <a:avLst/>
        </a:prstGeom>
      </xdr:spPr>
    </xdr:pic>
    <xdr:clientData/>
  </xdr:twoCellAnchor>
  <xdr:twoCellAnchor>
    <xdr:from>
      <xdr:col>8</xdr:col>
      <xdr:colOff>6350</xdr:colOff>
      <xdr:row>415</xdr:row>
      <xdr:rowOff>25400</xdr:rowOff>
    </xdr:from>
    <xdr:to>
      <xdr:col>8</xdr:col>
      <xdr:colOff>885190</xdr:colOff>
      <xdr:row>415</xdr:row>
      <xdr:rowOff>1209040</xdr:rowOff>
    </xdr:to>
    <xdr:pic>
      <xdr:nvPicPr>
        <xdr:cNvPr id="4471" name="Изображение 4470" descr="resizeПП-00236241"/>
        <xdr:cNvPicPr>
          <a:picLocks noChangeAspect="1"/>
        </xdr:cNvPicPr>
      </xdr:nvPicPr>
      <xdr:blipFill>
        <a:blip xmlns:r="http://schemas.openxmlformats.org/officeDocument/2006/relationships" r:embed="rId266"/>
        <a:stretch>
          <a:fillRect/>
        </a:stretch>
      </xdr:blipFill>
      <xdr:spPr>
        <a:xfrm>
          <a:off x="7264400" y="347818075"/>
          <a:ext cx="878840" cy="1183640"/>
        </a:xfrm>
        <a:prstGeom prst="rect">
          <a:avLst/>
        </a:prstGeom>
      </xdr:spPr>
    </xdr:pic>
    <xdr:clientData/>
  </xdr:twoCellAnchor>
  <xdr:twoCellAnchor>
    <xdr:from>
      <xdr:col>8</xdr:col>
      <xdr:colOff>6350</xdr:colOff>
      <xdr:row>416</xdr:row>
      <xdr:rowOff>25400</xdr:rowOff>
    </xdr:from>
    <xdr:to>
      <xdr:col>8</xdr:col>
      <xdr:colOff>885190</xdr:colOff>
      <xdr:row>416</xdr:row>
      <xdr:rowOff>1209040</xdr:rowOff>
    </xdr:to>
    <xdr:pic>
      <xdr:nvPicPr>
        <xdr:cNvPr id="4472" name="Изображение 4471" descr="resizeПП-00236246"/>
        <xdr:cNvPicPr>
          <a:picLocks noChangeAspect="1"/>
        </xdr:cNvPicPr>
      </xdr:nvPicPr>
      <xdr:blipFill>
        <a:blip xmlns:r="http://schemas.openxmlformats.org/officeDocument/2006/relationships" r:embed="rId267"/>
        <a:stretch>
          <a:fillRect/>
        </a:stretch>
      </xdr:blipFill>
      <xdr:spPr>
        <a:xfrm>
          <a:off x="7264400" y="349040450"/>
          <a:ext cx="878840" cy="1183640"/>
        </a:xfrm>
        <a:prstGeom prst="rect">
          <a:avLst/>
        </a:prstGeom>
      </xdr:spPr>
    </xdr:pic>
    <xdr:clientData/>
  </xdr:twoCellAnchor>
  <xdr:twoCellAnchor>
    <xdr:from>
      <xdr:col>8</xdr:col>
      <xdr:colOff>6350</xdr:colOff>
      <xdr:row>417</xdr:row>
      <xdr:rowOff>25400</xdr:rowOff>
    </xdr:from>
    <xdr:to>
      <xdr:col>8</xdr:col>
      <xdr:colOff>885190</xdr:colOff>
      <xdr:row>417</xdr:row>
      <xdr:rowOff>1209040</xdr:rowOff>
    </xdr:to>
    <xdr:pic>
      <xdr:nvPicPr>
        <xdr:cNvPr id="4473" name="Изображение 4472" descr="resizeПП-00236239"/>
        <xdr:cNvPicPr>
          <a:picLocks noChangeAspect="1"/>
        </xdr:cNvPicPr>
      </xdr:nvPicPr>
      <xdr:blipFill>
        <a:blip xmlns:r="http://schemas.openxmlformats.org/officeDocument/2006/relationships" r:embed="rId268"/>
        <a:stretch>
          <a:fillRect/>
        </a:stretch>
      </xdr:blipFill>
      <xdr:spPr>
        <a:xfrm>
          <a:off x="7264400" y="350262825"/>
          <a:ext cx="878840" cy="1183640"/>
        </a:xfrm>
        <a:prstGeom prst="rect">
          <a:avLst/>
        </a:prstGeom>
      </xdr:spPr>
    </xdr:pic>
    <xdr:clientData/>
  </xdr:twoCellAnchor>
  <xdr:twoCellAnchor>
    <xdr:from>
      <xdr:col>8</xdr:col>
      <xdr:colOff>6350</xdr:colOff>
      <xdr:row>419</xdr:row>
      <xdr:rowOff>25400</xdr:rowOff>
    </xdr:from>
    <xdr:to>
      <xdr:col>8</xdr:col>
      <xdr:colOff>885190</xdr:colOff>
      <xdr:row>419</xdr:row>
      <xdr:rowOff>1209040</xdr:rowOff>
    </xdr:to>
    <xdr:pic>
      <xdr:nvPicPr>
        <xdr:cNvPr id="4474" name="Изображение 4473" descr="resizeПП-00234987"/>
        <xdr:cNvPicPr>
          <a:picLocks noChangeAspect="1"/>
        </xdr:cNvPicPr>
      </xdr:nvPicPr>
      <xdr:blipFill>
        <a:blip xmlns:r="http://schemas.openxmlformats.org/officeDocument/2006/relationships" r:embed="rId269"/>
        <a:stretch>
          <a:fillRect/>
        </a:stretch>
      </xdr:blipFill>
      <xdr:spPr>
        <a:xfrm>
          <a:off x="7264400" y="351637600"/>
          <a:ext cx="878840" cy="1183640"/>
        </a:xfrm>
        <a:prstGeom prst="rect">
          <a:avLst/>
        </a:prstGeom>
      </xdr:spPr>
    </xdr:pic>
    <xdr:clientData/>
  </xdr:twoCellAnchor>
  <xdr:twoCellAnchor>
    <xdr:from>
      <xdr:col>8</xdr:col>
      <xdr:colOff>6350</xdr:colOff>
      <xdr:row>420</xdr:row>
      <xdr:rowOff>25400</xdr:rowOff>
    </xdr:from>
    <xdr:to>
      <xdr:col>8</xdr:col>
      <xdr:colOff>885190</xdr:colOff>
      <xdr:row>420</xdr:row>
      <xdr:rowOff>1209040</xdr:rowOff>
    </xdr:to>
    <xdr:pic>
      <xdr:nvPicPr>
        <xdr:cNvPr id="4475" name="Изображение 4474" descr="resizeПП-00252851"/>
        <xdr:cNvPicPr>
          <a:picLocks noChangeAspect="1"/>
        </xdr:cNvPicPr>
      </xdr:nvPicPr>
      <xdr:blipFill>
        <a:blip xmlns:r="http://schemas.openxmlformats.org/officeDocument/2006/relationships" r:embed="rId270"/>
        <a:stretch>
          <a:fillRect/>
        </a:stretch>
      </xdr:blipFill>
      <xdr:spPr>
        <a:xfrm>
          <a:off x="7264400" y="352859975"/>
          <a:ext cx="878840" cy="1183640"/>
        </a:xfrm>
        <a:prstGeom prst="rect">
          <a:avLst/>
        </a:prstGeom>
      </xdr:spPr>
    </xdr:pic>
    <xdr:clientData/>
  </xdr:twoCellAnchor>
  <xdr:twoCellAnchor>
    <xdr:from>
      <xdr:col>8</xdr:col>
      <xdr:colOff>6350</xdr:colOff>
      <xdr:row>421</xdr:row>
      <xdr:rowOff>25400</xdr:rowOff>
    </xdr:from>
    <xdr:to>
      <xdr:col>8</xdr:col>
      <xdr:colOff>885190</xdr:colOff>
      <xdr:row>421</xdr:row>
      <xdr:rowOff>1209040</xdr:rowOff>
    </xdr:to>
    <xdr:pic>
      <xdr:nvPicPr>
        <xdr:cNvPr id="4476" name="Изображение 4475" descr="resizeПП-00234988"/>
        <xdr:cNvPicPr>
          <a:picLocks noChangeAspect="1"/>
        </xdr:cNvPicPr>
      </xdr:nvPicPr>
      <xdr:blipFill>
        <a:blip xmlns:r="http://schemas.openxmlformats.org/officeDocument/2006/relationships" r:embed="rId271"/>
        <a:stretch>
          <a:fillRect/>
        </a:stretch>
      </xdr:blipFill>
      <xdr:spPr>
        <a:xfrm>
          <a:off x="7264400" y="354082350"/>
          <a:ext cx="878840" cy="1183640"/>
        </a:xfrm>
        <a:prstGeom prst="rect">
          <a:avLst/>
        </a:prstGeom>
      </xdr:spPr>
    </xdr:pic>
    <xdr:clientData/>
  </xdr:twoCellAnchor>
  <xdr:twoCellAnchor>
    <xdr:from>
      <xdr:col>8</xdr:col>
      <xdr:colOff>6350</xdr:colOff>
      <xdr:row>422</xdr:row>
      <xdr:rowOff>25400</xdr:rowOff>
    </xdr:from>
    <xdr:to>
      <xdr:col>8</xdr:col>
      <xdr:colOff>885190</xdr:colOff>
      <xdr:row>422</xdr:row>
      <xdr:rowOff>1209040</xdr:rowOff>
    </xdr:to>
    <xdr:pic>
      <xdr:nvPicPr>
        <xdr:cNvPr id="4477" name="Изображение 4476" descr="resizeПП-00252852"/>
        <xdr:cNvPicPr>
          <a:picLocks noChangeAspect="1"/>
        </xdr:cNvPicPr>
      </xdr:nvPicPr>
      <xdr:blipFill>
        <a:blip xmlns:r="http://schemas.openxmlformats.org/officeDocument/2006/relationships" r:embed="rId272"/>
        <a:stretch>
          <a:fillRect/>
        </a:stretch>
      </xdr:blipFill>
      <xdr:spPr>
        <a:xfrm>
          <a:off x="7264400" y="355304725"/>
          <a:ext cx="878840" cy="1183640"/>
        </a:xfrm>
        <a:prstGeom prst="rect">
          <a:avLst/>
        </a:prstGeom>
      </xdr:spPr>
    </xdr:pic>
    <xdr:clientData/>
  </xdr:twoCellAnchor>
  <xdr:twoCellAnchor>
    <xdr:from>
      <xdr:col>8</xdr:col>
      <xdr:colOff>6350</xdr:colOff>
      <xdr:row>423</xdr:row>
      <xdr:rowOff>25400</xdr:rowOff>
    </xdr:from>
    <xdr:to>
      <xdr:col>8</xdr:col>
      <xdr:colOff>885190</xdr:colOff>
      <xdr:row>423</xdr:row>
      <xdr:rowOff>1209040</xdr:rowOff>
    </xdr:to>
    <xdr:pic>
      <xdr:nvPicPr>
        <xdr:cNvPr id="4478" name="Изображение 4477" descr="resizeПП-00234989"/>
        <xdr:cNvPicPr>
          <a:picLocks noChangeAspect="1"/>
        </xdr:cNvPicPr>
      </xdr:nvPicPr>
      <xdr:blipFill>
        <a:blip xmlns:r="http://schemas.openxmlformats.org/officeDocument/2006/relationships" r:embed="rId273"/>
        <a:stretch>
          <a:fillRect/>
        </a:stretch>
      </xdr:blipFill>
      <xdr:spPr>
        <a:xfrm>
          <a:off x="7264400" y="356527100"/>
          <a:ext cx="878840" cy="1183640"/>
        </a:xfrm>
        <a:prstGeom prst="rect">
          <a:avLst/>
        </a:prstGeom>
      </xdr:spPr>
    </xdr:pic>
    <xdr:clientData/>
  </xdr:twoCellAnchor>
  <xdr:twoCellAnchor>
    <xdr:from>
      <xdr:col>8</xdr:col>
      <xdr:colOff>6350</xdr:colOff>
      <xdr:row>424</xdr:row>
      <xdr:rowOff>25400</xdr:rowOff>
    </xdr:from>
    <xdr:to>
      <xdr:col>8</xdr:col>
      <xdr:colOff>885190</xdr:colOff>
      <xdr:row>424</xdr:row>
      <xdr:rowOff>1209040</xdr:rowOff>
    </xdr:to>
    <xdr:pic>
      <xdr:nvPicPr>
        <xdr:cNvPr id="4479" name="Изображение 4478" descr="resizeПП-00234990"/>
        <xdr:cNvPicPr>
          <a:picLocks noChangeAspect="1"/>
        </xdr:cNvPicPr>
      </xdr:nvPicPr>
      <xdr:blipFill>
        <a:blip xmlns:r="http://schemas.openxmlformats.org/officeDocument/2006/relationships" r:embed="rId274"/>
        <a:stretch>
          <a:fillRect/>
        </a:stretch>
      </xdr:blipFill>
      <xdr:spPr>
        <a:xfrm>
          <a:off x="7264400" y="357749475"/>
          <a:ext cx="878840" cy="1183640"/>
        </a:xfrm>
        <a:prstGeom prst="rect">
          <a:avLst/>
        </a:prstGeom>
      </xdr:spPr>
    </xdr:pic>
    <xdr:clientData/>
  </xdr:twoCellAnchor>
  <xdr:twoCellAnchor>
    <xdr:from>
      <xdr:col>8</xdr:col>
      <xdr:colOff>6350</xdr:colOff>
      <xdr:row>426</xdr:row>
      <xdr:rowOff>25400</xdr:rowOff>
    </xdr:from>
    <xdr:to>
      <xdr:col>8</xdr:col>
      <xdr:colOff>885190</xdr:colOff>
      <xdr:row>426</xdr:row>
      <xdr:rowOff>1209040</xdr:rowOff>
    </xdr:to>
    <xdr:pic>
      <xdr:nvPicPr>
        <xdr:cNvPr id="4480" name="Изображение 4479" descr="resizeПП-00255399"/>
        <xdr:cNvPicPr>
          <a:picLocks noChangeAspect="1"/>
        </xdr:cNvPicPr>
      </xdr:nvPicPr>
      <xdr:blipFill>
        <a:blip xmlns:r="http://schemas.openxmlformats.org/officeDocument/2006/relationships" r:embed="rId275"/>
        <a:stretch>
          <a:fillRect/>
        </a:stretch>
      </xdr:blipFill>
      <xdr:spPr>
        <a:xfrm>
          <a:off x="7264400" y="359124250"/>
          <a:ext cx="878840" cy="1183640"/>
        </a:xfrm>
        <a:prstGeom prst="rect">
          <a:avLst/>
        </a:prstGeom>
      </xdr:spPr>
    </xdr:pic>
    <xdr:clientData/>
  </xdr:twoCellAnchor>
  <xdr:twoCellAnchor>
    <xdr:from>
      <xdr:col>8</xdr:col>
      <xdr:colOff>6350</xdr:colOff>
      <xdr:row>427</xdr:row>
      <xdr:rowOff>25400</xdr:rowOff>
    </xdr:from>
    <xdr:to>
      <xdr:col>8</xdr:col>
      <xdr:colOff>885190</xdr:colOff>
      <xdr:row>427</xdr:row>
      <xdr:rowOff>1209040</xdr:rowOff>
    </xdr:to>
    <xdr:pic>
      <xdr:nvPicPr>
        <xdr:cNvPr id="4481" name="Изображение 4480" descr="resizeПП-00235058"/>
        <xdr:cNvPicPr>
          <a:picLocks noChangeAspect="1"/>
        </xdr:cNvPicPr>
      </xdr:nvPicPr>
      <xdr:blipFill>
        <a:blip xmlns:r="http://schemas.openxmlformats.org/officeDocument/2006/relationships" r:embed="rId276"/>
        <a:stretch>
          <a:fillRect/>
        </a:stretch>
      </xdr:blipFill>
      <xdr:spPr>
        <a:xfrm>
          <a:off x="7264400" y="360346625"/>
          <a:ext cx="878840" cy="1183640"/>
        </a:xfrm>
        <a:prstGeom prst="rect">
          <a:avLst/>
        </a:prstGeom>
      </xdr:spPr>
    </xdr:pic>
    <xdr:clientData/>
  </xdr:twoCellAnchor>
  <xdr:twoCellAnchor>
    <xdr:from>
      <xdr:col>8</xdr:col>
      <xdr:colOff>6350</xdr:colOff>
      <xdr:row>428</xdr:row>
      <xdr:rowOff>25400</xdr:rowOff>
    </xdr:from>
    <xdr:to>
      <xdr:col>8</xdr:col>
      <xdr:colOff>885190</xdr:colOff>
      <xdr:row>428</xdr:row>
      <xdr:rowOff>1209040</xdr:rowOff>
    </xdr:to>
    <xdr:pic>
      <xdr:nvPicPr>
        <xdr:cNvPr id="4482" name="Изображение 4481" descr="resizeПП-00255398"/>
        <xdr:cNvPicPr>
          <a:picLocks noChangeAspect="1"/>
        </xdr:cNvPicPr>
      </xdr:nvPicPr>
      <xdr:blipFill>
        <a:blip xmlns:r="http://schemas.openxmlformats.org/officeDocument/2006/relationships" r:embed="rId277"/>
        <a:stretch>
          <a:fillRect/>
        </a:stretch>
      </xdr:blipFill>
      <xdr:spPr>
        <a:xfrm>
          <a:off x="7264400" y="361569000"/>
          <a:ext cx="878840" cy="1183640"/>
        </a:xfrm>
        <a:prstGeom prst="rect">
          <a:avLst/>
        </a:prstGeom>
      </xdr:spPr>
    </xdr:pic>
    <xdr:clientData/>
  </xdr:twoCellAnchor>
  <xdr:twoCellAnchor>
    <xdr:from>
      <xdr:col>8</xdr:col>
      <xdr:colOff>6350</xdr:colOff>
      <xdr:row>429</xdr:row>
      <xdr:rowOff>25400</xdr:rowOff>
    </xdr:from>
    <xdr:to>
      <xdr:col>8</xdr:col>
      <xdr:colOff>885190</xdr:colOff>
      <xdr:row>429</xdr:row>
      <xdr:rowOff>1209040</xdr:rowOff>
    </xdr:to>
    <xdr:pic>
      <xdr:nvPicPr>
        <xdr:cNvPr id="4483" name="Изображение 4482" descr="resizeПП-00274551"/>
        <xdr:cNvPicPr>
          <a:picLocks noChangeAspect="1"/>
        </xdr:cNvPicPr>
      </xdr:nvPicPr>
      <xdr:blipFill>
        <a:blip xmlns:r="http://schemas.openxmlformats.org/officeDocument/2006/relationships" r:embed="rId278"/>
        <a:stretch>
          <a:fillRect/>
        </a:stretch>
      </xdr:blipFill>
      <xdr:spPr>
        <a:xfrm>
          <a:off x="7264400" y="362791375"/>
          <a:ext cx="878840" cy="1183640"/>
        </a:xfrm>
        <a:prstGeom prst="rect">
          <a:avLst/>
        </a:prstGeom>
      </xdr:spPr>
    </xdr:pic>
    <xdr:clientData/>
  </xdr:twoCellAnchor>
  <xdr:twoCellAnchor>
    <xdr:from>
      <xdr:col>8</xdr:col>
      <xdr:colOff>6350</xdr:colOff>
      <xdr:row>430</xdr:row>
      <xdr:rowOff>25400</xdr:rowOff>
    </xdr:from>
    <xdr:to>
      <xdr:col>8</xdr:col>
      <xdr:colOff>885190</xdr:colOff>
      <xdr:row>430</xdr:row>
      <xdr:rowOff>1209040</xdr:rowOff>
    </xdr:to>
    <xdr:pic>
      <xdr:nvPicPr>
        <xdr:cNvPr id="4484" name="Изображение 4483" descr="resizeПП-00235059"/>
        <xdr:cNvPicPr>
          <a:picLocks noChangeAspect="1"/>
        </xdr:cNvPicPr>
      </xdr:nvPicPr>
      <xdr:blipFill>
        <a:blip xmlns:r="http://schemas.openxmlformats.org/officeDocument/2006/relationships" r:embed="rId279"/>
        <a:stretch>
          <a:fillRect/>
        </a:stretch>
      </xdr:blipFill>
      <xdr:spPr>
        <a:xfrm>
          <a:off x="7264400" y="364013750"/>
          <a:ext cx="878840" cy="1183640"/>
        </a:xfrm>
        <a:prstGeom prst="rect">
          <a:avLst/>
        </a:prstGeom>
      </xdr:spPr>
    </xdr:pic>
    <xdr:clientData/>
  </xdr:twoCellAnchor>
  <xdr:twoCellAnchor>
    <xdr:from>
      <xdr:col>8</xdr:col>
      <xdr:colOff>6350</xdr:colOff>
      <xdr:row>433</xdr:row>
      <xdr:rowOff>25400</xdr:rowOff>
    </xdr:from>
    <xdr:to>
      <xdr:col>8</xdr:col>
      <xdr:colOff>885190</xdr:colOff>
      <xdr:row>433</xdr:row>
      <xdr:rowOff>1209040</xdr:rowOff>
    </xdr:to>
    <xdr:pic>
      <xdr:nvPicPr>
        <xdr:cNvPr id="4485" name="Изображение 4484" descr="resizeПП-00235709"/>
        <xdr:cNvPicPr>
          <a:picLocks noChangeAspect="1"/>
        </xdr:cNvPicPr>
      </xdr:nvPicPr>
      <xdr:blipFill>
        <a:blip xmlns:r="http://schemas.openxmlformats.org/officeDocument/2006/relationships" r:embed="rId280"/>
        <a:stretch>
          <a:fillRect/>
        </a:stretch>
      </xdr:blipFill>
      <xdr:spPr>
        <a:xfrm>
          <a:off x="7264400" y="365540925"/>
          <a:ext cx="878840" cy="1183640"/>
        </a:xfrm>
        <a:prstGeom prst="rect">
          <a:avLst/>
        </a:prstGeom>
      </xdr:spPr>
    </xdr:pic>
    <xdr:clientData/>
  </xdr:twoCellAnchor>
  <xdr:twoCellAnchor>
    <xdr:from>
      <xdr:col>8</xdr:col>
      <xdr:colOff>6350</xdr:colOff>
      <xdr:row>434</xdr:row>
      <xdr:rowOff>25400</xdr:rowOff>
    </xdr:from>
    <xdr:to>
      <xdr:col>8</xdr:col>
      <xdr:colOff>885190</xdr:colOff>
      <xdr:row>434</xdr:row>
      <xdr:rowOff>1209040</xdr:rowOff>
    </xdr:to>
    <xdr:pic>
      <xdr:nvPicPr>
        <xdr:cNvPr id="4486" name="Изображение 4485" descr="resizeПП-00235710"/>
        <xdr:cNvPicPr>
          <a:picLocks noChangeAspect="1"/>
        </xdr:cNvPicPr>
      </xdr:nvPicPr>
      <xdr:blipFill>
        <a:blip xmlns:r="http://schemas.openxmlformats.org/officeDocument/2006/relationships" r:embed="rId281"/>
        <a:stretch>
          <a:fillRect/>
        </a:stretch>
      </xdr:blipFill>
      <xdr:spPr>
        <a:xfrm>
          <a:off x="7264400" y="366763300"/>
          <a:ext cx="878840" cy="1183640"/>
        </a:xfrm>
        <a:prstGeom prst="rect">
          <a:avLst/>
        </a:prstGeom>
      </xdr:spPr>
    </xdr:pic>
    <xdr:clientData/>
  </xdr:twoCellAnchor>
  <xdr:twoCellAnchor>
    <xdr:from>
      <xdr:col>8</xdr:col>
      <xdr:colOff>6350</xdr:colOff>
      <xdr:row>435</xdr:row>
      <xdr:rowOff>25400</xdr:rowOff>
    </xdr:from>
    <xdr:to>
      <xdr:col>8</xdr:col>
      <xdr:colOff>885190</xdr:colOff>
      <xdr:row>435</xdr:row>
      <xdr:rowOff>1209040</xdr:rowOff>
    </xdr:to>
    <xdr:pic>
      <xdr:nvPicPr>
        <xdr:cNvPr id="4487" name="Изображение 4486" descr="resizeПП-00246237"/>
        <xdr:cNvPicPr>
          <a:picLocks noChangeAspect="1"/>
        </xdr:cNvPicPr>
      </xdr:nvPicPr>
      <xdr:blipFill>
        <a:blip xmlns:r="http://schemas.openxmlformats.org/officeDocument/2006/relationships" r:embed="rId282"/>
        <a:stretch>
          <a:fillRect/>
        </a:stretch>
      </xdr:blipFill>
      <xdr:spPr>
        <a:xfrm>
          <a:off x="7264400" y="367985675"/>
          <a:ext cx="878840" cy="1183640"/>
        </a:xfrm>
        <a:prstGeom prst="rect">
          <a:avLst/>
        </a:prstGeom>
      </xdr:spPr>
    </xdr:pic>
    <xdr:clientData/>
  </xdr:twoCellAnchor>
  <xdr:twoCellAnchor>
    <xdr:from>
      <xdr:col>8</xdr:col>
      <xdr:colOff>6350</xdr:colOff>
      <xdr:row>437</xdr:row>
      <xdr:rowOff>25400</xdr:rowOff>
    </xdr:from>
    <xdr:to>
      <xdr:col>8</xdr:col>
      <xdr:colOff>885190</xdr:colOff>
      <xdr:row>437</xdr:row>
      <xdr:rowOff>1209040</xdr:rowOff>
    </xdr:to>
    <xdr:pic>
      <xdr:nvPicPr>
        <xdr:cNvPr id="4488" name="Изображение 4487" descr="resizeПП-00276476"/>
        <xdr:cNvPicPr>
          <a:picLocks noChangeAspect="1"/>
        </xdr:cNvPicPr>
      </xdr:nvPicPr>
      <xdr:blipFill>
        <a:blip xmlns:r="http://schemas.openxmlformats.org/officeDocument/2006/relationships" r:embed="rId283"/>
        <a:stretch>
          <a:fillRect/>
        </a:stretch>
      </xdr:blipFill>
      <xdr:spPr>
        <a:xfrm>
          <a:off x="7264400" y="369360450"/>
          <a:ext cx="878840" cy="1183640"/>
        </a:xfrm>
        <a:prstGeom prst="rect">
          <a:avLst/>
        </a:prstGeom>
      </xdr:spPr>
    </xdr:pic>
    <xdr:clientData/>
  </xdr:twoCellAnchor>
  <xdr:twoCellAnchor>
    <xdr:from>
      <xdr:col>8</xdr:col>
      <xdr:colOff>6350</xdr:colOff>
      <xdr:row>438</xdr:row>
      <xdr:rowOff>25400</xdr:rowOff>
    </xdr:from>
    <xdr:to>
      <xdr:col>8</xdr:col>
      <xdr:colOff>885190</xdr:colOff>
      <xdr:row>438</xdr:row>
      <xdr:rowOff>1209040</xdr:rowOff>
    </xdr:to>
    <xdr:pic>
      <xdr:nvPicPr>
        <xdr:cNvPr id="4489" name="Изображение 4488" descr="resizeПП-00276474"/>
        <xdr:cNvPicPr>
          <a:picLocks noChangeAspect="1"/>
        </xdr:cNvPicPr>
      </xdr:nvPicPr>
      <xdr:blipFill>
        <a:blip xmlns:r="http://schemas.openxmlformats.org/officeDocument/2006/relationships" r:embed="rId284"/>
        <a:stretch>
          <a:fillRect/>
        </a:stretch>
      </xdr:blipFill>
      <xdr:spPr>
        <a:xfrm>
          <a:off x="7264400" y="370582825"/>
          <a:ext cx="878840" cy="1183640"/>
        </a:xfrm>
        <a:prstGeom prst="rect">
          <a:avLst/>
        </a:prstGeom>
      </xdr:spPr>
    </xdr:pic>
    <xdr:clientData/>
  </xdr:twoCellAnchor>
  <xdr:twoCellAnchor>
    <xdr:from>
      <xdr:col>8</xdr:col>
      <xdr:colOff>6350</xdr:colOff>
      <xdr:row>439</xdr:row>
      <xdr:rowOff>25400</xdr:rowOff>
    </xdr:from>
    <xdr:to>
      <xdr:col>8</xdr:col>
      <xdr:colOff>885190</xdr:colOff>
      <xdr:row>439</xdr:row>
      <xdr:rowOff>1209040</xdr:rowOff>
    </xdr:to>
    <xdr:pic>
      <xdr:nvPicPr>
        <xdr:cNvPr id="4490" name="Изображение 4489" descr="resizeПП-00235707"/>
        <xdr:cNvPicPr>
          <a:picLocks noChangeAspect="1"/>
        </xdr:cNvPicPr>
      </xdr:nvPicPr>
      <xdr:blipFill>
        <a:blip xmlns:r="http://schemas.openxmlformats.org/officeDocument/2006/relationships" r:embed="rId285"/>
        <a:stretch>
          <a:fillRect/>
        </a:stretch>
      </xdr:blipFill>
      <xdr:spPr>
        <a:xfrm>
          <a:off x="7264400" y="371805200"/>
          <a:ext cx="878840" cy="1183640"/>
        </a:xfrm>
        <a:prstGeom prst="rect">
          <a:avLst/>
        </a:prstGeom>
      </xdr:spPr>
    </xdr:pic>
    <xdr:clientData/>
  </xdr:twoCellAnchor>
  <xdr:twoCellAnchor>
    <xdr:from>
      <xdr:col>8</xdr:col>
      <xdr:colOff>6350</xdr:colOff>
      <xdr:row>440</xdr:row>
      <xdr:rowOff>25400</xdr:rowOff>
    </xdr:from>
    <xdr:to>
      <xdr:col>8</xdr:col>
      <xdr:colOff>885190</xdr:colOff>
      <xdr:row>440</xdr:row>
      <xdr:rowOff>1209040</xdr:rowOff>
    </xdr:to>
    <xdr:pic>
      <xdr:nvPicPr>
        <xdr:cNvPr id="4491" name="Изображение 4490" descr="resizeПП-00276470"/>
        <xdr:cNvPicPr>
          <a:picLocks noChangeAspect="1"/>
        </xdr:cNvPicPr>
      </xdr:nvPicPr>
      <xdr:blipFill>
        <a:blip xmlns:r="http://schemas.openxmlformats.org/officeDocument/2006/relationships" r:embed="rId286"/>
        <a:stretch>
          <a:fillRect/>
        </a:stretch>
      </xdr:blipFill>
      <xdr:spPr>
        <a:xfrm>
          <a:off x="7264400" y="373027575"/>
          <a:ext cx="878840" cy="1183640"/>
        </a:xfrm>
        <a:prstGeom prst="rect">
          <a:avLst/>
        </a:prstGeom>
      </xdr:spPr>
    </xdr:pic>
    <xdr:clientData/>
  </xdr:twoCellAnchor>
  <xdr:twoCellAnchor>
    <xdr:from>
      <xdr:col>8</xdr:col>
      <xdr:colOff>6350</xdr:colOff>
      <xdr:row>441</xdr:row>
      <xdr:rowOff>25400</xdr:rowOff>
    </xdr:from>
    <xdr:to>
      <xdr:col>8</xdr:col>
      <xdr:colOff>885190</xdr:colOff>
      <xdr:row>441</xdr:row>
      <xdr:rowOff>1209040</xdr:rowOff>
    </xdr:to>
    <xdr:pic>
      <xdr:nvPicPr>
        <xdr:cNvPr id="4492" name="Изображение 4491" descr="resizeПП-00235706"/>
        <xdr:cNvPicPr>
          <a:picLocks noChangeAspect="1"/>
        </xdr:cNvPicPr>
      </xdr:nvPicPr>
      <xdr:blipFill>
        <a:blip xmlns:r="http://schemas.openxmlformats.org/officeDocument/2006/relationships" r:embed="rId287"/>
        <a:stretch>
          <a:fillRect/>
        </a:stretch>
      </xdr:blipFill>
      <xdr:spPr>
        <a:xfrm>
          <a:off x="7264400" y="374249950"/>
          <a:ext cx="878840" cy="1183640"/>
        </a:xfrm>
        <a:prstGeom prst="rect">
          <a:avLst/>
        </a:prstGeom>
      </xdr:spPr>
    </xdr:pic>
    <xdr:clientData/>
  </xdr:twoCellAnchor>
  <xdr:twoCellAnchor>
    <xdr:from>
      <xdr:col>8</xdr:col>
      <xdr:colOff>6350</xdr:colOff>
      <xdr:row>442</xdr:row>
      <xdr:rowOff>25400</xdr:rowOff>
    </xdr:from>
    <xdr:to>
      <xdr:col>8</xdr:col>
      <xdr:colOff>885190</xdr:colOff>
      <xdr:row>442</xdr:row>
      <xdr:rowOff>1209040</xdr:rowOff>
    </xdr:to>
    <xdr:pic>
      <xdr:nvPicPr>
        <xdr:cNvPr id="4493" name="Изображение 4492" descr="resizeПП-00235702"/>
        <xdr:cNvPicPr>
          <a:picLocks noChangeAspect="1"/>
        </xdr:cNvPicPr>
      </xdr:nvPicPr>
      <xdr:blipFill>
        <a:blip xmlns:r="http://schemas.openxmlformats.org/officeDocument/2006/relationships" r:embed="rId288"/>
        <a:stretch>
          <a:fillRect/>
        </a:stretch>
      </xdr:blipFill>
      <xdr:spPr>
        <a:xfrm>
          <a:off x="7264400" y="375472325"/>
          <a:ext cx="878840" cy="1183640"/>
        </a:xfrm>
        <a:prstGeom prst="rect">
          <a:avLst/>
        </a:prstGeom>
      </xdr:spPr>
    </xdr:pic>
    <xdr:clientData/>
  </xdr:twoCellAnchor>
  <xdr:twoCellAnchor>
    <xdr:from>
      <xdr:col>8</xdr:col>
      <xdr:colOff>6350</xdr:colOff>
      <xdr:row>443</xdr:row>
      <xdr:rowOff>25400</xdr:rowOff>
    </xdr:from>
    <xdr:to>
      <xdr:col>8</xdr:col>
      <xdr:colOff>885190</xdr:colOff>
      <xdr:row>443</xdr:row>
      <xdr:rowOff>1209040</xdr:rowOff>
    </xdr:to>
    <xdr:pic>
      <xdr:nvPicPr>
        <xdr:cNvPr id="4494" name="Изображение 4493" descr="resizeПП-00235704"/>
        <xdr:cNvPicPr>
          <a:picLocks noChangeAspect="1"/>
        </xdr:cNvPicPr>
      </xdr:nvPicPr>
      <xdr:blipFill>
        <a:blip xmlns:r="http://schemas.openxmlformats.org/officeDocument/2006/relationships" r:embed="rId289"/>
        <a:stretch>
          <a:fillRect/>
        </a:stretch>
      </xdr:blipFill>
      <xdr:spPr>
        <a:xfrm>
          <a:off x="7264400" y="376694700"/>
          <a:ext cx="878840" cy="1183640"/>
        </a:xfrm>
        <a:prstGeom prst="rect">
          <a:avLst/>
        </a:prstGeom>
      </xdr:spPr>
    </xdr:pic>
    <xdr:clientData/>
  </xdr:twoCellAnchor>
  <xdr:twoCellAnchor>
    <xdr:from>
      <xdr:col>8</xdr:col>
      <xdr:colOff>6350</xdr:colOff>
      <xdr:row>444</xdr:row>
      <xdr:rowOff>25400</xdr:rowOff>
    </xdr:from>
    <xdr:to>
      <xdr:col>8</xdr:col>
      <xdr:colOff>885190</xdr:colOff>
      <xdr:row>444</xdr:row>
      <xdr:rowOff>1209040</xdr:rowOff>
    </xdr:to>
    <xdr:pic>
      <xdr:nvPicPr>
        <xdr:cNvPr id="4495" name="Изображение 4494" descr="resizeПП-00246236"/>
        <xdr:cNvPicPr>
          <a:picLocks noChangeAspect="1"/>
        </xdr:cNvPicPr>
      </xdr:nvPicPr>
      <xdr:blipFill>
        <a:blip xmlns:r="http://schemas.openxmlformats.org/officeDocument/2006/relationships" r:embed="rId290"/>
        <a:stretch>
          <a:fillRect/>
        </a:stretch>
      </xdr:blipFill>
      <xdr:spPr>
        <a:xfrm>
          <a:off x="7264400" y="377917075"/>
          <a:ext cx="878840" cy="1183640"/>
        </a:xfrm>
        <a:prstGeom prst="rect">
          <a:avLst/>
        </a:prstGeom>
      </xdr:spPr>
    </xdr:pic>
    <xdr:clientData/>
  </xdr:twoCellAnchor>
  <xdr:twoCellAnchor>
    <xdr:from>
      <xdr:col>8</xdr:col>
      <xdr:colOff>6350</xdr:colOff>
      <xdr:row>449</xdr:row>
      <xdr:rowOff>25400</xdr:rowOff>
    </xdr:from>
    <xdr:to>
      <xdr:col>8</xdr:col>
      <xdr:colOff>885190</xdr:colOff>
      <xdr:row>449</xdr:row>
      <xdr:rowOff>1209040</xdr:rowOff>
    </xdr:to>
    <xdr:pic>
      <xdr:nvPicPr>
        <xdr:cNvPr id="4496" name="Изображение 4495" descr="resizeПП-00200650"/>
        <xdr:cNvPicPr>
          <a:picLocks noChangeAspect="1"/>
        </xdr:cNvPicPr>
      </xdr:nvPicPr>
      <xdr:blipFill>
        <a:blip xmlns:r="http://schemas.openxmlformats.org/officeDocument/2006/relationships" r:embed="rId291"/>
        <a:stretch>
          <a:fillRect/>
        </a:stretch>
      </xdr:blipFill>
      <xdr:spPr>
        <a:xfrm>
          <a:off x="7264400" y="379749050"/>
          <a:ext cx="878840" cy="1183640"/>
        </a:xfrm>
        <a:prstGeom prst="rect">
          <a:avLst/>
        </a:prstGeom>
      </xdr:spPr>
    </xdr:pic>
    <xdr:clientData/>
  </xdr:twoCellAnchor>
  <xdr:twoCellAnchor>
    <xdr:from>
      <xdr:col>8</xdr:col>
      <xdr:colOff>6350</xdr:colOff>
      <xdr:row>450</xdr:row>
      <xdr:rowOff>25400</xdr:rowOff>
    </xdr:from>
    <xdr:to>
      <xdr:col>8</xdr:col>
      <xdr:colOff>885190</xdr:colOff>
      <xdr:row>450</xdr:row>
      <xdr:rowOff>1209040</xdr:rowOff>
    </xdr:to>
    <xdr:pic>
      <xdr:nvPicPr>
        <xdr:cNvPr id="4497" name="Изображение 4496" descr="resizeПП-00200652"/>
        <xdr:cNvPicPr>
          <a:picLocks noChangeAspect="1"/>
        </xdr:cNvPicPr>
      </xdr:nvPicPr>
      <xdr:blipFill>
        <a:blip xmlns:r="http://schemas.openxmlformats.org/officeDocument/2006/relationships" r:embed="rId292"/>
        <a:stretch>
          <a:fillRect/>
        </a:stretch>
      </xdr:blipFill>
      <xdr:spPr>
        <a:xfrm>
          <a:off x="7264400" y="380971425"/>
          <a:ext cx="878840" cy="1183640"/>
        </a:xfrm>
        <a:prstGeom prst="rect">
          <a:avLst/>
        </a:prstGeom>
      </xdr:spPr>
    </xdr:pic>
    <xdr:clientData/>
  </xdr:twoCellAnchor>
  <xdr:twoCellAnchor>
    <xdr:from>
      <xdr:col>8</xdr:col>
      <xdr:colOff>6350</xdr:colOff>
      <xdr:row>451</xdr:row>
      <xdr:rowOff>25400</xdr:rowOff>
    </xdr:from>
    <xdr:to>
      <xdr:col>8</xdr:col>
      <xdr:colOff>885190</xdr:colOff>
      <xdr:row>451</xdr:row>
      <xdr:rowOff>1209040</xdr:rowOff>
    </xdr:to>
    <xdr:pic>
      <xdr:nvPicPr>
        <xdr:cNvPr id="4498" name="Изображение 4497" descr="resizeПП-00200651"/>
        <xdr:cNvPicPr>
          <a:picLocks noChangeAspect="1"/>
        </xdr:cNvPicPr>
      </xdr:nvPicPr>
      <xdr:blipFill>
        <a:blip xmlns:r="http://schemas.openxmlformats.org/officeDocument/2006/relationships" r:embed="rId293"/>
        <a:stretch>
          <a:fillRect/>
        </a:stretch>
      </xdr:blipFill>
      <xdr:spPr>
        <a:xfrm>
          <a:off x="7264400" y="382193800"/>
          <a:ext cx="878840" cy="1183640"/>
        </a:xfrm>
        <a:prstGeom prst="rect">
          <a:avLst/>
        </a:prstGeom>
      </xdr:spPr>
    </xdr:pic>
    <xdr:clientData/>
  </xdr:twoCellAnchor>
  <xdr:twoCellAnchor>
    <xdr:from>
      <xdr:col>8</xdr:col>
      <xdr:colOff>6350</xdr:colOff>
      <xdr:row>452</xdr:row>
      <xdr:rowOff>25400</xdr:rowOff>
    </xdr:from>
    <xdr:to>
      <xdr:col>8</xdr:col>
      <xdr:colOff>885190</xdr:colOff>
      <xdr:row>452</xdr:row>
      <xdr:rowOff>1209040</xdr:rowOff>
    </xdr:to>
    <xdr:pic>
      <xdr:nvPicPr>
        <xdr:cNvPr id="4499" name="Изображение 4498" descr="resizeПП-00200653"/>
        <xdr:cNvPicPr>
          <a:picLocks noChangeAspect="1"/>
        </xdr:cNvPicPr>
      </xdr:nvPicPr>
      <xdr:blipFill>
        <a:blip xmlns:r="http://schemas.openxmlformats.org/officeDocument/2006/relationships" r:embed="rId294"/>
        <a:stretch>
          <a:fillRect/>
        </a:stretch>
      </xdr:blipFill>
      <xdr:spPr>
        <a:xfrm>
          <a:off x="7264400" y="383416175"/>
          <a:ext cx="878840" cy="1183640"/>
        </a:xfrm>
        <a:prstGeom prst="rect">
          <a:avLst/>
        </a:prstGeom>
      </xdr:spPr>
    </xdr:pic>
    <xdr:clientData/>
  </xdr:twoCellAnchor>
  <xdr:twoCellAnchor>
    <xdr:from>
      <xdr:col>8</xdr:col>
      <xdr:colOff>6350</xdr:colOff>
      <xdr:row>453</xdr:row>
      <xdr:rowOff>25400</xdr:rowOff>
    </xdr:from>
    <xdr:to>
      <xdr:col>8</xdr:col>
      <xdr:colOff>885190</xdr:colOff>
      <xdr:row>453</xdr:row>
      <xdr:rowOff>1209040</xdr:rowOff>
    </xdr:to>
    <xdr:pic>
      <xdr:nvPicPr>
        <xdr:cNvPr id="4500" name="Изображение 4499" descr="resizeПП-00200654"/>
        <xdr:cNvPicPr>
          <a:picLocks noChangeAspect="1"/>
        </xdr:cNvPicPr>
      </xdr:nvPicPr>
      <xdr:blipFill>
        <a:blip xmlns:r="http://schemas.openxmlformats.org/officeDocument/2006/relationships" r:embed="rId295"/>
        <a:stretch>
          <a:fillRect/>
        </a:stretch>
      </xdr:blipFill>
      <xdr:spPr>
        <a:xfrm>
          <a:off x="7264400" y="384638550"/>
          <a:ext cx="878840" cy="1183640"/>
        </a:xfrm>
        <a:prstGeom prst="rect">
          <a:avLst/>
        </a:prstGeom>
      </xdr:spPr>
    </xdr:pic>
    <xdr:clientData/>
  </xdr:twoCellAnchor>
  <xdr:twoCellAnchor>
    <xdr:from>
      <xdr:col>8</xdr:col>
      <xdr:colOff>6350</xdr:colOff>
      <xdr:row>455</xdr:row>
      <xdr:rowOff>25400</xdr:rowOff>
    </xdr:from>
    <xdr:to>
      <xdr:col>8</xdr:col>
      <xdr:colOff>885190</xdr:colOff>
      <xdr:row>455</xdr:row>
      <xdr:rowOff>1209040</xdr:rowOff>
    </xdr:to>
    <xdr:pic>
      <xdr:nvPicPr>
        <xdr:cNvPr id="4501" name="Изображение 4500" descr="resizeПП-00203376"/>
        <xdr:cNvPicPr>
          <a:picLocks noChangeAspect="1"/>
        </xdr:cNvPicPr>
      </xdr:nvPicPr>
      <xdr:blipFill>
        <a:blip xmlns:r="http://schemas.openxmlformats.org/officeDocument/2006/relationships" r:embed="rId296"/>
        <a:stretch>
          <a:fillRect/>
        </a:stretch>
      </xdr:blipFill>
      <xdr:spPr>
        <a:xfrm>
          <a:off x="7264400" y="386013325"/>
          <a:ext cx="878840" cy="1183640"/>
        </a:xfrm>
        <a:prstGeom prst="rect">
          <a:avLst/>
        </a:prstGeom>
      </xdr:spPr>
    </xdr:pic>
    <xdr:clientData/>
  </xdr:twoCellAnchor>
  <xdr:twoCellAnchor>
    <xdr:from>
      <xdr:col>8</xdr:col>
      <xdr:colOff>6350</xdr:colOff>
      <xdr:row>456</xdr:row>
      <xdr:rowOff>25400</xdr:rowOff>
    </xdr:from>
    <xdr:to>
      <xdr:col>8</xdr:col>
      <xdr:colOff>885190</xdr:colOff>
      <xdr:row>456</xdr:row>
      <xdr:rowOff>1209040</xdr:rowOff>
    </xdr:to>
    <xdr:pic>
      <xdr:nvPicPr>
        <xdr:cNvPr id="4502" name="Изображение 4501" descr="resizeПП-00187674"/>
        <xdr:cNvPicPr>
          <a:picLocks noChangeAspect="1"/>
        </xdr:cNvPicPr>
      </xdr:nvPicPr>
      <xdr:blipFill>
        <a:blip xmlns:r="http://schemas.openxmlformats.org/officeDocument/2006/relationships" r:embed="rId297"/>
        <a:stretch>
          <a:fillRect/>
        </a:stretch>
      </xdr:blipFill>
      <xdr:spPr>
        <a:xfrm>
          <a:off x="7264400" y="387235700"/>
          <a:ext cx="878840" cy="1183640"/>
        </a:xfrm>
        <a:prstGeom prst="rect">
          <a:avLst/>
        </a:prstGeom>
      </xdr:spPr>
    </xdr:pic>
    <xdr:clientData/>
  </xdr:twoCellAnchor>
  <xdr:twoCellAnchor>
    <xdr:from>
      <xdr:col>8</xdr:col>
      <xdr:colOff>6350</xdr:colOff>
      <xdr:row>457</xdr:row>
      <xdr:rowOff>25400</xdr:rowOff>
    </xdr:from>
    <xdr:to>
      <xdr:col>8</xdr:col>
      <xdr:colOff>885190</xdr:colOff>
      <xdr:row>457</xdr:row>
      <xdr:rowOff>1209040</xdr:rowOff>
    </xdr:to>
    <xdr:pic>
      <xdr:nvPicPr>
        <xdr:cNvPr id="4503" name="Изображение 4502" descr="resizeПП-00187676"/>
        <xdr:cNvPicPr>
          <a:picLocks noChangeAspect="1"/>
        </xdr:cNvPicPr>
      </xdr:nvPicPr>
      <xdr:blipFill>
        <a:blip xmlns:r="http://schemas.openxmlformats.org/officeDocument/2006/relationships" r:embed="rId298"/>
        <a:stretch>
          <a:fillRect/>
        </a:stretch>
      </xdr:blipFill>
      <xdr:spPr>
        <a:xfrm>
          <a:off x="7264400" y="388458075"/>
          <a:ext cx="878840" cy="1183640"/>
        </a:xfrm>
        <a:prstGeom prst="rect">
          <a:avLst/>
        </a:prstGeom>
      </xdr:spPr>
    </xdr:pic>
    <xdr:clientData/>
  </xdr:twoCellAnchor>
  <xdr:twoCellAnchor>
    <xdr:from>
      <xdr:col>8</xdr:col>
      <xdr:colOff>6350</xdr:colOff>
      <xdr:row>458</xdr:row>
      <xdr:rowOff>25400</xdr:rowOff>
    </xdr:from>
    <xdr:to>
      <xdr:col>8</xdr:col>
      <xdr:colOff>885190</xdr:colOff>
      <xdr:row>458</xdr:row>
      <xdr:rowOff>1209040</xdr:rowOff>
    </xdr:to>
    <xdr:pic>
      <xdr:nvPicPr>
        <xdr:cNvPr id="4504" name="Изображение 4503" descr="resizeПП-00187683"/>
        <xdr:cNvPicPr>
          <a:picLocks noChangeAspect="1"/>
        </xdr:cNvPicPr>
      </xdr:nvPicPr>
      <xdr:blipFill>
        <a:blip xmlns:r="http://schemas.openxmlformats.org/officeDocument/2006/relationships" r:embed="rId299"/>
        <a:stretch>
          <a:fillRect/>
        </a:stretch>
      </xdr:blipFill>
      <xdr:spPr>
        <a:xfrm>
          <a:off x="7264400" y="389680450"/>
          <a:ext cx="878840" cy="1183640"/>
        </a:xfrm>
        <a:prstGeom prst="rect">
          <a:avLst/>
        </a:prstGeom>
      </xdr:spPr>
    </xdr:pic>
    <xdr:clientData/>
  </xdr:twoCellAnchor>
  <xdr:twoCellAnchor>
    <xdr:from>
      <xdr:col>8</xdr:col>
      <xdr:colOff>6350</xdr:colOff>
      <xdr:row>459</xdr:row>
      <xdr:rowOff>25400</xdr:rowOff>
    </xdr:from>
    <xdr:to>
      <xdr:col>8</xdr:col>
      <xdr:colOff>885190</xdr:colOff>
      <xdr:row>459</xdr:row>
      <xdr:rowOff>1209040</xdr:rowOff>
    </xdr:to>
    <xdr:pic>
      <xdr:nvPicPr>
        <xdr:cNvPr id="4505" name="Изображение 4504" descr="resizeПП-00187689"/>
        <xdr:cNvPicPr>
          <a:picLocks noChangeAspect="1"/>
        </xdr:cNvPicPr>
      </xdr:nvPicPr>
      <xdr:blipFill>
        <a:blip xmlns:r="http://schemas.openxmlformats.org/officeDocument/2006/relationships" r:embed="rId300"/>
        <a:stretch>
          <a:fillRect/>
        </a:stretch>
      </xdr:blipFill>
      <xdr:spPr>
        <a:xfrm>
          <a:off x="7264400" y="390902825"/>
          <a:ext cx="878840" cy="1183640"/>
        </a:xfrm>
        <a:prstGeom prst="rect">
          <a:avLst/>
        </a:prstGeom>
      </xdr:spPr>
    </xdr:pic>
    <xdr:clientData/>
  </xdr:twoCellAnchor>
  <xdr:twoCellAnchor>
    <xdr:from>
      <xdr:col>8</xdr:col>
      <xdr:colOff>6350</xdr:colOff>
      <xdr:row>460</xdr:row>
      <xdr:rowOff>25400</xdr:rowOff>
    </xdr:from>
    <xdr:to>
      <xdr:col>8</xdr:col>
      <xdr:colOff>885190</xdr:colOff>
      <xdr:row>460</xdr:row>
      <xdr:rowOff>1209040</xdr:rowOff>
    </xdr:to>
    <xdr:pic>
      <xdr:nvPicPr>
        <xdr:cNvPr id="4506" name="Изображение 4505" descr="resizeПП-00187684"/>
        <xdr:cNvPicPr>
          <a:picLocks noChangeAspect="1"/>
        </xdr:cNvPicPr>
      </xdr:nvPicPr>
      <xdr:blipFill>
        <a:blip xmlns:r="http://schemas.openxmlformats.org/officeDocument/2006/relationships" r:embed="rId301"/>
        <a:stretch>
          <a:fillRect/>
        </a:stretch>
      </xdr:blipFill>
      <xdr:spPr>
        <a:xfrm>
          <a:off x="7264400" y="392125200"/>
          <a:ext cx="878840" cy="1183640"/>
        </a:xfrm>
        <a:prstGeom prst="rect">
          <a:avLst/>
        </a:prstGeom>
      </xdr:spPr>
    </xdr:pic>
    <xdr:clientData/>
  </xdr:twoCellAnchor>
  <xdr:twoCellAnchor>
    <xdr:from>
      <xdr:col>8</xdr:col>
      <xdr:colOff>6350</xdr:colOff>
      <xdr:row>461</xdr:row>
      <xdr:rowOff>25400</xdr:rowOff>
    </xdr:from>
    <xdr:to>
      <xdr:col>8</xdr:col>
      <xdr:colOff>885190</xdr:colOff>
      <xdr:row>461</xdr:row>
      <xdr:rowOff>1209040</xdr:rowOff>
    </xdr:to>
    <xdr:pic>
      <xdr:nvPicPr>
        <xdr:cNvPr id="4507" name="Изображение 4506" descr="resizeПП-00187691"/>
        <xdr:cNvPicPr>
          <a:picLocks noChangeAspect="1"/>
        </xdr:cNvPicPr>
      </xdr:nvPicPr>
      <xdr:blipFill>
        <a:blip xmlns:r="http://schemas.openxmlformats.org/officeDocument/2006/relationships" r:embed="rId302"/>
        <a:stretch>
          <a:fillRect/>
        </a:stretch>
      </xdr:blipFill>
      <xdr:spPr>
        <a:xfrm>
          <a:off x="7264400" y="393347575"/>
          <a:ext cx="878840" cy="1183640"/>
        </a:xfrm>
        <a:prstGeom prst="rect">
          <a:avLst/>
        </a:prstGeom>
      </xdr:spPr>
    </xdr:pic>
    <xdr:clientData/>
  </xdr:twoCellAnchor>
  <xdr:twoCellAnchor>
    <xdr:from>
      <xdr:col>8</xdr:col>
      <xdr:colOff>6350</xdr:colOff>
      <xdr:row>462</xdr:row>
      <xdr:rowOff>25400</xdr:rowOff>
    </xdr:from>
    <xdr:to>
      <xdr:col>8</xdr:col>
      <xdr:colOff>885190</xdr:colOff>
      <xdr:row>462</xdr:row>
      <xdr:rowOff>1209040</xdr:rowOff>
    </xdr:to>
    <xdr:pic>
      <xdr:nvPicPr>
        <xdr:cNvPr id="4508" name="Изображение 4507" descr="resizeПП-00187686"/>
        <xdr:cNvPicPr>
          <a:picLocks noChangeAspect="1"/>
        </xdr:cNvPicPr>
      </xdr:nvPicPr>
      <xdr:blipFill>
        <a:blip xmlns:r="http://schemas.openxmlformats.org/officeDocument/2006/relationships" r:embed="rId301"/>
        <a:stretch>
          <a:fillRect/>
        </a:stretch>
      </xdr:blipFill>
      <xdr:spPr>
        <a:xfrm>
          <a:off x="7264400" y="394569950"/>
          <a:ext cx="878840" cy="1183640"/>
        </a:xfrm>
        <a:prstGeom prst="rect">
          <a:avLst/>
        </a:prstGeom>
      </xdr:spPr>
    </xdr:pic>
    <xdr:clientData/>
  </xdr:twoCellAnchor>
  <xdr:twoCellAnchor>
    <xdr:from>
      <xdr:col>8</xdr:col>
      <xdr:colOff>6350</xdr:colOff>
      <xdr:row>467</xdr:row>
      <xdr:rowOff>25400</xdr:rowOff>
    </xdr:from>
    <xdr:to>
      <xdr:col>8</xdr:col>
      <xdr:colOff>885190</xdr:colOff>
      <xdr:row>467</xdr:row>
      <xdr:rowOff>1209040</xdr:rowOff>
    </xdr:to>
    <xdr:pic>
      <xdr:nvPicPr>
        <xdr:cNvPr id="4509" name="Изображение 4508" descr="resizeПП-00232638"/>
        <xdr:cNvPicPr>
          <a:picLocks noChangeAspect="1"/>
        </xdr:cNvPicPr>
      </xdr:nvPicPr>
      <xdr:blipFill>
        <a:blip xmlns:r="http://schemas.openxmlformats.org/officeDocument/2006/relationships" r:embed="rId303"/>
        <a:stretch>
          <a:fillRect/>
        </a:stretch>
      </xdr:blipFill>
      <xdr:spPr>
        <a:xfrm>
          <a:off x="7264400" y="396401925"/>
          <a:ext cx="878840" cy="1183640"/>
        </a:xfrm>
        <a:prstGeom prst="rect">
          <a:avLst/>
        </a:prstGeom>
      </xdr:spPr>
    </xdr:pic>
    <xdr:clientData/>
  </xdr:twoCellAnchor>
  <xdr:twoCellAnchor>
    <xdr:from>
      <xdr:col>8</xdr:col>
      <xdr:colOff>6350</xdr:colOff>
      <xdr:row>468</xdr:row>
      <xdr:rowOff>25400</xdr:rowOff>
    </xdr:from>
    <xdr:to>
      <xdr:col>8</xdr:col>
      <xdr:colOff>885190</xdr:colOff>
      <xdr:row>468</xdr:row>
      <xdr:rowOff>1209040</xdr:rowOff>
    </xdr:to>
    <xdr:pic>
      <xdr:nvPicPr>
        <xdr:cNvPr id="4510" name="Изображение 4509" descr="resizeПП-00232644"/>
        <xdr:cNvPicPr>
          <a:picLocks noChangeAspect="1"/>
        </xdr:cNvPicPr>
      </xdr:nvPicPr>
      <xdr:blipFill>
        <a:blip xmlns:r="http://schemas.openxmlformats.org/officeDocument/2006/relationships" r:embed="rId304"/>
        <a:stretch>
          <a:fillRect/>
        </a:stretch>
      </xdr:blipFill>
      <xdr:spPr>
        <a:xfrm>
          <a:off x="7264400" y="397624300"/>
          <a:ext cx="878840" cy="1183640"/>
        </a:xfrm>
        <a:prstGeom prst="rect">
          <a:avLst/>
        </a:prstGeom>
      </xdr:spPr>
    </xdr:pic>
    <xdr:clientData/>
  </xdr:twoCellAnchor>
  <xdr:twoCellAnchor>
    <xdr:from>
      <xdr:col>8</xdr:col>
      <xdr:colOff>6350</xdr:colOff>
      <xdr:row>469</xdr:row>
      <xdr:rowOff>25400</xdr:rowOff>
    </xdr:from>
    <xdr:to>
      <xdr:col>8</xdr:col>
      <xdr:colOff>885190</xdr:colOff>
      <xdr:row>469</xdr:row>
      <xdr:rowOff>1209040</xdr:rowOff>
    </xdr:to>
    <xdr:pic>
      <xdr:nvPicPr>
        <xdr:cNvPr id="4511" name="Изображение 4510" descr="resizeПП-00232645"/>
        <xdr:cNvPicPr>
          <a:picLocks noChangeAspect="1"/>
        </xdr:cNvPicPr>
      </xdr:nvPicPr>
      <xdr:blipFill>
        <a:blip xmlns:r="http://schemas.openxmlformats.org/officeDocument/2006/relationships" r:embed="rId305"/>
        <a:stretch>
          <a:fillRect/>
        </a:stretch>
      </xdr:blipFill>
      <xdr:spPr>
        <a:xfrm>
          <a:off x="7264400" y="398846675"/>
          <a:ext cx="878840" cy="1183640"/>
        </a:xfrm>
        <a:prstGeom prst="rect">
          <a:avLst/>
        </a:prstGeom>
      </xdr:spPr>
    </xdr:pic>
    <xdr:clientData/>
  </xdr:twoCellAnchor>
  <xdr:twoCellAnchor>
    <xdr:from>
      <xdr:col>8</xdr:col>
      <xdr:colOff>6350</xdr:colOff>
      <xdr:row>471</xdr:row>
      <xdr:rowOff>25400</xdr:rowOff>
    </xdr:from>
    <xdr:to>
      <xdr:col>8</xdr:col>
      <xdr:colOff>885190</xdr:colOff>
      <xdr:row>471</xdr:row>
      <xdr:rowOff>1209040</xdr:rowOff>
    </xdr:to>
    <xdr:pic>
      <xdr:nvPicPr>
        <xdr:cNvPr id="4512" name="Изображение 4511" descr="resizeПП-00232631"/>
        <xdr:cNvPicPr>
          <a:picLocks noChangeAspect="1"/>
        </xdr:cNvPicPr>
      </xdr:nvPicPr>
      <xdr:blipFill>
        <a:blip xmlns:r="http://schemas.openxmlformats.org/officeDocument/2006/relationships" r:embed="rId306"/>
        <a:stretch>
          <a:fillRect/>
        </a:stretch>
      </xdr:blipFill>
      <xdr:spPr>
        <a:xfrm>
          <a:off x="7264400" y="400221450"/>
          <a:ext cx="878840" cy="1183640"/>
        </a:xfrm>
        <a:prstGeom prst="rect">
          <a:avLst/>
        </a:prstGeom>
      </xdr:spPr>
    </xdr:pic>
    <xdr:clientData/>
  </xdr:twoCellAnchor>
  <xdr:twoCellAnchor>
    <xdr:from>
      <xdr:col>8</xdr:col>
      <xdr:colOff>6350</xdr:colOff>
      <xdr:row>472</xdr:row>
      <xdr:rowOff>25400</xdr:rowOff>
    </xdr:from>
    <xdr:to>
      <xdr:col>8</xdr:col>
      <xdr:colOff>885190</xdr:colOff>
      <xdr:row>472</xdr:row>
      <xdr:rowOff>1209040</xdr:rowOff>
    </xdr:to>
    <xdr:pic>
      <xdr:nvPicPr>
        <xdr:cNvPr id="4513" name="Изображение 4512" descr="resizeПП-00232632"/>
        <xdr:cNvPicPr>
          <a:picLocks noChangeAspect="1"/>
        </xdr:cNvPicPr>
      </xdr:nvPicPr>
      <xdr:blipFill>
        <a:blip xmlns:r="http://schemas.openxmlformats.org/officeDocument/2006/relationships" r:embed="rId307"/>
        <a:stretch>
          <a:fillRect/>
        </a:stretch>
      </xdr:blipFill>
      <xdr:spPr>
        <a:xfrm>
          <a:off x="7264400" y="401443825"/>
          <a:ext cx="878840" cy="1183640"/>
        </a:xfrm>
        <a:prstGeom prst="rect">
          <a:avLst/>
        </a:prstGeom>
      </xdr:spPr>
    </xdr:pic>
    <xdr:clientData/>
  </xdr:twoCellAnchor>
  <xdr:twoCellAnchor>
    <xdr:from>
      <xdr:col>8</xdr:col>
      <xdr:colOff>6350</xdr:colOff>
      <xdr:row>473</xdr:row>
      <xdr:rowOff>25400</xdr:rowOff>
    </xdr:from>
    <xdr:to>
      <xdr:col>8</xdr:col>
      <xdr:colOff>885190</xdr:colOff>
      <xdr:row>473</xdr:row>
      <xdr:rowOff>1209040</xdr:rowOff>
    </xdr:to>
    <xdr:pic>
      <xdr:nvPicPr>
        <xdr:cNvPr id="4514" name="Изображение 4513" descr="resizeПП-00232628"/>
        <xdr:cNvPicPr>
          <a:picLocks noChangeAspect="1"/>
        </xdr:cNvPicPr>
      </xdr:nvPicPr>
      <xdr:blipFill>
        <a:blip xmlns:r="http://schemas.openxmlformats.org/officeDocument/2006/relationships" r:embed="rId308"/>
        <a:stretch>
          <a:fillRect/>
        </a:stretch>
      </xdr:blipFill>
      <xdr:spPr>
        <a:xfrm>
          <a:off x="7264400" y="402666200"/>
          <a:ext cx="878840" cy="1183640"/>
        </a:xfrm>
        <a:prstGeom prst="rect">
          <a:avLst/>
        </a:prstGeom>
      </xdr:spPr>
    </xdr:pic>
    <xdr:clientData/>
  </xdr:twoCellAnchor>
  <xdr:twoCellAnchor>
    <xdr:from>
      <xdr:col>8</xdr:col>
      <xdr:colOff>6350</xdr:colOff>
      <xdr:row>474</xdr:row>
      <xdr:rowOff>25400</xdr:rowOff>
    </xdr:from>
    <xdr:to>
      <xdr:col>8</xdr:col>
      <xdr:colOff>885190</xdr:colOff>
      <xdr:row>474</xdr:row>
      <xdr:rowOff>1209040</xdr:rowOff>
    </xdr:to>
    <xdr:pic>
      <xdr:nvPicPr>
        <xdr:cNvPr id="4515" name="Изображение 4514" descr="resizeПП-00232630"/>
        <xdr:cNvPicPr>
          <a:picLocks noChangeAspect="1"/>
        </xdr:cNvPicPr>
      </xdr:nvPicPr>
      <xdr:blipFill>
        <a:blip xmlns:r="http://schemas.openxmlformats.org/officeDocument/2006/relationships" r:embed="rId309"/>
        <a:stretch>
          <a:fillRect/>
        </a:stretch>
      </xdr:blipFill>
      <xdr:spPr>
        <a:xfrm>
          <a:off x="7264400" y="403888575"/>
          <a:ext cx="878840" cy="1183640"/>
        </a:xfrm>
        <a:prstGeom prst="rect">
          <a:avLst/>
        </a:prstGeom>
      </xdr:spPr>
    </xdr:pic>
    <xdr:clientData/>
  </xdr:twoCellAnchor>
  <xdr:twoCellAnchor>
    <xdr:from>
      <xdr:col>8</xdr:col>
      <xdr:colOff>6350</xdr:colOff>
      <xdr:row>475</xdr:row>
      <xdr:rowOff>25400</xdr:rowOff>
    </xdr:from>
    <xdr:to>
      <xdr:col>8</xdr:col>
      <xdr:colOff>885190</xdr:colOff>
      <xdr:row>475</xdr:row>
      <xdr:rowOff>1209040</xdr:rowOff>
    </xdr:to>
    <xdr:pic>
      <xdr:nvPicPr>
        <xdr:cNvPr id="4516" name="Изображение 4515" descr="resizeПП-00232636"/>
        <xdr:cNvPicPr>
          <a:picLocks noChangeAspect="1"/>
        </xdr:cNvPicPr>
      </xdr:nvPicPr>
      <xdr:blipFill>
        <a:blip xmlns:r="http://schemas.openxmlformats.org/officeDocument/2006/relationships" r:embed="rId310"/>
        <a:stretch>
          <a:fillRect/>
        </a:stretch>
      </xdr:blipFill>
      <xdr:spPr>
        <a:xfrm>
          <a:off x="7264400" y="405110950"/>
          <a:ext cx="878840" cy="1183640"/>
        </a:xfrm>
        <a:prstGeom prst="rect">
          <a:avLst/>
        </a:prstGeom>
      </xdr:spPr>
    </xdr:pic>
    <xdr:clientData/>
  </xdr:twoCellAnchor>
  <xdr:twoCellAnchor>
    <xdr:from>
      <xdr:col>8</xdr:col>
      <xdr:colOff>6350</xdr:colOff>
      <xdr:row>476</xdr:row>
      <xdr:rowOff>25400</xdr:rowOff>
    </xdr:from>
    <xdr:to>
      <xdr:col>8</xdr:col>
      <xdr:colOff>885190</xdr:colOff>
      <xdr:row>476</xdr:row>
      <xdr:rowOff>1209040</xdr:rowOff>
    </xdr:to>
    <xdr:pic>
      <xdr:nvPicPr>
        <xdr:cNvPr id="4517" name="Изображение 4516" descr="resizeПП-00232633"/>
        <xdr:cNvPicPr>
          <a:picLocks noChangeAspect="1"/>
        </xdr:cNvPicPr>
      </xdr:nvPicPr>
      <xdr:blipFill>
        <a:blip xmlns:r="http://schemas.openxmlformats.org/officeDocument/2006/relationships" r:embed="rId311"/>
        <a:stretch>
          <a:fillRect/>
        </a:stretch>
      </xdr:blipFill>
      <xdr:spPr>
        <a:xfrm>
          <a:off x="7264400" y="406333325"/>
          <a:ext cx="878840" cy="1183640"/>
        </a:xfrm>
        <a:prstGeom prst="rect">
          <a:avLst/>
        </a:prstGeom>
      </xdr:spPr>
    </xdr:pic>
    <xdr:clientData/>
  </xdr:twoCellAnchor>
  <xdr:twoCellAnchor>
    <xdr:from>
      <xdr:col>8</xdr:col>
      <xdr:colOff>6350</xdr:colOff>
      <xdr:row>477</xdr:row>
      <xdr:rowOff>25400</xdr:rowOff>
    </xdr:from>
    <xdr:to>
      <xdr:col>8</xdr:col>
      <xdr:colOff>885190</xdr:colOff>
      <xdr:row>477</xdr:row>
      <xdr:rowOff>1209040</xdr:rowOff>
    </xdr:to>
    <xdr:pic>
      <xdr:nvPicPr>
        <xdr:cNvPr id="4518" name="Изображение 4517" descr="resizeПП-00232635"/>
        <xdr:cNvPicPr>
          <a:picLocks noChangeAspect="1"/>
        </xdr:cNvPicPr>
      </xdr:nvPicPr>
      <xdr:blipFill>
        <a:blip xmlns:r="http://schemas.openxmlformats.org/officeDocument/2006/relationships" r:embed="rId312"/>
        <a:stretch>
          <a:fillRect/>
        </a:stretch>
      </xdr:blipFill>
      <xdr:spPr>
        <a:xfrm>
          <a:off x="7264400" y="407555700"/>
          <a:ext cx="878840" cy="1183640"/>
        </a:xfrm>
        <a:prstGeom prst="rect">
          <a:avLst/>
        </a:prstGeom>
      </xdr:spPr>
    </xdr:pic>
    <xdr:clientData/>
  </xdr:twoCellAnchor>
  <xdr:twoCellAnchor>
    <xdr:from>
      <xdr:col>8</xdr:col>
      <xdr:colOff>6350</xdr:colOff>
      <xdr:row>478</xdr:row>
      <xdr:rowOff>25400</xdr:rowOff>
    </xdr:from>
    <xdr:to>
      <xdr:col>8</xdr:col>
      <xdr:colOff>885190</xdr:colOff>
      <xdr:row>478</xdr:row>
      <xdr:rowOff>1209040</xdr:rowOff>
    </xdr:to>
    <xdr:pic>
      <xdr:nvPicPr>
        <xdr:cNvPr id="4519" name="Изображение 4518" descr="resizeПП-00257570"/>
        <xdr:cNvPicPr>
          <a:picLocks noChangeAspect="1"/>
        </xdr:cNvPicPr>
      </xdr:nvPicPr>
      <xdr:blipFill>
        <a:blip xmlns:r="http://schemas.openxmlformats.org/officeDocument/2006/relationships" r:embed="rId313"/>
        <a:stretch>
          <a:fillRect/>
        </a:stretch>
      </xdr:blipFill>
      <xdr:spPr>
        <a:xfrm>
          <a:off x="7264400" y="408778075"/>
          <a:ext cx="878840" cy="1183640"/>
        </a:xfrm>
        <a:prstGeom prst="rect">
          <a:avLst/>
        </a:prstGeom>
      </xdr:spPr>
    </xdr:pic>
    <xdr:clientData/>
  </xdr:twoCellAnchor>
  <xdr:twoCellAnchor>
    <xdr:from>
      <xdr:col>8</xdr:col>
      <xdr:colOff>6350</xdr:colOff>
      <xdr:row>480</xdr:row>
      <xdr:rowOff>25400</xdr:rowOff>
    </xdr:from>
    <xdr:to>
      <xdr:col>8</xdr:col>
      <xdr:colOff>885190</xdr:colOff>
      <xdr:row>480</xdr:row>
      <xdr:rowOff>1209040</xdr:rowOff>
    </xdr:to>
    <xdr:pic>
      <xdr:nvPicPr>
        <xdr:cNvPr id="4520" name="Изображение 4519" descr="resizeПП-00257478"/>
        <xdr:cNvPicPr>
          <a:picLocks noChangeAspect="1"/>
        </xdr:cNvPicPr>
      </xdr:nvPicPr>
      <xdr:blipFill>
        <a:blip xmlns:r="http://schemas.openxmlformats.org/officeDocument/2006/relationships" r:embed="rId314"/>
        <a:stretch>
          <a:fillRect/>
        </a:stretch>
      </xdr:blipFill>
      <xdr:spPr>
        <a:xfrm>
          <a:off x="7264400" y="410152850"/>
          <a:ext cx="878840" cy="1183640"/>
        </a:xfrm>
        <a:prstGeom prst="rect">
          <a:avLst/>
        </a:prstGeom>
      </xdr:spPr>
    </xdr:pic>
    <xdr:clientData/>
  </xdr:twoCellAnchor>
  <xdr:twoCellAnchor>
    <xdr:from>
      <xdr:col>8</xdr:col>
      <xdr:colOff>6350</xdr:colOff>
      <xdr:row>481</xdr:row>
      <xdr:rowOff>25400</xdr:rowOff>
    </xdr:from>
    <xdr:to>
      <xdr:col>8</xdr:col>
      <xdr:colOff>885190</xdr:colOff>
      <xdr:row>481</xdr:row>
      <xdr:rowOff>1209040</xdr:rowOff>
    </xdr:to>
    <xdr:pic>
      <xdr:nvPicPr>
        <xdr:cNvPr id="4521" name="Изображение 4520" descr="resizeПП-00232705"/>
        <xdr:cNvPicPr>
          <a:picLocks noChangeAspect="1"/>
        </xdr:cNvPicPr>
      </xdr:nvPicPr>
      <xdr:blipFill>
        <a:blip xmlns:r="http://schemas.openxmlformats.org/officeDocument/2006/relationships" r:embed="rId315"/>
        <a:stretch>
          <a:fillRect/>
        </a:stretch>
      </xdr:blipFill>
      <xdr:spPr>
        <a:xfrm>
          <a:off x="7264400" y="411375225"/>
          <a:ext cx="878840" cy="1183640"/>
        </a:xfrm>
        <a:prstGeom prst="rect">
          <a:avLst/>
        </a:prstGeom>
      </xdr:spPr>
    </xdr:pic>
    <xdr:clientData/>
  </xdr:twoCellAnchor>
  <xdr:twoCellAnchor>
    <xdr:from>
      <xdr:col>8</xdr:col>
      <xdr:colOff>6350</xdr:colOff>
      <xdr:row>482</xdr:row>
      <xdr:rowOff>25400</xdr:rowOff>
    </xdr:from>
    <xdr:to>
      <xdr:col>8</xdr:col>
      <xdr:colOff>885190</xdr:colOff>
      <xdr:row>482</xdr:row>
      <xdr:rowOff>1209040</xdr:rowOff>
    </xdr:to>
    <xdr:pic>
      <xdr:nvPicPr>
        <xdr:cNvPr id="4522" name="Изображение 4521" descr="resizeПП-00232702"/>
        <xdr:cNvPicPr>
          <a:picLocks noChangeAspect="1"/>
        </xdr:cNvPicPr>
      </xdr:nvPicPr>
      <xdr:blipFill>
        <a:blip xmlns:r="http://schemas.openxmlformats.org/officeDocument/2006/relationships" r:embed="rId316"/>
        <a:stretch>
          <a:fillRect/>
        </a:stretch>
      </xdr:blipFill>
      <xdr:spPr>
        <a:xfrm>
          <a:off x="7264400" y="412597600"/>
          <a:ext cx="878840" cy="1183640"/>
        </a:xfrm>
        <a:prstGeom prst="rect">
          <a:avLst/>
        </a:prstGeom>
      </xdr:spPr>
    </xdr:pic>
    <xdr:clientData/>
  </xdr:twoCellAnchor>
  <xdr:twoCellAnchor>
    <xdr:from>
      <xdr:col>8</xdr:col>
      <xdr:colOff>6350</xdr:colOff>
      <xdr:row>483</xdr:row>
      <xdr:rowOff>25400</xdr:rowOff>
    </xdr:from>
    <xdr:to>
      <xdr:col>8</xdr:col>
      <xdr:colOff>885190</xdr:colOff>
      <xdr:row>483</xdr:row>
      <xdr:rowOff>1209040</xdr:rowOff>
    </xdr:to>
    <xdr:pic>
      <xdr:nvPicPr>
        <xdr:cNvPr id="4523" name="Изображение 4522" descr="resizeПП-00232704"/>
        <xdr:cNvPicPr>
          <a:picLocks noChangeAspect="1"/>
        </xdr:cNvPicPr>
      </xdr:nvPicPr>
      <xdr:blipFill>
        <a:blip xmlns:r="http://schemas.openxmlformats.org/officeDocument/2006/relationships" r:embed="rId317"/>
        <a:stretch>
          <a:fillRect/>
        </a:stretch>
      </xdr:blipFill>
      <xdr:spPr>
        <a:xfrm>
          <a:off x="7264400" y="413819975"/>
          <a:ext cx="878840" cy="1183640"/>
        </a:xfrm>
        <a:prstGeom prst="rect">
          <a:avLst/>
        </a:prstGeom>
      </xdr:spPr>
    </xdr:pic>
    <xdr:clientData/>
  </xdr:twoCellAnchor>
  <xdr:twoCellAnchor>
    <xdr:from>
      <xdr:col>8</xdr:col>
      <xdr:colOff>6350</xdr:colOff>
      <xdr:row>484</xdr:row>
      <xdr:rowOff>25400</xdr:rowOff>
    </xdr:from>
    <xdr:to>
      <xdr:col>8</xdr:col>
      <xdr:colOff>885190</xdr:colOff>
      <xdr:row>484</xdr:row>
      <xdr:rowOff>1209040</xdr:rowOff>
    </xdr:to>
    <xdr:pic>
      <xdr:nvPicPr>
        <xdr:cNvPr id="4524" name="Изображение 4523" descr="resizeПП-00232716"/>
        <xdr:cNvPicPr>
          <a:picLocks noChangeAspect="1"/>
        </xdr:cNvPicPr>
      </xdr:nvPicPr>
      <xdr:blipFill>
        <a:blip xmlns:r="http://schemas.openxmlformats.org/officeDocument/2006/relationships" r:embed="rId318"/>
        <a:stretch>
          <a:fillRect/>
        </a:stretch>
      </xdr:blipFill>
      <xdr:spPr>
        <a:xfrm>
          <a:off x="7264400" y="415042350"/>
          <a:ext cx="878840" cy="1183640"/>
        </a:xfrm>
        <a:prstGeom prst="rect">
          <a:avLst/>
        </a:prstGeom>
      </xdr:spPr>
    </xdr:pic>
    <xdr:clientData/>
  </xdr:twoCellAnchor>
  <xdr:twoCellAnchor>
    <xdr:from>
      <xdr:col>8</xdr:col>
      <xdr:colOff>6350</xdr:colOff>
      <xdr:row>485</xdr:row>
      <xdr:rowOff>25400</xdr:rowOff>
    </xdr:from>
    <xdr:to>
      <xdr:col>8</xdr:col>
      <xdr:colOff>885190</xdr:colOff>
      <xdr:row>485</xdr:row>
      <xdr:rowOff>1209040</xdr:rowOff>
    </xdr:to>
    <xdr:pic>
      <xdr:nvPicPr>
        <xdr:cNvPr id="4525" name="Изображение 4524" descr="resizeПП-00232718"/>
        <xdr:cNvPicPr>
          <a:picLocks noChangeAspect="1"/>
        </xdr:cNvPicPr>
      </xdr:nvPicPr>
      <xdr:blipFill>
        <a:blip xmlns:r="http://schemas.openxmlformats.org/officeDocument/2006/relationships" r:embed="rId319"/>
        <a:stretch>
          <a:fillRect/>
        </a:stretch>
      </xdr:blipFill>
      <xdr:spPr>
        <a:xfrm>
          <a:off x="7264400" y="416264725"/>
          <a:ext cx="878840" cy="1183640"/>
        </a:xfrm>
        <a:prstGeom prst="rect">
          <a:avLst/>
        </a:prstGeom>
      </xdr:spPr>
    </xdr:pic>
    <xdr:clientData/>
  </xdr:twoCellAnchor>
  <xdr:twoCellAnchor>
    <xdr:from>
      <xdr:col>8</xdr:col>
      <xdr:colOff>6350</xdr:colOff>
      <xdr:row>486</xdr:row>
      <xdr:rowOff>25400</xdr:rowOff>
    </xdr:from>
    <xdr:to>
      <xdr:col>8</xdr:col>
      <xdr:colOff>885190</xdr:colOff>
      <xdr:row>486</xdr:row>
      <xdr:rowOff>1209040</xdr:rowOff>
    </xdr:to>
    <xdr:pic>
      <xdr:nvPicPr>
        <xdr:cNvPr id="4526" name="Изображение 4525" descr="resizeПП-00232711"/>
        <xdr:cNvPicPr>
          <a:picLocks noChangeAspect="1"/>
        </xdr:cNvPicPr>
      </xdr:nvPicPr>
      <xdr:blipFill>
        <a:blip xmlns:r="http://schemas.openxmlformats.org/officeDocument/2006/relationships" r:embed="rId320"/>
        <a:stretch>
          <a:fillRect/>
        </a:stretch>
      </xdr:blipFill>
      <xdr:spPr>
        <a:xfrm>
          <a:off x="7264400" y="417487100"/>
          <a:ext cx="878840" cy="1183640"/>
        </a:xfrm>
        <a:prstGeom prst="rect">
          <a:avLst/>
        </a:prstGeom>
      </xdr:spPr>
    </xdr:pic>
    <xdr:clientData/>
  </xdr:twoCellAnchor>
  <xdr:twoCellAnchor>
    <xdr:from>
      <xdr:col>8</xdr:col>
      <xdr:colOff>6350</xdr:colOff>
      <xdr:row>487</xdr:row>
      <xdr:rowOff>25400</xdr:rowOff>
    </xdr:from>
    <xdr:to>
      <xdr:col>8</xdr:col>
      <xdr:colOff>885190</xdr:colOff>
      <xdr:row>487</xdr:row>
      <xdr:rowOff>1209040</xdr:rowOff>
    </xdr:to>
    <xdr:pic>
      <xdr:nvPicPr>
        <xdr:cNvPr id="4527" name="Изображение 4526" descr="resizeПП-00232707"/>
        <xdr:cNvPicPr>
          <a:picLocks noChangeAspect="1"/>
        </xdr:cNvPicPr>
      </xdr:nvPicPr>
      <xdr:blipFill>
        <a:blip xmlns:r="http://schemas.openxmlformats.org/officeDocument/2006/relationships" r:embed="rId321"/>
        <a:stretch>
          <a:fillRect/>
        </a:stretch>
      </xdr:blipFill>
      <xdr:spPr>
        <a:xfrm>
          <a:off x="7264400" y="418709475"/>
          <a:ext cx="878840" cy="1183640"/>
        </a:xfrm>
        <a:prstGeom prst="rect">
          <a:avLst/>
        </a:prstGeom>
      </xdr:spPr>
    </xdr:pic>
    <xdr:clientData/>
  </xdr:twoCellAnchor>
  <xdr:twoCellAnchor>
    <xdr:from>
      <xdr:col>8</xdr:col>
      <xdr:colOff>6350</xdr:colOff>
      <xdr:row>488</xdr:row>
      <xdr:rowOff>25400</xdr:rowOff>
    </xdr:from>
    <xdr:to>
      <xdr:col>8</xdr:col>
      <xdr:colOff>885190</xdr:colOff>
      <xdr:row>488</xdr:row>
      <xdr:rowOff>1209040</xdr:rowOff>
    </xdr:to>
    <xdr:pic>
      <xdr:nvPicPr>
        <xdr:cNvPr id="4528" name="Изображение 4527" descr="resizeПП-00232709"/>
        <xdr:cNvPicPr>
          <a:picLocks noChangeAspect="1"/>
        </xdr:cNvPicPr>
      </xdr:nvPicPr>
      <xdr:blipFill>
        <a:blip xmlns:r="http://schemas.openxmlformats.org/officeDocument/2006/relationships" r:embed="rId322"/>
        <a:stretch>
          <a:fillRect/>
        </a:stretch>
      </xdr:blipFill>
      <xdr:spPr>
        <a:xfrm>
          <a:off x="7264400" y="419931850"/>
          <a:ext cx="878840" cy="1183640"/>
        </a:xfrm>
        <a:prstGeom prst="rect">
          <a:avLst/>
        </a:prstGeom>
      </xdr:spPr>
    </xdr:pic>
    <xdr:clientData/>
  </xdr:twoCellAnchor>
  <xdr:twoCellAnchor>
    <xdr:from>
      <xdr:col>8</xdr:col>
      <xdr:colOff>6350</xdr:colOff>
      <xdr:row>489</xdr:row>
      <xdr:rowOff>25400</xdr:rowOff>
    </xdr:from>
    <xdr:to>
      <xdr:col>8</xdr:col>
      <xdr:colOff>885190</xdr:colOff>
      <xdr:row>489</xdr:row>
      <xdr:rowOff>1209040</xdr:rowOff>
    </xdr:to>
    <xdr:pic>
      <xdr:nvPicPr>
        <xdr:cNvPr id="4529" name="Изображение 4528" descr="resizeПП-00232719"/>
        <xdr:cNvPicPr>
          <a:picLocks noChangeAspect="1"/>
        </xdr:cNvPicPr>
      </xdr:nvPicPr>
      <xdr:blipFill>
        <a:blip xmlns:r="http://schemas.openxmlformats.org/officeDocument/2006/relationships" r:embed="rId323"/>
        <a:stretch>
          <a:fillRect/>
        </a:stretch>
      </xdr:blipFill>
      <xdr:spPr>
        <a:xfrm>
          <a:off x="7264400" y="421154225"/>
          <a:ext cx="878840" cy="1183640"/>
        </a:xfrm>
        <a:prstGeom prst="rect">
          <a:avLst/>
        </a:prstGeom>
      </xdr:spPr>
    </xdr:pic>
    <xdr:clientData/>
  </xdr:twoCellAnchor>
  <xdr:twoCellAnchor>
    <xdr:from>
      <xdr:col>8</xdr:col>
      <xdr:colOff>6350</xdr:colOff>
      <xdr:row>490</xdr:row>
      <xdr:rowOff>25400</xdr:rowOff>
    </xdr:from>
    <xdr:to>
      <xdr:col>8</xdr:col>
      <xdr:colOff>885190</xdr:colOff>
      <xdr:row>490</xdr:row>
      <xdr:rowOff>1209040</xdr:rowOff>
    </xdr:to>
    <xdr:pic>
      <xdr:nvPicPr>
        <xdr:cNvPr id="4530" name="Изображение 4529" descr="resizeПП-00232722"/>
        <xdr:cNvPicPr>
          <a:picLocks noChangeAspect="1"/>
        </xdr:cNvPicPr>
      </xdr:nvPicPr>
      <xdr:blipFill>
        <a:blip xmlns:r="http://schemas.openxmlformats.org/officeDocument/2006/relationships" r:embed="rId324"/>
        <a:stretch>
          <a:fillRect/>
        </a:stretch>
      </xdr:blipFill>
      <xdr:spPr>
        <a:xfrm>
          <a:off x="7264400" y="422376600"/>
          <a:ext cx="878840" cy="1183640"/>
        </a:xfrm>
        <a:prstGeom prst="rect">
          <a:avLst/>
        </a:prstGeom>
      </xdr:spPr>
    </xdr:pic>
    <xdr:clientData/>
  </xdr:twoCellAnchor>
  <xdr:twoCellAnchor>
    <xdr:from>
      <xdr:col>8</xdr:col>
      <xdr:colOff>6350</xdr:colOff>
      <xdr:row>491</xdr:row>
      <xdr:rowOff>25400</xdr:rowOff>
    </xdr:from>
    <xdr:to>
      <xdr:col>8</xdr:col>
      <xdr:colOff>885190</xdr:colOff>
      <xdr:row>491</xdr:row>
      <xdr:rowOff>1209040</xdr:rowOff>
    </xdr:to>
    <xdr:pic>
      <xdr:nvPicPr>
        <xdr:cNvPr id="4531" name="Изображение 4530" descr="resizeПП-00232720"/>
        <xdr:cNvPicPr>
          <a:picLocks noChangeAspect="1"/>
        </xdr:cNvPicPr>
      </xdr:nvPicPr>
      <xdr:blipFill>
        <a:blip xmlns:r="http://schemas.openxmlformats.org/officeDocument/2006/relationships" r:embed="rId325"/>
        <a:stretch>
          <a:fillRect/>
        </a:stretch>
      </xdr:blipFill>
      <xdr:spPr>
        <a:xfrm>
          <a:off x="7264400" y="423598975"/>
          <a:ext cx="878840" cy="1183640"/>
        </a:xfrm>
        <a:prstGeom prst="rect">
          <a:avLst/>
        </a:prstGeom>
      </xdr:spPr>
    </xdr:pic>
    <xdr:clientData/>
  </xdr:twoCellAnchor>
  <xdr:twoCellAnchor>
    <xdr:from>
      <xdr:col>8</xdr:col>
      <xdr:colOff>6350</xdr:colOff>
      <xdr:row>492</xdr:row>
      <xdr:rowOff>25400</xdr:rowOff>
    </xdr:from>
    <xdr:to>
      <xdr:col>8</xdr:col>
      <xdr:colOff>885190</xdr:colOff>
      <xdr:row>492</xdr:row>
      <xdr:rowOff>1209040</xdr:rowOff>
    </xdr:to>
    <xdr:pic>
      <xdr:nvPicPr>
        <xdr:cNvPr id="4532" name="Изображение 4531" descr="resizeПП-00232721"/>
        <xdr:cNvPicPr>
          <a:picLocks noChangeAspect="1"/>
        </xdr:cNvPicPr>
      </xdr:nvPicPr>
      <xdr:blipFill>
        <a:blip xmlns:r="http://schemas.openxmlformats.org/officeDocument/2006/relationships" r:embed="rId326"/>
        <a:stretch>
          <a:fillRect/>
        </a:stretch>
      </xdr:blipFill>
      <xdr:spPr>
        <a:xfrm>
          <a:off x="7264400" y="424821350"/>
          <a:ext cx="878840" cy="1183640"/>
        </a:xfrm>
        <a:prstGeom prst="rect">
          <a:avLst/>
        </a:prstGeom>
      </xdr:spPr>
    </xdr:pic>
    <xdr:clientData/>
  </xdr:twoCellAnchor>
  <xdr:twoCellAnchor>
    <xdr:from>
      <xdr:col>8</xdr:col>
      <xdr:colOff>6350</xdr:colOff>
      <xdr:row>493</xdr:row>
      <xdr:rowOff>25400</xdr:rowOff>
    </xdr:from>
    <xdr:to>
      <xdr:col>8</xdr:col>
      <xdr:colOff>885190</xdr:colOff>
      <xdr:row>493</xdr:row>
      <xdr:rowOff>1209040</xdr:rowOff>
    </xdr:to>
    <xdr:pic>
      <xdr:nvPicPr>
        <xdr:cNvPr id="4533" name="Изображение 4532" descr="resizeПП-00232700"/>
        <xdr:cNvPicPr>
          <a:picLocks noChangeAspect="1"/>
        </xdr:cNvPicPr>
      </xdr:nvPicPr>
      <xdr:blipFill>
        <a:blip xmlns:r="http://schemas.openxmlformats.org/officeDocument/2006/relationships" r:embed="rId327"/>
        <a:stretch>
          <a:fillRect/>
        </a:stretch>
      </xdr:blipFill>
      <xdr:spPr>
        <a:xfrm>
          <a:off x="7264400" y="426043725"/>
          <a:ext cx="878840" cy="1183640"/>
        </a:xfrm>
        <a:prstGeom prst="rect">
          <a:avLst/>
        </a:prstGeom>
      </xdr:spPr>
    </xdr:pic>
    <xdr:clientData/>
  </xdr:twoCellAnchor>
  <xdr:twoCellAnchor>
    <xdr:from>
      <xdr:col>8</xdr:col>
      <xdr:colOff>6350</xdr:colOff>
      <xdr:row>494</xdr:row>
      <xdr:rowOff>25400</xdr:rowOff>
    </xdr:from>
    <xdr:to>
      <xdr:col>8</xdr:col>
      <xdr:colOff>885190</xdr:colOff>
      <xdr:row>494</xdr:row>
      <xdr:rowOff>1209040</xdr:rowOff>
    </xdr:to>
    <xdr:pic>
      <xdr:nvPicPr>
        <xdr:cNvPr id="4534" name="Изображение 4533" descr="resizeПП-00232697"/>
        <xdr:cNvPicPr>
          <a:picLocks noChangeAspect="1"/>
        </xdr:cNvPicPr>
      </xdr:nvPicPr>
      <xdr:blipFill>
        <a:blip xmlns:r="http://schemas.openxmlformats.org/officeDocument/2006/relationships" r:embed="rId328"/>
        <a:stretch>
          <a:fillRect/>
        </a:stretch>
      </xdr:blipFill>
      <xdr:spPr>
        <a:xfrm>
          <a:off x="7264400" y="427266100"/>
          <a:ext cx="878840" cy="1183640"/>
        </a:xfrm>
        <a:prstGeom prst="rect">
          <a:avLst/>
        </a:prstGeom>
      </xdr:spPr>
    </xdr:pic>
    <xdr:clientData/>
  </xdr:twoCellAnchor>
  <xdr:twoCellAnchor>
    <xdr:from>
      <xdr:col>8</xdr:col>
      <xdr:colOff>6350</xdr:colOff>
      <xdr:row>495</xdr:row>
      <xdr:rowOff>25400</xdr:rowOff>
    </xdr:from>
    <xdr:to>
      <xdr:col>8</xdr:col>
      <xdr:colOff>885190</xdr:colOff>
      <xdr:row>495</xdr:row>
      <xdr:rowOff>1209040</xdr:rowOff>
    </xdr:to>
    <xdr:pic>
      <xdr:nvPicPr>
        <xdr:cNvPr id="4535" name="Изображение 4534" descr="resizeПП-00232699"/>
        <xdr:cNvPicPr>
          <a:picLocks noChangeAspect="1"/>
        </xdr:cNvPicPr>
      </xdr:nvPicPr>
      <xdr:blipFill>
        <a:blip xmlns:r="http://schemas.openxmlformats.org/officeDocument/2006/relationships" r:embed="rId329"/>
        <a:stretch>
          <a:fillRect/>
        </a:stretch>
      </xdr:blipFill>
      <xdr:spPr>
        <a:xfrm>
          <a:off x="7264400" y="428488475"/>
          <a:ext cx="878840" cy="1183640"/>
        </a:xfrm>
        <a:prstGeom prst="rect">
          <a:avLst/>
        </a:prstGeom>
      </xdr:spPr>
    </xdr:pic>
    <xdr:clientData/>
  </xdr:twoCellAnchor>
  <xdr:twoCellAnchor>
    <xdr:from>
      <xdr:col>8</xdr:col>
      <xdr:colOff>6350</xdr:colOff>
      <xdr:row>496</xdr:row>
      <xdr:rowOff>25400</xdr:rowOff>
    </xdr:from>
    <xdr:to>
      <xdr:col>8</xdr:col>
      <xdr:colOff>885190</xdr:colOff>
      <xdr:row>496</xdr:row>
      <xdr:rowOff>1209040</xdr:rowOff>
    </xdr:to>
    <xdr:pic>
      <xdr:nvPicPr>
        <xdr:cNvPr id="4536" name="Изображение 4535" descr="resizeПП-00232715"/>
        <xdr:cNvPicPr>
          <a:picLocks noChangeAspect="1"/>
        </xdr:cNvPicPr>
      </xdr:nvPicPr>
      <xdr:blipFill>
        <a:blip xmlns:r="http://schemas.openxmlformats.org/officeDocument/2006/relationships" r:embed="rId330"/>
        <a:stretch>
          <a:fillRect/>
        </a:stretch>
      </xdr:blipFill>
      <xdr:spPr>
        <a:xfrm>
          <a:off x="7264400" y="429710850"/>
          <a:ext cx="878840" cy="1183640"/>
        </a:xfrm>
        <a:prstGeom prst="rect">
          <a:avLst/>
        </a:prstGeom>
      </xdr:spPr>
    </xdr:pic>
    <xdr:clientData/>
  </xdr:twoCellAnchor>
  <xdr:twoCellAnchor>
    <xdr:from>
      <xdr:col>8</xdr:col>
      <xdr:colOff>6350</xdr:colOff>
      <xdr:row>497</xdr:row>
      <xdr:rowOff>25400</xdr:rowOff>
    </xdr:from>
    <xdr:to>
      <xdr:col>8</xdr:col>
      <xdr:colOff>885190</xdr:colOff>
      <xdr:row>497</xdr:row>
      <xdr:rowOff>1209040</xdr:rowOff>
    </xdr:to>
    <xdr:pic>
      <xdr:nvPicPr>
        <xdr:cNvPr id="4537" name="Изображение 4536" descr="resizeПП-00232713"/>
        <xdr:cNvPicPr>
          <a:picLocks noChangeAspect="1"/>
        </xdr:cNvPicPr>
      </xdr:nvPicPr>
      <xdr:blipFill>
        <a:blip xmlns:r="http://schemas.openxmlformats.org/officeDocument/2006/relationships" r:embed="rId331"/>
        <a:stretch>
          <a:fillRect/>
        </a:stretch>
      </xdr:blipFill>
      <xdr:spPr>
        <a:xfrm>
          <a:off x="7264400" y="430933225"/>
          <a:ext cx="878840" cy="1183640"/>
        </a:xfrm>
        <a:prstGeom prst="rect">
          <a:avLst/>
        </a:prstGeom>
      </xdr:spPr>
    </xdr:pic>
    <xdr:clientData/>
  </xdr:twoCellAnchor>
  <xdr:twoCellAnchor>
    <xdr:from>
      <xdr:col>8</xdr:col>
      <xdr:colOff>6350</xdr:colOff>
      <xdr:row>499</xdr:row>
      <xdr:rowOff>25400</xdr:rowOff>
    </xdr:from>
    <xdr:to>
      <xdr:col>8</xdr:col>
      <xdr:colOff>885190</xdr:colOff>
      <xdr:row>499</xdr:row>
      <xdr:rowOff>1209040</xdr:rowOff>
    </xdr:to>
    <xdr:pic>
      <xdr:nvPicPr>
        <xdr:cNvPr id="4538" name="Изображение 4537" descr="resizeПП-00232687"/>
        <xdr:cNvPicPr>
          <a:picLocks noChangeAspect="1"/>
        </xdr:cNvPicPr>
      </xdr:nvPicPr>
      <xdr:blipFill>
        <a:blip xmlns:r="http://schemas.openxmlformats.org/officeDocument/2006/relationships" r:embed="rId332"/>
        <a:stretch>
          <a:fillRect/>
        </a:stretch>
      </xdr:blipFill>
      <xdr:spPr>
        <a:xfrm>
          <a:off x="7264400" y="432308000"/>
          <a:ext cx="878840" cy="1183640"/>
        </a:xfrm>
        <a:prstGeom prst="rect">
          <a:avLst/>
        </a:prstGeom>
      </xdr:spPr>
    </xdr:pic>
    <xdr:clientData/>
  </xdr:twoCellAnchor>
  <xdr:twoCellAnchor>
    <xdr:from>
      <xdr:col>8</xdr:col>
      <xdr:colOff>6350</xdr:colOff>
      <xdr:row>500</xdr:row>
      <xdr:rowOff>25400</xdr:rowOff>
    </xdr:from>
    <xdr:to>
      <xdr:col>8</xdr:col>
      <xdr:colOff>885190</xdr:colOff>
      <xdr:row>500</xdr:row>
      <xdr:rowOff>1209040</xdr:rowOff>
    </xdr:to>
    <xdr:pic>
      <xdr:nvPicPr>
        <xdr:cNvPr id="4539" name="Изображение 4538" descr="resizeПП-00232688"/>
        <xdr:cNvPicPr>
          <a:picLocks noChangeAspect="1"/>
        </xdr:cNvPicPr>
      </xdr:nvPicPr>
      <xdr:blipFill>
        <a:blip xmlns:r="http://schemas.openxmlformats.org/officeDocument/2006/relationships" r:embed="rId333"/>
        <a:stretch>
          <a:fillRect/>
        </a:stretch>
      </xdr:blipFill>
      <xdr:spPr>
        <a:xfrm>
          <a:off x="7264400" y="433530375"/>
          <a:ext cx="878840" cy="1183640"/>
        </a:xfrm>
        <a:prstGeom prst="rect">
          <a:avLst/>
        </a:prstGeom>
      </xdr:spPr>
    </xdr:pic>
    <xdr:clientData/>
  </xdr:twoCellAnchor>
  <xdr:twoCellAnchor>
    <xdr:from>
      <xdr:col>8</xdr:col>
      <xdr:colOff>6350</xdr:colOff>
      <xdr:row>501</xdr:row>
      <xdr:rowOff>25400</xdr:rowOff>
    </xdr:from>
    <xdr:to>
      <xdr:col>8</xdr:col>
      <xdr:colOff>885190</xdr:colOff>
      <xdr:row>501</xdr:row>
      <xdr:rowOff>1209040</xdr:rowOff>
    </xdr:to>
    <xdr:pic>
      <xdr:nvPicPr>
        <xdr:cNvPr id="4540" name="Изображение 4539" descr="resizeПП-00237435"/>
        <xdr:cNvPicPr>
          <a:picLocks noChangeAspect="1"/>
        </xdr:cNvPicPr>
      </xdr:nvPicPr>
      <xdr:blipFill>
        <a:blip xmlns:r="http://schemas.openxmlformats.org/officeDocument/2006/relationships" r:embed="rId334"/>
        <a:stretch>
          <a:fillRect/>
        </a:stretch>
      </xdr:blipFill>
      <xdr:spPr>
        <a:xfrm>
          <a:off x="7264400" y="434752750"/>
          <a:ext cx="878840" cy="1183640"/>
        </a:xfrm>
        <a:prstGeom prst="rect">
          <a:avLst/>
        </a:prstGeom>
      </xdr:spPr>
    </xdr:pic>
    <xdr:clientData/>
  </xdr:twoCellAnchor>
  <xdr:twoCellAnchor>
    <xdr:from>
      <xdr:col>8</xdr:col>
      <xdr:colOff>6350</xdr:colOff>
      <xdr:row>502</xdr:row>
      <xdr:rowOff>25400</xdr:rowOff>
    </xdr:from>
    <xdr:to>
      <xdr:col>8</xdr:col>
      <xdr:colOff>885190</xdr:colOff>
      <xdr:row>502</xdr:row>
      <xdr:rowOff>1209040</xdr:rowOff>
    </xdr:to>
    <xdr:pic>
      <xdr:nvPicPr>
        <xdr:cNvPr id="4541" name="Изображение 4540" descr="resizeПП-00237436"/>
        <xdr:cNvPicPr>
          <a:picLocks noChangeAspect="1"/>
        </xdr:cNvPicPr>
      </xdr:nvPicPr>
      <xdr:blipFill>
        <a:blip xmlns:r="http://schemas.openxmlformats.org/officeDocument/2006/relationships" r:embed="rId335"/>
        <a:stretch>
          <a:fillRect/>
        </a:stretch>
      </xdr:blipFill>
      <xdr:spPr>
        <a:xfrm>
          <a:off x="7264400" y="435975125"/>
          <a:ext cx="878840" cy="1183640"/>
        </a:xfrm>
        <a:prstGeom prst="rect">
          <a:avLst/>
        </a:prstGeom>
      </xdr:spPr>
    </xdr:pic>
    <xdr:clientData/>
  </xdr:twoCellAnchor>
  <xdr:twoCellAnchor>
    <xdr:from>
      <xdr:col>8</xdr:col>
      <xdr:colOff>6350</xdr:colOff>
      <xdr:row>503</xdr:row>
      <xdr:rowOff>25400</xdr:rowOff>
    </xdr:from>
    <xdr:to>
      <xdr:col>8</xdr:col>
      <xdr:colOff>885190</xdr:colOff>
      <xdr:row>503</xdr:row>
      <xdr:rowOff>1209040</xdr:rowOff>
    </xdr:to>
    <xdr:pic>
      <xdr:nvPicPr>
        <xdr:cNvPr id="4542" name="Изображение 4541" descr="resizeПП-00232690"/>
        <xdr:cNvPicPr>
          <a:picLocks noChangeAspect="1"/>
        </xdr:cNvPicPr>
      </xdr:nvPicPr>
      <xdr:blipFill>
        <a:blip xmlns:r="http://schemas.openxmlformats.org/officeDocument/2006/relationships" r:embed="rId336"/>
        <a:stretch>
          <a:fillRect/>
        </a:stretch>
      </xdr:blipFill>
      <xdr:spPr>
        <a:xfrm>
          <a:off x="7264400" y="437197500"/>
          <a:ext cx="878840" cy="1183640"/>
        </a:xfrm>
        <a:prstGeom prst="rect">
          <a:avLst/>
        </a:prstGeom>
      </xdr:spPr>
    </xdr:pic>
    <xdr:clientData/>
  </xdr:twoCellAnchor>
  <xdr:twoCellAnchor>
    <xdr:from>
      <xdr:col>8</xdr:col>
      <xdr:colOff>6350</xdr:colOff>
      <xdr:row>504</xdr:row>
      <xdr:rowOff>25400</xdr:rowOff>
    </xdr:from>
    <xdr:to>
      <xdr:col>8</xdr:col>
      <xdr:colOff>885190</xdr:colOff>
      <xdr:row>504</xdr:row>
      <xdr:rowOff>1209040</xdr:rowOff>
    </xdr:to>
    <xdr:pic>
      <xdr:nvPicPr>
        <xdr:cNvPr id="4543" name="Изображение 4542" descr="resizeПП-00232693"/>
        <xdr:cNvPicPr>
          <a:picLocks noChangeAspect="1"/>
        </xdr:cNvPicPr>
      </xdr:nvPicPr>
      <xdr:blipFill>
        <a:blip xmlns:r="http://schemas.openxmlformats.org/officeDocument/2006/relationships" r:embed="rId337"/>
        <a:stretch>
          <a:fillRect/>
        </a:stretch>
      </xdr:blipFill>
      <xdr:spPr>
        <a:xfrm>
          <a:off x="7264400" y="438419875"/>
          <a:ext cx="878840" cy="1183640"/>
        </a:xfrm>
        <a:prstGeom prst="rect">
          <a:avLst/>
        </a:prstGeom>
      </xdr:spPr>
    </xdr:pic>
    <xdr:clientData/>
  </xdr:twoCellAnchor>
  <xdr:twoCellAnchor>
    <xdr:from>
      <xdr:col>8</xdr:col>
      <xdr:colOff>6350</xdr:colOff>
      <xdr:row>506</xdr:row>
      <xdr:rowOff>25400</xdr:rowOff>
    </xdr:from>
    <xdr:to>
      <xdr:col>8</xdr:col>
      <xdr:colOff>885190</xdr:colOff>
      <xdr:row>506</xdr:row>
      <xdr:rowOff>1209040</xdr:rowOff>
    </xdr:to>
    <xdr:pic>
      <xdr:nvPicPr>
        <xdr:cNvPr id="4544" name="Изображение 4543" descr="resizeПП-00275951"/>
        <xdr:cNvPicPr>
          <a:picLocks noChangeAspect="1"/>
        </xdr:cNvPicPr>
      </xdr:nvPicPr>
      <xdr:blipFill>
        <a:blip xmlns:r="http://schemas.openxmlformats.org/officeDocument/2006/relationships" r:embed="rId338"/>
        <a:stretch>
          <a:fillRect/>
        </a:stretch>
      </xdr:blipFill>
      <xdr:spPr>
        <a:xfrm>
          <a:off x="7264400" y="439794650"/>
          <a:ext cx="878840" cy="1183640"/>
        </a:xfrm>
        <a:prstGeom prst="rect">
          <a:avLst/>
        </a:prstGeom>
      </xdr:spPr>
    </xdr:pic>
    <xdr:clientData/>
  </xdr:twoCellAnchor>
  <xdr:twoCellAnchor>
    <xdr:from>
      <xdr:col>8</xdr:col>
      <xdr:colOff>6350</xdr:colOff>
      <xdr:row>507</xdr:row>
      <xdr:rowOff>25400</xdr:rowOff>
    </xdr:from>
    <xdr:to>
      <xdr:col>8</xdr:col>
      <xdr:colOff>885190</xdr:colOff>
      <xdr:row>507</xdr:row>
      <xdr:rowOff>1209040</xdr:rowOff>
    </xdr:to>
    <xdr:pic>
      <xdr:nvPicPr>
        <xdr:cNvPr id="4545" name="Изображение 4544" descr="resizeПП-00275952"/>
        <xdr:cNvPicPr>
          <a:picLocks noChangeAspect="1"/>
        </xdr:cNvPicPr>
      </xdr:nvPicPr>
      <xdr:blipFill>
        <a:blip xmlns:r="http://schemas.openxmlformats.org/officeDocument/2006/relationships" r:embed="rId339"/>
        <a:stretch>
          <a:fillRect/>
        </a:stretch>
      </xdr:blipFill>
      <xdr:spPr>
        <a:xfrm>
          <a:off x="7264400" y="441017025"/>
          <a:ext cx="878840" cy="1183640"/>
        </a:xfrm>
        <a:prstGeom prst="rect">
          <a:avLst/>
        </a:prstGeom>
      </xdr:spPr>
    </xdr:pic>
    <xdr:clientData/>
  </xdr:twoCellAnchor>
  <xdr:twoCellAnchor>
    <xdr:from>
      <xdr:col>8</xdr:col>
      <xdr:colOff>6350</xdr:colOff>
      <xdr:row>508</xdr:row>
      <xdr:rowOff>25400</xdr:rowOff>
    </xdr:from>
    <xdr:to>
      <xdr:col>8</xdr:col>
      <xdr:colOff>885190</xdr:colOff>
      <xdr:row>508</xdr:row>
      <xdr:rowOff>1209040</xdr:rowOff>
    </xdr:to>
    <xdr:pic>
      <xdr:nvPicPr>
        <xdr:cNvPr id="4546" name="Изображение 4545" descr="resizeПП-00275950"/>
        <xdr:cNvPicPr>
          <a:picLocks noChangeAspect="1"/>
        </xdr:cNvPicPr>
      </xdr:nvPicPr>
      <xdr:blipFill>
        <a:blip xmlns:r="http://schemas.openxmlformats.org/officeDocument/2006/relationships" r:embed="rId340"/>
        <a:stretch>
          <a:fillRect/>
        </a:stretch>
      </xdr:blipFill>
      <xdr:spPr>
        <a:xfrm>
          <a:off x="7264400" y="442239400"/>
          <a:ext cx="878840" cy="1183640"/>
        </a:xfrm>
        <a:prstGeom prst="rect">
          <a:avLst/>
        </a:prstGeom>
      </xdr:spPr>
    </xdr:pic>
    <xdr:clientData/>
  </xdr:twoCellAnchor>
  <xdr:twoCellAnchor>
    <xdr:from>
      <xdr:col>8</xdr:col>
      <xdr:colOff>6350</xdr:colOff>
      <xdr:row>509</xdr:row>
      <xdr:rowOff>25400</xdr:rowOff>
    </xdr:from>
    <xdr:to>
      <xdr:col>8</xdr:col>
      <xdr:colOff>885190</xdr:colOff>
      <xdr:row>509</xdr:row>
      <xdr:rowOff>1209040</xdr:rowOff>
    </xdr:to>
    <xdr:pic>
      <xdr:nvPicPr>
        <xdr:cNvPr id="4547" name="Изображение 4546" descr="resizeПП-00275954"/>
        <xdr:cNvPicPr>
          <a:picLocks noChangeAspect="1"/>
        </xdr:cNvPicPr>
      </xdr:nvPicPr>
      <xdr:blipFill>
        <a:blip xmlns:r="http://schemas.openxmlformats.org/officeDocument/2006/relationships" r:embed="rId341"/>
        <a:stretch>
          <a:fillRect/>
        </a:stretch>
      </xdr:blipFill>
      <xdr:spPr>
        <a:xfrm>
          <a:off x="7264400" y="443461775"/>
          <a:ext cx="878840" cy="1183640"/>
        </a:xfrm>
        <a:prstGeom prst="rect">
          <a:avLst/>
        </a:prstGeom>
      </xdr:spPr>
    </xdr:pic>
    <xdr:clientData/>
  </xdr:twoCellAnchor>
  <xdr:twoCellAnchor>
    <xdr:from>
      <xdr:col>8</xdr:col>
      <xdr:colOff>6350</xdr:colOff>
      <xdr:row>510</xdr:row>
      <xdr:rowOff>25400</xdr:rowOff>
    </xdr:from>
    <xdr:to>
      <xdr:col>8</xdr:col>
      <xdr:colOff>885190</xdr:colOff>
      <xdr:row>510</xdr:row>
      <xdr:rowOff>1209040</xdr:rowOff>
    </xdr:to>
    <xdr:pic>
      <xdr:nvPicPr>
        <xdr:cNvPr id="4548" name="Изображение 4547" descr="resizeПП-00275955"/>
        <xdr:cNvPicPr>
          <a:picLocks noChangeAspect="1"/>
        </xdr:cNvPicPr>
      </xdr:nvPicPr>
      <xdr:blipFill>
        <a:blip xmlns:r="http://schemas.openxmlformats.org/officeDocument/2006/relationships" r:embed="rId342"/>
        <a:stretch>
          <a:fillRect/>
        </a:stretch>
      </xdr:blipFill>
      <xdr:spPr>
        <a:xfrm>
          <a:off x="7264400" y="444684150"/>
          <a:ext cx="878840" cy="1183640"/>
        </a:xfrm>
        <a:prstGeom prst="rect">
          <a:avLst/>
        </a:prstGeom>
      </xdr:spPr>
    </xdr:pic>
    <xdr:clientData/>
  </xdr:twoCellAnchor>
  <xdr:twoCellAnchor>
    <xdr:from>
      <xdr:col>8</xdr:col>
      <xdr:colOff>6350</xdr:colOff>
      <xdr:row>511</xdr:row>
      <xdr:rowOff>25400</xdr:rowOff>
    </xdr:from>
    <xdr:to>
      <xdr:col>8</xdr:col>
      <xdr:colOff>885190</xdr:colOff>
      <xdr:row>511</xdr:row>
      <xdr:rowOff>1209040</xdr:rowOff>
    </xdr:to>
    <xdr:pic>
      <xdr:nvPicPr>
        <xdr:cNvPr id="4549" name="Изображение 4548" descr="resizeПП-00275953"/>
        <xdr:cNvPicPr>
          <a:picLocks noChangeAspect="1"/>
        </xdr:cNvPicPr>
      </xdr:nvPicPr>
      <xdr:blipFill>
        <a:blip xmlns:r="http://schemas.openxmlformats.org/officeDocument/2006/relationships" r:embed="rId343"/>
        <a:stretch>
          <a:fillRect/>
        </a:stretch>
      </xdr:blipFill>
      <xdr:spPr>
        <a:xfrm>
          <a:off x="7264400" y="445906525"/>
          <a:ext cx="878840" cy="1183640"/>
        </a:xfrm>
        <a:prstGeom prst="rect">
          <a:avLst/>
        </a:prstGeom>
      </xdr:spPr>
    </xdr:pic>
    <xdr:clientData/>
  </xdr:twoCellAnchor>
  <xdr:twoCellAnchor>
    <xdr:from>
      <xdr:col>8</xdr:col>
      <xdr:colOff>6350</xdr:colOff>
      <xdr:row>512</xdr:row>
      <xdr:rowOff>25400</xdr:rowOff>
    </xdr:from>
    <xdr:to>
      <xdr:col>8</xdr:col>
      <xdr:colOff>885190</xdr:colOff>
      <xdr:row>512</xdr:row>
      <xdr:rowOff>1209040</xdr:rowOff>
    </xdr:to>
    <xdr:pic>
      <xdr:nvPicPr>
        <xdr:cNvPr id="4550" name="Изображение 4549" descr="resizeПП-00257428"/>
        <xdr:cNvPicPr>
          <a:picLocks noChangeAspect="1"/>
        </xdr:cNvPicPr>
      </xdr:nvPicPr>
      <xdr:blipFill>
        <a:blip xmlns:r="http://schemas.openxmlformats.org/officeDocument/2006/relationships" r:embed="rId344"/>
        <a:stretch>
          <a:fillRect/>
        </a:stretch>
      </xdr:blipFill>
      <xdr:spPr>
        <a:xfrm>
          <a:off x="7264400" y="447128900"/>
          <a:ext cx="878840" cy="1183640"/>
        </a:xfrm>
        <a:prstGeom prst="rect">
          <a:avLst/>
        </a:prstGeom>
      </xdr:spPr>
    </xdr:pic>
    <xdr:clientData/>
  </xdr:twoCellAnchor>
  <xdr:twoCellAnchor>
    <xdr:from>
      <xdr:col>8</xdr:col>
      <xdr:colOff>6350</xdr:colOff>
      <xdr:row>513</xdr:row>
      <xdr:rowOff>25400</xdr:rowOff>
    </xdr:from>
    <xdr:to>
      <xdr:col>8</xdr:col>
      <xdr:colOff>885190</xdr:colOff>
      <xdr:row>513</xdr:row>
      <xdr:rowOff>1209040</xdr:rowOff>
    </xdr:to>
    <xdr:pic>
      <xdr:nvPicPr>
        <xdr:cNvPr id="4551" name="Изображение 4550" descr="resizeПП-00257427"/>
        <xdr:cNvPicPr>
          <a:picLocks noChangeAspect="1"/>
        </xdr:cNvPicPr>
      </xdr:nvPicPr>
      <xdr:blipFill>
        <a:blip xmlns:r="http://schemas.openxmlformats.org/officeDocument/2006/relationships" r:embed="rId345"/>
        <a:stretch>
          <a:fillRect/>
        </a:stretch>
      </xdr:blipFill>
      <xdr:spPr>
        <a:xfrm>
          <a:off x="7264400" y="448351275"/>
          <a:ext cx="878840" cy="1183640"/>
        </a:xfrm>
        <a:prstGeom prst="rect">
          <a:avLst/>
        </a:prstGeom>
      </xdr:spPr>
    </xdr:pic>
    <xdr:clientData/>
  </xdr:twoCellAnchor>
  <xdr:twoCellAnchor>
    <xdr:from>
      <xdr:col>8</xdr:col>
      <xdr:colOff>6350</xdr:colOff>
      <xdr:row>516</xdr:row>
      <xdr:rowOff>25400</xdr:rowOff>
    </xdr:from>
    <xdr:to>
      <xdr:col>8</xdr:col>
      <xdr:colOff>885190</xdr:colOff>
      <xdr:row>516</xdr:row>
      <xdr:rowOff>1209040</xdr:rowOff>
    </xdr:to>
    <xdr:pic>
      <xdr:nvPicPr>
        <xdr:cNvPr id="4552" name="Изображение 4551" descr="resizeПП-00232745"/>
        <xdr:cNvPicPr>
          <a:picLocks noChangeAspect="1"/>
        </xdr:cNvPicPr>
      </xdr:nvPicPr>
      <xdr:blipFill>
        <a:blip xmlns:r="http://schemas.openxmlformats.org/officeDocument/2006/relationships" r:embed="rId346"/>
        <a:stretch>
          <a:fillRect/>
        </a:stretch>
      </xdr:blipFill>
      <xdr:spPr>
        <a:xfrm>
          <a:off x="7264400" y="449878450"/>
          <a:ext cx="878840" cy="1183640"/>
        </a:xfrm>
        <a:prstGeom prst="rect">
          <a:avLst/>
        </a:prstGeom>
      </xdr:spPr>
    </xdr:pic>
    <xdr:clientData/>
  </xdr:twoCellAnchor>
  <xdr:twoCellAnchor>
    <xdr:from>
      <xdr:col>8</xdr:col>
      <xdr:colOff>6350</xdr:colOff>
      <xdr:row>517</xdr:row>
      <xdr:rowOff>25400</xdr:rowOff>
    </xdr:from>
    <xdr:to>
      <xdr:col>8</xdr:col>
      <xdr:colOff>885190</xdr:colOff>
      <xdr:row>517</xdr:row>
      <xdr:rowOff>1209040</xdr:rowOff>
    </xdr:to>
    <xdr:pic>
      <xdr:nvPicPr>
        <xdr:cNvPr id="4553" name="Изображение 4552" descr="resizeПП-00232743"/>
        <xdr:cNvPicPr>
          <a:picLocks noChangeAspect="1"/>
        </xdr:cNvPicPr>
      </xdr:nvPicPr>
      <xdr:blipFill>
        <a:blip xmlns:r="http://schemas.openxmlformats.org/officeDocument/2006/relationships" r:embed="rId347"/>
        <a:stretch>
          <a:fillRect/>
        </a:stretch>
      </xdr:blipFill>
      <xdr:spPr>
        <a:xfrm>
          <a:off x="7264400" y="451100825"/>
          <a:ext cx="878840" cy="1183640"/>
        </a:xfrm>
        <a:prstGeom prst="rect">
          <a:avLst/>
        </a:prstGeom>
      </xdr:spPr>
    </xdr:pic>
    <xdr:clientData/>
  </xdr:twoCellAnchor>
  <xdr:twoCellAnchor>
    <xdr:from>
      <xdr:col>8</xdr:col>
      <xdr:colOff>6350</xdr:colOff>
      <xdr:row>518</xdr:row>
      <xdr:rowOff>25400</xdr:rowOff>
    </xdr:from>
    <xdr:to>
      <xdr:col>8</xdr:col>
      <xdr:colOff>885190</xdr:colOff>
      <xdr:row>518</xdr:row>
      <xdr:rowOff>1209040</xdr:rowOff>
    </xdr:to>
    <xdr:pic>
      <xdr:nvPicPr>
        <xdr:cNvPr id="4554" name="Изображение 4553" descr="resizeПП-00232744"/>
        <xdr:cNvPicPr>
          <a:picLocks noChangeAspect="1"/>
        </xdr:cNvPicPr>
      </xdr:nvPicPr>
      <xdr:blipFill>
        <a:blip xmlns:r="http://schemas.openxmlformats.org/officeDocument/2006/relationships" r:embed="rId348"/>
        <a:stretch>
          <a:fillRect/>
        </a:stretch>
      </xdr:blipFill>
      <xdr:spPr>
        <a:xfrm>
          <a:off x="7264400" y="452323200"/>
          <a:ext cx="878840" cy="1183640"/>
        </a:xfrm>
        <a:prstGeom prst="rect">
          <a:avLst/>
        </a:prstGeom>
      </xdr:spPr>
    </xdr:pic>
    <xdr:clientData/>
  </xdr:twoCellAnchor>
  <xdr:twoCellAnchor>
    <xdr:from>
      <xdr:col>8</xdr:col>
      <xdr:colOff>6350</xdr:colOff>
      <xdr:row>519</xdr:row>
      <xdr:rowOff>25400</xdr:rowOff>
    </xdr:from>
    <xdr:to>
      <xdr:col>8</xdr:col>
      <xdr:colOff>885190</xdr:colOff>
      <xdr:row>519</xdr:row>
      <xdr:rowOff>1209040</xdr:rowOff>
    </xdr:to>
    <xdr:pic>
      <xdr:nvPicPr>
        <xdr:cNvPr id="4555" name="Изображение 4554" descr="resizeПП-00232742"/>
        <xdr:cNvPicPr>
          <a:picLocks noChangeAspect="1"/>
        </xdr:cNvPicPr>
      </xdr:nvPicPr>
      <xdr:blipFill>
        <a:blip xmlns:r="http://schemas.openxmlformats.org/officeDocument/2006/relationships" r:embed="rId349"/>
        <a:stretch>
          <a:fillRect/>
        </a:stretch>
      </xdr:blipFill>
      <xdr:spPr>
        <a:xfrm>
          <a:off x="7264400" y="453545575"/>
          <a:ext cx="878840" cy="1183640"/>
        </a:xfrm>
        <a:prstGeom prst="rect">
          <a:avLst/>
        </a:prstGeom>
      </xdr:spPr>
    </xdr:pic>
    <xdr:clientData/>
  </xdr:twoCellAnchor>
  <xdr:twoCellAnchor>
    <xdr:from>
      <xdr:col>8</xdr:col>
      <xdr:colOff>6350</xdr:colOff>
      <xdr:row>520</xdr:row>
      <xdr:rowOff>25400</xdr:rowOff>
    </xdr:from>
    <xdr:to>
      <xdr:col>8</xdr:col>
      <xdr:colOff>885190</xdr:colOff>
      <xdr:row>520</xdr:row>
      <xdr:rowOff>1209040</xdr:rowOff>
    </xdr:to>
    <xdr:pic>
      <xdr:nvPicPr>
        <xdr:cNvPr id="4556" name="Изображение 4555" descr="resizeПП-00232741"/>
        <xdr:cNvPicPr>
          <a:picLocks noChangeAspect="1"/>
        </xdr:cNvPicPr>
      </xdr:nvPicPr>
      <xdr:blipFill>
        <a:blip xmlns:r="http://schemas.openxmlformats.org/officeDocument/2006/relationships" r:embed="rId350"/>
        <a:stretch>
          <a:fillRect/>
        </a:stretch>
      </xdr:blipFill>
      <xdr:spPr>
        <a:xfrm>
          <a:off x="7264400" y="454767950"/>
          <a:ext cx="878840" cy="1183640"/>
        </a:xfrm>
        <a:prstGeom prst="rect">
          <a:avLst/>
        </a:prstGeom>
      </xdr:spPr>
    </xdr:pic>
    <xdr:clientData/>
  </xdr:twoCellAnchor>
  <xdr:twoCellAnchor>
    <xdr:from>
      <xdr:col>8</xdr:col>
      <xdr:colOff>6350</xdr:colOff>
      <xdr:row>521</xdr:row>
      <xdr:rowOff>25400</xdr:rowOff>
    </xdr:from>
    <xdr:to>
      <xdr:col>8</xdr:col>
      <xdr:colOff>885190</xdr:colOff>
      <xdr:row>521</xdr:row>
      <xdr:rowOff>1209040</xdr:rowOff>
    </xdr:to>
    <xdr:pic>
      <xdr:nvPicPr>
        <xdr:cNvPr id="4557" name="Изображение 4556" descr="resizeПП-00232739"/>
        <xdr:cNvPicPr>
          <a:picLocks noChangeAspect="1"/>
        </xdr:cNvPicPr>
      </xdr:nvPicPr>
      <xdr:blipFill>
        <a:blip xmlns:r="http://schemas.openxmlformats.org/officeDocument/2006/relationships" r:embed="rId351"/>
        <a:stretch>
          <a:fillRect/>
        </a:stretch>
      </xdr:blipFill>
      <xdr:spPr>
        <a:xfrm>
          <a:off x="7264400" y="455990325"/>
          <a:ext cx="878840" cy="1183640"/>
        </a:xfrm>
        <a:prstGeom prst="rect">
          <a:avLst/>
        </a:prstGeom>
      </xdr:spPr>
    </xdr:pic>
    <xdr:clientData/>
  </xdr:twoCellAnchor>
  <xdr:twoCellAnchor>
    <xdr:from>
      <xdr:col>8</xdr:col>
      <xdr:colOff>6350</xdr:colOff>
      <xdr:row>522</xdr:row>
      <xdr:rowOff>25400</xdr:rowOff>
    </xdr:from>
    <xdr:to>
      <xdr:col>8</xdr:col>
      <xdr:colOff>885190</xdr:colOff>
      <xdr:row>522</xdr:row>
      <xdr:rowOff>1209040</xdr:rowOff>
    </xdr:to>
    <xdr:pic>
      <xdr:nvPicPr>
        <xdr:cNvPr id="4558" name="Изображение 4557" descr="resizeПП-00232737"/>
        <xdr:cNvPicPr>
          <a:picLocks noChangeAspect="1"/>
        </xdr:cNvPicPr>
      </xdr:nvPicPr>
      <xdr:blipFill>
        <a:blip xmlns:r="http://schemas.openxmlformats.org/officeDocument/2006/relationships" r:embed="rId352"/>
        <a:stretch>
          <a:fillRect/>
        </a:stretch>
      </xdr:blipFill>
      <xdr:spPr>
        <a:xfrm>
          <a:off x="7264400" y="457212700"/>
          <a:ext cx="878840" cy="1183640"/>
        </a:xfrm>
        <a:prstGeom prst="rect">
          <a:avLst/>
        </a:prstGeom>
      </xdr:spPr>
    </xdr:pic>
    <xdr:clientData/>
  </xdr:twoCellAnchor>
  <xdr:twoCellAnchor>
    <xdr:from>
      <xdr:col>8</xdr:col>
      <xdr:colOff>6350</xdr:colOff>
      <xdr:row>523</xdr:row>
      <xdr:rowOff>25400</xdr:rowOff>
    </xdr:from>
    <xdr:to>
      <xdr:col>8</xdr:col>
      <xdr:colOff>885190</xdr:colOff>
      <xdr:row>523</xdr:row>
      <xdr:rowOff>1209040</xdr:rowOff>
    </xdr:to>
    <xdr:pic>
      <xdr:nvPicPr>
        <xdr:cNvPr id="4559" name="Изображение 4558" descr="resizeПП-00232732"/>
        <xdr:cNvPicPr>
          <a:picLocks noChangeAspect="1"/>
        </xdr:cNvPicPr>
      </xdr:nvPicPr>
      <xdr:blipFill>
        <a:blip xmlns:r="http://schemas.openxmlformats.org/officeDocument/2006/relationships" r:embed="rId353"/>
        <a:stretch>
          <a:fillRect/>
        </a:stretch>
      </xdr:blipFill>
      <xdr:spPr>
        <a:xfrm>
          <a:off x="7264400" y="458435075"/>
          <a:ext cx="878840" cy="1183640"/>
        </a:xfrm>
        <a:prstGeom prst="rect">
          <a:avLst/>
        </a:prstGeom>
      </xdr:spPr>
    </xdr:pic>
    <xdr:clientData/>
  </xdr:twoCellAnchor>
  <xdr:twoCellAnchor>
    <xdr:from>
      <xdr:col>8</xdr:col>
      <xdr:colOff>6350</xdr:colOff>
      <xdr:row>524</xdr:row>
      <xdr:rowOff>25400</xdr:rowOff>
    </xdr:from>
    <xdr:to>
      <xdr:col>8</xdr:col>
      <xdr:colOff>885190</xdr:colOff>
      <xdr:row>524</xdr:row>
      <xdr:rowOff>1209040</xdr:rowOff>
    </xdr:to>
    <xdr:pic>
      <xdr:nvPicPr>
        <xdr:cNvPr id="4560" name="Изображение 4559" descr="resizeПП-00232734"/>
        <xdr:cNvPicPr>
          <a:picLocks noChangeAspect="1"/>
        </xdr:cNvPicPr>
      </xdr:nvPicPr>
      <xdr:blipFill>
        <a:blip xmlns:r="http://schemas.openxmlformats.org/officeDocument/2006/relationships" r:embed="rId354"/>
        <a:stretch>
          <a:fillRect/>
        </a:stretch>
      </xdr:blipFill>
      <xdr:spPr>
        <a:xfrm>
          <a:off x="7264400" y="459657450"/>
          <a:ext cx="878840" cy="1183640"/>
        </a:xfrm>
        <a:prstGeom prst="rect">
          <a:avLst/>
        </a:prstGeom>
      </xdr:spPr>
    </xdr:pic>
    <xdr:clientData/>
  </xdr:twoCellAnchor>
  <xdr:twoCellAnchor>
    <xdr:from>
      <xdr:col>8</xdr:col>
      <xdr:colOff>6350</xdr:colOff>
      <xdr:row>526</xdr:row>
      <xdr:rowOff>25400</xdr:rowOff>
    </xdr:from>
    <xdr:to>
      <xdr:col>8</xdr:col>
      <xdr:colOff>885190</xdr:colOff>
      <xdr:row>526</xdr:row>
      <xdr:rowOff>1209040</xdr:rowOff>
    </xdr:to>
    <xdr:pic>
      <xdr:nvPicPr>
        <xdr:cNvPr id="4561" name="Изображение 4560" descr="resizeПП-00235793"/>
        <xdr:cNvPicPr>
          <a:picLocks noChangeAspect="1"/>
        </xdr:cNvPicPr>
      </xdr:nvPicPr>
      <xdr:blipFill>
        <a:blip xmlns:r="http://schemas.openxmlformats.org/officeDocument/2006/relationships" r:embed="rId355"/>
        <a:stretch>
          <a:fillRect/>
        </a:stretch>
      </xdr:blipFill>
      <xdr:spPr>
        <a:xfrm>
          <a:off x="7264400" y="461032225"/>
          <a:ext cx="878840" cy="1183640"/>
        </a:xfrm>
        <a:prstGeom prst="rect">
          <a:avLst/>
        </a:prstGeom>
      </xdr:spPr>
    </xdr:pic>
    <xdr:clientData/>
  </xdr:twoCellAnchor>
  <xdr:twoCellAnchor>
    <xdr:from>
      <xdr:col>8</xdr:col>
      <xdr:colOff>6350</xdr:colOff>
      <xdr:row>527</xdr:row>
      <xdr:rowOff>25400</xdr:rowOff>
    </xdr:from>
    <xdr:to>
      <xdr:col>8</xdr:col>
      <xdr:colOff>885190</xdr:colOff>
      <xdr:row>527</xdr:row>
      <xdr:rowOff>1209040</xdr:rowOff>
    </xdr:to>
    <xdr:pic>
      <xdr:nvPicPr>
        <xdr:cNvPr id="4562" name="Изображение 4561" descr="resizeПП-00235794"/>
        <xdr:cNvPicPr>
          <a:picLocks noChangeAspect="1"/>
        </xdr:cNvPicPr>
      </xdr:nvPicPr>
      <xdr:blipFill>
        <a:blip xmlns:r="http://schemas.openxmlformats.org/officeDocument/2006/relationships" r:embed="rId355"/>
        <a:stretch>
          <a:fillRect/>
        </a:stretch>
      </xdr:blipFill>
      <xdr:spPr>
        <a:xfrm>
          <a:off x="7264400" y="462254600"/>
          <a:ext cx="878840" cy="1183640"/>
        </a:xfrm>
        <a:prstGeom prst="rect">
          <a:avLst/>
        </a:prstGeom>
      </xdr:spPr>
    </xdr:pic>
    <xdr:clientData/>
  </xdr:twoCellAnchor>
  <xdr:twoCellAnchor>
    <xdr:from>
      <xdr:col>8</xdr:col>
      <xdr:colOff>6350</xdr:colOff>
      <xdr:row>528</xdr:row>
      <xdr:rowOff>25400</xdr:rowOff>
    </xdr:from>
    <xdr:to>
      <xdr:col>8</xdr:col>
      <xdr:colOff>885190</xdr:colOff>
      <xdr:row>528</xdr:row>
      <xdr:rowOff>1209040</xdr:rowOff>
    </xdr:to>
    <xdr:pic>
      <xdr:nvPicPr>
        <xdr:cNvPr id="4563" name="Изображение 4562" descr="resizeПП-00235791"/>
        <xdr:cNvPicPr>
          <a:picLocks noChangeAspect="1"/>
        </xdr:cNvPicPr>
      </xdr:nvPicPr>
      <xdr:blipFill>
        <a:blip xmlns:r="http://schemas.openxmlformats.org/officeDocument/2006/relationships" r:embed="rId355"/>
        <a:stretch>
          <a:fillRect/>
        </a:stretch>
      </xdr:blipFill>
      <xdr:spPr>
        <a:xfrm>
          <a:off x="7264400" y="463476975"/>
          <a:ext cx="878840" cy="1183640"/>
        </a:xfrm>
        <a:prstGeom prst="rect">
          <a:avLst/>
        </a:prstGeom>
      </xdr:spPr>
    </xdr:pic>
    <xdr:clientData/>
  </xdr:twoCellAnchor>
  <xdr:twoCellAnchor>
    <xdr:from>
      <xdr:col>8</xdr:col>
      <xdr:colOff>6350</xdr:colOff>
      <xdr:row>529</xdr:row>
      <xdr:rowOff>25400</xdr:rowOff>
    </xdr:from>
    <xdr:to>
      <xdr:col>8</xdr:col>
      <xdr:colOff>885190</xdr:colOff>
      <xdr:row>529</xdr:row>
      <xdr:rowOff>1209040</xdr:rowOff>
    </xdr:to>
    <xdr:pic>
      <xdr:nvPicPr>
        <xdr:cNvPr id="4564" name="Изображение 4563" descr="resizeПП-00235792"/>
        <xdr:cNvPicPr>
          <a:picLocks noChangeAspect="1"/>
        </xdr:cNvPicPr>
      </xdr:nvPicPr>
      <xdr:blipFill>
        <a:blip xmlns:r="http://schemas.openxmlformats.org/officeDocument/2006/relationships" r:embed="rId355"/>
        <a:stretch>
          <a:fillRect/>
        </a:stretch>
      </xdr:blipFill>
      <xdr:spPr>
        <a:xfrm>
          <a:off x="7264400" y="464699350"/>
          <a:ext cx="878840" cy="1183640"/>
        </a:xfrm>
        <a:prstGeom prst="rect">
          <a:avLst/>
        </a:prstGeom>
      </xdr:spPr>
    </xdr:pic>
    <xdr:clientData/>
  </xdr:twoCellAnchor>
  <xdr:twoCellAnchor>
    <xdr:from>
      <xdr:col>8</xdr:col>
      <xdr:colOff>6350</xdr:colOff>
      <xdr:row>530</xdr:row>
      <xdr:rowOff>25400</xdr:rowOff>
    </xdr:from>
    <xdr:to>
      <xdr:col>8</xdr:col>
      <xdr:colOff>885190</xdr:colOff>
      <xdr:row>530</xdr:row>
      <xdr:rowOff>1209040</xdr:rowOff>
    </xdr:to>
    <xdr:pic>
      <xdr:nvPicPr>
        <xdr:cNvPr id="4565" name="Изображение 4564" descr="resizeПП-00235797"/>
        <xdr:cNvPicPr>
          <a:picLocks noChangeAspect="1"/>
        </xdr:cNvPicPr>
      </xdr:nvPicPr>
      <xdr:blipFill>
        <a:blip xmlns:r="http://schemas.openxmlformats.org/officeDocument/2006/relationships" r:embed="rId356"/>
        <a:stretch>
          <a:fillRect/>
        </a:stretch>
      </xdr:blipFill>
      <xdr:spPr>
        <a:xfrm>
          <a:off x="7264400" y="465921725"/>
          <a:ext cx="878840" cy="1183640"/>
        </a:xfrm>
        <a:prstGeom prst="rect">
          <a:avLst/>
        </a:prstGeom>
      </xdr:spPr>
    </xdr:pic>
    <xdr:clientData/>
  </xdr:twoCellAnchor>
  <xdr:twoCellAnchor>
    <xdr:from>
      <xdr:col>8</xdr:col>
      <xdr:colOff>6350</xdr:colOff>
      <xdr:row>531</xdr:row>
      <xdr:rowOff>25400</xdr:rowOff>
    </xdr:from>
    <xdr:to>
      <xdr:col>8</xdr:col>
      <xdr:colOff>885190</xdr:colOff>
      <xdr:row>531</xdr:row>
      <xdr:rowOff>1209040</xdr:rowOff>
    </xdr:to>
    <xdr:pic>
      <xdr:nvPicPr>
        <xdr:cNvPr id="4566" name="Изображение 4565" descr="resizeПП-00235798"/>
        <xdr:cNvPicPr>
          <a:picLocks noChangeAspect="1"/>
        </xdr:cNvPicPr>
      </xdr:nvPicPr>
      <xdr:blipFill>
        <a:blip xmlns:r="http://schemas.openxmlformats.org/officeDocument/2006/relationships" r:embed="rId357"/>
        <a:stretch>
          <a:fillRect/>
        </a:stretch>
      </xdr:blipFill>
      <xdr:spPr>
        <a:xfrm>
          <a:off x="7264400" y="467144100"/>
          <a:ext cx="878840" cy="1183640"/>
        </a:xfrm>
        <a:prstGeom prst="rect">
          <a:avLst/>
        </a:prstGeom>
      </xdr:spPr>
    </xdr:pic>
    <xdr:clientData/>
  </xdr:twoCellAnchor>
  <xdr:twoCellAnchor>
    <xdr:from>
      <xdr:col>8</xdr:col>
      <xdr:colOff>6350</xdr:colOff>
      <xdr:row>532</xdr:row>
      <xdr:rowOff>25400</xdr:rowOff>
    </xdr:from>
    <xdr:to>
      <xdr:col>8</xdr:col>
      <xdr:colOff>885190</xdr:colOff>
      <xdr:row>532</xdr:row>
      <xdr:rowOff>1209040</xdr:rowOff>
    </xdr:to>
    <xdr:pic>
      <xdr:nvPicPr>
        <xdr:cNvPr id="4567" name="Изображение 4566" descr="resizeПП-00235795"/>
        <xdr:cNvPicPr>
          <a:picLocks noChangeAspect="1"/>
        </xdr:cNvPicPr>
      </xdr:nvPicPr>
      <xdr:blipFill>
        <a:blip xmlns:r="http://schemas.openxmlformats.org/officeDocument/2006/relationships" r:embed="rId358"/>
        <a:stretch>
          <a:fillRect/>
        </a:stretch>
      </xdr:blipFill>
      <xdr:spPr>
        <a:xfrm>
          <a:off x="7264400" y="468366475"/>
          <a:ext cx="878840" cy="1183640"/>
        </a:xfrm>
        <a:prstGeom prst="rect">
          <a:avLst/>
        </a:prstGeom>
      </xdr:spPr>
    </xdr:pic>
    <xdr:clientData/>
  </xdr:twoCellAnchor>
  <xdr:twoCellAnchor>
    <xdr:from>
      <xdr:col>8</xdr:col>
      <xdr:colOff>6350</xdr:colOff>
      <xdr:row>533</xdr:row>
      <xdr:rowOff>25400</xdr:rowOff>
    </xdr:from>
    <xdr:to>
      <xdr:col>8</xdr:col>
      <xdr:colOff>885190</xdr:colOff>
      <xdr:row>533</xdr:row>
      <xdr:rowOff>1209040</xdr:rowOff>
    </xdr:to>
    <xdr:pic>
      <xdr:nvPicPr>
        <xdr:cNvPr id="4568" name="Изображение 4567" descr="resizeПП-00235796"/>
        <xdr:cNvPicPr>
          <a:picLocks noChangeAspect="1"/>
        </xdr:cNvPicPr>
      </xdr:nvPicPr>
      <xdr:blipFill>
        <a:blip xmlns:r="http://schemas.openxmlformats.org/officeDocument/2006/relationships" r:embed="rId359"/>
        <a:stretch>
          <a:fillRect/>
        </a:stretch>
      </xdr:blipFill>
      <xdr:spPr>
        <a:xfrm>
          <a:off x="7264400" y="469588850"/>
          <a:ext cx="878840" cy="1183640"/>
        </a:xfrm>
        <a:prstGeom prst="rect">
          <a:avLst/>
        </a:prstGeom>
      </xdr:spPr>
    </xdr:pic>
    <xdr:clientData/>
  </xdr:twoCellAnchor>
  <xdr:twoCellAnchor>
    <xdr:from>
      <xdr:col>8</xdr:col>
      <xdr:colOff>6350</xdr:colOff>
      <xdr:row>534</xdr:row>
      <xdr:rowOff>25400</xdr:rowOff>
    </xdr:from>
    <xdr:to>
      <xdr:col>8</xdr:col>
      <xdr:colOff>885190</xdr:colOff>
      <xdr:row>534</xdr:row>
      <xdr:rowOff>1209040</xdr:rowOff>
    </xdr:to>
    <xdr:pic>
      <xdr:nvPicPr>
        <xdr:cNvPr id="4569" name="Изображение 4568" descr="resizeПП-00235785"/>
        <xdr:cNvPicPr>
          <a:picLocks noChangeAspect="1"/>
        </xdr:cNvPicPr>
      </xdr:nvPicPr>
      <xdr:blipFill>
        <a:blip xmlns:r="http://schemas.openxmlformats.org/officeDocument/2006/relationships" r:embed="rId360"/>
        <a:stretch>
          <a:fillRect/>
        </a:stretch>
      </xdr:blipFill>
      <xdr:spPr>
        <a:xfrm>
          <a:off x="7264400" y="470811225"/>
          <a:ext cx="878840" cy="1183640"/>
        </a:xfrm>
        <a:prstGeom prst="rect">
          <a:avLst/>
        </a:prstGeom>
      </xdr:spPr>
    </xdr:pic>
    <xdr:clientData/>
  </xdr:twoCellAnchor>
  <xdr:twoCellAnchor>
    <xdr:from>
      <xdr:col>8</xdr:col>
      <xdr:colOff>6350</xdr:colOff>
      <xdr:row>535</xdr:row>
      <xdr:rowOff>25400</xdr:rowOff>
    </xdr:from>
    <xdr:to>
      <xdr:col>8</xdr:col>
      <xdr:colOff>885190</xdr:colOff>
      <xdr:row>535</xdr:row>
      <xdr:rowOff>1209040</xdr:rowOff>
    </xdr:to>
    <xdr:pic>
      <xdr:nvPicPr>
        <xdr:cNvPr id="4570" name="Изображение 4569" descr="resizeПП-00235783"/>
        <xdr:cNvPicPr>
          <a:picLocks noChangeAspect="1"/>
        </xdr:cNvPicPr>
      </xdr:nvPicPr>
      <xdr:blipFill>
        <a:blip xmlns:r="http://schemas.openxmlformats.org/officeDocument/2006/relationships" r:embed="rId360"/>
        <a:stretch>
          <a:fillRect/>
        </a:stretch>
      </xdr:blipFill>
      <xdr:spPr>
        <a:xfrm>
          <a:off x="7264400" y="472033600"/>
          <a:ext cx="878840" cy="1183640"/>
        </a:xfrm>
        <a:prstGeom prst="rect">
          <a:avLst/>
        </a:prstGeom>
      </xdr:spPr>
    </xdr:pic>
    <xdr:clientData/>
  </xdr:twoCellAnchor>
  <xdr:twoCellAnchor>
    <xdr:from>
      <xdr:col>8</xdr:col>
      <xdr:colOff>6350</xdr:colOff>
      <xdr:row>536</xdr:row>
      <xdr:rowOff>25400</xdr:rowOff>
    </xdr:from>
    <xdr:to>
      <xdr:col>8</xdr:col>
      <xdr:colOff>885190</xdr:colOff>
      <xdr:row>536</xdr:row>
      <xdr:rowOff>1209040</xdr:rowOff>
    </xdr:to>
    <xdr:pic>
      <xdr:nvPicPr>
        <xdr:cNvPr id="4571" name="Изображение 4570" descr="resizeПП-00235784"/>
        <xdr:cNvPicPr>
          <a:picLocks noChangeAspect="1"/>
        </xdr:cNvPicPr>
      </xdr:nvPicPr>
      <xdr:blipFill>
        <a:blip xmlns:r="http://schemas.openxmlformats.org/officeDocument/2006/relationships" r:embed="rId360"/>
        <a:stretch>
          <a:fillRect/>
        </a:stretch>
      </xdr:blipFill>
      <xdr:spPr>
        <a:xfrm>
          <a:off x="7264400" y="473255975"/>
          <a:ext cx="878840" cy="1183640"/>
        </a:xfrm>
        <a:prstGeom prst="rect">
          <a:avLst/>
        </a:prstGeom>
      </xdr:spPr>
    </xdr:pic>
    <xdr:clientData/>
  </xdr:twoCellAnchor>
  <xdr:twoCellAnchor>
    <xdr:from>
      <xdr:col>8</xdr:col>
      <xdr:colOff>6350</xdr:colOff>
      <xdr:row>537</xdr:row>
      <xdr:rowOff>25400</xdr:rowOff>
    </xdr:from>
    <xdr:to>
      <xdr:col>8</xdr:col>
      <xdr:colOff>885190</xdr:colOff>
      <xdr:row>537</xdr:row>
      <xdr:rowOff>1209040</xdr:rowOff>
    </xdr:to>
    <xdr:pic>
      <xdr:nvPicPr>
        <xdr:cNvPr id="4572" name="Изображение 4571" descr="resizeПП-00235782"/>
        <xdr:cNvPicPr>
          <a:picLocks noChangeAspect="1"/>
        </xdr:cNvPicPr>
      </xdr:nvPicPr>
      <xdr:blipFill>
        <a:blip xmlns:r="http://schemas.openxmlformats.org/officeDocument/2006/relationships" r:embed="rId360"/>
        <a:stretch>
          <a:fillRect/>
        </a:stretch>
      </xdr:blipFill>
      <xdr:spPr>
        <a:xfrm>
          <a:off x="7264400" y="474478350"/>
          <a:ext cx="878840" cy="1183640"/>
        </a:xfrm>
        <a:prstGeom prst="rect">
          <a:avLst/>
        </a:prstGeom>
      </xdr:spPr>
    </xdr:pic>
    <xdr:clientData/>
  </xdr:twoCellAnchor>
  <xdr:twoCellAnchor>
    <xdr:from>
      <xdr:col>8</xdr:col>
      <xdr:colOff>6350</xdr:colOff>
      <xdr:row>538</xdr:row>
      <xdr:rowOff>25400</xdr:rowOff>
    </xdr:from>
    <xdr:to>
      <xdr:col>8</xdr:col>
      <xdr:colOff>885190</xdr:colOff>
      <xdr:row>538</xdr:row>
      <xdr:rowOff>1209040</xdr:rowOff>
    </xdr:to>
    <xdr:pic>
      <xdr:nvPicPr>
        <xdr:cNvPr id="4573" name="Изображение 4572" descr="resizeПП-00235789"/>
        <xdr:cNvPicPr>
          <a:picLocks noChangeAspect="1"/>
        </xdr:cNvPicPr>
      </xdr:nvPicPr>
      <xdr:blipFill>
        <a:blip xmlns:r="http://schemas.openxmlformats.org/officeDocument/2006/relationships" r:embed="rId361"/>
        <a:stretch>
          <a:fillRect/>
        </a:stretch>
      </xdr:blipFill>
      <xdr:spPr>
        <a:xfrm>
          <a:off x="7264400" y="475700725"/>
          <a:ext cx="878840" cy="1183640"/>
        </a:xfrm>
        <a:prstGeom prst="rect">
          <a:avLst/>
        </a:prstGeom>
      </xdr:spPr>
    </xdr:pic>
    <xdr:clientData/>
  </xdr:twoCellAnchor>
  <xdr:twoCellAnchor>
    <xdr:from>
      <xdr:col>8</xdr:col>
      <xdr:colOff>6350</xdr:colOff>
      <xdr:row>539</xdr:row>
      <xdr:rowOff>25400</xdr:rowOff>
    </xdr:from>
    <xdr:to>
      <xdr:col>8</xdr:col>
      <xdr:colOff>885190</xdr:colOff>
      <xdr:row>539</xdr:row>
      <xdr:rowOff>1209040</xdr:rowOff>
    </xdr:to>
    <xdr:pic>
      <xdr:nvPicPr>
        <xdr:cNvPr id="4574" name="Изображение 4573" descr="resizeПП-00235790"/>
        <xdr:cNvPicPr>
          <a:picLocks noChangeAspect="1"/>
        </xdr:cNvPicPr>
      </xdr:nvPicPr>
      <xdr:blipFill>
        <a:blip xmlns:r="http://schemas.openxmlformats.org/officeDocument/2006/relationships" r:embed="rId361"/>
        <a:stretch>
          <a:fillRect/>
        </a:stretch>
      </xdr:blipFill>
      <xdr:spPr>
        <a:xfrm>
          <a:off x="7264400" y="476923100"/>
          <a:ext cx="878840" cy="1183640"/>
        </a:xfrm>
        <a:prstGeom prst="rect">
          <a:avLst/>
        </a:prstGeom>
      </xdr:spPr>
    </xdr:pic>
    <xdr:clientData/>
  </xdr:twoCellAnchor>
  <xdr:twoCellAnchor>
    <xdr:from>
      <xdr:col>8</xdr:col>
      <xdr:colOff>6350</xdr:colOff>
      <xdr:row>540</xdr:row>
      <xdr:rowOff>25400</xdr:rowOff>
    </xdr:from>
    <xdr:to>
      <xdr:col>8</xdr:col>
      <xdr:colOff>885190</xdr:colOff>
      <xdr:row>540</xdr:row>
      <xdr:rowOff>1209040</xdr:rowOff>
    </xdr:to>
    <xdr:pic>
      <xdr:nvPicPr>
        <xdr:cNvPr id="4575" name="Изображение 4574" descr="resizeПП-00235788"/>
        <xdr:cNvPicPr>
          <a:picLocks noChangeAspect="1"/>
        </xdr:cNvPicPr>
      </xdr:nvPicPr>
      <xdr:blipFill>
        <a:blip xmlns:r="http://schemas.openxmlformats.org/officeDocument/2006/relationships" r:embed="rId361"/>
        <a:stretch>
          <a:fillRect/>
        </a:stretch>
      </xdr:blipFill>
      <xdr:spPr>
        <a:xfrm>
          <a:off x="7264400" y="478145475"/>
          <a:ext cx="878840" cy="1183640"/>
        </a:xfrm>
        <a:prstGeom prst="rect">
          <a:avLst/>
        </a:prstGeom>
      </xdr:spPr>
    </xdr:pic>
    <xdr:clientData/>
  </xdr:twoCellAnchor>
  <xdr:twoCellAnchor>
    <xdr:from>
      <xdr:col>8</xdr:col>
      <xdr:colOff>6350</xdr:colOff>
      <xdr:row>541</xdr:row>
      <xdr:rowOff>25400</xdr:rowOff>
    </xdr:from>
    <xdr:to>
      <xdr:col>8</xdr:col>
      <xdr:colOff>885190</xdr:colOff>
      <xdr:row>541</xdr:row>
      <xdr:rowOff>1209040</xdr:rowOff>
    </xdr:to>
    <xdr:pic>
      <xdr:nvPicPr>
        <xdr:cNvPr id="4576" name="Изображение 4575" descr="resizeПП-00235786"/>
        <xdr:cNvPicPr>
          <a:picLocks noChangeAspect="1"/>
        </xdr:cNvPicPr>
      </xdr:nvPicPr>
      <xdr:blipFill>
        <a:blip xmlns:r="http://schemas.openxmlformats.org/officeDocument/2006/relationships" r:embed="rId361"/>
        <a:stretch>
          <a:fillRect/>
        </a:stretch>
      </xdr:blipFill>
      <xdr:spPr>
        <a:xfrm>
          <a:off x="7264400" y="479367850"/>
          <a:ext cx="878840" cy="1183640"/>
        </a:xfrm>
        <a:prstGeom prst="rect">
          <a:avLst/>
        </a:prstGeom>
      </xdr:spPr>
    </xdr:pic>
    <xdr:clientData/>
  </xdr:twoCellAnchor>
  <xdr:twoCellAnchor>
    <xdr:from>
      <xdr:col>8</xdr:col>
      <xdr:colOff>6350</xdr:colOff>
      <xdr:row>543</xdr:row>
      <xdr:rowOff>25400</xdr:rowOff>
    </xdr:from>
    <xdr:to>
      <xdr:col>8</xdr:col>
      <xdr:colOff>885190</xdr:colOff>
      <xdr:row>543</xdr:row>
      <xdr:rowOff>1209040</xdr:rowOff>
    </xdr:to>
    <xdr:pic>
      <xdr:nvPicPr>
        <xdr:cNvPr id="4577" name="Изображение 4576" descr="resizeПП-00232751"/>
        <xdr:cNvPicPr>
          <a:picLocks noChangeAspect="1"/>
        </xdr:cNvPicPr>
      </xdr:nvPicPr>
      <xdr:blipFill>
        <a:blip xmlns:r="http://schemas.openxmlformats.org/officeDocument/2006/relationships" r:embed="rId362"/>
        <a:stretch>
          <a:fillRect/>
        </a:stretch>
      </xdr:blipFill>
      <xdr:spPr>
        <a:xfrm>
          <a:off x="7264400" y="480742625"/>
          <a:ext cx="878840" cy="1183640"/>
        </a:xfrm>
        <a:prstGeom prst="rect">
          <a:avLst/>
        </a:prstGeom>
      </xdr:spPr>
    </xdr:pic>
    <xdr:clientData/>
  </xdr:twoCellAnchor>
  <xdr:twoCellAnchor>
    <xdr:from>
      <xdr:col>8</xdr:col>
      <xdr:colOff>6350</xdr:colOff>
      <xdr:row>544</xdr:row>
      <xdr:rowOff>25400</xdr:rowOff>
    </xdr:from>
    <xdr:to>
      <xdr:col>8</xdr:col>
      <xdr:colOff>885190</xdr:colOff>
      <xdr:row>544</xdr:row>
      <xdr:rowOff>1209040</xdr:rowOff>
    </xdr:to>
    <xdr:pic>
      <xdr:nvPicPr>
        <xdr:cNvPr id="4578" name="Изображение 4577" descr="resizeПП-00232748"/>
        <xdr:cNvPicPr>
          <a:picLocks noChangeAspect="1"/>
        </xdr:cNvPicPr>
      </xdr:nvPicPr>
      <xdr:blipFill>
        <a:blip xmlns:r="http://schemas.openxmlformats.org/officeDocument/2006/relationships" r:embed="rId363"/>
        <a:stretch>
          <a:fillRect/>
        </a:stretch>
      </xdr:blipFill>
      <xdr:spPr>
        <a:xfrm>
          <a:off x="7264400" y="481965000"/>
          <a:ext cx="878840" cy="1183640"/>
        </a:xfrm>
        <a:prstGeom prst="rect">
          <a:avLst/>
        </a:prstGeom>
      </xdr:spPr>
    </xdr:pic>
    <xdr:clientData/>
  </xdr:twoCellAnchor>
  <xdr:twoCellAnchor>
    <xdr:from>
      <xdr:col>8</xdr:col>
      <xdr:colOff>6350</xdr:colOff>
      <xdr:row>545</xdr:row>
      <xdr:rowOff>25400</xdr:rowOff>
    </xdr:from>
    <xdr:to>
      <xdr:col>8</xdr:col>
      <xdr:colOff>885190</xdr:colOff>
      <xdr:row>545</xdr:row>
      <xdr:rowOff>1209040</xdr:rowOff>
    </xdr:to>
    <xdr:pic>
      <xdr:nvPicPr>
        <xdr:cNvPr id="4579" name="Изображение 4578" descr="resizeПП-00232749"/>
        <xdr:cNvPicPr>
          <a:picLocks noChangeAspect="1"/>
        </xdr:cNvPicPr>
      </xdr:nvPicPr>
      <xdr:blipFill>
        <a:blip xmlns:r="http://schemas.openxmlformats.org/officeDocument/2006/relationships" r:embed="rId364"/>
        <a:stretch>
          <a:fillRect/>
        </a:stretch>
      </xdr:blipFill>
      <xdr:spPr>
        <a:xfrm>
          <a:off x="7264400" y="483187375"/>
          <a:ext cx="878840" cy="1183640"/>
        </a:xfrm>
        <a:prstGeom prst="rect">
          <a:avLst/>
        </a:prstGeom>
      </xdr:spPr>
    </xdr:pic>
    <xdr:clientData/>
  </xdr:twoCellAnchor>
  <xdr:twoCellAnchor>
    <xdr:from>
      <xdr:col>8</xdr:col>
      <xdr:colOff>6350</xdr:colOff>
      <xdr:row>546</xdr:row>
      <xdr:rowOff>25400</xdr:rowOff>
    </xdr:from>
    <xdr:to>
      <xdr:col>8</xdr:col>
      <xdr:colOff>885190</xdr:colOff>
      <xdr:row>546</xdr:row>
      <xdr:rowOff>1209040</xdr:rowOff>
    </xdr:to>
    <xdr:pic>
      <xdr:nvPicPr>
        <xdr:cNvPr id="4580" name="Изображение 4579" descr="resizeПП-00232760"/>
        <xdr:cNvPicPr>
          <a:picLocks noChangeAspect="1"/>
        </xdr:cNvPicPr>
      </xdr:nvPicPr>
      <xdr:blipFill>
        <a:blip xmlns:r="http://schemas.openxmlformats.org/officeDocument/2006/relationships" r:embed="rId365"/>
        <a:stretch>
          <a:fillRect/>
        </a:stretch>
      </xdr:blipFill>
      <xdr:spPr>
        <a:xfrm>
          <a:off x="7264400" y="484409750"/>
          <a:ext cx="878840" cy="1183640"/>
        </a:xfrm>
        <a:prstGeom prst="rect">
          <a:avLst/>
        </a:prstGeom>
      </xdr:spPr>
    </xdr:pic>
    <xdr:clientData/>
  </xdr:twoCellAnchor>
  <xdr:twoCellAnchor>
    <xdr:from>
      <xdr:col>8</xdr:col>
      <xdr:colOff>6350</xdr:colOff>
      <xdr:row>547</xdr:row>
      <xdr:rowOff>25400</xdr:rowOff>
    </xdr:from>
    <xdr:to>
      <xdr:col>8</xdr:col>
      <xdr:colOff>885190</xdr:colOff>
      <xdr:row>547</xdr:row>
      <xdr:rowOff>1209040</xdr:rowOff>
    </xdr:to>
    <xdr:pic>
      <xdr:nvPicPr>
        <xdr:cNvPr id="4581" name="Изображение 4580" descr="resizeПП-00232753"/>
        <xdr:cNvPicPr>
          <a:picLocks noChangeAspect="1"/>
        </xdr:cNvPicPr>
      </xdr:nvPicPr>
      <xdr:blipFill>
        <a:blip xmlns:r="http://schemas.openxmlformats.org/officeDocument/2006/relationships" r:embed="rId366"/>
        <a:stretch>
          <a:fillRect/>
        </a:stretch>
      </xdr:blipFill>
      <xdr:spPr>
        <a:xfrm>
          <a:off x="7264400" y="485632125"/>
          <a:ext cx="878840" cy="1183640"/>
        </a:xfrm>
        <a:prstGeom prst="rect">
          <a:avLst/>
        </a:prstGeom>
      </xdr:spPr>
    </xdr:pic>
    <xdr:clientData/>
  </xdr:twoCellAnchor>
  <xdr:twoCellAnchor>
    <xdr:from>
      <xdr:col>8</xdr:col>
      <xdr:colOff>6350</xdr:colOff>
      <xdr:row>548</xdr:row>
      <xdr:rowOff>25400</xdr:rowOff>
    </xdr:from>
    <xdr:to>
      <xdr:col>8</xdr:col>
      <xdr:colOff>885190</xdr:colOff>
      <xdr:row>548</xdr:row>
      <xdr:rowOff>1209040</xdr:rowOff>
    </xdr:to>
    <xdr:pic>
      <xdr:nvPicPr>
        <xdr:cNvPr id="4582" name="Изображение 4581" descr="resizeПП-00232756"/>
        <xdr:cNvPicPr>
          <a:picLocks noChangeAspect="1"/>
        </xdr:cNvPicPr>
      </xdr:nvPicPr>
      <xdr:blipFill>
        <a:blip xmlns:r="http://schemas.openxmlformats.org/officeDocument/2006/relationships" r:embed="rId367"/>
        <a:stretch>
          <a:fillRect/>
        </a:stretch>
      </xdr:blipFill>
      <xdr:spPr>
        <a:xfrm>
          <a:off x="7264400" y="486854500"/>
          <a:ext cx="878840" cy="1183640"/>
        </a:xfrm>
        <a:prstGeom prst="rect">
          <a:avLst/>
        </a:prstGeom>
      </xdr:spPr>
    </xdr:pic>
    <xdr:clientData/>
  </xdr:twoCellAnchor>
  <xdr:twoCellAnchor>
    <xdr:from>
      <xdr:col>8</xdr:col>
      <xdr:colOff>6350</xdr:colOff>
      <xdr:row>549</xdr:row>
      <xdr:rowOff>25400</xdr:rowOff>
    </xdr:from>
    <xdr:to>
      <xdr:col>8</xdr:col>
      <xdr:colOff>885190</xdr:colOff>
      <xdr:row>549</xdr:row>
      <xdr:rowOff>1209040</xdr:rowOff>
    </xdr:to>
    <xdr:pic>
      <xdr:nvPicPr>
        <xdr:cNvPr id="4583" name="Изображение 4582" descr="resizeПП-00232762"/>
        <xdr:cNvPicPr>
          <a:picLocks noChangeAspect="1"/>
        </xdr:cNvPicPr>
      </xdr:nvPicPr>
      <xdr:blipFill>
        <a:blip xmlns:r="http://schemas.openxmlformats.org/officeDocument/2006/relationships" r:embed="rId368"/>
        <a:stretch>
          <a:fillRect/>
        </a:stretch>
      </xdr:blipFill>
      <xdr:spPr>
        <a:xfrm>
          <a:off x="7264400" y="488076875"/>
          <a:ext cx="878840" cy="1183640"/>
        </a:xfrm>
        <a:prstGeom prst="rect">
          <a:avLst/>
        </a:prstGeom>
      </xdr:spPr>
    </xdr:pic>
    <xdr:clientData/>
  </xdr:twoCellAnchor>
  <xdr:twoCellAnchor>
    <xdr:from>
      <xdr:col>8</xdr:col>
      <xdr:colOff>6350</xdr:colOff>
      <xdr:row>550</xdr:row>
      <xdr:rowOff>25400</xdr:rowOff>
    </xdr:from>
    <xdr:to>
      <xdr:col>8</xdr:col>
      <xdr:colOff>885190</xdr:colOff>
      <xdr:row>550</xdr:row>
      <xdr:rowOff>1209040</xdr:rowOff>
    </xdr:to>
    <xdr:pic>
      <xdr:nvPicPr>
        <xdr:cNvPr id="4584" name="Изображение 4583" descr="resizeПП-00232764"/>
        <xdr:cNvPicPr>
          <a:picLocks noChangeAspect="1"/>
        </xdr:cNvPicPr>
      </xdr:nvPicPr>
      <xdr:blipFill>
        <a:blip xmlns:r="http://schemas.openxmlformats.org/officeDocument/2006/relationships" r:embed="rId369"/>
        <a:stretch>
          <a:fillRect/>
        </a:stretch>
      </xdr:blipFill>
      <xdr:spPr>
        <a:xfrm>
          <a:off x="7264400" y="489299250"/>
          <a:ext cx="878840" cy="1183640"/>
        </a:xfrm>
        <a:prstGeom prst="rect">
          <a:avLst/>
        </a:prstGeom>
      </xdr:spPr>
    </xdr:pic>
    <xdr:clientData/>
  </xdr:twoCellAnchor>
  <xdr:twoCellAnchor>
    <xdr:from>
      <xdr:col>8</xdr:col>
      <xdr:colOff>6350</xdr:colOff>
      <xdr:row>551</xdr:row>
      <xdr:rowOff>25400</xdr:rowOff>
    </xdr:from>
    <xdr:to>
      <xdr:col>8</xdr:col>
      <xdr:colOff>885190</xdr:colOff>
      <xdr:row>551</xdr:row>
      <xdr:rowOff>1209040</xdr:rowOff>
    </xdr:to>
    <xdr:pic>
      <xdr:nvPicPr>
        <xdr:cNvPr id="4585" name="Изображение 4584" descr="resizeПП-00232763"/>
        <xdr:cNvPicPr>
          <a:picLocks noChangeAspect="1"/>
        </xdr:cNvPicPr>
      </xdr:nvPicPr>
      <xdr:blipFill>
        <a:blip xmlns:r="http://schemas.openxmlformats.org/officeDocument/2006/relationships" r:embed="rId370"/>
        <a:stretch>
          <a:fillRect/>
        </a:stretch>
      </xdr:blipFill>
      <xdr:spPr>
        <a:xfrm>
          <a:off x="7264400" y="490521625"/>
          <a:ext cx="878840" cy="1183640"/>
        </a:xfrm>
        <a:prstGeom prst="rect">
          <a:avLst/>
        </a:prstGeom>
      </xdr:spPr>
    </xdr:pic>
    <xdr:clientData/>
  </xdr:twoCellAnchor>
  <xdr:twoCellAnchor>
    <xdr:from>
      <xdr:col>8</xdr:col>
      <xdr:colOff>6350</xdr:colOff>
      <xdr:row>554</xdr:row>
      <xdr:rowOff>25400</xdr:rowOff>
    </xdr:from>
    <xdr:to>
      <xdr:col>8</xdr:col>
      <xdr:colOff>885190</xdr:colOff>
      <xdr:row>554</xdr:row>
      <xdr:rowOff>1209040</xdr:rowOff>
    </xdr:to>
    <xdr:pic>
      <xdr:nvPicPr>
        <xdr:cNvPr id="4586" name="Изображение 4585" descr="resizeПП-00188373"/>
        <xdr:cNvPicPr>
          <a:picLocks noChangeAspect="1"/>
        </xdr:cNvPicPr>
      </xdr:nvPicPr>
      <xdr:blipFill>
        <a:blip xmlns:r="http://schemas.openxmlformats.org/officeDocument/2006/relationships" r:embed="rId371"/>
        <a:stretch>
          <a:fillRect/>
        </a:stretch>
      </xdr:blipFill>
      <xdr:spPr>
        <a:xfrm>
          <a:off x="7264400" y="492048800"/>
          <a:ext cx="878840" cy="1183640"/>
        </a:xfrm>
        <a:prstGeom prst="rect">
          <a:avLst/>
        </a:prstGeom>
      </xdr:spPr>
    </xdr:pic>
    <xdr:clientData/>
  </xdr:twoCellAnchor>
  <xdr:twoCellAnchor>
    <xdr:from>
      <xdr:col>8</xdr:col>
      <xdr:colOff>6350</xdr:colOff>
      <xdr:row>555</xdr:row>
      <xdr:rowOff>25400</xdr:rowOff>
    </xdr:from>
    <xdr:to>
      <xdr:col>8</xdr:col>
      <xdr:colOff>885190</xdr:colOff>
      <xdr:row>555</xdr:row>
      <xdr:rowOff>1209040</xdr:rowOff>
    </xdr:to>
    <xdr:pic>
      <xdr:nvPicPr>
        <xdr:cNvPr id="4587" name="Изображение 4586" descr="resizeПП-00213742"/>
        <xdr:cNvPicPr>
          <a:picLocks noChangeAspect="1"/>
        </xdr:cNvPicPr>
      </xdr:nvPicPr>
      <xdr:blipFill>
        <a:blip xmlns:r="http://schemas.openxmlformats.org/officeDocument/2006/relationships" r:embed="rId372"/>
        <a:stretch>
          <a:fillRect/>
        </a:stretch>
      </xdr:blipFill>
      <xdr:spPr>
        <a:xfrm>
          <a:off x="7264400" y="493271175"/>
          <a:ext cx="878840" cy="1183640"/>
        </a:xfrm>
        <a:prstGeom prst="rect">
          <a:avLst/>
        </a:prstGeom>
      </xdr:spPr>
    </xdr:pic>
    <xdr:clientData/>
  </xdr:twoCellAnchor>
  <xdr:twoCellAnchor>
    <xdr:from>
      <xdr:col>8</xdr:col>
      <xdr:colOff>6350</xdr:colOff>
      <xdr:row>556</xdr:row>
      <xdr:rowOff>25400</xdr:rowOff>
    </xdr:from>
    <xdr:to>
      <xdr:col>8</xdr:col>
      <xdr:colOff>885190</xdr:colOff>
      <xdr:row>556</xdr:row>
      <xdr:rowOff>1209040</xdr:rowOff>
    </xdr:to>
    <xdr:pic>
      <xdr:nvPicPr>
        <xdr:cNvPr id="4588" name="Изображение 4587" descr="resizeПП-00213528"/>
        <xdr:cNvPicPr>
          <a:picLocks noChangeAspect="1"/>
        </xdr:cNvPicPr>
      </xdr:nvPicPr>
      <xdr:blipFill>
        <a:blip xmlns:r="http://schemas.openxmlformats.org/officeDocument/2006/relationships" r:embed="rId373"/>
        <a:stretch>
          <a:fillRect/>
        </a:stretch>
      </xdr:blipFill>
      <xdr:spPr>
        <a:xfrm>
          <a:off x="7264400" y="494493550"/>
          <a:ext cx="878840" cy="1183640"/>
        </a:xfrm>
        <a:prstGeom prst="rect">
          <a:avLst/>
        </a:prstGeom>
      </xdr:spPr>
    </xdr:pic>
    <xdr:clientData/>
  </xdr:twoCellAnchor>
  <xdr:twoCellAnchor>
    <xdr:from>
      <xdr:col>8</xdr:col>
      <xdr:colOff>6350</xdr:colOff>
      <xdr:row>557</xdr:row>
      <xdr:rowOff>25400</xdr:rowOff>
    </xdr:from>
    <xdr:to>
      <xdr:col>8</xdr:col>
      <xdr:colOff>885190</xdr:colOff>
      <xdr:row>557</xdr:row>
      <xdr:rowOff>1209040</xdr:rowOff>
    </xdr:to>
    <xdr:pic>
      <xdr:nvPicPr>
        <xdr:cNvPr id="4589" name="Изображение 4588" descr="resizeПП-00165120"/>
        <xdr:cNvPicPr>
          <a:picLocks noChangeAspect="1"/>
        </xdr:cNvPicPr>
      </xdr:nvPicPr>
      <xdr:blipFill>
        <a:blip xmlns:r="http://schemas.openxmlformats.org/officeDocument/2006/relationships" r:embed="rId374"/>
        <a:stretch>
          <a:fillRect/>
        </a:stretch>
      </xdr:blipFill>
      <xdr:spPr>
        <a:xfrm>
          <a:off x="7264400" y="495715925"/>
          <a:ext cx="878840" cy="1183640"/>
        </a:xfrm>
        <a:prstGeom prst="rect">
          <a:avLst/>
        </a:prstGeom>
      </xdr:spPr>
    </xdr:pic>
    <xdr:clientData/>
  </xdr:twoCellAnchor>
  <xdr:twoCellAnchor>
    <xdr:from>
      <xdr:col>8</xdr:col>
      <xdr:colOff>6350</xdr:colOff>
      <xdr:row>559</xdr:row>
      <xdr:rowOff>25400</xdr:rowOff>
    </xdr:from>
    <xdr:to>
      <xdr:col>8</xdr:col>
      <xdr:colOff>885190</xdr:colOff>
      <xdr:row>559</xdr:row>
      <xdr:rowOff>1209040</xdr:rowOff>
    </xdr:to>
    <xdr:pic>
      <xdr:nvPicPr>
        <xdr:cNvPr id="4590" name="Изображение 4589" descr="resizeПП-00165085"/>
        <xdr:cNvPicPr>
          <a:picLocks noChangeAspect="1"/>
        </xdr:cNvPicPr>
      </xdr:nvPicPr>
      <xdr:blipFill>
        <a:blip xmlns:r="http://schemas.openxmlformats.org/officeDocument/2006/relationships" r:embed="rId375"/>
        <a:stretch>
          <a:fillRect/>
        </a:stretch>
      </xdr:blipFill>
      <xdr:spPr>
        <a:xfrm>
          <a:off x="7264400" y="497090700"/>
          <a:ext cx="878840" cy="1183640"/>
        </a:xfrm>
        <a:prstGeom prst="rect">
          <a:avLst/>
        </a:prstGeom>
      </xdr:spPr>
    </xdr:pic>
    <xdr:clientData/>
  </xdr:twoCellAnchor>
  <xdr:twoCellAnchor>
    <xdr:from>
      <xdr:col>8</xdr:col>
      <xdr:colOff>6350</xdr:colOff>
      <xdr:row>560</xdr:row>
      <xdr:rowOff>25400</xdr:rowOff>
    </xdr:from>
    <xdr:to>
      <xdr:col>8</xdr:col>
      <xdr:colOff>885190</xdr:colOff>
      <xdr:row>560</xdr:row>
      <xdr:rowOff>1209040</xdr:rowOff>
    </xdr:to>
    <xdr:pic>
      <xdr:nvPicPr>
        <xdr:cNvPr id="4591" name="Изображение 4590" descr="resizeПП-00173529"/>
        <xdr:cNvPicPr>
          <a:picLocks noChangeAspect="1"/>
        </xdr:cNvPicPr>
      </xdr:nvPicPr>
      <xdr:blipFill>
        <a:blip xmlns:r="http://schemas.openxmlformats.org/officeDocument/2006/relationships" r:embed="rId376"/>
        <a:stretch>
          <a:fillRect/>
        </a:stretch>
      </xdr:blipFill>
      <xdr:spPr>
        <a:xfrm>
          <a:off x="7264400" y="498313075"/>
          <a:ext cx="878840" cy="1183640"/>
        </a:xfrm>
        <a:prstGeom prst="rect">
          <a:avLst/>
        </a:prstGeom>
      </xdr:spPr>
    </xdr:pic>
    <xdr:clientData/>
  </xdr:twoCellAnchor>
  <xdr:twoCellAnchor>
    <xdr:from>
      <xdr:col>8</xdr:col>
      <xdr:colOff>6350</xdr:colOff>
      <xdr:row>561</xdr:row>
      <xdr:rowOff>25400</xdr:rowOff>
    </xdr:from>
    <xdr:to>
      <xdr:col>8</xdr:col>
      <xdr:colOff>885190</xdr:colOff>
      <xdr:row>561</xdr:row>
      <xdr:rowOff>1209040</xdr:rowOff>
    </xdr:to>
    <xdr:pic>
      <xdr:nvPicPr>
        <xdr:cNvPr id="4592" name="Изображение 4591" descr="resizeПП-00173528"/>
        <xdr:cNvPicPr>
          <a:picLocks noChangeAspect="1"/>
        </xdr:cNvPicPr>
      </xdr:nvPicPr>
      <xdr:blipFill>
        <a:blip xmlns:r="http://schemas.openxmlformats.org/officeDocument/2006/relationships" r:embed="rId377"/>
        <a:stretch>
          <a:fillRect/>
        </a:stretch>
      </xdr:blipFill>
      <xdr:spPr>
        <a:xfrm>
          <a:off x="7264400" y="499535450"/>
          <a:ext cx="878840" cy="1183640"/>
        </a:xfrm>
        <a:prstGeom prst="rect">
          <a:avLst/>
        </a:prstGeom>
      </xdr:spPr>
    </xdr:pic>
    <xdr:clientData/>
  </xdr:twoCellAnchor>
  <xdr:twoCellAnchor>
    <xdr:from>
      <xdr:col>8</xdr:col>
      <xdr:colOff>6350</xdr:colOff>
      <xdr:row>563</xdr:row>
      <xdr:rowOff>25400</xdr:rowOff>
    </xdr:from>
    <xdr:to>
      <xdr:col>8</xdr:col>
      <xdr:colOff>885190</xdr:colOff>
      <xdr:row>563</xdr:row>
      <xdr:rowOff>1209040</xdr:rowOff>
    </xdr:to>
    <xdr:pic>
      <xdr:nvPicPr>
        <xdr:cNvPr id="4593" name="Изображение 4592" descr="resizeПП-00188425"/>
        <xdr:cNvPicPr>
          <a:picLocks noChangeAspect="1"/>
        </xdr:cNvPicPr>
      </xdr:nvPicPr>
      <xdr:blipFill>
        <a:blip xmlns:r="http://schemas.openxmlformats.org/officeDocument/2006/relationships" r:embed="rId378"/>
        <a:stretch>
          <a:fillRect/>
        </a:stretch>
      </xdr:blipFill>
      <xdr:spPr>
        <a:xfrm>
          <a:off x="7264400" y="500910225"/>
          <a:ext cx="878840" cy="1183640"/>
        </a:xfrm>
        <a:prstGeom prst="rect">
          <a:avLst/>
        </a:prstGeom>
      </xdr:spPr>
    </xdr:pic>
    <xdr:clientData/>
  </xdr:twoCellAnchor>
  <xdr:twoCellAnchor>
    <xdr:from>
      <xdr:col>8</xdr:col>
      <xdr:colOff>6350</xdr:colOff>
      <xdr:row>565</xdr:row>
      <xdr:rowOff>25400</xdr:rowOff>
    </xdr:from>
    <xdr:to>
      <xdr:col>8</xdr:col>
      <xdr:colOff>885190</xdr:colOff>
      <xdr:row>565</xdr:row>
      <xdr:rowOff>1209040</xdr:rowOff>
    </xdr:to>
    <xdr:pic>
      <xdr:nvPicPr>
        <xdr:cNvPr id="4594" name="Изображение 4593" descr="resizeПП-00173541"/>
        <xdr:cNvPicPr>
          <a:picLocks noChangeAspect="1"/>
        </xdr:cNvPicPr>
      </xdr:nvPicPr>
      <xdr:blipFill>
        <a:blip xmlns:r="http://schemas.openxmlformats.org/officeDocument/2006/relationships" r:embed="rId379"/>
        <a:stretch>
          <a:fillRect/>
        </a:stretch>
      </xdr:blipFill>
      <xdr:spPr>
        <a:xfrm>
          <a:off x="7264400" y="502285000"/>
          <a:ext cx="878840" cy="1183640"/>
        </a:xfrm>
        <a:prstGeom prst="rect">
          <a:avLst/>
        </a:prstGeom>
      </xdr:spPr>
    </xdr:pic>
    <xdr:clientData/>
  </xdr:twoCellAnchor>
  <xdr:twoCellAnchor>
    <xdr:from>
      <xdr:col>8</xdr:col>
      <xdr:colOff>6350</xdr:colOff>
      <xdr:row>566</xdr:row>
      <xdr:rowOff>25400</xdr:rowOff>
    </xdr:from>
    <xdr:to>
      <xdr:col>8</xdr:col>
      <xdr:colOff>885190</xdr:colOff>
      <xdr:row>566</xdr:row>
      <xdr:rowOff>1209040</xdr:rowOff>
    </xdr:to>
    <xdr:pic>
      <xdr:nvPicPr>
        <xdr:cNvPr id="4595" name="Изображение 4594" descr="resizeПП-00194344"/>
        <xdr:cNvPicPr>
          <a:picLocks noChangeAspect="1"/>
        </xdr:cNvPicPr>
      </xdr:nvPicPr>
      <xdr:blipFill>
        <a:blip xmlns:r="http://schemas.openxmlformats.org/officeDocument/2006/relationships" r:embed="rId380"/>
        <a:stretch>
          <a:fillRect/>
        </a:stretch>
      </xdr:blipFill>
      <xdr:spPr>
        <a:xfrm>
          <a:off x="7264400" y="503507375"/>
          <a:ext cx="878840" cy="1183640"/>
        </a:xfrm>
        <a:prstGeom prst="rect">
          <a:avLst/>
        </a:prstGeom>
      </xdr:spPr>
    </xdr:pic>
    <xdr:clientData/>
  </xdr:twoCellAnchor>
  <xdr:twoCellAnchor>
    <xdr:from>
      <xdr:col>8</xdr:col>
      <xdr:colOff>6350</xdr:colOff>
      <xdr:row>568</xdr:row>
      <xdr:rowOff>25400</xdr:rowOff>
    </xdr:from>
    <xdr:to>
      <xdr:col>8</xdr:col>
      <xdr:colOff>885190</xdr:colOff>
      <xdr:row>568</xdr:row>
      <xdr:rowOff>1209040</xdr:rowOff>
    </xdr:to>
    <xdr:pic>
      <xdr:nvPicPr>
        <xdr:cNvPr id="4596" name="Изображение 4595" descr="resizeПП-00171756"/>
        <xdr:cNvPicPr>
          <a:picLocks noChangeAspect="1"/>
        </xdr:cNvPicPr>
      </xdr:nvPicPr>
      <xdr:blipFill>
        <a:blip xmlns:r="http://schemas.openxmlformats.org/officeDocument/2006/relationships" r:embed="rId381"/>
        <a:stretch>
          <a:fillRect/>
        </a:stretch>
      </xdr:blipFill>
      <xdr:spPr>
        <a:xfrm>
          <a:off x="7264400" y="504882150"/>
          <a:ext cx="878840" cy="1183640"/>
        </a:xfrm>
        <a:prstGeom prst="rect">
          <a:avLst/>
        </a:prstGeom>
      </xdr:spPr>
    </xdr:pic>
    <xdr:clientData/>
  </xdr:twoCellAnchor>
  <xdr:twoCellAnchor>
    <xdr:from>
      <xdr:col>8</xdr:col>
      <xdr:colOff>6350</xdr:colOff>
      <xdr:row>570</xdr:row>
      <xdr:rowOff>25400</xdr:rowOff>
    </xdr:from>
    <xdr:to>
      <xdr:col>8</xdr:col>
      <xdr:colOff>1189990</xdr:colOff>
      <xdr:row>570</xdr:row>
      <xdr:rowOff>904240</xdr:rowOff>
    </xdr:to>
    <xdr:pic>
      <xdr:nvPicPr>
        <xdr:cNvPr id="4597" name="Изображение 4596" descr="resizeПП-00213758"/>
        <xdr:cNvPicPr>
          <a:picLocks noChangeAspect="1"/>
        </xdr:cNvPicPr>
      </xdr:nvPicPr>
      <xdr:blipFill>
        <a:blip xmlns:r="http://schemas.openxmlformats.org/officeDocument/2006/relationships" r:embed="rId382"/>
        <a:stretch>
          <a:fillRect/>
        </a:stretch>
      </xdr:blipFill>
      <xdr:spPr>
        <a:xfrm>
          <a:off x="7264400" y="506256925"/>
          <a:ext cx="1183640" cy="878840"/>
        </a:xfrm>
        <a:prstGeom prst="rect">
          <a:avLst/>
        </a:prstGeom>
      </xdr:spPr>
    </xdr:pic>
    <xdr:clientData/>
  </xdr:twoCellAnchor>
  <xdr:twoCellAnchor>
    <xdr:from>
      <xdr:col>8</xdr:col>
      <xdr:colOff>6350</xdr:colOff>
      <xdr:row>571</xdr:row>
      <xdr:rowOff>25400</xdr:rowOff>
    </xdr:from>
    <xdr:to>
      <xdr:col>8</xdr:col>
      <xdr:colOff>885190</xdr:colOff>
      <xdr:row>571</xdr:row>
      <xdr:rowOff>1209040</xdr:rowOff>
    </xdr:to>
    <xdr:pic>
      <xdr:nvPicPr>
        <xdr:cNvPr id="4598" name="Изображение 4597" descr="resizeПП-00240494"/>
        <xdr:cNvPicPr>
          <a:picLocks noChangeAspect="1"/>
        </xdr:cNvPicPr>
      </xdr:nvPicPr>
      <xdr:blipFill>
        <a:blip xmlns:r="http://schemas.openxmlformats.org/officeDocument/2006/relationships" r:embed="rId383"/>
        <a:stretch>
          <a:fillRect/>
        </a:stretch>
      </xdr:blipFill>
      <xdr:spPr>
        <a:xfrm>
          <a:off x="7264400" y="507479300"/>
          <a:ext cx="878840" cy="1183640"/>
        </a:xfrm>
        <a:prstGeom prst="rect">
          <a:avLst/>
        </a:prstGeom>
      </xdr:spPr>
    </xdr:pic>
    <xdr:clientData/>
  </xdr:twoCellAnchor>
  <xdr:twoCellAnchor>
    <xdr:from>
      <xdr:col>8</xdr:col>
      <xdr:colOff>6350</xdr:colOff>
      <xdr:row>572</xdr:row>
      <xdr:rowOff>25400</xdr:rowOff>
    </xdr:from>
    <xdr:to>
      <xdr:col>8</xdr:col>
      <xdr:colOff>885190</xdr:colOff>
      <xdr:row>572</xdr:row>
      <xdr:rowOff>1209040</xdr:rowOff>
    </xdr:to>
    <xdr:pic>
      <xdr:nvPicPr>
        <xdr:cNvPr id="4599" name="Изображение 4598" descr="resizeПП-00240492"/>
        <xdr:cNvPicPr>
          <a:picLocks noChangeAspect="1"/>
        </xdr:cNvPicPr>
      </xdr:nvPicPr>
      <xdr:blipFill>
        <a:blip xmlns:r="http://schemas.openxmlformats.org/officeDocument/2006/relationships" r:embed="rId384"/>
        <a:stretch>
          <a:fillRect/>
        </a:stretch>
      </xdr:blipFill>
      <xdr:spPr>
        <a:xfrm>
          <a:off x="7264400" y="508701675"/>
          <a:ext cx="878840" cy="1183640"/>
        </a:xfrm>
        <a:prstGeom prst="rect">
          <a:avLst/>
        </a:prstGeom>
      </xdr:spPr>
    </xdr:pic>
    <xdr:clientData/>
  </xdr:twoCellAnchor>
  <xdr:twoCellAnchor>
    <xdr:from>
      <xdr:col>8</xdr:col>
      <xdr:colOff>6350</xdr:colOff>
      <xdr:row>573</xdr:row>
      <xdr:rowOff>25400</xdr:rowOff>
    </xdr:from>
    <xdr:to>
      <xdr:col>8</xdr:col>
      <xdr:colOff>885190</xdr:colOff>
      <xdr:row>573</xdr:row>
      <xdr:rowOff>1209040</xdr:rowOff>
    </xdr:to>
    <xdr:pic>
      <xdr:nvPicPr>
        <xdr:cNvPr id="4600" name="Изображение 4599" descr="resizeПП-00240493"/>
        <xdr:cNvPicPr>
          <a:picLocks noChangeAspect="1"/>
        </xdr:cNvPicPr>
      </xdr:nvPicPr>
      <xdr:blipFill>
        <a:blip xmlns:r="http://schemas.openxmlformats.org/officeDocument/2006/relationships" r:embed="rId330"/>
        <a:stretch>
          <a:fillRect/>
        </a:stretch>
      </xdr:blipFill>
      <xdr:spPr>
        <a:xfrm>
          <a:off x="7264400" y="509924050"/>
          <a:ext cx="878840" cy="1183640"/>
        </a:xfrm>
        <a:prstGeom prst="rect">
          <a:avLst/>
        </a:prstGeom>
      </xdr:spPr>
    </xdr:pic>
    <xdr:clientData/>
  </xdr:twoCellAnchor>
  <xdr:twoCellAnchor>
    <xdr:from>
      <xdr:col>8</xdr:col>
      <xdr:colOff>6350</xdr:colOff>
      <xdr:row>574</xdr:row>
      <xdr:rowOff>25400</xdr:rowOff>
    </xdr:from>
    <xdr:to>
      <xdr:col>8</xdr:col>
      <xdr:colOff>885190</xdr:colOff>
      <xdr:row>574</xdr:row>
      <xdr:rowOff>1209040</xdr:rowOff>
    </xdr:to>
    <xdr:pic>
      <xdr:nvPicPr>
        <xdr:cNvPr id="4601" name="Изображение 4600" descr="resizeПП-00165110"/>
        <xdr:cNvPicPr>
          <a:picLocks noChangeAspect="1"/>
        </xdr:cNvPicPr>
      </xdr:nvPicPr>
      <xdr:blipFill>
        <a:blip xmlns:r="http://schemas.openxmlformats.org/officeDocument/2006/relationships" r:embed="rId385"/>
        <a:stretch>
          <a:fillRect/>
        </a:stretch>
      </xdr:blipFill>
      <xdr:spPr>
        <a:xfrm>
          <a:off x="7264400" y="511146425"/>
          <a:ext cx="878840" cy="1183640"/>
        </a:xfrm>
        <a:prstGeom prst="rect">
          <a:avLst/>
        </a:prstGeom>
      </xdr:spPr>
    </xdr:pic>
    <xdr:clientData/>
  </xdr:twoCellAnchor>
  <xdr:twoCellAnchor>
    <xdr:from>
      <xdr:col>8</xdr:col>
      <xdr:colOff>6350</xdr:colOff>
      <xdr:row>575</xdr:row>
      <xdr:rowOff>25400</xdr:rowOff>
    </xdr:from>
    <xdr:to>
      <xdr:col>8</xdr:col>
      <xdr:colOff>885190</xdr:colOff>
      <xdr:row>575</xdr:row>
      <xdr:rowOff>1209040</xdr:rowOff>
    </xdr:to>
    <xdr:pic>
      <xdr:nvPicPr>
        <xdr:cNvPr id="4602" name="Изображение 4601" descr="resizeПП-00165109"/>
        <xdr:cNvPicPr>
          <a:picLocks noChangeAspect="1"/>
        </xdr:cNvPicPr>
      </xdr:nvPicPr>
      <xdr:blipFill>
        <a:blip xmlns:r="http://schemas.openxmlformats.org/officeDocument/2006/relationships" r:embed="rId386"/>
        <a:stretch>
          <a:fillRect/>
        </a:stretch>
      </xdr:blipFill>
      <xdr:spPr>
        <a:xfrm>
          <a:off x="7264400" y="512368800"/>
          <a:ext cx="878840" cy="1183640"/>
        </a:xfrm>
        <a:prstGeom prst="rect">
          <a:avLst/>
        </a:prstGeom>
      </xdr:spPr>
    </xdr:pic>
    <xdr:clientData/>
  </xdr:twoCellAnchor>
  <xdr:twoCellAnchor>
    <xdr:from>
      <xdr:col>8</xdr:col>
      <xdr:colOff>6350</xdr:colOff>
      <xdr:row>577</xdr:row>
      <xdr:rowOff>25400</xdr:rowOff>
    </xdr:from>
    <xdr:to>
      <xdr:col>8</xdr:col>
      <xdr:colOff>885190</xdr:colOff>
      <xdr:row>577</xdr:row>
      <xdr:rowOff>1209040</xdr:rowOff>
    </xdr:to>
    <xdr:pic>
      <xdr:nvPicPr>
        <xdr:cNvPr id="4603" name="Изображение 4602" descr="resizeПП-00237146"/>
        <xdr:cNvPicPr>
          <a:picLocks noChangeAspect="1"/>
        </xdr:cNvPicPr>
      </xdr:nvPicPr>
      <xdr:blipFill>
        <a:blip xmlns:r="http://schemas.openxmlformats.org/officeDocument/2006/relationships" r:embed="rId387"/>
        <a:stretch>
          <a:fillRect/>
        </a:stretch>
      </xdr:blipFill>
      <xdr:spPr>
        <a:xfrm>
          <a:off x="7264400" y="513743575"/>
          <a:ext cx="878840" cy="1183640"/>
        </a:xfrm>
        <a:prstGeom prst="rect">
          <a:avLst/>
        </a:prstGeom>
      </xdr:spPr>
    </xdr:pic>
    <xdr:clientData/>
  </xdr:twoCellAnchor>
  <xdr:twoCellAnchor>
    <xdr:from>
      <xdr:col>8</xdr:col>
      <xdr:colOff>6350</xdr:colOff>
      <xdr:row>578</xdr:row>
      <xdr:rowOff>25400</xdr:rowOff>
    </xdr:from>
    <xdr:to>
      <xdr:col>8</xdr:col>
      <xdr:colOff>885190</xdr:colOff>
      <xdr:row>578</xdr:row>
      <xdr:rowOff>1209040</xdr:rowOff>
    </xdr:to>
    <xdr:pic>
      <xdr:nvPicPr>
        <xdr:cNvPr id="4604" name="Изображение 4603" descr="resizeПП-00237145"/>
        <xdr:cNvPicPr>
          <a:picLocks noChangeAspect="1"/>
        </xdr:cNvPicPr>
      </xdr:nvPicPr>
      <xdr:blipFill>
        <a:blip xmlns:r="http://schemas.openxmlformats.org/officeDocument/2006/relationships" r:embed="rId388"/>
        <a:stretch>
          <a:fillRect/>
        </a:stretch>
      </xdr:blipFill>
      <xdr:spPr>
        <a:xfrm>
          <a:off x="7264400" y="514965950"/>
          <a:ext cx="878840" cy="1183640"/>
        </a:xfrm>
        <a:prstGeom prst="rect">
          <a:avLst/>
        </a:prstGeom>
      </xdr:spPr>
    </xdr:pic>
    <xdr:clientData/>
  </xdr:twoCellAnchor>
  <xdr:twoCellAnchor>
    <xdr:from>
      <xdr:col>8</xdr:col>
      <xdr:colOff>6350</xdr:colOff>
      <xdr:row>579</xdr:row>
      <xdr:rowOff>25400</xdr:rowOff>
    </xdr:from>
    <xdr:to>
      <xdr:col>8</xdr:col>
      <xdr:colOff>885190</xdr:colOff>
      <xdr:row>579</xdr:row>
      <xdr:rowOff>1209040</xdr:rowOff>
    </xdr:to>
    <xdr:pic>
      <xdr:nvPicPr>
        <xdr:cNvPr id="4605" name="Изображение 4604" descr="resizeПП-00237144"/>
        <xdr:cNvPicPr>
          <a:picLocks noChangeAspect="1"/>
        </xdr:cNvPicPr>
      </xdr:nvPicPr>
      <xdr:blipFill>
        <a:blip xmlns:r="http://schemas.openxmlformats.org/officeDocument/2006/relationships" r:embed="rId389"/>
        <a:stretch>
          <a:fillRect/>
        </a:stretch>
      </xdr:blipFill>
      <xdr:spPr>
        <a:xfrm>
          <a:off x="7264400" y="516188325"/>
          <a:ext cx="878840" cy="1183640"/>
        </a:xfrm>
        <a:prstGeom prst="rect">
          <a:avLst/>
        </a:prstGeom>
      </xdr:spPr>
    </xdr:pic>
    <xdr:clientData/>
  </xdr:twoCellAnchor>
  <xdr:twoCellAnchor>
    <xdr:from>
      <xdr:col>8</xdr:col>
      <xdr:colOff>6350</xdr:colOff>
      <xdr:row>580</xdr:row>
      <xdr:rowOff>25400</xdr:rowOff>
    </xdr:from>
    <xdr:to>
      <xdr:col>8</xdr:col>
      <xdr:colOff>885190</xdr:colOff>
      <xdr:row>580</xdr:row>
      <xdr:rowOff>1209040</xdr:rowOff>
    </xdr:to>
    <xdr:pic>
      <xdr:nvPicPr>
        <xdr:cNvPr id="4606" name="Изображение 4605" descr="resizeПП-00251760"/>
        <xdr:cNvPicPr>
          <a:picLocks noChangeAspect="1"/>
        </xdr:cNvPicPr>
      </xdr:nvPicPr>
      <xdr:blipFill>
        <a:blip xmlns:r="http://schemas.openxmlformats.org/officeDocument/2006/relationships" r:embed="rId390"/>
        <a:stretch>
          <a:fillRect/>
        </a:stretch>
      </xdr:blipFill>
      <xdr:spPr>
        <a:xfrm>
          <a:off x="7264400" y="517410700"/>
          <a:ext cx="878840" cy="1183640"/>
        </a:xfrm>
        <a:prstGeom prst="rect">
          <a:avLst/>
        </a:prstGeom>
      </xdr:spPr>
    </xdr:pic>
    <xdr:clientData/>
  </xdr:twoCellAnchor>
  <xdr:twoCellAnchor>
    <xdr:from>
      <xdr:col>8</xdr:col>
      <xdr:colOff>6350</xdr:colOff>
      <xdr:row>583</xdr:row>
      <xdr:rowOff>25400</xdr:rowOff>
    </xdr:from>
    <xdr:to>
      <xdr:col>8</xdr:col>
      <xdr:colOff>885190</xdr:colOff>
      <xdr:row>583</xdr:row>
      <xdr:rowOff>1209040</xdr:rowOff>
    </xdr:to>
    <xdr:pic>
      <xdr:nvPicPr>
        <xdr:cNvPr id="4607" name="Изображение 4606" descr="resizeПП-00212360"/>
        <xdr:cNvPicPr>
          <a:picLocks noChangeAspect="1"/>
        </xdr:cNvPicPr>
      </xdr:nvPicPr>
      <xdr:blipFill>
        <a:blip xmlns:r="http://schemas.openxmlformats.org/officeDocument/2006/relationships" r:embed="rId391"/>
        <a:stretch>
          <a:fillRect/>
        </a:stretch>
      </xdr:blipFill>
      <xdr:spPr>
        <a:xfrm>
          <a:off x="7264400" y="518937875"/>
          <a:ext cx="878840" cy="1183640"/>
        </a:xfrm>
        <a:prstGeom prst="rect">
          <a:avLst/>
        </a:prstGeom>
      </xdr:spPr>
    </xdr:pic>
    <xdr:clientData/>
  </xdr:twoCellAnchor>
  <xdr:twoCellAnchor>
    <xdr:from>
      <xdr:col>8</xdr:col>
      <xdr:colOff>6350</xdr:colOff>
      <xdr:row>584</xdr:row>
      <xdr:rowOff>25400</xdr:rowOff>
    </xdr:from>
    <xdr:to>
      <xdr:col>8</xdr:col>
      <xdr:colOff>885190</xdr:colOff>
      <xdr:row>584</xdr:row>
      <xdr:rowOff>1209040</xdr:rowOff>
    </xdr:to>
    <xdr:pic>
      <xdr:nvPicPr>
        <xdr:cNvPr id="4608" name="Изображение 4607" descr="resizeПП-00212358"/>
        <xdr:cNvPicPr>
          <a:picLocks noChangeAspect="1"/>
        </xdr:cNvPicPr>
      </xdr:nvPicPr>
      <xdr:blipFill>
        <a:blip xmlns:r="http://schemas.openxmlformats.org/officeDocument/2006/relationships" r:embed="rId391"/>
        <a:stretch>
          <a:fillRect/>
        </a:stretch>
      </xdr:blipFill>
      <xdr:spPr>
        <a:xfrm>
          <a:off x="7264400" y="520160250"/>
          <a:ext cx="878840" cy="1183640"/>
        </a:xfrm>
        <a:prstGeom prst="rect">
          <a:avLst/>
        </a:prstGeom>
      </xdr:spPr>
    </xdr:pic>
    <xdr:clientData/>
  </xdr:twoCellAnchor>
  <xdr:twoCellAnchor>
    <xdr:from>
      <xdr:col>8</xdr:col>
      <xdr:colOff>6350</xdr:colOff>
      <xdr:row>585</xdr:row>
      <xdr:rowOff>25400</xdr:rowOff>
    </xdr:from>
    <xdr:to>
      <xdr:col>8</xdr:col>
      <xdr:colOff>885190</xdr:colOff>
      <xdr:row>585</xdr:row>
      <xdr:rowOff>1209040</xdr:rowOff>
    </xdr:to>
    <xdr:pic>
      <xdr:nvPicPr>
        <xdr:cNvPr id="4609" name="Изображение 4608" descr="resizeПП-00212359"/>
        <xdr:cNvPicPr>
          <a:picLocks noChangeAspect="1"/>
        </xdr:cNvPicPr>
      </xdr:nvPicPr>
      <xdr:blipFill>
        <a:blip xmlns:r="http://schemas.openxmlformats.org/officeDocument/2006/relationships" r:embed="rId391"/>
        <a:stretch>
          <a:fillRect/>
        </a:stretch>
      </xdr:blipFill>
      <xdr:spPr>
        <a:xfrm>
          <a:off x="7264400" y="521382625"/>
          <a:ext cx="878840" cy="1183640"/>
        </a:xfrm>
        <a:prstGeom prst="rect">
          <a:avLst/>
        </a:prstGeom>
      </xdr:spPr>
    </xdr:pic>
    <xdr:clientData/>
  </xdr:twoCellAnchor>
  <xdr:twoCellAnchor>
    <xdr:from>
      <xdr:col>8</xdr:col>
      <xdr:colOff>6350</xdr:colOff>
      <xdr:row>586</xdr:row>
      <xdr:rowOff>25400</xdr:rowOff>
    </xdr:from>
    <xdr:to>
      <xdr:col>8</xdr:col>
      <xdr:colOff>885190</xdr:colOff>
      <xdr:row>586</xdr:row>
      <xdr:rowOff>1209040</xdr:rowOff>
    </xdr:to>
    <xdr:pic>
      <xdr:nvPicPr>
        <xdr:cNvPr id="4610" name="Изображение 4609" descr="resizeПП-00212366"/>
        <xdr:cNvPicPr>
          <a:picLocks noChangeAspect="1"/>
        </xdr:cNvPicPr>
      </xdr:nvPicPr>
      <xdr:blipFill>
        <a:blip xmlns:r="http://schemas.openxmlformats.org/officeDocument/2006/relationships" r:embed="rId392"/>
        <a:stretch>
          <a:fillRect/>
        </a:stretch>
      </xdr:blipFill>
      <xdr:spPr>
        <a:xfrm>
          <a:off x="7264400" y="522605000"/>
          <a:ext cx="878840" cy="1183640"/>
        </a:xfrm>
        <a:prstGeom prst="rect">
          <a:avLst/>
        </a:prstGeom>
      </xdr:spPr>
    </xdr:pic>
    <xdr:clientData/>
  </xdr:twoCellAnchor>
  <xdr:twoCellAnchor>
    <xdr:from>
      <xdr:col>8</xdr:col>
      <xdr:colOff>6350</xdr:colOff>
      <xdr:row>587</xdr:row>
      <xdr:rowOff>25400</xdr:rowOff>
    </xdr:from>
    <xdr:to>
      <xdr:col>8</xdr:col>
      <xdr:colOff>885190</xdr:colOff>
      <xdr:row>587</xdr:row>
      <xdr:rowOff>1209040</xdr:rowOff>
    </xdr:to>
    <xdr:pic>
      <xdr:nvPicPr>
        <xdr:cNvPr id="4611" name="Изображение 4610" descr="resizeПП-00212363"/>
        <xdr:cNvPicPr>
          <a:picLocks noChangeAspect="1"/>
        </xdr:cNvPicPr>
      </xdr:nvPicPr>
      <xdr:blipFill>
        <a:blip xmlns:r="http://schemas.openxmlformats.org/officeDocument/2006/relationships" r:embed="rId393"/>
        <a:stretch>
          <a:fillRect/>
        </a:stretch>
      </xdr:blipFill>
      <xdr:spPr>
        <a:xfrm>
          <a:off x="7264400" y="523827375"/>
          <a:ext cx="878840" cy="1183640"/>
        </a:xfrm>
        <a:prstGeom prst="rect">
          <a:avLst/>
        </a:prstGeom>
      </xdr:spPr>
    </xdr:pic>
    <xdr:clientData/>
  </xdr:twoCellAnchor>
  <xdr:twoCellAnchor>
    <xdr:from>
      <xdr:col>8</xdr:col>
      <xdr:colOff>6350</xdr:colOff>
      <xdr:row>588</xdr:row>
      <xdr:rowOff>25400</xdr:rowOff>
    </xdr:from>
    <xdr:to>
      <xdr:col>8</xdr:col>
      <xdr:colOff>885190</xdr:colOff>
      <xdr:row>588</xdr:row>
      <xdr:rowOff>1209040</xdr:rowOff>
    </xdr:to>
    <xdr:pic>
      <xdr:nvPicPr>
        <xdr:cNvPr id="4612" name="Изображение 4611" descr="resizeПП-00212339"/>
        <xdr:cNvPicPr>
          <a:picLocks noChangeAspect="1"/>
        </xdr:cNvPicPr>
      </xdr:nvPicPr>
      <xdr:blipFill>
        <a:blip xmlns:r="http://schemas.openxmlformats.org/officeDocument/2006/relationships" r:embed="rId394"/>
        <a:stretch>
          <a:fillRect/>
        </a:stretch>
      </xdr:blipFill>
      <xdr:spPr>
        <a:xfrm>
          <a:off x="7264400" y="525049750"/>
          <a:ext cx="878840" cy="1183640"/>
        </a:xfrm>
        <a:prstGeom prst="rect">
          <a:avLst/>
        </a:prstGeom>
      </xdr:spPr>
    </xdr:pic>
    <xdr:clientData/>
  </xdr:twoCellAnchor>
  <xdr:twoCellAnchor>
    <xdr:from>
      <xdr:col>8</xdr:col>
      <xdr:colOff>6350</xdr:colOff>
      <xdr:row>589</xdr:row>
      <xdr:rowOff>25400</xdr:rowOff>
    </xdr:from>
    <xdr:to>
      <xdr:col>8</xdr:col>
      <xdr:colOff>885190</xdr:colOff>
      <xdr:row>589</xdr:row>
      <xdr:rowOff>1209040</xdr:rowOff>
    </xdr:to>
    <xdr:pic>
      <xdr:nvPicPr>
        <xdr:cNvPr id="4613" name="Изображение 4612" descr="resizeПП-00212337"/>
        <xdr:cNvPicPr>
          <a:picLocks noChangeAspect="1"/>
        </xdr:cNvPicPr>
      </xdr:nvPicPr>
      <xdr:blipFill>
        <a:blip xmlns:r="http://schemas.openxmlformats.org/officeDocument/2006/relationships" r:embed="rId394"/>
        <a:stretch>
          <a:fillRect/>
        </a:stretch>
      </xdr:blipFill>
      <xdr:spPr>
        <a:xfrm>
          <a:off x="7264400" y="526272125"/>
          <a:ext cx="878840" cy="1183640"/>
        </a:xfrm>
        <a:prstGeom prst="rect">
          <a:avLst/>
        </a:prstGeom>
      </xdr:spPr>
    </xdr:pic>
    <xdr:clientData/>
  </xdr:twoCellAnchor>
  <xdr:twoCellAnchor>
    <xdr:from>
      <xdr:col>8</xdr:col>
      <xdr:colOff>6350</xdr:colOff>
      <xdr:row>590</xdr:row>
      <xdr:rowOff>25400</xdr:rowOff>
    </xdr:from>
    <xdr:to>
      <xdr:col>8</xdr:col>
      <xdr:colOff>885190</xdr:colOff>
      <xdr:row>590</xdr:row>
      <xdr:rowOff>1209040</xdr:rowOff>
    </xdr:to>
    <xdr:pic>
      <xdr:nvPicPr>
        <xdr:cNvPr id="4614" name="Изображение 4613" descr="resizeПП-00212338"/>
        <xdr:cNvPicPr>
          <a:picLocks noChangeAspect="1"/>
        </xdr:cNvPicPr>
      </xdr:nvPicPr>
      <xdr:blipFill>
        <a:blip xmlns:r="http://schemas.openxmlformats.org/officeDocument/2006/relationships" r:embed="rId394"/>
        <a:stretch>
          <a:fillRect/>
        </a:stretch>
      </xdr:blipFill>
      <xdr:spPr>
        <a:xfrm>
          <a:off x="7264400" y="527494500"/>
          <a:ext cx="878840" cy="1183640"/>
        </a:xfrm>
        <a:prstGeom prst="rect">
          <a:avLst/>
        </a:prstGeom>
      </xdr:spPr>
    </xdr:pic>
    <xdr:clientData/>
  </xdr:twoCellAnchor>
  <xdr:twoCellAnchor>
    <xdr:from>
      <xdr:col>8</xdr:col>
      <xdr:colOff>6350</xdr:colOff>
      <xdr:row>591</xdr:row>
      <xdr:rowOff>25400</xdr:rowOff>
    </xdr:from>
    <xdr:to>
      <xdr:col>8</xdr:col>
      <xdr:colOff>885190</xdr:colOff>
      <xdr:row>591</xdr:row>
      <xdr:rowOff>1209040</xdr:rowOff>
    </xdr:to>
    <xdr:pic>
      <xdr:nvPicPr>
        <xdr:cNvPr id="4615" name="Изображение 4614" descr="resizeПП-00212344"/>
        <xdr:cNvPicPr>
          <a:picLocks noChangeAspect="1"/>
        </xdr:cNvPicPr>
      </xdr:nvPicPr>
      <xdr:blipFill>
        <a:blip xmlns:r="http://schemas.openxmlformats.org/officeDocument/2006/relationships" r:embed="rId395"/>
        <a:stretch>
          <a:fillRect/>
        </a:stretch>
      </xdr:blipFill>
      <xdr:spPr>
        <a:xfrm>
          <a:off x="7264400" y="528716875"/>
          <a:ext cx="878840" cy="1183640"/>
        </a:xfrm>
        <a:prstGeom prst="rect">
          <a:avLst/>
        </a:prstGeom>
      </xdr:spPr>
    </xdr:pic>
    <xdr:clientData/>
  </xdr:twoCellAnchor>
  <xdr:twoCellAnchor>
    <xdr:from>
      <xdr:col>8</xdr:col>
      <xdr:colOff>6350</xdr:colOff>
      <xdr:row>592</xdr:row>
      <xdr:rowOff>25400</xdr:rowOff>
    </xdr:from>
    <xdr:to>
      <xdr:col>8</xdr:col>
      <xdr:colOff>885190</xdr:colOff>
      <xdr:row>592</xdr:row>
      <xdr:rowOff>1209040</xdr:rowOff>
    </xdr:to>
    <xdr:pic>
      <xdr:nvPicPr>
        <xdr:cNvPr id="4616" name="Изображение 4615" descr="resizeПП-00212342"/>
        <xdr:cNvPicPr>
          <a:picLocks noChangeAspect="1"/>
        </xdr:cNvPicPr>
      </xdr:nvPicPr>
      <xdr:blipFill>
        <a:blip xmlns:r="http://schemas.openxmlformats.org/officeDocument/2006/relationships" r:embed="rId396"/>
        <a:stretch>
          <a:fillRect/>
        </a:stretch>
      </xdr:blipFill>
      <xdr:spPr>
        <a:xfrm>
          <a:off x="7264400" y="529939250"/>
          <a:ext cx="878840" cy="1183640"/>
        </a:xfrm>
        <a:prstGeom prst="rect">
          <a:avLst/>
        </a:prstGeom>
      </xdr:spPr>
    </xdr:pic>
    <xdr:clientData/>
  </xdr:twoCellAnchor>
  <xdr:twoCellAnchor>
    <xdr:from>
      <xdr:col>8</xdr:col>
      <xdr:colOff>6350</xdr:colOff>
      <xdr:row>593</xdr:row>
      <xdr:rowOff>25400</xdr:rowOff>
    </xdr:from>
    <xdr:to>
      <xdr:col>8</xdr:col>
      <xdr:colOff>885190</xdr:colOff>
      <xdr:row>593</xdr:row>
      <xdr:rowOff>1209040</xdr:rowOff>
    </xdr:to>
    <xdr:pic>
      <xdr:nvPicPr>
        <xdr:cNvPr id="4617" name="Изображение 4616" descr="resizeПП-00212343"/>
        <xdr:cNvPicPr>
          <a:picLocks noChangeAspect="1"/>
        </xdr:cNvPicPr>
      </xdr:nvPicPr>
      <xdr:blipFill>
        <a:blip xmlns:r="http://schemas.openxmlformats.org/officeDocument/2006/relationships" r:embed="rId396"/>
        <a:stretch>
          <a:fillRect/>
        </a:stretch>
      </xdr:blipFill>
      <xdr:spPr>
        <a:xfrm>
          <a:off x="7264400" y="531161625"/>
          <a:ext cx="878840" cy="1183640"/>
        </a:xfrm>
        <a:prstGeom prst="rect">
          <a:avLst/>
        </a:prstGeom>
      </xdr:spPr>
    </xdr:pic>
    <xdr:clientData/>
  </xdr:twoCellAnchor>
  <xdr:twoCellAnchor>
    <xdr:from>
      <xdr:col>8</xdr:col>
      <xdr:colOff>6350</xdr:colOff>
      <xdr:row>594</xdr:row>
      <xdr:rowOff>25400</xdr:rowOff>
    </xdr:from>
    <xdr:to>
      <xdr:col>8</xdr:col>
      <xdr:colOff>885190</xdr:colOff>
      <xdr:row>594</xdr:row>
      <xdr:rowOff>1209040</xdr:rowOff>
    </xdr:to>
    <xdr:pic>
      <xdr:nvPicPr>
        <xdr:cNvPr id="4618" name="Изображение 4617" descr="resizeПП-00212382"/>
        <xdr:cNvPicPr>
          <a:picLocks noChangeAspect="1"/>
        </xdr:cNvPicPr>
      </xdr:nvPicPr>
      <xdr:blipFill>
        <a:blip xmlns:r="http://schemas.openxmlformats.org/officeDocument/2006/relationships" r:embed="rId397"/>
        <a:stretch>
          <a:fillRect/>
        </a:stretch>
      </xdr:blipFill>
      <xdr:spPr>
        <a:xfrm>
          <a:off x="7264400" y="532384000"/>
          <a:ext cx="878840" cy="1183640"/>
        </a:xfrm>
        <a:prstGeom prst="rect">
          <a:avLst/>
        </a:prstGeom>
      </xdr:spPr>
    </xdr:pic>
    <xdr:clientData/>
  </xdr:twoCellAnchor>
  <xdr:twoCellAnchor>
    <xdr:from>
      <xdr:col>8</xdr:col>
      <xdr:colOff>6350</xdr:colOff>
      <xdr:row>595</xdr:row>
      <xdr:rowOff>25400</xdr:rowOff>
    </xdr:from>
    <xdr:to>
      <xdr:col>8</xdr:col>
      <xdr:colOff>885190</xdr:colOff>
      <xdr:row>595</xdr:row>
      <xdr:rowOff>1209040</xdr:rowOff>
    </xdr:to>
    <xdr:pic>
      <xdr:nvPicPr>
        <xdr:cNvPr id="4619" name="Изображение 4618" descr="resizeПП-00212378"/>
        <xdr:cNvPicPr>
          <a:picLocks noChangeAspect="1"/>
        </xdr:cNvPicPr>
      </xdr:nvPicPr>
      <xdr:blipFill>
        <a:blip xmlns:r="http://schemas.openxmlformats.org/officeDocument/2006/relationships" r:embed="rId398"/>
        <a:stretch>
          <a:fillRect/>
        </a:stretch>
      </xdr:blipFill>
      <xdr:spPr>
        <a:xfrm>
          <a:off x="7264400" y="533606375"/>
          <a:ext cx="878840" cy="1183640"/>
        </a:xfrm>
        <a:prstGeom prst="rect">
          <a:avLst/>
        </a:prstGeom>
      </xdr:spPr>
    </xdr:pic>
    <xdr:clientData/>
  </xdr:twoCellAnchor>
  <xdr:twoCellAnchor>
    <xdr:from>
      <xdr:col>8</xdr:col>
      <xdr:colOff>6350</xdr:colOff>
      <xdr:row>596</xdr:row>
      <xdr:rowOff>25400</xdr:rowOff>
    </xdr:from>
    <xdr:to>
      <xdr:col>8</xdr:col>
      <xdr:colOff>885190</xdr:colOff>
      <xdr:row>596</xdr:row>
      <xdr:rowOff>1209040</xdr:rowOff>
    </xdr:to>
    <xdr:pic>
      <xdr:nvPicPr>
        <xdr:cNvPr id="4620" name="Изображение 4619" descr="resizeПП-00212345"/>
        <xdr:cNvPicPr>
          <a:picLocks noChangeAspect="1"/>
        </xdr:cNvPicPr>
      </xdr:nvPicPr>
      <xdr:blipFill>
        <a:blip xmlns:r="http://schemas.openxmlformats.org/officeDocument/2006/relationships" r:embed="rId399"/>
        <a:stretch>
          <a:fillRect/>
        </a:stretch>
      </xdr:blipFill>
      <xdr:spPr>
        <a:xfrm>
          <a:off x="7264400" y="534828750"/>
          <a:ext cx="878840" cy="1183640"/>
        </a:xfrm>
        <a:prstGeom prst="rect">
          <a:avLst/>
        </a:prstGeom>
      </xdr:spPr>
    </xdr:pic>
    <xdr:clientData/>
  </xdr:twoCellAnchor>
  <xdr:twoCellAnchor>
    <xdr:from>
      <xdr:col>8</xdr:col>
      <xdr:colOff>6350</xdr:colOff>
      <xdr:row>597</xdr:row>
      <xdr:rowOff>25400</xdr:rowOff>
    </xdr:from>
    <xdr:to>
      <xdr:col>8</xdr:col>
      <xdr:colOff>885190</xdr:colOff>
      <xdr:row>597</xdr:row>
      <xdr:rowOff>1209040</xdr:rowOff>
    </xdr:to>
    <xdr:pic>
      <xdr:nvPicPr>
        <xdr:cNvPr id="4621" name="Изображение 4620" descr="resizeПП-00212346"/>
        <xdr:cNvPicPr>
          <a:picLocks noChangeAspect="1"/>
        </xdr:cNvPicPr>
      </xdr:nvPicPr>
      <xdr:blipFill>
        <a:blip xmlns:r="http://schemas.openxmlformats.org/officeDocument/2006/relationships" r:embed="rId400"/>
        <a:stretch>
          <a:fillRect/>
        </a:stretch>
      </xdr:blipFill>
      <xdr:spPr>
        <a:xfrm>
          <a:off x="7264400" y="536051125"/>
          <a:ext cx="878840" cy="1183640"/>
        </a:xfrm>
        <a:prstGeom prst="rect">
          <a:avLst/>
        </a:prstGeom>
      </xdr:spPr>
    </xdr:pic>
    <xdr:clientData/>
  </xdr:twoCellAnchor>
  <xdr:twoCellAnchor>
    <xdr:from>
      <xdr:col>8</xdr:col>
      <xdr:colOff>6350</xdr:colOff>
      <xdr:row>598</xdr:row>
      <xdr:rowOff>25400</xdr:rowOff>
    </xdr:from>
    <xdr:to>
      <xdr:col>8</xdr:col>
      <xdr:colOff>885190</xdr:colOff>
      <xdr:row>598</xdr:row>
      <xdr:rowOff>1209040</xdr:rowOff>
    </xdr:to>
    <xdr:pic>
      <xdr:nvPicPr>
        <xdr:cNvPr id="4622" name="Изображение 4621" descr="resizeПП-00212377"/>
        <xdr:cNvPicPr>
          <a:picLocks noChangeAspect="1"/>
        </xdr:cNvPicPr>
      </xdr:nvPicPr>
      <xdr:blipFill>
        <a:blip xmlns:r="http://schemas.openxmlformats.org/officeDocument/2006/relationships" r:embed="rId401"/>
        <a:stretch>
          <a:fillRect/>
        </a:stretch>
      </xdr:blipFill>
      <xdr:spPr>
        <a:xfrm>
          <a:off x="7264400" y="537273500"/>
          <a:ext cx="878840" cy="1183640"/>
        </a:xfrm>
        <a:prstGeom prst="rect">
          <a:avLst/>
        </a:prstGeom>
      </xdr:spPr>
    </xdr:pic>
    <xdr:clientData/>
  </xdr:twoCellAnchor>
  <xdr:twoCellAnchor>
    <xdr:from>
      <xdr:col>8</xdr:col>
      <xdr:colOff>6350</xdr:colOff>
      <xdr:row>599</xdr:row>
      <xdr:rowOff>25400</xdr:rowOff>
    </xdr:from>
    <xdr:to>
      <xdr:col>8</xdr:col>
      <xdr:colOff>885190</xdr:colOff>
      <xdr:row>599</xdr:row>
      <xdr:rowOff>1209040</xdr:rowOff>
    </xdr:to>
    <xdr:pic>
      <xdr:nvPicPr>
        <xdr:cNvPr id="4623" name="Изображение 4622" descr="resizeПП-00212374"/>
        <xdr:cNvPicPr>
          <a:picLocks noChangeAspect="1"/>
        </xdr:cNvPicPr>
      </xdr:nvPicPr>
      <xdr:blipFill>
        <a:blip xmlns:r="http://schemas.openxmlformats.org/officeDocument/2006/relationships" r:embed="rId401"/>
        <a:stretch>
          <a:fillRect/>
        </a:stretch>
      </xdr:blipFill>
      <xdr:spPr>
        <a:xfrm>
          <a:off x="7264400" y="538495875"/>
          <a:ext cx="878840" cy="1183640"/>
        </a:xfrm>
        <a:prstGeom prst="rect">
          <a:avLst/>
        </a:prstGeom>
      </xdr:spPr>
    </xdr:pic>
    <xdr:clientData/>
  </xdr:twoCellAnchor>
  <xdr:twoCellAnchor>
    <xdr:from>
      <xdr:col>8</xdr:col>
      <xdr:colOff>6350</xdr:colOff>
      <xdr:row>600</xdr:row>
      <xdr:rowOff>25400</xdr:rowOff>
    </xdr:from>
    <xdr:to>
      <xdr:col>8</xdr:col>
      <xdr:colOff>885190</xdr:colOff>
      <xdr:row>600</xdr:row>
      <xdr:rowOff>1209040</xdr:rowOff>
    </xdr:to>
    <xdr:pic>
      <xdr:nvPicPr>
        <xdr:cNvPr id="4624" name="Изображение 4623" descr="resizeПП-00212375"/>
        <xdr:cNvPicPr>
          <a:picLocks noChangeAspect="1"/>
        </xdr:cNvPicPr>
      </xdr:nvPicPr>
      <xdr:blipFill>
        <a:blip xmlns:r="http://schemas.openxmlformats.org/officeDocument/2006/relationships" r:embed="rId402"/>
        <a:stretch>
          <a:fillRect/>
        </a:stretch>
      </xdr:blipFill>
      <xdr:spPr>
        <a:xfrm>
          <a:off x="7264400" y="539718250"/>
          <a:ext cx="878840" cy="1183640"/>
        </a:xfrm>
        <a:prstGeom prst="rect">
          <a:avLst/>
        </a:prstGeom>
      </xdr:spPr>
    </xdr:pic>
    <xdr:clientData/>
  </xdr:twoCellAnchor>
  <xdr:twoCellAnchor>
    <xdr:from>
      <xdr:col>8</xdr:col>
      <xdr:colOff>6350</xdr:colOff>
      <xdr:row>601</xdr:row>
      <xdr:rowOff>25400</xdr:rowOff>
    </xdr:from>
    <xdr:to>
      <xdr:col>8</xdr:col>
      <xdr:colOff>885190</xdr:colOff>
      <xdr:row>601</xdr:row>
      <xdr:rowOff>1209040</xdr:rowOff>
    </xdr:to>
    <xdr:pic>
      <xdr:nvPicPr>
        <xdr:cNvPr id="4625" name="Изображение 4624" descr="resizeПП-00212334"/>
        <xdr:cNvPicPr>
          <a:picLocks noChangeAspect="1"/>
        </xdr:cNvPicPr>
      </xdr:nvPicPr>
      <xdr:blipFill>
        <a:blip xmlns:r="http://schemas.openxmlformats.org/officeDocument/2006/relationships" r:embed="rId403"/>
        <a:stretch>
          <a:fillRect/>
        </a:stretch>
      </xdr:blipFill>
      <xdr:spPr>
        <a:xfrm>
          <a:off x="7264400" y="540940625"/>
          <a:ext cx="878840" cy="1183640"/>
        </a:xfrm>
        <a:prstGeom prst="rect">
          <a:avLst/>
        </a:prstGeom>
      </xdr:spPr>
    </xdr:pic>
    <xdr:clientData/>
  </xdr:twoCellAnchor>
  <xdr:twoCellAnchor>
    <xdr:from>
      <xdr:col>8</xdr:col>
      <xdr:colOff>6350</xdr:colOff>
      <xdr:row>602</xdr:row>
      <xdr:rowOff>25400</xdr:rowOff>
    </xdr:from>
    <xdr:to>
      <xdr:col>8</xdr:col>
      <xdr:colOff>885190</xdr:colOff>
      <xdr:row>602</xdr:row>
      <xdr:rowOff>1209040</xdr:rowOff>
    </xdr:to>
    <xdr:pic>
      <xdr:nvPicPr>
        <xdr:cNvPr id="4626" name="Изображение 4625" descr="resizeПП-00212335"/>
        <xdr:cNvPicPr>
          <a:picLocks noChangeAspect="1"/>
        </xdr:cNvPicPr>
      </xdr:nvPicPr>
      <xdr:blipFill>
        <a:blip xmlns:r="http://schemas.openxmlformats.org/officeDocument/2006/relationships" r:embed="rId403"/>
        <a:stretch>
          <a:fillRect/>
        </a:stretch>
      </xdr:blipFill>
      <xdr:spPr>
        <a:xfrm>
          <a:off x="7264400" y="542163000"/>
          <a:ext cx="878840" cy="1183640"/>
        </a:xfrm>
        <a:prstGeom prst="rect">
          <a:avLst/>
        </a:prstGeom>
      </xdr:spPr>
    </xdr:pic>
    <xdr:clientData/>
  </xdr:twoCellAnchor>
  <xdr:twoCellAnchor>
    <xdr:from>
      <xdr:col>8</xdr:col>
      <xdr:colOff>6350</xdr:colOff>
      <xdr:row>603</xdr:row>
      <xdr:rowOff>25400</xdr:rowOff>
    </xdr:from>
    <xdr:to>
      <xdr:col>8</xdr:col>
      <xdr:colOff>885190</xdr:colOff>
      <xdr:row>603</xdr:row>
      <xdr:rowOff>1209040</xdr:rowOff>
    </xdr:to>
    <xdr:pic>
      <xdr:nvPicPr>
        <xdr:cNvPr id="4627" name="Изображение 4626" descr="resizeПП-00212391"/>
        <xdr:cNvPicPr>
          <a:picLocks noChangeAspect="1"/>
        </xdr:cNvPicPr>
      </xdr:nvPicPr>
      <xdr:blipFill>
        <a:blip xmlns:r="http://schemas.openxmlformats.org/officeDocument/2006/relationships" r:embed="rId404"/>
        <a:stretch>
          <a:fillRect/>
        </a:stretch>
      </xdr:blipFill>
      <xdr:spPr>
        <a:xfrm>
          <a:off x="7264400" y="543385375"/>
          <a:ext cx="878840" cy="1183640"/>
        </a:xfrm>
        <a:prstGeom prst="rect">
          <a:avLst/>
        </a:prstGeom>
      </xdr:spPr>
    </xdr:pic>
    <xdr:clientData/>
  </xdr:twoCellAnchor>
  <xdr:twoCellAnchor>
    <xdr:from>
      <xdr:col>8</xdr:col>
      <xdr:colOff>6350</xdr:colOff>
      <xdr:row>604</xdr:row>
      <xdr:rowOff>25400</xdr:rowOff>
    </xdr:from>
    <xdr:to>
      <xdr:col>8</xdr:col>
      <xdr:colOff>885190</xdr:colOff>
      <xdr:row>604</xdr:row>
      <xdr:rowOff>1209040</xdr:rowOff>
    </xdr:to>
    <xdr:pic>
      <xdr:nvPicPr>
        <xdr:cNvPr id="4628" name="Изображение 4627" descr="resizeПП-00212389"/>
        <xdr:cNvPicPr>
          <a:picLocks noChangeAspect="1"/>
        </xdr:cNvPicPr>
      </xdr:nvPicPr>
      <xdr:blipFill>
        <a:blip xmlns:r="http://schemas.openxmlformats.org/officeDocument/2006/relationships" r:embed="rId405"/>
        <a:stretch>
          <a:fillRect/>
        </a:stretch>
      </xdr:blipFill>
      <xdr:spPr>
        <a:xfrm>
          <a:off x="7264400" y="544607750"/>
          <a:ext cx="878840" cy="1183640"/>
        </a:xfrm>
        <a:prstGeom prst="rect">
          <a:avLst/>
        </a:prstGeom>
      </xdr:spPr>
    </xdr:pic>
    <xdr:clientData/>
  </xdr:twoCellAnchor>
  <xdr:twoCellAnchor>
    <xdr:from>
      <xdr:col>8</xdr:col>
      <xdr:colOff>6350</xdr:colOff>
      <xdr:row>605</xdr:row>
      <xdr:rowOff>25400</xdr:rowOff>
    </xdr:from>
    <xdr:to>
      <xdr:col>8</xdr:col>
      <xdr:colOff>885190</xdr:colOff>
      <xdr:row>605</xdr:row>
      <xdr:rowOff>1209040</xdr:rowOff>
    </xdr:to>
    <xdr:pic>
      <xdr:nvPicPr>
        <xdr:cNvPr id="4629" name="Изображение 4628" descr="resizeПП-00212390"/>
        <xdr:cNvPicPr>
          <a:picLocks noChangeAspect="1"/>
        </xdr:cNvPicPr>
      </xdr:nvPicPr>
      <xdr:blipFill>
        <a:blip xmlns:r="http://schemas.openxmlformats.org/officeDocument/2006/relationships" r:embed="rId405"/>
        <a:stretch>
          <a:fillRect/>
        </a:stretch>
      </xdr:blipFill>
      <xdr:spPr>
        <a:xfrm>
          <a:off x="7264400" y="545830125"/>
          <a:ext cx="878840" cy="1183640"/>
        </a:xfrm>
        <a:prstGeom prst="rect">
          <a:avLst/>
        </a:prstGeom>
      </xdr:spPr>
    </xdr:pic>
    <xdr:clientData/>
  </xdr:twoCellAnchor>
  <xdr:twoCellAnchor>
    <xdr:from>
      <xdr:col>8</xdr:col>
      <xdr:colOff>6350</xdr:colOff>
      <xdr:row>606</xdr:row>
      <xdr:rowOff>25400</xdr:rowOff>
    </xdr:from>
    <xdr:to>
      <xdr:col>8</xdr:col>
      <xdr:colOff>885190</xdr:colOff>
      <xdr:row>606</xdr:row>
      <xdr:rowOff>1209040</xdr:rowOff>
    </xdr:to>
    <xdr:pic>
      <xdr:nvPicPr>
        <xdr:cNvPr id="4630" name="Изображение 4629" descr="resizeПП-00212357"/>
        <xdr:cNvPicPr>
          <a:picLocks noChangeAspect="1"/>
        </xdr:cNvPicPr>
      </xdr:nvPicPr>
      <xdr:blipFill>
        <a:blip xmlns:r="http://schemas.openxmlformats.org/officeDocument/2006/relationships" r:embed="rId391"/>
        <a:stretch>
          <a:fillRect/>
        </a:stretch>
      </xdr:blipFill>
      <xdr:spPr>
        <a:xfrm>
          <a:off x="7264400" y="547052500"/>
          <a:ext cx="878840" cy="1183640"/>
        </a:xfrm>
        <a:prstGeom prst="rect">
          <a:avLst/>
        </a:prstGeom>
      </xdr:spPr>
    </xdr:pic>
    <xdr:clientData/>
  </xdr:twoCellAnchor>
  <xdr:twoCellAnchor>
    <xdr:from>
      <xdr:col>8</xdr:col>
      <xdr:colOff>6350</xdr:colOff>
      <xdr:row>607</xdr:row>
      <xdr:rowOff>25400</xdr:rowOff>
    </xdr:from>
    <xdr:to>
      <xdr:col>8</xdr:col>
      <xdr:colOff>885190</xdr:colOff>
      <xdr:row>607</xdr:row>
      <xdr:rowOff>1209040</xdr:rowOff>
    </xdr:to>
    <xdr:pic>
      <xdr:nvPicPr>
        <xdr:cNvPr id="4631" name="Изображение 4630" descr="resizeПП-00212353"/>
        <xdr:cNvPicPr>
          <a:picLocks noChangeAspect="1"/>
        </xdr:cNvPicPr>
      </xdr:nvPicPr>
      <xdr:blipFill>
        <a:blip xmlns:r="http://schemas.openxmlformats.org/officeDocument/2006/relationships" r:embed="rId391"/>
        <a:stretch>
          <a:fillRect/>
        </a:stretch>
      </xdr:blipFill>
      <xdr:spPr>
        <a:xfrm>
          <a:off x="7264400" y="548274875"/>
          <a:ext cx="878840" cy="1183640"/>
        </a:xfrm>
        <a:prstGeom prst="rect">
          <a:avLst/>
        </a:prstGeom>
      </xdr:spPr>
    </xdr:pic>
    <xdr:clientData/>
  </xdr:twoCellAnchor>
  <xdr:twoCellAnchor>
    <xdr:from>
      <xdr:col>8</xdr:col>
      <xdr:colOff>6350</xdr:colOff>
      <xdr:row>608</xdr:row>
      <xdr:rowOff>25400</xdr:rowOff>
    </xdr:from>
    <xdr:to>
      <xdr:col>8</xdr:col>
      <xdr:colOff>885190</xdr:colOff>
      <xdr:row>608</xdr:row>
      <xdr:rowOff>1209040</xdr:rowOff>
    </xdr:to>
    <xdr:pic>
      <xdr:nvPicPr>
        <xdr:cNvPr id="4632" name="Изображение 4631" descr="resizeПП-00212355"/>
        <xdr:cNvPicPr>
          <a:picLocks noChangeAspect="1"/>
        </xdr:cNvPicPr>
      </xdr:nvPicPr>
      <xdr:blipFill>
        <a:blip xmlns:r="http://schemas.openxmlformats.org/officeDocument/2006/relationships" r:embed="rId391"/>
        <a:stretch>
          <a:fillRect/>
        </a:stretch>
      </xdr:blipFill>
      <xdr:spPr>
        <a:xfrm>
          <a:off x="7264400" y="549497250"/>
          <a:ext cx="878840" cy="1183640"/>
        </a:xfrm>
        <a:prstGeom prst="rect">
          <a:avLst/>
        </a:prstGeom>
      </xdr:spPr>
    </xdr:pic>
    <xdr:clientData/>
  </xdr:twoCellAnchor>
  <xdr:twoCellAnchor>
    <xdr:from>
      <xdr:col>8</xdr:col>
      <xdr:colOff>6350</xdr:colOff>
      <xdr:row>609</xdr:row>
      <xdr:rowOff>25400</xdr:rowOff>
    </xdr:from>
    <xdr:to>
      <xdr:col>8</xdr:col>
      <xdr:colOff>885190</xdr:colOff>
      <xdr:row>609</xdr:row>
      <xdr:rowOff>1209040</xdr:rowOff>
    </xdr:to>
    <xdr:pic>
      <xdr:nvPicPr>
        <xdr:cNvPr id="4633" name="Изображение 4632" descr="resizeПП-00194804"/>
        <xdr:cNvPicPr>
          <a:picLocks noChangeAspect="1"/>
        </xdr:cNvPicPr>
      </xdr:nvPicPr>
      <xdr:blipFill>
        <a:blip xmlns:r="http://schemas.openxmlformats.org/officeDocument/2006/relationships" r:embed="rId406"/>
        <a:stretch>
          <a:fillRect/>
        </a:stretch>
      </xdr:blipFill>
      <xdr:spPr>
        <a:xfrm>
          <a:off x="7264400" y="550719625"/>
          <a:ext cx="878840" cy="1183640"/>
        </a:xfrm>
        <a:prstGeom prst="rect">
          <a:avLst/>
        </a:prstGeom>
      </xdr:spPr>
    </xdr:pic>
    <xdr:clientData/>
  </xdr:twoCellAnchor>
  <xdr:twoCellAnchor>
    <xdr:from>
      <xdr:col>8</xdr:col>
      <xdr:colOff>6350</xdr:colOff>
      <xdr:row>610</xdr:row>
      <xdr:rowOff>25400</xdr:rowOff>
    </xdr:from>
    <xdr:to>
      <xdr:col>8</xdr:col>
      <xdr:colOff>885190</xdr:colOff>
      <xdr:row>610</xdr:row>
      <xdr:rowOff>1209040</xdr:rowOff>
    </xdr:to>
    <xdr:pic>
      <xdr:nvPicPr>
        <xdr:cNvPr id="4634" name="Изображение 4633" descr="resizeПП-00194801"/>
        <xdr:cNvPicPr>
          <a:picLocks noChangeAspect="1"/>
        </xdr:cNvPicPr>
      </xdr:nvPicPr>
      <xdr:blipFill>
        <a:blip xmlns:r="http://schemas.openxmlformats.org/officeDocument/2006/relationships" r:embed="rId406"/>
        <a:stretch>
          <a:fillRect/>
        </a:stretch>
      </xdr:blipFill>
      <xdr:spPr>
        <a:xfrm>
          <a:off x="7264400" y="551942000"/>
          <a:ext cx="878840" cy="1183640"/>
        </a:xfrm>
        <a:prstGeom prst="rect">
          <a:avLst/>
        </a:prstGeom>
      </xdr:spPr>
    </xdr:pic>
    <xdr:clientData/>
  </xdr:twoCellAnchor>
  <xdr:twoCellAnchor>
    <xdr:from>
      <xdr:col>8</xdr:col>
      <xdr:colOff>6350</xdr:colOff>
      <xdr:row>611</xdr:row>
      <xdr:rowOff>25400</xdr:rowOff>
    </xdr:from>
    <xdr:to>
      <xdr:col>8</xdr:col>
      <xdr:colOff>885190</xdr:colOff>
      <xdr:row>611</xdr:row>
      <xdr:rowOff>1209040</xdr:rowOff>
    </xdr:to>
    <xdr:pic>
      <xdr:nvPicPr>
        <xdr:cNvPr id="4635" name="Изображение 4634" descr="resizeПП-00194802"/>
        <xdr:cNvPicPr>
          <a:picLocks noChangeAspect="1"/>
        </xdr:cNvPicPr>
      </xdr:nvPicPr>
      <xdr:blipFill>
        <a:blip xmlns:r="http://schemas.openxmlformats.org/officeDocument/2006/relationships" r:embed="rId406"/>
        <a:stretch>
          <a:fillRect/>
        </a:stretch>
      </xdr:blipFill>
      <xdr:spPr>
        <a:xfrm>
          <a:off x="7264400" y="553164375"/>
          <a:ext cx="878840" cy="1183640"/>
        </a:xfrm>
        <a:prstGeom prst="rect">
          <a:avLst/>
        </a:prstGeom>
      </xdr:spPr>
    </xdr:pic>
    <xdr:clientData/>
  </xdr:twoCellAnchor>
  <xdr:twoCellAnchor>
    <xdr:from>
      <xdr:col>8</xdr:col>
      <xdr:colOff>6350</xdr:colOff>
      <xdr:row>613</xdr:row>
      <xdr:rowOff>25400</xdr:rowOff>
    </xdr:from>
    <xdr:to>
      <xdr:col>8</xdr:col>
      <xdr:colOff>885190</xdr:colOff>
      <xdr:row>613</xdr:row>
      <xdr:rowOff>1209040</xdr:rowOff>
    </xdr:to>
    <xdr:pic>
      <xdr:nvPicPr>
        <xdr:cNvPr id="4636" name="Изображение 4635" descr="resizeПП-00164800"/>
        <xdr:cNvPicPr>
          <a:picLocks noChangeAspect="1"/>
        </xdr:cNvPicPr>
      </xdr:nvPicPr>
      <xdr:blipFill>
        <a:blip xmlns:r="http://schemas.openxmlformats.org/officeDocument/2006/relationships" r:embed="rId407"/>
        <a:stretch>
          <a:fillRect/>
        </a:stretch>
      </xdr:blipFill>
      <xdr:spPr>
        <a:xfrm>
          <a:off x="7264400" y="554539150"/>
          <a:ext cx="878840" cy="1183640"/>
        </a:xfrm>
        <a:prstGeom prst="rect">
          <a:avLst/>
        </a:prstGeom>
      </xdr:spPr>
    </xdr:pic>
    <xdr:clientData/>
  </xdr:twoCellAnchor>
  <xdr:twoCellAnchor>
    <xdr:from>
      <xdr:col>8</xdr:col>
      <xdr:colOff>6350</xdr:colOff>
      <xdr:row>614</xdr:row>
      <xdr:rowOff>25400</xdr:rowOff>
    </xdr:from>
    <xdr:to>
      <xdr:col>8</xdr:col>
      <xdr:colOff>885190</xdr:colOff>
      <xdr:row>614</xdr:row>
      <xdr:rowOff>1209040</xdr:rowOff>
    </xdr:to>
    <xdr:pic>
      <xdr:nvPicPr>
        <xdr:cNvPr id="4637" name="Изображение 4636" descr="resizeПП-00165122"/>
        <xdr:cNvPicPr>
          <a:picLocks noChangeAspect="1"/>
        </xdr:cNvPicPr>
      </xdr:nvPicPr>
      <xdr:blipFill>
        <a:blip xmlns:r="http://schemas.openxmlformats.org/officeDocument/2006/relationships" r:embed="rId408"/>
        <a:stretch>
          <a:fillRect/>
        </a:stretch>
      </xdr:blipFill>
      <xdr:spPr>
        <a:xfrm>
          <a:off x="7264400" y="555761525"/>
          <a:ext cx="878840" cy="1183640"/>
        </a:xfrm>
        <a:prstGeom prst="rect">
          <a:avLst/>
        </a:prstGeom>
      </xdr:spPr>
    </xdr:pic>
    <xdr:clientData/>
  </xdr:twoCellAnchor>
  <xdr:twoCellAnchor>
    <xdr:from>
      <xdr:col>8</xdr:col>
      <xdr:colOff>6350</xdr:colOff>
      <xdr:row>615</xdr:row>
      <xdr:rowOff>25400</xdr:rowOff>
    </xdr:from>
    <xdr:to>
      <xdr:col>8</xdr:col>
      <xdr:colOff>885190</xdr:colOff>
      <xdr:row>615</xdr:row>
      <xdr:rowOff>1209040</xdr:rowOff>
    </xdr:to>
    <xdr:pic>
      <xdr:nvPicPr>
        <xdr:cNvPr id="4638" name="Изображение 4637" descr="resizeПП-00165126"/>
        <xdr:cNvPicPr>
          <a:picLocks noChangeAspect="1"/>
        </xdr:cNvPicPr>
      </xdr:nvPicPr>
      <xdr:blipFill>
        <a:blip xmlns:r="http://schemas.openxmlformats.org/officeDocument/2006/relationships" r:embed="rId409"/>
        <a:stretch>
          <a:fillRect/>
        </a:stretch>
      </xdr:blipFill>
      <xdr:spPr>
        <a:xfrm>
          <a:off x="7264400" y="556983900"/>
          <a:ext cx="878840" cy="1183640"/>
        </a:xfrm>
        <a:prstGeom prst="rect">
          <a:avLst/>
        </a:prstGeom>
      </xdr:spPr>
    </xdr:pic>
    <xdr:clientData/>
  </xdr:twoCellAnchor>
  <xdr:twoCellAnchor>
    <xdr:from>
      <xdr:col>8</xdr:col>
      <xdr:colOff>6350</xdr:colOff>
      <xdr:row>616</xdr:row>
      <xdr:rowOff>25400</xdr:rowOff>
    </xdr:from>
    <xdr:to>
      <xdr:col>8</xdr:col>
      <xdr:colOff>885190</xdr:colOff>
      <xdr:row>616</xdr:row>
      <xdr:rowOff>1209040</xdr:rowOff>
    </xdr:to>
    <xdr:pic>
      <xdr:nvPicPr>
        <xdr:cNvPr id="4639" name="Изображение 4638" descr="resizeПП-00165124"/>
        <xdr:cNvPicPr>
          <a:picLocks noChangeAspect="1"/>
        </xdr:cNvPicPr>
      </xdr:nvPicPr>
      <xdr:blipFill>
        <a:blip xmlns:r="http://schemas.openxmlformats.org/officeDocument/2006/relationships" r:embed="rId410"/>
        <a:stretch>
          <a:fillRect/>
        </a:stretch>
      </xdr:blipFill>
      <xdr:spPr>
        <a:xfrm>
          <a:off x="7264400" y="558206275"/>
          <a:ext cx="878840" cy="1183640"/>
        </a:xfrm>
        <a:prstGeom prst="rect">
          <a:avLst/>
        </a:prstGeom>
      </xdr:spPr>
    </xdr:pic>
    <xdr:clientData/>
  </xdr:twoCellAnchor>
  <xdr:twoCellAnchor>
    <xdr:from>
      <xdr:col>8</xdr:col>
      <xdr:colOff>6350</xdr:colOff>
      <xdr:row>617</xdr:row>
      <xdr:rowOff>25400</xdr:rowOff>
    </xdr:from>
    <xdr:to>
      <xdr:col>8</xdr:col>
      <xdr:colOff>885190</xdr:colOff>
      <xdr:row>617</xdr:row>
      <xdr:rowOff>1209040</xdr:rowOff>
    </xdr:to>
    <xdr:pic>
      <xdr:nvPicPr>
        <xdr:cNvPr id="4640" name="Изображение 4639" descr="resizeПП-00213744"/>
        <xdr:cNvPicPr>
          <a:picLocks noChangeAspect="1"/>
        </xdr:cNvPicPr>
      </xdr:nvPicPr>
      <xdr:blipFill>
        <a:blip xmlns:r="http://schemas.openxmlformats.org/officeDocument/2006/relationships" r:embed="rId411"/>
        <a:stretch>
          <a:fillRect/>
        </a:stretch>
      </xdr:blipFill>
      <xdr:spPr>
        <a:xfrm>
          <a:off x="7264400" y="559428650"/>
          <a:ext cx="878840" cy="1183640"/>
        </a:xfrm>
        <a:prstGeom prst="rect">
          <a:avLst/>
        </a:prstGeom>
      </xdr:spPr>
    </xdr:pic>
    <xdr:clientData/>
  </xdr:twoCellAnchor>
  <xdr:twoCellAnchor>
    <xdr:from>
      <xdr:col>8</xdr:col>
      <xdr:colOff>6350</xdr:colOff>
      <xdr:row>618</xdr:row>
      <xdr:rowOff>25400</xdr:rowOff>
    </xdr:from>
    <xdr:to>
      <xdr:col>8</xdr:col>
      <xdr:colOff>885190</xdr:colOff>
      <xdr:row>618</xdr:row>
      <xdr:rowOff>1209040</xdr:rowOff>
    </xdr:to>
    <xdr:pic>
      <xdr:nvPicPr>
        <xdr:cNvPr id="4641" name="Изображение 4640" descr="resizeПП-00213745"/>
        <xdr:cNvPicPr>
          <a:picLocks noChangeAspect="1"/>
        </xdr:cNvPicPr>
      </xdr:nvPicPr>
      <xdr:blipFill>
        <a:blip xmlns:r="http://schemas.openxmlformats.org/officeDocument/2006/relationships" r:embed="rId372"/>
        <a:stretch>
          <a:fillRect/>
        </a:stretch>
      </xdr:blipFill>
      <xdr:spPr>
        <a:xfrm>
          <a:off x="7264400" y="560651025"/>
          <a:ext cx="878840" cy="1183640"/>
        </a:xfrm>
        <a:prstGeom prst="rect">
          <a:avLst/>
        </a:prstGeom>
      </xdr:spPr>
    </xdr:pic>
    <xdr:clientData/>
  </xdr:twoCellAnchor>
  <xdr:twoCellAnchor>
    <xdr:from>
      <xdr:col>8</xdr:col>
      <xdr:colOff>6350</xdr:colOff>
      <xdr:row>619</xdr:row>
      <xdr:rowOff>25400</xdr:rowOff>
    </xdr:from>
    <xdr:to>
      <xdr:col>8</xdr:col>
      <xdr:colOff>885190</xdr:colOff>
      <xdr:row>619</xdr:row>
      <xdr:rowOff>1209040</xdr:rowOff>
    </xdr:to>
    <xdr:pic>
      <xdr:nvPicPr>
        <xdr:cNvPr id="4642" name="Изображение 4641" descr="resizeПП-00164799"/>
        <xdr:cNvPicPr>
          <a:picLocks noChangeAspect="1"/>
        </xdr:cNvPicPr>
      </xdr:nvPicPr>
      <xdr:blipFill>
        <a:blip xmlns:r="http://schemas.openxmlformats.org/officeDocument/2006/relationships" r:embed="rId412"/>
        <a:stretch>
          <a:fillRect/>
        </a:stretch>
      </xdr:blipFill>
      <xdr:spPr>
        <a:xfrm>
          <a:off x="7264400" y="561873400"/>
          <a:ext cx="878840" cy="1183640"/>
        </a:xfrm>
        <a:prstGeom prst="rect">
          <a:avLst/>
        </a:prstGeom>
      </xdr:spPr>
    </xdr:pic>
    <xdr:clientData/>
  </xdr:twoCellAnchor>
  <xdr:twoCellAnchor>
    <xdr:from>
      <xdr:col>8</xdr:col>
      <xdr:colOff>6350</xdr:colOff>
      <xdr:row>622</xdr:row>
      <xdr:rowOff>25400</xdr:rowOff>
    </xdr:from>
    <xdr:to>
      <xdr:col>8</xdr:col>
      <xdr:colOff>885190</xdr:colOff>
      <xdr:row>622</xdr:row>
      <xdr:rowOff>1209040</xdr:rowOff>
    </xdr:to>
    <xdr:pic>
      <xdr:nvPicPr>
        <xdr:cNvPr id="4643" name="Изображение 4642" descr="resizeПП-00187395"/>
        <xdr:cNvPicPr>
          <a:picLocks noChangeAspect="1"/>
        </xdr:cNvPicPr>
      </xdr:nvPicPr>
      <xdr:blipFill>
        <a:blip xmlns:r="http://schemas.openxmlformats.org/officeDocument/2006/relationships" r:embed="rId413"/>
        <a:stretch>
          <a:fillRect/>
        </a:stretch>
      </xdr:blipFill>
      <xdr:spPr>
        <a:xfrm>
          <a:off x="7264400" y="563400575"/>
          <a:ext cx="878840" cy="1183640"/>
        </a:xfrm>
        <a:prstGeom prst="rect">
          <a:avLst/>
        </a:prstGeom>
      </xdr:spPr>
    </xdr:pic>
    <xdr:clientData/>
  </xdr:twoCellAnchor>
  <xdr:twoCellAnchor>
    <xdr:from>
      <xdr:col>8</xdr:col>
      <xdr:colOff>6350</xdr:colOff>
      <xdr:row>623</xdr:row>
      <xdr:rowOff>25400</xdr:rowOff>
    </xdr:from>
    <xdr:to>
      <xdr:col>8</xdr:col>
      <xdr:colOff>885190</xdr:colOff>
      <xdr:row>623</xdr:row>
      <xdr:rowOff>1209040</xdr:rowOff>
    </xdr:to>
    <xdr:pic>
      <xdr:nvPicPr>
        <xdr:cNvPr id="4644" name="Изображение 4643" descr="resizeПП-00203556"/>
        <xdr:cNvPicPr>
          <a:picLocks noChangeAspect="1"/>
        </xdr:cNvPicPr>
      </xdr:nvPicPr>
      <xdr:blipFill>
        <a:blip xmlns:r="http://schemas.openxmlformats.org/officeDocument/2006/relationships" r:embed="rId414"/>
        <a:stretch>
          <a:fillRect/>
        </a:stretch>
      </xdr:blipFill>
      <xdr:spPr>
        <a:xfrm>
          <a:off x="7264400" y="564622950"/>
          <a:ext cx="878840" cy="1183640"/>
        </a:xfrm>
        <a:prstGeom prst="rect">
          <a:avLst/>
        </a:prstGeom>
      </xdr:spPr>
    </xdr:pic>
    <xdr:clientData/>
  </xdr:twoCellAnchor>
  <xdr:twoCellAnchor>
    <xdr:from>
      <xdr:col>8</xdr:col>
      <xdr:colOff>6350</xdr:colOff>
      <xdr:row>624</xdr:row>
      <xdr:rowOff>25400</xdr:rowOff>
    </xdr:from>
    <xdr:to>
      <xdr:col>8</xdr:col>
      <xdr:colOff>885190</xdr:colOff>
      <xdr:row>624</xdr:row>
      <xdr:rowOff>1209040</xdr:rowOff>
    </xdr:to>
    <xdr:pic>
      <xdr:nvPicPr>
        <xdr:cNvPr id="4645" name="Изображение 4644" descr="resizeПП-00203558"/>
        <xdr:cNvPicPr>
          <a:picLocks noChangeAspect="1"/>
        </xdr:cNvPicPr>
      </xdr:nvPicPr>
      <xdr:blipFill>
        <a:blip xmlns:r="http://schemas.openxmlformats.org/officeDocument/2006/relationships" r:embed="rId415"/>
        <a:stretch>
          <a:fillRect/>
        </a:stretch>
      </xdr:blipFill>
      <xdr:spPr>
        <a:xfrm>
          <a:off x="7264400" y="565845325"/>
          <a:ext cx="878840" cy="1183640"/>
        </a:xfrm>
        <a:prstGeom prst="rect">
          <a:avLst/>
        </a:prstGeom>
      </xdr:spPr>
    </xdr:pic>
    <xdr:clientData/>
  </xdr:twoCellAnchor>
  <xdr:twoCellAnchor>
    <xdr:from>
      <xdr:col>8</xdr:col>
      <xdr:colOff>6350</xdr:colOff>
      <xdr:row>625</xdr:row>
      <xdr:rowOff>25400</xdr:rowOff>
    </xdr:from>
    <xdr:to>
      <xdr:col>8</xdr:col>
      <xdr:colOff>885190</xdr:colOff>
      <xdr:row>625</xdr:row>
      <xdr:rowOff>1209040</xdr:rowOff>
    </xdr:to>
    <xdr:pic>
      <xdr:nvPicPr>
        <xdr:cNvPr id="4646" name="Изображение 4645" descr="resizeПП-00203559"/>
        <xdr:cNvPicPr>
          <a:picLocks noChangeAspect="1"/>
        </xdr:cNvPicPr>
      </xdr:nvPicPr>
      <xdr:blipFill>
        <a:blip xmlns:r="http://schemas.openxmlformats.org/officeDocument/2006/relationships" r:embed="rId416"/>
        <a:stretch>
          <a:fillRect/>
        </a:stretch>
      </xdr:blipFill>
      <xdr:spPr>
        <a:xfrm>
          <a:off x="7264400" y="567067700"/>
          <a:ext cx="878840" cy="1183640"/>
        </a:xfrm>
        <a:prstGeom prst="rect">
          <a:avLst/>
        </a:prstGeom>
      </xdr:spPr>
    </xdr:pic>
    <xdr:clientData/>
  </xdr:twoCellAnchor>
  <xdr:twoCellAnchor>
    <xdr:from>
      <xdr:col>8</xdr:col>
      <xdr:colOff>6350</xdr:colOff>
      <xdr:row>626</xdr:row>
      <xdr:rowOff>25400</xdr:rowOff>
    </xdr:from>
    <xdr:to>
      <xdr:col>8</xdr:col>
      <xdr:colOff>885190</xdr:colOff>
      <xdr:row>626</xdr:row>
      <xdr:rowOff>1209040</xdr:rowOff>
    </xdr:to>
    <xdr:pic>
      <xdr:nvPicPr>
        <xdr:cNvPr id="4647" name="Изображение 4646" descr="resizeПП-00165099"/>
        <xdr:cNvPicPr>
          <a:picLocks noChangeAspect="1"/>
        </xdr:cNvPicPr>
      </xdr:nvPicPr>
      <xdr:blipFill>
        <a:blip xmlns:r="http://schemas.openxmlformats.org/officeDocument/2006/relationships" r:embed="rId417"/>
        <a:stretch>
          <a:fillRect/>
        </a:stretch>
      </xdr:blipFill>
      <xdr:spPr>
        <a:xfrm>
          <a:off x="7264400" y="568290075"/>
          <a:ext cx="878840" cy="1183640"/>
        </a:xfrm>
        <a:prstGeom prst="rect">
          <a:avLst/>
        </a:prstGeom>
      </xdr:spPr>
    </xdr:pic>
    <xdr:clientData/>
  </xdr:twoCellAnchor>
  <xdr:twoCellAnchor>
    <xdr:from>
      <xdr:col>8</xdr:col>
      <xdr:colOff>6350</xdr:colOff>
      <xdr:row>627</xdr:row>
      <xdr:rowOff>25400</xdr:rowOff>
    </xdr:from>
    <xdr:to>
      <xdr:col>8</xdr:col>
      <xdr:colOff>885190</xdr:colOff>
      <xdr:row>627</xdr:row>
      <xdr:rowOff>1209040</xdr:rowOff>
    </xdr:to>
    <xdr:pic>
      <xdr:nvPicPr>
        <xdr:cNvPr id="4648" name="Изображение 4647" descr="resizeПП-00165100"/>
        <xdr:cNvPicPr>
          <a:picLocks noChangeAspect="1"/>
        </xdr:cNvPicPr>
      </xdr:nvPicPr>
      <xdr:blipFill>
        <a:blip xmlns:r="http://schemas.openxmlformats.org/officeDocument/2006/relationships" r:embed="rId417"/>
        <a:stretch>
          <a:fillRect/>
        </a:stretch>
      </xdr:blipFill>
      <xdr:spPr>
        <a:xfrm>
          <a:off x="7264400" y="569512450"/>
          <a:ext cx="878840" cy="1183640"/>
        </a:xfrm>
        <a:prstGeom prst="rect">
          <a:avLst/>
        </a:prstGeom>
      </xdr:spPr>
    </xdr:pic>
    <xdr:clientData/>
  </xdr:twoCellAnchor>
  <xdr:twoCellAnchor>
    <xdr:from>
      <xdr:col>8</xdr:col>
      <xdr:colOff>6350</xdr:colOff>
      <xdr:row>629</xdr:row>
      <xdr:rowOff>25400</xdr:rowOff>
    </xdr:from>
    <xdr:to>
      <xdr:col>8</xdr:col>
      <xdr:colOff>885190</xdr:colOff>
      <xdr:row>629</xdr:row>
      <xdr:rowOff>1209040</xdr:rowOff>
    </xdr:to>
    <xdr:pic>
      <xdr:nvPicPr>
        <xdr:cNvPr id="4649" name="Изображение 4648" descr="resizeПП-00243434"/>
        <xdr:cNvPicPr>
          <a:picLocks noChangeAspect="1"/>
        </xdr:cNvPicPr>
      </xdr:nvPicPr>
      <xdr:blipFill>
        <a:blip xmlns:r="http://schemas.openxmlformats.org/officeDocument/2006/relationships" r:embed="rId418"/>
        <a:stretch>
          <a:fillRect/>
        </a:stretch>
      </xdr:blipFill>
      <xdr:spPr>
        <a:xfrm>
          <a:off x="7264400" y="570887225"/>
          <a:ext cx="878840" cy="1183640"/>
        </a:xfrm>
        <a:prstGeom prst="rect">
          <a:avLst/>
        </a:prstGeom>
      </xdr:spPr>
    </xdr:pic>
    <xdr:clientData/>
  </xdr:twoCellAnchor>
  <xdr:twoCellAnchor>
    <xdr:from>
      <xdr:col>8</xdr:col>
      <xdr:colOff>6350</xdr:colOff>
      <xdr:row>630</xdr:row>
      <xdr:rowOff>25400</xdr:rowOff>
    </xdr:from>
    <xdr:to>
      <xdr:col>8</xdr:col>
      <xdr:colOff>885190</xdr:colOff>
      <xdr:row>630</xdr:row>
      <xdr:rowOff>1209040</xdr:rowOff>
    </xdr:to>
    <xdr:pic>
      <xdr:nvPicPr>
        <xdr:cNvPr id="4650" name="Изображение 4649" descr="resizeПП-00278699"/>
        <xdr:cNvPicPr>
          <a:picLocks noChangeAspect="1"/>
        </xdr:cNvPicPr>
      </xdr:nvPicPr>
      <xdr:blipFill>
        <a:blip xmlns:r="http://schemas.openxmlformats.org/officeDocument/2006/relationships" r:embed="rId419"/>
        <a:stretch>
          <a:fillRect/>
        </a:stretch>
      </xdr:blipFill>
      <xdr:spPr>
        <a:xfrm>
          <a:off x="7264400" y="572109600"/>
          <a:ext cx="878840" cy="1183640"/>
        </a:xfrm>
        <a:prstGeom prst="rect">
          <a:avLst/>
        </a:prstGeom>
      </xdr:spPr>
    </xdr:pic>
    <xdr:clientData/>
  </xdr:twoCellAnchor>
  <xdr:twoCellAnchor>
    <xdr:from>
      <xdr:col>8</xdr:col>
      <xdr:colOff>6350</xdr:colOff>
      <xdr:row>631</xdr:row>
      <xdr:rowOff>25400</xdr:rowOff>
    </xdr:from>
    <xdr:to>
      <xdr:col>8</xdr:col>
      <xdr:colOff>885190</xdr:colOff>
      <xdr:row>631</xdr:row>
      <xdr:rowOff>1209040</xdr:rowOff>
    </xdr:to>
    <xdr:pic>
      <xdr:nvPicPr>
        <xdr:cNvPr id="4651" name="Изображение 4650" descr="resizeПП-00278708"/>
        <xdr:cNvPicPr>
          <a:picLocks noChangeAspect="1"/>
        </xdr:cNvPicPr>
      </xdr:nvPicPr>
      <xdr:blipFill>
        <a:blip xmlns:r="http://schemas.openxmlformats.org/officeDocument/2006/relationships" r:embed="rId420"/>
        <a:stretch>
          <a:fillRect/>
        </a:stretch>
      </xdr:blipFill>
      <xdr:spPr>
        <a:xfrm>
          <a:off x="7264400" y="573331975"/>
          <a:ext cx="878840" cy="1183640"/>
        </a:xfrm>
        <a:prstGeom prst="rect">
          <a:avLst/>
        </a:prstGeom>
      </xdr:spPr>
    </xdr:pic>
    <xdr:clientData/>
  </xdr:twoCellAnchor>
  <xdr:twoCellAnchor>
    <xdr:from>
      <xdr:col>8</xdr:col>
      <xdr:colOff>6350</xdr:colOff>
      <xdr:row>632</xdr:row>
      <xdr:rowOff>25400</xdr:rowOff>
    </xdr:from>
    <xdr:to>
      <xdr:col>8</xdr:col>
      <xdr:colOff>885190</xdr:colOff>
      <xdr:row>632</xdr:row>
      <xdr:rowOff>1209040</xdr:rowOff>
    </xdr:to>
    <xdr:pic>
      <xdr:nvPicPr>
        <xdr:cNvPr id="4652" name="Изображение 4651" descr="resizeПП-00243430"/>
        <xdr:cNvPicPr>
          <a:picLocks noChangeAspect="1"/>
        </xdr:cNvPicPr>
      </xdr:nvPicPr>
      <xdr:blipFill>
        <a:blip xmlns:r="http://schemas.openxmlformats.org/officeDocument/2006/relationships" r:embed="rId421"/>
        <a:stretch>
          <a:fillRect/>
        </a:stretch>
      </xdr:blipFill>
      <xdr:spPr>
        <a:xfrm>
          <a:off x="7264400" y="574554350"/>
          <a:ext cx="878840" cy="1183640"/>
        </a:xfrm>
        <a:prstGeom prst="rect">
          <a:avLst/>
        </a:prstGeom>
      </xdr:spPr>
    </xdr:pic>
    <xdr:clientData/>
  </xdr:twoCellAnchor>
  <xdr:twoCellAnchor>
    <xdr:from>
      <xdr:col>8</xdr:col>
      <xdr:colOff>6350</xdr:colOff>
      <xdr:row>633</xdr:row>
      <xdr:rowOff>25400</xdr:rowOff>
    </xdr:from>
    <xdr:to>
      <xdr:col>8</xdr:col>
      <xdr:colOff>885190</xdr:colOff>
      <xdr:row>633</xdr:row>
      <xdr:rowOff>1209040</xdr:rowOff>
    </xdr:to>
    <xdr:pic>
      <xdr:nvPicPr>
        <xdr:cNvPr id="4653" name="Изображение 4652" descr="resizeПП-00243431"/>
        <xdr:cNvPicPr>
          <a:picLocks noChangeAspect="1"/>
        </xdr:cNvPicPr>
      </xdr:nvPicPr>
      <xdr:blipFill>
        <a:blip xmlns:r="http://schemas.openxmlformats.org/officeDocument/2006/relationships" r:embed="rId422"/>
        <a:stretch>
          <a:fillRect/>
        </a:stretch>
      </xdr:blipFill>
      <xdr:spPr>
        <a:xfrm>
          <a:off x="7264400" y="575776725"/>
          <a:ext cx="878840" cy="1183640"/>
        </a:xfrm>
        <a:prstGeom prst="rect">
          <a:avLst/>
        </a:prstGeom>
      </xdr:spPr>
    </xdr:pic>
    <xdr:clientData/>
  </xdr:twoCellAnchor>
  <xdr:twoCellAnchor>
    <xdr:from>
      <xdr:col>8</xdr:col>
      <xdr:colOff>6350</xdr:colOff>
      <xdr:row>634</xdr:row>
      <xdr:rowOff>25400</xdr:rowOff>
    </xdr:from>
    <xdr:to>
      <xdr:col>8</xdr:col>
      <xdr:colOff>885190</xdr:colOff>
      <xdr:row>634</xdr:row>
      <xdr:rowOff>1209040</xdr:rowOff>
    </xdr:to>
    <xdr:pic>
      <xdr:nvPicPr>
        <xdr:cNvPr id="4654" name="Изображение 4653" descr="resizeПП-00243432"/>
        <xdr:cNvPicPr>
          <a:picLocks noChangeAspect="1"/>
        </xdr:cNvPicPr>
      </xdr:nvPicPr>
      <xdr:blipFill>
        <a:blip xmlns:r="http://schemas.openxmlformats.org/officeDocument/2006/relationships" r:embed="rId423"/>
        <a:stretch>
          <a:fillRect/>
        </a:stretch>
      </xdr:blipFill>
      <xdr:spPr>
        <a:xfrm>
          <a:off x="7264400" y="576999100"/>
          <a:ext cx="878840" cy="1183640"/>
        </a:xfrm>
        <a:prstGeom prst="rect">
          <a:avLst/>
        </a:prstGeom>
      </xdr:spPr>
    </xdr:pic>
    <xdr:clientData/>
  </xdr:twoCellAnchor>
  <xdr:twoCellAnchor>
    <xdr:from>
      <xdr:col>8</xdr:col>
      <xdr:colOff>6350</xdr:colOff>
      <xdr:row>635</xdr:row>
      <xdr:rowOff>25400</xdr:rowOff>
    </xdr:from>
    <xdr:to>
      <xdr:col>8</xdr:col>
      <xdr:colOff>885190</xdr:colOff>
      <xdr:row>635</xdr:row>
      <xdr:rowOff>1209040</xdr:rowOff>
    </xdr:to>
    <xdr:pic>
      <xdr:nvPicPr>
        <xdr:cNvPr id="4655" name="Изображение 4654" descr="resizeПП-00243433"/>
        <xdr:cNvPicPr>
          <a:picLocks noChangeAspect="1"/>
        </xdr:cNvPicPr>
      </xdr:nvPicPr>
      <xdr:blipFill>
        <a:blip xmlns:r="http://schemas.openxmlformats.org/officeDocument/2006/relationships" r:embed="rId424"/>
        <a:stretch>
          <a:fillRect/>
        </a:stretch>
      </xdr:blipFill>
      <xdr:spPr>
        <a:xfrm>
          <a:off x="7264400" y="578221475"/>
          <a:ext cx="878840" cy="1183640"/>
        </a:xfrm>
        <a:prstGeom prst="rect">
          <a:avLst/>
        </a:prstGeom>
      </xdr:spPr>
    </xdr:pic>
    <xdr:clientData/>
  </xdr:twoCellAnchor>
  <xdr:twoCellAnchor>
    <xdr:from>
      <xdr:col>8</xdr:col>
      <xdr:colOff>6350</xdr:colOff>
      <xdr:row>638</xdr:row>
      <xdr:rowOff>25400</xdr:rowOff>
    </xdr:from>
    <xdr:to>
      <xdr:col>8</xdr:col>
      <xdr:colOff>885190</xdr:colOff>
      <xdr:row>638</xdr:row>
      <xdr:rowOff>1209040</xdr:rowOff>
    </xdr:to>
    <xdr:pic>
      <xdr:nvPicPr>
        <xdr:cNvPr id="4656" name="Изображение 4655" descr="resizeПП-00270432"/>
        <xdr:cNvPicPr>
          <a:picLocks noChangeAspect="1"/>
        </xdr:cNvPicPr>
      </xdr:nvPicPr>
      <xdr:blipFill>
        <a:blip xmlns:r="http://schemas.openxmlformats.org/officeDocument/2006/relationships" r:embed="rId425"/>
        <a:stretch>
          <a:fillRect/>
        </a:stretch>
      </xdr:blipFill>
      <xdr:spPr>
        <a:xfrm>
          <a:off x="7264400" y="579748650"/>
          <a:ext cx="878840" cy="1183640"/>
        </a:xfrm>
        <a:prstGeom prst="rect">
          <a:avLst/>
        </a:prstGeom>
      </xdr:spPr>
    </xdr:pic>
    <xdr:clientData/>
  </xdr:twoCellAnchor>
  <xdr:twoCellAnchor>
    <xdr:from>
      <xdr:col>8</xdr:col>
      <xdr:colOff>6350</xdr:colOff>
      <xdr:row>640</xdr:row>
      <xdr:rowOff>25400</xdr:rowOff>
    </xdr:from>
    <xdr:to>
      <xdr:col>8</xdr:col>
      <xdr:colOff>885190</xdr:colOff>
      <xdr:row>640</xdr:row>
      <xdr:rowOff>1209040</xdr:rowOff>
    </xdr:to>
    <xdr:pic>
      <xdr:nvPicPr>
        <xdr:cNvPr id="4657" name="Изображение 4656" descr="resizeПП-00227274"/>
        <xdr:cNvPicPr>
          <a:picLocks noChangeAspect="1"/>
        </xdr:cNvPicPr>
      </xdr:nvPicPr>
      <xdr:blipFill>
        <a:blip xmlns:r="http://schemas.openxmlformats.org/officeDocument/2006/relationships" r:embed="rId426"/>
        <a:stretch>
          <a:fillRect/>
        </a:stretch>
      </xdr:blipFill>
      <xdr:spPr>
        <a:xfrm>
          <a:off x="7264400" y="581123425"/>
          <a:ext cx="878840" cy="1183640"/>
        </a:xfrm>
        <a:prstGeom prst="rect">
          <a:avLst/>
        </a:prstGeom>
      </xdr:spPr>
    </xdr:pic>
    <xdr:clientData/>
  </xdr:twoCellAnchor>
  <xdr:twoCellAnchor>
    <xdr:from>
      <xdr:col>8</xdr:col>
      <xdr:colOff>6350</xdr:colOff>
      <xdr:row>641</xdr:row>
      <xdr:rowOff>25400</xdr:rowOff>
    </xdr:from>
    <xdr:to>
      <xdr:col>8</xdr:col>
      <xdr:colOff>885190</xdr:colOff>
      <xdr:row>641</xdr:row>
      <xdr:rowOff>1209040</xdr:rowOff>
    </xdr:to>
    <xdr:pic>
      <xdr:nvPicPr>
        <xdr:cNvPr id="4658" name="Изображение 4657" descr="resizeПП-00227273"/>
        <xdr:cNvPicPr>
          <a:picLocks noChangeAspect="1"/>
        </xdr:cNvPicPr>
      </xdr:nvPicPr>
      <xdr:blipFill>
        <a:blip xmlns:r="http://schemas.openxmlformats.org/officeDocument/2006/relationships" r:embed="rId427"/>
        <a:stretch>
          <a:fillRect/>
        </a:stretch>
      </xdr:blipFill>
      <xdr:spPr>
        <a:xfrm>
          <a:off x="7264400" y="582345800"/>
          <a:ext cx="878840" cy="1183640"/>
        </a:xfrm>
        <a:prstGeom prst="rect">
          <a:avLst/>
        </a:prstGeom>
      </xdr:spPr>
    </xdr:pic>
    <xdr:clientData/>
  </xdr:twoCellAnchor>
  <xdr:twoCellAnchor>
    <xdr:from>
      <xdr:col>8</xdr:col>
      <xdr:colOff>6350</xdr:colOff>
      <xdr:row>642</xdr:row>
      <xdr:rowOff>25400</xdr:rowOff>
    </xdr:from>
    <xdr:to>
      <xdr:col>8</xdr:col>
      <xdr:colOff>885190</xdr:colOff>
      <xdr:row>642</xdr:row>
      <xdr:rowOff>1209040</xdr:rowOff>
    </xdr:to>
    <xdr:pic>
      <xdr:nvPicPr>
        <xdr:cNvPr id="4659" name="Изображение 4658" descr="resizeПП-00227272"/>
        <xdr:cNvPicPr>
          <a:picLocks noChangeAspect="1"/>
        </xdr:cNvPicPr>
      </xdr:nvPicPr>
      <xdr:blipFill>
        <a:blip xmlns:r="http://schemas.openxmlformats.org/officeDocument/2006/relationships" r:embed="rId428"/>
        <a:stretch>
          <a:fillRect/>
        </a:stretch>
      </xdr:blipFill>
      <xdr:spPr>
        <a:xfrm>
          <a:off x="7264400" y="583568175"/>
          <a:ext cx="878840" cy="1183640"/>
        </a:xfrm>
        <a:prstGeom prst="rect">
          <a:avLst/>
        </a:prstGeom>
      </xdr:spPr>
    </xdr:pic>
    <xdr:clientData/>
  </xdr:twoCellAnchor>
  <xdr:twoCellAnchor>
    <xdr:from>
      <xdr:col>8</xdr:col>
      <xdr:colOff>6350</xdr:colOff>
      <xdr:row>643</xdr:row>
      <xdr:rowOff>25400</xdr:rowOff>
    </xdr:from>
    <xdr:to>
      <xdr:col>8</xdr:col>
      <xdr:colOff>885190</xdr:colOff>
      <xdr:row>643</xdr:row>
      <xdr:rowOff>1209040</xdr:rowOff>
    </xdr:to>
    <xdr:pic>
      <xdr:nvPicPr>
        <xdr:cNvPr id="4660" name="Изображение 4659" descr="resizeПП-00227271"/>
        <xdr:cNvPicPr>
          <a:picLocks noChangeAspect="1"/>
        </xdr:cNvPicPr>
      </xdr:nvPicPr>
      <xdr:blipFill>
        <a:blip xmlns:r="http://schemas.openxmlformats.org/officeDocument/2006/relationships" r:embed="rId429"/>
        <a:stretch>
          <a:fillRect/>
        </a:stretch>
      </xdr:blipFill>
      <xdr:spPr>
        <a:xfrm>
          <a:off x="7264400" y="584790550"/>
          <a:ext cx="878840" cy="1183640"/>
        </a:xfrm>
        <a:prstGeom prst="rect">
          <a:avLst/>
        </a:prstGeom>
      </xdr:spPr>
    </xdr:pic>
    <xdr:clientData/>
  </xdr:twoCellAnchor>
  <xdr:twoCellAnchor>
    <xdr:from>
      <xdr:col>8</xdr:col>
      <xdr:colOff>6350</xdr:colOff>
      <xdr:row>645</xdr:row>
      <xdr:rowOff>25400</xdr:rowOff>
    </xdr:from>
    <xdr:to>
      <xdr:col>8</xdr:col>
      <xdr:colOff>885190</xdr:colOff>
      <xdr:row>645</xdr:row>
      <xdr:rowOff>1209040</xdr:rowOff>
    </xdr:to>
    <xdr:pic>
      <xdr:nvPicPr>
        <xdr:cNvPr id="4661" name="Изображение 4660" descr="resizeПП-00278011"/>
        <xdr:cNvPicPr>
          <a:picLocks noChangeAspect="1"/>
        </xdr:cNvPicPr>
      </xdr:nvPicPr>
      <xdr:blipFill>
        <a:blip xmlns:r="http://schemas.openxmlformats.org/officeDocument/2006/relationships" r:embed="rId430"/>
        <a:stretch>
          <a:fillRect/>
        </a:stretch>
      </xdr:blipFill>
      <xdr:spPr>
        <a:xfrm>
          <a:off x="7264400" y="586165325"/>
          <a:ext cx="878840" cy="1183640"/>
        </a:xfrm>
        <a:prstGeom prst="rect">
          <a:avLst/>
        </a:prstGeom>
      </xdr:spPr>
    </xdr:pic>
    <xdr:clientData/>
  </xdr:twoCellAnchor>
  <xdr:twoCellAnchor>
    <xdr:from>
      <xdr:col>8</xdr:col>
      <xdr:colOff>6350</xdr:colOff>
      <xdr:row>646</xdr:row>
      <xdr:rowOff>25400</xdr:rowOff>
    </xdr:from>
    <xdr:to>
      <xdr:col>8</xdr:col>
      <xdr:colOff>885190</xdr:colOff>
      <xdr:row>646</xdr:row>
      <xdr:rowOff>1209040</xdr:rowOff>
    </xdr:to>
    <xdr:pic>
      <xdr:nvPicPr>
        <xdr:cNvPr id="4662" name="Изображение 4661" descr="resizeПП-00226016"/>
        <xdr:cNvPicPr>
          <a:picLocks noChangeAspect="1"/>
        </xdr:cNvPicPr>
      </xdr:nvPicPr>
      <xdr:blipFill>
        <a:blip xmlns:r="http://schemas.openxmlformats.org/officeDocument/2006/relationships" r:embed="rId431"/>
        <a:stretch>
          <a:fillRect/>
        </a:stretch>
      </xdr:blipFill>
      <xdr:spPr>
        <a:xfrm>
          <a:off x="7264400" y="587387700"/>
          <a:ext cx="878840" cy="1183640"/>
        </a:xfrm>
        <a:prstGeom prst="rect">
          <a:avLst/>
        </a:prstGeom>
      </xdr:spPr>
    </xdr:pic>
    <xdr:clientData/>
  </xdr:twoCellAnchor>
  <xdr:twoCellAnchor>
    <xdr:from>
      <xdr:col>8</xdr:col>
      <xdr:colOff>6350</xdr:colOff>
      <xdr:row>647</xdr:row>
      <xdr:rowOff>25400</xdr:rowOff>
    </xdr:from>
    <xdr:to>
      <xdr:col>8</xdr:col>
      <xdr:colOff>885190</xdr:colOff>
      <xdr:row>647</xdr:row>
      <xdr:rowOff>1209040</xdr:rowOff>
    </xdr:to>
    <xdr:pic>
      <xdr:nvPicPr>
        <xdr:cNvPr id="4663" name="Изображение 4662" descr="resizeПП-00271892"/>
        <xdr:cNvPicPr>
          <a:picLocks noChangeAspect="1"/>
        </xdr:cNvPicPr>
      </xdr:nvPicPr>
      <xdr:blipFill>
        <a:blip xmlns:r="http://schemas.openxmlformats.org/officeDocument/2006/relationships" r:embed="rId432"/>
        <a:stretch>
          <a:fillRect/>
        </a:stretch>
      </xdr:blipFill>
      <xdr:spPr>
        <a:xfrm>
          <a:off x="7264400" y="588610075"/>
          <a:ext cx="878840" cy="1183640"/>
        </a:xfrm>
        <a:prstGeom prst="rect">
          <a:avLst/>
        </a:prstGeom>
      </xdr:spPr>
    </xdr:pic>
    <xdr:clientData/>
  </xdr:twoCellAnchor>
  <xdr:twoCellAnchor>
    <xdr:from>
      <xdr:col>8</xdr:col>
      <xdr:colOff>6350</xdr:colOff>
      <xdr:row>648</xdr:row>
      <xdr:rowOff>25400</xdr:rowOff>
    </xdr:from>
    <xdr:to>
      <xdr:col>8</xdr:col>
      <xdr:colOff>885190</xdr:colOff>
      <xdr:row>648</xdr:row>
      <xdr:rowOff>1209040</xdr:rowOff>
    </xdr:to>
    <xdr:pic>
      <xdr:nvPicPr>
        <xdr:cNvPr id="4664" name="Изображение 4663" descr="resizeПП-00226015"/>
        <xdr:cNvPicPr>
          <a:picLocks noChangeAspect="1"/>
        </xdr:cNvPicPr>
      </xdr:nvPicPr>
      <xdr:blipFill>
        <a:blip xmlns:r="http://schemas.openxmlformats.org/officeDocument/2006/relationships" r:embed="rId433"/>
        <a:stretch>
          <a:fillRect/>
        </a:stretch>
      </xdr:blipFill>
      <xdr:spPr>
        <a:xfrm>
          <a:off x="7264400" y="589832450"/>
          <a:ext cx="878840" cy="1183640"/>
        </a:xfrm>
        <a:prstGeom prst="rect">
          <a:avLst/>
        </a:prstGeom>
      </xdr:spPr>
    </xdr:pic>
    <xdr:clientData/>
  </xdr:twoCellAnchor>
  <xdr:twoCellAnchor>
    <xdr:from>
      <xdr:col>8</xdr:col>
      <xdr:colOff>6350</xdr:colOff>
      <xdr:row>649</xdr:row>
      <xdr:rowOff>25400</xdr:rowOff>
    </xdr:from>
    <xdr:to>
      <xdr:col>8</xdr:col>
      <xdr:colOff>885190</xdr:colOff>
      <xdr:row>649</xdr:row>
      <xdr:rowOff>1209040</xdr:rowOff>
    </xdr:to>
    <xdr:pic>
      <xdr:nvPicPr>
        <xdr:cNvPr id="4665" name="Изображение 4664" descr="resizeПП-00226017"/>
        <xdr:cNvPicPr>
          <a:picLocks noChangeAspect="1"/>
        </xdr:cNvPicPr>
      </xdr:nvPicPr>
      <xdr:blipFill>
        <a:blip xmlns:r="http://schemas.openxmlformats.org/officeDocument/2006/relationships" r:embed="rId434"/>
        <a:stretch>
          <a:fillRect/>
        </a:stretch>
      </xdr:blipFill>
      <xdr:spPr>
        <a:xfrm>
          <a:off x="7264400" y="591054825"/>
          <a:ext cx="878840" cy="1183640"/>
        </a:xfrm>
        <a:prstGeom prst="rect">
          <a:avLst/>
        </a:prstGeom>
      </xdr:spPr>
    </xdr:pic>
    <xdr:clientData/>
  </xdr:twoCellAnchor>
  <xdr:twoCellAnchor>
    <xdr:from>
      <xdr:col>8</xdr:col>
      <xdr:colOff>6350</xdr:colOff>
      <xdr:row>650</xdr:row>
      <xdr:rowOff>25400</xdr:rowOff>
    </xdr:from>
    <xdr:to>
      <xdr:col>8</xdr:col>
      <xdr:colOff>885190</xdr:colOff>
      <xdr:row>650</xdr:row>
      <xdr:rowOff>1209040</xdr:rowOff>
    </xdr:to>
    <xdr:pic>
      <xdr:nvPicPr>
        <xdr:cNvPr id="4666" name="Изображение 4665" descr="resizeПП-00210729"/>
        <xdr:cNvPicPr>
          <a:picLocks noChangeAspect="1"/>
        </xdr:cNvPicPr>
      </xdr:nvPicPr>
      <xdr:blipFill>
        <a:blip xmlns:r="http://schemas.openxmlformats.org/officeDocument/2006/relationships" r:embed="rId435"/>
        <a:stretch>
          <a:fillRect/>
        </a:stretch>
      </xdr:blipFill>
      <xdr:spPr>
        <a:xfrm>
          <a:off x="7264400" y="592277200"/>
          <a:ext cx="878840" cy="1183640"/>
        </a:xfrm>
        <a:prstGeom prst="rect">
          <a:avLst/>
        </a:prstGeom>
      </xdr:spPr>
    </xdr:pic>
    <xdr:clientData/>
  </xdr:twoCellAnchor>
  <xdr:twoCellAnchor>
    <xdr:from>
      <xdr:col>8</xdr:col>
      <xdr:colOff>6350</xdr:colOff>
      <xdr:row>652</xdr:row>
      <xdr:rowOff>25400</xdr:rowOff>
    </xdr:from>
    <xdr:to>
      <xdr:col>8</xdr:col>
      <xdr:colOff>885190</xdr:colOff>
      <xdr:row>652</xdr:row>
      <xdr:rowOff>1209040</xdr:rowOff>
    </xdr:to>
    <xdr:pic>
      <xdr:nvPicPr>
        <xdr:cNvPr id="4667" name="Изображение 4666" descr="resizeПП-00191289"/>
        <xdr:cNvPicPr>
          <a:picLocks noChangeAspect="1"/>
        </xdr:cNvPicPr>
      </xdr:nvPicPr>
      <xdr:blipFill>
        <a:blip xmlns:r="http://schemas.openxmlformats.org/officeDocument/2006/relationships" r:embed="rId436"/>
        <a:stretch>
          <a:fillRect/>
        </a:stretch>
      </xdr:blipFill>
      <xdr:spPr>
        <a:xfrm>
          <a:off x="7264400" y="593651975"/>
          <a:ext cx="878840" cy="1183640"/>
        </a:xfrm>
        <a:prstGeom prst="rect">
          <a:avLst/>
        </a:prstGeom>
      </xdr:spPr>
    </xdr:pic>
    <xdr:clientData/>
  </xdr:twoCellAnchor>
  <xdr:twoCellAnchor>
    <xdr:from>
      <xdr:col>8</xdr:col>
      <xdr:colOff>6350</xdr:colOff>
      <xdr:row>653</xdr:row>
      <xdr:rowOff>25400</xdr:rowOff>
    </xdr:from>
    <xdr:to>
      <xdr:col>8</xdr:col>
      <xdr:colOff>885190</xdr:colOff>
      <xdr:row>653</xdr:row>
      <xdr:rowOff>1209040</xdr:rowOff>
    </xdr:to>
    <xdr:pic>
      <xdr:nvPicPr>
        <xdr:cNvPr id="4668" name="Изображение 4667" descr="resizeПП-00270431"/>
        <xdr:cNvPicPr>
          <a:picLocks noChangeAspect="1"/>
        </xdr:cNvPicPr>
      </xdr:nvPicPr>
      <xdr:blipFill>
        <a:blip xmlns:r="http://schemas.openxmlformats.org/officeDocument/2006/relationships" r:embed="rId437"/>
        <a:stretch>
          <a:fillRect/>
        </a:stretch>
      </xdr:blipFill>
      <xdr:spPr>
        <a:xfrm>
          <a:off x="7264400" y="594874350"/>
          <a:ext cx="878840" cy="1183640"/>
        </a:xfrm>
        <a:prstGeom prst="rect">
          <a:avLst/>
        </a:prstGeom>
      </xdr:spPr>
    </xdr:pic>
    <xdr:clientData/>
  </xdr:twoCellAnchor>
  <xdr:twoCellAnchor>
    <xdr:from>
      <xdr:col>8</xdr:col>
      <xdr:colOff>6350</xdr:colOff>
      <xdr:row>654</xdr:row>
      <xdr:rowOff>25400</xdr:rowOff>
    </xdr:from>
    <xdr:to>
      <xdr:col>8</xdr:col>
      <xdr:colOff>885190</xdr:colOff>
      <xdr:row>654</xdr:row>
      <xdr:rowOff>1209040</xdr:rowOff>
    </xdr:to>
    <xdr:pic>
      <xdr:nvPicPr>
        <xdr:cNvPr id="4669" name="Изображение 4668" descr="resizeПП-00191567"/>
        <xdr:cNvPicPr>
          <a:picLocks noChangeAspect="1"/>
        </xdr:cNvPicPr>
      </xdr:nvPicPr>
      <xdr:blipFill>
        <a:blip xmlns:r="http://schemas.openxmlformats.org/officeDocument/2006/relationships" r:embed="rId438"/>
        <a:stretch>
          <a:fillRect/>
        </a:stretch>
      </xdr:blipFill>
      <xdr:spPr>
        <a:xfrm>
          <a:off x="7264400" y="596096725"/>
          <a:ext cx="878840" cy="1183640"/>
        </a:xfrm>
        <a:prstGeom prst="rect">
          <a:avLst/>
        </a:prstGeom>
      </xdr:spPr>
    </xdr:pic>
    <xdr:clientData/>
  </xdr:twoCellAnchor>
  <xdr:twoCellAnchor>
    <xdr:from>
      <xdr:col>8</xdr:col>
      <xdr:colOff>6350</xdr:colOff>
      <xdr:row>656</xdr:row>
      <xdr:rowOff>25400</xdr:rowOff>
    </xdr:from>
    <xdr:to>
      <xdr:col>8</xdr:col>
      <xdr:colOff>885190</xdr:colOff>
      <xdr:row>656</xdr:row>
      <xdr:rowOff>1209040</xdr:rowOff>
    </xdr:to>
    <xdr:pic>
      <xdr:nvPicPr>
        <xdr:cNvPr id="4670" name="Изображение 4669" descr="resizeПП-00191294"/>
        <xdr:cNvPicPr>
          <a:picLocks noChangeAspect="1"/>
        </xdr:cNvPicPr>
      </xdr:nvPicPr>
      <xdr:blipFill>
        <a:blip xmlns:r="http://schemas.openxmlformats.org/officeDocument/2006/relationships" r:embed="rId439"/>
        <a:stretch>
          <a:fillRect/>
        </a:stretch>
      </xdr:blipFill>
      <xdr:spPr>
        <a:xfrm>
          <a:off x="7264400" y="597623900"/>
          <a:ext cx="878840" cy="1183640"/>
        </a:xfrm>
        <a:prstGeom prst="rect">
          <a:avLst/>
        </a:prstGeom>
      </xdr:spPr>
    </xdr:pic>
    <xdr:clientData/>
  </xdr:twoCellAnchor>
  <xdr:twoCellAnchor>
    <xdr:from>
      <xdr:col>8</xdr:col>
      <xdr:colOff>6350</xdr:colOff>
      <xdr:row>657</xdr:row>
      <xdr:rowOff>25400</xdr:rowOff>
    </xdr:from>
    <xdr:to>
      <xdr:col>8</xdr:col>
      <xdr:colOff>885190</xdr:colOff>
      <xdr:row>657</xdr:row>
      <xdr:rowOff>1209040</xdr:rowOff>
    </xdr:to>
    <xdr:pic>
      <xdr:nvPicPr>
        <xdr:cNvPr id="4671" name="Изображение 4670" descr="resizeПП-00191293"/>
        <xdr:cNvPicPr>
          <a:picLocks noChangeAspect="1"/>
        </xdr:cNvPicPr>
      </xdr:nvPicPr>
      <xdr:blipFill>
        <a:blip xmlns:r="http://schemas.openxmlformats.org/officeDocument/2006/relationships" r:embed="rId440"/>
        <a:stretch>
          <a:fillRect/>
        </a:stretch>
      </xdr:blipFill>
      <xdr:spPr>
        <a:xfrm>
          <a:off x="7264400" y="598846275"/>
          <a:ext cx="878840" cy="1183640"/>
        </a:xfrm>
        <a:prstGeom prst="rect">
          <a:avLst/>
        </a:prstGeom>
      </xdr:spPr>
    </xdr:pic>
    <xdr:clientData/>
  </xdr:twoCellAnchor>
  <xdr:twoCellAnchor>
    <xdr:from>
      <xdr:col>8</xdr:col>
      <xdr:colOff>6350</xdr:colOff>
      <xdr:row>658</xdr:row>
      <xdr:rowOff>25400</xdr:rowOff>
    </xdr:from>
    <xdr:to>
      <xdr:col>8</xdr:col>
      <xdr:colOff>885190</xdr:colOff>
      <xdr:row>658</xdr:row>
      <xdr:rowOff>1209040</xdr:rowOff>
    </xdr:to>
    <xdr:pic>
      <xdr:nvPicPr>
        <xdr:cNvPr id="4672" name="Изображение 4671" descr="resizeПП-00191296"/>
        <xdr:cNvPicPr>
          <a:picLocks noChangeAspect="1"/>
        </xdr:cNvPicPr>
      </xdr:nvPicPr>
      <xdr:blipFill>
        <a:blip xmlns:r="http://schemas.openxmlformats.org/officeDocument/2006/relationships" r:embed="rId441"/>
        <a:stretch>
          <a:fillRect/>
        </a:stretch>
      </xdr:blipFill>
      <xdr:spPr>
        <a:xfrm>
          <a:off x="7264400" y="600068650"/>
          <a:ext cx="878840" cy="1183640"/>
        </a:xfrm>
        <a:prstGeom prst="rect">
          <a:avLst/>
        </a:prstGeom>
      </xdr:spPr>
    </xdr:pic>
    <xdr:clientData/>
  </xdr:twoCellAnchor>
  <xdr:twoCellAnchor>
    <xdr:from>
      <xdr:col>8</xdr:col>
      <xdr:colOff>6350</xdr:colOff>
      <xdr:row>659</xdr:row>
      <xdr:rowOff>25400</xdr:rowOff>
    </xdr:from>
    <xdr:to>
      <xdr:col>8</xdr:col>
      <xdr:colOff>885190</xdr:colOff>
      <xdr:row>659</xdr:row>
      <xdr:rowOff>1209040</xdr:rowOff>
    </xdr:to>
    <xdr:pic>
      <xdr:nvPicPr>
        <xdr:cNvPr id="4673" name="Изображение 4672" descr="resizeПП-00191297"/>
        <xdr:cNvPicPr>
          <a:picLocks noChangeAspect="1"/>
        </xdr:cNvPicPr>
      </xdr:nvPicPr>
      <xdr:blipFill>
        <a:blip xmlns:r="http://schemas.openxmlformats.org/officeDocument/2006/relationships" r:embed="rId442"/>
        <a:stretch>
          <a:fillRect/>
        </a:stretch>
      </xdr:blipFill>
      <xdr:spPr>
        <a:xfrm>
          <a:off x="7264400" y="601291025"/>
          <a:ext cx="878840" cy="1183640"/>
        </a:xfrm>
        <a:prstGeom prst="rect">
          <a:avLst/>
        </a:prstGeom>
      </xdr:spPr>
    </xdr:pic>
    <xdr:clientData/>
  </xdr:twoCellAnchor>
  <xdr:twoCellAnchor>
    <xdr:from>
      <xdr:col>8</xdr:col>
      <xdr:colOff>6350</xdr:colOff>
      <xdr:row>661</xdr:row>
      <xdr:rowOff>25400</xdr:rowOff>
    </xdr:from>
    <xdr:to>
      <xdr:col>8</xdr:col>
      <xdr:colOff>885190</xdr:colOff>
      <xdr:row>661</xdr:row>
      <xdr:rowOff>1209040</xdr:rowOff>
    </xdr:to>
    <xdr:pic>
      <xdr:nvPicPr>
        <xdr:cNvPr id="4674" name="Изображение 4673" descr="resizeПП-00227381"/>
        <xdr:cNvPicPr>
          <a:picLocks noChangeAspect="1"/>
        </xdr:cNvPicPr>
      </xdr:nvPicPr>
      <xdr:blipFill>
        <a:blip xmlns:r="http://schemas.openxmlformats.org/officeDocument/2006/relationships" r:embed="rId443"/>
        <a:stretch>
          <a:fillRect/>
        </a:stretch>
      </xdr:blipFill>
      <xdr:spPr>
        <a:xfrm>
          <a:off x="7264400" y="602665800"/>
          <a:ext cx="878840" cy="1183640"/>
        </a:xfrm>
        <a:prstGeom prst="rect">
          <a:avLst/>
        </a:prstGeom>
      </xdr:spPr>
    </xdr:pic>
    <xdr:clientData/>
  </xdr:twoCellAnchor>
  <xdr:twoCellAnchor>
    <xdr:from>
      <xdr:col>8</xdr:col>
      <xdr:colOff>6350</xdr:colOff>
      <xdr:row>662</xdr:row>
      <xdr:rowOff>25400</xdr:rowOff>
    </xdr:from>
    <xdr:to>
      <xdr:col>8</xdr:col>
      <xdr:colOff>885190</xdr:colOff>
      <xdr:row>662</xdr:row>
      <xdr:rowOff>1209040</xdr:rowOff>
    </xdr:to>
    <xdr:pic>
      <xdr:nvPicPr>
        <xdr:cNvPr id="4675" name="Изображение 4674" descr="resizeПП-00227382"/>
        <xdr:cNvPicPr>
          <a:picLocks noChangeAspect="1"/>
        </xdr:cNvPicPr>
      </xdr:nvPicPr>
      <xdr:blipFill>
        <a:blip xmlns:r="http://schemas.openxmlformats.org/officeDocument/2006/relationships" r:embed="rId444"/>
        <a:stretch>
          <a:fillRect/>
        </a:stretch>
      </xdr:blipFill>
      <xdr:spPr>
        <a:xfrm>
          <a:off x="7264400" y="603888175"/>
          <a:ext cx="878840" cy="1183640"/>
        </a:xfrm>
        <a:prstGeom prst="rect">
          <a:avLst/>
        </a:prstGeom>
      </xdr:spPr>
    </xdr:pic>
    <xdr:clientData/>
  </xdr:twoCellAnchor>
  <xdr:twoCellAnchor>
    <xdr:from>
      <xdr:col>8</xdr:col>
      <xdr:colOff>6350</xdr:colOff>
      <xdr:row>663</xdr:row>
      <xdr:rowOff>25400</xdr:rowOff>
    </xdr:from>
    <xdr:to>
      <xdr:col>8</xdr:col>
      <xdr:colOff>885190</xdr:colOff>
      <xdr:row>663</xdr:row>
      <xdr:rowOff>1209040</xdr:rowOff>
    </xdr:to>
    <xdr:pic>
      <xdr:nvPicPr>
        <xdr:cNvPr id="4676" name="Изображение 4675" descr="resizeПП-00227380"/>
        <xdr:cNvPicPr>
          <a:picLocks noChangeAspect="1"/>
        </xdr:cNvPicPr>
      </xdr:nvPicPr>
      <xdr:blipFill>
        <a:blip xmlns:r="http://schemas.openxmlformats.org/officeDocument/2006/relationships" r:embed="rId445"/>
        <a:stretch>
          <a:fillRect/>
        </a:stretch>
      </xdr:blipFill>
      <xdr:spPr>
        <a:xfrm>
          <a:off x="7264400" y="605110550"/>
          <a:ext cx="878840" cy="1183640"/>
        </a:xfrm>
        <a:prstGeom prst="rect">
          <a:avLst/>
        </a:prstGeom>
      </xdr:spPr>
    </xdr:pic>
    <xdr:clientData/>
  </xdr:twoCellAnchor>
  <xdr:twoCellAnchor>
    <xdr:from>
      <xdr:col>8</xdr:col>
      <xdr:colOff>6350</xdr:colOff>
      <xdr:row>664</xdr:row>
      <xdr:rowOff>25400</xdr:rowOff>
    </xdr:from>
    <xdr:to>
      <xdr:col>8</xdr:col>
      <xdr:colOff>885190</xdr:colOff>
      <xdr:row>664</xdr:row>
      <xdr:rowOff>1209040</xdr:rowOff>
    </xdr:to>
    <xdr:pic>
      <xdr:nvPicPr>
        <xdr:cNvPr id="4677" name="Изображение 4676" descr="resizeПП-00227384"/>
        <xdr:cNvPicPr>
          <a:picLocks noChangeAspect="1"/>
        </xdr:cNvPicPr>
      </xdr:nvPicPr>
      <xdr:blipFill>
        <a:blip xmlns:r="http://schemas.openxmlformats.org/officeDocument/2006/relationships" r:embed="rId446"/>
        <a:stretch>
          <a:fillRect/>
        </a:stretch>
      </xdr:blipFill>
      <xdr:spPr>
        <a:xfrm>
          <a:off x="7264400" y="606332925"/>
          <a:ext cx="878840" cy="1183640"/>
        </a:xfrm>
        <a:prstGeom prst="rect">
          <a:avLst/>
        </a:prstGeom>
      </xdr:spPr>
    </xdr:pic>
    <xdr:clientData/>
  </xdr:twoCellAnchor>
  <xdr:twoCellAnchor>
    <xdr:from>
      <xdr:col>8</xdr:col>
      <xdr:colOff>6350</xdr:colOff>
      <xdr:row>667</xdr:row>
      <xdr:rowOff>25400</xdr:rowOff>
    </xdr:from>
    <xdr:to>
      <xdr:col>8</xdr:col>
      <xdr:colOff>885190</xdr:colOff>
      <xdr:row>667</xdr:row>
      <xdr:rowOff>1209040</xdr:rowOff>
    </xdr:to>
    <xdr:pic>
      <xdr:nvPicPr>
        <xdr:cNvPr id="4678" name="Изображение 4677" descr="resizeПП-00227257"/>
        <xdr:cNvPicPr>
          <a:picLocks noChangeAspect="1"/>
        </xdr:cNvPicPr>
      </xdr:nvPicPr>
      <xdr:blipFill>
        <a:blip xmlns:r="http://schemas.openxmlformats.org/officeDocument/2006/relationships" r:embed="rId447"/>
        <a:stretch>
          <a:fillRect/>
        </a:stretch>
      </xdr:blipFill>
      <xdr:spPr>
        <a:xfrm>
          <a:off x="7264400" y="607860100"/>
          <a:ext cx="878840" cy="1183640"/>
        </a:xfrm>
        <a:prstGeom prst="rect">
          <a:avLst/>
        </a:prstGeom>
      </xdr:spPr>
    </xdr:pic>
    <xdr:clientData/>
  </xdr:twoCellAnchor>
  <xdr:twoCellAnchor>
    <xdr:from>
      <xdr:col>8</xdr:col>
      <xdr:colOff>6350</xdr:colOff>
      <xdr:row>668</xdr:row>
      <xdr:rowOff>25400</xdr:rowOff>
    </xdr:from>
    <xdr:to>
      <xdr:col>8</xdr:col>
      <xdr:colOff>885190</xdr:colOff>
      <xdr:row>668</xdr:row>
      <xdr:rowOff>1209040</xdr:rowOff>
    </xdr:to>
    <xdr:pic>
      <xdr:nvPicPr>
        <xdr:cNvPr id="4679" name="Изображение 4678" descr="resizeПП-00227260"/>
        <xdr:cNvPicPr>
          <a:picLocks noChangeAspect="1"/>
        </xdr:cNvPicPr>
      </xdr:nvPicPr>
      <xdr:blipFill>
        <a:blip xmlns:r="http://schemas.openxmlformats.org/officeDocument/2006/relationships" r:embed="rId448"/>
        <a:stretch>
          <a:fillRect/>
        </a:stretch>
      </xdr:blipFill>
      <xdr:spPr>
        <a:xfrm>
          <a:off x="7264400" y="609082475"/>
          <a:ext cx="878840" cy="1183640"/>
        </a:xfrm>
        <a:prstGeom prst="rect">
          <a:avLst/>
        </a:prstGeom>
      </xdr:spPr>
    </xdr:pic>
    <xdr:clientData/>
  </xdr:twoCellAnchor>
  <xdr:twoCellAnchor>
    <xdr:from>
      <xdr:col>8</xdr:col>
      <xdr:colOff>6350</xdr:colOff>
      <xdr:row>669</xdr:row>
      <xdr:rowOff>25400</xdr:rowOff>
    </xdr:from>
    <xdr:to>
      <xdr:col>8</xdr:col>
      <xdr:colOff>885190</xdr:colOff>
      <xdr:row>669</xdr:row>
      <xdr:rowOff>1209040</xdr:rowOff>
    </xdr:to>
    <xdr:pic>
      <xdr:nvPicPr>
        <xdr:cNvPr id="4680" name="Изображение 4679" descr="resizeПП-00252509"/>
        <xdr:cNvPicPr>
          <a:picLocks noChangeAspect="1"/>
        </xdr:cNvPicPr>
      </xdr:nvPicPr>
      <xdr:blipFill>
        <a:blip xmlns:r="http://schemas.openxmlformats.org/officeDocument/2006/relationships" r:embed="rId449"/>
        <a:stretch>
          <a:fillRect/>
        </a:stretch>
      </xdr:blipFill>
      <xdr:spPr>
        <a:xfrm>
          <a:off x="7264400" y="610304850"/>
          <a:ext cx="878840" cy="1183640"/>
        </a:xfrm>
        <a:prstGeom prst="rect">
          <a:avLst/>
        </a:prstGeom>
      </xdr:spPr>
    </xdr:pic>
    <xdr:clientData/>
  </xdr:twoCellAnchor>
  <xdr:twoCellAnchor>
    <xdr:from>
      <xdr:col>8</xdr:col>
      <xdr:colOff>6350</xdr:colOff>
      <xdr:row>671</xdr:row>
      <xdr:rowOff>25400</xdr:rowOff>
    </xdr:from>
    <xdr:to>
      <xdr:col>8</xdr:col>
      <xdr:colOff>885190</xdr:colOff>
      <xdr:row>671</xdr:row>
      <xdr:rowOff>1209040</xdr:rowOff>
    </xdr:to>
    <xdr:pic>
      <xdr:nvPicPr>
        <xdr:cNvPr id="4681" name="Изображение 4680" descr="resizeПП-00223703"/>
        <xdr:cNvPicPr>
          <a:picLocks noChangeAspect="1"/>
        </xdr:cNvPicPr>
      </xdr:nvPicPr>
      <xdr:blipFill>
        <a:blip xmlns:r="http://schemas.openxmlformats.org/officeDocument/2006/relationships" r:embed="rId450"/>
        <a:stretch>
          <a:fillRect/>
        </a:stretch>
      </xdr:blipFill>
      <xdr:spPr>
        <a:xfrm>
          <a:off x="7264400" y="611679625"/>
          <a:ext cx="878840" cy="1183640"/>
        </a:xfrm>
        <a:prstGeom prst="rect">
          <a:avLst/>
        </a:prstGeom>
      </xdr:spPr>
    </xdr:pic>
    <xdr:clientData/>
  </xdr:twoCellAnchor>
  <xdr:twoCellAnchor>
    <xdr:from>
      <xdr:col>8</xdr:col>
      <xdr:colOff>6350</xdr:colOff>
      <xdr:row>673</xdr:row>
      <xdr:rowOff>25400</xdr:rowOff>
    </xdr:from>
    <xdr:to>
      <xdr:col>8</xdr:col>
      <xdr:colOff>885190</xdr:colOff>
      <xdr:row>673</xdr:row>
      <xdr:rowOff>1209040</xdr:rowOff>
    </xdr:to>
    <xdr:pic>
      <xdr:nvPicPr>
        <xdr:cNvPr id="4682" name="Изображение 4681" descr="resizeПП-00249779"/>
        <xdr:cNvPicPr>
          <a:picLocks noChangeAspect="1"/>
        </xdr:cNvPicPr>
      </xdr:nvPicPr>
      <xdr:blipFill>
        <a:blip xmlns:r="http://schemas.openxmlformats.org/officeDocument/2006/relationships" r:embed="rId451"/>
        <a:stretch>
          <a:fillRect/>
        </a:stretch>
      </xdr:blipFill>
      <xdr:spPr>
        <a:xfrm>
          <a:off x="7264400" y="613054400"/>
          <a:ext cx="878840" cy="1183640"/>
        </a:xfrm>
        <a:prstGeom prst="rect">
          <a:avLst/>
        </a:prstGeom>
      </xdr:spPr>
    </xdr:pic>
    <xdr:clientData/>
  </xdr:twoCellAnchor>
  <xdr:twoCellAnchor>
    <xdr:from>
      <xdr:col>8</xdr:col>
      <xdr:colOff>6350</xdr:colOff>
      <xdr:row>674</xdr:row>
      <xdr:rowOff>25400</xdr:rowOff>
    </xdr:from>
    <xdr:to>
      <xdr:col>8</xdr:col>
      <xdr:colOff>885190</xdr:colOff>
      <xdr:row>674</xdr:row>
      <xdr:rowOff>1209040</xdr:rowOff>
    </xdr:to>
    <xdr:pic>
      <xdr:nvPicPr>
        <xdr:cNvPr id="4683" name="Изображение 4682" descr="resizeПП-00249780"/>
        <xdr:cNvPicPr>
          <a:picLocks noChangeAspect="1"/>
        </xdr:cNvPicPr>
      </xdr:nvPicPr>
      <xdr:blipFill>
        <a:blip xmlns:r="http://schemas.openxmlformats.org/officeDocument/2006/relationships" r:embed="rId452"/>
        <a:stretch>
          <a:fillRect/>
        </a:stretch>
      </xdr:blipFill>
      <xdr:spPr>
        <a:xfrm>
          <a:off x="7264400" y="614276775"/>
          <a:ext cx="878840" cy="1183640"/>
        </a:xfrm>
        <a:prstGeom prst="rect">
          <a:avLst/>
        </a:prstGeom>
      </xdr:spPr>
    </xdr:pic>
    <xdr:clientData/>
  </xdr:twoCellAnchor>
  <xdr:twoCellAnchor>
    <xdr:from>
      <xdr:col>8</xdr:col>
      <xdr:colOff>6350</xdr:colOff>
      <xdr:row>676</xdr:row>
      <xdr:rowOff>25400</xdr:rowOff>
    </xdr:from>
    <xdr:to>
      <xdr:col>8</xdr:col>
      <xdr:colOff>885190</xdr:colOff>
      <xdr:row>676</xdr:row>
      <xdr:rowOff>1209040</xdr:rowOff>
    </xdr:to>
    <xdr:pic>
      <xdr:nvPicPr>
        <xdr:cNvPr id="4684" name="Изображение 4683" descr="resizeПП-00203532"/>
        <xdr:cNvPicPr>
          <a:picLocks noChangeAspect="1"/>
        </xdr:cNvPicPr>
      </xdr:nvPicPr>
      <xdr:blipFill>
        <a:blip xmlns:r="http://schemas.openxmlformats.org/officeDocument/2006/relationships" r:embed="rId453"/>
        <a:stretch>
          <a:fillRect/>
        </a:stretch>
      </xdr:blipFill>
      <xdr:spPr>
        <a:xfrm>
          <a:off x="7264400" y="615651550"/>
          <a:ext cx="878840" cy="1183640"/>
        </a:xfrm>
        <a:prstGeom prst="rect">
          <a:avLst/>
        </a:prstGeom>
      </xdr:spPr>
    </xdr:pic>
    <xdr:clientData/>
  </xdr:twoCellAnchor>
  <xdr:twoCellAnchor>
    <xdr:from>
      <xdr:col>8</xdr:col>
      <xdr:colOff>6350</xdr:colOff>
      <xdr:row>677</xdr:row>
      <xdr:rowOff>25400</xdr:rowOff>
    </xdr:from>
    <xdr:to>
      <xdr:col>8</xdr:col>
      <xdr:colOff>885190</xdr:colOff>
      <xdr:row>677</xdr:row>
      <xdr:rowOff>1209040</xdr:rowOff>
    </xdr:to>
    <xdr:pic>
      <xdr:nvPicPr>
        <xdr:cNvPr id="4685" name="Изображение 4684" descr="resizeПП-00203535"/>
        <xdr:cNvPicPr>
          <a:picLocks noChangeAspect="1"/>
        </xdr:cNvPicPr>
      </xdr:nvPicPr>
      <xdr:blipFill>
        <a:blip xmlns:r="http://schemas.openxmlformats.org/officeDocument/2006/relationships" r:embed="rId453"/>
        <a:stretch>
          <a:fillRect/>
        </a:stretch>
      </xdr:blipFill>
      <xdr:spPr>
        <a:xfrm>
          <a:off x="7264400" y="616873925"/>
          <a:ext cx="878840" cy="1183640"/>
        </a:xfrm>
        <a:prstGeom prst="rect">
          <a:avLst/>
        </a:prstGeom>
      </xdr:spPr>
    </xdr:pic>
    <xdr:clientData/>
  </xdr:twoCellAnchor>
  <xdr:twoCellAnchor>
    <xdr:from>
      <xdr:col>8</xdr:col>
      <xdr:colOff>6350</xdr:colOff>
      <xdr:row>678</xdr:row>
      <xdr:rowOff>25400</xdr:rowOff>
    </xdr:from>
    <xdr:to>
      <xdr:col>8</xdr:col>
      <xdr:colOff>885190</xdr:colOff>
      <xdr:row>678</xdr:row>
      <xdr:rowOff>1209040</xdr:rowOff>
    </xdr:to>
    <xdr:pic>
      <xdr:nvPicPr>
        <xdr:cNvPr id="4686" name="Изображение 4685" descr="resizeПП-00203537"/>
        <xdr:cNvPicPr>
          <a:picLocks noChangeAspect="1"/>
        </xdr:cNvPicPr>
      </xdr:nvPicPr>
      <xdr:blipFill>
        <a:blip xmlns:r="http://schemas.openxmlformats.org/officeDocument/2006/relationships" r:embed="rId453"/>
        <a:stretch>
          <a:fillRect/>
        </a:stretch>
      </xdr:blipFill>
      <xdr:spPr>
        <a:xfrm>
          <a:off x="7264400" y="618096300"/>
          <a:ext cx="878840" cy="1183640"/>
        </a:xfrm>
        <a:prstGeom prst="rect">
          <a:avLst/>
        </a:prstGeom>
      </xdr:spPr>
    </xdr:pic>
    <xdr:clientData/>
  </xdr:twoCellAnchor>
  <xdr:twoCellAnchor>
    <xdr:from>
      <xdr:col>8</xdr:col>
      <xdr:colOff>6350</xdr:colOff>
      <xdr:row>679</xdr:row>
      <xdr:rowOff>25400</xdr:rowOff>
    </xdr:from>
    <xdr:to>
      <xdr:col>8</xdr:col>
      <xdr:colOff>885190</xdr:colOff>
      <xdr:row>679</xdr:row>
      <xdr:rowOff>1209040</xdr:rowOff>
    </xdr:to>
    <xdr:pic>
      <xdr:nvPicPr>
        <xdr:cNvPr id="4687" name="Изображение 4686" descr="resizeПП-00203545"/>
        <xdr:cNvPicPr>
          <a:picLocks noChangeAspect="1"/>
        </xdr:cNvPicPr>
      </xdr:nvPicPr>
      <xdr:blipFill>
        <a:blip xmlns:r="http://schemas.openxmlformats.org/officeDocument/2006/relationships" r:embed="rId453"/>
        <a:stretch>
          <a:fillRect/>
        </a:stretch>
      </xdr:blipFill>
      <xdr:spPr>
        <a:xfrm>
          <a:off x="7264400" y="619318675"/>
          <a:ext cx="878840" cy="1183640"/>
        </a:xfrm>
        <a:prstGeom prst="rect">
          <a:avLst/>
        </a:prstGeom>
      </xdr:spPr>
    </xdr:pic>
    <xdr:clientData/>
  </xdr:twoCellAnchor>
  <xdr:twoCellAnchor>
    <xdr:from>
      <xdr:col>8</xdr:col>
      <xdr:colOff>6350</xdr:colOff>
      <xdr:row>680</xdr:row>
      <xdr:rowOff>25400</xdr:rowOff>
    </xdr:from>
    <xdr:to>
      <xdr:col>8</xdr:col>
      <xdr:colOff>885190</xdr:colOff>
      <xdr:row>680</xdr:row>
      <xdr:rowOff>1209040</xdr:rowOff>
    </xdr:to>
    <xdr:pic>
      <xdr:nvPicPr>
        <xdr:cNvPr id="4688" name="Изображение 4687" descr="resizeПП-00203541"/>
        <xdr:cNvPicPr>
          <a:picLocks noChangeAspect="1"/>
        </xdr:cNvPicPr>
      </xdr:nvPicPr>
      <xdr:blipFill>
        <a:blip xmlns:r="http://schemas.openxmlformats.org/officeDocument/2006/relationships" r:embed="rId453"/>
        <a:stretch>
          <a:fillRect/>
        </a:stretch>
      </xdr:blipFill>
      <xdr:spPr>
        <a:xfrm>
          <a:off x="7264400" y="620541050"/>
          <a:ext cx="878840" cy="1183640"/>
        </a:xfrm>
        <a:prstGeom prst="rect">
          <a:avLst/>
        </a:prstGeom>
      </xdr:spPr>
    </xdr:pic>
    <xdr:clientData/>
  </xdr:twoCellAnchor>
  <xdr:twoCellAnchor>
    <xdr:from>
      <xdr:col>8</xdr:col>
      <xdr:colOff>6350</xdr:colOff>
      <xdr:row>681</xdr:row>
      <xdr:rowOff>25400</xdr:rowOff>
    </xdr:from>
    <xdr:to>
      <xdr:col>8</xdr:col>
      <xdr:colOff>885190</xdr:colOff>
      <xdr:row>681</xdr:row>
      <xdr:rowOff>1209040</xdr:rowOff>
    </xdr:to>
    <xdr:pic>
      <xdr:nvPicPr>
        <xdr:cNvPr id="4689" name="Изображение 4688" descr="resizeПП-00203540"/>
        <xdr:cNvPicPr>
          <a:picLocks noChangeAspect="1"/>
        </xdr:cNvPicPr>
      </xdr:nvPicPr>
      <xdr:blipFill>
        <a:blip xmlns:r="http://schemas.openxmlformats.org/officeDocument/2006/relationships" r:embed="rId453"/>
        <a:stretch>
          <a:fillRect/>
        </a:stretch>
      </xdr:blipFill>
      <xdr:spPr>
        <a:xfrm>
          <a:off x="7264400" y="621763425"/>
          <a:ext cx="878840" cy="1183640"/>
        </a:xfrm>
        <a:prstGeom prst="rect">
          <a:avLst/>
        </a:prstGeom>
      </xdr:spPr>
    </xdr:pic>
    <xdr:clientData/>
  </xdr:twoCellAnchor>
  <xdr:twoCellAnchor>
    <xdr:from>
      <xdr:col>8</xdr:col>
      <xdr:colOff>6350</xdr:colOff>
      <xdr:row>682</xdr:row>
      <xdr:rowOff>25400</xdr:rowOff>
    </xdr:from>
    <xdr:to>
      <xdr:col>8</xdr:col>
      <xdr:colOff>885190</xdr:colOff>
      <xdr:row>682</xdr:row>
      <xdr:rowOff>1209040</xdr:rowOff>
    </xdr:to>
    <xdr:pic>
      <xdr:nvPicPr>
        <xdr:cNvPr id="4690" name="Изображение 4689" descr="resizeПП-00203538"/>
        <xdr:cNvPicPr>
          <a:picLocks noChangeAspect="1"/>
        </xdr:cNvPicPr>
      </xdr:nvPicPr>
      <xdr:blipFill>
        <a:blip xmlns:r="http://schemas.openxmlformats.org/officeDocument/2006/relationships" r:embed="rId453"/>
        <a:stretch>
          <a:fillRect/>
        </a:stretch>
      </xdr:blipFill>
      <xdr:spPr>
        <a:xfrm>
          <a:off x="7264400" y="622985800"/>
          <a:ext cx="878840" cy="1183640"/>
        </a:xfrm>
        <a:prstGeom prst="rect">
          <a:avLst/>
        </a:prstGeom>
      </xdr:spPr>
    </xdr:pic>
    <xdr:clientData/>
  </xdr:twoCellAnchor>
  <xdr:twoCellAnchor>
    <xdr:from>
      <xdr:col>8</xdr:col>
      <xdr:colOff>6350</xdr:colOff>
      <xdr:row>683</xdr:row>
      <xdr:rowOff>25400</xdr:rowOff>
    </xdr:from>
    <xdr:to>
      <xdr:col>8</xdr:col>
      <xdr:colOff>885190</xdr:colOff>
      <xdr:row>683</xdr:row>
      <xdr:rowOff>1209040</xdr:rowOff>
    </xdr:to>
    <xdr:pic>
      <xdr:nvPicPr>
        <xdr:cNvPr id="4691" name="Изображение 4690" descr="resizeПП-00203544"/>
        <xdr:cNvPicPr>
          <a:picLocks noChangeAspect="1"/>
        </xdr:cNvPicPr>
      </xdr:nvPicPr>
      <xdr:blipFill>
        <a:blip xmlns:r="http://schemas.openxmlformats.org/officeDocument/2006/relationships" r:embed="rId453"/>
        <a:stretch>
          <a:fillRect/>
        </a:stretch>
      </xdr:blipFill>
      <xdr:spPr>
        <a:xfrm>
          <a:off x="7264400" y="624208175"/>
          <a:ext cx="878840" cy="1183640"/>
        </a:xfrm>
        <a:prstGeom prst="rect">
          <a:avLst/>
        </a:prstGeom>
      </xdr:spPr>
    </xdr:pic>
    <xdr:clientData/>
  </xdr:twoCellAnchor>
  <xdr:twoCellAnchor>
    <xdr:from>
      <xdr:col>8</xdr:col>
      <xdr:colOff>6350</xdr:colOff>
      <xdr:row>686</xdr:row>
      <xdr:rowOff>25400</xdr:rowOff>
    </xdr:from>
    <xdr:to>
      <xdr:col>8</xdr:col>
      <xdr:colOff>885190</xdr:colOff>
      <xdr:row>686</xdr:row>
      <xdr:rowOff>1209040</xdr:rowOff>
    </xdr:to>
    <xdr:pic>
      <xdr:nvPicPr>
        <xdr:cNvPr id="4692" name="Изображение 4691" descr="resizeПП-00191803"/>
        <xdr:cNvPicPr>
          <a:picLocks noChangeAspect="1"/>
        </xdr:cNvPicPr>
      </xdr:nvPicPr>
      <xdr:blipFill>
        <a:blip xmlns:r="http://schemas.openxmlformats.org/officeDocument/2006/relationships" r:embed="rId454"/>
        <a:stretch>
          <a:fillRect/>
        </a:stretch>
      </xdr:blipFill>
      <xdr:spPr>
        <a:xfrm>
          <a:off x="7264400" y="625735350"/>
          <a:ext cx="878840" cy="1183640"/>
        </a:xfrm>
        <a:prstGeom prst="rect">
          <a:avLst/>
        </a:prstGeom>
      </xdr:spPr>
    </xdr:pic>
    <xdr:clientData/>
  </xdr:twoCellAnchor>
  <xdr:twoCellAnchor>
    <xdr:from>
      <xdr:col>8</xdr:col>
      <xdr:colOff>6350</xdr:colOff>
      <xdr:row>688</xdr:row>
      <xdr:rowOff>25400</xdr:rowOff>
    </xdr:from>
    <xdr:to>
      <xdr:col>8</xdr:col>
      <xdr:colOff>885190</xdr:colOff>
      <xdr:row>688</xdr:row>
      <xdr:rowOff>1209040</xdr:rowOff>
    </xdr:to>
    <xdr:pic>
      <xdr:nvPicPr>
        <xdr:cNvPr id="4693" name="Изображение 4692" descr="resizeПП-00239579"/>
        <xdr:cNvPicPr>
          <a:picLocks noChangeAspect="1"/>
        </xdr:cNvPicPr>
      </xdr:nvPicPr>
      <xdr:blipFill>
        <a:blip xmlns:r="http://schemas.openxmlformats.org/officeDocument/2006/relationships" r:embed="rId455"/>
        <a:stretch>
          <a:fillRect/>
        </a:stretch>
      </xdr:blipFill>
      <xdr:spPr>
        <a:xfrm>
          <a:off x="7264400" y="627110125"/>
          <a:ext cx="878840" cy="1183640"/>
        </a:xfrm>
        <a:prstGeom prst="rect">
          <a:avLst/>
        </a:prstGeom>
      </xdr:spPr>
    </xdr:pic>
    <xdr:clientData/>
  </xdr:twoCellAnchor>
  <xdr:twoCellAnchor>
    <xdr:from>
      <xdr:col>8</xdr:col>
      <xdr:colOff>6350</xdr:colOff>
      <xdr:row>690</xdr:row>
      <xdr:rowOff>25400</xdr:rowOff>
    </xdr:from>
    <xdr:to>
      <xdr:col>8</xdr:col>
      <xdr:colOff>885190</xdr:colOff>
      <xdr:row>690</xdr:row>
      <xdr:rowOff>1209040</xdr:rowOff>
    </xdr:to>
    <xdr:pic>
      <xdr:nvPicPr>
        <xdr:cNvPr id="4694" name="Изображение 4693" descr="resizeПП-00269993"/>
        <xdr:cNvPicPr>
          <a:picLocks noChangeAspect="1"/>
        </xdr:cNvPicPr>
      </xdr:nvPicPr>
      <xdr:blipFill>
        <a:blip xmlns:r="http://schemas.openxmlformats.org/officeDocument/2006/relationships" r:embed="rId456"/>
        <a:stretch>
          <a:fillRect/>
        </a:stretch>
      </xdr:blipFill>
      <xdr:spPr>
        <a:xfrm>
          <a:off x="7264400" y="628484900"/>
          <a:ext cx="878840" cy="1183640"/>
        </a:xfrm>
        <a:prstGeom prst="rect">
          <a:avLst/>
        </a:prstGeom>
      </xdr:spPr>
    </xdr:pic>
    <xdr:clientData/>
  </xdr:twoCellAnchor>
  <xdr:twoCellAnchor>
    <xdr:from>
      <xdr:col>8</xdr:col>
      <xdr:colOff>6350</xdr:colOff>
      <xdr:row>692</xdr:row>
      <xdr:rowOff>25400</xdr:rowOff>
    </xdr:from>
    <xdr:to>
      <xdr:col>8</xdr:col>
      <xdr:colOff>885190</xdr:colOff>
      <xdr:row>692</xdr:row>
      <xdr:rowOff>1209040</xdr:rowOff>
    </xdr:to>
    <xdr:pic>
      <xdr:nvPicPr>
        <xdr:cNvPr id="4695" name="Изображение 4694" descr="resizeПП-00249928"/>
        <xdr:cNvPicPr>
          <a:picLocks noChangeAspect="1"/>
        </xdr:cNvPicPr>
      </xdr:nvPicPr>
      <xdr:blipFill>
        <a:blip xmlns:r="http://schemas.openxmlformats.org/officeDocument/2006/relationships" r:embed="rId457"/>
        <a:stretch>
          <a:fillRect/>
        </a:stretch>
      </xdr:blipFill>
      <xdr:spPr>
        <a:xfrm>
          <a:off x="7264400" y="629859675"/>
          <a:ext cx="878840" cy="1183640"/>
        </a:xfrm>
        <a:prstGeom prst="rect">
          <a:avLst/>
        </a:prstGeom>
      </xdr:spPr>
    </xdr:pic>
    <xdr:clientData/>
  </xdr:twoCellAnchor>
  <xdr:twoCellAnchor>
    <xdr:from>
      <xdr:col>8</xdr:col>
      <xdr:colOff>6350</xdr:colOff>
      <xdr:row>695</xdr:row>
      <xdr:rowOff>25400</xdr:rowOff>
    </xdr:from>
    <xdr:to>
      <xdr:col>8</xdr:col>
      <xdr:colOff>1189990</xdr:colOff>
      <xdr:row>695</xdr:row>
      <xdr:rowOff>904240</xdr:rowOff>
    </xdr:to>
    <xdr:pic>
      <xdr:nvPicPr>
        <xdr:cNvPr id="4696" name="Изображение 4695" descr="resizeПП-00270162"/>
        <xdr:cNvPicPr>
          <a:picLocks noChangeAspect="1"/>
        </xdr:cNvPicPr>
      </xdr:nvPicPr>
      <xdr:blipFill>
        <a:blip xmlns:r="http://schemas.openxmlformats.org/officeDocument/2006/relationships" r:embed="rId458"/>
        <a:stretch>
          <a:fillRect/>
        </a:stretch>
      </xdr:blipFill>
      <xdr:spPr>
        <a:xfrm>
          <a:off x="7264400" y="631386850"/>
          <a:ext cx="1183640" cy="878840"/>
        </a:xfrm>
        <a:prstGeom prst="rect">
          <a:avLst/>
        </a:prstGeom>
      </xdr:spPr>
    </xdr:pic>
    <xdr:clientData/>
  </xdr:twoCellAnchor>
  <xdr:twoCellAnchor>
    <xdr:from>
      <xdr:col>8</xdr:col>
      <xdr:colOff>6350</xdr:colOff>
      <xdr:row>697</xdr:row>
      <xdr:rowOff>25400</xdr:rowOff>
    </xdr:from>
    <xdr:to>
      <xdr:col>8</xdr:col>
      <xdr:colOff>885190</xdr:colOff>
      <xdr:row>697</xdr:row>
      <xdr:rowOff>1209040</xdr:rowOff>
    </xdr:to>
    <xdr:pic>
      <xdr:nvPicPr>
        <xdr:cNvPr id="4697" name="Изображение 4696" descr="resizeПП-00270135"/>
        <xdr:cNvPicPr>
          <a:picLocks noChangeAspect="1"/>
        </xdr:cNvPicPr>
      </xdr:nvPicPr>
      <xdr:blipFill>
        <a:blip xmlns:r="http://schemas.openxmlformats.org/officeDocument/2006/relationships" r:embed="rId459"/>
        <a:stretch>
          <a:fillRect/>
        </a:stretch>
      </xdr:blipFill>
      <xdr:spPr>
        <a:xfrm>
          <a:off x="7264400" y="632761625"/>
          <a:ext cx="878840" cy="1183640"/>
        </a:xfrm>
        <a:prstGeom prst="rect">
          <a:avLst/>
        </a:prstGeom>
      </xdr:spPr>
    </xdr:pic>
    <xdr:clientData/>
  </xdr:twoCellAnchor>
  <xdr:twoCellAnchor>
    <xdr:from>
      <xdr:col>8</xdr:col>
      <xdr:colOff>6350</xdr:colOff>
      <xdr:row>698</xdr:row>
      <xdr:rowOff>25400</xdr:rowOff>
    </xdr:from>
    <xdr:to>
      <xdr:col>8</xdr:col>
      <xdr:colOff>885190</xdr:colOff>
      <xdr:row>698</xdr:row>
      <xdr:rowOff>1209040</xdr:rowOff>
    </xdr:to>
    <xdr:pic>
      <xdr:nvPicPr>
        <xdr:cNvPr id="4698" name="Изображение 4697" descr="resizeПП-00270131"/>
        <xdr:cNvPicPr>
          <a:picLocks noChangeAspect="1"/>
        </xdr:cNvPicPr>
      </xdr:nvPicPr>
      <xdr:blipFill>
        <a:blip xmlns:r="http://schemas.openxmlformats.org/officeDocument/2006/relationships" r:embed="rId460"/>
        <a:stretch>
          <a:fillRect/>
        </a:stretch>
      </xdr:blipFill>
      <xdr:spPr>
        <a:xfrm>
          <a:off x="7264400" y="633984000"/>
          <a:ext cx="878840" cy="1183640"/>
        </a:xfrm>
        <a:prstGeom prst="rect">
          <a:avLst/>
        </a:prstGeom>
      </xdr:spPr>
    </xdr:pic>
    <xdr:clientData/>
  </xdr:twoCellAnchor>
  <xdr:twoCellAnchor>
    <xdr:from>
      <xdr:col>8</xdr:col>
      <xdr:colOff>6350</xdr:colOff>
      <xdr:row>699</xdr:row>
      <xdr:rowOff>25400</xdr:rowOff>
    </xdr:from>
    <xdr:to>
      <xdr:col>8</xdr:col>
      <xdr:colOff>885190</xdr:colOff>
      <xdr:row>699</xdr:row>
      <xdr:rowOff>1209040</xdr:rowOff>
    </xdr:to>
    <xdr:pic>
      <xdr:nvPicPr>
        <xdr:cNvPr id="4699" name="Изображение 4698" descr="resizeПП-00270132"/>
        <xdr:cNvPicPr>
          <a:picLocks noChangeAspect="1"/>
        </xdr:cNvPicPr>
      </xdr:nvPicPr>
      <xdr:blipFill>
        <a:blip xmlns:r="http://schemas.openxmlformats.org/officeDocument/2006/relationships" r:embed="rId461"/>
        <a:stretch>
          <a:fillRect/>
        </a:stretch>
      </xdr:blipFill>
      <xdr:spPr>
        <a:xfrm>
          <a:off x="7264400" y="635206375"/>
          <a:ext cx="878840" cy="1183640"/>
        </a:xfrm>
        <a:prstGeom prst="rect">
          <a:avLst/>
        </a:prstGeom>
      </xdr:spPr>
    </xdr:pic>
    <xdr:clientData/>
  </xdr:twoCellAnchor>
  <xdr:twoCellAnchor>
    <xdr:from>
      <xdr:col>8</xdr:col>
      <xdr:colOff>6350</xdr:colOff>
      <xdr:row>701</xdr:row>
      <xdr:rowOff>25400</xdr:rowOff>
    </xdr:from>
    <xdr:to>
      <xdr:col>8</xdr:col>
      <xdr:colOff>885190</xdr:colOff>
      <xdr:row>701</xdr:row>
      <xdr:rowOff>1209040</xdr:rowOff>
    </xdr:to>
    <xdr:pic>
      <xdr:nvPicPr>
        <xdr:cNvPr id="4700" name="Изображение 4699" descr="resizeПП-00270149"/>
        <xdr:cNvPicPr>
          <a:picLocks noChangeAspect="1"/>
        </xdr:cNvPicPr>
      </xdr:nvPicPr>
      <xdr:blipFill>
        <a:blip xmlns:r="http://schemas.openxmlformats.org/officeDocument/2006/relationships" r:embed="rId462"/>
        <a:stretch>
          <a:fillRect/>
        </a:stretch>
      </xdr:blipFill>
      <xdr:spPr>
        <a:xfrm>
          <a:off x="7264400" y="636581150"/>
          <a:ext cx="878840" cy="1183640"/>
        </a:xfrm>
        <a:prstGeom prst="rect">
          <a:avLst/>
        </a:prstGeom>
      </xdr:spPr>
    </xdr:pic>
    <xdr:clientData/>
  </xdr:twoCellAnchor>
  <xdr:twoCellAnchor>
    <xdr:from>
      <xdr:col>8</xdr:col>
      <xdr:colOff>6350</xdr:colOff>
      <xdr:row>702</xdr:row>
      <xdr:rowOff>25400</xdr:rowOff>
    </xdr:from>
    <xdr:to>
      <xdr:col>8</xdr:col>
      <xdr:colOff>885190</xdr:colOff>
      <xdr:row>702</xdr:row>
      <xdr:rowOff>1209040</xdr:rowOff>
    </xdr:to>
    <xdr:pic>
      <xdr:nvPicPr>
        <xdr:cNvPr id="4701" name="Изображение 4700" descr="resizeПП-00270147"/>
        <xdr:cNvPicPr>
          <a:picLocks noChangeAspect="1"/>
        </xdr:cNvPicPr>
      </xdr:nvPicPr>
      <xdr:blipFill>
        <a:blip xmlns:r="http://schemas.openxmlformats.org/officeDocument/2006/relationships" r:embed="rId463"/>
        <a:stretch>
          <a:fillRect/>
        </a:stretch>
      </xdr:blipFill>
      <xdr:spPr>
        <a:xfrm>
          <a:off x="7264400" y="637803525"/>
          <a:ext cx="878840" cy="1183640"/>
        </a:xfrm>
        <a:prstGeom prst="rect">
          <a:avLst/>
        </a:prstGeom>
      </xdr:spPr>
    </xdr:pic>
    <xdr:clientData/>
  </xdr:twoCellAnchor>
  <xdr:twoCellAnchor>
    <xdr:from>
      <xdr:col>8</xdr:col>
      <xdr:colOff>6350</xdr:colOff>
      <xdr:row>703</xdr:row>
      <xdr:rowOff>25400</xdr:rowOff>
    </xdr:from>
    <xdr:to>
      <xdr:col>8</xdr:col>
      <xdr:colOff>885190</xdr:colOff>
      <xdr:row>703</xdr:row>
      <xdr:rowOff>1209040</xdr:rowOff>
    </xdr:to>
    <xdr:pic>
      <xdr:nvPicPr>
        <xdr:cNvPr id="4702" name="Изображение 4701" descr="resizeПП-00270146"/>
        <xdr:cNvPicPr>
          <a:picLocks noChangeAspect="1"/>
        </xdr:cNvPicPr>
      </xdr:nvPicPr>
      <xdr:blipFill>
        <a:blip xmlns:r="http://schemas.openxmlformats.org/officeDocument/2006/relationships" r:embed="rId464"/>
        <a:stretch>
          <a:fillRect/>
        </a:stretch>
      </xdr:blipFill>
      <xdr:spPr>
        <a:xfrm>
          <a:off x="7264400" y="639025900"/>
          <a:ext cx="878840" cy="1183640"/>
        </a:xfrm>
        <a:prstGeom prst="rect">
          <a:avLst/>
        </a:prstGeom>
      </xdr:spPr>
    </xdr:pic>
    <xdr:clientData/>
  </xdr:twoCellAnchor>
  <xdr:twoCellAnchor>
    <xdr:from>
      <xdr:col>8</xdr:col>
      <xdr:colOff>6350</xdr:colOff>
      <xdr:row>704</xdr:row>
      <xdr:rowOff>25400</xdr:rowOff>
    </xdr:from>
    <xdr:to>
      <xdr:col>8</xdr:col>
      <xdr:colOff>1189990</xdr:colOff>
      <xdr:row>704</xdr:row>
      <xdr:rowOff>904240</xdr:rowOff>
    </xdr:to>
    <xdr:pic>
      <xdr:nvPicPr>
        <xdr:cNvPr id="4703" name="Изображение 4702" descr="resizeПП-00270154"/>
        <xdr:cNvPicPr>
          <a:picLocks noChangeAspect="1"/>
        </xdr:cNvPicPr>
      </xdr:nvPicPr>
      <xdr:blipFill>
        <a:blip xmlns:r="http://schemas.openxmlformats.org/officeDocument/2006/relationships" r:embed="rId465"/>
        <a:stretch>
          <a:fillRect/>
        </a:stretch>
      </xdr:blipFill>
      <xdr:spPr>
        <a:xfrm>
          <a:off x="7264400" y="640248275"/>
          <a:ext cx="1183640" cy="878840"/>
        </a:xfrm>
        <a:prstGeom prst="rect">
          <a:avLst/>
        </a:prstGeom>
      </xdr:spPr>
    </xdr:pic>
    <xdr:clientData/>
  </xdr:twoCellAnchor>
  <xdr:twoCellAnchor>
    <xdr:from>
      <xdr:col>8</xdr:col>
      <xdr:colOff>6350</xdr:colOff>
      <xdr:row>705</xdr:row>
      <xdr:rowOff>25400</xdr:rowOff>
    </xdr:from>
    <xdr:to>
      <xdr:col>8</xdr:col>
      <xdr:colOff>885190</xdr:colOff>
      <xdr:row>705</xdr:row>
      <xdr:rowOff>1209040</xdr:rowOff>
    </xdr:to>
    <xdr:pic>
      <xdr:nvPicPr>
        <xdr:cNvPr id="4704" name="Изображение 4703" descr="resizeПП-00270151"/>
        <xdr:cNvPicPr>
          <a:picLocks noChangeAspect="1"/>
        </xdr:cNvPicPr>
      </xdr:nvPicPr>
      <xdr:blipFill>
        <a:blip xmlns:r="http://schemas.openxmlformats.org/officeDocument/2006/relationships" r:embed="rId466"/>
        <a:stretch>
          <a:fillRect/>
        </a:stretch>
      </xdr:blipFill>
      <xdr:spPr>
        <a:xfrm>
          <a:off x="7264400" y="641470650"/>
          <a:ext cx="878840" cy="1183640"/>
        </a:xfrm>
        <a:prstGeom prst="rect">
          <a:avLst/>
        </a:prstGeom>
      </xdr:spPr>
    </xdr:pic>
    <xdr:clientData/>
  </xdr:twoCellAnchor>
  <xdr:twoCellAnchor>
    <xdr:from>
      <xdr:col>8</xdr:col>
      <xdr:colOff>6350</xdr:colOff>
      <xdr:row>706</xdr:row>
      <xdr:rowOff>25400</xdr:rowOff>
    </xdr:from>
    <xdr:to>
      <xdr:col>8</xdr:col>
      <xdr:colOff>885190</xdr:colOff>
      <xdr:row>706</xdr:row>
      <xdr:rowOff>1209040</xdr:rowOff>
    </xdr:to>
    <xdr:pic>
      <xdr:nvPicPr>
        <xdr:cNvPr id="4705" name="Изображение 4704" descr="resizeПП-00270153"/>
        <xdr:cNvPicPr>
          <a:picLocks noChangeAspect="1"/>
        </xdr:cNvPicPr>
      </xdr:nvPicPr>
      <xdr:blipFill>
        <a:blip xmlns:r="http://schemas.openxmlformats.org/officeDocument/2006/relationships" r:embed="rId467"/>
        <a:stretch>
          <a:fillRect/>
        </a:stretch>
      </xdr:blipFill>
      <xdr:spPr>
        <a:xfrm>
          <a:off x="7264400" y="642693025"/>
          <a:ext cx="878840" cy="1183640"/>
        </a:xfrm>
        <a:prstGeom prst="rect">
          <a:avLst/>
        </a:prstGeom>
      </xdr:spPr>
    </xdr:pic>
    <xdr:clientData/>
  </xdr:twoCellAnchor>
  <xdr:twoCellAnchor>
    <xdr:from>
      <xdr:col>8</xdr:col>
      <xdr:colOff>6350</xdr:colOff>
      <xdr:row>707</xdr:row>
      <xdr:rowOff>25400</xdr:rowOff>
    </xdr:from>
    <xdr:to>
      <xdr:col>8</xdr:col>
      <xdr:colOff>1189990</xdr:colOff>
      <xdr:row>707</xdr:row>
      <xdr:rowOff>904240</xdr:rowOff>
    </xdr:to>
    <xdr:pic>
      <xdr:nvPicPr>
        <xdr:cNvPr id="4706" name="Изображение 4705" descr="resizeПП-00270152"/>
        <xdr:cNvPicPr>
          <a:picLocks noChangeAspect="1"/>
        </xdr:cNvPicPr>
      </xdr:nvPicPr>
      <xdr:blipFill>
        <a:blip xmlns:r="http://schemas.openxmlformats.org/officeDocument/2006/relationships" r:embed="rId468"/>
        <a:stretch>
          <a:fillRect/>
        </a:stretch>
      </xdr:blipFill>
      <xdr:spPr>
        <a:xfrm>
          <a:off x="7264400" y="643915400"/>
          <a:ext cx="1183640" cy="878840"/>
        </a:xfrm>
        <a:prstGeom prst="rect">
          <a:avLst/>
        </a:prstGeom>
      </xdr:spPr>
    </xdr:pic>
    <xdr:clientData/>
  </xdr:twoCellAnchor>
  <xdr:twoCellAnchor>
    <xdr:from>
      <xdr:col>8</xdr:col>
      <xdr:colOff>6350</xdr:colOff>
      <xdr:row>710</xdr:row>
      <xdr:rowOff>25400</xdr:rowOff>
    </xdr:from>
    <xdr:to>
      <xdr:col>8</xdr:col>
      <xdr:colOff>885190</xdr:colOff>
      <xdr:row>710</xdr:row>
      <xdr:rowOff>1209040</xdr:rowOff>
    </xdr:to>
    <xdr:pic>
      <xdr:nvPicPr>
        <xdr:cNvPr id="4707" name="Изображение 4706" descr="resizeПП-00206247"/>
        <xdr:cNvPicPr>
          <a:picLocks noChangeAspect="1"/>
        </xdr:cNvPicPr>
      </xdr:nvPicPr>
      <xdr:blipFill>
        <a:blip xmlns:r="http://schemas.openxmlformats.org/officeDocument/2006/relationships" r:embed="rId469"/>
        <a:stretch>
          <a:fillRect/>
        </a:stretch>
      </xdr:blipFill>
      <xdr:spPr>
        <a:xfrm>
          <a:off x="7264400" y="645442575"/>
          <a:ext cx="878840" cy="1183640"/>
        </a:xfrm>
        <a:prstGeom prst="rect">
          <a:avLst/>
        </a:prstGeom>
      </xdr:spPr>
    </xdr:pic>
    <xdr:clientData/>
  </xdr:twoCellAnchor>
  <xdr:twoCellAnchor>
    <xdr:from>
      <xdr:col>8</xdr:col>
      <xdr:colOff>6350</xdr:colOff>
      <xdr:row>712</xdr:row>
      <xdr:rowOff>25400</xdr:rowOff>
    </xdr:from>
    <xdr:to>
      <xdr:col>8</xdr:col>
      <xdr:colOff>885190</xdr:colOff>
      <xdr:row>712</xdr:row>
      <xdr:rowOff>1209040</xdr:rowOff>
    </xdr:to>
    <xdr:pic>
      <xdr:nvPicPr>
        <xdr:cNvPr id="4708" name="Изображение 4707" descr="resizeПП-00263869"/>
        <xdr:cNvPicPr>
          <a:picLocks noChangeAspect="1"/>
        </xdr:cNvPicPr>
      </xdr:nvPicPr>
      <xdr:blipFill>
        <a:blip xmlns:r="http://schemas.openxmlformats.org/officeDocument/2006/relationships" r:embed="rId470"/>
        <a:stretch>
          <a:fillRect/>
        </a:stretch>
      </xdr:blipFill>
      <xdr:spPr>
        <a:xfrm>
          <a:off x="7264400" y="646817350"/>
          <a:ext cx="878840" cy="1183640"/>
        </a:xfrm>
        <a:prstGeom prst="rect">
          <a:avLst/>
        </a:prstGeom>
      </xdr:spPr>
    </xdr:pic>
    <xdr:clientData/>
  </xdr:twoCellAnchor>
  <xdr:twoCellAnchor>
    <xdr:from>
      <xdr:col>8</xdr:col>
      <xdr:colOff>6350</xdr:colOff>
      <xdr:row>713</xdr:row>
      <xdr:rowOff>25400</xdr:rowOff>
    </xdr:from>
    <xdr:to>
      <xdr:col>8</xdr:col>
      <xdr:colOff>885190</xdr:colOff>
      <xdr:row>713</xdr:row>
      <xdr:rowOff>1209040</xdr:rowOff>
    </xdr:to>
    <xdr:pic>
      <xdr:nvPicPr>
        <xdr:cNvPr id="4709" name="Изображение 4708" descr="resizeПП-00263862"/>
        <xdr:cNvPicPr>
          <a:picLocks noChangeAspect="1"/>
        </xdr:cNvPicPr>
      </xdr:nvPicPr>
      <xdr:blipFill>
        <a:blip xmlns:r="http://schemas.openxmlformats.org/officeDocument/2006/relationships" r:embed="rId471"/>
        <a:stretch>
          <a:fillRect/>
        </a:stretch>
      </xdr:blipFill>
      <xdr:spPr>
        <a:xfrm>
          <a:off x="7264400" y="648039725"/>
          <a:ext cx="878840" cy="1183640"/>
        </a:xfrm>
        <a:prstGeom prst="rect">
          <a:avLst/>
        </a:prstGeom>
      </xdr:spPr>
    </xdr:pic>
    <xdr:clientData/>
  </xdr:twoCellAnchor>
  <xdr:twoCellAnchor>
    <xdr:from>
      <xdr:col>8</xdr:col>
      <xdr:colOff>6350</xdr:colOff>
      <xdr:row>714</xdr:row>
      <xdr:rowOff>25400</xdr:rowOff>
    </xdr:from>
    <xdr:to>
      <xdr:col>8</xdr:col>
      <xdr:colOff>885190</xdr:colOff>
      <xdr:row>714</xdr:row>
      <xdr:rowOff>1209040</xdr:rowOff>
    </xdr:to>
    <xdr:pic>
      <xdr:nvPicPr>
        <xdr:cNvPr id="4710" name="Изображение 4709" descr="resizeПП-00263875"/>
        <xdr:cNvPicPr>
          <a:picLocks noChangeAspect="1"/>
        </xdr:cNvPicPr>
      </xdr:nvPicPr>
      <xdr:blipFill>
        <a:blip xmlns:r="http://schemas.openxmlformats.org/officeDocument/2006/relationships" r:embed="rId472"/>
        <a:stretch>
          <a:fillRect/>
        </a:stretch>
      </xdr:blipFill>
      <xdr:spPr>
        <a:xfrm>
          <a:off x="7264400" y="649262100"/>
          <a:ext cx="878840" cy="1183640"/>
        </a:xfrm>
        <a:prstGeom prst="rect">
          <a:avLst/>
        </a:prstGeom>
      </xdr:spPr>
    </xdr:pic>
    <xdr:clientData/>
  </xdr:twoCellAnchor>
  <xdr:twoCellAnchor>
    <xdr:from>
      <xdr:col>8</xdr:col>
      <xdr:colOff>6350</xdr:colOff>
      <xdr:row>715</xdr:row>
      <xdr:rowOff>25400</xdr:rowOff>
    </xdr:from>
    <xdr:to>
      <xdr:col>8</xdr:col>
      <xdr:colOff>885190</xdr:colOff>
      <xdr:row>715</xdr:row>
      <xdr:rowOff>1209040</xdr:rowOff>
    </xdr:to>
    <xdr:pic>
      <xdr:nvPicPr>
        <xdr:cNvPr id="4711" name="Изображение 4710" descr="resizeПП-00263859"/>
        <xdr:cNvPicPr>
          <a:picLocks noChangeAspect="1"/>
        </xdr:cNvPicPr>
      </xdr:nvPicPr>
      <xdr:blipFill>
        <a:blip xmlns:r="http://schemas.openxmlformats.org/officeDocument/2006/relationships" r:embed="rId473"/>
        <a:stretch>
          <a:fillRect/>
        </a:stretch>
      </xdr:blipFill>
      <xdr:spPr>
        <a:xfrm>
          <a:off x="7264400" y="650484475"/>
          <a:ext cx="878840" cy="1183640"/>
        </a:xfrm>
        <a:prstGeom prst="rect">
          <a:avLst/>
        </a:prstGeom>
      </xdr:spPr>
    </xdr:pic>
    <xdr:clientData/>
  </xdr:twoCellAnchor>
  <xdr:twoCellAnchor>
    <xdr:from>
      <xdr:col>8</xdr:col>
      <xdr:colOff>6350</xdr:colOff>
      <xdr:row>716</xdr:row>
      <xdr:rowOff>25400</xdr:rowOff>
    </xdr:from>
    <xdr:to>
      <xdr:col>8</xdr:col>
      <xdr:colOff>885190</xdr:colOff>
      <xdr:row>716</xdr:row>
      <xdr:rowOff>1209040</xdr:rowOff>
    </xdr:to>
    <xdr:pic>
      <xdr:nvPicPr>
        <xdr:cNvPr id="4712" name="Изображение 4711" descr="resizeПП-00263872"/>
        <xdr:cNvPicPr>
          <a:picLocks noChangeAspect="1"/>
        </xdr:cNvPicPr>
      </xdr:nvPicPr>
      <xdr:blipFill>
        <a:blip xmlns:r="http://schemas.openxmlformats.org/officeDocument/2006/relationships" r:embed="rId474"/>
        <a:stretch>
          <a:fillRect/>
        </a:stretch>
      </xdr:blipFill>
      <xdr:spPr>
        <a:xfrm>
          <a:off x="7264400" y="651706850"/>
          <a:ext cx="878840" cy="1183640"/>
        </a:xfrm>
        <a:prstGeom prst="rect">
          <a:avLst/>
        </a:prstGeom>
      </xdr:spPr>
    </xdr:pic>
    <xdr:clientData/>
  </xdr:twoCellAnchor>
  <xdr:twoCellAnchor>
    <xdr:from>
      <xdr:col>8</xdr:col>
      <xdr:colOff>6350</xdr:colOff>
      <xdr:row>717</xdr:row>
      <xdr:rowOff>25400</xdr:rowOff>
    </xdr:from>
    <xdr:to>
      <xdr:col>8</xdr:col>
      <xdr:colOff>885190</xdr:colOff>
      <xdr:row>717</xdr:row>
      <xdr:rowOff>1209040</xdr:rowOff>
    </xdr:to>
    <xdr:pic>
      <xdr:nvPicPr>
        <xdr:cNvPr id="4713" name="Изображение 4712" descr="resizeПП-00263858"/>
        <xdr:cNvPicPr>
          <a:picLocks noChangeAspect="1"/>
        </xdr:cNvPicPr>
      </xdr:nvPicPr>
      <xdr:blipFill>
        <a:blip xmlns:r="http://schemas.openxmlformats.org/officeDocument/2006/relationships" r:embed="rId475"/>
        <a:stretch>
          <a:fillRect/>
        </a:stretch>
      </xdr:blipFill>
      <xdr:spPr>
        <a:xfrm>
          <a:off x="7264400" y="652929225"/>
          <a:ext cx="878840" cy="1183640"/>
        </a:xfrm>
        <a:prstGeom prst="rect">
          <a:avLst/>
        </a:prstGeom>
      </xdr:spPr>
    </xdr:pic>
    <xdr:clientData/>
  </xdr:twoCellAnchor>
  <xdr:twoCellAnchor>
    <xdr:from>
      <xdr:col>8</xdr:col>
      <xdr:colOff>6350</xdr:colOff>
      <xdr:row>718</xdr:row>
      <xdr:rowOff>25400</xdr:rowOff>
    </xdr:from>
    <xdr:to>
      <xdr:col>8</xdr:col>
      <xdr:colOff>885190</xdr:colOff>
      <xdr:row>718</xdr:row>
      <xdr:rowOff>1209040</xdr:rowOff>
    </xdr:to>
    <xdr:pic>
      <xdr:nvPicPr>
        <xdr:cNvPr id="4714" name="Изображение 4713" descr="resizeПП-00263867"/>
        <xdr:cNvPicPr>
          <a:picLocks noChangeAspect="1"/>
        </xdr:cNvPicPr>
      </xdr:nvPicPr>
      <xdr:blipFill>
        <a:blip xmlns:r="http://schemas.openxmlformats.org/officeDocument/2006/relationships" r:embed="rId476"/>
        <a:stretch>
          <a:fillRect/>
        </a:stretch>
      </xdr:blipFill>
      <xdr:spPr>
        <a:xfrm>
          <a:off x="7264400" y="654151600"/>
          <a:ext cx="878840" cy="1183640"/>
        </a:xfrm>
        <a:prstGeom prst="rect">
          <a:avLst/>
        </a:prstGeom>
      </xdr:spPr>
    </xdr:pic>
    <xdr:clientData/>
  </xdr:twoCellAnchor>
  <xdr:twoCellAnchor>
    <xdr:from>
      <xdr:col>8</xdr:col>
      <xdr:colOff>6350</xdr:colOff>
      <xdr:row>719</xdr:row>
      <xdr:rowOff>25400</xdr:rowOff>
    </xdr:from>
    <xdr:to>
      <xdr:col>8</xdr:col>
      <xdr:colOff>885190</xdr:colOff>
      <xdr:row>719</xdr:row>
      <xdr:rowOff>1209040</xdr:rowOff>
    </xdr:to>
    <xdr:pic>
      <xdr:nvPicPr>
        <xdr:cNvPr id="4715" name="Изображение 4714" descr="resizeПП-00263868"/>
        <xdr:cNvPicPr>
          <a:picLocks noChangeAspect="1"/>
        </xdr:cNvPicPr>
      </xdr:nvPicPr>
      <xdr:blipFill>
        <a:blip xmlns:r="http://schemas.openxmlformats.org/officeDocument/2006/relationships" r:embed="rId477"/>
        <a:stretch>
          <a:fillRect/>
        </a:stretch>
      </xdr:blipFill>
      <xdr:spPr>
        <a:xfrm>
          <a:off x="7264400" y="655373975"/>
          <a:ext cx="878840" cy="1183640"/>
        </a:xfrm>
        <a:prstGeom prst="rect">
          <a:avLst/>
        </a:prstGeom>
      </xdr:spPr>
    </xdr:pic>
    <xdr:clientData/>
  </xdr:twoCellAnchor>
  <xdr:twoCellAnchor>
    <xdr:from>
      <xdr:col>8</xdr:col>
      <xdr:colOff>6350</xdr:colOff>
      <xdr:row>720</xdr:row>
      <xdr:rowOff>25400</xdr:rowOff>
    </xdr:from>
    <xdr:to>
      <xdr:col>8</xdr:col>
      <xdr:colOff>885190</xdr:colOff>
      <xdr:row>720</xdr:row>
      <xdr:rowOff>1209040</xdr:rowOff>
    </xdr:to>
    <xdr:pic>
      <xdr:nvPicPr>
        <xdr:cNvPr id="4716" name="Изображение 4715" descr="resizeПП-00263873"/>
        <xdr:cNvPicPr>
          <a:picLocks noChangeAspect="1"/>
        </xdr:cNvPicPr>
      </xdr:nvPicPr>
      <xdr:blipFill>
        <a:blip xmlns:r="http://schemas.openxmlformats.org/officeDocument/2006/relationships" r:embed="rId478"/>
        <a:stretch>
          <a:fillRect/>
        </a:stretch>
      </xdr:blipFill>
      <xdr:spPr>
        <a:xfrm>
          <a:off x="7264400" y="656596350"/>
          <a:ext cx="878840" cy="1183640"/>
        </a:xfrm>
        <a:prstGeom prst="rect">
          <a:avLst/>
        </a:prstGeom>
      </xdr:spPr>
    </xdr:pic>
    <xdr:clientData/>
  </xdr:twoCellAnchor>
  <xdr:twoCellAnchor>
    <xdr:from>
      <xdr:col>8</xdr:col>
      <xdr:colOff>6350</xdr:colOff>
      <xdr:row>721</xdr:row>
      <xdr:rowOff>25400</xdr:rowOff>
    </xdr:from>
    <xdr:to>
      <xdr:col>8</xdr:col>
      <xdr:colOff>885190</xdr:colOff>
      <xdr:row>721</xdr:row>
      <xdr:rowOff>1209040</xdr:rowOff>
    </xdr:to>
    <xdr:pic>
      <xdr:nvPicPr>
        <xdr:cNvPr id="4717" name="Изображение 4716" descr="resizeПП-00263870"/>
        <xdr:cNvPicPr>
          <a:picLocks noChangeAspect="1"/>
        </xdr:cNvPicPr>
      </xdr:nvPicPr>
      <xdr:blipFill>
        <a:blip xmlns:r="http://schemas.openxmlformats.org/officeDocument/2006/relationships" r:embed="rId479"/>
        <a:stretch>
          <a:fillRect/>
        </a:stretch>
      </xdr:blipFill>
      <xdr:spPr>
        <a:xfrm>
          <a:off x="7264400" y="657818725"/>
          <a:ext cx="878840" cy="1183640"/>
        </a:xfrm>
        <a:prstGeom prst="rect">
          <a:avLst/>
        </a:prstGeom>
      </xdr:spPr>
    </xdr:pic>
    <xdr:clientData/>
  </xdr:twoCellAnchor>
  <xdr:twoCellAnchor>
    <xdr:from>
      <xdr:col>8</xdr:col>
      <xdr:colOff>6350</xdr:colOff>
      <xdr:row>722</xdr:row>
      <xdr:rowOff>25400</xdr:rowOff>
    </xdr:from>
    <xdr:to>
      <xdr:col>8</xdr:col>
      <xdr:colOff>885190</xdr:colOff>
      <xdr:row>722</xdr:row>
      <xdr:rowOff>1209040</xdr:rowOff>
    </xdr:to>
    <xdr:pic>
      <xdr:nvPicPr>
        <xdr:cNvPr id="4718" name="Изображение 4717" descr="resizeПП-00263863"/>
        <xdr:cNvPicPr>
          <a:picLocks noChangeAspect="1"/>
        </xdr:cNvPicPr>
      </xdr:nvPicPr>
      <xdr:blipFill>
        <a:blip xmlns:r="http://schemas.openxmlformats.org/officeDocument/2006/relationships" r:embed="rId480"/>
        <a:stretch>
          <a:fillRect/>
        </a:stretch>
      </xdr:blipFill>
      <xdr:spPr>
        <a:xfrm>
          <a:off x="7264400" y="659041100"/>
          <a:ext cx="878840" cy="1183640"/>
        </a:xfrm>
        <a:prstGeom prst="rect">
          <a:avLst/>
        </a:prstGeom>
      </xdr:spPr>
    </xdr:pic>
    <xdr:clientData/>
  </xdr:twoCellAnchor>
  <xdr:twoCellAnchor>
    <xdr:from>
      <xdr:col>8</xdr:col>
      <xdr:colOff>6350</xdr:colOff>
      <xdr:row>723</xdr:row>
      <xdr:rowOff>25400</xdr:rowOff>
    </xdr:from>
    <xdr:to>
      <xdr:col>8</xdr:col>
      <xdr:colOff>885190</xdr:colOff>
      <xdr:row>723</xdr:row>
      <xdr:rowOff>1209040</xdr:rowOff>
    </xdr:to>
    <xdr:pic>
      <xdr:nvPicPr>
        <xdr:cNvPr id="4719" name="Изображение 4718" descr="resizeПП-00263866"/>
        <xdr:cNvPicPr>
          <a:picLocks noChangeAspect="1"/>
        </xdr:cNvPicPr>
      </xdr:nvPicPr>
      <xdr:blipFill>
        <a:blip xmlns:r="http://schemas.openxmlformats.org/officeDocument/2006/relationships" r:embed="rId481"/>
        <a:stretch>
          <a:fillRect/>
        </a:stretch>
      </xdr:blipFill>
      <xdr:spPr>
        <a:xfrm>
          <a:off x="7264400" y="660263475"/>
          <a:ext cx="878840" cy="1183640"/>
        </a:xfrm>
        <a:prstGeom prst="rect">
          <a:avLst/>
        </a:prstGeom>
      </xdr:spPr>
    </xdr:pic>
    <xdr:clientData/>
  </xdr:twoCellAnchor>
  <xdr:twoCellAnchor>
    <xdr:from>
      <xdr:col>8</xdr:col>
      <xdr:colOff>6350</xdr:colOff>
      <xdr:row>724</xdr:row>
      <xdr:rowOff>25400</xdr:rowOff>
    </xdr:from>
    <xdr:to>
      <xdr:col>8</xdr:col>
      <xdr:colOff>885190</xdr:colOff>
      <xdr:row>724</xdr:row>
      <xdr:rowOff>1209040</xdr:rowOff>
    </xdr:to>
    <xdr:pic>
      <xdr:nvPicPr>
        <xdr:cNvPr id="4720" name="Изображение 4719" descr="resizeПП-00263874"/>
        <xdr:cNvPicPr>
          <a:picLocks noChangeAspect="1"/>
        </xdr:cNvPicPr>
      </xdr:nvPicPr>
      <xdr:blipFill>
        <a:blip xmlns:r="http://schemas.openxmlformats.org/officeDocument/2006/relationships" r:embed="rId482"/>
        <a:stretch>
          <a:fillRect/>
        </a:stretch>
      </xdr:blipFill>
      <xdr:spPr>
        <a:xfrm>
          <a:off x="7264400" y="661485850"/>
          <a:ext cx="878840" cy="1183640"/>
        </a:xfrm>
        <a:prstGeom prst="rect">
          <a:avLst/>
        </a:prstGeom>
      </xdr:spPr>
    </xdr:pic>
    <xdr:clientData/>
  </xdr:twoCellAnchor>
  <xdr:twoCellAnchor>
    <xdr:from>
      <xdr:col>8</xdr:col>
      <xdr:colOff>6350</xdr:colOff>
      <xdr:row>725</xdr:row>
      <xdr:rowOff>25400</xdr:rowOff>
    </xdr:from>
    <xdr:to>
      <xdr:col>8</xdr:col>
      <xdr:colOff>885190</xdr:colOff>
      <xdr:row>725</xdr:row>
      <xdr:rowOff>1209040</xdr:rowOff>
    </xdr:to>
    <xdr:pic>
      <xdr:nvPicPr>
        <xdr:cNvPr id="4721" name="Изображение 4720" descr="resizeПП-00263864"/>
        <xdr:cNvPicPr>
          <a:picLocks noChangeAspect="1"/>
        </xdr:cNvPicPr>
      </xdr:nvPicPr>
      <xdr:blipFill>
        <a:blip xmlns:r="http://schemas.openxmlformats.org/officeDocument/2006/relationships" r:embed="rId483"/>
        <a:stretch>
          <a:fillRect/>
        </a:stretch>
      </xdr:blipFill>
      <xdr:spPr>
        <a:xfrm>
          <a:off x="7264400" y="662708225"/>
          <a:ext cx="878840" cy="1183640"/>
        </a:xfrm>
        <a:prstGeom prst="rect">
          <a:avLst/>
        </a:prstGeom>
      </xdr:spPr>
    </xdr:pic>
    <xdr:clientData/>
  </xdr:twoCellAnchor>
  <xdr:twoCellAnchor>
    <xdr:from>
      <xdr:col>8</xdr:col>
      <xdr:colOff>6350</xdr:colOff>
      <xdr:row>726</xdr:row>
      <xdr:rowOff>25400</xdr:rowOff>
    </xdr:from>
    <xdr:to>
      <xdr:col>8</xdr:col>
      <xdr:colOff>885190</xdr:colOff>
      <xdr:row>726</xdr:row>
      <xdr:rowOff>1209040</xdr:rowOff>
    </xdr:to>
    <xdr:pic>
      <xdr:nvPicPr>
        <xdr:cNvPr id="4722" name="Изображение 4721" descr="resizeПП-00263865"/>
        <xdr:cNvPicPr>
          <a:picLocks noChangeAspect="1"/>
        </xdr:cNvPicPr>
      </xdr:nvPicPr>
      <xdr:blipFill>
        <a:blip xmlns:r="http://schemas.openxmlformats.org/officeDocument/2006/relationships" r:embed="rId484"/>
        <a:stretch>
          <a:fillRect/>
        </a:stretch>
      </xdr:blipFill>
      <xdr:spPr>
        <a:xfrm>
          <a:off x="7264400" y="663930600"/>
          <a:ext cx="878840" cy="1183640"/>
        </a:xfrm>
        <a:prstGeom prst="rect">
          <a:avLst/>
        </a:prstGeom>
      </xdr:spPr>
    </xdr:pic>
    <xdr:clientData/>
  </xdr:twoCellAnchor>
  <xdr:twoCellAnchor>
    <xdr:from>
      <xdr:col>8</xdr:col>
      <xdr:colOff>6350</xdr:colOff>
      <xdr:row>728</xdr:row>
      <xdr:rowOff>25400</xdr:rowOff>
    </xdr:from>
    <xdr:to>
      <xdr:col>8</xdr:col>
      <xdr:colOff>885190</xdr:colOff>
      <xdr:row>728</xdr:row>
      <xdr:rowOff>1209040</xdr:rowOff>
    </xdr:to>
    <xdr:pic>
      <xdr:nvPicPr>
        <xdr:cNvPr id="4723" name="Изображение 4722" descr="resizeПП-00206310"/>
        <xdr:cNvPicPr>
          <a:picLocks noChangeAspect="1"/>
        </xdr:cNvPicPr>
      </xdr:nvPicPr>
      <xdr:blipFill>
        <a:blip xmlns:r="http://schemas.openxmlformats.org/officeDocument/2006/relationships" r:embed="rId485"/>
        <a:stretch>
          <a:fillRect/>
        </a:stretch>
      </xdr:blipFill>
      <xdr:spPr>
        <a:xfrm>
          <a:off x="7264400" y="665305375"/>
          <a:ext cx="878840" cy="1183640"/>
        </a:xfrm>
        <a:prstGeom prst="rect">
          <a:avLst/>
        </a:prstGeom>
      </xdr:spPr>
    </xdr:pic>
    <xdr:clientData/>
  </xdr:twoCellAnchor>
  <xdr:twoCellAnchor>
    <xdr:from>
      <xdr:col>8</xdr:col>
      <xdr:colOff>6350</xdr:colOff>
      <xdr:row>730</xdr:row>
      <xdr:rowOff>25400</xdr:rowOff>
    </xdr:from>
    <xdr:to>
      <xdr:col>8</xdr:col>
      <xdr:colOff>1189990</xdr:colOff>
      <xdr:row>730</xdr:row>
      <xdr:rowOff>904240</xdr:rowOff>
    </xdr:to>
    <xdr:pic>
      <xdr:nvPicPr>
        <xdr:cNvPr id="4724" name="Изображение 4723" descr="resizeПП-00267637"/>
        <xdr:cNvPicPr>
          <a:picLocks noChangeAspect="1"/>
        </xdr:cNvPicPr>
      </xdr:nvPicPr>
      <xdr:blipFill>
        <a:blip xmlns:r="http://schemas.openxmlformats.org/officeDocument/2006/relationships" r:embed="rId486"/>
        <a:stretch>
          <a:fillRect/>
        </a:stretch>
      </xdr:blipFill>
      <xdr:spPr>
        <a:xfrm>
          <a:off x="7264400" y="666680150"/>
          <a:ext cx="1183640" cy="878840"/>
        </a:xfrm>
        <a:prstGeom prst="rect">
          <a:avLst/>
        </a:prstGeom>
      </xdr:spPr>
    </xdr:pic>
    <xdr:clientData/>
  </xdr:twoCellAnchor>
  <xdr:twoCellAnchor>
    <xdr:from>
      <xdr:col>8</xdr:col>
      <xdr:colOff>6350</xdr:colOff>
      <xdr:row>731</xdr:row>
      <xdr:rowOff>25400</xdr:rowOff>
    </xdr:from>
    <xdr:to>
      <xdr:col>8</xdr:col>
      <xdr:colOff>1189990</xdr:colOff>
      <xdr:row>731</xdr:row>
      <xdr:rowOff>904240</xdr:rowOff>
    </xdr:to>
    <xdr:pic>
      <xdr:nvPicPr>
        <xdr:cNvPr id="4725" name="Изображение 4724" descr="resizeПП-00267633"/>
        <xdr:cNvPicPr>
          <a:picLocks noChangeAspect="1"/>
        </xdr:cNvPicPr>
      </xdr:nvPicPr>
      <xdr:blipFill>
        <a:blip xmlns:r="http://schemas.openxmlformats.org/officeDocument/2006/relationships" r:embed="rId487"/>
        <a:stretch>
          <a:fillRect/>
        </a:stretch>
      </xdr:blipFill>
      <xdr:spPr>
        <a:xfrm>
          <a:off x="7264400" y="667902525"/>
          <a:ext cx="1183640" cy="878840"/>
        </a:xfrm>
        <a:prstGeom prst="rect">
          <a:avLst/>
        </a:prstGeom>
      </xdr:spPr>
    </xdr:pic>
    <xdr:clientData/>
  </xdr:twoCellAnchor>
  <xdr:twoCellAnchor>
    <xdr:from>
      <xdr:col>8</xdr:col>
      <xdr:colOff>6350</xdr:colOff>
      <xdr:row>732</xdr:row>
      <xdr:rowOff>25400</xdr:rowOff>
    </xdr:from>
    <xdr:to>
      <xdr:col>8</xdr:col>
      <xdr:colOff>885190</xdr:colOff>
      <xdr:row>732</xdr:row>
      <xdr:rowOff>1209040</xdr:rowOff>
    </xdr:to>
    <xdr:pic>
      <xdr:nvPicPr>
        <xdr:cNvPr id="4726" name="Изображение 4725" descr="resizeПП-00267634"/>
        <xdr:cNvPicPr>
          <a:picLocks noChangeAspect="1"/>
        </xdr:cNvPicPr>
      </xdr:nvPicPr>
      <xdr:blipFill>
        <a:blip xmlns:r="http://schemas.openxmlformats.org/officeDocument/2006/relationships" r:embed="rId488"/>
        <a:stretch>
          <a:fillRect/>
        </a:stretch>
      </xdr:blipFill>
      <xdr:spPr>
        <a:xfrm>
          <a:off x="7264400" y="669124900"/>
          <a:ext cx="878840" cy="1183640"/>
        </a:xfrm>
        <a:prstGeom prst="rect">
          <a:avLst/>
        </a:prstGeom>
      </xdr:spPr>
    </xdr:pic>
    <xdr:clientData/>
  </xdr:twoCellAnchor>
  <xdr:twoCellAnchor>
    <xdr:from>
      <xdr:col>8</xdr:col>
      <xdr:colOff>6350</xdr:colOff>
      <xdr:row>733</xdr:row>
      <xdr:rowOff>25400</xdr:rowOff>
    </xdr:from>
    <xdr:to>
      <xdr:col>8</xdr:col>
      <xdr:colOff>885190</xdr:colOff>
      <xdr:row>733</xdr:row>
      <xdr:rowOff>1209040</xdr:rowOff>
    </xdr:to>
    <xdr:pic>
      <xdr:nvPicPr>
        <xdr:cNvPr id="4727" name="Изображение 4726" descr="resizeПП-00267635"/>
        <xdr:cNvPicPr>
          <a:picLocks noChangeAspect="1"/>
        </xdr:cNvPicPr>
      </xdr:nvPicPr>
      <xdr:blipFill>
        <a:blip xmlns:r="http://schemas.openxmlformats.org/officeDocument/2006/relationships" r:embed="rId489"/>
        <a:stretch>
          <a:fillRect/>
        </a:stretch>
      </xdr:blipFill>
      <xdr:spPr>
        <a:xfrm>
          <a:off x="7264400" y="670347275"/>
          <a:ext cx="878840" cy="1183640"/>
        </a:xfrm>
        <a:prstGeom prst="rect">
          <a:avLst/>
        </a:prstGeom>
      </xdr:spPr>
    </xdr:pic>
    <xdr:clientData/>
  </xdr:twoCellAnchor>
  <xdr:twoCellAnchor>
    <xdr:from>
      <xdr:col>8</xdr:col>
      <xdr:colOff>6350</xdr:colOff>
      <xdr:row>734</xdr:row>
      <xdr:rowOff>25400</xdr:rowOff>
    </xdr:from>
    <xdr:to>
      <xdr:col>8</xdr:col>
      <xdr:colOff>1189990</xdr:colOff>
      <xdr:row>734</xdr:row>
      <xdr:rowOff>904240</xdr:rowOff>
    </xdr:to>
    <xdr:pic>
      <xdr:nvPicPr>
        <xdr:cNvPr id="4728" name="Изображение 4727" descr="resizeПП-00267636"/>
        <xdr:cNvPicPr>
          <a:picLocks noChangeAspect="1"/>
        </xdr:cNvPicPr>
      </xdr:nvPicPr>
      <xdr:blipFill>
        <a:blip xmlns:r="http://schemas.openxmlformats.org/officeDocument/2006/relationships" r:embed="rId490"/>
        <a:stretch>
          <a:fillRect/>
        </a:stretch>
      </xdr:blipFill>
      <xdr:spPr>
        <a:xfrm>
          <a:off x="7264400" y="671569650"/>
          <a:ext cx="1183640" cy="878840"/>
        </a:xfrm>
        <a:prstGeom prst="rect">
          <a:avLst/>
        </a:prstGeom>
      </xdr:spPr>
    </xdr:pic>
    <xdr:clientData/>
  </xdr:twoCellAnchor>
  <xdr:twoCellAnchor>
    <xdr:from>
      <xdr:col>8</xdr:col>
      <xdr:colOff>6350</xdr:colOff>
      <xdr:row>736</xdr:row>
      <xdr:rowOff>25400</xdr:rowOff>
    </xdr:from>
    <xdr:to>
      <xdr:col>8</xdr:col>
      <xdr:colOff>885190</xdr:colOff>
      <xdr:row>736</xdr:row>
      <xdr:rowOff>1209040</xdr:rowOff>
    </xdr:to>
    <xdr:pic>
      <xdr:nvPicPr>
        <xdr:cNvPr id="4729" name="Изображение 4728" descr="resizeПП-00246147"/>
        <xdr:cNvPicPr>
          <a:picLocks noChangeAspect="1"/>
        </xdr:cNvPicPr>
      </xdr:nvPicPr>
      <xdr:blipFill>
        <a:blip xmlns:r="http://schemas.openxmlformats.org/officeDocument/2006/relationships" r:embed="rId491"/>
        <a:stretch>
          <a:fillRect/>
        </a:stretch>
      </xdr:blipFill>
      <xdr:spPr>
        <a:xfrm>
          <a:off x="7264400" y="672944425"/>
          <a:ext cx="878840" cy="1183640"/>
        </a:xfrm>
        <a:prstGeom prst="rect">
          <a:avLst/>
        </a:prstGeom>
      </xdr:spPr>
    </xdr:pic>
    <xdr:clientData/>
  </xdr:twoCellAnchor>
  <xdr:twoCellAnchor>
    <xdr:from>
      <xdr:col>8</xdr:col>
      <xdr:colOff>6350</xdr:colOff>
      <xdr:row>737</xdr:row>
      <xdr:rowOff>25400</xdr:rowOff>
    </xdr:from>
    <xdr:to>
      <xdr:col>8</xdr:col>
      <xdr:colOff>885190</xdr:colOff>
      <xdr:row>737</xdr:row>
      <xdr:rowOff>1209040</xdr:rowOff>
    </xdr:to>
    <xdr:pic>
      <xdr:nvPicPr>
        <xdr:cNvPr id="4730" name="Изображение 4729" descr="resizeПП-00269702"/>
        <xdr:cNvPicPr>
          <a:picLocks noChangeAspect="1"/>
        </xdr:cNvPicPr>
      </xdr:nvPicPr>
      <xdr:blipFill>
        <a:blip xmlns:r="http://schemas.openxmlformats.org/officeDocument/2006/relationships" r:embed="rId492"/>
        <a:stretch>
          <a:fillRect/>
        </a:stretch>
      </xdr:blipFill>
      <xdr:spPr>
        <a:xfrm>
          <a:off x="7264400" y="674166800"/>
          <a:ext cx="878840" cy="1183640"/>
        </a:xfrm>
        <a:prstGeom prst="rect">
          <a:avLst/>
        </a:prstGeom>
      </xdr:spPr>
    </xdr:pic>
    <xdr:clientData/>
  </xdr:twoCellAnchor>
  <xdr:twoCellAnchor>
    <xdr:from>
      <xdr:col>8</xdr:col>
      <xdr:colOff>6350</xdr:colOff>
      <xdr:row>738</xdr:row>
      <xdr:rowOff>25400</xdr:rowOff>
    </xdr:from>
    <xdr:to>
      <xdr:col>8</xdr:col>
      <xdr:colOff>885190</xdr:colOff>
      <xdr:row>738</xdr:row>
      <xdr:rowOff>1209040</xdr:rowOff>
    </xdr:to>
    <xdr:pic>
      <xdr:nvPicPr>
        <xdr:cNvPr id="4731" name="Изображение 4730" descr="resizeПП-00227340"/>
        <xdr:cNvPicPr>
          <a:picLocks noChangeAspect="1"/>
        </xdr:cNvPicPr>
      </xdr:nvPicPr>
      <xdr:blipFill>
        <a:blip xmlns:r="http://schemas.openxmlformats.org/officeDocument/2006/relationships" r:embed="rId493"/>
        <a:stretch>
          <a:fillRect/>
        </a:stretch>
      </xdr:blipFill>
      <xdr:spPr>
        <a:xfrm>
          <a:off x="7264400" y="675389175"/>
          <a:ext cx="878840" cy="1183640"/>
        </a:xfrm>
        <a:prstGeom prst="rect">
          <a:avLst/>
        </a:prstGeom>
      </xdr:spPr>
    </xdr:pic>
    <xdr:clientData/>
  </xdr:twoCellAnchor>
  <xdr:twoCellAnchor>
    <xdr:from>
      <xdr:col>8</xdr:col>
      <xdr:colOff>6350</xdr:colOff>
      <xdr:row>740</xdr:row>
      <xdr:rowOff>25400</xdr:rowOff>
    </xdr:from>
    <xdr:to>
      <xdr:col>8</xdr:col>
      <xdr:colOff>885190</xdr:colOff>
      <xdr:row>740</xdr:row>
      <xdr:rowOff>1209040</xdr:rowOff>
    </xdr:to>
    <xdr:pic>
      <xdr:nvPicPr>
        <xdr:cNvPr id="4732" name="Изображение 4731" descr="resizeПП-00173482"/>
        <xdr:cNvPicPr>
          <a:picLocks noChangeAspect="1"/>
        </xdr:cNvPicPr>
      </xdr:nvPicPr>
      <xdr:blipFill>
        <a:blip xmlns:r="http://schemas.openxmlformats.org/officeDocument/2006/relationships" r:embed="rId494"/>
        <a:stretch>
          <a:fillRect/>
        </a:stretch>
      </xdr:blipFill>
      <xdr:spPr>
        <a:xfrm>
          <a:off x="7264400" y="676763950"/>
          <a:ext cx="878840" cy="1183640"/>
        </a:xfrm>
        <a:prstGeom prst="rect">
          <a:avLst/>
        </a:prstGeom>
      </xdr:spPr>
    </xdr:pic>
    <xdr:clientData/>
  </xdr:twoCellAnchor>
  <xdr:twoCellAnchor>
    <xdr:from>
      <xdr:col>8</xdr:col>
      <xdr:colOff>6350</xdr:colOff>
      <xdr:row>741</xdr:row>
      <xdr:rowOff>25400</xdr:rowOff>
    </xdr:from>
    <xdr:to>
      <xdr:col>8</xdr:col>
      <xdr:colOff>885190</xdr:colOff>
      <xdr:row>741</xdr:row>
      <xdr:rowOff>1209040</xdr:rowOff>
    </xdr:to>
    <xdr:pic>
      <xdr:nvPicPr>
        <xdr:cNvPr id="4733" name="Изображение 4732" descr="resizeПП-00173481"/>
        <xdr:cNvPicPr>
          <a:picLocks noChangeAspect="1"/>
        </xdr:cNvPicPr>
      </xdr:nvPicPr>
      <xdr:blipFill>
        <a:blip xmlns:r="http://schemas.openxmlformats.org/officeDocument/2006/relationships" r:embed="rId495"/>
        <a:stretch>
          <a:fillRect/>
        </a:stretch>
      </xdr:blipFill>
      <xdr:spPr>
        <a:xfrm>
          <a:off x="7264400" y="677986325"/>
          <a:ext cx="878840" cy="1183640"/>
        </a:xfrm>
        <a:prstGeom prst="rect">
          <a:avLst/>
        </a:prstGeom>
      </xdr:spPr>
    </xdr:pic>
    <xdr:clientData/>
  </xdr:twoCellAnchor>
  <xdr:twoCellAnchor>
    <xdr:from>
      <xdr:col>8</xdr:col>
      <xdr:colOff>6350</xdr:colOff>
      <xdr:row>742</xdr:row>
      <xdr:rowOff>25400</xdr:rowOff>
    </xdr:from>
    <xdr:to>
      <xdr:col>8</xdr:col>
      <xdr:colOff>885190</xdr:colOff>
      <xdr:row>742</xdr:row>
      <xdr:rowOff>1209040</xdr:rowOff>
    </xdr:to>
    <xdr:pic>
      <xdr:nvPicPr>
        <xdr:cNvPr id="4734" name="Изображение 4733" descr="resizeПП-00191804"/>
        <xdr:cNvPicPr>
          <a:picLocks noChangeAspect="1"/>
        </xdr:cNvPicPr>
      </xdr:nvPicPr>
      <xdr:blipFill>
        <a:blip xmlns:r="http://schemas.openxmlformats.org/officeDocument/2006/relationships" r:embed="rId496"/>
        <a:stretch>
          <a:fillRect/>
        </a:stretch>
      </xdr:blipFill>
      <xdr:spPr>
        <a:xfrm>
          <a:off x="7264400" y="679208700"/>
          <a:ext cx="878840" cy="1183640"/>
        </a:xfrm>
        <a:prstGeom prst="rect">
          <a:avLst/>
        </a:prstGeom>
      </xdr:spPr>
    </xdr:pic>
    <xdr:clientData/>
  </xdr:twoCellAnchor>
  <xdr:twoCellAnchor>
    <xdr:from>
      <xdr:col>8</xdr:col>
      <xdr:colOff>6350</xdr:colOff>
      <xdr:row>743</xdr:row>
      <xdr:rowOff>25400</xdr:rowOff>
    </xdr:from>
    <xdr:to>
      <xdr:col>8</xdr:col>
      <xdr:colOff>885190</xdr:colOff>
      <xdr:row>743</xdr:row>
      <xdr:rowOff>1209040</xdr:rowOff>
    </xdr:to>
    <xdr:pic>
      <xdr:nvPicPr>
        <xdr:cNvPr id="4735" name="Изображение 4734" descr="resizeПП-00228300"/>
        <xdr:cNvPicPr>
          <a:picLocks noChangeAspect="1"/>
        </xdr:cNvPicPr>
      </xdr:nvPicPr>
      <xdr:blipFill>
        <a:blip xmlns:r="http://schemas.openxmlformats.org/officeDocument/2006/relationships" r:embed="rId497"/>
        <a:stretch>
          <a:fillRect/>
        </a:stretch>
      </xdr:blipFill>
      <xdr:spPr>
        <a:xfrm>
          <a:off x="7264400" y="680431075"/>
          <a:ext cx="878840" cy="1183640"/>
        </a:xfrm>
        <a:prstGeom prst="rect">
          <a:avLst/>
        </a:prstGeom>
      </xdr:spPr>
    </xdr:pic>
    <xdr:clientData/>
  </xdr:twoCellAnchor>
  <xdr:twoCellAnchor>
    <xdr:from>
      <xdr:col>8</xdr:col>
      <xdr:colOff>6350</xdr:colOff>
      <xdr:row>744</xdr:row>
      <xdr:rowOff>25400</xdr:rowOff>
    </xdr:from>
    <xdr:to>
      <xdr:col>8</xdr:col>
      <xdr:colOff>885190</xdr:colOff>
      <xdr:row>744</xdr:row>
      <xdr:rowOff>1209040</xdr:rowOff>
    </xdr:to>
    <xdr:pic>
      <xdr:nvPicPr>
        <xdr:cNvPr id="4736" name="Изображение 4735" descr="resizeПП-00270421"/>
        <xdr:cNvPicPr>
          <a:picLocks noChangeAspect="1"/>
        </xdr:cNvPicPr>
      </xdr:nvPicPr>
      <xdr:blipFill>
        <a:blip xmlns:r="http://schemas.openxmlformats.org/officeDocument/2006/relationships" r:embed="rId498"/>
        <a:stretch>
          <a:fillRect/>
        </a:stretch>
      </xdr:blipFill>
      <xdr:spPr>
        <a:xfrm>
          <a:off x="7264400" y="681653450"/>
          <a:ext cx="878840" cy="1183640"/>
        </a:xfrm>
        <a:prstGeom prst="rect">
          <a:avLst/>
        </a:prstGeom>
      </xdr:spPr>
    </xdr:pic>
    <xdr:clientData/>
  </xdr:twoCellAnchor>
  <xdr:twoCellAnchor>
    <xdr:from>
      <xdr:col>8</xdr:col>
      <xdr:colOff>6350</xdr:colOff>
      <xdr:row>745</xdr:row>
      <xdr:rowOff>25400</xdr:rowOff>
    </xdr:from>
    <xdr:to>
      <xdr:col>8</xdr:col>
      <xdr:colOff>885190</xdr:colOff>
      <xdr:row>745</xdr:row>
      <xdr:rowOff>1209040</xdr:rowOff>
    </xdr:to>
    <xdr:pic>
      <xdr:nvPicPr>
        <xdr:cNvPr id="4737" name="Изображение 4736" descr="resizeПП-00270429"/>
        <xdr:cNvPicPr>
          <a:picLocks noChangeAspect="1"/>
        </xdr:cNvPicPr>
      </xdr:nvPicPr>
      <xdr:blipFill>
        <a:blip xmlns:r="http://schemas.openxmlformats.org/officeDocument/2006/relationships" r:embed="rId499"/>
        <a:stretch>
          <a:fillRect/>
        </a:stretch>
      </xdr:blipFill>
      <xdr:spPr>
        <a:xfrm>
          <a:off x="7264400" y="682875825"/>
          <a:ext cx="878840" cy="1183640"/>
        </a:xfrm>
        <a:prstGeom prst="rect">
          <a:avLst/>
        </a:prstGeom>
      </xdr:spPr>
    </xdr:pic>
    <xdr:clientData/>
  </xdr:twoCellAnchor>
  <xdr:twoCellAnchor>
    <xdr:from>
      <xdr:col>8</xdr:col>
      <xdr:colOff>6350</xdr:colOff>
      <xdr:row>746</xdr:row>
      <xdr:rowOff>25400</xdr:rowOff>
    </xdr:from>
    <xdr:to>
      <xdr:col>8</xdr:col>
      <xdr:colOff>885190</xdr:colOff>
      <xdr:row>746</xdr:row>
      <xdr:rowOff>1209040</xdr:rowOff>
    </xdr:to>
    <xdr:pic>
      <xdr:nvPicPr>
        <xdr:cNvPr id="4738" name="Изображение 4737" descr="resizeПП-00270428"/>
        <xdr:cNvPicPr>
          <a:picLocks noChangeAspect="1"/>
        </xdr:cNvPicPr>
      </xdr:nvPicPr>
      <xdr:blipFill>
        <a:blip xmlns:r="http://schemas.openxmlformats.org/officeDocument/2006/relationships" r:embed="rId500"/>
        <a:stretch>
          <a:fillRect/>
        </a:stretch>
      </xdr:blipFill>
      <xdr:spPr>
        <a:xfrm>
          <a:off x="7264400" y="684098200"/>
          <a:ext cx="878840" cy="1183640"/>
        </a:xfrm>
        <a:prstGeom prst="rect">
          <a:avLst/>
        </a:prstGeom>
      </xdr:spPr>
    </xdr:pic>
    <xdr:clientData/>
  </xdr:twoCellAnchor>
  <xdr:twoCellAnchor>
    <xdr:from>
      <xdr:col>8</xdr:col>
      <xdr:colOff>6350</xdr:colOff>
      <xdr:row>747</xdr:row>
      <xdr:rowOff>25400</xdr:rowOff>
    </xdr:from>
    <xdr:to>
      <xdr:col>8</xdr:col>
      <xdr:colOff>885190</xdr:colOff>
      <xdr:row>747</xdr:row>
      <xdr:rowOff>1209040</xdr:rowOff>
    </xdr:to>
    <xdr:pic>
      <xdr:nvPicPr>
        <xdr:cNvPr id="4739" name="Изображение 4738" descr="resizeПП-00270178"/>
        <xdr:cNvPicPr>
          <a:picLocks noChangeAspect="1"/>
        </xdr:cNvPicPr>
      </xdr:nvPicPr>
      <xdr:blipFill>
        <a:blip xmlns:r="http://schemas.openxmlformats.org/officeDocument/2006/relationships" r:embed="rId501"/>
        <a:stretch>
          <a:fillRect/>
        </a:stretch>
      </xdr:blipFill>
      <xdr:spPr>
        <a:xfrm>
          <a:off x="7264400" y="685320575"/>
          <a:ext cx="878840" cy="1183640"/>
        </a:xfrm>
        <a:prstGeom prst="rect">
          <a:avLst/>
        </a:prstGeom>
      </xdr:spPr>
    </xdr:pic>
    <xdr:clientData/>
  </xdr:twoCellAnchor>
  <xdr:twoCellAnchor>
    <xdr:from>
      <xdr:col>8</xdr:col>
      <xdr:colOff>6350</xdr:colOff>
      <xdr:row>748</xdr:row>
      <xdr:rowOff>25400</xdr:rowOff>
    </xdr:from>
    <xdr:to>
      <xdr:col>8</xdr:col>
      <xdr:colOff>885190</xdr:colOff>
      <xdr:row>748</xdr:row>
      <xdr:rowOff>1209040</xdr:rowOff>
    </xdr:to>
    <xdr:pic>
      <xdr:nvPicPr>
        <xdr:cNvPr id="4740" name="Изображение 4739" descr="resizeПП-00228175"/>
        <xdr:cNvPicPr>
          <a:picLocks noChangeAspect="1"/>
        </xdr:cNvPicPr>
      </xdr:nvPicPr>
      <xdr:blipFill>
        <a:blip xmlns:r="http://schemas.openxmlformats.org/officeDocument/2006/relationships" r:embed="rId502"/>
        <a:stretch>
          <a:fillRect/>
        </a:stretch>
      </xdr:blipFill>
      <xdr:spPr>
        <a:xfrm>
          <a:off x="7264400" y="686542950"/>
          <a:ext cx="878840" cy="1183640"/>
        </a:xfrm>
        <a:prstGeom prst="rect">
          <a:avLst/>
        </a:prstGeom>
      </xdr:spPr>
    </xdr:pic>
    <xdr:clientData/>
  </xdr:twoCellAnchor>
  <xdr:twoCellAnchor>
    <xdr:from>
      <xdr:col>8</xdr:col>
      <xdr:colOff>6350</xdr:colOff>
      <xdr:row>749</xdr:row>
      <xdr:rowOff>25400</xdr:rowOff>
    </xdr:from>
    <xdr:to>
      <xdr:col>8</xdr:col>
      <xdr:colOff>885190</xdr:colOff>
      <xdr:row>749</xdr:row>
      <xdr:rowOff>1209040</xdr:rowOff>
    </xdr:to>
    <xdr:pic>
      <xdr:nvPicPr>
        <xdr:cNvPr id="4741" name="Изображение 4740" descr="resizeПП-00228172"/>
        <xdr:cNvPicPr>
          <a:picLocks noChangeAspect="1"/>
        </xdr:cNvPicPr>
      </xdr:nvPicPr>
      <xdr:blipFill>
        <a:blip xmlns:r="http://schemas.openxmlformats.org/officeDocument/2006/relationships" r:embed="rId503"/>
        <a:stretch>
          <a:fillRect/>
        </a:stretch>
      </xdr:blipFill>
      <xdr:spPr>
        <a:xfrm>
          <a:off x="7264400" y="687765325"/>
          <a:ext cx="878840" cy="1183640"/>
        </a:xfrm>
        <a:prstGeom prst="rect">
          <a:avLst/>
        </a:prstGeom>
      </xdr:spPr>
    </xdr:pic>
    <xdr:clientData/>
  </xdr:twoCellAnchor>
  <xdr:twoCellAnchor>
    <xdr:from>
      <xdr:col>8</xdr:col>
      <xdr:colOff>6350</xdr:colOff>
      <xdr:row>750</xdr:row>
      <xdr:rowOff>25400</xdr:rowOff>
    </xdr:from>
    <xdr:to>
      <xdr:col>8</xdr:col>
      <xdr:colOff>885190</xdr:colOff>
      <xdr:row>750</xdr:row>
      <xdr:rowOff>1209040</xdr:rowOff>
    </xdr:to>
    <xdr:pic>
      <xdr:nvPicPr>
        <xdr:cNvPr id="4742" name="Изображение 4741" descr="resizeПП-00228174"/>
        <xdr:cNvPicPr>
          <a:picLocks noChangeAspect="1"/>
        </xdr:cNvPicPr>
      </xdr:nvPicPr>
      <xdr:blipFill>
        <a:blip xmlns:r="http://schemas.openxmlformats.org/officeDocument/2006/relationships" r:embed="rId504"/>
        <a:stretch>
          <a:fillRect/>
        </a:stretch>
      </xdr:blipFill>
      <xdr:spPr>
        <a:xfrm>
          <a:off x="7264400" y="688987700"/>
          <a:ext cx="878840" cy="1183640"/>
        </a:xfrm>
        <a:prstGeom prst="rect">
          <a:avLst/>
        </a:prstGeom>
      </xdr:spPr>
    </xdr:pic>
    <xdr:clientData/>
  </xdr:twoCellAnchor>
  <xdr:twoCellAnchor>
    <xdr:from>
      <xdr:col>8</xdr:col>
      <xdr:colOff>6350</xdr:colOff>
      <xdr:row>751</xdr:row>
      <xdr:rowOff>25400</xdr:rowOff>
    </xdr:from>
    <xdr:to>
      <xdr:col>8</xdr:col>
      <xdr:colOff>885190</xdr:colOff>
      <xdr:row>751</xdr:row>
      <xdr:rowOff>1209040</xdr:rowOff>
    </xdr:to>
    <xdr:pic>
      <xdr:nvPicPr>
        <xdr:cNvPr id="4743" name="Изображение 4742" descr="resizeПП-00273759"/>
        <xdr:cNvPicPr>
          <a:picLocks noChangeAspect="1"/>
        </xdr:cNvPicPr>
      </xdr:nvPicPr>
      <xdr:blipFill>
        <a:blip xmlns:r="http://schemas.openxmlformats.org/officeDocument/2006/relationships" r:embed="rId505"/>
        <a:stretch>
          <a:fillRect/>
        </a:stretch>
      </xdr:blipFill>
      <xdr:spPr>
        <a:xfrm>
          <a:off x="7264400" y="690210075"/>
          <a:ext cx="878840" cy="1183640"/>
        </a:xfrm>
        <a:prstGeom prst="rect">
          <a:avLst/>
        </a:prstGeom>
      </xdr:spPr>
    </xdr:pic>
    <xdr:clientData/>
  </xdr:twoCellAnchor>
  <xdr:twoCellAnchor>
    <xdr:from>
      <xdr:col>8</xdr:col>
      <xdr:colOff>6350</xdr:colOff>
      <xdr:row>752</xdr:row>
      <xdr:rowOff>25400</xdr:rowOff>
    </xdr:from>
    <xdr:to>
      <xdr:col>8</xdr:col>
      <xdr:colOff>885190</xdr:colOff>
      <xdr:row>752</xdr:row>
      <xdr:rowOff>1209040</xdr:rowOff>
    </xdr:to>
    <xdr:pic>
      <xdr:nvPicPr>
        <xdr:cNvPr id="4744" name="Изображение 4743" descr="resizeПП-00273760"/>
        <xdr:cNvPicPr>
          <a:picLocks noChangeAspect="1"/>
        </xdr:cNvPicPr>
      </xdr:nvPicPr>
      <xdr:blipFill>
        <a:blip xmlns:r="http://schemas.openxmlformats.org/officeDocument/2006/relationships" r:embed="rId506"/>
        <a:stretch>
          <a:fillRect/>
        </a:stretch>
      </xdr:blipFill>
      <xdr:spPr>
        <a:xfrm>
          <a:off x="7264400" y="691432450"/>
          <a:ext cx="878840" cy="1183640"/>
        </a:xfrm>
        <a:prstGeom prst="rect">
          <a:avLst/>
        </a:prstGeom>
      </xdr:spPr>
    </xdr:pic>
    <xdr:clientData/>
  </xdr:twoCellAnchor>
  <xdr:twoCellAnchor>
    <xdr:from>
      <xdr:col>8</xdr:col>
      <xdr:colOff>6350</xdr:colOff>
      <xdr:row>753</xdr:row>
      <xdr:rowOff>25400</xdr:rowOff>
    </xdr:from>
    <xdr:to>
      <xdr:col>8</xdr:col>
      <xdr:colOff>885190</xdr:colOff>
      <xdr:row>753</xdr:row>
      <xdr:rowOff>1209040</xdr:rowOff>
    </xdr:to>
    <xdr:pic>
      <xdr:nvPicPr>
        <xdr:cNvPr id="4745" name="Изображение 4744" descr="resizeПП-00273757"/>
        <xdr:cNvPicPr>
          <a:picLocks noChangeAspect="1"/>
        </xdr:cNvPicPr>
      </xdr:nvPicPr>
      <xdr:blipFill>
        <a:blip xmlns:r="http://schemas.openxmlformats.org/officeDocument/2006/relationships" r:embed="rId507"/>
        <a:stretch>
          <a:fillRect/>
        </a:stretch>
      </xdr:blipFill>
      <xdr:spPr>
        <a:xfrm>
          <a:off x="7264400" y="692654825"/>
          <a:ext cx="878840" cy="1183640"/>
        </a:xfrm>
        <a:prstGeom prst="rect">
          <a:avLst/>
        </a:prstGeom>
      </xdr:spPr>
    </xdr:pic>
    <xdr:clientData/>
  </xdr:twoCellAnchor>
  <xdr:twoCellAnchor>
    <xdr:from>
      <xdr:col>8</xdr:col>
      <xdr:colOff>6350</xdr:colOff>
      <xdr:row>754</xdr:row>
      <xdr:rowOff>25400</xdr:rowOff>
    </xdr:from>
    <xdr:to>
      <xdr:col>8</xdr:col>
      <xdr:colOff>885190</xdr:colOff>
      <xdr:row>754</xdr:row>
      <xdr:rowOff>1209040</xdr:rowOff>
    </xdr:to>
    <xdr:pic>
      <xdr:nvPicPr>
        <xdr:cNvPr id="4746" name="Изображение 4745" descr="resizeПП-00273758"/>
        <xdr:cNvPicPr>
          <a:picLocks noChangeAspect="1"/>
        </xdr:cNvPicPr>
      </xdr:nvPicPr>
      <xdr:blipFill>
        <a:blip xmlns:r="http://schemas.openxmlformats.org/officeDocument/2006/relationships" r:embed="rId508"/>
        <a:stretch>
          <a:fillRect/>
        </a:stretch>
      </xdr:blipFill>
      <xdr:spPr>
        <a:xfrm>
          <a:off x="7264400" y="693877200"/>
          <a:ext cx="878840" cy="1183640"/>
        </a:xfrm>
        <a:prstGeom prst="rect">
          <a:avLst/>
        </a:prstGeom>
      </xdr:spPr>
    </xdr:pic>
    <xdr:clientData/>
  </xdr:twoCellAnchor>
  <xdr:twoCellAnchor>
    <xdr:from>
      <xdr:col>8</xdr:col>
      <xdr:colOff>6350</xdr:colOff>
      <xdr:row>756</xdr:row>
      <xdr:rowOff>25400</xdr:rowOff>
    </xdr:from>
    <xdr:to>
      <xdr:col>8</xdr:col>
      <xdr:colOff>1189990</xdr:colOff>
      <xdr:row>756</xdr:row>
      <xdr:rowOff>904240</xdr:rowOff>
    </xdr:to>
    <xdr:pic>
      <xdr:nvPicPr>
        <xdr:cNvPr id="4747" name="Изображение 4746" descr="resizeПП-00267610"/>
        <xdr:cNvPicPr>
          <a:picLocks noChangeAspect="1"/>
        </xdr:cNvPicPr>
      </xdr:nvPicPr>
      <xdr:blipFill>
        <a:blip xmlns:r="http://schemas.openxmlformats.org/officeDocument/2006/relationships" r:embed="rId509"/>
        <a:stretch>
          <a:fillRect/>
        </a:stretch>
      </xdr:blipFill>
      <xdr:spPr>
        <a:xfrm>
          <a:off x="7264400" y="695251975"/>
          <a:ext cx="1183640" cy="878840"/>
        </a:xfrm>
        <a:prstGeom prst="rect">
          <a:avLst/>
        </a:prstGeom>
      </xdr:spPr>
    </xdr:pic>
    <xdr:clientData/>
  </xdr:twoCellAnchor>
  <xdr:twoCellAnchor>
    <xdr:from>
      <xdr:col>8</xdr:col>
      <xdr:colOff>6350</xdr:colOff>
      <xdr:row>757</xdr:row>
      <xdr:rowOff>25400</xdr:rowOff>
    </xdr:from>
    <xdr:to>
      <xdr:col>8</xdr:col>
      <xdr:colOff>1189990</xdr:colOff>
      <xdr:row>757</xdr:row>
      <xdr:rowOff>904240</xdr:rowOff>
    </xdr:to>
    <xdr:pic>
      <xdr:nvPicPr>
        <xdr:cNvPr id="4748" name="Изображение 4747" descr="resizeПП-00267611"/>
        <xdr:cNvPicPr>
          <a:picLocks noChangeAspect="1"/>
        </xdr:cNvPicPr>
      </xdr:nvPicPr>
      <xdr:blipFill>
        <a:blip xmlns:r="http://schemas.openxmlformats.org/officeDocument/2006/relationships" r:embed="rId510"/>
        <a:stretch>
          <a:fillRect/>
        </a:stretch>
      </xdr:blipFill>
      <xdr:spPr>
        <a:xfrm>
          <a:off x="7264400" y="696474350"/>
          <a:ext cx="1183640" cy="878840"/>
        </a:xfrm>
        <a:prstGeom prst="rect">
          <a:avLst/>
        </a:prstGeom>
      </xdr:spPr>
    </xdr:pic>
    <xdr:clientData/>
  </xdr:twoCellAnchor>
  <xdr:twoCellAnchor>
    <xdr:from>
      <xdr:col>8</xdr:col>
      <xdr:colOff>6350</xdr:colOff>
      <xdr:row>758</xdr:row>
      <xdr:rowOff>25400</xdr:rowOff>
    </xdr:from>
    <xdr:to>
      <xdr:col>8</xdr:col>
      <xdr:colOff>1189990</xdr:colOff>
      <xdr:row>758</xdr:row>
      <xdr:rowOff>904240</xdr:rowOff>
    </xdr:to>
    <xdr:pic>
      <xdr:nvPicPr>
        <xdr:cNvPr id="4749" name="Изображение 4748" descr="resizeПП-00249877"/>
        <xdr:cNvPicPr>
          <a:picLocks noChangeAspect="1"/>
        </xdr:cNvPicPr>
      </xdr:nvPicPr>
      <xdr:blipFill>
        <a:blip xmlns:r="http://schemas.openxmlformats.org/officeDocument/2006/relationships" r:embed="rId511"/>
        <a:stretch>
          <a:fillRect/>
        </a:stretch>
      </xdr:blipFill>
      <xdr:spPr>
        <a:xfrm>
          <a:off x="7264400" y="697696725"/>
          <a:ext cx="1183640" cy="878840"/>
        </a:xfrm>
        <a:prstGeom prst="rect">
          <a:avLst/>
        </a:prstGeom>
      </xdr:spPr>
    </xdr:pic>
    <xdr:clientData/>
  </xdr:twoCellAnchor>
  <xdr:twoCellAnchor>
    <xdr:from>
      <xdr:col>8</xdr:col>
      <xdr:colOff>6350</xdr:colOff>
      <xdr:row>759</xdr:row>
      <xdr:rowOff>25400</xdr:rowOff>
    </xdr:from>
    <xdr:to>
      <xdr:col>8</xdr:col>
      <xdr:colOff>1189990</xdr:colOff>
      <xdr:row>759</xdr:row>
      <xdr:rowOff>904240</xdr:rowOff>
    </xdr:to>
    <xdr:pic>
      <xdr:nvPicPr>
        <xdr:cNvPr id="4750" name="Изображение 4749" descr="resizeПП-00249866"/>
        <xdr:cNvPicPr>
          <a:picLocks noChangeAspect="1"/>
        </xdr:cNvPicPr>
      </xdr:nvPicPr>
      <xdr:blipFill>
        <a:blip xmlns:r="http://schemas.openxmlformats.org/officeDocument/2006/relationships" r:embed="rId512"/>
        <a:stretch>
          <a:fillRect/>
        </a:stretch>
      </xdr:blipFill>
      <xdr:spPr>
        <a:xfrm>
          <a:off x="7264400" y="698919100"/>
          <a:ext cx="1183640" cy="878840"/>
        </a:xfrm>
        <a:prstGeom prst="rect">
          <a:avLst/>
        </a:prstGeom>
      </xdr:spPr>
    </xdr:pic>
    <xdr:clientData/>
  </xdr:twoCellAnchor>
  <xdr:twoCellAnchor>
    <xdr:from>
      <xdr:col>8</xdr:col>
      <xdr:colOff>6350</xdr:colOff>
      <xdr:row>760</xdr:row>
      <xdr:rowOff>25400</xdr:rowOff>
    </xdr:from>
    <xdr:to>
      <xdr:col>8</xdr:col>
      <xdr:colOff>885190</xdr:colOff>
      <xdr:row>760</xdr:row>
      <xdr:rowOff>1209040</xdr:rowOff>
    </xdr:to>
    <xdr:pic>
      <xdr:nvPicPr>
        <xdr:cNvPr id="4751" name="Изображение 4750" descr="resizeПП-00226325"/>
        <xdr:cNvPicPr>
          <a:picLocks noChangeAspect="1"/>
        </xdr:cNvPicPr>
      </xdr:nvPicPr>
      <xdr:blipFill>
        <a:blip xmlns:r="http://schemas.openxmlformats.org/officeDocument/2006/relationships" r:embed="rId513"/>
        <a:stretch>
          <a:fillRect/>
        </a:stretch>
      </xdr:blipFill>
      <xdr:spPr>
        <a:xfrm>
          <a:off x="7264400" y="700141475"/>
          <a:ext cx="878840" cy="1183640"/>
        </a:xfrm>
        <a:prstGeom prst="rect">
          <a:avLst/>
        </a:prstGeom>
      </xdr:spPr>
    </xdr:pic>
    <xdr:clientData/>
  </xdr:twoCellAnchor>
  <xdr:twoCellAnchor>
    <xdr:from>
      <xdr:col>8</xdr:col>
      <xdr:colOff>6350</xdr:colOff>
      <xdr:row>761</xdr:row>
      <xdr:rowOff>25400</xdr:rowOff>
    </xdr:from>
    <xdr:to>
      <xdr:col>8</xdr:col>
      <xdr:colOff>1189990</xdr:colOff>
      <xdr:row>761</xdr:row>
      <xdr:rowOff>904240</xdr:rowOff>
    </xdr:to>
    <xdr:pic>
      <xdr:nvPicPr>
        <xdr:cNvPr id="4752" name="Изображение 4751" descr="resizeПП-00267613"/>
        <xdr:cNvPicPr>
          <a:picLocks noChangeAspect="1"/>
        </xdr:cNvPicPr>
      </xdr:nvPicPr>
      <xdr:blipFill>
        <a:blip xmlns:r="http://schemas.openxmlformats.org/officeDocument/2006/relationships" r:embed="rId514"/>
        <a:stretch>
          <a:fillRect/>
        </a:stretch>
      </xdr:blipFill>
      <xdr:spPr>
        <a:xfrm>
          <a:off x="7264400" y="701363850"/>
          <a:ext cx="1183640" cy="878840"/>
        </a:xfrm>
        <a:prstGeom prst="rect">
          <a:avLst/>
        </a:prstGeom>
      </xdr:spPr>
    </xdr:pic>
    <xdr:clientData/>
  </xdr:twoCellAnchor>
  <xdr:twoCellAnchor>
    <xdr:from>
      <xdr:col>8</xdr:col>
      <xdr:colOff>6350</xdr:colOff>
      <xdr:row>762</xdr:row>
      <xdr:rowOff>25400</xdr:rowOff>
    </xdr:from>
    <xdr:to>
      <xdr:col>8</xdr:col>
      <xdr:colOff>1189990</xdr:colOff>
      <xdr:row>762</xdr:row>
      <xdr:rowOff>904240</xdr:rowOff>
    </xdr:to>
    <xdr:pic>
      <xdr:nvPicPr>
        <xdr:cNvPr id="4753" name="Изображение 4752" descr="resizeПП-00267606"/>
        <xdr:cNvPicPr>
          <a:picLocks noChangeAspect="1"/>
        </xdr:cNvPicPr>
      </xdr:nvPicPr>
      <xdr:blipFill>
        <a:blip xmlns:r="http://schemas.openxmlformats.org/officeDocument/2006/relationships" r:embed="rId515"/>
        <a:stretch>
          <a:fillRect/>
        </a:stretch>
      </xdr:blipFill>
      <xdr:spPr>
        <a:xfrm>
          <a:off x="7264400" y="702586225"/>
          <a:ext cx="1183640" cy="878840"/>
        </a:xfrm>
        <a:prstGeom prst="rect">
          <a:avLst/>
        </a:prstGeom>
      </xdr:spPr>
    </xdr:pic>
    <xdr:clientData/>
  </xdr:twoCellAnchor>
  <xdr:twoCellAnchor>
    <xdr:from>
      <xdr:col>8</xdr:col>
      <xdr:colOff>6350</xdr:colOff>
      <xdr:row>763</xdr:row>
      <xdr:rowOff>25400</xdr:rowOff>
    </xdr:from>
    <xdr:to>
      <xdr:col>8</xdr:col>
      <xdr:colOff>1189990</xdr:colOff>
      <xdr:row>763</xdr:row>
      <xdr:rowOff>904240</xdr:rowOff>
    </xdr:to>
    <xdr:pic>
      <xdr:nvPicPr>
        <xdr:cNvPr id="4754" name="Изображение 4753" descr="resizeПП-00267593"/>
        <xdr:cNvPicPr>
          <a:picLocks noChangeAspect="1"/>
        </xdr:cNvPicPr>
      </xdr:nvPicPr>
      <xdr:blipFill>
        <a:blip xmlns:r="http://schemas.openxmlformats.org/officeDocument/2006/relationships" r:embed="rId516"/>
        <a:stretch>
          <a:fillRect/>
        </a:stretch>
      </xdr:blipFill>
      <xdr:spPr>
        <a:xfrm>
          <a:off x="7264400" y="703808600"/>
          <a:ext cx="1183640" cy="878840"/>
        </a:xfrm>
        <a:prstGeom prst="rect">
          <a:avLst/>
        </a:prstGeom>
      </xdr:spPr>
    </xdr:pic>
    <xdr:clientData/>
  </xdr:twoCellAnchor>
  <xdr:twoCellAnchor>
    <xdr:from>
      <xdr:col>8</xdr:col>
      <xdr:colOff>6350</xdr:colOff>
      <xdr:row>764</xdr:row>
      <xdr:rowOff>25400</xdr:rowOff>
    </xdr:from>
    <xdr:to>
      <xdr:col>8</xdr:col>
      <xdr:colOff>1189990</xdr:colOff>
      <xdr:row>764</xdr:row>
      <xdr:rowOff>904240</xdr:rowOff>
    </xdr:to>
    <xdr:pic>
      <xdr:nvPicPr>
        <xdr:cNvPr id="4755" name="Изображение 4754" descr="resizeПП-00267595"/>
        <xdr:cNvPicPr>
          <a:picLocks noChangeAspect="1"/>
        </xdr:cNvPicPr>
      </xdr:nvPicPr>
      <xdr:blipFill>
        <a:blip xmlns:r="http://schemas.openxmlformats.org/officeDocument/2006/relationships" r:embed="rId517"/>
        <a:stretch>
          <a:fillRect/>
        </a:stretch>
      </xdr:blipFill>
      <xdr:spPr>
        <a:xfrm>
          <a:off x="7264400" y="705030975"/>
          <a:ext cx="1183640" cy="878840"/>
        </a:xfrm>
        <a:prstGeom prst="rect">
          <a:avLst/>
        </a:prstGeom>
      </xdr:spPr>
    </xdr:pic>
    <xdr:clientData/>
  </xdr:twoCellAnchor>
  <xdr:twoCellAnchor>
    <xdr:from>
      <xdr:col>8</xdr:col>
      <xdr:colOff>6350</xdr:colOff>
      <xdr:row>765</xdr:row>
      <xdr:rowOff>25400</xdr:rowOff>
    </xdr:from>
    <xdr:to>
      <xdr:col>8</xdr:col>
      <xdr:colOff>1189990</xdr:colOff>
      <xdr:row>765</xdr:row>
      <xdr:rowOff>904240</xdr:rowOff>
    </xdr:to>
    <xdr:pic>
      <xdr:nvPicPr>
        <xdr:cNvPr id="4756" name="Изображение 4755" descr="resizeПП-00267604"/>
        <xdr:cNvPicPr>
          <a:picLocks noChangeAspect="1"/>
        </xdr:cNvPicPr>
      </xdr:nvPicPr>
      <xdr:blipFill>
        <a:blip xmlns:r="http://schemas.openxmlformats.org/officeDocument/2006/relationships" r:embed="rId518"/>
        <a:stretch>
          <a:fillRect/>
        </a:stretch>
      </xdr:blipFill>
      <xdr:spPr>
        <a:xfrm>
          <a:off x="7264400" y="706253350"/>
          <a:ext cx="1183640" cy="878840"/>
        </a:xfrm>
        <a:prstGeom prst="rect">
          <a:avLst/>
        </a:prstGeom>
      </xdr:spPr>
    </xdr:pic>
    <xdr:clientData/>
  </xdr:twoCellAnchor>
  <xdr:twoCellAnchor>
    <xdr:from>
      <xdr:col>8</xdr:col>
      <xdr:colOff>6350</xdr:colOff>
      <xdr:row>766</xdr:row>
      <xdr:rowOff>25400</xdr:rowOff>
    </xdr:from>
    <xdr:to>
      <xdr:col>8</xdr:col>
      <xdr:colOff>1189990</xdr:colOff>
      <xdr:row>766</xdr:row>
      <xdr:rowOff>904240</xdr:rowOff>
    </xdr:to>
    <xdr:pic>
      <xdr:nvPicPr>
        <xdr:cNvPr id="4757" name="Изображение 4756" descr="resizeПП-00267603"/>
        <xdr:cNvPicPr>
          <a:picLocks noChangeAspect="1"/>
        </xdr:cNvPicPr>
      </xdr:nvPicPr>
      <xdr:blipFill>
        <a:blip xmlns:r="http://schemas.openxmlformats.org/officeDocument/2006/relationships" r:embed="rId519"/>
        <a:stretch>
          <a:fillRect/>
        </a:stretch>
      </xdr:blipFill>
      <xdr:spPr>
        <a:xfrm>
          <a:off x="7264400" y="707475725"/>
          <a:ext cx="1183640" cy="878840"/>
        </a:xfrm>
        <a:prstGeom prst="rect">
          <a:avLst/>
        </a:prstGeom>
      </xdr:spPr>
    </xdr:pic>
    <xdr:clientData/>
  </xdr:twoCellAnchor>
  <xdr:twoCellAnchor>
    <xdr:from>
      <xdr:col>8</xdr:col>
      <xdr:colOff>6350</xdr:colOff>
      <xdr:row>767</xdr:row>
      <xdr:rowOff>25400</xdr:rowOff>
    </xdr:from>
    <xdr:to>
      <xdr:col>8</xdr:col>
      <xdr:colOff>1189990</xdr:colOff>
      <xdr:row>767</xdr:row>
      <xdr:rowOff>904240</xdr:rowOff>
    </xdr:to>
    <xdr:pic>
      <xdr:nvPicPr>
        <xdr:cNvPr id="4758" name="Изображение 4757" descr="resizeПП-00267588"/>
        <xdr:cNvPicPr>
          <a:picLocks noChangeAspect="1"/>
        </xdr:cNvPicPr>
      </xdr:nvPicPr>
      <xdr:blipFill>
        <a:blip xmlns:r="http://schemas.openxmlformats.org/officeDocument/2006/relationships" r:embed="rId520"/>
        <a:stretch>
          <a:fillRect/>
        </a:stretch>
      </xdr:blipFill>
      <xdr:spPr>
        <a:xfrm>
          <a:off x="7264400" y="708698100"/>
          <a:ext cx="1183640" cy="878840"/>
        </a:xfrm>
        <a:prstGeom prst="rect">
          <a:avLst/>
        </a:prstGeom>
      </xdr:spPr>
    </xdr:pic>
    <xdr:clientData/>
  </xdr:twoCellAnchor>
  <xdr:twoCellAnchor>
    <xdr:from>
      <xdr:col>8</xdr:col>
      <xdr:colOff>6350</xdr:colOff>
      <xdr:row>768</xdr:row>
      <xdr:rowOff>25400</xdr:rowOff>
    </xdr:from>
    <xdr:to>
      <xdr:col>8</xdr:col>
      <xdr:colOff>1189990</xdr:colOff>
      <xdr:row>768</xdr:row>
      <xdr:rowOff>904240</xdr:rowOff>
    </xdr:to>
    <xdr:pic>
      <xdr:nvPicPr>
        <xdr:cNvPr id="4759" name="Изображение 4758" descr="resizeПП-00267599"/>
        <xdr:cNvPicPr>
          <a:picLocks noChangeAspect="1"/>
        </xdr:cNvPicPr>
      </xdr:nvPicPr>
      <xdr:blipFill>
        <a:blip xmlns:r="http://schemas.openxmlformats.org/officeDocument/2006/relationships" r:embed="rId521"/>
        <a:stretch>
          <a:fillRect/>
        </a:stretch>
      </xdr:blipFill>
      <xdr:spPr>
        <a:xfrm>
          <a:off x="7264400" y="709920475"/>
          <a:ext cx="1183640" cy="878840"/>
        </a:xfrm>
        <a:prstGeom prst="rect">
          <a:avLst/>
        </a:prstGeom>
      </xdr:spPr>
    </xdr:pic>
    <xdr:clientData/>
  </xdr:twoCellAnchor>
  <xdr:twoCellAnchor>
    <xdr:from>
      <xdr:col>8</xdr:col>
      <xdr:colOff>6350</xdr:colOff>
      <xdr:row>769</xdr:row>
      <xdr:rowOff>25400</xdr:rowOff>
    </xdr:from>
    <xdr:to>
      <xdr:col>8</xdr:col>
      <xdr:colOff>1189990</xdr:colOff>
      <xdr:row>769</xdr:row>
      <xdr:rowOff>904240</xdr:rowOff>
    </xdr:to>
    <xdr:pic>
      <xdr:nvPicPr>
        <xdr:cNvPr id="4760" name="Изображение 4759" descr="resizeПП-00267614"/>
        <xdr:cNvPicPr>
          <a:picLocks noChangeAspect="1"/>
        </xdr:cNvPicPr>
      </xdr:nvPicPr>
      <xdr:blipFill>
        <a:blip xmlns:r="http://schemas.openxmlformats.org/officeDocument/2006/relationships" r:embed="rId522"/>
        <a:stretch>
          <a:fillRect/>
        </a:stretch>
      </xdr:blipFill>
      <xdr:spPr>
        <a:xfrm>
          <a:off x="7264400" y="711142850"/>
          <a:ext cx="1183640" cy="878840"/>
        </a:xfrm>
        <a:prstGeom prst="rect">
          <a:avLst/>
        </a:prstGeom>
      </xdr:spPr>
    </xdr:pic>
    <xdr:clientData/>
  </xdr:twoCellAnchor>
  <xdr:twoCellAnchor>
    <xdr:from>
      <xdr:col>8</xdr:col>
      <xdr:colOff>6350</xdr:colOff>
      <xdr:row>770</xdr:row>
      <xdr:rowOff>25400</xdr:rowOff>
    </xdr:from>
    <xdr:to>
      <xdr:col>8</xdr:col>
      <xdr:colOff>1189990</xdr:colOff>
      <xdr:row>770</xdr:row>
      <xdr:rowOff>904240</xdr:rowOff>
    </xdr:to>
    <xdr:pic>
      <xdr:nvPicPr>
        <xdr:cNvPr id="4761" name="Изображение 4760" descr="resizeПП-00267601"/>
        <xdr:cNvPicPr>
          <a:picLocks noChangeAspect="1"/>
        </xdr:cNvPicPr>
      </xdr:nvPicPr>
      <xdr:blipFill>
        <a:blip xmlns:r="http://schemas.openxmlformats.org/officeDocument/2006/relationships" r:embed="rId523"/>
        <a:stretch>
          <a:fillRect/>
        </a:stretch>
      </xdr:blipFill>
      <xdr:spPr>
        <a:xfrm>
          <a:off x="7264400" y="712365225"/>
          <a:ext cx="1183640" cy="878840"/>
        </a:xfrm>
        <a:prstGeom prst="rect">
          <a:avLst/>
        </a:prstGeom>
      </xdr:spPr>
    </xdr:pic>
    <xdr:clientData/>
  </xdr:twoCellAnchor>
  <xdr:twoCellAnchor>
    <xdr:from>
      <xdr:col>8</xdr:col>
      <xdr:colOff>6350</xdr:colOff>
      <xdr:row>772</xdr:row>
      <xdr:rowOff>25400</xdr:rowOff>
    </xdr:from>
    <xdr:to>
      <xdr:col>8</xdr:col>
      <xdr:colOff>885190</xdr:colOff>
      <xdr:row>772</xdr:row>
      <xdr:rowOff>1209040</xdr:rowOff>
    </xdr:to>
    <xdr:pic>
      <xdr:nvPicPr>
        <xdr:cNvPr id="4762" name="Изображение 4761" descr="resizeПП-00271843"/>
        <xdr:cNvPicPr>
          <a:picLocks noChangeAspect="1"/>
        </xdr:cNvPicPr>
      </xdr:nvPicPr>
      <xdr:blipFill>
        <a:blip xmlns:r="http://schemas.openxmlformats.org/officeDocument/2006/relationships" r:embed="rId524"/>
        <a:stretch>
          <a:fillRect/>
        </a:stretch>
      </xdr:blipFill>
      <xdr:spPr>
        <a:xfrm>
          <a:off x="7264400" y="713740000"/>
          <a:ext cx="878840" cy="1183640"/>
        </a:xfrm>
        <a:prstGeom prst="rect">
          <a:avLst/>
        </a:prstGeom>
      </xdr:spPr>
    </xdr:pic>
    <xdr:clientData/>
  </xdr:twoCellAnchor>
  <xdr:twoCellAnchor>
    <xdr:from>
      <xdr:col>8</xdr:col>
      <xdr:colOff>6350</xdr:colOff>
      <xdr:row>773</xdr:row>
      <xdr:rowOff>25400</xdr:rowOff>
    </xdr:from>
    <xdr:to>
      <xdr:col>8</xdr:col>
      <xdr:colOff>885190</xdr:colOff>
      <xdr:row>773</xdr:row>
      <xdr:rowOff>1209040</xdr:rowOff>
    </xdr:to>
    <xdr:pic>
      <xdr:nvPicPr>
        <xdr:cNvPr id="4763" name="Изображение 4762" descr="resizeПП-00252296"/>
        <xdr:cNvPicPr>
          <a:picLocks noChangeAspect="1"/>
        </xdr:cNvPicPr>
      </xdr:nvPicPr>
      <xdr:blipFill>
        <a:blip xmlns:r="http://schemas.openxmlformats.org/officeDocument/2006/relationships" r:embed="rId525"/>
        <a:stretch>
          <a:fillRect/>
        </a:stretch>
      </xdr:blipFill>
      <xdr:spPr>
        <a:xfrm>
          <a:off x="7264400" y="714962375"/>
          <a:ext cx="878840" cy="1183640"/>
        </a:xfrm>
        <a:prstGeom prst="rect">
          <a:avLst/>
        </a:prstGeom>
      </xdr:spPr>
    </xdr:pic>
    <xdr:clientData/>
  </xdr:twoCellAnchor>
  <xdr:twoCellAnchor>
    <xdr:from>
      <xdr:col>8</xdr:col>
      <xdr:colOff>6350</xdr:colOff>
      <xdr:row>774</xdr:row>
      <xdr:rowOff>25400</xdr:rowOff>
    </xdr:from>
    <xdr:to>
      <xdr:col>8</xdr:col>
      <xdr:colOff>885190</xdr:colOff>
      <xdr:row>774</xdr:row>
      <xdr:rowOff>1209040</xdr:rowOff>
    </xdr:to>
    <xdr:pic>
      <xdr:nvPicPr>
        <xdr:cNvPr id="4764" name="Изображение 4763" descr="resizeПП-00271842"/>
        <xdr:cNvPicPr>
          <a:picLocks noChangeAspect="1"/>
        </xdr:cNvPicPr>
      </xdr:nvPicPr>
      <xdr:blipFill>
        <a:blip xmlns:r="http://schemas.openxmlformats.org/officeDocument/2006/relationships" r:embed="rId526"/>
        <a:stretch>
          <a:fillRect/>
        </a:stretch>
      </xdr:blipFill>
      <xdr:spPr>
        <a:xfrm>
          <a:off x="7264400" y="716184750"/>
          <a:ext cx="878840" cy="1183640"/>
        </a:xfrm>
        <a:prstGeom prst="rect">
          <a:avLst/>
        </a:prstGeom>
      </xdr:spPr>
    </xdr:pic>
    <xdr:clientData/>
  </xdr:twoCellAnchor>
  <xdr:twoCellAnchor>
    <xdr:from>
      <xdr:col>8</xdr:col>
      <xdr:colOff>6350</xdr:colOff>
      <xdr:row>775</xdr:row>
      <xdr:rowOff>25400</xdr:rowOff>
    </xdr:from>
    <xdr:to>
      <xdr:col>8</xdr:col>
      <xdr:colOff>885190</xdr:colOff>
      <xdr:row>775</xdr:row>
      <xdr:rowOff>1209040</xdr:rowOff>
    </xdr:to>
    <xdr:pic>
      <xdr:nvPicPr>
        <xdr:cNvPr id="4765" name="Изображение 4764" descr="resizeПП-00271840"/>
        <xdr:cNvPicPr>
          <a:picLocks noChangeAspect="1"/>
        </xdr:cNvPicPr>
      </xdr:nvPicPr>
      <xdr:blipFill>
        <a:blip xmlns:r="http://schemas.openxmlformats.org/officeDocument/2006/relationships" r:embed="rId527"/>
        <a:stretch>
          <a:fillRect/>
        </a:stretch>
      </xdr:blipFill>
      <xdr:spPr>
        <a:xfrm>
          <a:off x="7264400" y="717407125"/>
          <a:ext cx="878840" cy="1183640"/>
        </a:xfrm>
        <a:prstGeom prst="rect">
          <a:avLst/>
        </a:prstGeom>
      </xdr:spPr>
    </xdr:pic>
    <xdr:clientData/>
  </xdr:twoCellAnchor>
  <xdr:twoCellAnchor>
    <xdr:from>
      <xdr:col>8</xdr:col>
      <xdr:colOff>6350</xdr:colOff>
      <xdr:row>776</xdr:row>
      <xdr:rowOff>25400</xdr:rowOff>
    </xdr:from>
    <xdr:to>
      <xdr:col>8</xdr:col>
      <xdr:colOff>885190</xdr:colOff>
      <xdr:row>776</xdr:row>
      <xdr:rowOff>1209040</xdr:rowOff>
    </xdr:to>
    <xdr:pic>
      <xdr:nvPicPr>
        <xdr:cNvPr id="4766" name="Изображение 4765" descr="resizeПП-00252297"/>
        <xdr:cNvPicPr>
          <a:picLocks noChangeAspect="1"/>
        </xdr:cNvPicPr>
      </xdr:nvPicPr>
      <xdr:blipFill>
        <a:blip xmlns:r="http://schemas.openxmlformats.org/officeDocument/2006/relationships" r:embed="rId528"/>
        <a:stretch>
          <a:fillRect/>
        </a:stretch>
      </xdr:blipFill>
      <xdr:spPr>
        <a:xfrm>
          <a:off x="7264400" y="718629500"/>
          <a:ext cx="878840" cy="1183640"/>
        </a:xfrm>
        <a:prstGeom prst="rect">
          <a:avLst/>
        </a:prstGeom>
      </xdr:spPr>
    </xdr:pic>
    <xdr:clientData/>
  </xdr:twoCellAnchor>
  <xdr:twoCellAnchor>
    <xdr:from>
      <xdr:col>8</xdr:col>
      <xdr:colOff>6350</xdr:colOff>
      <xdr:row>777</xdr:row>
      <xdr:rowOff>25400</xdr:rowOff>
    </xdr:from>
    <xdr:to>
      <xdr:col>8</xdr:col>
      <xdr:colOff>885190</xdr:colOff>
      <xdr:row>777</xdr:row>
      <xdr:rowOff>1209040</xdr:rowOff>
    </xdr:to>
    <xdr:pic>
      <xdr:nvPicPr>
        <xdr:cNvPr id="4767" name="Изображение 4766" descr="resizeПП-00252298"/>
        <xdr:cNvPicPr>
          <a:picLocks noChangeAspect="1"/>
        </xdr:cNvPicPr>
      </xdr:nvPicPr>
      <xdr:blipFill>
        <a:blip xmlns:r="http://schemas.openxmlformats.org/officeDocument/2006/relationships" r:embed="rId529"/>
        <a:stretch>
          <a:fillRect/>
        </a:stretch>
      </xdr:blipFill>
      <xdr:spPr>
        <a:xfrm>
          <a:off x="7264400" y="719851875"/>
          <a:ext cx="878840" cy="1183640"/>
        </a:xfrm>
        <a:prstGeom prst="rect">
          <a:avLst/>
        </a:prstGeom>
      </xdr:spPr>
    </xdr:pic>
    <xdr:clientData/>
  </xdr:twoCellAnchor>
  <xdr:twoCellAnchor>
    <xdr:from>
      <xdr:col>8</xdr:col>
      <xdr:colOff>6350</xdr:colOff>
      <xdr:row>778</xdr:row>
      <xdr:rowOff>25400</xdr:rowOff>
    </xdr:from>
    <xdr:to>
      <xdr:col>8</xdr:col>
      <xdr:colOff>885190</xdr:colOff>
      <xdr:row>778</xdr:row>
      <xdr:rowOff>1209040</xdr:rowOff>
    </xdr:to>
    <xdr:pic>
      <xdr:nvPicPr>
        <xdr:cNvPr id="4768" name="Изображение 4767" descr="resizeПП-00252299"/>
        <xdr:cNvPicPr>
          <a:picLocks noChangeAspect="1"/>
        </xdr:cNvPicPr>
      </xdr:nvPicPr>
      <xdr:blipFill>
        <a:blip xmlns:r="http://schemas.openxmlformats.org/officeDocument/2006/relationships" r:embed="rId530"/>
        <a:stretch>
          <a:fillRect/>
        </a:stretch>
      </xdr:blipFill>
      <xdr:spPr>
        <a:xfrm>
          <a:off x="7264400" y="721074250"/>
          <a:ext cx="878840" cy="1183640"/>
        </a:xfrm>
        <a:prstGeom prst="rect">
          <a:avLst/>
        </a:prstGeom>
      </xdr:spPr>
    </xdr:pic>
    <xdr:clientData/>
  </xdr:twoCellAnchor>
  <xdr:twoCellAnchor>
    <xdr:from>
      <xdr:col>8</xdr:col>
      <xdr:colOff>6350</xdr:colOff>
      <xdr:row>779</xdr:row>
      <xdr:rowOff>25400</xdr:rowOff>
    </xdr:from>
    <xdr:to>
      <xdr:col>8</xdr:col>
      <xdr:colOff>885190</xdr:colOff>
      <xdr:row>779</xdr:row>
      <xdr:rowOff>1209040</xdr:rowOff>
    </xdr:to>
    <xdr:pic>
      <xdr:nvPicPr>
        <xdr:cNvPr id="4769" name="Изображение 4768" descr="resizeПП-00271844"/>
        <xdr:cNvPicPr>
          <a:picLocks noChangeAspect="1"/>
        </xdr:cNvPicPr>
      </xdr:nvPicPr>
      <xdr:blipFill>
        <a:blip xmlns:r="http://schemas.openxmlformats.org/officeDocument/2006/relationships" r:embed="rId531"/>
        <a:stretch>
          <a:fillRect/>
        </a:stretch>
      </xdr:blipFill>
      <xdr:spPr>
        <a:xfrm>
          <a:off x="7264400" y="722296625"/>
          <a:ext cx="878840" cy="1183640"/>
        </a:xfrm>
        <a:prstGeom prst="rect">
          <a:avLst/>
        </a:prstGeom>
      </xdr:spPr>
    </xdr:pic>
    <xdr:clientData/>
  </xdr:twoCellAnchor>
  <xdr:twoCellAnchor>
    <xdr:from>
      <xdr:col>8</xdr:col>
      <xdr:colOff>6350</xdr:colOff>
      <xdr:row>780</xdr:row>
      <xdr:rowOff>25400</xdr:rowOff>
    </xdr:from>
    <xdr:to>
      <xdr:col>8</xdr:col>
      <xdr:colOff>885190</xdr:colOff>
      <xdr:row>780</xdr:row>
      <xdr:rowOff>1209040</xdr:rowOff>
    </xdr:to>
    <xdr:pic>
      <xdr:nvPicPr>
        <xdr:cNvPr id="4770" name="Изображение 4769" descr="resizeПП-00230703"/>
        <xdr:cNvPicPr>
          <a:picLocks noChangeAspect="1"/>
        </xdr:cNvPicPr>
      </xdr:nvPicPr>
      <xdr:blipFill>
        <a:blip xmlns:r="http://schemas.openxmlformats.org/officeDocument/2006/relationships" r:embed="rId532"/>
        <a:stretch>
          <a:fillRect/>
        </a:stretch>
      </xdr:blipFill>
      <xdr:spPr>
        <a:xfrm>
          <a:off x="7264400" y="723519000"/>
          <a:ext cx="878840" cy="1183640"/>
        </a:xfrm>
        <a:prstGeom prst="rect">
          <a:avLst/>
        </a:prstGeom>
      </xdr:spPr>
    </xdr:pic>
    <xdr:clientData/>
  </xdr:twoCellAnchor>
  <xdr:twoCellAnchor>
    <xdr:from>
      <xdr:col>8</xdr:col>
      <xdr:colOff>6350</xdr:colOff>
      <xdr:row>784</xdr:row>
      <xdr:rowOff>25400</xdr:rowOff>
    </xdr:from>
    <xdr:to>
      <xdr:col>8</xdr:col>
      <xdr:colOff>885190</xdr:colOff>
      <xdr:row>784</xdr:row>
      <xdr:rowOff>1209040</xdr:rowOff>
    </xdr:to>
    <xdr:pic>
      <xdr:nvPicPr>
        <xdr:cNvPr id="4771" name="Изображение 4770" descr="resizeПП-00251216"/>
        <xdr:cNvPicPr>
          <a:picLocks noChangeAspect="1"/>
        </xdr:cNvPicPr>
      </xdr:nvPicPr>
      <xdr:blipFill>
        <a:blip xmlns:r="http://schemas.openxmlformats.org/officeDocument/2006/relationships" r:embed="rId533"/>
        <a:stretch>
          <a:fillRect/>
        </a:stretch>
      </xdr:blipFill>
      <xdr:spPr>
        <a:xfrm>
          <a:off x="7264400" y="725198575"/>
          <a:ext cx="878840" cy="1183640"/>
        </a:xfrm>
        <a:prstGeom prst="rect">
          <a:avLst/>
        </a:prstGeom>
      </xdr:spPr>
    </xdr:pic>
    <xdr:clientData/>
  </xdr:twoCellAnchor>
  <xdr:twoCellAnchor>
    <xdr:from>
      <xdr:col>8</xdr:col>
      <xdr:colOff>6350</xdr:colOff>
      <xdr:row>785</xdr:row>
      <xdr:rowOff>25400</xdr:rowOff>
    </xdr:from>
    <xdr:to>
      <xdr:col>8</xdr:col>
      <xdr:colOff>885190</xdr:colOff>
      <xdr:row>785</xdr:row>
      <xdr:rowOff>1209040</xdr:rowOff>
    </xdr:to>
    <xdr:pic>
      <xdr:nvPicPr>
        <xdr:cNvPr id="4772" name="Изображение 4771" descr="resizeПП-00251222"/>
        <xdr:cNvPicPr>
          <a:picLocks noChangeAspect="1"/>
        </xdr:cNvPicPr>
      </xdr:nvPicPr>
      <xdr:blipFill>
        <a:blip xmlns:r="http://schemas.openxmlformats.org/officeDocument/2006/relationships" r:embed="rId534"/>
        <a:stretch>
          <a:fillRect/>
        </a:stretch>
      </xdr:blipFill>
      <xdr:spPr>
        <a:xfrm>
          <a:off x="7264400" y="726420950"/>
          <a:ext cx="878840" cy="1183640"/>
        </a:xfrm>
        <a:prstGeom prst="rect">
          <a:avLst/>
        </a:prstGeom>
      </xdr:spPr>
    </xdr:pic>
    <xdr:clientData/>
  </xdr:twoCellAnchor>
  <xdr:twoCellAnchor>
    <xdr:from>
      <xdr:col>8</xdr:col>
      <xdr:colOff>6350</xdr:colOff>
      <xdr:row>786</xdr:row>
      <xdr:rowOff>25400</xdr:rowOff>
    </xdr:from>
    <xdr:to>
      <xdr:col>8</xdr:col>
      <xdr:colOff>885190</xdr:colOff>
      <xdr:row>786</xdr:row>
      <xdr:rowOff>1209040</xdr:rowOff>
    </xdr:to>
    <xdr:pic>
      <xdr:nvPicPr>
        <xdr:cNvPr id="4773" name="Изображение 4772" descr="resizeПП-00251225"/>
        <xdr:cNvPicPr>
          <a:picLocks noChangeAspect="1"/>
        </xdr:cNvPicPr>
      </xdr:nvPicPr>
      <xdr:blipFill>
        <a:blip xmlns:r="http://schemas.openxmlformats.org/officeDocument/2006/relationships" r:embed="rId535"/>
        <a:stretch>
          <a:fillRect/>
        </a:stretch>
      </xdr:blipFill>
      <xdr:spPr>
        <a:xfrm>
          <a:off x="7264400" y="727643325"/>
          <a:ext cx="878840" cy="1183640"/>
        </a:xfrm>
        <a:prstGeom prst="rect">
          <a:avLst/>
        </a:prstGeom>
      </xdr:spPr>
    </xdr:pic>
    <xdr:clientData/>
  </xdr:twoCellAnchor>
  <xdr:twoCellAnchor>
    <xdr:from>
      <xdr:col>8</xdr:col>
      <xdr:colOff>6350</xdr:colOff>
      <xdr:row>787</xdr:row>
      <xdr:rowOff>25400</xdr:rowOff>
    </xdr:from>
    <xdr:to>
      <xdr:col>8</xdr:col>
      <xdr:colOff>885190</xdr:colOff>
      <xdr:row>787</xdr:row>
      <xdr:rowOff>1209040</xdr:rowOff>
    </xdr:to>
    <xdr:pic>
      <xdr:nvPicPr>
        <xdr:cNvPr id="4774" name="Изображение 4773" descr="resizeПП-00251221"/>
        <xdr:cNvPicPr>
          <a:picLocks noChangeAspect="1"/>
        </xdr:cNvPicPr>
      </xdr:nvPicPr>
      <xdr:blipFill>
        <a:blip xmlns:r="http://schemas.openxmlformats.org/officeDocument/2006/relationships" r:embed="rId536"/>
        <a:stretch>
          <a:fillRect/>
        </a:stretch>
      </xdr:blipFill>
      <xdr:spPr>
        <a:xfrm>
          <a:off x="7264400" y="728865700"/>
          <a:ext cx="878840" cy="1183640"/>
        </a:xfrm>
        <a:prstGeom prst="rect">
          <a:avLst/>
        </a:prstGeom>
      </xdr:spPr>
    </xdr:pic>
    <xdr:clientData/>
  </xdr:twoCellAnchor>
  <xdr:twoCellAnchor>
    <xdr:from>
      <xdr:col>8</xdr:col>
      <xdr:colOff>6350</xdr:colOff>
      <xdr:row>788</xdr:row>
      <xdr:rowOff>25400</xdr:rowOff>
    </xdr:from>
    <xdr:to>
      <xdr:col>8</xdr:col>
      <xdr:colOff>885190</xdr:colOff>
      <xdr:row>788</xdr:row>
      <xdr:rowOff>1209040</xdr:rowOff>
    </xdr:to>
    <xdr:pic>
      <xdr:nvPicPr>
        <xdr:cNvPr id="4775" name="Изображение 4774" descr="resizeПП-00276139"/>
        <xdr:cNvPicPr>
          <a:picLocks noChangeAspect="1"/>
        </xdr:cNvPicPr>
      </xdr:nvPicPr>
      <xdr:blipFill>
        <a:blip xmlns:r="http://schemas.openxmlformats.org/officeDocument/2006/relationships" r:embed="rId537"/>
        <a:stretch>
          <a:fillRect/>
        </a:stretch>
      </xdr:blipFill>
      <xdr:spPr>
        <a:xfrm>
          <a:off x="7264400" y="730088075"/>
          <a:ext cx="878840" cy="1183640"/>
        </a:xfrm>
        <a:prstGeom prst="rect">
          <a:avLst/>
        </a:prstGeom>
      </xdr:spPr>
    </xdr:pic>
    <xdr:clientData/>
  </xdr:twoCellAnchor>
  <xdr:twoCellAnchor>
    <xdr:from>
      <xdr:col>8</xdr:col>
      <xdr:colOff>6350</xdr:colOff>
      <xdr:row>789</xdr:row>
      <xdr:rowOff>25400</xdr:rowOff>
    </xdr:from>
    <xdr:to>
      <xdr:col>8</xdr:col>
      <xdr:colOff>885190</xdr:colOff>
      <xdr:row>789</xdr:row>
      <xdr:rowOff>1209040</xdr:rowOff>
    </xdr:to>
    <xdr:pic>
      <xdr:nvPicPr>
        <xdr:cNvPr id="4776" name="Изображение 4775" descr="resizeПП-00276142"/>
        <xdr:cNvPicPr>
          <a:picLocks noChangeAspect="1"/>
        </xdr:cNvPicPr>
      </xdr:nvPicPr>
      <xdr:blipFill>
        <a:blip xmlns:r="http://schemas.openxmlformats.org/officeDocument/2006/relationships" r:embed="rId538"/>
        <a:stretch>
          <a:fillRect/>
        </a:stretch>
      </xdr:blipFill>
      <xdr:spPr>
        <a:xfrm>
          <a:off x="7264400" y="731310450"/>
          <a:ext cx="878840" cy="1183640"/>
        </a:xfrm>
        <a:prstGeom prst="rect">
          <a:avLst/>
        </a:prstGeom>
      </xdr:spPr>
    </xdr:pic>
    <xdr:clientData/>
  </xdr:twoCellAnchor>
  <xdr:twoCellAnchor>
    <xdr:from>
      <xdr:col>8</xdr:col>
      <xdr:colOff>6350</xdr:colOff>
      <xdr:row>790</xdr:row>
      <xdr:rowOff>25400</xdr:rowOff>
    </xdr:from>
    <xdr:to>
      <xdr:col>8</xdr:col>
      <xdr:colOff>885190</xdr:colOff>
      <xdr:row>790</xdr:row>
      <xdr:rowOff>1209040</xdr:rowOff>
    </xdr:to>
    <xdr:pic>
      <xdr:nvPicPr>
        <xdr:cNvPr id="4777" name="Изображение 4776" descr="resizeПП-00276140"/>
        <xdr:cNvPicPr>
          <a:picLocks noChangeAspect="1"/>
        </xdr:cNvPicPr>
      </xdr:nvPicPr>
      <xdr:blipFill>
        <a:blip xmlns:r="http://schemas.openxmlformats.org/officeDocument/2006/relationships" r:embed="rId539"/>
        <a:stretch>
          <a:fillRect/>
        </a:stretch>
      </xdr:blipFill>
      <xdr:spPr>
        <a:xfrm>
          <a:off x="7264400" y="732532825"/>
          <a:ext cx="878840" cy="1183640"/>
        </a:xfrm>
        <a:prstGeom prst="rect">
          <a:avLst/>
        </a:prstGeom>
      </xdr:spPr>
    </xdr:pic>
    <xdr:clientData/>
  </xdr:twoCellAnchor>
  <xdr:twoCellAnchor>
    <xdr:from>
      <xdr:col>8</xdr:col>
      <xdr:colOff>6350</xdr:colOff>
      <xdr:row>791</xdr:row>
      <xdr:rowOff>25400</xdr:rowOff>
    </xdr:from>
    <xdr:to>
      <xdr:col>8</xdr:col>
      <xdr:colOff>885190</xdr:colOff>
      <xdr:row>791</xdr:row>
      <xdr:rowOff>1209040</xdr:rowOff>
    </xdr:to>
    <xdr:pic>
      <xdr:nvPicPr>
        <xdr:cNvPr id="4778" name="Изображение 4777" descr="resizeПП-00251214"/>
        <xdr:cNvPicPr>
          <a:picLocks noChangeAspect="1"/>
        </xdr:cNvPicPr>
      </xdr:nvPicPr>
      <xdr:blipFill>
        <a:blip xmlns:r="http://schemas.openxmlformats.org/officeDocument/2006/relationships" r:embed="rId540"/>
        <a:stretch>
          <a:fillRect/>
        </a:stretch>
      </xdr:blipFill>
      <xdr:spPr>
        <a:xfrm>
          <a:off x="7264400" y="733755200"/>
          <a:ext cx="878840" cy="1183640"/>
        </a:xfrm>
        <a:prstGeom prst="rect">
          <a:avLst/>
        </a:prstGeom>
      </xdr:spPr>
    </xdr:pic>
    <xdr:clientData/>
  </xdr:twoCellAnchor>
  <xdr:twoCellAnchor>
    <xdr:from>
      <xdr:col>8</xdr:col>
      <xdr:colOff>6350</xdr:colOff>
      <xdr:row>792</xdr:row>
      <xdr:rowOff>25400</xdr:rowOff>
    </xdr:from>
    <xdr:to>
      <xdr:col>8</xdr:col>
      <xdr:colOff>885190</xdr:colOff>
      <xdr:row>792</xdr:row>
      <xdr:rowOff>1209040</xdr:rowOff>
    </xdr:to>
    <xdr:pic>
      <xdr:nvPicPr>
        <xdr:cNvPr id="4779" name="Изображение 4778" descr="resizeПП-00251206"/>
        <xdr:cNvPicPr>
          <a:picLocks noChangeAspect="1"/>
        </xdr:cNvPicPr>
      </xdr:nvPicPr>
      <xdr:blipFill>
        <a:blip xmlns:r="http://schemas.openxmlformats.org/officeDocument/2006/relationships" r:embed="rId541"/>
        <a:stretch>
          <a:fillRect/>
        </a:stretch>
      </xdr:blipFill>
      <xdr:spPr>
        <a:xfrm>
          <a:off x="7264400" y="734977575"/>
          <a:ext cx="878840" cy="1183640"/>
        </a:xfrm>
        <a:prstGeom prst="rect">
          <a:avLst/>
        </a:prstGeom>
      </xdr:spPr>
    </xdr:pic>
    <xdr:clientData/>
  </xdr:twoCellAnchor>
  <xdr:twoCellAnchor>
    <xdr:from>
      <xdr:col>8</xdr:col>
      <xdr:colOff>6350</xdr:colOff>
      <xdr:row>793</xdr:row>
      <xdr:rowOff>25400</xdr:rowOff>
    </xdr:from>
    <xdr:to>
      <xdr:col>8</xdr:col>
      <xdr:colOff>885190</xdr:colOff>
      <xdr:row>793</xdr:row>
      <xdr:rowOff>1209040</xdr:rowOff>
    </xdr:to>
    <xdr:pic>
      <xdr:nvPicPr>
        <xdr:cNvPr id="4780" name="Изображение 4779" descr="resizeПП-00276120"/>
        <xdr:cNvPicPr>
          <a:picLocks noChangeAspect="1"/>
        </xdr:cNvPicPr>
      </xdr:nvPicPr>
      <xdr:blipFill>
        <a:blip xmlns:r="http://schemas.openxmlformats.org/officeDocument/2006/relationships" r:embed="rId542"/>
        <a:stretch>
          <a:fillRect/>
        </a:stretch>
      </xdr:blipFill>
      <xdr:spPr>
        <a:xfrm>
          <a:off x="7264400" y="736199950"/>
          <a:ext cx="878840" cy="1183640"/>
        </a:xfrm>
        <a:prstGeom prst="rect">
          <a:avLst/>
        </a:prstGeom>
      </xdr:spPr>
    </xdr:pic>
    <xdr:clientData/>
  </xdr:twoCellAnchor>
  <xdr:twoCellAnchor>
    <xdr:from>
      <xdr:col>8</xdr:col>
      <xdr:colOff>6350</xdr:colOff>
      <xdr:row>794</xdr:row>
      <xdr:rowOff>25400</xdr:rowOff>
    </xdr:from>
    <xdr:to>
      <xdr:col>8</xdr:col>
      <xdr:colOff>885190</xdr:colOff>
      <xdr:row>794</xdr:row>
      <xdr:rowOff>1209040</xdr:rowOff>
    </xdr:to>
    <xdr:pic>
      <xdr:nvPicPr>
        <xdr:cNvPr id="4781" name="Изображение 4780" descr="resizeПП-00251219"/>
        <xdr:cNvPicPr>
          <a:picLocks noChangeAspect="1"/>
        </xdr:cNvPicPr>
      </xdr:nvPicPr>
      <xdr:blipFill>
        <a:blip xmlns:r="http://schemas.openxmlformats.org/officeDocument/2006/relationships" r:embed="rId543"/>
        <a:stretch>
          <a:fillRect/>
        </a:stretch>
      </xdr:blipFill>
      <xdr:spPr>
        <a:xfrm>
          <a:off x="7264400" y="737422325"/>
          <a:ext cx="878840" cy="1183640"/>
        </a:xfrm>
        <a:prstGeom prst="rect">
          <a:avLst/>
        </a:prstGeom>
      </xdr:spPr>
    </xdr:pic>
    <xdr:clientData/>
  </xdr:twoCellAnchor>
  <xdr:twoCellAnchor>
    <xdr:from>
      <xdr:col>8</xdr:col>
      <xdr:colOff>6350</xdr:colOff>
      <xdr:row>795</xdr:row>
      <xdr:rowOff>25400</xdr:rowOff>
    </xdr:from>
    <xdr:to>
      <xdr:col>8</xdr:col>
      <xdr:colOff>885190</xdr:colOff>
      <xdr:row>795</xdr:row>
      <xdr:rowOff>1209040</xdr:rowOff>
    </xdr:to>
    <xdr:pic>
      <xdr:nvPicPr>
        <xdr:cNvPr id="4782" name="Изображение 4781" descr="resizeПП-00251224"/>
        <xdr:cNvPicPr>
          <a:picLocks noChangeAspect="1"/>
        </xdr:cNvPicPr>
      </xdr:nvPicPr>
      <xdr:blipFill>
        <a:blip xmlns:r="http://schemas.openxmlformats.org/officeDocument/2006/relationships" r:embed="rId544"/>
        <a:stretch>
          <a:fillRect/>
        </a:stretch>
      </xdr:blipFill>
      <xdr:spPr>
        <a:xfrm>
          <a:off x="7264400" y="738644700"/>
          <a:ext cx="878840" cy="1183640"/>
        </a:xfrm>
        <a:prstGeom prst="rect">
          <a:avLst/>
        </a:prstGeom>
      </xdr:spPr>
    </xdr:pic>
    <xdr:clientData/>
  </xdr:twoCellAnchor>
  <xdr:twoCellAnchor>
    <xdr:from>
      <xdr:col>8</xdr:col>
      <xdr:colOff>6350</xdr:colOff>
      <xdr:row>796</xdr:row>
      <xdr:rowOff>25400</xdr:rowOff>
    </xdr:from>
    <xdr:to>
      <xdr:col>8</xdr:col>
      <xdr:colOff>885190</xdr:colOff>
      <xdr:row>796</xdr:row>
      <xdr:rowOff>1209040</xdr:rowOff>
    </xdr:to>
    <xdr:pic>
      <xdr:nvPicPr>
        <xdr:cNvPr id="4783" name="Изображение 4782" descr="resizeПП-00276143"/>
        <xdr:cNvPicPr>
          <a:picLocks noChangeAspect="1"/>
        </xdr:cNvPicPr>
      </xdr:nvPicPr>
      <xdr:blipFill>
        <a:blip xmlns:r="http://schemas.openxmlformats.org/officeDocument/2006/relationships" r:embed="rId545"/>
        <a:stretch>
          <a:fillRect/>
        </a:stretch>
      </xdr:blipFill>
      <xdr:spPr>
        <a:xfrm>
          <a:off x="7264400" y="739867075"/>
          <a:ext cx="878840" cy="1183640"/>
        </a:xfrm>
        <a:prstGeom prst="rect">
          <a:avLst/>
        </a:prstGeom>
      </xdr:spPr>
    </xdr:pic>
    <xdr:clientData/>
  </xdr:twoCellAnchor>
  <xdr:twoCellAnchor>
    <xdr:from>
      <xdr:col>8</xdr:col>
      <xdr:colOff>6350</xdr:colOff>
      <xdr:row>799</xdr:row>
      <xdr:rowOff>25400</xdr:rowOff>
    </xdr:from>
    <xdr:to>
      <xdr:col>8</xdr:col>
      <xdr:colOff>885190</xdr:colOff>
      <xdr:row>799</xdr:row>
      <xdr:rowOff>1209040</xdr:rowOff>
    </xdr:to>
    <xdr:pic>
      <xdr:nvPicPr>
        <xdr:cNvPr id="4784" name="Изображение 4783" descr="resizeПП-00272626"/>
        <xdr:cNvPicPr>
          <a:picLocks noChangeAspect="1"/>
        </xdr:cNvPicPr>
      </xdr:nvPicPr>
      <xdr:blipFill>
        <a:blip xmlns:r="http://schemas.openxmlformats.org/officeDocument/2006/relationships" r:embed="rId546"/>
        <a:stretch>
          <a:fillRect/>
        </a:stretch>
      </xdr:blipFill>
      <xdr:spPr>
        <a:xfrm>
          <a:off x="7264400" y="741394250"/>
          <a:ext cx="878840" cy="1183640"/>
        </a:xfrm>
        <a:prstGeom prst="rect">
          <a:avLst/>
        </a:prstGeom>
      </xdr:spPr>
    </xdr:pic>
    <xdr:clientData/>
  </xdr:twoCellAnchor>
  <xdr:twoCellAnchor>
    <xdr:from>
      <xdr:col>8</xdr:col>
      <xdr:colOff>6350</xdr:colOff>
      <xdr:row>800</xdr:row>
      <xdr:rowOff>25400</xdr:rowOff>
    </xdr:from>
    <xdr:to>
      <xdr:col>8</xdr:col>
      <xdr:colOff>885190</xdr:colOff>
      <xdr:row>800</xdr:row>
      <xdr:rowOff>1209040</xdr:rowOff>
    </xdr:to>
    <xdr:pic>
      <xdr:nvPicPr>
        <xdr:cNvPr id="4785" name="Изображение 4784" descr="resizeПП-00272625"/>
        <xdr:cNvPicPr>
          <a:picLocks noChangeAspect="1"/>
        </xdr:cNvPicPr>
      </xdr:nvPicPr>
      <xdr:blipFill>
        <a:blip xmlns:r="http://schemas.openxmlformats.org/officeDocument/2006/relationships" r:embed="rId547"/>
        <a:stretch>
          <a:fillRect/>
        </a:stretch>
      </xdr:blipFill>
      <xdr:spPr>
        <a:xfrm>
          <a:off x="7264400" y="742616625"/>
          <a:ext cx="878840" cy="1183640"/>
        </a:xfrm>
        <a:prstGeom prst="rect">
          <a:avLst/>
        </a:prstGeom>
      </xdr:spPr>
    </xdr:pic>
    <xdr:clientData/>
  </xdr:twoCellAnchor>
  <xdr:twoCellAnchor>
    <xdr:from>
      <xdr:col>8</xdr:col>
      <xdr:colOff>6350</xdr:colOff>
      <xdr:row>801</xdr:row>
      <xdr:rowOff>25400</xdr:rowOff>
    </xdr:from>
    <xdr:to>
      <xdr:col>8</xdr:col>
      <xdr:colOff>885190</xdr:colOff>
      <xdr:row>801</xdr:row>
      <xdr:rowOff>1209040</xdr:rowOff>
    </xdr:to>
    <xdr:pic>
      <xdr:nvPicPr>
        <xdr:cNvPr id="4786" name="Изображение 4785" descr="resizeПП-00272624"/>
        <xdr:cNvPicPr>
          <a:picLocks noChangeAspect="1"/>
        </xdr:cNvPicPr>
      </xdr:nvPicPr>
      <xdr:blipFill>
        <a:blip xmlns:r="http://schemas.openxmlformats.org/officeDocument/2006/relationships" r:embed="rId548"/>
        <a:stretch>
          <a:fillRect/>
        </a:stretch>
      </xdr:blipFill>
      <xdr:spPr>
        <a:xfrm>
          <a:off x="7264400" y="743839000"/>
          <a:ext cx="878840" cy="1183640"/>
        </a:xfrm>
        <a:prstGeom prst="rect">
          <a:avLst/>
        </a:prstGeom>
      </xdr:spPr>
    </xdr:pic>
    <xdr:clientData/>
  </xdr:twoCellAnchor>
  <xdr:twoCellAnchor>
    <xdr:from>
      <xdr:col>8</xdr:col>
      <xdr:colOff>6350</xdr:colOff>
      <xdr:row>802</xdr:row>
      <xdr:rowOff>25400</xdr:rowOff>
    </xdr:from>
    <xdr:to>
      <xdr:col>8</xdr:col>
      <xdr:colOff>885190</xdr:colOff>
      <xdr:row>802</xdr:row>
      <xdr:rowOff>1209040</xdr:rowOff>
    </xdr:to>
    <xdr:pic>
      <xdr:nvPicPr>
        <xdr:cNvPr id="4787" name="Изображение 4786" descr="resizeПП-00201815"/>
        <xdr:cNvPicPr>
          <a:picLocks noChangeAspect="1"/>
        </xdr:cNvPicPr>
      </xdr:nvPicPr>
      <xdr:blipFill>
        <a:blip xmlns:r="http://schemas.openxmlformats.org/officeDocument/2006/relationships" r:embed="rId549"/>
        <a:stretch>
          <a:fillRect/>
        </a:stretch>
      </xdr:blipFill>
      <xdr:spPr>
        <a:xfrm>
          <a:off x="7264400" y="745061375"/>
          <a:ext cx="878840" cy="1183640"/>
        </a:xfrm>
        <a:prstGeom prst="rect">
          <a:avLst/>
        </a:prstGeom>
      </xdr:spPr>
    </xdr:pic>
    <xdr:clientData/>
  </xdr:twoCellAnchor>
  <xdr:twoCellAnchor>
    <xdr:from>
      <xdr:col>8</xdr:col>
      <xdr:colOff>6350</xdr:colOff>
      <xdr:row>803</xdr:row>
      <xdr:rowOff>25400</xdr:rowOff>
    </xdr:from>
    <xdr:to>
      <xdr:col>8</xdr:col>
      <xdr:colOff>885190</xdr:colOff>
      <xdr:row>803</xdr:row>
      <xdr:rowOff>1209040</xdr:rowOff>
    </xdr:to>
    <xdr:pic>
      <xdr:nvPicPr>
        <xdr:cNvPr id="4788" name="Изображение 4787" descr="resizeПП-00201814"/>
        <xdr:cNvPicPr>
          <a:picLocks noChangeAspect="1"/>
        </xdr:cNvPicPr>
      </xdr:nvPicPr>
      <xdr:blipFill>
        <a:blip xmlns:r="http://schemas.openxmlformats.org/officeDocument/2006/relationships" r:embed="rId550"/>
        <a:stretch>
          <a:fillRect/>
        </a:stretch>
      </xdr:blipFill>
      <xdr:spPr>
        <a:xfrm>
          <a:off x="7264400" y="746283750"/>
          <a:ext cx="878840" cy="1183640"/>
        </a:xfrm>
        <a:prstGeom prst="rect">
          <a:avLst/>
        </a:prstGeom>
      </xdr:spPr>
    </xdr:pic>
    <xdr:clientData/>
  </xdr:twoCellAnchor>
  <xdr:twoCellAnchor>
    <xdr:from>
      <xdr:col>8</xdr:col>
      <xdr:colOff>6350</xdr:colOff>
      <xdr:row>804</xdr:row>
      <xdr:rowOff>25400</xdr:rowOff>
    </xdr:from>
    <xdr:to>
      <xdr:col>8</xdr:col>
      <xdr:colOff>885190</xdr:colOff>
      <xdr:row>804</xdr:row>
      <xdr:rowOff>1209040</xdr:rowOff>
    </xdr:to>
    <xdr:pic>
      <xdr:nvPicPr>
        <xdr:cNvPr id="4789" name="Изображение 4788" descr="resizeПП-00201813"/>
        <xdr:cNvPicPr>
          <a:picLocks noChangeAspect="1"/>
        </xdr:cNvPicPr>
      </xdr:nvPicPr>
      <xdr:blipFill>
        <a:blip xmlns:r="http://schemas.openxmlformats.org/officeDocument/2006/relationships" r:embed="rId551"/>
        <a:stretch>
          <a:fillRect/>
        </a:stretch>
      </xdr:blipFill>
      <xdr:spPr>
        <a:xfrm>
          <a:off x="7264400" y="747506125"/>
          <a:ext cx="878840" cy="1183640"/>
        </a:xfrm>
        <a:prstGeom prst="rect">
          <a:avLst/>
        </a:prstGeom>
      </xdr:spPr>
    </xdr:pic>
    <xdr:clientData/>
  </xdr:twoCellAnchor>
  <xdr:twoCellAnchor>
    <xdr:from>
      <xdr:col>8</xdr:col>
      <xdr:colOff>6350</xdr:colOff>
      <xdr:row>806</xdr:row>
      <xdr:rowOff>25400</xdr:rowOff>
    </xdr:from>
    <xdr:to>
      <xdr:col>8</xdr:col>
      <xdr:colOff>885190</xdr:colOff>
      <xdr:row>806</xdr:row>
      <xdr:rowOff>1209040</xdr:rowOff>
    </xdr:to>
    <xdr:pic>
      <xdr:nvPicPr>
        <xdr:cNvPr id="4790" name="Изображение 4789" descr="resizeПП-00272597"/>
        <xdr:cNvPicPr>
          <a:picLocks noChangeAspect="1"/>
        </xdr:cNvPicPr>
      </xdr:nvPicPr>
      <xdr:blipFill>
        <a:blip xmlns:r="http://schemas.openxmlformats.org/officeDocument/2006/relationships" r:embed="rId552"/>
        <a:stretch>
          <a:fillRect/>
        </a:stretch>
      </xdr:blipFill>
      <xdr:spPr>
        <a:xfrm>
          <a:off x="7264400" y="748880900"/>
          <a:ext cx="878840" cy="1183640"/>
        </a:xfrm>
        <a:prstGeom prst="rect">
          <a:avLst/>
        </a:prstGeom>
      </xdr:spPr>
    </xdr:pic>
    <xdr:clientData/>
  </xdr:twoCellAnchor>
  <xdr:twoCellAnchor>
    <xdr:from>
      <xdr:col>8</xdr:col>
      <xdr:colOff>6350</xdr:colOff>
      <xdr:row>807</xdr:row>
      <xdr:rowOff>25400</xdr:rowOff>
    </xdr:from>
    <xdr:to>
      <xdr:col>8</xdr:col>
      <xdr:colOff>885190</xdr:colOff>
      <xdr:row>807</xdr:row>
      <xdr:rowOff>1209040</xdr:rowOff>
    </xdr:to>
    <xdr:pic>
      <xdr:nvPicPr>
        <xdr:cNvPr id="4791" name="Изображение 4790" descr="resizeПП-00251762"/>
        <xdr:cNvPicPr>
          <a:picLocks noChangeAspect="1"/>
        </xdr:cNvPicPr>
      </xdr:nvPicPr>
      <xdr:blipFill>
        <a:blip xmlns:r="http://schemas.openxmlformats.org/officeDocument/2006/relationships" r:embed="rId553"/>
        <a:stretch>
          <a:fillRect/>
        </a:stretch>
      </xdr:blipFill>
      <xdr:spPr>
        <a:xfrm>
          <a:off x="7264400" y="750103275"/>
          <a:ext cx="878840" cy="1183640"/>
        </a:xfrm>
        <a:prstGeom prst="rect">
          <a:avLst/>
        </a:prstGeom>
      </xdr:spPr>
    </xdr:pic>
    <xdr:clientData/>
  </xdr:twoCellAnchor>
  <xdr:twoCellAnchor>
    <xdr:from>
      <xdr:col>8</xdr:col>
      <xdr:colOff>6350</xdr:colOff>
      <xdr:row>808</xdr:row>
      <xdr:rowOff>25400</xdr:rowOff>
    </xdr:from>
    <xdr:to>
      <xdr:col>8</xdr:col>
      <xdr:colOff>885190</xdr:colOff>
      <xdr:row>808</xdr:row>
      <xdr:rowOff>1209040</xdr:rowOff>
    </xdr:to>
    <xdr:pic>
      <xdr:nvPicPr>
        <xdr:cNvPr id="4792" name="Изображение 4791" descr="resizeПП-00251763"/>
        <xdr:cNvPicPr>
          <a:picLocks noChangeAspect="1"/>
        </xdr:cNvPicPr>
      </xdr:nvPicPr>
      <xdr:blipFill>
        <a:blip xmlns:r="http://schemas.openxmlformats.org/officeDocument/2006/relationships" r:embed="rId554"/>
        <a:stretch>
          <a:fillRect/>
        </a:stretch>
      </xdr:blipFill>
      <xdr:spPr>
        <a:xfrm>
          <a:off x="7264400" y="751325650"/>
          <a:ext cx="878840" cy="1183640"/>
        </a:xfrm>
        <a:prstGeom prst="rect">
          <a:avLst/>
        </a:prstGeom>
      </xdr:spPr>
    </xdr:pic>
    <xdr:clientData/>
  </xdr:twoCellAnchor>
  <xdr:twoCellAnchor>
    <xdr:from>
      <xdr:col>8</xdr:col>
      <xdr:colOff>6350</xdr:colOff>
      <xdr:row>809</xdr:row>
      <xdr:rowOff>25400</xdr:rowOff>
    </xdr:from>
    <xdr:to>
      <xdr:col>8</xdr:col>
      <xdr:colOff>885190</xdr:colOff>
      <xdr:row>809</xdr:row>
      <xdr:rowOff>1209040</xdr:rowOff>
    </xdr:to>
    <xdr:pic>
      <xdr:nvPicPr>
        <xdr:cNvPr id="4793" name="Изображение 4792" descr="resizeПП-00251761"/>
        <xdr:cNvPicPr>
          <a:picLocks noChangeAspect="1"/>
        </xdr:cNvPicPr>
      </xdr:nvPicPr>
      <xdr:blipFill>
        <a:blip xmlns:r="http://schemas.openxmlformats.org/officeDocument/2006/relationships" r:embed="rId555"/>
        <a:stretch>
          <a:fillRect/>
        </a:stretch>
      </xdr:blipFill>
      <xdr:spPr>
        <a:xfrm>
          <a:off x="7264400" y="752548025"/>
          <a:ext cx="878840" cy="1183640"/>
        </a:xfrm>
        <a:prstGeom prst="rect">
          <a:avLst/>
        </a:prstGeom>
      </xdr:spPr>
    </xdr:pic>
    <xdr:clientData/>
  </xdr:twoCellAnchor>
  <xdr:twoCellAnchor>
    <xdr:from>
      <xdr:col>8</xdr:col>
      <xdr:colOff>6350</xdr:colOff>
      <xdr:row>810</xdr:row>
      <xdr:rowOff>25400</xdr:rowOff>
    </xdr:from>
    <xdr:to>
      <xdr:col>8</xdr:col>
      <xdr:colOff>885190</xdr:colOff>
      <xdr:row>810</xdr:row>
      <xdr:rowOff>1209040</xdr:rowOff>
    </xdr:to>
    <xdr:pic>
      <xdr:nvPicPr>
        <xdr:cNvPr id="4794" name="Изображение 4793" descr="resizeПП-00251759"/>
        <xdr:cNvPicPr>
          <a:picLocks noChangeAspect="1"/>
        </xdr:cNvPicPr>
      </xdr:nvPicPr>
      <xdr:blipFill>
        <a:blip xmlns:r="http://schemas.openxmlformats.org/officeDocument/2006/relationships" r:embed="rId556"/>
        <a:stretch>
          <a:fillRect/>
        </a:stretch>
      </xdr:blipFill>
      <xdr:spPr>
        <a:xfrm>
          <a:off x="7264400" y="753770400"/>
          <a:ext cx="878840" cy="1183640"/>
        </a:xfrm>
        <a:prstGeom prst="rect">
          <a:avLst/>
        </a:prstGeom>
      </xdr:spPr>
    </xdr:pic>
    <xdr:clientData/>
  </xdr:twoCellAnchor>
  <xdr:twoCellAnchor>
    <xdr:from>
      <xdr:col>8</xdr:col>
      <xdr:colOff>6350</xdr:colOff>
      <xdr:row>812</xdr:row>
      <xdr:rowOff>25400</xdr:rowOff>
    </xdr:from>
    <xdr:to>
      <xdr:col>8</xdr:col>
      <xdr:colOff>885190</xdr:colOff>
      <xdr:row>812</xdr:row>
      <xdr:rowOff>1209040</xdr:rowOff>
    </xdr:to>
    <xdr:pic>
      <xdr:nvPicPr>
        <xdr:cNvPr id="4795" name="Изображение 4794" descr="resizeПП-00272594"/>
        <xdr:cNvPicPr>
          <a:picLocks noChangeAspect="1"/>
        </xdr:cNvPicPr>
      </xdr:nvPicPr>
      <xdr:blipFill>
        <a:blip xmlns:r="http://schemas.openxmlformats.org/officeDocument/2006/relationships" r:embed="rId557"/>
        <a:stretch>
          <a:fillRect/>
        </a:stretch>
      </xdr:blipFill>
      <xdr:spPr>
        <a:xfrm>
          <a:off x="7264400" y="755145175"/>
          <a:ext cx="878840" cy="1183640"/>
        </a:xfrm>
        <a:prstGeom prst="rect">
          <a:avLst/>
        </a:prstGeom>
      </xdr:spPr>
    </xdr:pic>
    <xdr:clientData/>
  </xdr:twoCellAnchor>
  <xdr:twoCellAnchor>
    <xdr:from>
      <xdr:col>8</xdr:col>
      <xdr:colOff>6350</xdr:colOff>
      <xdr:row>813</xdr:row>
      <xdr:rowOff>25400</xdr:rowOff>
    </xdr:from>
    <xdr:to>
      <xdr:col>8</xdr:col>
      <xdr:colOff>885190</xdr:colOff>
      <xdr:row>813</xdr:row>
      <xdr:rowOff>1209040</xdr:rowOff>
    </xdr:to>
    <xdr:pic>
      <xdr:nvPicPr>
        <xdr:cNvPr id="4796" name="Изображение 4795" descr="resizeПП-00272674"/>
        <xdr:cNvPicPr>
          <a:picLocks noChangeAspect="1"/>
        </xdr:cNvPicPr>
      </xdr:nvPicPr>
      <xdr:blipFill>
        <a:blip xmlns:r="http://schemas.openxmlformats.org/officeDocument/2006/relationships" r:embed="rId558"/>
        <a:stretch>
          <a:fillRect/>
        </a:stretch>
      </xdr:blipFill>
      <xdr:spPr>
        <a:xfrm>
          <a:off x="7264400" y="756367550"/>
          <a:ext cx="878840" cy="1183640"/>
        </a:xfrm>
        <a:prstGeom prst="rect">
          <a:avLst/>
        </a:prstGeom>
      </xdr:spPr>
    </xdr:pic>
    <xdr:clientData/>
  </xdr:twoCellAnchor>
  <xdr:twoCellAnchor>
    <xdr:from>
      <xdr:col>8</xdr:col>
      <xdr:colOff>6350</xdr:colOff>
      <xdr:row>814</xdr:row>
      <xdr:rowOff>25400</xdr:rowOff>
    </xdr:from>
    <xdr:to>
      <xdr:col>8</xdr:col>
      <xdr:colOff>885190</xdr:colOff>
      <xdr:row>814</xdr:row>
      <xdr:rowOff>1209040</xdr:rowOff>
    </xdr:to>
    <xdr:pic>
      <xdr:nvPicPr>
        <xdr:cNvPr id="4797" name="Изображение 4796" descr="resizeПП-00251758"/>
        <xdr:cNvPicPr>
          <a:picLocks noChangeAspect="1"/>
        </xdr:cNvPicPr>
      </xdr:nvPicPr>
      <xdr:blipFill>
        <a:blip xmlns:r="http://schemas.openxmlformats.org/officeDocument/2006/relationships" r:embed="rId559"/>
        <a:stretch>
          <a:fillRect/>
        </a:stretch>
      </xdr:blipFill>
      <xdr:spPr>
        <a:xfrm>
          <a:off x="7264400" y="757589925"/>
          <a:ext cx="878840" cy="1183640"/>
        </a:xfrm>
        <a:prstGeom prst="rect">
          <a:avLst/>
        </a:prstGeom>
      </xdr:spPr>
    </xdr:pic>
    <xdr:clientData/>
  </xdr:twoCellAnchor>
  <xdr:twoCellAnchor>
    <xdr:from>
      <xdr:col>8</xdr:col>
      <xdr:colOff>6350</xdr:colOff>
      <xdr:row>815</xdr:row>
      <xdr:rowOff>25400</xdr:rowOff>
    </xdr:from>
    <xdr:to>
      <xdr:col>8</xdr:col>
      <xdr:colOff>885190</xdr:colOff>
      <xdr:row>815</xdr:row>
      <xdr:rowOff>1209040</xdr:rowOff>
    </xdr:to>
    <xdr:pic>
      <xdr:nvPicPr>
        <xdr:cNvPr id="4798" name="Изображение 4797" descr="resizeПП-00251757"/>
        <xdr:cNvPicPr>
          <a:picLocks noChangeAspect="1"/>
        </xdr:cNvPicPr>
      </xdr:nvPicPr>
      <xdr:blipFill>
        <a:blip xmlns:r="http://schemas.openxmlformats.org/officeDocument/2006/relationships" r:embed="rId560"/>
        <a:stretch>
          <a:fillRect/>
        </a:stretch>
      </xdr:blipFill>
      <xdr:spPr>
        <a:xfrm>
          <a:off x="7264400" y="758812300"/>
          <a:ext cx="878840" cy="1183640"/>
        </a:xfrm>
        <a:prstGeom prst="rect">
          <a:avLst/>
        </a:prstGeom>
      </xdr:spPr>
    </xdr:pic>
    <xdr:clientData/>
  </xdr:twoCellAnchor>
  <xdr:twoCellAnchor>
    <xdr:from>
      <xdr:col>8</xdr:col>
      <xdr:colOff>6350</xdr:colOff>
      <xdr:row>817</xdr:row>
      <xdr:rowOff>25400</xdr:rowOff>
    </xdr:from>
    <xdr:to>
      <xdr:col>8</xdr:col>
      <xdr:colOff>885190</xdr:colOff>
      <xdr:row>817</xdr:row>
      <xdr:rowOff>1209040</xdr:rowOff>
    </xdr:to>
    <xdr:pic>
      <xdr:nvPicPr>
        <xdr:cNvPr id="4799" name="Изображение 4798" descr="resizeПП-00272643"/>
        <xdr:cNvPicPr>
          <a:picLocks noChangeAspect="1"/>
        </xdr:cNvPicPr>
      </xdr:nvPicPr>
      <xdr:blipFill>
        <a:blip xmlns:r="http://schemas.openxmlformats.org/officeDocument/2006/relationships" r:embed="rId561"/>
        <a:stretch>
          <a:fillRect/>
        </a:stretch>
      </xdr:blipFill>
      <xdr:spPr>
        <a:xfrm>
          <a:off x="7264400" y="760187075"/>
          <a:ext cx="878840" cy="1183640"/>
        </a:xfrm>
        <a:prstGeom prst="rect">
          <a:avLst/>
        </a:prstGeom>
      </xdr:spPr>
    </xdr:pic>
    <xdr:clientData/>
  </xdr:twoCellAnchor>
  <xdr:twoCellAnchor>
    <xdr:from>
      <xdr:col>8</xdr:col>
      <xdr:colOff>6350</xdr:colOff>
      <xdr:row>818</xdr:row>
      <xdr:rowOff>25400</xdr:rowOff>
    </xdr:from>
    <xdr:to>
      <xdr:col>8</xdr:col>
      <xdr:colOff>885190</xdr:colOff>
      <xdr:row>818</xdr:row>
      <xdr:rowOff>1209040</xdr:rowOff>
    </xdr:to>
    <xdr:pic>
      <xdr:nvPicPr>
        <xdr:cNvPr id="4800" name="Изображение 4799" descr="resizeПП-00272648"/>
        <xdr:cNvPicPr>
          <a:picLocks noChangeAspect="1"/>
        </xdr:cNvPicPr>
      </xdr:nvPicPr>
      <xdr:blipFill>
        <a:blip xmlns:r="http://schemas.openxmlformats.org/officeDocument/2006/relationships" r:embed="rId562"/>
        <a:stretch>
          <a:fillRect/>
        </a:stretch>
      </xdr:blipFill>
      <xdr:spPr>
        <a:xfrm>
          <a:off x="7264400" y="761409450"/>
          <a:ext cx="878840" cy="1183640"/>
        </a:xfrm>
        <a:prstGeom prst="rect">
          <a:avLst/>
        </a:prstGeom>
      </xdr:spPr>
    </xdr:pic>
    <xdr:clientData/>
  </xdr:twoCellAnchor>
  <xdr:twoCellAnchor>
    <xdr:from>
      <xdr:col>8</xdr:col>
      <xdr:colOff>6350</xdr:colOff>
      <xdr:row>819</xdr:row>
      <xdr:rowOff>25400</xdr:rowOff>
    </xdr:from>
    <xdr:to>
      <xdr:col>8</xdr:col>
      <xdr:colOff>885190</xdr:colOff>
      <xdr:row>819</xdr:row>
      <xdr:rowOff>1209040</xdr:rowOff>
    </xdr:to>
    <xdr:pic>
      <xdr:nvPicPr>
        <xdr:cNvPr id="4801" name="Изображение 4800" descr="resizeПП-00272645"/>
        <xdr:cNvPicPr>
          <a:picLocks noChangeAspect="1"/>
        </xdr:cNvPicPr>
      </xdr:nvPicPr>
      <xdr:blipFill>
        <a:blip xmlns:r="http://schemas.openxmlformats.org/officeDocument/2006/relationships" r:embed="rId563"/>
        <a:stretch>
          <a:fillRect/>
        </a:stretch>
      </xdr:blipFill>
      <xdr:spPr>
        <a:xfrm>
          <a:off x="7264400" y="762631825"/>
          <a:ext cx="878840" cy="1183640"/>
        </a:xfrm>
        <a:prstGeom prst="rect">
          <a:avLst/>
        </a:prstGeom>
      </xdr:spPr>
    </xdr:pic>
    <xdr:clientData/>
  </xdr:twoCellAnchor>
  <xdr:twoCellAnchor>
    <xdr:from>
      <xdr:col>8</xdr:col>
      <xdr:colOff>6350</xdr:colOff>
      <xdr:row>820</xdr:row>
      <xdr:rowOff>25400</xdr:rowOff>
    </xdr:from>
    <xdr:to>
      <xdr:col>8</xdr:col>
      <xdr:colOff>885190</xdr:colOff>
      <xdr:row>820</xdr:row>
      <xdr:rowOff>1209040</xdr:rowOff>
    </xdr:to>
    <xdr:pic>
      <xdr:nvPicPr>
        <xdr:cNvPr id="4802" name="Изображение 4801" descr="resizeПП-00272653"/>
        <xdr:cNvPicPr>
          <a:picLocks noChangeAspect="1"/>
        </xdr:cNvPicPr>
      </xdr:nvPicPr>
      <xdr:blipFill>
        <a:blip xmlns:r="http://schemas.openxmlformats.org/officeDocument/2006/relationships" r:embed="rId564"/>
        <a:stretch>
          <a:fillRect/>
        </a:stretch>
      </xdr:blipFill>
      <xdr:spPr>
        <a:xfrm>
          <a:off x="7264400" y="763854200"/>
          <a:ext cx="878840" cy="1183640"/>
        </a:xfrm>
        <a:prstGeom prst="rect">
          <a:avLst/>
        </a:prstGeom>
      </xdr:spPr>
    </xdr:pic>
    <xdr:clientData/>
  </xdr:twoCellAnchor>
  <xdr:twoCellAnchor>
    <xdr:from>
      <xdr:col>8</xdr:col>
      <xdr:colOff>6350</xdr:colOff>
      <xdr:row>821</xdr:row>
      <xdr:rowOff>25400</xdr:rowOff>
    </xdr:from>
    <xdr:to>
      <xdr:col>8</xdr:col>
      <xdr:colOff>885190</xdr:colOff>
      <xdr:row>821</xdr:row>
      <xdr:rowOff>1209040</xdr:rowOff>
    </xdr:to>
    <xdr:pic>
      <xdr:nvPicPr>
        <xdr:cNvPr id="4803" name="Изображение 4802" descr="resizeПП-00272654"/>
        <xdr:cNvPicPr>
          <a:picLocks noChangeAspect="1"/>
        </xdr:cNvPicPr>
      </xdr:nvPicPr>
      <xdr:blipFill>
        <a:blip xmlns:r="http://schemas.openxmlformats.org/officeDocument/2006/relationships" r:embed="rId565"/>
        <a:stretch>
          <a:fillRect/>
        </a:stretch>
      </xdr:blipFill>
      <xdr:spPr>
        <a:xfrm>
          <a:off x="7264400" y="765076575"/>
          <a:ext cx="878840" cy="1183640"/>
        </a:xfrm>
        <a:prstGeom prst="rect">
          <a:avLst/>
        </a:prstGeom>
      </xdr:spPr>
    </xdr:pic>
    <xdr:clientData/>
  </xdr:twoCellAnchor>
  <xdr:twoCellAnchor>
    <xdr:from>
      <xdr:col>8</xdr:col>
      <xdr:colOff>6350</xdr:colOff>
      <xdr:row>822</xdr:row>
      <xdr:rowOff>25400</xdr:rowOff>
    </xdr:from>
    <xdr:to>
      <xdr:col>8</xdr:col>
      <xdr:colOff>885190</xdr:colOff>
      <xdr:row>822</xdr:row>
      <xdr:rowOff>1209040</xdr:rowOff>
    </xdr:to>
    <xdr:pic>
      <xdr:nvPicPr>
        <xdr:cNvPr id="4804" name="Изображение 4803" descr="resizeПП-00272650"/>
        <xdr:cNvPicPr>
          <a:picLocks noChangeAspect="1"/>
        </xdr:cNvPicPr>
      </xdr:nvPicPr>
      <xdr:blipFill>
        <a:blip xmlns:r="http://schemas.openxmlformats.org/officeDocument/2006/relationships" r:embed="rId566"/>
        <a:stretch>
          <a:fillRect/>
        </a:stretch>
      </xdr:blipFill>
      <xdr:spPr>
        <a:xfrm>
          <a:off x="7264400" y="766298950"/>
          <a:ext cx="878840" cy="1183640"/>
        </a:xfrm>
        <a:prstGeom prst="rect">
          <a:avLst/>
        </a:prstGeom>
      </xdr:spPr>
    </xdr:pic>
    <xdr:clientData/>
  </xdr:twoCellAnchor>
  <xdr:twoCellAnchor>
    <xdr:from>
      <xdr:col>8</xdr:col>
      <xdr:colOff>6350</xdr:colOff>
      <xdr:row>823</xdr:row>
      <xdr:rowOff>25400</xdr:rowOff>
    </xdr:from>
    <xdr:to>
      <xdr:col>8</xdr:col>
      <xdr:colOff>885190</xdr:colOff>
      <xdr:row>823</xdr:row>
      <xdr:rowOff>1209040</xdr:rowOff>
    </xdr:to>
    <xdr:pic>
      <xdr:nvPicPr>
        <xdr:cNvPr id="4805" name="Изображение 4804" descr="resizeПП-00272641"/>
        <xdr:cNvPicPr>
          <a:picLocks noChangeAspect="1"/>
        </xdr:cNvPicPr>
      </xdr:nvPicPr>
      <xdr:blipFill>
        <a:blip xmlns:r="http://schemas.openxmlformats.org/officeDocument/2006/relationships" r:embed="rId567"/>
        <a:stretch>
          <a:fillRect/>
        </a:stretch>
      </xdr:blipFill>
      <xdr:spPr>
        <a:xfrm>
          <a:off x="7264400" y="767521325"/>
          <a:ext cx="878840" cy="1183640"/>
        </a:xfrm>
        <a:prstGeom prst="rect">
          <a:avLst/>
        </a:prstGeom>
      </xdr:spPr>
    </xdr:pic>
    <xdr:clientData/>
  </xdr:twoCellAnchor>
  <xdr:twoCellAnchor>
    <xdr:from>
      <xdr:col>8</xdr:col>
      <xdr:colOff>6350</xdr:colOff>
      <xdr:row>824</xdr:row>
      <xdr:rowOff>25400</xdr:rowOff>
    </xdr:from>
    <xdr:to>
      <xdr:col>8</xdr:col>
      <xdr:colOff>885190</xdr:colOff>
      <xdr:row>824</xdr:row>
      <xdr:rowOff>1209040</xdr:rowOff>
    </xdr:to>
    <xdr:pic>
      <xdr:nvPicPr>
        <xdr:cNvPr id="4806" name="Изображение 4805" descr="resizeПП-00227863"/>
        <xdr:cNvPicPr>
          <a:picLocks noChangeAspect="1"/>
        </xdr:cNvPicPr>
      </xdr:nvPicPr>
      <xdr:blipFill>
        <a:blip xmlns:r="http://schemas.openxmlformats.org/officeDocument/2006/relationships" r:embed="rId568"/>
        <a:stretch>
          <a:fillRect/>
        </a:stretch>
      </xdr:blipFill>
      <xdr:spPr>
        <a:xfrm>
          <a:off x="7264400" y="768743700"/>
          <a:ext cx="878840" cy="1183640"/>
        </a:xfrm>
        <a:prstGeom prst="rect">
          <a:avLst/>
        </a:prstGeom>
      </xdr:spPr>
    </xdr:pic>
    <xdr:clientData/>
  </xdr:twoCellAnchor>
  <xdr:twoCellAnchor>
    <xdr:from>
      <xdr:col>8</xdr:col>
      <xdr:colOff>6350</xdr:colOff>
      <xdr:row>825</xdr:row>
      <xdr:rowOff>25400</xdr:rowOff>
    </xdr:from>
    <xdr:to>
      <xdr:col>8</xdr:col>
      <xdr:colOff>885190</xdr:colOff>
      <xdr:row>825</xdr:row>
      <xdr:rowOff>1209040</xdr:rowOff>
    </xdr:to>
    <xdr:pic>
      <xdr:nvPicPr>
        <xdr:cNvPr id="4807" name="Изображение 4806" descr="resizeПП-00251780"/>
        <xdr:cNvPicPr>
          <a:picLocks noChangeAspect="1"/>
        </xdr:cNvPicPr>
      </xdr:nvPicPr>
      <xdr:blipFill>
        <a:blip xmlns:r="http://schemas.openxmlformats.org/officeDocument/2006/relationships" r:embed="rId569"/>
        <a:stretch>
          <a:fillRect/>
        </a:stretch>
      </xdr:blipFill>
      <xdr:spPr>
        <a:xfrm>
          <a:off x="7264400" y="769966075"/>
          <a:ext cx="878840" cy="1183640"/>
        </a:xfrm>
        <a:prstGeom prst="rect">
          <a:avLst/>
        </a:prstGeom>
      </xdr:spPr>
    </xdr:pic>
    <xdr:clientData/>
  </xdr:twoCellAnchor>
  <xdr:twoCellAnchor>
    <xdr:from>
      <xdr:col>8</xdr:col>
      <xdr:colOff>6350</xdr:colOff>
      <xdr:row>826</xdr:row>
      <xdr:rowOff>25400</xdr:rowOff>
    </xdr:from>
    <xdr:to>
      <xdr:col>8</xdr:col>
      <xdr:colOff>885190</xdr:colOff>
      <xdr:row>826</xdr:row>
      <xdr:rowOff>1209040</xdr:rowOff>
    </xdr:to>
    <xdr:pic>
      <xdr:nvPicPr>
        <xdr:cNvPr id="4808" name="Изображение 4807" descr="resizeПП-00227850"/>
        <xdr:cNvPicPr>
          <a:picLocks noChangeAspect="1"/>
        </xdr:cNvPicPr>
      </xdr:nvPicPr>
      <xdr:blipFill>
        <a:blip xmlns:r="http://schemas.openxmlformats.org/officeDocument/2006/relationships" r:embed="rId570"/>
        <a:stretch>
          <a:fillRect/>
        </a:stretch>
      </xdr:blipFill>
      <xdr:spPr>
        <a:xfrm>
          <a:off x="7264400" y="771188450"/>
          <a:ext cx="878840" cy="1183640"/>
        </a:xfrm>
        <a:prstGeom prst="rect">
          <a:avLst/>
        </a:prstGeom>
      </xdr:spPr>
    </xdr:pic>
    <xdr:clientData/>
  </xdr:twoCellAnchor>
  <xdr:twoCellAnchor>
    <xdr:from>
      <xdr:col>8</xdr:col>
      <xdr:colOff>6350</xdr:colOff>
      <xdr:row>827</xdr:row>
      <xdr:rowOff>25400</xdr:rowOff>
    </xdr:from>
    <xdr:to>
      <xdr:col>8</xdr:col>
      <xdr:colOff>885190</xdr:colOff>
      <xdr:row>827</xdr:row>
      <xdr:rowOff>1209040</xdr:rowOff>
    </xdr:to>
    <xdr:pic>
      <xdr:nvPicPr>
        <xdr:cNvPr id="4809" name="Изображение 4808" descr="resizeПП-00251772"/>
        <xdr:cNvPicPr>
          <a:picLocks noChangeAspect="1"/>
        </xdr:cNvPicPr>
      </xdr:nvPicPr>
      <xdr:blipFill>
        <a:blip xmlns:r="http://schemas.openxmlformats.org/officeDocument/2006/relationships" r:embed="rId571"/>
        <a:stretch>
          <a:fillRect/>
        </a:stretch>
      </xdr:blipFill>
      <xdr:spPr>
        <a:xfrm>
          <a:off x="7264400" y="772410825"/>
          <a:ext cx="878840" cy="1183640"/>
        </a:xfrm>
        <a:prstGeom prst="rect">
          <a:avLst/>
        </a:prstGeom>
      </xdr:spPr>
    </xdr:pic>
    <xdr:clientData/>
  </xdr:twoCellAnchor>
  <xdr:twoCellAnchor>
    <xdr:from>
      <xdr:col>8</xdr:col>
      <xdr:colOff>6350</xdr:colOff>
      <xdr:row>828</xdr:row>
      <xdr:rowOff>25400</xdr:rowOff>
    </xdr:from>
    <xdr:to>
      <xdr:col>8</xdr:col>
      <xdr:colOff>885190</xdr:colOff>
      <xdr:row>828</xdr:row>
      <xdr:rowOff>1209040</xdr:rowOff>
    </xdr:to>
    <xdr:pic>
      <xdr:nvPicPr>
        <xdr:cNvPr id="4810" name="Изображение 4809" descr="resizeПП-00251783"/>
        <xdr:cNvPicPr>
          <a:picLocks noChangeAspect="1"/>
        </xdr:cNvPicPr>
      </xdr:nvPicPr>
      <xdr:blipFill>
        <a:blip xmlns:r="http://schemas.openxmlformats.org/officeDocument/2006/relationships" r:embed="rId572"/>
        <a:stretch>
          <a:fillRect/>
        </a:stretch>
      </xdr:blipFill>
      <xdr:spPr>
        <a:xfrm>
          <a:off x="7264400" y="773633200"/>
          <a:ext cx="878840" cy="1183640"/>
        </a:xfrm>
        <a:prstGeom prst="rect">
          <a:avLst/>
        </a:prstGeom>
      </xdr:spPr>
    </xdr:pic>
    <xdr:clientData/>
  </xdr:twoCellAnchor>
  <xdr:twoCellAnchor>
    <xdr:from>
      <xdr:col>8</xdr:col>
      <xdr:colOff>6350</xdr:colOff>
      <xdr:row>829</xdr:row>
      <xdr:rowOff>25400</xdr:rowOff>
    </xdr:from>
    <xdr:to>
      <xdr:col>8</xdr:col>
      <xdr:colOff>885190</xdr:colOff>
      <xdr:row>829</xdr:row>
      <xdr:rowOff>1209040</xdr:rowOff>
    </xdr:to>
    <xdr:pic>
      <xdr:nvPicPr>
        <xdr:cNvPr id="4811" name="Изображение 4810" descr="resizeПП-00251778"/>
        <xdr:cNvPicPr>
          <a:picLocks noChangeAspect="1"/>
        </xdr:cNvPicPr>
      </xdr:nvPicPr>
      <xdr:blipFill>
        <a:blip xmlns:r="http://schemas.openxmlformats.org/officeDocument/2006/relationships" r:embed="rId573"/>
        <a:stretch>
          <a:fillRect/>
        </a:stretch>
      </xdr:blipFill>
      <xdr:spPr>
        <a:xfrm>
          <a:off x="7264400" y="774855575"/>
          <a:ext cx="878840" cy="1183640"/>
        </a:xfrm>
        <a:prstGeom prst="rect">
          <a:avLst/>
        </a:prstGeom>
      </xdr:spPr>
    </xdr:pic>
    <xdr:clientData/>
  </xdr:twoCellAnchor>
  <xdr:twoCellAnchor>
    <xdr:from>
      <xdr:col>8</xdr:col>
      <xdr:colOff>6350</xdr:colOff>
      <xdr:row>830</xdr:row>
      <xdr:rowOff>25400</xdr:rowOff>
    </xdr:from>
    <xdr:to>
      <xdr:col>8</xdr:col>
      <xdr:colOff>885190</xdr:colOff>
      <xdr:row>830</xdr:row>
      <xdr:rowOff>1209040</xdr:rowOff>
    </xdr:to>
    <xdr:pic>
      <xdr:nvPicPr>
        <xdr:cNvPr id="4812" name="Изображение 4811" descr="resizeПП-00227862"/>
        <xdr:cNvPicPr>
          <a:picLocks noChangeAspect="1"/>
        </xdr:cNvPicPr>
      </xdr:nvPicPr>
      <xdr:blipFill>
        <a:blip xmlns:r="http://schemas.openxmlformats.org/officeDocument/2006/relationships" r:embed="rId574"/>
        <a:stretch>
          <a:fillRect/>
        </a:stretch>
      </xdr:blipFill>
      <xdr:spPr>
        <a:xfrm>
          <a:off x="7264400" y="776077950"/>
          <a:ext cx="878840" cy="1183640"/>
        </a:xfrm>
        <a:prstGeom prst="rect">
          <a:avLst/>
        </a:prstGeom>
      </xdr:spPr>
    </xdr:pic>
    <xdr:clientData/>
  </xdr:twoCellAnchor>
  <xdr:twoCellAnchor>
    <xdr:from>
      <xdr:col>8</xdr:col>
      <xdr:colOff>6350</xdr:colOff>
      <xdr:row>832</xdr:row>
      <xdr:rowOff>25400</xdr:rowOff>
    </xdr:from>
    <xdr:to>
      <xdr:col>8</xdr:col>
      <xdr:colOff>885190</xdr:colOff>
      <xdr:row>832</xdr:row>
      <xdr:rowOff>1209040</xdr:rowOff>
    </xdr:to>
    <xdr:pic>
      <xdr:nvPicPr>
        <xdr:cNvPr id="4813" name="Изображение 4812" descr="resizeПП-00201796"/>
        <xdr:cNvPicPr>
          <a:picLocks noChangeAspect="1"/>
        </xdr:cNvPicPr>
      </xdr:nvPicPr>
      <xdr:blipFill>
        <a:blip xmlns:r="http://schemas.openxmlformats.org/officeDocument/2006/relationships" r:embed="rId575"/>
        <a:stretch>
          <a:fillRect/>
        </a:stretch>
      </xdr:blipFill>
      <xdr:spPr>
        <a:xfrm>
          <a:off x="7264400" y="777452725"/>
          <a:ext cx="878840" cy="1183640"/>
        </a:xfrm>
        <a:prstGeom prst="rect">
          <a:avLst/>
        </a:prstGeom>
      </xdr:spPr>
    </xdr:pic>
    <xdr:clientData/>
  </xdr:twoCellAnchor>
  <xdr:twoCellAnchor>
    <xdr:from>
      <xdr:col>8</xdr:col>
      <xdr:colOff>6350</xdr:colOff>
      <xdr:row>833</xdr:row>
      <xdr:rowOff>25400</xdr:rowOff>
    </xdr:from>
    <xdr:to>
      <xdr:col>8</xdr:col>
      <xdr:colOff>885190</xdr:colOff>
      <xdr:row>833</xdr:row>
      <xdr:rowOff>1209040</xdr:rowOff>
    </xdr:to>
    <xdr:pic>
      <xdr:nvPicPr>
        <xdr:cNvPr id="4814" name="Изображение 4813" descr="resizeПП-00201798"/>
        <xdr:cNvPicPr>
          <a:picLocks noChangeAspect="1"/>
        </xdr:cNvPicPr>
      </xdr:nvPicPr>
      <xdr:blipFill>
        <a:blip xmlns:r="http://schemas.openxmlformats.org/officeDocument/2006/relationships" r:embed="rId576"/>
        <a:stretch>
          <a:fillRect/>
        </a:stretch>
      </xdr:blipFill>
      <xdr:spPr>
        <a:xfrm>
          <a:off x="7264400" y="778675100"/>
          <a:ext cx="878840" cy="1183640"/>
        </a:xfrm>
        <a:prstGeom prst="rect">
          <a:avLst/>
        </a:prstGeom>
      </xdr:spPr>
    </xdr:pic>
    <xdr:clientData/>
  </xdr:twoCellAnchor>
  <xdr:twoCellAnchor>
    <xdr:from>
      <xdr:col>8</xdr:col>
      <xdr:colOff>6350</xdr:colOff>
      <xdr:row>834</xdr:row>
      <xdr:rowOff>25400</xdr:rowOff>
    </xdr:from>
    <xdr:to>
      <xdr:col>8</xdr:col>
      <xdr:colOff>885190</xdr:colOff>
      <xdr:row>834</xdr:row>
      <xdr:rowOff>1209040</xdr:rowOff>
    </xdr:to>
    <xdr:pic>
      <xdr:nvPicPr>
        <xdr:cNvPr id="4815" name="Изображение 4814" descr="resizeПП-00201799"/>
        <xdr:cNvPicPr>
          <a:picLocks noChangeAspect="1"/>
        </xdr:cNvPicPr>
      </xdr:nvPicPr>
      <xdr:blipFill>
        <a:blip xmlns:r="http://schemas.openxmlformats.org/officeDocument/2006/relationships" r:embed="rId577"/>
        <a:stretch>
          <a:fillRect/>
        </a:stretch>
      </xdr:blipFill>
      <xdr:spPr>
        <a:xfrm>
          <a:off x="7264400" y="779897475"/>
          <a:ext cx="878840" cy="1183640"/>
        </a:xfrm>
        <a:prstGeom prst="rect">
          <a:avLst/>
        </a:prstGeom>
      </xdr:spPr>
    </xdr:pic>
    <xdr:clientData/>
  </xdr:twoCellAnchor>
  <xdr:twoCellAnchor>
    <xdr:from>
      <xdr:col>8</xdr:col>
      <xdr:colOff>6350</xdr:colOff>
      <xdr:row>835</xdr:row>
      <xdr:rowOff>25400</xdr:rowOff>
    </xdr:from>
    <xdr:to>
      <xdr:col>8</xdr:col>
      <xdr:colOff>885190</xdr:colOff>
      <xdr:row>835</xdr:row>
      <xdr:rowOff>1209040</xdr:rowOff>
    </xdr:to>
    <xdr:pic>
      <xdr:nvPicPr>
        <xdr:cNvPr id="4816" name="Изображение 4815" descr="resizeПП-00201800"/>
        <xdr:cNvPicPr>
          <a:picLocks noChangeAspect="1"/>
        </xdr:cNvPicPr>
      </xdr:nvPicPr>
      <xdr:blipFill>
        <a:blip xmlns:r="http://schemas.openxmlformats.org/officeDocument/2006/relationships" r:embed="rId578"/>
        <a:stretch>
          <a:fillRect/>
        </a:stretch>
      </xdr:blipFill>
      <xdr:spPr>
        <a:xfrm>
          <a:off x="7264400" y="781119850"/>
          <a:ext cx="878840" cy="1183640"/>
        </a:xfrm>
        <a:prstGeom prst="rect">
          <a:avLst/>
        </a:prstGeom>
      </xdr:spPr>
    </xdr:pic>
    <xdr:clientData/>
  </xdr:twoCellAnchor>
  <xdr:twoCellAnchor>
    <xdr:from>
      <xdr:col>8</xdr:col>
      <xdr:colOff>6350</xdr:colOff>
      <xdr:row>836</xdr:row>
      <xdr:rowOff>25400</xdr:rowOff>
    </xdr:from>
    <xdr:to>
      <xdr:col>8</xdr:col>
      <xdr:colOff>885190</xdr:colOff>
      <xdr:row>836</xdr:row>
      <xdr:rowOff>1209040</xdr:rowOff>
    </xdr:to>
    <xdr:pic>
      <xdr:nvPicPr>
        <xdr:cNvPr id="4817" name="Изображение 4816" descr="resizeПП-00251767"/>
        <xdr:cNvPicPr>
          <a:picLocks noChangeAspect="1"/>
        </xdr:cNvPicPr>
      </xdr:nvPicPr>
      <xdr:blipFill>
        <a:blip xmlns:r="http://schemas.openxmlformats.org/officeDocument/2006/relationships" r:embed="rId579"/>
        <a:stretch>
          <a:fillRect/>
        </a:stretch>
      </xdr:blipFill>
      <xdr:spPr>
        <a:xfrm>
          <a:off x="7264400" y="782342225"/>
          <a:ext cx="878840" cy="1183640"/>
        </a:xfrm>
        <a:prstGeom prst="rect">
          <a:avLst/>
        </a:prstGeom>
      </xdr:spPr>
    </xdr:pic>
    <xdr:clientData/>
  </xdr:twoCellAnchor>
  <xdr:twoCellAnchor>
    <xdr:from>
      <xdr:col>8</xdr:col>
      <xdr:colOff>6350</xdr:colOff>
      <xdr:row>838</xdr:row>
      <xdr:rowOff>25400</xdr:rowOff>
    </xdr:from>
    <xdr:to>
      <xdr:col>8</xdr:col>
      <xdr:colOff>885190</xdr:colOff>
      <xdr:row>838</xdr:row>
      <xdr:rowOff>1209040</xdr:rowOff>
    </xdr:to>
    <xdr:pic>
      <xdr:nvPicPr>
        <xdr:cNvPr id="4818" name="Изображение 4817" descr="resizeПП-00230124"/>
        <xdr:cNvPicPr>
          <a:picLocks noChangeAspect="1"/>
        </xdr:cNvPicPr>
      </xdr:nvPicPr>
      <xdr:blipFill>
        <a:blip xmlns:r="http://schemas.openxmlformats.org/officeDocument/2006/relationships" r:embed="rId580"/>
        <a:stretch>
          <a:fillRect/>
        </a:stretch>
      </xdr:blipFill>
      <xdr:spPr>
        <a:xfrm>
          <a:off x="7264400" y="783717000"/>
          <a:ext cx="878840" cy="1183640"/>
        </a:xfrm>
        <a:prstGeom prst="rect">
          <a:avLst/>
        </a:prstGeom>
      </xdr:spPr>
    </xdr:pic>
    <xdr:clientData/>
  </xdr:twoCellAnchor>
  <xdr:twoCellAnchor>
    <xdr:from>
      <xdr:col>8</xdr:col>
      <xdr:colOff>6350</xdr:colOff>
      <xdr:row>839</xdr:row>
      <xdr:rowOff>25400</xdr:rowOff>
    </xdr:from>
    <xdr:to>
      <xdr:col>8</xdr:col>
      <xdr:colOff>885190</xdr:colOff>
      <xdr:row>839</xdr:row>
      <xdr:rowOff>1209040</xdr:rowOff>
    </xdr:to>
    <xdr:pic>
      <xdr:nvPicPr>
        <xdr:cNvPr id="4819" name="Изображение 4818" descr="resizeПП-00230123"/>
        <xdr:cNvPicPr>
          <a:picLocks noChangeAspect="1"/>
        </xdr:cNvPicPr>
      </xdr:nvPicPr>
      <xdr:blipFill>
        <a:blip xmlns:r="http://schemas.openxmlformats.org/officeDocument/2006/relationships" r:embed="rId581"/>
        <a:stretch>
          <a:fillRect/>
        </a:stretch>
      </xdr:blipFill>
      <xdr:spPr>
        <a:xfrm>
          <a:off x="7264400" y="784939375"/>
          <a:ext cx="878840" cy="1183640"/>
        </a:xfrm>
        <a:prstGeom prst="rect">
          <a:avLst/>
        </a:prstGeom>
      </xdr:spPr>
    </xdr:pic>
    <xdr:clientData/>
  </xdr:twoCellAnchor>
  <xdr:twoCellAnchor>
    <xdr:from>
      <xdr:col>8</xdr:col>
      <xdr:colOff>6350</xdr:colOff>
      <xdr:row>840</xdr:row>
      <xdr:rowOff>25400</xdr:rowOff>
    </xdr:from>
    <xdr:to>
      <xdr:col>8</xdr:col>
      <xdr:colOff>885190</xdr:colOff>
      <xdr:row>840</xdr:row>
      <xdr:rowOff>1209040</xdr:rowOff>
    </xdr:to>
    <xdr:pic>
      <xdr:nvPicPr>
        <xdr:cNvPr id="4820" name="Изображение 4819" descr="resizeПП-00230121"/>
        <xdr:cNvPicPr>
          <a:picLocks noChangeAspect="1"/>
        </xdr:cNvPicPr>
      </xdr:nvPicPr>
      <xdr:blipFill>
        <a:blip xmlns:r="http://schemas.openxmlformats.org/officeDocument/2006/relationships" r:embed="rId582"/>
        <a:stretch>
          <a:fillRect/>
        </a:stretch>
      </xdr:blipFill>
      <xdr:spPr>
        <a:xfrm>
          <a:off x="7264400" y="786161750"/>
          <a:ext cx="878840" cy="1183640"/>
        </a:xfrm>
        <a:prstGeom prst="rect">
          <a:avLst/>
        </a:prstGeom>
      </xdr:spPr>
    </xdr:pic>
    <xdr:clientData/>
  </xdr:twoCellAnchor>
  <xdr:twoCellAnchor>
    <xdr:from>
      <xdr:col>8</xdr:col>
      <xdr:colOff>6350</xdr:colOff>
      <xdr:row>841</xdr:row>
      <xdr:rowOff>25400</xdr:rowOff>
    </xdr:from>
    <xdr:to>
      <xdr:col>8</xdr:col>
      <xdr:colOff>885190</xdr:colOff>
      <xdr:row>841</xdr:row>
      <xdr:rowOff>1209040</xdr:rowOff>
    </xdr:to>
    <xdr:pic>
      <xdr:nvPicPr>
        <xdr:cNvPr id="4821" name="Изображение 4820" descr="resizeПП-00251770"/>
        <xdr:cNvPicPr>
          <a:picLocks noChangeAspect="1"/>
        </xdr:cNvPicPr>
      </xdr:nvPicPr>
      <xdr:blipFill>
        <a:blip xmlns:r="http://schemas.openxmlformats.org/officeDocument/2006/relationships" r:embed="rId583"/>
        <a:stretch>
          <a:fillRect/>
        </a:stretch>
      </xdr:blipFill>
      <xdr:spPr>
        <a:xfrm>
          <a:off x="7264400" y="787384125"/>
          <a:ext cx="878840" cy="1183640"/>
        </a:xfrm>
        <a:prstGeom prst="rect">
          <a:avLst/>
        </a:prstGeom>
      </xdr:spPr>
    </xdr:pic>
    <xdr:clientData/>
  </xdr:twoCellAnchor>
  <xdr:twoCellAnchor>
    <xdr:from>
      <xdr:col>8</xdr:col>
      <xdr:colOff>6350</xdr:colOff>
      <xdr:row>842</xdr:row>
      <xdr:rowOff>25400</xdr:rowOff>
    </xdr:from>
    <xdr:to>
      <xdr:col>8</xdr:col>
      <xdr:colOff>885190</xdr:colOff>
      <xdr:row>842</xdr:row>
      <xdr:rowOff>1209040</xdr:rowOff>
    </xdr:to>
    <xdr:pic>
      <xdr:nvPicPr>
        <xdr:cNvPr id="4822" name="Изображение 4821" descr="resizeПП-00230120"/>
        <xdr:cNvPicPr>
          <a:picLocks noChangeAspect="1"/>
        </xdr:cNvPicPr>
      </xdr:nvPicPr>
      <xdr:blipFill>
        <a:blip xmlns:r="http://schemas.openxmlformats.org/officeDocument/2006/relationships" r:embed="rId584"/>
        <a:stretch>
          <a:fillRect/>
        </a:stretch>
      </xdr:blipFill>
      <xdr:spPr>
        <a:xfrm>
          <a:off x="7264400" y="788606500"/>
          <a:ext cx="878840" cy="1183640"/>
        </a:xfrm>
        <a:prstGeom prst="rect">
          <a:avLst/>
        </a:prstGeom>
      </xdr:spPr>
    </xdr:pic>
    <xdr:clientData/>
  </xdr:twoCellAnchor>
  <xdr:twoCellAnchor>
    <xdr:from>
      <xdr:col>8</xdr:col>
      <xdr:colOff>6350</xdr:colOff>
      <xdr:row>843</xdr:row>
      <xdr:rowOff>25400</xdr:rowOff>
    </xdr:from>
    <xdr:to>
      <xdr:col>8</xdr:col>
      <xdr:colOff>885190</xdr:colOff>
      <xdr:row>843</xdr:row>
      <xdr:rowOff>1209040</xdr:rowOff>
    </xdr:to>
    <xdr:pic>
      <xdr:nvPicPr>
        <xdr:cNvPr id="4823" name="Изображение 4822" descr="resizeПП-00251771"/>
        <xdr:cNvPicPr>
          <a:picLocks noChangeAspect="1"/>
        </xdr:cNvPicPr>
      </xdr:nvPicPr>
      <xdr:blipFill>
        <a:blip xmlns:r="http://schemas.openxmlformats.org/officeDocument/2006/relationships" r:embed="rId585"/>
        <a:stretch>
          <a:fillRect/>
        </a:stretch>
      </xdr:blipFill>
      <xdr:spPr>
        <a:xfrm>
          <a:off x="7264400" y="789828875"/>
          <a:ext cx="878840" cy="1183640"/>
        </a:xfrm>
        <a:prstGeom prst="rect">
          <a:avLst/>
        </a:prstGeom>
      </xdr:spPr>
    </xdr:pic>
    <xdr:clientData/>
  </xdr:twoCellAnchor>
  <xdr:twoCellAnchor>
    <xdr:from>
      <xdr:col>8</xdr:col>
      <xdr:colOff>6350</xdr:colOff>
      <xdr:row>844</xdr:row>
      <xdr:rowOff>25400</xdr:rowOff>
    </xdr:from>
    <xdr:to>
      <xdr:col>8</xdr:col>
      <xdr:colOff>885190</xdr:colOff>
      <xdr:row>844</xdr:row>
      <xdr:rowOff>1209040</xdr:rowOff>
    </xdr:to>
    <xdr:pic>
      <xdr:nvPicPr>
        <xdr:cNvPr id="4824" name="Изображение 4823" descr="resizeПП-00251768"/>
        <xdr:cNvPicPr>
          <a:picLocks noChangeAspect="1"/>
        </xdr:cNvPicPr>
      </xdr:nvPicPr>
      <xdr:blipFill>
        <a:blip xmlns:r="http://schemas.openxmlformats.org/officeDocument/2006/relationships" r:embed="rId586"/>
        <a:stretch>
          <a:fillRect/>
        </a:stretch>
      </xdr:blipFill>
      <xdr:spPr>
        <a:xfrm>
          <a:off x="7264400" y="791051250"/>
          <a:ext cx="878840" cy="1183640"/>
        </a:xfrm>
        <a:prstGeom prst="rect">
          <a:avLst/>
        </a:prstGeom>
      </xdr:spPr>
    </xdr:pic>
    <xdr:clientData/>
  </xdr:twoCellAnchor>
  <xdr:twoCellAnchor>
    <xdr:from>
      <xdr:col>8</xdr:col>
      <xdr:colOff>6350</xdr:colOff>
      <xdr:row>845</xdr:row>
      <xdr:rowOff>25400</xdr:rowOff>
    </xdr:from>
    <xdr:to>
      <xdr:col>8</xdr:col>
      <xdr:colOff>885190</xdr:colOff>
      <xdr:row>845</xdr:row>
      <xdr:rowOff>1209040</xdr:rowOff>
    </xdr:to>
    <xdr:pic>
      <xdr:nvPicPr>
        <xdr:cNvPr id="4825" name="Изображение 4824" descr="resizeПП-00251769"/>
        <xdr:cNvPicPr>
          <a:picLocks noChangeAspect="1"/>
        </xdr:cNvPicPr>
      </xdr:nvPicPr>
      <xdr:blipFill>
        <a:blip xmlns:r="http://schemas.openxmlformats.org/officeDocument/2006/relationships" r:embed="rId587"/>
        <a:stretch>
          <a:fillRect/>
        </a:stretch>
      </xdr:blipFill>
      <xdr:spPr>
        <a:xfrm>
          <a:off x="7264400" y="792273625"/>
          <a:ext cx="878840" cy="1183640"/>
        </a:xfrm>
        <a:prstGeom prst="rect">
          <a:avLst/>
        </a:prstGeom>
      </xdr:spPr>
    </xdr:pic>
    <xdr:clientData/>
  </xdr:twoCellAnchor>
  <xdr:twoCellAnchor>
    <xdr:from>
      <xdr:col>8</xdr:col>
      <xdr:colOff>6350</xdr:colOff>
      <xdr:row>847</xdr:row>
      <xdr:rowOff>25400</xdr:rowOff>
    </xdr:from>
    <xdr:to>
      <xdr:col>8</xdr:col>
      <xdr:colOff>885190</xdr:colOff>
      <xdr:row>847</xdr:row>
      <xdr:rowOff>1209040</xdr:rowOff>
    </xdr:to>
    <xdr:pic>
      <xdr:nvPicPr>
        <xdr:cNvPr id="4826" name="Изображение 4825" descr="resizeПП-00272598"/>
        <xdr:cNvPicPr>
          <a:picLocks noChangeAspect="1"/>
        </xdr:cNvPicPr>
      </xdr:nvPicPr>
      <xdr:blipFill>
        <a:blip xmlns:r="http://schemas.openxmlformats.org/officeDocument/2006/relationships" r:embed="rId588"/>
        <a:stretch>
          <a:fillRect/>
        </a:stretch>
      </xdr:blipFill>
      <xdr:spPr>
        <a:xfrm>
          <a:off x="7264400" y="793648400"/>
          <a:ext cx="878840" cy="1183640"/>
        </a:xfrm>
        <a:prstGeom prst="rect">
          <a:avLst/>
        </a:prstGeom>
      </xdr:spPr>
    </xdr:pic>
    <xdr:clientData/>
  </xdr:twoCellAnchor>
  <xdr:twoCellAnchor>
    <xdr:from>
      <xdr:col>8</xdr:col>
      <xdr:colOff>6350</xdr:colOff>
      <xdr:row>848</xdr:row>
      <xdr:rowOff>25400</xdr:rowOff>
    </xdr:from>
    <xdr:to>
      <xdr:col>8</xdr:col>
      <xdr:colOff>885190</xdr:colOff>
      <xdr:row>848</xdr:row>
      <xdr:rowOff>1209040</xdr:rowOff>
    </xdr:to>
    <xdr:pic>
      <xdr:nvPicPr>
        <xdr:cNvPr id="4827" name="Изображение 4826" descr="resizeПП-00272599"/>
        <xdr:cNvPicPr>
          <a:picLocks noChangeAspect="1"/>
        </xdr:cNvPicPr>
      </xdr:nvPicPr>
      <xdr:blipFill>
        <a:blip xmlns:r="http://schemas.openxmlformats.org/officeDocument/2006/relationships" r:embed="rId589"/>
        <a:stretch>
          <a:fillRect/>
        </a:stretch>
      </xdr:blipFill>
      <xdr:spPr>
        <a:xfrm>
          <a:off x="7264400" y="794870775"/>
          <a:ext cx="878840" cy="1183640"/>
        </a:xfrm>
        <a:prstGeom prst="rect">
          <a:avLst/>
        </a:prstGeom>
      </xdr:spPr>
    </xdr:pic>
    <xdr:clientData/>
  </xdr:twoCellAnchor>
  <xdr:twoCellAnchor>
    <xdr:from>
      <xdr:col>8</xdr:col>
      <xdr:colOff>6350</xdr:colOff>
      <xdr:row>849</xdr:row>
      <xdr:rowOff>25400</xdr:rowOff>
    </xdr:from>
    <xdr:to>
      <xdr:col>8</xdr:col>
      <xdr:colOff>885190</xdr:colOff>
      <xdr:row>849</xdr:row>
      <xdr:rowOff>1209040</xdr:rowOff>
    </xdr:to>
    <xdr:pic>
      <xdr:nvPicPr>
        <xdr:cNvPr id="4828" name="Изображение 4827" descr="resizeПП-00272601"/>
        <xdr:cNvPicPr>
          <a:picLocks noChangeAspect="1"/>
        </xdr:cNvPicPr>
      </xdr:nvPicPr>
      <xdr:blipFill>
        <a:blip xmlns:r="http://schemas.openxmlformats.org/officeDocument/2006/relationships" r:embed="rId590"/>
        <a:stretch>
          <a:fillRect/>
        </a:stretch>
      </xdr:blipFill>
      <xdr:spPr>
        <a:xfrm>
          <a:off x="7264400" y="796093150"/>
          <a:ext cx="878840" cy="1183640"/>
        </a:xfrm>
        <a:prstGeom prst="rect">
          <a:avLst/>
        </a:prstGeom>
      </xdr:spPr>
    </xdr:pic>
    <xdr:clientData/>
  </xdr:twoCellAnchor>
  <xdr:twoCellAnchor>
    <xdr:from>
      <xdr:col>8</xdr:col>
      <xdr:colOff>6350</xdr:colOff>
      <xdr:row>850</xdr:row>
      <xdr:rowOff>25400</xdr:rowOff>
    </xdr:from>
    <xdr:to>
      <xdr:col>8</xdr:col>
      <xdr:colOff>885190</xdr:colOff>
      <xdr:row>850</xdr:row>
      <xdr:rowOff>1209040</xdr:rowOff>
    </xdr:to>
    <xdr:pic>
      <xdr:nvPicPr>
        <xdr:cNvPr id="4829" name="Изображение 4828" descr="resizeПП-00272602"/>
        <xdr:cNvPicPr>
          <a:picLocks noChangeAspect="1"/>
        </xdr:cNvPicPr>
      </xdr:nvPicPr>
      <xdr:blipFill>
        <a:blip xmlns:r="http://schemas.openxmlformats.org/officeDocument/2006/relationships" r:embed="rId591"/>
        <a:stretch>
          <a:fillRect/>
        </a:stretch>
      </xdr:blipFill>
      <xdr:spPr>
        <a:xfrm>
          <a:off x="7264400" y="797315525"/>
          <a:ext cx="878840" cy="1183640"/>
        </a:xfrm>
        <a:prstGeom prst="rect">
          <a:avLst/>
        </a:prstGeom>
      </xdr:spPr>
    </xdr:pic>
    <xdr:clientData/>
  </xdr:twoCellAnchor>
  <xdr:twoCellAnchor>
    <xdr:from>
      <xdr:col>8</xdr:col>
      <xdr:colOff>6350</xdr:colOff>
      <xdr:row>851</xdr:row>
      <xdr:rowOff>25400</xdr:rowOff>
    </xdr:from>
    <xdr:to>
      <xdr:col>8</xdr:col>
      <xdr:colOff>885190</xdr:colOff>
      <xdr:row>851</xdr:row>
      <xdr:rowOff>1209040</xdr:rowOff>
    </xdr:to>
    <xdr:pic>
      <xdr:nvPicPr>
        <xdr:cNvPr id="4830" name="Изображение 4829" descr="resizeПП-00201811"/>
        <xdr:cNvPicPr>
          <a:picLocks noChangeAspect="1"/>
        </xdr:cNvPicPr>
      </xdr:nvPicPr>
      <xdr:blipFill>
        <a:blip xmlns:r="http://schemas.openxmlformats.org/officeDocument/2006/relationships" r:embed="rId592"/>
        <a:stretch>
          <a:fillRect/>
        </a:stretch>
      </xdr:blipFill>
      <xdr:spPr>
        <a:xfrm>
          <a:off x="7264400" y="798537900"/>
          <a:ext cx="878840" cy="1183640"/>
        </a:xfrm>
        <a:prstGeom prst="rect">
          <a:avLst/>
        </a:prstGeom>
      </xdr:spPr>
    </xdr:pic>
    <xdr:clientData/>
  </xdr:twoCellAnchor>
  <xdr:twoCellAnchor>
    <xdr:from>
      <xdr:col>8</xdr:col>
      <xdr:colOff>6350</xdr:colOff>
      <xdr:row>852</xdr:row>
      <xdr:rowOff>25400</xdr:rowOff>
    </xdr:from>
    <xdr:to>
      <xdr:col>8</xdr:col>
      <xdr:colOff>885190</xdr:colOff>
      <xdr:row>852</xdr:row>
      <xdr:rowOff>1209040</xdr:rowOff>
    </xdr:to>
    <xdr:pic>
      <xdr:nvPicPr>
        <xdr:cNvPr id="4831" name="Изображение 4830" descr="resizeПП-00201812"/>
        <xdr:cNvPicPr>
          <a:picLocks noChangeAspect="1"/>
        </xdr:cNvPicPr>
      </xdr:nvPicPr>
      <xdr:blipFill>
        <a:blip xmlns:r="http://schemas.openxmlformats.org/officeDocument/2006/relationships" r:embed="rId593"/>
        <a:stretch>
          <a:fillRect/>
        </a:stretch>
      </xdr:blipFill>
      <xdr:spPr>
        <a:xfrm>
          <a:off x="7264400" y="799760275"/>
          <a:ext cx="878840" cy="1183640"/>
        </a:xfrm>
        <a:prstGeom prst="rect">
          <a:avLst/>
        </a:prstGeom>
      </xdr:spPr>
    </xdr:pic>
    <xdr:clientData/>
  </xdr:twoCellAnchor>
  <xdr:twoCellAnchor>
    <xdr:from>
      <xdr:col>8</xdr:col>
      <xdr:colOff>6350</xdr:colOff>
      <xdr:row>854</xdr:row>
      <xdr:rowOff>25400</xdr:rowOff>
    </xdr:from>
    <xdr:to>
      <xdr:col>8</xdr:col>
      <xdr:colOff>885190</xdr:colOff>
      <xdr:row>854</xdr:row>
      <xdr:rowOff>1209040</xdr:rowOff>
    </xdr:to>
    <xdr:pic>
      <xdr:nvPicPr>
        <xdr:cNvPr id="4832" name="Изображение 4831" descr="resizeПП-00272657"/>
        <xdr:cNvPicPr>
          <a:picLocks noChangeAspect="1"/>
        </xdr:cNvPicPr>
      </xdr:nvPicPr>
      <xdr:blipFill>
        <a:blip xmlns:r="http://schemas.openxmlformats.org/officeDocument/2006/relationships" r:embed="rId594"/>
        <a:stretch>
          <a:fillRect/>
        </a:stretch>
      </xdr:blipFill>
      <xdr:spPr>
        <a:xfrm>
          <a:off x="7264400" y="801135050"/>
          <a:ext cx="878840" cy="1183640"/>
        </a:xfrm>
        <a:prstGeom prst="rect">
          <a:avLst/>
        </a:prstGeom>
      </xdr:spPr>
    </xdr:pic>
    <xdr:clientData/>
  </xdr:twoCellAnchor>
  <xdr:twoCellAnchor>
    <xdr:from>
      <xdr:col>8</xdr:col>
      <xdr:colOff>6350</xdr:colOff>
      <xdr:row>855</xdr:row>
      <xdr:rowOff>25400</xdr:rowOff>
    </xdr:from>
    <xdr:to>
      <xdr:col>8</xdr:col>
      <xdr:colOff>885190</xdr:colOff>
      <xdr:row>855</xdr:row>
      <xdr:rowOff>1209040</xdr:rowOff>
    </xdr:to>
    <xdr:pic>
      <xdr:nvPicPr>
        <xdr:cNvPr id="4833" name="Изображение 4832" descr="resizeПП-00272658"/>
        <xdr:cNvPicPr>
          <a:picLocks noChangeAspect="1"/>
        </xdr:cNvPicPr>
      </xdr:nvPicPr>
      <xdr:blipFill>
        <a:blip xmlns:r="http://schemas.openxmlformats.org/officeDocument/2006/relationships" r:embed="rId595"/>
        <a:stretch>
          <a:fillRect/>
        </a:stretch>
      </xdr:blipFill>
      <xdr:spPr>
        <a:xfrm>
          <a:off x="7264400" y="802357425"/>
          <a:ext cx="878840" cy="1183640"/>
        </a:xfrm>
        <a:prstGeom prst="rect">
          <a:avLst/>
        </a:prstGeom>
      </xdr:spPr>
    </xdr:pic>
    <xdr:clientData/>
  </xdr:twoCellAnchor>
  <xdr:twoCellAnchor>
    <xdr:from>
      <xdr:col>8</xdr:col>
      <xdr:colOff>6350</xdr:colOff>
      <xdr:row>856</xdr:row>
      <xdr:rowOff>25400</xdr:rowOff>
    </xdr:from>
    <xdr:to>
      <xdr:col>8</xdr:col>
      <xdr:colOff>885190</xdr:colOff>
      <xdr:row>856</xdr:row>
      <xdr:rowOff>1209040</xdr:rowOff>
    </xdr:to>
    <xdr:pic>
      <xdr:nvPicPr>
        <xdr:cNvPr id="4834" name="Изображение 4833" descr="resizeПП-00272660"/>
        <xdr:cNvPicPr>
          <a:picLocks noChangeAspect="1"/>
        </xdr:cNvPicPr>
      </xdr:nvPicPr>
      <xdr:blipFill>
        <a:blip xmlns:r="http://schemas.openxmlformats.org/officeDocument/2006/relationships" r:embed="rId596"/>
        <a:stretch>
          <a:fillRect/>
        </a:stretch>
      </xdr:blipFill>
      <xdr:spPr>
        <a:xfrm>
          <a:off x="7264400" y="803579800"/>
          <a:ext cx="878840" cy="1183640"/>
        </a:xfrm>
        <a:prstGeom prst="rect">
          <a:avLst/>
        </a:prstGeom>
      </xdr:spPr>
    </xdr:pic>
    <xdr:clientData/>
  </xdr:twoCellAnchor>
  <xdr:twoCellAnchor>
    <xdr:from>
      <xdr:col>8</xdr:col>
      <xdr:colOff>6350</xdr:colOff>
      <xdr:row>857</xdr:row>
      <xdr:rowOff>25400</xdr:rowOff>
    </xdr:from>
    <xdr:to>
      <xdr:col>8</xdr:col>
      <xdr:colOff>885190</xdr:colOff>
      <xdr:row>857</xdr:row>
      <xdr:rowOff>1209040</xdr:rowOff>
    </xdr:to>
    <xdr:pic>
      <xdr:nvPicPr>
        <xdr:cNvPr id="4835" name="Изображение 4834" descr="resizeПП-00272659"/>
        <xdr:cNvPicPr>
          <a:picLocks noChangeAspect="1"/>
        </xdr:cNvPicPr>
      </xdr:nvPicPr>
      <xdr:blipFill>
        <a:blip xmlns:r="http://schemas.openxmlformats.org/officeDocument/2006/relationships" r:embed="rId597"/>
        <a:stretch>
          <a:fillRect/>
        </a:stretch>
      </xdr:blipFill>
      <xdr:spPr>
        <a:xfrm>
          <a:off x="7264400" y="804802175"/>
          <a:ext cx="878840" cy="1183640"/>
        </a:xfrm>
        <a:prstGeom prst="rect">
          <a:avLst/>
        </a:prstGeom>
      </xdr:spPr>
    </xdr:pic>
    <xdr:clientData/>
  </xdr:twoCellAnchor>
  <xdr:twoCellAnchor>
    <xdr:from>
      <xdr:col>8</xdr:col>
      <xdr:colOff>6350</xdr:colOff>
      <xdr:row>859</xdr:row>
      <xdr:rowOff>25400</xdr:rowOff>
    </xdr:from>
    <xdr:to>
      <xdr:col>8</xdr:col>
      <xdr:colOff>885190</xdr:colOff>
      <xdr:row>859</xdr:row>
      <xdr:rowOff>1209040</xdr:rowOff>
    </xdr:to>
    <xdr:pic>
      <xdr:nvPicPr>
        <xdr:cNvPr id="4836" name="Изображение 4835" descr="resizeПП-00272665"/>
        <xdr:cNvPicPr>
          <a:picLocks noChangeAspect="1"/>
        </xdr:cNvPicPr>
      </xdr:nvPicPr>
      <xdr:blipFill>
        <a:blip xmlns:r="http://schemas.openxmlformats.org/officeDocument/2006/relationships" r:embed="rId598"/>
        <a:stretch>
          <a:fillRect/>
        </a:stretch>
      </xdr:blipFill>
      <xdr:spPr>
        <a:xfrm>
          <a:off x="7264400" y="806176950"/>
          <a:ext cx="878840" cy="1183640"/>
        </a:xfrm>
        <a:prstGeom prst="rect">
          <a:avLst/>
        </a:prstGeom>
      </xdr:spPr>
    </xdr:pic>
    <xdr:clientData/>
  </xdr:twoCellAnchor>
  <xdr:twoCellAnchor>
    <xdr:from>
      <xdr:col>8</xdr:col>
      <xdr:colOff>6350</xdr:colOff>
      <xdr:row>860</xdr:row>
      <xdr:rowOff>25400</xdr:rowOff>
    </xdr:from>
    <xdr:to>
      <xdr:col>8</xdr:col>
      <xdr:colOff>885190</xdr:colOff>
      <xdr:row>860</xdr:row>
      <xdr:rowOff>1209040</xdr:rowOff>
    </xdr:to>
    <xdr:pic>
      <xdr:nvPicPr>
        <xdr:cNvPr id="4837" name="Изображение 4836" descr="resizeПП-00272664"/>
        <xdr:cNvPicPr>
          <a:picLocks noChangeAspect="1"/>
        </xdr:cNvPicPr>
      </xdr:nvPicPr>
      <xdr:blipFill>
        <a:blip xmlns:r="http://schemas.openxmlformats.org/officeDocument/2006/relationships" r:embed="rId599"/>
        <a:stretch>
          <a:fillRect/>
        </a:stretch>
      </xdr:blipFill>
      <xdr:spPr>
        <a:xfrm>
          <a:off x="7264400" y="807399325"/>
          <a:ext cx="878840" cy="1183640"/>
        </a:xfrm>
        <a:prstGeom prst="rect">
          <a:avLst/>
        </a:prstGeom>
      </xdr:spPr>
    </xdr:pic>
    <xdr:clientData/>
  </xdr:twoCellAnchor>
  <xdr:twoCellAnchor>
    <xdr:from>
      <xdr:col>8</xdr:col>
      <xdr:colOff>6350</xdr:colOff>
      <xdr:row>861</xdr:row>
      <xdr:rowOff>25400</xdr:rowOff>
    </xdr:from>
    <xdr:to>
      <xdr:col>8</xdr:col>
      <xdr:colOff>885190</xdr:colOff>
      <xdr:row>861</xdr:row>
      <xdr:rowOff>1209040</xdr:rowOff>
    </xdr:to>
    <xdr:pic>
      <xdr:nvPicPr>
        <xdr:cNvPr id="4838" name="Изображение 4837" descr="resizeПП-00272661"/>
        <xdr:cNvPicPr>
          <a:picLocks noChangeAspect="1"/>
        </xdr:cNvPicPr>
      </xdr:nvPicPr>
      <xdr:blipFill>
        <a:blip xmlns:r="http://schemas.openxmlformats.org/officeDocument/2006/relationships" r:embed="rId600"/>
        <a:stretch>
          <a:fillRect/>
        </a:stretch>
      </xdr:blipFill>
      <xdr:spPr>
        <a:xfrm>
          <a:off x="7264400" y="808621700"/>
          <a:ext cx="878840" cy="1183640"/>
        </a:xfrm>
        <a:prstGeom prst="rect">
          <a:avLst/>
        </a:prstGeom>
      </xdr:spPr>
    </xdr:pic>
    <xdr:clientData/>
  </xdr:twoCellAnchor>
  <xdr:twoCellAnchor>
    <xdr:from>
      <xdr:col>8</xdr:col>
      <xdr:colOff>6350</xdr:colOff>
      <xdr:row>862</xdr:row>
      <xdr:rowOff>25400</xdr:rowOff>
    </xdr:from>
    <xdr:to>
      <xdr:col>8</xdr:col>
      <xdr:colOff>885190</xdr:colOff>
      <xdr:row>862</xdr:row>
      <xdr:rowOff>1209040</xdr:rowOff>
    </xdr:to>
    <xdr:pic>
      <xdr:nvPicPr>
        <xdr:cNvPr id="4839" name="Изображение 4838" descr="resizeПП-00272663"/>
        <xdr:cNvPicPr>
          <a:picLocks noChangeAspect="1"/>
        </xdr:cNvPicPr>
      </xdr:nvPicPr>
      <xdr:blipFill>
        <a:blip xmlns:r="http://schemas.openxmlformats.org/officeDocument/2006/relationships" r:embed="rId601"/>
        <a:stretch>
          <a:fillRect/>
        </a:stretch>
      </xdr:blipFill>
      <xdr:spPr>
        <a:xfrm>
          <a:off x="7264400" y="809844075"/>
          <a:ext cx="878840" cy="1183640"/>
        </a:xfrm>
        <a:prstGeom prst="rect">
          <a:avLst/>
        </a:prstGeom>
      </xdr:spPr>
    </xdr:pic>
    <xdr:clientData/>
  </xdr:twoCellAnchor>
  <xdr:twoCellAnchor>
    <xdr:from>
      <xdr:col>8</xdr:col>
      <xdr:colOff>6350</xdr:colOff>
      <xdr:row>864</xdr:row>
      <xdr:rowOff>25400</xdr:rowOff>
    </xdr:from>
    <xdr:to>
      <xdr:col>8</xdr:col>
      <xdr:colOff>885190</xdr:colOff>
      <xdr:row>864</xdr:row>
      <xdr:rowOff>1209040</xdr:rowOff>
    </xdr:to>
    <xdr:pic>
      <xdr:nvPicPr>
        <xdr:cNvPr id="4840" name="Изображение 4839" descr="resizeПП-00272666"/>
        <xdr:cNvPicPr>
          <a:picLocks noChangeAspect="1"/>
        </xdr:cNvPicPr>
      </xdr:nvPicPr>
      <xdr:blipFill>
        <a:blip xmlns:r="http://schemas.openxmlformats.org/officeDocument/2006/relationships" r:embed="rId602"/>
        <a:stretch>
          <a:fillRect/>
        </a:stretch>
      </xdr:blipFill>
      <xdr:spPr>
        <a:xfrm>
          <a:off x="7264400" y="811218850"/>
          <a:ext cx="878840" cy="1183640"/>
        </a:xfrm>
        <a:prstGeom prst="rect">
          <a:avLst/>
        </a:prstGeom>
      </xdr:spPr>
    </xdr:pic>
    <xdr:clientData/>
  </xdr:twoCellAnchor>
  <xdr:twoCellAnchor>
    <xdr:from>
      <xdr:col>8</xdr:col>
      <xdr:colOff>6350</xdr:colOff>
      <xdr:row>865</xdr:row>
      <xdr:rowOff>25400</xdr:rowOff>
    </xdr:from>
    <xdr:to>
      <xdr:col>8</xdr:col>
      <xdr:colOff>885190</xdr:colOff>
      <xdr:row>865</xdr:row>
      <xdr:rowOff>1209040</xdr:rowOff>
    </xdr:to>
    <xdr:pic>
      <xdr:nvPicPr>
        <xdr:cNvPr id="4841" name="Изображение 4840" descr="resizeПП-00272667"/>
        <xdr:cNvPicPr>
          <a:picLocks noChangeAspect="1"/>
        </xdr:cNvPicPr>
      </xdr:nvPicPr>
      <xdr:blipFill>
        <a:blip xmlns:r="http://schemas.openxmlformats.org/officeDocument/2006/relationships" r:embed="rId603"/>
        <a:stretch>
          <a:fillRect/>
        </a:stretch>
      </xdr:blipFill>
      <xdr:spPr>
        <a:xfrm>
          <a:off x="7264400" y="812441225"/>
          <a:ext cx="878840" cy="1183640"/>
        </a:xfrm>
        <a:prstGeom prst="rect">
          <a:avLst/>
        </a:prstGeom>
      </xdr:spPr>
    </xdr:pic>
    <xdr:clientData/>
  </xdr:twoCellAnchor>
  <xdr:twoCellAnchor>
    <xdr:from>
      <xdr:col>8</xdr:col>
      <xdr:colOff>6350</xdr:colOff>
      <xdr:row>866</xdr:row>
      <xdr:rowOff>25400</xdr:rowOff>
    </xdr:from>
    <xdr:to>
      <xdr:col>8</xdr:col>
      <xdr:colOff>885190</xdr:colOff>
      <xdr:row>866</xdr:row>
      <xdr:rowOff>1209040</xdr:rowOff>
    </xdr:to>
    <xdr:pic>
      <xdr:nvPicPr>
        <xdr:cNvPr id="4842" name="Изображение 4841" descr="resizeПП-00272669"/>
        <xdr:cNvPicPr>
          <a:picLocks noChangeAspect="1"/>
        </xdr:cNvPicPr>
      </xdr:nvPicPr>
      <xdr:blipFill>
        <a:blip xmlns:r="http://schemas.openxmlformats.org/officeDocument/2006/relationships" r:embed="rId604"/>
        <a:stretch>
          <a:fillRect/>
        </a:stretch>
      </xdr:blipFill>
      <xdr:spPr>
        <a:xfrm>
          <a:off x="7264400" y="813663600"/>
          <a:ext cx="878840" cy="1183640"/>
        </a:xfrm>
        <a:prstGeom prst="rect">
          <a:avLst/>
        </a:prstGeom>
      </xdr:spPr>
    </xdr:pic>
    <xdr:clientData/>
  </xdr:twoCellAnchor>
  <xdr:twoCellAnchor>
    <xdr:from>
      <xdr:col>8</xdr:col>
      <xdr:colOff>6350</xdr:colOff>
      <xdr:row>867</xdr:row>
      <xdr:rowOff>25400</xdr:rowOff>
    </xdr:from>
    <xdr:to>
      <xdr:col>8</xdr:col>
      <xdr:colOff>885190</xdr:colOff>
      <xdr:row>867</xdr:row>
      <xdr:rowOff>1209040</xdr:rowOff>
    </xdr:to>
    <xdr:pic>
      <xdr:nvPicPr>
        <xdr:cNvPr id="4843" name="Изображение 4842" descr="resizeПП-00272670"/>
        <xdr:cNvPicPr>
          <a:picLocks noChangeAspect="1"/>
        </xdr:cNvPicPr>
      </xdr:nvPicPr>
      <xdr:blipFill>
        <a:blip xmlns:r="http://schemas.openxmlformats.org/officeDocument/2006/relationships" r:embed="rId605"/>
        <a:stretch>
          <a:fillRect/>
        </a:stretch>
      </xdr:blipFill>
      <xdr:spPr>
        <a:xfrm>
          <a:off x="7264400" y="814885975"/>
          <a:ext cx="878840" cy="1183640"/>
        </a:xfrm>
        <a:prstGeom prst="rect">
          <a:avLst/>
        </a:prstGeom>
      </xdr:spPr>
    </xdr:pic>
    <xdr:clientData/>
  </xdr:twoCellAnchor>
  <xdr:twoCellAnchor>
    <xdr:from>
      <xdr:col>8</xdr:col>
      <xdr:colOff>6350</xdr:colOff>
      <xdr:row>869</xdr:row>
      <xdr:rowOff>25400</xdr:rowOff>
    </xdr:from>
    <xdr:to>
      <xdr:col>8</xdr:col>
      <xdr:colOff>885190</xdr:colOff>
      <xdr:row>869</xdr:row>
      <xdr:rowOff>1209040</xdr:rowOff>
    </xdr:to>
    <xdr:pic>
      <xdr:nvPicPr>
        <xdr:cNvPr id="4844" name="Изображение 4843" descr="resizeПП-00231899"/>
        <xdr:cNvPicPr>
          <a:picLocks noChangeAspect="1"/>
        </xdr:cNvPicPr>
      </xdr:nvPicPr>
      <xdr:blipFill>
        <a:blip xmlns:r="http://schemas.openxmlformats.org/officeDocument/2006/relationships" r:embed="rId606"/>
        <a:stretch>
          <a:fillRect/>
        </a:stretch>
      </xdr:blipFill>
      <xdr:spPr>
        <a:xfrm>
          <a:off x="7264400" y="816260750"/>
          <a:ext cx="878840" cy="1183640"/>
        </a:xfrm>
        <a:prstGeom prst="rect">
          <a:avLst/>
        </a:prstGeom>
      </xdr:spPr>
    </xdr:pic>
    <xdr:clientData/>
  </xdr:twoCellAnchor>
  <xdr:twoCellAnchor>
    <xdr:from>
      <xdr:col>8</xdr:col>
      <xdr:colOff>6350</xdr:colOff>
      <xdr:row>871</xdr:row>
      <xdr:rowOff>25400</xdr:rowOff>
    </xdr:from>
    <xdr:to>
      <xdr:col>8</xdr:col>
      <xdr:colOff>885190</xdr:colOff>
      <xdr:row>871</xdr:row>
      <xdr:rowOff>1209040</xdr:rowOff>
    </xdr:to>
    <xdr:pic>
      <xdr:nvPicPr>
        <xdr:cNvPr id="4845" name="Изображение 4844" descr="resizeПП-00201808"/>
        <xdr:cNvPicPr>
          <a:picLocks noChangeAspect="1"/>
        </xdr:cNvPicPr>
      </xdr:nvPicPr>
      <xdr:blipFill>
        <a:blip xmlns:r="http://schemas.openxmlformats.org/officeDocument/2006/relationships" r:embed="rId607"/>
        <a:stretch>
          <a:fillRect/>
        </a:stretch>
      </xdr:blipFill>
      <xdr:spPr>
        <a:xfrm>
          <a:off x="7264400" y="817635525"/>
          <a:ext cx="878840" cy="1183640"/>
        </a:xfrm>
        <a:prstGeom prst="rect">
          <a:avLst/>
        </a:prstGeom>
      </xdr:spPr>
    </xdr:pic>
    <xdr:clientData/>
  </xdr:twoCellAnchor>
  <xdr:twoCellAnchor>
    <xdr:from>
      <xdr:col>8</xdr:col>
      <xdr:colOff>6350</xdr:colOff>
      <xdr:row>872</xdr:row>
      <xdr:rowOff>25400</xdr:rowOff>
    </xdr:from>
    <xdr:to>
      <xdr:col>8</xdr:col>
      <xdr:colOff>885190</xdr:colOff>
      <xdr:row>872</xdr:row>
      <xdr:rowOff>1209040</xdr:rowOff>
    </xdr:to>
    <xdr:pic>
      <xdr:nvPicPr>
        <xdr:cNvPr id="4846" name="Изображение 4845" descr="resizeПП-00201801"/>
        <xdr:cNvPicPr>
          <a:picLocks noChangeAspect="1"/>
        </xdr:cNvPicPr>
      </xdr:nvPicPr>
      <xdr:blipFill>
        <a:blip xmlns:r="http://schemas.openxmlformats.org/officeDocument/2006/relationships" r:embed="rId608"/>
        <a:stretch>
          <a:fillRect/>
        </a:stretch>
      </xdr:blipFill>
      <xdr:spPr>
        <a:xfrm>
          <a:off x="7264400" y="818857900"/>
          <a:ext cx="878840" cy="1183640"/>
        </a:xfrm>
        <a:prstGeom prst="rect">
          <a:avLst/>
        </a:prstGeom>
      </xdr:spPr>
    </xdr:pic>
    <xdr:clientData/>
  </xdr:twoCellAnchor>
  <xdr:twoCellAnchor>
    <xdr:from>
      <xdr:col>8</xdr:col>
      <xdr:colOff>6350</xdr:colOff>
      <xdr:row>874</xdr:row>
      <xdr:rowOff>25400</xdr:rowOff>
    </xdr:from>
    <xdr:to>
      <xdr:col>8</xdr:col>
      <xdr:colOff>885190</xdr:colOff>
      <xdr:row>874</xdr:row>
      <xdr:rowOff>1209040</xdr:rowOff>
    </xdr:to>
    <xdr:pic>
      <xdr:nvPicPr>
        <xdr:cNvPr id="4847" name="Изображение 4846" descr="resizeПП-00236511"/>
        <xdr:cNvPicPr>
          <a:picLocks noChangeAspect="1"/>
        </xdr:cNvPicPr>
      </xdr:nvPicPr>
      <xdr:blipFill>
        <a:blip xmlns:r="http://schemas.openxmlformats.org/officeDocument/2006/relationships" r:embed="rId609"/>
        <a:stretch>
          <a:fillRect/>
        </a:stretch>
      </xdr:blipFill>
      <xdr:spPr>
        <a:xfrm>
          <a:off x="7264400" y="820232675"/>
          <a:ext cx="878840" cy="1183640"/>
        </a:xfrm>
        <a:prstGeom prst="rect">
          <a:avLst/>
        </a:prstGeom>
      </xdr:spPr>
    </xdr:pic>
    <xdr:clientData/>
  </xdr:twoCellAnchor>
  <xdr:twoCellAnchor>
    <xdr:from>
      <xdr:col>8</xdr:col>
      <xdr:colOff>6350</xdr:colOff>
      <xdr:row>875</xdr:row>
      <xdr:rowOff>25400</xdr:rowOff>
    </xdr:from>
    <xdr:to>
      <xdr:col>8</xdr:col>
      <xdr:colOff>885190</xdr:colOff>
      <xdr:row>875</xdr:row>
      <xdr:rowOff>1209040</xdr:rowOff>
    </xdr:to>
    <xdr:pic>
      <xdr:nvPicPr>
        <xdr:cNvPr id="4848" name="Изображение 4847" descr="resizeПП-00236512"/>
        <xdr:cNvPicPr>
          <a:picLocks noChangeAspect="1"/>
        </xdr:cNvPicPr>
      </xdr:nvPicPr>
      <xdr:blipFill>
        <a:blip xmlns:r="http://schemas.openxmlformats.org/officeDocument/2006/relationships" r:embed="rId610"/>
        <a:stretch>
          <a:fillRect/>
        </a:stretch>
      </xdr:blipFill>
      <xdr:spPr>
        <a:xfrm>
          <a:off x="7264400" y="821455050"/>
          <a:ext cx="878840" cy="1183640"/>
        </a:xfrm>
        <a:prstGeom prst="rect">
          <a:avLst/>
        </a:prstGeom>
      </xdr:spPr>
    </xdr:pic>
    <xdr:clientData/>
  </xdr:twoCellAnchor>
  <xdr:twoCellAnchor>
    <xdr:from>
      <xdr:col>8</xdr:col>
      <xdr:colOff>6350</xdr:colOff>
      <xdr:row>876</xdr:row>
      <xdr:rowOff>25400</xdr:rowOff>
    </xdr:from>
    <xdr:to>
      <xdr:col>8</xdr:col>
      <xdr:colOff>885190</xdr:colOff>
      <xdr:row>876</xdr:row>
      <xdr:rowOff>1209040</xdr:rowOff>
    </xdr:to>
    <xdr:pic>
      <xdr:nvPicPr>
        <xdr:cNvPr id="4849" name="Изображение 4848" descr="resizeПП-00236510"/>
        <xdr:cNvPicPr>
          <a:picLocks noChangeAspect="1"/>
        </xdr:cNvPicPr>
      </xdr:nvPicPr>
      <xdr:blipFill>
        <a:blip xmlns:r="http://schemas.openxmlformats.org/officeDocument/2006/relationships" r:embed="rId611"/>
        <a:stretch>
          <a:fillRect/>
        </a:stretch>
      </xdr:blipFill>
      <xdr:spPr>
        <a:xfrm>
          <a:off x="7264400" y="822677425"/>
          <a:ext cx="878840" cy="1183640"/>
        </a:xfrm>
        <a:prstGeom prst="rect">
          <a:avLst/>
        </a:prstGeom>
      </xdr:spPr>
    </xdr:pic>
    <xdr:clientData/>
  </xdr:twoCellAnchor>
  <xdr:twoCellAnchor>
    <xdr:from>
      <xdr:col>8</xdr:col>
      <xdr:colOff>6350</xdr:colOff>
      <xdr:row>877</xdr:row>
      <xdr:rowOff>25400</xdr:rowOff>
    </xdr:from>
    <xdr:to>
      <xdr:col>8</xdr:col>
      <xdr:colOff>885190</xdr:colOff>
      <xdr:row>877</xdr:row>
      <xdr:rowOff>1209040</xdr:rowOff>
    </xdr:to>
    <xdr:pic>
      <xdr:nvPicPr>
        <xdr:cNvPr id="4850" name="Изображение 4849" descr="resizeПП-00236508"/>
        <xdr:cNvPicPr>
          <a:picLocks noChangeAspect="1"/>
        </xdr:cNvPicPr>
      </xdr:nvPicPr>
      <xdr:blipFill>
        <a:blip xmlns:r="http://schemas.openxmlformats.org/officeDocument/2006/relationships" r:embed="rId612"/>
        <a:stretch>
          <a:fillRect/>
        </a:stretch>
      </xdr:blipFill>
      <xdr:spPr>
        <a:xfrm>
          <a:off x="7264400" y="823899800"/>
          <a:ext cx="878840" cy="1183640"/>
        </a:xfrm>
        <a:prstGeom prst="rect">
          <a:avLst/>
        </a:prstGeom>
      </xdr:spPr>
    </xdr:pic>
    <xdr:clientData/>
  </xdr:twoCellAnchor>
  <xdr:twoCellAnchor>
    <xdr:from>
      <xdr:col>8</xdr:col>
      <xdr:colOff>6350</xdr:colOff>
      <xdr:row>879</xdr:row>
      <xdr:rowOff>25400</xdr:rowOff>
    </xdr:from>
    <xdr:to>
      <xdr:col>8</xdr:col>
      <xdr:colOff>885190</xdr:colOff>
      <xdr:row>879</xdr:row>
      <xdr:rowOff>1209040</xdr:rowOff>
    </xdr:to>
    <xdr:pic>
      <xdr:nvPicPr>
        <xdr:cNvPr id="4851" name="Изображение 4850" descr="resizeПП-00227787"/>
        <xdr:cNvPicPr>
          <a:picLocks noChangeAspect="1"/>
        </xdr:cNvPicPr>
      </xdr:nvPicPr>
      <xdr:blipFill>
        <a:blip xmlns:r="http://schemas.openxmlformats.org/officeDocument/2006/relationships" r:embed="rId613"/>
        <a:stretch>
          <a:fillRect/>
        </a:stretch>
      </xdr:blipFill>
      <xdr:spPr>
        <a:xfrm>
          <a:off x="7264400" y="825274575"/>
          <a:ext cx="878840" cy="1183640"/>
        </a:xfrm>
        <a:prstGeom prst="rect">
          <a:avLst/>
        </a:prstGeom>
      </xdr:spPr>
    </xdr:pic>
    <xdr:clientData/>
  </xdr:twoCellAnchor>
  <xdr:twoCellAnchor>
    <xdr:from>
      <xdr:col>8</xdr:col>
      <xdr:colOff>6350</xdr:colOff>
      <xdr:row>880</xdr:row>
      <xdr:rowOff>25400</xdr:rowOff>
    </xdr:from>
    <xdr:to>
      <xdr:col>8</xdr:col>
      <xdr:colOff>885190</xdr:colOff>
      <xdr:row>880</xdr:row>
      <xdr:rowOff>1209040</xdr:rowOff>
    </xdr:to>
    <xdr:pic>
      <xdr:nvPicPr>
        <xdr:cNvPr id="4852" name="Изображение 4851" descr="resizeПП-00227793"/>
        <xdr:cNvPicPr>
          <a:picLocks noChangeAspect="1"/>
        </xdr:cNvPicPr>
      </xdr:nvPicPr>
      <xdr:blipFill>
        <a:blip xmlns:r="http://schemas.openxmlformats.org/officeDocument/2006/relationships" r:embed="rId614"/>
        <a:stretch>
          <a:fillRect/>
        </a:stretch>
      </xdr:blipFill>
      <xdr:spPr>
        <a:xfrm>
          <a:off x="7264400" y="826496950"/>
          <a:ext cx="878840" cy="1183640"/>
        </a:xfrm>
        <a:prstGeom prst="rect">
          <a:avLst/>
        </a:prstGeom>
      </xdr:spPr>
    </xdr:pic>
    <xdr:clientData/>
  </xdr:twoCellAnchor>
  <xdr:twoCellAnchor>
    <xdr:from>
      <xdr:col>8</xdr:col>
      <xdr:colOff>6350</xdr:colOff>
      <xdr:row>881</xdr:row>
      <xdr:rowOff>25400</xdr:rowOff>
    </xdr:from>
    <xdr:to>
      <xdr:col>8</xdr:col>
      <xdr:colOff>885190</xdr:colOff>
      <xdr:row>881</xdr:row>
      <xdr:rowOff>1209040</xdr:rowOff>
    </xdr:to>
    <xdr:pic>
      <xdr:nvPicPr>
        <xdr:cNvPr id="4853" name="Изображение 4852" descr="resizeПП-00227791"/>
        <xdr:cNvPicPr>
          <a:picLocks noChangeAspect="1"/>
        </xdr:cNvPicPr>
      </xdr:nvPicPr>
      <xdr:blipFill>
        <a:blip xmlns:r="http://schemas.openxmlformats.org/officeDocument/2006/relationships" r:embed="rId615"/>
        <a:stretch>
          <a:fillRect/>
        </a:stretch>
      </xdr:blipFill>
      <xdr:spPr>
        <a:xfrm>
          <a:off x="7264400" y="827719325"/>
          <a:ext cx="878840" cy="1183640"/>
        </a:xfrm>
        <a:prstGeom prst="rect">
          <a:avLst/>
        </a:prstGeom>
      </xdr:spPr>
    </xdr:pic>
    <xdr:clientData/>
  </xdr:twoCellAnchor>
  <xdr:twoCellAnchor>
    <xdr:from>
      <xdr:col>8</xdr:col>
      <xdr:colOff>6350</xdr:colOff>
      <xdr:row>882</xdr:row>
      <xdr:rowOff>25400</xdr:rowOff>
    </xdr:from>
    <xdr:to>
      <xdr:col>8</xdr:col>
      <xdr:colOff>885190</xdr:colOff>
      <xdr:row>882</xdr:row>
      <xdr:rowOff>1209040</xdr:rowOff>
    </xdr:to>
    <xdr:pic>
      <xdr:nvPicPr>
        <xdr:cNvPr id="4854" name="Изображение 4853" descr="resizeПП-00227792"/>
        <xdr:cNvPicPr>
          <a:picLocks noChangeAspect="1"/>
        </xdr:cNvPicPr>
      </xdr:nvPicPr>
      <xdr:blipFill>
        <a:blip xmlns:r="http://schemas.openxmlformats.org/officeDocument/2006/relationships" r:embed="rId616"/>
        <a:stretch>
          <a:fillRect/>
        </a:stretch>
      </xdr:blipFill>
      <xdr:spPr>
        <a:xfrm>
          <a:off x="7264400" y="828941700"/>
          <a:ext cx="878840" cy="1183640"/>
        </a:xfrm>
        <a:prstGeom prst="rect">
          <a:avLst/>
        </a:prstGeom>
      </xdr:spPr>
    </xdr:pic>
    <xdr:clientData/>
  </xdr:twoCellAnchor>
  <xdr:twoCellAnchor>
    <xdr:from>
      <xdr:col>8</xdr:col>
      <xdr:colOff>6350</xdr:colOff>
      <xdr:row>884</xdr:row>
      <xdr:rowOff>25400</xdr:rowOff>
    </xdr:from>
    <xdr:to>
      <xdr:col>8</xdr:col>
      <xdr:colOff>885190</xdr:colOff>
      <xdr:row>884</xdr:row>
      <xdr:rowOff>1209040</xdr:rowOff>
    </xdr:to>
    <xdr:pic>
      <xdr:nvPicPr>
        <xdr:cNvPr id="4855" name="Изображение 4854" descr="resizeПП-00160478"/>
        <xdr:cNvPicPr>
          <a:picLocks noChangeAspect="1"/>
        </xdr:cNvPicPr>
      </xdr:nvPicPr>
      <xdr:blipFill>
        <a:blip xmlns:r="http://schemas.openxmlformats.org/officeDocument/2006/relationships" r:embed="rId617"/>
        <a:stretch>
          <a:fillRect/>
        </a:stretch>
      </xdr:blipFill>
      <xdr:spPr>
        <a:xfrm>
          <a:off x="7264400" y="830316475"/>
          <a:ext cx="878840" cy="1183640"/>
        </a:xfrm>
        <a:prstGeom prst="rect">
          <a:avLst/>
        </a:prstGeom>
      </xdr:spPr>
    </xdr:pic>
    <xdr:clientData/>
  </xdr:twoCellAnchor>
  <xdr:twoCellAnchor>
    <xdr:from>
      <xdr:col>8</xdr:col>
      <xdr:colOff>6350</xdr:colOff>
      <xdr:row>885</xdr:row>
      <xdr:rowOff>25400</xdr:rowOff>
    </xdr:from>
    <xdr:to>
      <xdr:col>8</xdr:col>
      <xdr:colOff>885190</xdr:colOff>
      <xdr:row>885</xdr:row>
      <xdr:rowOff>1209040</xdr:rowOff>
    </xdr:to>
    <xdr:pic>
      <xdr:nvPicPr>
        <xdr:cNvPr id="4856" name="Изображение 4855" descr="resizeПП-00251753"/>
        <xdr:cNvPicPr>
          <a:picLocks noChangeAspect="1"/>
        </xdr:cNvPicPr>
      </xdr:nvPicPr>
      <xdr:blipFill>
        <a:blip xmlns:r="http://schemas.openxmlformats.org/officeDocument/2006/relationships" r:embed="rId618"/>
        <a:stretch>
          <a:fillRect/>
        </a:stretch>
      </xdr:blipFill>
      <xdr:spPr>
        <a:xfrm>
          <a:off x="7264400" y="831538850"/>
          <a:ext cx="878840" cy="1183640"/>
        </a:xfrm>
        <a:prstGeom prst="rect">
          <a:avLst/>
        </a:prstGeom>
      </xdr:spPr>
    </xdr:pic>
    <xdr:clientData/>
  </xdr:twoCellAnchor>
  <xdr:twoCellAnchor>
    <xdr:from>
      <xdr:col>8</xdr:col>
      <xdr:colOff>6350</xdr:colOff>
      <xdr:row>886</xdr:row>
      <xdr:rowOff>25400</xdr:rowOff>
    </xdr:from>
    <xdr:to>
      <xdr:col>8</xdr:col>
      <xdr:colOff>885190</xdr:colOff>
      <xdr:row>886</xdr:row>
      <xdr:rowOff>1209040</xdr:rowOff>
    </xdr:to>
    <xdr:pic>
      <xdr:nvPicPr>
        <xdr:cNvPr id="4857" name="Изображение 4856" descr="resizeПП-00251754"/>
        <xdr:cNvPicPr>
          <a:picLocks noChangeAspect="1"/>
        </xdr:cNvPicPr>
      </xdr:nvPicPr>
      <xdr:blipFill>
        <a:blip xmlns:r="http://schemas.openxmlformats.org/officeDocument/2006/relationships" r:embed="rId619"/>
        <a:stretch>
          <a:fillRect/>
        </a:stretch>
      </xdr:blipFill>
      <xdr:spPr>
        <a:xfrm>
          <a:off x="7264400" y="832761225"/>
          <a:ext cx="878840" cy="1183640"/>
        </a:xfrm>
        <a:prstGeom prst="rect">
          <a:avLst/>
        </a:prstGeom>
      </xdr:spPr>
    </xdr:pic>
    <xdr:clientData/>
  </xdr:twoCellAnchor>
  <xdr:twoCellAnchor>
    <xdr:from>
      <xdr:col>8</xdr:col>
      <xdr:colOff>6350</xdr:colOff>
      <xdr:row>887</xdr:row>
      <xdr:rowOff>25400</xdr:rowOff>
    </xdr:from>
    <xdr:to>
      <xdr:col>8</xdr:col>
      <xdr:colOff>885190</xdr:colOff>
      <xdr:row>887</xdr:row>
      <xdr:rowOff>1209040</xdr:rowOff>
    </xdr:to>
    <xdr:pic>
      <xdr:nvPicPr>
        <xdr:cNvPr id="4858" name="Изображение 4857" descr="resizeПП-00251756"/>
        <xdr:cNvPicPr>
          <a:picLocks noChangeAspect="1"/>
        </xdr:cNvPicPr>
      </xdr:nvPicPr>
      <xdr:blipFill>
        <a:blip xmlns:r="http://schemas.openxmlformats.org/officeDocument/2006/relationships" r:embed="rId620"/>
        <a:stretch>
          <a:fillRect/>
        </a:stretch>
      </xdr:blipFill>
      <xdr:spPr>
        <a:xfrm>
          <a:off x="7264400" y="833983600"/>
          <a:ext cx="878840" cy="1183640"/>
        </a:xfrm>
        <a:prstGeom prst="rect">
          <a:avLst/>
        </a:prstGeom>
      </xdr:spPr>
    </xdr:pic>
    <xdr:clientData/>
  </xdr:twoCellAnchor>
  <xdr:twoCellAnchor>
    <xdr:from>
      <xdr:col>8</xdr:col>
      <xdr:colOff>6350</xdr:colOff>
      <xdr:row>891</xdr:row>
      <xdr:rowOff>25400</xdr:rowOff>
    </xdr:from>
    <xdr:to>
      <xdr:col>8</xdr:col>
      <xdr:colOff>885190</xdr:colOff>
      <xdr:row>891</xdr:row>
      <xdr:rowOff>1209040</xdr:rowOff>
    </xdr:to>
    <xdr:pic>
      <xdr:nvPicPr>
        <xdr:cNvPr id="4859" name="Изображение 4858" descr="resizeПП-00204299"/>
        <xdr:cNvPicPr>
          <a:picLocks noChangeAspect="1"/>
        </xdr:cNvPicPr>
      </xdr:nvPicPr>
      <xdr:blipFill>
        <a:blip xmlns:r="http://schemas.openxmlformats.org/officeDocument/2006/relationships" r:embed="rId621"/>
        <a:stretch>
          <a:fillRect/>
        </a:stretch>
      </xdr:blipFill>
      <xdr:spPr>
        <a:xfrm>
          <a:off x="7264400" y="835663175"/>
          <a:ext cx="878840" cy="1183640"/>
        </a:xfrm>
        <a:prstGeom prst="rect">
          <a:avLst/>
        </a:prstGeom>
      </xdr:spPr>
    </xdr:pic>
    <xdr:clientData/>
  </xdr:twoCellAnchor>
  <xdr:twoCellAnchor>
    <xdr:from>
      <xdr:col>8</xdr:col>
      <xdr:colOff>6350</xdr:colOff>
      <xdr:row>892</xdr:row>
      <xdr:rowOff>25400</xdr:rowOff>
    </xdr:from>
    <xdr:to>
      <xdr:col>8</xdr:col>
      <xdr:colOff>885190</xdr:colOff>
      <xdr:row>892</xdr:row>
      <xdr:rowOff>1209040</xdr:rowOff>
    </xdr:to>
    <xdr:pic>
      <xdr:nvPicPr>
        <xdr:cNvPr id="4860" name="Изображение 4859" descr="resizeПП-00204297"/>
        <xdr:cNvPicPr>
          <a:picLocks noChangeAspect="1"/>
        </xdr:cNvPicPr>
      </xdr:nvPicPr>
      <xdr:blipFill>
        <a:blip xmlns:r="http://schemas.openxmlformats.org/officeDocument/2006/relationships" r:embed="rId622"/>
        <a:stretch>
          <a:fillRect/>
        </a:stretch>
      </xdr:blipFill>
      <xdr:spPr>
        <a:xfrm>
          <a:off x="7264400" y="836885550"/>
          <a:ext cx="878840" cy="1183640"/>
        </a:xfrm>
        <a:prstGeom prst="rect">
          <a:avLst/>
        </a:prstGeom>
      </xdr:spPr>
    </xdr:pic>
    <xdr:clientData/>
  </xdr:twoCellAnchor>
  <xdr:twoCellAnchor>
    <xdr:from>
      <xdr:col>8</xdr:col>
      <xdr:colOff>6350</xdr:colOff>
      <xdr:row>893</xdr:row>
      <xdr:rowOff>25400</xdr:rowOff>
    </xdr:from>
    <xdr:to>
      <xdr:col>8</xdr:col>
      <xdr:colOff>885190</xdr:colOff>
      <xdr:row>893</xdr:row>
      <xdr:rowOff>1209040</xdr:rowOff>
    </xdr:to>
    <xdr:pic>
      <xdr:nvPicPr>
        <xdr:cNvPr id="4861" name="Изображение 4860" descr="resizeПП-00204303"/>
        <xdr:cNvPicPr>
          <a:picLocks noChangeAspect="1"/>
        </xdr:cNvPicPr>
      </xdr:nvPicPr>
      <xdr:blipFill>
        <a:blip xmlns:r="http://schemas.openxmlformats.org/officeDocument/2006/relationships" r:embed="rId623"/>
        <a:stretch>
          <a:fillRect/>
        </a:stretch>
      </xdr:blipFill>
      <xdr:spPr>
        <a:xfrm>
          <a:off x="7264400" y="838107925"/>
          <a:ext cx="878840" cy="1183640"/>
        </a:xfrm>
        <a:prstGeom prst="rect">
          <a:avLst/>
        </a:prstGeom>
      </xdr:spPr>
    </xdr:pic>
    <xdr:clientData/>
  </xdr:twoCellAnchor>
  <xdr:twoCellAnchor>
    <xdr:from>
      <xdr:col>8</xdr:col>
      <xdr:colOff>6350</xdr:colOff>
      <xdr:row>894</xdr:row>
      <xdr:rowOff>25400</xdr:rowOff>
    </xdr:from>
    <xdr:to>
      <xdr:col>8</xdr:col>
      <xdr:colOff>885190</xdr:colOff>
      <xdr:row>894</xdr:row>
      <xdr:rowOff>1209040</xdr:rowOff>
    </xdr:to>
    <xdr:pic>
      <xdr:nvPicPr>
        <xdr:cNvPr id="4862" name="Изображение 4861" descr="resizeПП-00204302"/>
        <xdr:cNvPicPr>
          <a:picLocks noChangeAspect="1"/>
        </xdr:cNvPicPr>
      </xdr:nvPicPr>
      <xdr:blipFill>
        <a:blip xmlns:r="http://schemas.openxmlformats.org/officeDocument/2006/relationships" r:embed="rId624"/>
        <a:stretch>
          <a:fillRect/>
        </a:stretch>
      </xdr:blipFill>
      <xdr:spPr>
        <a:xfrm>
          <a:off x="7264400" y="839330300"/>
          <a:ext cx="878840" cy="1183640"/>
        </a:xfrm>
        <a:prstGeom prst="rect">
          <a:avLst/>
        </a:prstGeom>
      </xdr:spPr>
    </xdr:pic>
    <xdr:clientData/>
  </xdr:twoCellAnchor>
  <xdr:twoCellAnchor>
    <xdr:from>
      <xdr:col>8</xdr:col>
      <xdr:colOff>6350</xdr:colOff>
      <xdr:row>896</xdr:row>
      <xdr:rowOff>25400</xdr:rowOff>
    </xdr:from>
    <xdr:to>
      <xdr:col>8</xdr:col>
      <xdr:colOff>885190</xdr:colOff>
      <xdr:row>896</xdr:row>
      <xdr:rowOff>1209040</xdr:rowOff>
    </xdr:to>
    <xdr:pic>
      <xdr:nvPicPr>
        <xdr:cNvPr id="4863" name="Изображение 4862" descr="resizeПП-00204294"/>
        <xdr:cNvPicPr>
          <a:picLocks noChangeAspect="1"/>
        </xdr:cNvPicPr>
      </xdr:nvPicPr>
      <xdr:blipFill>
        <a:blip xmlns:r="http://schemas.openxmlformats.org/officeDocument/2006/relationships" r:embed="rId625"/>
        <a:stretch>
          <a:fillRect/>
        </a:stretch>
      </xdr:blipFill>
      <xdr:spPr>
        <a:xfrm>
          <a:off x="7264400" y="840705075"/>
          <a:ext cx="878840" cy="1183640"/>
        </a:xfrm>
        <a:prstGeom prst="rect">
          <a:avLst/>
        </a:prstGeom>
      </xdr:spPr>
    </xdr:pic>
    <xdr:clientData/>
  </xdr:twoCellAnchor>
  <xdr:twoCellAnchor>
    <xdr:from>
      <xdr:col>8</xdr:col>
      <xdr:colOff>6350</xdr:colOff>
      <xdr:row>897</xdr:row>
      <xdr:rowOff>25400</xdr:rowOff>
    </xdr:from>
    <xdr:to>
      <xdr:col>8</xdr:col>
      <xdr:colOff>885190</xdr:colOff>
      <xdr:row>897</xdr:row>
      <xdr:rowOff>1209040</xdr:rowOff>
    </xdr:to>
    <xdr:pic>
      <xdr:nvPicPr>
        <xdr:cNvPr id="4864" name="Изображение 4863" descr="resizeПП-00204295"/>
        <xdr:cNvPicPr>
          <a:picLocks noChangeAspect="1"/>
        </xdr:cNvPicPr>
      </xdr:nvPicPr>
      <xdr:blipFill>
        <a:blip xmlns:r="http://schemas.openxmlformats.org/officeDocument/2006/relationships" r:embed="rId626"/>
        <a:stretch>
          <a:fillRect/>
        </a:stretch>
      </xdr:blipFill>
      <xdr:spPr>
        <a:xfrm>
          <a:off x="7264400" y="841927450"/>
          <a:ext cx="878840" cy="1183640"/>
        </a:xfrm>
        <a:prstGeom prst="rect">
          <a:avLst/>
        </a:prstGeom>
      </xdr:spPr>
    </xdr:pic>
    <xdr:clientData/>
  </xdr:twoCellAnchor>
  <xdr:twoCellAnchor>
    <xdr:from>
      <xdr:col>8</xdr:col>
      <xdr:colOff>6350</xdr:colOff>
      <xdr:row>898</xdr:row>
      <xdr:rowOff>25400</xdr:rowOff>
    </xdr:from>
    <xdr:to>
      <xdr:col>8</xdr:col>
      <xdr:colOff>885190</xdr:colOff>
      <xdr:row>898</xdr:row>
      <xdr:rowOff>1209040</xdr:rowOff>
    </xdr:to>
    <xdr:pic>
      <xdr:nvPicPr>
        <xdr:cNvPr id="4865" name="Изображение 4864" descr="resizeПП-00204296"/>
        <xdr:cNvPicPr>
          <a:picLocks noChangeAspect="1"/>
        </xdr:cNvPicPr>
      </xdr:nvPicPr>
      <xdr:blipFill>
        <a:blip xmlns:r="http://schemas.openxmlformats.org/officeDocument/2006/relationships" r:embed="rId627"/>
        <a:stretch>
          <a:fillRect/>
        </a:stretch>
      </xdr:blipFill>
      <xdr:spPr>
        <a:xfrm>
          <a:off x="7264400" y="843149825"/>
          <a:ext cx="878840" cy="1183640"/>
        </a:xfrm>
        <a:prstGeom prst="rect">
          <a:avLst/>
        </a:prstGeom>
      </xdr:spPr>
    </xdr:pic>
    <xdr:clientData/>
  </xdr:twoCellAnchor>
  <xdr:twoCellAnchor>
    <xdr:from>
      <xdr:col>8</xdr:col>
      <xdr:colOff>6350</xdr:colOff>
      <xdr:row>903</xdr:row>
      <xdr:rowOff>25400</xdr:rowOff>
    </xdr:from>
    <xdr:to>
      <xdr:col>8</xdr:col>
      <xdr:colOff>885190</xdr:colOff>
      <xdr:row>903</xdr:row>
      <xdr:rowOff>1209040</xdr:rowOff>
    </xdr:to>
    <xdr:pic>
      <xdr:nvPicPr>
        <xdr:cNvPr id="4866" name="Изображение 4865" descr="resizeПП-00236035"/>
        <xdr:cNvPicPr>
          <a:picLocks noChangeAspect="1"/>
        </xdr:cNvPicPr>
      </xdr:nvPicPr>
      <xdr:blipFill>
        <a:blip xmlns:r="http://schemas.openxmlformats.org/officeDocument/2006/relationships" r:embed="rId628"/>
        <a:stretch>
          <a:fillRect/>
        </a:stretch>
      </xdr:blipFill>
      <xdr:spPr>
        <a:xfrm>
          <a:off x="7264400" y="844981800"/>
          <a:ext cx="878840" cy="1183640"/>
        </a:xfrm>
        <a:prstGeom prst="rect">
          <a:avLst/>
        </a:prstGeom>
      </xdr:spPr>
    </xdr:pic>
    <xdr:clientData/>
  </xdr:twoCellAnchor>
  <xdr:twoCellAnchor>
    <xdr:from>
      <xdr:col>8</xdr:col>
      <xdr:colOff>6350</xdr:colOff>
      <xdr:row>904</xdr:row>
      <xdr:rowOff>25400</xdr:rowOff>
    </xdr:from>
    <xdr:to>
      <xdr:col>8</xdr:col>
      <xdr:colOff>885190</xdr:colOff>
      <xdr:row>904</xdr:row>
      <xdr:rowOff>1209040</xdr:rowOff>
    </xdr:to>
    <xdr:pic>
      <xdr:nvPicPr>
        <xdr:cNvPr id="4867" name="Изображение 4866" descr="resizeПП-00253468"/>
        <xdr:cNvPicPr>
          <a:picLocks noChangeAspect="1"/>
        </xdr:cNvPicPr>
      </xdr:nvPicPr>
      <xdr:blipFill>
        <a:blip xmlns:r="http://schemas.openxmlformats.org/officeDocument/2006/relationships" r:embed="rId629"/>
        <a:stretch>
          <a:fillRect/>
        </a:stretch>
      </xdr:blipFill>
      <xdr:spPr>
        <a:xfrm>
          <a:off x="7264400" y="846204175"/>
          <a:ext cx="878840" cy="1183640"/>
        </a:xfrm>
        <a:prstGeom prst="rect">
          <a:avLst/>
        </a:prstGeom>
      </xdr:spPr>
    </xdr:pic>
    <xdr:clientData/>
  </xdr:twoCellAnchor>
  <xdr:twoCellAnchor>
    <xdr:from>
      <xdr:col>8</xdr:col>
      <xdr:colOff>6350</xdr:colOff>
      <xdr:row>905</xdr:row>
      <xdr:rowOff>25400</xdr:rowOff>
    </xdr:from>
    <xdr:to>
      <xdr:col>8</xdr:col>
      <xdr:colOff>885190</xdr:colOff>
      <xdr:row>905</xdr:row>
      <xdr:rowOff>1209040</xdr:rowOff>
    </xdr:to>
    <xdr:pic>
      <xdr:nvPicPr>
        <xdr:cNvPr id="4868" name="Изображение 4867" descr="resizeПП-00254630"/>
        <xdr:cNvPicPr>
          <a:picLocks noChangeAspect="1"/>
        </xdr:cNvPicPr>
      </xdr:nvPicPr>
      <xdr:blipFill>
        <a:blip xmlns:r="http://schemas.openxmlformats.org/officeDocument/2006/relationships" r:embed="rId630"/>
        <a:stretch>
          <a:fillRect/>
        </a:stretch>
      </xdr:blipFill>
      <xdr:spPr>
        <a:xfrm>
          <a:off x="7264400" y="847426550"/>
          <a:ext cx="878840" cy="1183640"/>
        </a:xfrm>
        <a:prstGeom prst="rect">
          <a:avLst/>
        </a:prstGeom>
      </xdr:spPr>
    </xdr:pic>
    <xdr:clientData/>
  </xdr:twoCellAnchor>
  <xdr:twoCellAnchor>
    <xdr:from>
      <xdr:col>8</xdr:col>
      <xdr:colOff>6350</xdr:colOff>
      <xdr:row>906</xdr:row>
      <xdr:rowOff>25400</xdr:rowOff>
    </xdr:from>
    <xdr:to>
      <xdr:col>8</xdr:col>
      <xdr:colOff>885190</xdr:colOff>
      <xdr:row>906</xdr:row>
      <xdr:rowOff>1209040</xdr:rowOff>
    </xdr:to>
    <xdr:pic>
      <xdr:nvPicPr>
        <xdr:cNvPr id="4869" name="Изображение 4868" descr="resizeПП-00272527"/>
        <xdr:cNvPicPr>
          <a:picLocks noChangeAspect="1"/>
        </xdr:cNvPicPr>
      </xdr:nvPicPr>
      <xdr:blipFill>
        <a:blip xmlns:r="http://schemas.openxmlformats.org/officeDocument/2006/relationships" r:embed="rId631"/>
        <a:stretch>
          <a:fillRect/>
        </a:stretch>
      </xdr:blipFill>
      <xdr:spPr>
        <a:xfrm>
          <a:off x="7264400" y="848648925"/>
          <a:ext cx="878840" cy="1183640"/>
        </a:xfrm>
        <a:prstGeom prst="rect">
          <a:avLst/>
        </a:prstGeom>
      </xdr:spPr>
    </xdr:pic>
    <xdr:clientData/>
  </xdr:twoCellAnchor>
  <xdr:twoCellAnchor>
    <xdr:from>
      <xdr:col>8</xdr:col>
      <xdr:colOff>6350</xdr:colOff>
      <xdr:row>909</xdr:row>
      <xdr:rowOff>25400</xdr:rowOff>
    </xdr:from>
    <xdr:to>
      <xdr:col>8</xdr:col>
      <xdr:colOff>885190</xdr:colOff>
      <xdr:row>909</xdr:row>
      <xdr:rowOff>1209040</xdr:rowOff>
    </xdr:to>
    <xdr:pic>
      <xdr:nvPicPr>
        <xdr:cNvPr id="4870" name="Изображение 4869" descr="resizeПП-00275648"/>
        <xdr:cNvPicPr>
          <a:picLocks noChangeAspect="1"/>
        </xdr:cNvPicPr>
      </xdr:nvPicPr>
      <xdr:blipFill>
        <a:blip xmlns:r="http://schemas.openxmlformats.org/officeDocument/2006/relationships" r:embed="rId632"/>
        <a:stretch>
          <a:fillRect/>
        </a:stretch>
      </xdr:blipFill>
      <xdr:spPr>
        <a:xfrm>
          <a:off x="7264400" y="850176100"/>
          <a:ext cx="878840" cy="1183640"/>
        </a:xfrm>
        <a:prstGeom prst="rect">
          <a:avLst/>
        </a:prstGeom>
      </xdr:spPr>
    </xdr:pic>
    <xdr:clientData/>
  </xdr:twoCellAnchor>
  <xdr:twoCellAnchor>
    <xdr:from>
      <xdr:col>8</xdr:col>
      <xdr:colOff>6350</xdr:colOff>
      <xdr:row>911</xdr:row>
      <xdr:rowOff>25400</xdr:rowOff>
    </xdr:from>
    <xdr:to>
      <xdr:col>8</xdr:col>
      <xdr:colOff>885190</xdr:colOff>
      <xdr:row>911</xdr:row>
      <xdr:rowOff>1209040</xdr:rowOff>
    </xdr:to>
    <xdr:pic>
      <xdr:nvPicPr>
        <xdr:cNvPr id="4871" name="Изображение 4870" descr="resizeПП-00255182"/>
        <xdr:cNvPicPr>
          <a:picLocks noChangeAspect="1"/>
        </xdr:cNvPicPr>
      </xdr:nvPicPr>
      <xdr:blipFill>
        <a:blip xmlns:r="http://schemas.openxmlformats.org/officeDocument/2006/relationships" r:embed="rId633"/>
        <a:stretch>
          <a:fillRect/>
        </a:stretch>
      </xdr:blipFill>
      <xdr:spPr>
        <a:xfrm>
          <a:off x="7264400" y="851550875"/>
          <a:ext cx="878840" cy="1183640"/>
        </a:xfrm>
        <a:prstGeom prst="rect">
          <a:avLst/>
        </a:prstGeom>
      </xdr:spPr>
    </xdr:pic>
    <xdr:clientData/>
  </xdr:twoCellAnchor>
  <xdr:twoCellAnchor>
    <xdr:from>
      <xdr:col>8</xdr:col>
      <xdr:colOff>6350</xdr:colOff>
      <xdr:row>912</xdr:row>
      <xdr:rowOff>25400</xdr:rowOff>
    </xdr:from>
    <xdr:to>
      <xdr:col>8</xdr:col>
      <xdr:colOff>885190</xdr:colOff>
      <xdr:row>912</xdr:row>
      <xdr:rowOff>1209040</xdr:rowOff>
    </xdr:to>
    <xdr:pic>
      <xdr:nvPicPr>
        <xdr:cNvPr id="4872" name="Изображение 4871" descr="resizeПП-00255183"/>
        <xdr:cNvPicPr>
          <a:picLocks noChangeAspect="1"/>
        </xdr:cNvPicPr>
      </xdr:nvPicPr>
      <xdr:blipFill>
        <a:blip xmlns:r="http://schemas.openxmlformats.org/officeDocument/2006/relationships" r:embed="rId634"/>
        <a:stretch>
          <a:fillRect/>
        </a:stretch>
      </xdr:blipFill>
      <xdr:spPr>
        <a:xfrm>
          <a:off x="7264400" y="852773250"/>
          <a:ext cx="878840" cy="1183640"/>
        </a:xfrm>
        <a:prstGeom prst="rect">
          <a:avLst/>
        </a:prstGeom>
      </xdr:spPr>
    </xdr:pic>
    <xdr:clientData/>
  </xdr:twoCellAnchor>
  <xdr:twoCellAnchor>
    <xdr:from>
      <xdr:col>8</xdr:col>
      <xdr:colOff>6350</xdr:colOff>
      <xdr:row>913</xdr:row>
      <xdr:rowOff>25400</xdr:rowOff>
    </xdr:from>
    <xdr:to>
      <xdr:col>8</xdr:col>
      <xdr:colOff>885190</xdr:colOff>
      <xdr:row>913</xdr:row>
      <xdr:rowOff>1209040</xdr:rowOff>
    </xdr:to>
    <xdr:pic>
      <xdr:nvPicPr>
        <xdr:cNvPr id="4873" name="Изображение 4872" descr="resizeПП-00255179"/>
        <xdr:cNvPicPr>
          <a:picLocks noChangeAspect="1"/>
        </xdr:cNvPicPr>
      </xdr:nvPicPr>
      <xdr:blipFill>
        <a:blip xmlns:r="http://schemas.openxmlformats.org/officeDocument/2006/relationships" r:embed="rId635"/>
        <a:stretch>
          <a:fillRect/>
        </a:stretch>
      </xdr:blipFill>
      <xdr:spPr>
        <a:xfrm>
          <a:off x="7264400" y="853995625"/>
          <a:ext cx="878840" cy="1183640"/>
        </a:xfrm>
        <a:prstGeom prst="rect">
          <a:avLst/>
        </a:prstGeom>
      </xdr:spPr>
    </xdr:pic>
    <xdr:clientData/>
  </xdr:twoCellAnchor>
  <xdr:twoCellAnchor>
    <xdr:from>
      <xdr:col>8</xdr:col>
      <xdr:colOff>6350</xdr:colOff>
      <xdr:row>914</xdr:row>
      <xdr:rowOff>25400</xdr:rowOff>
    </xdr:from>
    <xdr:to>
      <xdr:col>8</xdr:col>
      <xdr:colOff>885190</xdr:colOff>
      <xdr:row>914</xdr:row>
      <xdr:rowOff>1209040</xdr:rowOff>
    </xdr:to>
    <xdr:pic>
      <xdr:nvPicPr>
        <xdr:cNvPr id="4874" name="Изображение 4873" descr="resizeПП-00275637"/>
        <xdr:cNvPicPr>
          <a:picLocks noChangeAspect="1"/>
        </xdr:cNvPicPr>
      </xdr:nvPicPr>
      <xdr:blipFill>
        <a:blip xmlns:r="http://schemas.openxmlformats.org/officeDocument/2006/relationships" r:embed="rId636"/>
        <a:stretch>
          <a:fillRect/>
        </a:stretch>
      </xdr:blipFill>
      <xdr:spPr>
        <a:xfrm>
          <a:off x="7264400" y="855218000"/>
          <a:ext cx="878840" cy="1183640"/>
        </a:xfrm>
        <a:prstGeom prst="rect">
          <a:avLst/>
        </a:prstGeom>
      </xdr:spPr>
    </xdr:pic>
    <xdr:clientData/>
  </xdr:twoCellAnchor>
  <xdr:twoCellAnchor>
    <xdr:from>
      <xdr:col>8</xdr:col>
      <xdr:colOff>6350</xdr:colOff>
      <xdr:row>915</xdr:row>
      <xdr:rowOff>25400</xdr:rowOff>
    </xdr:from>
    <xdr:to>
      <xdr:col>8</xdr:col>
      <xdr:colOff>885190</xdr:colOff>
      <xdr:row>915</xdr:row>
      <xdr:rowOff>1209040</xdr:rowOff>
    </xdr:to>
    <xdr:pic>
      <xdr:nvPicPr>
        <xdr:cNvPr id="4875" name="Изображение 4874" descr="resizeПП-00275640"/>
        <xdr:cNvPicPr>
          <a:picLocks noChangeAspect="1"/>
        </xdr:cNvPicPr>
      </xdr:nvPicPr>
      <xdr:blipFill>
        <a:blip xmlns:r="http://schemas.openxmlformats.org/officeDocument/2006/relationships" r:embed="rId637"/>
        <a:stretch>
          <a:fillRect/>
        </a:stretch>
      </xdr:blipFill>
      <xdr:spPr>
        <a:xfrm>
          <a:off x="7264400" y="856440375"/>
          <a:ext cx="878840" cy="1183640"/>
        </a:xfrm>
        <a:prstGeom prst="rect">
          <a:avLst/>
        </a:prstGeom>
      </xdr:spPr>
    </xdr:pic>
    <xdr:clientData/>
  </xdr:twoCellAnchor>
  <xdr:twoCellAnchor>
    <xdr:from>
      <xdr:col>8</xdr:col>
      <xdr:colOff>6350</xdr:colOff>
      <xdr:row>917</xdr:row>
      <xdr:rowOff>25400</xdr:rowOff>
    </xdr:from>
    <xdr:to>
      <xdr:col>8</xdr:col>
      <xdr:colOff>885190</xdr:colOff>
      <xdr:row>917</xdr:row>
      <xdr:rowOff>1209040</xdr:rowOff>
    </xdr:to>
    <xdr:pic>
      <xdr:nvPicPr>
        <xdr:cNvPr id="4876" name="Изображение 4875" descr="resizeПП-00239900"/>
        <xdr:cNvPicPr>
          <a:picLocks noChangeAspect="1"/>
        </xdr:cNvPicPr>
      </xdr:nvPicPr>
      <xdr:blipFill>
        <a:blip xmlns:r="http://schemas.openxmlformats.org/officeDocument/2006/relationships" r:embed="rId638"/>
        <a:stretch>
          <a:fillRect/>
        </a:stretch>
      </xdr:blipFill>
      <xdr:spPr>
        <a:xfrm>
          <a:off x="7264400" y="857815150"/>
          <a:ext cx="878840" cy="1183640"/>
        </a:xfrm>
        <a:prstGeom prst="rect">
          <a:avLst/>
        </a:prstGeom>
      </xdr:spPr>
    </xdr:pic>
    <xdr:clientData/>
  </xdr:twoCellAnchor>
  <xdr:twoCellAnchor>
    <xdr:from>
      <xdr:col>8</xdr:col>
      <xdr:colOff>6350</xdr:colOff>
      <xdr:row>919</xdr:row>
      <xdr:rowOff>25400</xdr:rowOff>
    </xdr:from>
    <xdr:to>
      <xdr:col>8</xdr:col>
      <xdr:colOff>885190</xdr:colOff>
      <xdr:row>919</xdr:row>
      <xdr:rowOff>1209040</xdr:rowOff>
    </xdr:to>
    <xdr:pic>
      <xdr:nvPicPr>
        <xdr:cNvPr id="4877" name="Изображение 4876" descr="resizeПП-00272417"/>
        <xdr:cNvPicPr>
          <a:picLocks noChangeAspect="1"/>
        </xdr:cNvPicPr>
      </xdr:nvPicPr>
      <xdr:blipFill>
        <a:blip xmlns:r="http://schemas.openxmlformats.org/officeDocument/2006/relationships" r:embed="rId639"/>
        <a:stretch>
          <a:fillRect/>
        </a:stretch>
      </xdr:blipFill>
      <xdr:spPr>
        <a:xfrm>
          <a:off x="7264400" y="859189925"/>
          <a:ext cx="878840" cy="1183640"/>
        </a:xfrm>
        <a:prstGeom prst="rect">
          <a:avLst/>
        </a:prstGeom>
      </xdr:spPr>
    </xdr:pic>
    <xdr:clientData/>
  </xdr:twoCellAnchor>
  <xdr:twoCellAnchor>
    <xdr:from>
      <xdr:col>8</xdr:col>
      <xdr:colOff>6350</xdr:colOff>
      <xdr:row>921</xdr:row>
      <xdr:rowOff>25400</xdr:rowOff>
    </xdr:from>
    <xdr:to>
      <xdr:col>8</xdr:col>
      <xdr:colOff>885190</xdr:colOff>
      <xdr:row>921</xdr:row>
      <xdr:rowOff>1209040</xdr:rowOff>
    </xdr:to>
    <xdr:pic>
      <xdr:nvPicPr>
        <xdr:cNvPr id="4878" name="Изображение 4877" descr="resizeПП-00203457"/>
        <xdr:cNvPicPr>
          <a:picLocks noChangeAspect="1"/>
        </xdr:cNvPicPr>
      </xdr:nvPicPr>
      <xdr:blipFill>
        <a:blip xmlns:r="http://schemas.openxmlformats.org/officeDocument/2006/relationships" r:embed="rId640"/>
        <a:stretch>
          <a:fillRect/>
        </a:stretch>
      </xdr:blipFill>
      <xdr:spPr>
        <a:xfrm>
          <a:off x="7264400" y="860564700"/>
          <a:ext cx="878840" cy="1183640"/>
        </a:xfrm>
        <a:prstGeom prst="rect">
          <a:avLst/>
        </a:prstGeom>
      </xdr:spPr>
    </xdr:pic>
    <xdr:clientData/>
  </xdr:twoCellAnchor>
  <xdr:twoCellAnchor>
    <xdr:from>
      <xdr:col>8</xdr:col>
      <xdr:colOff>6350</xdr:colOff>
      <xdr:row>922</xdr:row>
      <xdr:rowOff>25400</xdr:rowOff>
    </xdr:from>
    <xdr:to>
      <xdr:col>8</xdr:col>
      <xdr:colOff>885190</xdr:colOff>
      <xdr:row>922</xdr:row>
      <xdr:rowOff>1209040</xdr:rowOff>
    </xdr:to>
    <xdr:pic>
      <xdr:nvPicPr>
        <xdr:cNvPr id="4879" name="Изображение 4878" descr="resizeПП-00203449"/>
        <xdr:cNvPicPr>
          <a:picLocks noChangeAspect="1"/>
        </xdr:cNvPicPr>
      </xdr:nvPicPr>
      <xdr:blipFill>
        <a:blip xmlns:r="http://schemas.openxmlformats.org/officeDocument/2006/relationships" r:embed="rId641"/>
        <a:stretch>
          <a:fillRect/>
        </a:stretch>
      </xdr:blipFill>
      <xdr:spPr>
        <a:xfrm>
          <a:off x="7264400" y="861787075"/>
          <a:ext cx="878840" cy="1183640"/>
        </a:xfrm>
        <a:prstGeom prst="rect">
          <a:avLst/>
        </a:prstGeom>
      </xdr:spPr>
    </xdr:pic>
    <xdr:clientData/>
  </xdr:twoCellAnchor>
  <xdr:twoCellAnchor>
    <xdr:from>
      <xdr:col>8</xdr:col>
      <xdr:colOff>6350</xdr:colOff>
      <xdr:row>923</xdr:row>
      <xdr:rowOff>25400</xdr:rowOff>
    </xdr:from>
    <xdr:to>
      <xdr:col>8</xdr:col>
      <xdr:colOff>885190</xdr:colOff>
      <xdr:row>923</xdr:row>
      <xdr:rowOff>1209040</xdr:rowOff>
    </xdr:to>
    <xdr:pic>
      <xdr:nvPicPr>
        <xdr:cNvPr id="4880" name="Изображение 4879" descr="resizeПП-00258175"/>
        <xdr:cNvPicPr>
          <a:picLocks noChangeAspect="1"/>
        </xdr:cNvPicPr>
      </xdr:nvPicPr>
      <xdr:blipFill>
        <a:blip xmlns:r="http://schemas.openxmlformats.org/officeDocument/2006/relationships" r:embed="rId642"/>
        <a:stretch>
          <a:fillRect/>
        </a:stretch>
      </xdr:blipFill>
      <xdr:spPr>
        <a:xfrm>
          <a:off x="7264400" y="863009450"/>
          <a:ext cx="878840" cy="1183640"/>
        </a:xfrm>
        <a:prstGeom prst="rect">
          <a:avLst/>
        </a:prstGeom>
      </xdr:spPr>
    </xdr:pic>
    <xdr:clientData/>
  </xdr:twoCellAnchor>
  <xdr:twoCellAnchor>
    <xdr:from>
      <xdr:col>8</xdr:col>
      <xdr:colOff>6350</xdr:colOff>
      <xdr:row>924</xdr:row>
      <xdr:rowOff>25400</xdr:rowOff>
    </xdr:from>
    <xdr:to>
      <xdr:col>8</xdr:col>
      <xdr:colOff>885190</xdr:colOff>
      <xdr:row>924</xdr:row>
      <xdr:rowOff>1209040</xdr:rowOff>
    </xdr:to>
    <xdr:pic>
      <xdr:nvPicPr>
        <xdr:cNvPr id="4881" name="Изображение 4880" descr="resizeПП-00258173"/>
        <xdr:cNvPicPr>
          <a:picLocks noChangeAspect="1"/>
        </xdr:cNvPicPr>
      </xdr:nvPicPr>
      <xdr:blipFill>
        <a:blip xmlns:r="http://schemas.openxmlformats.org/officeDocument/2006/relationships" r:embed="rId643"/>
        <a:stretch>
          <a:fillRect/>
        </a:stretch>
      </xdr:blipFill>
      <xdr:spPr>
        <a:xfrm>
          <a:off x="7264400" y="864231825"/>
          <a:ext cx="878840" cy="1183640"/>
        </a:xfrm>
        <a:prstGeom prst="rect">
          <a:avLst/>
        </a:prstGeom>
      </xdr:spPr>
    </xdr:pic>
    <xdr:clientData/>
  </xdr:twoCellAnchor>
  <xdr:twoCellAnchor>
    <xdr:from>
      <xdr:col>8</xdr:col>
      <xdr:colOff>6350</xdr:colOff>
      <xdr:row>925</xdr:row>
      <xdr:rowOff>25400</xdr:rowOff>
    </xdr:from>
    <xdr:to>
      <xdr:col>8</xdr:col>
      <xdr:colOff>885190</xdr:colOff>
      <xdr:row>925</xdr:row>
      <xdr:rowOff>1209040</xdr:rowOff>
    </xdr:to>
    <xdr:pic>
      <xdr:nvPicPr>
        <xdr:cNvPr id="4882" name="Изображение 4881" descr="resizeПП-00227873"/>
        <xdr:cNvPicPr>
          <a:picLocks noChangeAspect="1"/>
        </xdr:cNvPicPr>
      </xdr:nvPicPr>
      <xdr:blipFill>
        <a:blip xmlns:r="http://schemas.openxmlformats.org/officeDocument/2006/relationships" r:embed="rId644"/>
        <a:stretch>
          <a:fillRect/>
        </a:stretch>
      </xdr:blipFill>
      <xdr:spPr>
        <a:xfrm>
          <a:off x="7264400" y="865454200"/>
          <a:ext cx="878840" cy="1183640"/>
        </a:xfrm>
        <a:prstGeom prst="rect">
          <a:avLst/>
        </a:prstGeom>
      </xdr:spPr>
    </xdr:pic>
    <xdr:clientData/>
  </xdr:twoCellAnchor>
  <xdr:twoCellAnchor>
    <xdr:from>
      <xdr:col>8</xdr:col>
      <xdr:colOff>6350</xdr:colOff>
      <xdr:row>926</xdr:row>
      <xdr:rowOff>25400</xdr:rowOff>
    </xdr:from>
    <xdr:to>
      <xdr:col>8</xdr:col>
      <xdr:colOff>885190</xdr:colOff>
      <xdr:row>926</xdr:row>
      <xdr:rowOff>1209040</xdr:rowOff>
    </xdr:to>
    <xdr:pic>
      <xdr:nvPicPr>
        <xdr:cNvPr id="4883" name="Изображение 4882" descr="resizeПП-00227874"/>
        <xdr:cNvPicPr>
          <a:picLocks noChangeAspect="1"/>
        </xdr:cNvPicPr>
      </xdr:nvPicPr>
      <xdr:blipFill>
        <a:blip xmlns:r="http://schemas.openxmlformats.org/officeDocument/2006/relationships" r:embed="rId645"/>
        <a:stretch>
          <a:fillRect/>
        </a:stretch>
      </xdr:blipFill>
      <xdr:spPr>
        <a:xfrm>
          <a:off x="7264400" y="866676575"/>
          <a:ext cx="878840" cy="1183640"/>
        </a:xfrm>
        <a:prstGeom prst="rect">
          <a:avLst/>
        </a:prstGeom>
      </xdr:spPr>
    </xdr:pic>
    <xdr:clientData/>
  </xdr:twoCellAnchor>
  <xdr:twoCellAnchor>
    <xdr:from>
      <xdr:col>8</xdr:col>
      <xdr:colOff>6350</xdr:colOff>
      <xdr:row>927</xdr:row>
      <xdr:rowOff>25400</xdr:rowOff>
    </xdr:from>
    <xdr:to>
      <xdr:col>8</xdr:col>
      <xdr:colOff>885190</xdr:colOff>
      <xdr:row>927</xdr:row>
      <xdr:rowOff>1209040</xdr:rowOff>
    </xdr:to>
    <xdr:pic>
      <xdr:nvPicPr>
        <xdr:cNvPr id="4884" name="Изображение 4883" descr="resizeПП-00227875"/>
        <xdr:cNvPicPr>
          <a:picLocks noChangeAspect="1"/>
        </xdr:cNvPicPr>
      </xdr:nvPicPr>
      <xdr:blipFill>
        <a:blip xmlns:r="http://schemas.openxmlformats.org/officeDocument/2006/relationships" r:embed="rId646"/>
        <a:stretch>
          <a:fillRect/>
        </a:stretch>
      </xdr:blipFill>
      <xdr:spPr>
        <a:xfrm>
          <a:off x="7264400" y="867898950"/>
          <a:ext cx="878840" cy="1183640"/>
        </a:xfrm>
        <a:prstGeom prst="rect">
          <a:avLst/>
        </a:prstGeom>
      </xdr:spPr>
    </xdr:pic>
    <xdr:clientData/>
  </xdr:twoCellAnchor>
  <xdr:twoCellAnchor>
    <xdr:from>
      <xdr:col>8</xdr:col>
      <xdr:colOff>6350</xdr:colOff>
      <xdr:row>928</xdr:row>
      <xdr:rowOff>25400</xdr:rowOff>
    </xdr:from>
    <xdr:to>
      <xdr:col>8</xdr:col>
      <xdr:colOff>885190</xdr:colOff>
      <xdr:row>928</xdr:row>
      <xdr:rowOff>1209040</xdr:rowOff>
    </xdr:to>
    <xdr:pic>
      <xdr:nvPicPr>
        <xdr:cNvPr id="4885" name="Изображение 4884" descr="resizeПП-00203442"/>
        <xdr:cNvPicPr>
          <a:picLocks noChangeAspect="1"/>
        </xdr:cNvPicPr>
      </xdr:nvPicPr>
      <xdr:blipFill>
        <a:blip xmlns:r="http://schemas.openxmlformats.org/officeDocument/2006/relationships" r:embed="rId647"/>
        <a:stretch>
          <a:fillRect/>
        </a:stretch>
      </xdr:blipFill>
      <xdr:spPr>
        <a:xfrm>
          <a:off x="7264400" y="869121325"/>
          <a:ext cx="878840" cy="1183640"/>
        </a:xfrm>
        <a:prstGeom prst="rect">
          <a:avLst/>
        </a:prstGeom>
      </xdr:spPr>
    </xdr:pic>
    <xdr:clientData/>
  </xdr:twoCellAnchor>
  <xdr:twoCellAnchor>
    <xdr:from>
      <xdr:col>8</xdr:col>
      <xdr:colOff>6350</xdr:colOff>
      <xdr:row>929</xdr:row>
      <xdr:rowOff>25400</xdr:rowOff>
    </xdr:from>
    <xdr:to>
      <xdr:col>8</xdr:col>
      <xdr:colOff>885190</xdr:colOff>
      <xdr:row>929</xdr:row>
      <xdr:rowOff>1209040</xdr:rowOff>
    </xdr:to>
    <xdr:pic>
      <xdr:nvPicPr>
        <xdr:cNvPr id="4886" name="Изображение 4885" descr="resizeПП-00203440"/>
        <xdr:cNvPicPr>
          <a:picLocks noChangeAspect="1"/>
        </xdr:cNvPicPr>
      </xdr:nvPicPr>
      <xdr:blipFill>
        <a:blip xmlns:r="http://schemas.openxmlformats.org/officeDocument/2006/relationships" r:embed="rId648"/>
        <a:stretch>
          <a:fillRect/>
        </a:stretch>
      </xdr:blipFill>
      <xdr:spPr>
        <a:xfrm>
          <a:off x="7264400" y="870343700"/>
          <a:ext cx="878840" cy="1183640"/>
        </a:xfrm>
        <a:prstGeom prst="rect">
          <a:avLst/>
        </a:prstGeom>
      </xdr:spPr>
    </xdr:pic>
    <xdr:clientData/>
  </xdr:twoCellAnchor>
  <xdr:twoCellAnchor>
    <xdr:from>
      <xdr:col>8</xdr:col>
      <xdr:colOff>6350</xdr:colOff>
      <xdr:row>930</xdr:row>
      <xdr:rowOff>25400</xdr:rowOff>
    </xdr:from>
    <xdr:to>
      <xdr:col>8</xdr:col>
      <xdr:colOff>885190</xdr:colOff>
      <xdr:row>930</xdr:row>
      <xdr:rowOff>1209040</xdr:rowOff>
    </xdr:to>
    <xdr:pic>
      <xdr:nvPicPr>
        <xdr:cNvPr id="4887" name="Изображение 4886" descr="resizeПП-00227877"/>
        <xdr:cNvPicPr>
          <a:picLocks noChangeAspect="1"/>
        </xdr:cNvPicPr>
      </xdr:nvPicPr>
      <xdr:blipFill>
        <a:blip xmlns:r="http://schemas.openxmlformats.org/officeDocument/2006/relationships" r:embed="rId649"/>
        <a:stretch>
          <a:fillRect/>
        </a:stretch>
      </xdr:blipFill>
      <xdr:spPr>
        <a:xfrm>
          <a:off x="7264400" y="871566075"/>
          <a:ext cx="878840" cy="1183640"/>
        </a:xfrm>
        <a:prstGeom prst="rect">
          <a:avLst/>
        </a:prstGeom>
      </xdr:spPr>
    </xdr:pic>
    <xdr:clientData/>
  </xdr:twoCellAnchor>
  <xdr:twoCellAnchor>
    <xdr:from>
      <xdr:col>8</xdr:col>
      <xdr:colOff>6350</xdr:colOff>
      <xdr:row>931</xdr:row>
      <xdr:rowOff>25400</xdr:rowOff>
    </xdr:from>
    <xdr:to>
      <xdr:col>8</xdr:col>
      <xdr:colOff>885190</xdr:colOff>
      <xdr:row>931</xdr:row>
      <xdr:rowOff>1209040</xdr:rowOff>
    </xdr:to>
    <xdr:pic>
      <xdr:nvPicPr>
        <xdr:cNvPr id="4888" name="Изображение 4887" descr="resizeПП-00251501"/>
        <xdr:cNvPicPr>
          <a:picLocks noChangeAspect="1"/>
        </xdr:cNvPicPr>
      </xdr:nvPicPr>
      <xdr:blipFill>
        <a:blip xmlns:r="http://schemas.openxmlformats.org/officeDocument/2006/relationships" r:embed="rId650"/>
        <a:stretch>
          <a:fillRect/>
        </a:stretch>
      </xdr:blipFill>
      <xdr:spPr>
        <a:xfrm>
          <a:off x="7264400" y="872788450"/>
          <a:ext cx="878840" cy="1183640"/>
        </a:xfrm>
        <a:prstGeom prst="rect">
          <a:avLst/>
        </a:prstGeom>
      </xdr:spPr>
    </xdr:pic>
    <xdr:clientData/>
  </xdr:twoCellAnchor>
  <xdr:twoCellAnchor>
    <xdr:from>
      <xdr:col>8</xdr:col>
      <xdr:colOff>6350</xdr:colOff>
      <xdr:row>932</xdr:row>
      <xdr:rowOff>25400</xdr:rowOff>
    </xdr:from>
    <xdr:to>
      <xdr:col>8</xdr:col>
      <xdr:colOff>885190</xdr:colOff>
      <xdr:row>932</xdr:row>
      <xdr:rowOff>1209040</xdr:rowOff>
    </xdr:to>
    <xdr:pic>
      <xdr:nvPicPr>
        <xdr:cNvPr id="4889" name="Изображение 4888" descr="resizeПП-00227876"/>
        <xdr:cNvPicPr>
          <a:picLocks noChangeAspect="1"/>
        </xdr:cNvPicPr>
      </xdr:nvPicPr>
      <xdr:blipFill>
        <a:blip xmlns:r="http://schemas.openxmlformats.org/officeDocument/2006/relationships" r:embed="rId651"/>
        <a:stretch>
          <a:fillRect/>
        </a:stretch>
      </xdr:blipFill>
      <xdr:spPr>
        <a:xfrm>
          <a:off x="7264400" y="874010825"/>
          <a:ext cx="878840" cy="1183640"/>
        </a:xfrm>
        <a:prstGeom prst="rect">
          <a:avLst/>
        </a:prstGeom>
      </xdr:spPr>
    </xdr:pic>
    <xdr:clientData/>
  </xdr:twoCellAnchor>
  <xdr:twoCellAnchor>
    <xdr:from>
      <xdr:col>8</xdr:col>
      <xdr:colOff>6350</xdr:colOff>
      <xdr:row>933</xdr:row>
      <xdr:rowOff>25400</xdr:rowOff>
    </xdr:from>
    <xdr:to>
      <xdr:col>8</xdr:col>
      <xdr:colOff>885190</xdr:colOff>
      <xdr:row>933</xdr:row>
      <xdr:rowOff>1209040</xdr:rowOff>
    </xdr:to>
    <xdr:pic>
      <xdr:nvPicPr>
        <xdr:cNvPr id="4890" name="Изображение 4889" descr="resizeПП-00231875"/>
        <xdr:cNvPicPr>
          <a:picLocks noChangeAspect="1"/>
        </xdr:cNvPicPr>
      </xdr:nvPicPr>
      <xdr:blipFill>
        <a:blip xmlns:r="http://schemas.openxmlformats.org/officeDocument/2006/relationships" r:embed="rId652"/>
        <a:stretch>
          <a:fillRect/>
        </a:stretch>
      </xdr:blipFill>
      <xdr:spPr>
        <a:xfrm>
          <a:off x="7264400" y="875233200"/>
          <a:ext cx="878840" cy="1183640"/>
        </a:xfrm>
        <a:prstGeom prst="rect">
          <a:avLst/>
        </a:prstGeom>
      </xdr:spPr>
    </xdr:pic>
    <xdr:clientData/>
  </xdr:twoCellAnchor>
  <xdr:twoCellAnchor>
    <xdr:from>
      <xdr:col>8</xdr:col>
      <xdr:colOff>6350</xdr:colOff>
      <xdr:row>934</xdr:row>
      <xdr:rowOff>25400</xdr:rowOff>
    </xdr:from>
    <xdr:to>
      <xdr:col>8</xdr:col>
      <xdr:colOff>885190</xdr:colOff>
      <xdr:row>934</xdr:row>
      <xdr:rowOff>1209040</xdr:rowOff>
    </xdr:to>
    <xdr:pic>
      <xdr:nvPicPr>
        <xdr:cNvPr id="4891" name="Изображение 4890" descr="resizeПП-00231873"/>
        <xdr:cNvPicPr>
          <a:picLocks noChangeAspect="1"/>
        </xdr:cNvPicPr>
      </xdr:nvPicPr>
      <xdr:blipFill>
        <a:blip xmlns:r="http://schemas.openxmlformats.org/officeDocument/2006/relationships" r:embed="rId653"/>
        <a:stretch>
          <a:fillRect/>
        </a:stretch>
      </xdr:blipFill>
      <xdr:spPr>
        <a:xfrm>
          <a:off x="7264400" y="876455575"/>
          <a:ext cx="878840" cy="1183640"/>
        </a:xfrm>
        <a:prstGeom prst="rect">
          <a:avLst/>
        </a:prstGeom>
      </xdr:spPr>
    </xdr:pic>
    <xdr:clientData/>
  </xdr:twoCellAnchor>
  <xdr:twoCellAnchor>
    <xdr:from>
      <xdr:col>8</xdr:col>
      <xdr:colOff>6350</xdr:colOff>
      <xdr:row>935</xdr:row>
      <xdr:rowOff>25400</xdr:rowOff>
    </xdr:from>
    <xdr:to>
      <xdr:col>8</xdr:col>
      <xdr:colOff>885190</xdr:colOff>
      <xdr:row>935</xdr:row>
      <xdr:rowOff>1209040</xdr:rowOff>
    </xdr:to>
    <xdr:pic>
      <xdr:nvPicPr>
        <xdr:cNvPr id="4892" name="Изображение 4891" descr="resizeПП-00203444"/>
        <xdr:cNvPicPr>
          <a:picLocks noChangeAspect="1"/>
        </xdr:cNvPicPr>
      </xdr:nvPicPr>
      <xdr:blipFill>
        <a:blip xmlns:r="http://schemas.openxmlformats.org/officeDocument/2006/relationships" r:embed="rId654"/>
        <a:stretch>
          <a:fillRect/>
        </a:stretch>
      </xdr:blipFill>
      <xdr:spPr>
        <a:xfrm>
          <a:off x="7264400" y="877677950"/>
          <a:ext cx="878840" cy="1183640"/>
        </a:xfrm>
        <a:prstGeom prst="rect">
          <a:avLst/>
        </a:prstGeom>
      </xdr:spPr>
    </xdr:pic>
    <xdr:clientData/>
  </xdr:twoCellAnchor>
  <xdr:twoCellAnchor>
    <xdr:from>
      <xdr:col>8</xdr:col>
      <xdr:colOff>6350</xdr:colOff>
      <xdr:row>936</xdr:row>
      <xdr:rowOff>25400</xdr:rowOff>
    </xdr:from>
    <xdr:to>
      <xdr:col>8</xdr:col>
      <xdr:colOff>885190</xdr:colOff>
      <xdr:row>936</xdr:row>
      <xdr:rowOff>1209040</xdr:rowOff>
    </xdr:to>
    <xdr:pic>
      <xdr:nvPicPr>
        <xdr:cNvPr id="4893" name="Изображение 4892" descr="resizeПП-00203445"/>
        <xdr:cNvPicPr>
          <a:picLocks noChangeAspect="1"/>
        </xdr:cNvPicPr>
      </xdr:nvPicPr>
      <xdr:blipFill>
        <a:blip xmlns:r="http://schemas.openxmlformats.org/officeDocument/2006/relationships" r:embed="rId655"/>
        <a:stretch>
          <a:fillRect/>
        </a:stretch>
      </xdr:blipFill>
      <xdr:spPr>
        <a:xfrm>
          <a:off x="7264400" y="878900325"/>
          <a:ext cx="878840" cy="1183640"/>
        </a:xfrm>
        <a:prstGeom prst="rect">
          <a:avLst/>
        </a:prstGeom>
      </xdr:spPr>
    </xdr:pic>
    <xdr:clientData/>
  </xdr:twoCellAnchor>
  <xdr:twoCellAnchor>
    <xdr:from>
      <xdr:col>8</xdr:col>
      <xdr:colOff>6350</xdr:colOff>
      <xdr:row>937</xdr:row>
      <xdr:rowOff>25400</xdr:rowOff>
    </xdr:from>
    <xdr:to>
      <xdr:col>8</xdr:col>
      <xdr:colOff>885190</xdr:colOff>
      <xdr:row>937</xdr:row>
      <xdr:rowOff>1209040</xdr:rowOff>
    </xdr:to>
    <xdr:pic>
      <xdr:nvPicPr>
        <xdr:cNvPr id="4894" name="Изображение 4893" descr="resizeПП-00203446"/>
        <xdr:cNvPicPr>
          <a:picLocks noChangeAspect="1"/>
        </xdr:cNvPicPr>
      </xdr:nvPicPr>
      <xdr:blipFill>
        <a:blip xmlns:r="http://schemas.openxmlformats.org/officeDocument/2006/relationships" r:embed="rId656"/>
        <a:stretch>
          <a:fillRect/>
        </a:stretch>
      </xdr:blipFill>
      <xdr:spPr>
        <a:xfrm>
          <a:off x="7264400" y="880122700"/>
          <a:ext cx="878840" cy="1183640"/>
        </a:xfrm>
        <a:prstGeom prst="rect">
          <a:avLst/>
        </a:prstGeom>
      </xdr:spPr>
    </xdr:pic>
    <xdr:clientData/>
  </xdr:twoCellAnchor>
  <xdr:twoCellAnchor>
    <xdr:from>
      <xdr:col>8</xdr:col>
      <xdr:colOff>6350</xdr:colOff>
      <xdr:row>938</xdr:row>
      <xdr:rowOff>25400</xdr:rowOff>
    </xdr:from>
    <xdr:to>
      <xdr:col>8</xdr:col>
      <xdr:colOff>885190</xdr:colOff>
      <xdr:row>938</xdr:row>
      <xdr:rowOff>1209040</xdr:rowOff>
    </xdr:to>
    <xdr:pic>
      <xdr:nvPicPr>
        <xdr:cNvPr id="4895" name="Изображение 4894" descr="resizeПП-00233458"/>
        <xdr:cNvPicPr>
          <a:picLocks noChangeAspect="1"/>
        </xdr:cNvPicPr>
      </xdr:nvPicPr>
      <xdr:blipFill>
        <a:blip xmlns:r="http://schemas.openxmlformats.org/officeDocument/2006/relationships" r:embed="rId657"/>
        <a:stretch>
          <a:fillRect/>
        </a:stretch>
      </xdr:blipFill>
      <xdr:spPr>
        <a:xfrm>
          <a:off x="7264400" y="881345075"/>
          <a:ext cx="878840" cy="1183640"/>
        </a:xfrm>
        <a:prstGeom prst="rect">
          <a:avLst/>
        </a:prstGeom>
      </xdr:spPr>
    </xdr:pic>
    <xdr:clientData/>
  </xdr:twoCellAnchor>
  <xdr:twoCellAnchor>
    <xdr:from>
      <xdr:col>8</xdr:col>
      <xdr:colOff>6350</xdr:colOff>
      <xdr:row>939</xdr:row>
      <xdr:rowOff>25400</xdr:rowOff>
    </xdr:from>
    <xdr:to>
      <xdr:col>8</xdr:col>
      <xdr:colOff>885190</xdr:colOff>
      <xdr:row>939</xdr:row>
      <xdr:rowOff>1209040</xdr:rowOff>
    </xdr:to>
    <xdr:pic>
      <xdr:nvPicPr>
        <xdr:cNvPr id="4896" name="Изображение 4895" descr="resizeПП-00160363"/>
        <xdr:cNvPicPr>
          <a:picLocks noChangeAspect="1"/>
        </xdr:cNvPicPr>
      </xdr:nvPicPr>
      <xdr:blipFill>
        <a:blip xmlns:r="http://schemas.openxmlformats.org/officeDocument/2006/relationships" r:embed="rId658"/>
        <a:stretch>
          <a:fillRect/>
        </a:stretch>
      </xdr:blipFill>
      <xdr:spPr>
        <a:xfrm>
          <a:off x="7264400" y="882567450"/>
          <a:ext cx="878840" cy="1183640"/>
        </a:xfrm>
        <a:prstGeom prst="rect">
          <a:avLst/>
        </a:prstGeom>
      </xdr:spPr>
    </xdr:pic>
    <xdr:clientData/>
  </xdr:twoCellAnchor>
  <xdr:twoCellAnchor>
    <xdr:from>
      <xdr:col>8</xdr:col>
      <xdr:colOff>6350</xdr:colOff>
      <xdr:row>940</xdr:row>
      <xdr:rowOff>25400</xdr:rowOff>
    </xdr:from>
    <xdr:to>
      <xdr:col>8</xdr:col>
      <xdr:colOff>885190</xdr:colOff>
      <xdr:row>940</xdr:row>
      <xdr:rowOff>1209040</xdr:rowOff>
    </xdr:to>
    <xdr:pic>
      <xdr:nvPicPr>
        <xdr:cNvPr id="4897" name="Изображение 4896" descr="resizeПП-00226288"/>
        <xdr:cNvPicPr>
          <a:picLocks noChangeAspect="1"/>
        </xdr:cNvPicPr>
      </xdr:nvPicPr>
      <xdr:blipFill>
        <a:blip xmlns:r="http://schemas.openxmlformats.org/officeDocument/2006/relationships" r:embed="rId659"/>
        <a:stretch>
          <a:fillRect/>
        </a:stretch>
      </xdr:blipFill>
      <xdr:spPr>
        <a:xfrm>
          <a:off x="7264400" y="883789825"/>
          <a:ext cx="878840" cy="1183640"/>
        </a:xfrm>
        <a:prstGeom prst="rect">
          <a:avLst/>
        </a:prstGeom>
      </xdr:spPr>
    </xdr:pic>
    <xdr:clientData/>
  </xdr:twoCellAnchor>
  <xdr:twoCellAnchor>
    <xdr:from>
      <xdr:col>8</xdr:col>
      <xdr:colOff>6350</xdr:colOff>
      <xdr:row>941</xdr:row>
      <xdr:rowOff>25400</xdr:rowOff>
    </xdr:from>
    <xdr:to>
      <xdr:col>8</xdr:col>
      <xdr:colOff>885190</xdr:colOff>
      <xdr:row>941</xdr:row>
      <xdr:rowOff>1209040</xdr:rowOff>
    </xdr:to>
    <xdr:pic>
      <xdr:nvPicPr>
        <xdr:cNvPr id="4898" name="Изображение 4897" descr="resizeПП-00251500"/>
        <xdr:cNvPicPr>
          <a:picLocks noChangeAspect="1"/>
        </xdr:cNvPicPr>
      </xdr:nvPicPr>
      <xdr:blipFill>
        <a:blip xmlns:r="http://schemas.openxmlformats.org/officeDocument/2006/relationships" r:embed="rId660"/>
        <a:stretch>
          <a:fillRect/>
        </a:stretch>
      </xdr:blipFill>
      <xdr:spPr>
        <a:xfrm>
          <a:off x="7264400" y="885012200"/>
          <a:ext cx="878840" cy="1183640"/>
        </a:xfrm>
        <a:prstGeom prst="rect">
          <a:avLst/>
        </a:prstGeom>
      </xdr:spPr>
    </xdr:pic>
    <xdr:clientData/>
  </xdr:twoCellAnchor>
  <xdr:twoCellAnchor>
    <xdr:from>
      <xdr:col>8</xdr:col>
      <xdr:colOff>6350</xdr:colOff>
      <xdr:row>942</xdr:row>
      <xdr:rowOff>25400</xdr:rowOff>
    </xdr:from>
    <xdr:to>
      <xdr:col>8</xdr:col>
      <xdr:colOff>885190</xdr:colOff>
      <xdr:row>942</xdr:row>
      <xdr:rowOff>1209040</xdr:rowOff>
    </xdr:to>
    <xdr:pic>
      <xdr:nvPicPr>
        <xdr:cNvPr id="4899" name="Изображение 4898" descr="resizeПП-00231877"/>
        <xdr:cNvPicPr>
          <a:picLocks noChangeAspect="1"/>
        </xdr:cNvPicPr>
      </xdr:nvPicPr>
      <xdr:blipFill>
        <a:blip xmlns:r="http://schemas.openxmlformats.org/officeDocument/2006/relationships" r:embed="rId661"/>
        <a:stretch>
          <a:fillRect/>
        </a:stretch>
      </xdr:blipFill>
      <xdr:spPr>
        <a:xfrm>
          <a:off x="7264400" y="886234575"/>
          <a:ext cx="878840" cy="1183640"/>
        </a:xfrm>
        <a:prstGeom prst="rect">
          <a:avLst/>
        </a:prstGeom>
      </xdr:spPr>
    </xdr:pic>
    <xdr:clientData/>
  </xdr:twoCellAnchor>
  <xdr:twoCellAnchor>
    <xdr:from>
      <xdr:col>8</xdr:col>
      <xdr:colOff>6350</xdr:colOff>
      <xdr:row>946</xdr:row>
      <xdr:rowOff>25400</xdr:rowOff>
    </xdr:from>
    <xdr:to>
      <xdr:col>8</xdr:col>
      <xdr:colOff>885190</xdr:colOff>
      <xdr:row>946</xdr:row>
      <xdr:rowOff>1209040</xdr:rowOff>
    </xdr:to>
    <xdr:pic>
      <xdr:nvPicPr>
        <xdr:cNvPr id="4900" name="Изображение 4899" descr="resizeПП-00228120"/>
        <xdr:cNvPicPr>
          <a:picLocks noChangeAspect="1"/>
        </xdr:cNvPicPr>
      </xdr:nvPicPr>
      <xdr:blipFill>
        <a:blip xmlns:r="http://schemas.openxmlformats.org/officeDocument/2006/relationships" r:embed="rId662"/>
        <a:stretch>
          <a:fillRect/>
        </a:stretch>
      </xdr:blipFill>
      <xdr:spPr>
        <a:xfrm>
          <a:off x="7264400" y="887914150"/>
          <a:ext cx="878840" cy="1183640"/>
        </a:xfrm>
        <a:prstGeom prst="rect">
          <a:avLst/>
        </a:prstGeom>
      </xdr:spPr>
    </xdr:pic>
    <xdr:clientData/>
  </xdr:twoCellAnchor>
  <xdr:twoCellAnchor>
    <xdr:from>
      <xdr:col>8</xdr:col>
      <xdr:colOff>6350</xdr:colOff>
      <xdr:row>947</xdr:row>
      <xdr:rowOff>25400</xdr:rowOff>
    </xdr:from>
    <xdr:to>
      <xdr:col>8</xdr:col>
      <xdr:colOff>885190</xdr:colOff>
      <xdr:row>947</xdr:row>
      <xdr:rowOff>1209040</xdr:rowOff>
    </xdr:to>
    <xdr:pic>
      <xdr:nvPicPr>
        <xdr:cNvPr id="4901" name="Изображение 4900" descr="resizeПП-00228119"/>
        <xdr:cNvPicPr>
          <a:picLocks noChangeAspect="1"/>
        </xdr:cNvPicPr>
      </xdr:nvPicPr>
      <xdr:blipFill>
        <a:blip xmlns:r="http://schemas.openxmlformats.org/officeDocument/2006/relationships" r:embed="rId663"/>
        <a:stretch>
          <a:fillRect/>
        </a:stretch>
      </xdr:blipFill>
      <xdr:spPr>
        <a:xfrm>
          <a:off x="7264400" y="889136525"/>
          <a:ext cx="878840" cy="1183640"/>
        </a:xfrm>
        <a:prstGeom prst="rect">
          <a:avLst/>
        </a:prstGeom>
      </xdr:spPr>
    </xdr:pic>
    <xdr:clientData/>
  </xdr:twoCellAnchor>
  <xdr:twoCellAnchor>
    <xdr:from>
      <xdr:col>8</xdr:col>
      <xdr:colOff>6350</xdr:colOff>
      <xdr:row>948</xdr:row>
      <xdr:rowOff>25400</xdr:rowOff>
    </xdr:from>
    <xdr:to>
      <xdr:col>8</xdr:col>
      <xdr:colOff>885190</xdr:colOff>
      <xdr:row>948</xdr:row>
      <xdr:rowOff>1209040</xdr:rowOff>
    </xdr:to>
    <xdr:pic>
      <xdr:nvPicPr>
        <xdr:cNvPr id="4902" name="Изображение 4901" descr="resizeПП-00274532"/>
        <xdr:cNvPicPr>
          <a:picLocks noChangeAspect="1"/>
        </xdr:cNvPicPr>
      </xdr:nvPicPr>
      <xdr:blipFill>
        <a:blip xmlns:r="http://schemas.openxmlformats.org/officeDocument/2006/relationships" r:embed="rId664"/>
        <a:stretch>
          <a:fillRect/>
        </a:stretch>
      </xdr:blipFill>
      <xdr:spPr>
        <a:xfrm>
          <a:off x="7264400" y="890358900"/>
          <a:ext cx="878840" cy="1183640"/>
        </a:xfrm>
        <a:prstGeom prst="rect">
          <a:avLst/>
        </a:prstGeom>
      </xdr:spPr>
    </xdr:pic>
    <xdr:clientData/>
  </xdr:twoCellAnchor>
  <xdr:twoCellAnchor>
    <xdr:from>
      <xdr:col>8</xdr:col>
      <xdr:colOff>6350</xdr:colOff>
      <xdr:row>949</xdr:row>
      <xdr:rowOff>25400</xdr:rowOff>
    </xdr:from>
    <xdr:to>
      <xdr:col>8</xdr:col>
      <xdr:colOff>885190</xdr:colOff>
      <xdr:row>949</xdr:row>
      <xdr:rowOff>1209040</xdr:rowOff>
    </xdr:to>
    <xdr:pic>
      <xdr:nvPicPr>
        <xdr:cNvPr id="4903" name="Изображение 4902" descr="resizeПП-00228117"/>
        <xdr:cNvPicPr>
          <a:picLocks noChangeAspect="1"/>
        </xdr:cNvPicPr>
      </xdr:nvPicPr>
      <xdr:blipFill>
        <a:blip xmlns:r="http://schemas.openxmlformats.org/officeDocument/2006/relationships" r:embed="rId665"/>
        <a:stretch>
          <a:fillRect/>
        </a:stretch>
      </xdr:blipFill>
      <xdr:spPr>
        <a:xfrm>
          <a:off x="7264400" y="891581275"/>
          <a:ext cx="878840" cy="1183640"/>
        </a:xfrm>
        <a:prstGeom prst="rect">
          <a:avLst/>
        </a:prstGeom>
      </xdr:spPr>
    </xdr:pic>
    <xdr:clientData/>
  </xdr:twoCellAnchor>
  <xdr:twoCellAnchor>
    <xdr:from>
      <xdr:col>8</xdr:col>
      <xdr:colOff>6350</xdr:colOff>
      <xdr:row>950</xdr:row>
      <xdr:rowOff>25400</xdr:rowOff>
    </xdr:from>
    <xdr:to>
      <xdr:col>8</xdr:col>
      <xdr:colOff>885190</xdr:colOff>
      <xdr:row>950</xdr:row>
      <xdr:rowOff>1209040</xdr:rowOff>
    </xdr:to>
    <xdr:pic>
      <xdr:nvPicPr>
        <xdr:cNvPr id="4904" name="Изображение 4903" descr="resizeПП-00228116"/>
        <xdr:cNvPicPr>
          <a:picLocks noChangeAspect="1"/>
        </xdr:cNvPicPr>
      </xdr:nvPicPr>
      <xdr:blipFill>
        <a:blip xmlns:r="http://schemas.openxmlformats.org/officeDocument/2006/relationships" r:embed="rId666"/>
        <a:stretch>
          <a:fillRect/>
        </a:stretch>
      </xdr:blipFill>
      <xdr:spPr>
        <a:xfrm>
          <a:off x="7264400" y="892803650"/>
          <a:ext cx="878840" cy="1183640"/>
        </a:xfrm>
        <a:prstGeom prst="rect">
          <a:avLst/>
        </a:prstGeom>
      </xdr:spPr>
    </xdr:pic>
    <xdr:clientData/>
  </xdr:twoCellAnchor>
  <xdr:twoCellAnchor>
    <xdr:from>
      <xdr:col>8</xdr:col>
      <xdr:colOff>6350</xdr:colOff>
      <xdr:row>951</xdr:row>
      <xdr:rowOff>25400</xdr:rowOff>
    </xdr:from>
    <xdr:to>
      <xdr:col>8</xdr:col>
      <xdr:colOff>885190</xdr:colOff>
      <xdr:row>951</xdr:row>
      <xdr:rowOff>1209040</xdr:rowOff>
    </xdr:to>
    <xdr:pic>
      <xdr:nvPicPr>
        <xdr:cNvPr id="4905" name="Изображение 4904" descr="resizeПП-00274534"/>
        <xdr:cNvPicPr>
          <a:picLocks noChangeAspect="1"/>
        </xdr:cNvPicPr>
      </xdr:nvPicPr>
      <xdr:blipFill>
        <a:blip xmlns:r="http://schemas.openxmlformats.org/officeDocument/2006/relationships" r:embed="rId667"/>
        <a:stretch>
          <a:fillRect/>
        </a:stretch>
      </xdr:blipFill>
      <xdr:spPr>
        <a:xfrm>
          <a:off x="7264400" y="894026025"/>
          <a:ext cx="878840" cy="1183640"/>
        </a:xfrm>
        <a:prstGeom prst="rect">
          <a:avLst/>
        </a:prstGeom>
      </xdr:spPr>
    </xdr:pic>
    <xdr:clientData/>
  </xdr:twoCellAnchor>
  <xdr:twoCellAnchor>
    <xdr:from>
      <xdr:col>8</xdr:col>
      <xdr:colOff>6350</xdr:colOff>
      <xdr:row>952</xdr:row>
      <xdr:rowOff>25400</xdr:rowOff>
    </xdr:from>
    <xdr:to>
      <xdr:col>8</xdr:col>
      <xdr:colOff>885190</xdr:colOff>
      <xdr:row>952</xdr:row>
      <xdr:rowOff>1209040</xdr:rowOff>
    </xdr:to>
    <xdr:pic>
      <xdr:nvPicPr>
        <xdr:cNvPr id="4906" name="Изображение 4905" descr="resizeПП-00274535"/>
        <xdr:cNvPicPr>
          <a:picLocks noChangeAspect="1"/>
        </xdr:cNvPicPr>
      </xdr:nvPicPr>
      <xdr:blipFill>
        <a:blip xmlns:r="http://schemas.openxmlformats.org/officeDocument/2006/relationships" r:embed="rId668"/>
        <a:stretch>
          <a:fillRect/>
        </a:stretch>
      </xdr:blipFill>
      <xdr:spPr>
        <a:xfrm>
          <a:off x="7264400" y="895248400"/>
          <a:ext cx="878840" cy="1183640"/>
        </a:xfrm>
        <a:prstGeom prst="rect">
          <a:avLst/>
        </a:prstGeom>
      </xdr:spPr>
    </xdr:pic>
    <xdr:clientData/>
  </xdr:twoCellAnchor>
  <xdr:twoCellAnchor>
    <xdr:from>
      <xdr:col>8</xdr:col>
      <xdr:colOff>6350</xdr:colOff>
      <xdr:row>953</xdr:row>
      <xdr:rowOff>25400</xdr:rowOff>
    </xdr:from>
    <xdr:to>
      <xdr:col>8</xdr:col>
      <xdr:colOff>885190</xdr:colOff>
      <xdr:row>953</xdr:row>
      <xdr:rowOff>1209040</xdr:rowOff>
    </xdr:to>
    <xdr:pic>
      <xdr:nvPicPr>
        <xdr:cNvPr id="4907" name="Изображение 4906" descr="resizeПП-00274536"/>
        <xdr:cNvPicPr>
          <a:picLocks noChangeAspect="1"/>
        </xdr:cNvPicPr>
      </xdr:nvPicPr>
      <xdr:blipFill>
        <a:blip xmlns:r="http://schemas.openxmlformats.org/officeDocument/2006/relationships" r:embed="rId669"/>
        <a:stretch>
          <a:fillRect/>
        </a:stretch>
      </xdr:blipFill>
      <xdr:spPr>
        <a:xfrm>
          <a:off x="7264400" y="896470775"/>
          <a:ext cx="878840" cy="1183640"/>
        </a:xfrm>
        <a:prstGeom prst="rect">
          <a:avLst/>
        </a:prstGeom>
      </xdr:spPr>
    </xdr:pic>
    <xdr:clientData/>
  </xdr:twoCellAnchor>
  <xdr:twoCellAnchor>
    <xdr:from>
      <xdr:col>8</xdr:col>
      <xdr:colOff>6350</xdr:colOff>
      <xdr:row>954</xdr:row>
      <xdr:rowOff>25400</xdr:rowOff>
    </xdr:from>
    <xdr:to>
      <xdr:col>8</xdr:col>
      <xdr:colOff>885190</xdr:colOff>
      <xdr:row>954</xdr:row>
      <xdr:rowOff>1209040</xdr:rowOff>
    </xdr:to>
    <xdr:pic>
      <xdr:nvPicPr>
        <xdr:cNvPr id="4908" name="Изображение 4907" descr="resizeПП-00279385"/>
        <xdr:cNvPicPr>
          <a:picLocks noChangeAspect="1"/>
        </xdr:cNvPicPr>
      </xdr:nvPicPr>
      <xdr:blipFill>
        <a:blip xmlns:r="http://schemas.openxmlformats.org/officeDocument/2006/relationships" r:embed="rId670"/>
        <a:stretch>
          <a:fillRect/>
        </a:stretch>
      </xdr:blipFill>
      <xdr:spPr>
        <a:xfrm>
          <a:off x="7264400" y="897693150"/>
          <a:ext cx="878840" cy="1183640"/>
        </a:xfrm>
        <a:prstGeom prst="rect">
          <a:avLst/>
        </a:prstGeom>
      </xdr:spPr>
    </xdr:pic>
    <xdr:clientData/>
  </xdr:twoCellAnchor>
  <xdr:twoCellAnchor>
    <xdr:from>
      <xdr:col>8</xdr:col>
      <xdr:colOff>6350</xdr:colOff>
      <xdr:row>956</xdr:row>
      <xdr:rowOff>25400</xdr:rowOff>
    </xdr:from>
    <xdr:to>
      <xdr:col>8</xdr:col>
      <xdr:colOff>885190</xdr:colOff>
      <xdr:row>956</xdr:row>
      <xdr:rowOff>1209040</xdr:rowOff>
    </xdr:to>
    <xdr:pic>
      <xdr:nvPicPr>
        <xdr:cNvPr id="4909" name="Изображение 4908" descr="resizeПП-00278197"/>
        <xdr:cNvPicPr>
          <a:picLocks noChangeAspect="1"/>
        </xdr:cNvPicPr>
      </xdr:nvPicPr>
      <xdr:blipFill>
        <a:blip xmlns:r="http://schemas.openxmlformats.org/officeDocument/2006/relationships" r:embed="rId671"/>
        <a:stretch>
          <a:fillRect/>
        </a:stretch>
      </xdr:blipFill>
      <xdr:spPr>
        <a:xfrm>
          <a:off x="7264400" y="899067925"/>
          <a:ext cx="878840" cy="1183640"/>
        </a:xfrm>
        <a:prstGeom prst="rect">
          <a:avLst/>
        </a:prstGeom>
      </xdr:spPr>
    </xdr:pic>
    <xdr:clientData/>
  </xdr:twoCellAnchor>
  <xdr:twoCellAnchor>
    <xdr:from>
      <xdr:col>8</xdr:col>
      <xdr:colOff>6350</xdr:colOff>
      <xdr:row>957</xdr:row>
      <xdr:rowOff>25400</xdr:rowOff>
    </xdr:from>
    <xdr:to>
      <xdr:col>8</xdr:col>
      <xdr:colOff>885190</xdr:colOff>
      <xdr:row>957</xdr:row>
      <xdr:rowOff>1209040</xdr:rowOff>
    </xdr:to>
    <xdr:pic>
      <xdr:nvPicPr>
        <xdr:cNvPr id="4910" name="Изображение 4909" descr="resizeПП-00278196"/>
        <xdr:cNvPicPr>
          <a:picLocks noChangeAspect="1"/>
        </xdr:cNvPicPr>
      </xdr:nvPicPr>
      <xdr:blipFill>
        <a:blip xmlns:r="http://schemas.openxmlformats.org/officeDocument/2006/relationships" r:embed="rId672"/>
        <a:stretch>
          <a:fillRect/>
        </a:stretch>
      </xdr:blipFill>
      <xdr:spPr>
        <a:xfrm>
          <a:off x="7264400" y="900290300"/>
          <a:ext cx="878840" cy="1183640"/>
        </a:xfrm>
        <a:prstGeom prst="rect">
          <a:avLst/>
        </a:prstGeom>
      </xdr:spPr>
    </xdr:pic>
    <xdr:clientData/>
  </xdr:twoCellAnchor>
  <xdr:twoCellAnchor>
    <xdr:from>
      <xdr:col>8</xdr:col>
      <xdr:colOff>6350</xdr:colOff>
      <xdr:row>958</xdr:row>
      <xdr:rowOff>25400</xdr:rowOff>
    </xdr:from>
    <xdr:to>
      <xdr:col>8</xdr:col>
      <xdr:colOff>885190</xdr:colOff>
      <xdr:row>958</xdr:row>
      <xdr:rowOff>1209040</xdr:rowOff>
    </xdr:to>
    <xdr:pic>
      <xdr:nvPicPr>
        <xdr:cNvPr id="4911" name="Изображение 4910" descr="resizeПП-00278199"/>
        <xdr:cNvPicPr>
          <a:picLocks noChangeAspect="1"/>
        </xdr:cNvPicPr>
      </xdr:nvPicPr>
      <xdr:blipFill>
        <a:blip xmlns:r="http://schemas.openxmlformats.org/officeDocument/2006/relationships" r:embed="rId673"/>
        <a:stretch>
          <a:fillRect/>
        </a:stretch>
      </xdr:blipFill>
      <xdr:spPr>
        <a:xfrm>
          <a:off x="7264400" y="901512675"/>
          <a:ext cx="878840" cy="1183640"/>
        </a:xfrm>
        <a:prstGeom prst="rect">
          <a:avLst/>
        </a:prstGeom>
      </xdr:spPr>
    </xdr:pic>
    <xdr:clientData/>
  </xdr:twoCellAnchor>
  <xdr:twoCellAnchor>
    <xdr:from>
      <xdr:col>8</xdr:col>
      <xdr:colOff>6350</xdr:colOff>
      <xdr:row>959</xdr:row>
      <xdr:rowOff>25400</xdr:rowOff>
    </xdr:from>
    <xdr:to>
      <xdr:col>8</xdr:col>
      <xdr:colOff>885190</xdr:colOff>
      <xdr:row>959</xdr:row>
      <xdr:rowOff>1209040</xdr:rowOff>
    </xdr:to>
    <xdr:pic>
      <xdr:nvPicPr>
        <xdr:cNvPr id="4912" name="Изображение 4911" descr="resizeПП-00278198"/>
        <xdr:cNvPicPr>
          <a:picLocks noChangeAspect="1"/>
        </xdr:cNvPicPr>
      </xdr:nvPicPr>
      <xdr:blipFill>
        <a:blip xmlns:r="http://schemas.openxmlformats.org/officeDocument/2006/relationships" r:embed="rId674"/>
        <a:stretch>
          <a:fillRect/>
        </a:stretch>
      </xdr:blipFill>
      <xdr:spPr>
        <a:xfrm>
          <a:off x="7264400" y="902735050"/>
          <a:ext cx="878840" cy="1183640"/>
        </a:xfrm>
        <a:prstGeom prst="rect">
          <a:avLst/>
        </a:prstGeom>
      </xdr:spPr>
    </xdr:pic>
    <xdr:clientData/>
  </xdr:twoCellAnchor>
  <xdr:twoCellAnchor>
    <xdr:from>
      <xdr:col>8</xdr:col>
      <xdr:colOff>6350</xdr:colOff>
      <xdr:row>961</xdr:row>
      <xdr:rowOff>25400</xdr:rowOff>
    </xdr:from>
    <xdr:to>
      <xdr:col>8</xdr:col>
      <xdr:colOff>885190</xdr:colOff>
      <xdr:row>961</xdr:row>
      <xdr:rowOff>1209040</xdr:rowOff>
    </xdr:to>
    <xdr:pic>
      <xdr:nvPicPr>
        <xdr:cNvPr id="4913" name="Изображение 4912" descr="resizeПП-00228112"/>
        <xdr:cNvPicPr>
          <a:picLocks noChangeAspect="1"/>
        </xdr:cNvPicPr>
      </xdr:nvPicPr>
      <xdr:blipFill>
        <a:blip xmlns:r="http://schemas.openxmlformats.org/officeDocument/2006/relationships" r:embed="rId675"/>
        <a:stretch>
          <a:fillRect/>
        </a:stretch>
      </xdr:blipFill>
      <xdr:spPr>
        <a:xfrm>
          <a:off x="7264400" y="904109825"/>
          <a:ext cx="878840" cy="1183640"/>
        </a:xfrm>
        <a:prstGeom prst="rect">
          <a:avLst/>
        </a:prstGeom>
      </xdr:spPr>
    </xdr:pic>
    <xdr:clientData/>
  </xdr:twoCellAnchor>
  <xdr:twoCellAnchor>
    <xdr:from>
      <xdr:col>8</xdr:col>
      <xdr:colOff>6350</xdr:colOff>
      <xdr:row>962</xdr:row>
      <xdr:rowOff>25400</xdr:rowOff>
    </xdr:from>
    <xdr:to>
      <xdr:col>8</xdr:col>
      <xdr:colOff>885190</xdr:colOff>
      <xdr:row>962</xdr:row>
      <xdr:rowOff>1209040</xdr:rowOff>
    </xdr:to>
    <xdr:pic>
      <xdr:nvPicPr>
        <xdr:cNvPr id="4914" name="Изображение 4913" descr="resizeПП-00228122"/>
        <xdr:cNvPicPr>
          <a:picLocks noChangeAspect="1"/>
        </xdr:cNvPicPr>
      </xdr:nvPicPr>
      <xdr:blipFill>
        <a:blip xmlns:r="http://schemas.openxmlformats.org/officeDocument/2006/relationships" r:embed="rId676"/>
        <a:stretch>
          <a:fillRect/>
        </a:stretch>
      </xdr:blipFill>
      <xdr:spPr>
        <a:xfrm>
          <a:off x="7264400" y="905332200"/>
          <a:ext cx="878840" cy="1183640"/>
        </a:xfrm>
        <a:prstGeom prst="rect">
          <a:avLst/>
        </a:prstGeom>
      </xdr:spPr>
    </xdr:pic>
    <xdr:clientData/>
  </xdr:twoCellAnchor>
  <xdr:twoCellAnchor>
    <xdr:from>
      <xdr:col>8</xdr:col>
      <xdr:colOff>6350</xdr:colOff>
      <xdr:row>964</xdr:row>
      <xdr:rowOff>25400</xdr:rowOff>
    </xdr:from>
    <xdr:to>
      <xdr:col>8</xdr:col>
      <xdr:colOff>885190</xdr:colOff>
      <xdr:row>964</xdr:row>
      <xdr:rowOff>1209040</xdr:rowOff>
    </xdr:to>
    <xdr:pic>
      <xdr:nvPicPr>
        <xdr:cNvPr id="4915" name="Изображение 4914" descr="resizeПП-00255397"/>
        <xdr:cNvPicPr>
          <a:picLocks noChangeAspect="1"/>
        </xdr:cNvPicPr>
      </xdr:nvPicPr>
      <xdr:blipFill>
        <a:blip xmlns:r="http://schemas.openxmlformats.org/officeDocument/2006/relationships" r:embed="rId677"/>
        <a:stretch>
          <a:fillRect/>
        </a:stretch>
      </xdr:blipFill>
      <xdr:spPr>
        <a:xfrm>
          <a:off x="7264400" y="906706975"/>
          <a:ext cx="878840" cy="1183640"/>
        </a:xfrm>
        <a:prstGeom prst="rect">
          <a:avLst/>
        </a:prstGeom>
      </xdr:spPr>
    </xdr:pic>
    <xdr:clientData/>
  </xdr:twoCellAnchor>
  <xdr:twoCellAnchor>
    <xdr:from>
      <xdr:col>8</xdr:col>
      <xdr:colOff>6350</xdr:colOff>
      <xdr:row>965</xdr:row>
      <xdr:rowOff>25400</xdr:rowOff>
    </xdr:from>
    <xdr:to>
      <xdr:col>8</xdr:col>
      <xdr:colOff>885190</xdr:colOff>
      <xdr:row>965</xdr:row>
      <xdr:rowOff>1209040</xdr:rowOff>
    </xdr:to>
    <xdr:pic>
      <xdr:nvPicPr>
        <xdr:cNvPr id="4916" name="Изображение 4915" descr="resizeПП-00255396"/>
        <xdr:cNvPicPr>
          <a:picLocks noChangeAspect="1"/>
        </xdr:cNvPicPr>
      </xdr:nvPicPr>
      <xdr:blipFill>
        <a:blip xmlns:r="http://schemas.openxmlformats.org/officeDocument/2006/relationships" r:embed="rId678"/>
        <a:stretch>
          <a:fillRect/>
        </a:stretch>
      </xdr:blipFill>
      <xdr:spPr>
        <a:xfrm>
          <a:off x="7264400" y="907929350"/>
          <a:ext cx="878840" cy="1183640"/>
        </a:xfrm>
        <a:prstGeom prst="rect">
          <a:avLst/>
        </a:prstGeom>
      </xdr:spPr>
    </xdr:pic>
    <xdr:clientData/>
  </xdr:twoCellAnchor>
  <xdr:twoCellAnchor>
    <xdr:from>
      <xdr:col>8</xdr:col>
      <xdr:colOff>6350</xdr:colOff>
      <xdr:row>967</xdr:row>
      <xdr:rowOff>25400</xdr:rowOff>
    </xdr:from>
    <xdr:to>
      <xdr:col>8</xdr:col>
      <xdr:colOff>885190</xdr:colOff>
      <xdr:row>967</xdr:row>
      <xdr:rowOff>1209040</xdr:rowOff>
    </xdr:to>
    <xdr:pic>
      <xdr:nvPicPr>
        <xdr:cNvPr id="4917" name="Изображение 4916" descr="resizeПП-00228121"/>
        <xdr:cNvPicPr>
          <a:picLocks noChangeAspect="1"/>
        </xdr:cNvPicPr>
      </xdr:nvPicPr>
      <xdr:blipFill>
        <a:blip xmlns:r="http://schemas.openxmlformats.org/officeDocument/2006/relationships" r:embed="rId679"/>
        <a:stretch>
          <a:fillRect/>
        </a:stretch>
      </xdr:blipFill>
      <xdr:spPr>
        <a:xfrm>
          <a:off x="7264400" y="909304125"/>
          <a:ext cx="878840" cy="1183640"/>
        </a:xfrm>
        <a:prstGeom prst="rect">
          <a:avLst/>
        </a:prstGeom>
      </xdr:spPr>
    </xdr:pic>
    <xdr:clientData/>
  </xdr:twoCellAnchor>
  <xdr:twoCellAnchor>
    <xdr:from>
      <xdr:col>8</xdr:col>
      <xdr:colOff>6350</xdr:colOff>
      <xdr:row>968</xdr:row>
      <xdr:rowOff>25400</xdr:rowOff>
    </xdr:from>
    <xdr:to>
      <xdr:col>8</xdr:col>
      <xdr:colOff>885190</xdr:colOff>
      <xdr:row>968</xdr:row>
      <xdr:rowOff>1209040</xdr:rowOff>
    </xdr:to>
    <xdr:pic>
      <xdr:nvPicPr>
        <xdr:cNvPr id="4918" name="Изображение 4917" descr="resizeПП-00228113"/>
        <xdr:cNvPicPr>
          <a:picLocks noChangeAspect="1"/>
        </xdr:cNvPicPr>
      </xdr:nvPicPr>
      <xdr:blipFill>
        <a:blip xmlns:r="http://schemas.openxmlformats.org/officeDocument/2006/relationships" r:embed="rId680"/>
        <a:stretch>
          <a:fillRect/>
        </a:stretch>
      </xdr:blipFill>
      <xdr:spPr>
        <a:xfrm>
          <a:off x="7264400" y="910526500"/>
          <a:ext cx="878840" cy="1183640"/>
        </a:xfrm>
        <a:prstGeom prst="rect">
          <a:avLst/>
        </a:prstGeom>
      </xdr:spPr>
    </xdr:pic>
    <xdr:clientData/>
  </xdr:twoCellAnchor>
  <xdr:twoCellAnchor>
    <xdr:from>
      <xdr:col>8</xdr:col>
      <xdr:colOff>6350</xdr:colOff>
      <xdr:row>969</xdr:row>
      <xdr:rowOff>25400</xdr:rowOff>
    </xdr:from>
    <xdr:to>
      <xdr:col>8</xdr:col>
      <xdr:colOff>885190</xdr:colOff>
      <xdr:row>969</xdr:row>
      <xdr:rowOff>1209040</xdr:rowOff>
    </xdr:to>
    <xdr:pic>
      <xdr:nvPicPr>
        <xdr:cNvPr id="4919" name="Изображение 4918" descr="resizeПП-00236788"/>
        <xdr:cNvPicPr>
          <a:picLocks noChangeAspect="1"/>
        </xdr:cNvPicPr>
      </xdr:nvPicPr>
      <xdr:blipFill>
        <a:blip xmlns:r="http://schemas.openxmlformats.org/officeDocument/2006/relationships" r:embed="rId681"/>
        <a:stretch>
          <a:fillRect/>
        </a:stretch>
      </xdr:blipFill>
      <xdr:spPr>
        <a:xfrm>
          <a:off x="7264400" y="911748875"/>
          <a:ext cx="878840" cy="1183640"/>
        </a:xfrm>
        <a:prstGeom prst="rect">
          <a:avLst/>
        </a:prstGeom>
      </xdr:spPr>
    </xdr:pic>
    <xdr:clientData/>
  </xdr:twoCellAnchor>
  <xdr:twoCellAnchor>
    <xdr:from>
      <xdr:col>8</xdr:col>
      <xdr:colOff>6350</xdr:colOff>
      <xdr:row>972</xdr:row>
      <xdr:rowOff>25400</xdr:rowOff>
    </xdr:from>
    <xdr:to>
      <xdr:col>8</xdr:col>
      <xdr:colOff>885190</xdr:colOff>
      <xdr:row>972</xdr:row>
      <xdr:rowOff>1209040</xdr:rowOff>
    </xdr:to>
    <xdr:pic>
      <xdr:nvPicPr>
        <xdr:cNvPr id="4920" name="Изображение 4919" descr="resizeПП-00211147"/>
        <xdr:cNvPicPr>
          <a:picLocks noChangeAspect="1"/>
        </xdr:cNvPicPr>
      </xdr:nvPicPr>
      <xdr:blipFill>
        <a:blip xmlns:r="http://schemas.openxmlformats.org/officeDocument/2006/relationships" r:embed="rId682"/>
        <a:stretch>
          <a:fillRect/>
        </a:stretch>
      </xdr:blipFill>
      <xdr:spPr>
        <a:xfrm>
          <a:off x="7264400" y="913276050"/>
          <a:ext cx="878840" cy="1183640"/>
        </a:xfrm>
        <a:prstGeom prst="rect">
          <a:avLst/>
        </a:prstGeom>
      </xdr:spPr>
    </xdr:pic>
    <xdr:clientData/>
  </xdr:twoCellAnchor>
  <xdr:twoCellAnchor>
    <xdr:from>
      <xdr:col>8</xdr:col>
      <xdr:colOff>6350</xdr:colOff>
      <xdr:row>973</xdr:row>
      <xdr:rowOff>25400</xdr:rowOff>
    </xdr:from>
    <xdr:to>
      <xdr:col>8</xdr:col>
      <xdr:colOff>885190</xdr:colOff>
      <xdr:row>973</xdr:row>
      <xdr:rowOff>1209040</xdr:rowOff>
    </xdr:to>
    <xdr:pic>
      <xdr:nvPicPr>
        <xdr:cNvPr id="4921" name="Изображение 4920" descr="resizeПП-00251174"/>
        <xdr:cNvPicPr>
          <a:picLocks noChangeAspect="1"/>
        </xdr:cNvPicPr>
      </xdr:nvPicPr>
      <xdr:blipFill>
        <a:blip xmlns:r="http://schemas.openxmlformats.org/officeDocument/2006/relationships" r:embed="rId683"/>
        <a:stretch>
          <a:fillRect/>
        </a:stretch>
      </xdr:blipFill>
      <xdr:spPr>
        <a:xfrm>
          <a:off x="7264400" y="914498425"/>
          <a:ext cx="878840" cy="1183640"/>
        </a:xfrm>
        <a:prstGeom prst="rect">
          <a:avLst/>
        </a:prstGeom>
      </xdr:spPr>
    </xdr:pic>
    <xdr:clientData/>
  </xdr:twoCellAnchor>
  <xdr:twoCellAnchor>
    <xdr:from>
      <xdr:col>8</xdr:col>
      <xdr:colOff>6350</xdr:colOff>
      <xdr:row>974</xdr:row>
      <xdr:rowOff>25400</xdr:rowOff>
    </xdr:from>
    <xdr:to>
      <xdr:col>8</xdr:col>
      <xdr:colOff>885190</xdr:colOff>
      <xdr:row>974</xdr:row>
      <xdr:rowOff>1209040</xdr:rowOff>
    </xdr:to>
    <xdr:pic>
      <xdr:nvPicPr>
        <xdr:cNvPr id="4922" name="Изображение 4921" descr="resizeПП-00251154"/>
        <xdr:cNvPicPr>
          <a:picLocks noChangeAspect="1"/>
        </xdr:cNvPicPr>
      </xdr:nvPicPr>
      <xdr:blipFill>
        <a:blip xmlns:r="http://schemas.openxmlformats.org/officeDocument/2006/relationships" r:embed="rId684"/>
        <a:stretch>
          <a:fillRect/>
        </a:stretch>
      </xdr:blipFill>
      <xdr:spPr>
        <a:xfrm>
          <a:off x="7264400" y="915720800"/>
          <a:ext cx="878840" cy="1183640"/>
        </a:xfrm>
        <a:prstGeom prst="rect">
          <a:avLst/>
        </a:prstGeom>
      </xdr:spPr>
    </xdr:pic>
    <xdr:clientData/>
  </xdr:twoCellAnchor>
  <xdr:twoCellAnchor>
    <xdr:from>
      <xdr:col>8</xdr:col>
      <xdr:colOff>6350</xdr:colOff>
      <xdr:row>975</xdr:row>
      <xdr:rowOff>25400</xdr:rowOff>
    </xdr:from>
    <xdr:to>
      <xdr:col>8</xdr:col>
      <xdr:colOff>885190</xdr:colOff>
      <xdr:row>975</xdr:row>
      <xdr:rowOff>1209040</xdr:rowOff>
    </xdr:to>
    <xdr:pic>
      <xdr:nvPicPr>
        <xdr:cNvPr id="4923" name="Изображение 4922" descr="resizeПП-00251145"/>
        <xdr:cNvPicPr>
          <a:picLocks noChangeAspect="1"/>
        </xdr:cNvPicPr>
      </xdr:nvPicPr>
      <xdr:blipFill>
        <a:blip xmlns:r="http://schemas.openxmlformats.org/officeDocument/2006/relationships" r:embed="rId685"/>
        <a:stretch>
          <a:fillRect/>
        </a:stretch>
      </xdr:blipFill>
      <xdr:spPr>
        <a:xfrm>
          <a:off x="7264400" y="916943175"/>
          <a:ext cx="878840" cy="1183640"/>
        </a:xfrm>
        <a:prstGeom prst="rect">
          <a:avLst/>
        </a:prstGeom>
      </xdr:spPr>
    </xdr:pic>
    <xdr:clientData/>
  </xdr:twoCellAnchor>
  <xdr:twoCellAnchor>
    <xdr:from>
      <xdr:col>8</xdr:col>
      <xdr:colOff>6350</xdr:colOff>
      <xdr:row>976</xdr:row>
      <xdr:rowOff>25400</xdr:rowOff>
    </xdr:from>
    <xdr:to>
      <xdr:col>8</xdr:col>
      <xdr:colOff>885190</xdr:colOff>
      <xdr:row>976</xdr:row>
      <xdr:rowOff>1209040</xdr:rowOff>
    </xdr:to>
    <xdr:pic>
      <xdr:nvPicPr>
        <xdr:cNvPr id="4924" name="Изображение 4923" descr="resizeПП-00251148"/>
        <xdr:cNvPicPr>
          <a:picLocks noChangeAspect="1"/>
        </xdr:cNvPicPr>
      </xdr:nvPicPr>
      <xdr:blipFill>
        <a:blip xmlns:r="http://schemas.openxmlformats.org/officeDocument/2006/relationships" r:embed="rId686"/>
        <a:stretch>
          <a:fillRect/>
        </a:stretch>
      </xdr:blipFill>
      <xdr:spPr>
        <a:xfrm>
          <a:off x="7264400" y="918165550"/>
          <a:ext cx="878840" cy="1183640"/>
        </a:xfrm>
        <a:prstGeom prst="rect">
          <a:avLst/>
        </a:prstGeom>
      </xdr:spPr>
    </xdr:pic>
    <xdr:clientData/>
  </xdr:twoCellAnchor>
  <xdr:twoCellAnchor>
    <xdr:from>
      <xdr:col>8</xdr:col>
      <xdr:colOff>6350</xdr:colOff>
      <xdr:row>977</xdr:row>
      <xdr:rowOff>25400</xdr:rowOff>
    </xdr:from>
    <xdr:to>
      <xdr:col>8</xdr:col>
      <xdr:colOff>885190</xdr:colOff>
      <xdr:row>977</xdr:row>
      <xdr:rowOff>1209040</xdr:rowOff>
    </xdr:to>
    <xdr:pic>
      <xdr:nvPicPr>
        <xdr:cNvPr id="4925" name="Изображение 4924" descr="resizeПП-00251147"/>
        <xdr:cNvPicPr>
          <a:picLocks noChangeAspect="1"/>
        </xdr:cNvPicPr>
      </xdr:nvPicPr>
      <xdr:blipFill>
        <a:blip xmlns:r="http://schemas.openxmlformats.org/officeDocument/2006/relationships" r:embed="rId687"/>
        <a:stretch>
          <a:fillRect/>
        </a:stretch>
      </xdr:blipFill>
      <xdr:spPr>
        <a:xfrm>
          <a:off x="7264400" y="919387925"/>
          <a:ext cx="878840" cy="1183640"/>
        </a:xfrm>
        <a:prstGeom prst="rect">
          <a:avLst/>
        </a:prstGeom>
      </xdr:spPr>
    </xdr:pic>
    <xdr:clientData/>
  </xdr:twoCellAnchor>
  <xdr:twoCellAnchor>
    <xdr:from>
      <xdr:col>8</xdr:col>
      <xdr:colOff>6350</xdr:colOff>
      <xdr:row>978</xdr:row>
      <xdr:rowOff>25400</xdr:rowOff>
    </xdr:from>
    <xdr:to>
      <xdr:col>8</xdr:col>
      <xdr:colOff>885190</xdr:colOff>
      <xdr:row>978</xdr:row>
      <xdr:rowOff>1209040</xdr:rowOff>
    </xdr:to>
    <xdr:pic>
      <xdr:nvPicPr>
        <xdr:cNvPr id="4926" name="Изображение 4925" descr="resizeПП-00274924"/>
        <xdr:cNvPicPr>
          <a:picLocks noChangeAspect="1"/>
        </xdr:cNvPicPr>
      </xdr:nvPicPr>
      <xdr:blipFill>
        <a:blip xmlns:r="http://schemas.openxmlformats.org/officeDocument/2006/relationships" r:embed="rId688"/>
        <a:stretch>
          <a:fillRect/>
        </a:stretch>
      </xdr:blipFill>
      <xdr:spPr>
        <a:xfrm>
          <a:off x="7264400" y="920610300"/>
          <a:ext cx="878840" cy="1183640"/>
        </a:xfrm>
        <a:prstGeom prst="rect">
          <a:avLst/>
        </a:prstGeom>
      </xdr:spPr>
    </xdr:pic>
    <xdr:clientData/>
  </xdr:twoCellAnchor>
  <xdr:twoCellAnchor>
    <xdr:from>
      <xdr:col>8</xdr:col>
      <xdr:colOff>6350</xdr:colOff>
      <xdr:row>979</xdr:row>
      <xdr:rowOff>25400</xdr:rowOff>
    </xdr:from>
    <xdr:to>
      <xdr:col>8</xdr:col>
      <xdr:colOff>885190</xdr:colOff>
      <xdr:row>979</xdr:row>
      <xdr:rowOff>1209040</xdr:rowOff>
    </xdr:to>
    <xdr:pic>
      <xdr:nvPicPr>
        <xdr:cNvPr id="4927" name="Изображение 4926" descr="resizeПП-00251161"/>
        <xdr:cNvPicPr>
          <a:picLocks noChangeAspect="1"/>
        </xdr:cNvPicPr>
      </xdr:nvPicPr>
      <xdr:blipFill>
        <a:blip xmlns:r="http://schemas.openxmlformats.org/officeDocument/2006/relationships" r:embed="rId689"/>
        <a:stretch>
          <a:fillRect/>
        </a:stretch>
      </xdr:blipFill>
      <xdr:spPr>
        <a:xfrm>
          <a:off x="7264400" y="921832675"/>
          <a:ext cx="878840" cy="1183640"/>
        </a:xfrm>
        <a:prstGeom prst="rect">
          <a:avLst/>
        </a:prstGeom>
      </xdr:spPr>
    </xdr:pic>
    <xdr:clientData/>
  </xdr:twoCellAnchor>
  <xdr:twoCellAnchor>
    <xdr:from>
      <xdr:col>8</xdr:col>
      <xdr:colOff>6350</xdr:colOff>
      <xdr:row>980</xdr:row>
      <xdr:rowOff>25400</xdr:rowOff>
    </xdr:from>
    <xdr:to>
      <xdr:col>8</xdr:col>
      <xdr:colOff>885190</xdr:colOff>
      <xdr:row>980</xdr:row>
      <xdr:rowOff>1209040</xdr:rowOff>
    </xdr:to>
    <xdr:pic>
      <xdr:nvPicPr>
        <xdr:cNvPr id="4928" name="Изображение 4927" descr="resizeПП-00251176"/>
        <xdr:cNvPicPr>
          <a:picLocks noChangeAspect="1"/>
        </xdr:cNvPicPr>
      </xdr:nvPicPr>
      <xdr:blipFill>
        <a:blip xmlns:r="http://schemas.openxmlformats.org/officeDocument/2006/relationships" r:embed="rId690"/>
        <a:stretch>
          <a:fillRect/>
        </a:stretch>
      </xdr:blipFill>
      <xdr:spPr>
        <a:xfrm>
          <a:off x="7264400" y="923055050"/>
          <a:ext cx="878840" cy="1183640"/>
        </a:xfrm>
        <a:prstGeom prst="rect">
          <a:avLst/>
        </a:prstGeom>
      </xdr:spPr>
    </xdr:pic>
    <xdr:clientData/>
  </xdr:twoCellAnchor>
  <xdr:twoCellAnchor>
    <xdr:from>
      <xdr:col>8</xdr:col>
      <xdr:colOff>6350</xdr:colOff>
      <xdr:row>981</xdr:row>
      <xdr:rowOff>25400</xdr:rowOff>
    </xdr:from>
    <xdr:to>
      <xdr:col>8</xdr:col>
      <xdr:colOff>885190</xdr:colOff>
      <xdr:row>981</xdr:row>
      <xdr:rowOff>1209040</xdr:rowOff>
    </xdr:to>
    <xdr:pic>
      <xdr:nvPicPr>
        <xdr:cNvPr id="4929" name="Изображение 4928" descr="resizeПП-00251160"/>
        <xdr:cNvPicPr>
          <a:picLocks noChangeAspect="1"/>
        </xdr:cNvPicPr>
      </xdr:nvPicPr>
      <xdr:blipFill>
        <a:blip xmlns:r="http://schemas.openxmlformats.org/officeDocument/2006/relationships" r:embed="rId691"/>
        <a:stretch>
          <a:fillRect/>
        </a:stretch>
      </xdr:blipFill>
      <xdr:spPr>
        <a:xfrm>
          <a:off x="7264400" y="924277425"/>
          <a:ext cx="878840" cy="1183640"/>
        </a:xfrm>
        <a:prstGeom prst="rect">
          <a:avLst/>
        </a:prstGeom>
      </xdr:spPr>
    </xdr:pic>
    <xdr:clientData/>
  </xdr:twoCellAnchor>
  <xdr:twoCellAnchor>
    <xdr:from>
      <xdr:col>8</xdr:col>
      <xdr:colOff>6350</xdr:colOff>
      <xdr:row>982</xdr:row>
      <xdr:rowOff>25400</xdr:rowOff>
    </xdr:from>
    <xdr:to>
      <xdr:col>8</xdr:col>
      <xdr:colOff>885190</xdr:colOff>
      <xdr:row>982</xdr:row>
      <xdr:rowOff>1209040</xdr:rowOff>
    </xdr:to>
    <xdr:pic>
      <xdr:nvPicPr>
        <xdr:cNvPr id="4930" name="Изображение 4929" descr="resizeПП-00251155"/>
        <xdr:cNvPicPr>
          <a:picLocks noChangeAspect="1"/>
        </xdr:cNvPicPr>
      </xdr:nvPicPr>
      <xdr:blipFill>
        <a:blip xmlns:r="http://schemas.openxmlformats.org/officeDocument/2006/relationships" r:embed="rId692"/>
        <a:stretch>
          <a:fillRect/>
        </a:stretch>
      </xdr:blipFill>
      <xdr:spPr>
        <a:xfrm>
          <a:off x="7264400" y="925499800"/>
          <a:ext cx="878840" cy="1183640"/>
        </a:xfrm>
        <a:prstGeom prst="rect">
          <a:avLst/>
        </a:prstGeom>
      </xdr:spPr>
    </xdr:pic>
    <xdr:clientData/>
  </xdr:twoCellAnchor>
  <xdr:twoCellAnchor>
    <xdr:from>
      <xdr:col>8</xdr:col>
      <xdr:colOff>6350</xdr:colOff>
      <xdr:row>983</xdr:row>
      <xdr:rowOff>25400</xdr:rowOff>
    </xdr:from>
    <xdr:to>
      <xdr:col>8</xdr:col>
      <xdr:colOff>885190</xdr:colOff>
      <xdr:row>983</xdr:row>
      <xdr:rowOff>1209040</xdr:rowOff>
    </xdr:to>
    <xdr:pic>
      <xdr:nvPicPr>
        <xdr:cNvPr id="4931" name="Изображение 4930" descr="resizeПП-00251159"/>
        <xdr:cNvPicPr>
          <a:picLocks noChangeAspect="1"/>
        </xdr:cNvPicPr>
      </xdr:nvPicPr>
      <xdr:blipFill>
        <a:blip xmlns:r="http://schemas.openxmlformats.org/officeDocument/2006/relationships" r:embed="rId693"/>
        <a:stretch>
          <a:fillRect/>
        </a:stretch>
      </xdr:blipFill>
      <xdr:spPr>
        <a:xfrm>
          <a:off x="7264400" y="926722175"/>
          <a:ext cx="878840" cy="1183640"/>
        </a:xfrm>
        <a:prstGeom prst="rect">
          <a:avLst/>
        </a:prstGeom>
      </xdr:spPr>
    </xdr:pic>
    <xdr:clientData/>
  </xdr:twoCellAnchor>
  <xdr:twoCellAnchor>
    <xdr:from>
      <xdr:col>8</xdr:col>
      <xdr:colOff>6350</xdr:colOff>
      <xdr:row>984</xdr:row>
      <xdr:rowOff>25400</xdr:rowOff>
    </xdr:from>
    <xdr:to>
      <xdr:col>8</xdr:col>
      <xdr:colOff>885190</xdr:colOff>
      <xdr:row>984</xdr:row>
      <xdr:rowOff>1209040</xdr:rowOff>
    </xdr:to>
    <xdr:pic>
      <xdr:nvPicPr>
        <xdr:cNvPr id="4932" name="Изображение 4931" descr="resizeПП-00251175"/>
        <xdr:cNvPicPr>
          <a:picLocks noChangeAspect="1"/>
        </xdr:cNvPicPr>
      </xdr:nvPicPr>
      <xdr:blipFill>
        <a:blip xmlns:r="http://schemas.openxmlformats.org/officeDocument/2006/relationships" r:embed="rId694"/>
        <a:stretch>
          <a:fillRect/>
        </a:stretch>
      </xdr:blipFill>
      <xdr:spPr>
        <a:xfrm>
          <a:off x="7264400" y="927944550"/>
          <a:ext cx="878840" cy="1183640"/>
        </a:xfrm>
        <a:prstGeom prst="rect">
          <a:avLst/>
        </a:prstGeom>
      </xdr:spPr>
    </xdr:pic>
    <xdr:clientData/>
  </xdr:twoCellAnchor>
  <xdr:twoCellAnchor>
    <xdr:from>
      <xdr:col>8</xdr:col>
      <xdr:colOff>6350</xdr:colOff>
      <xdr:row>985</xdr:row>
      <xdr:rowOff>25400</xdr:rowOff>
    </xdr:from>
    <xdr:to>
      <xdr:col>8</xdr:col>
      <xdr:colOff>885190</xdr:colOff>
      <xdr:row>985</xdr:row>
      <xdr:rowOff>1209040</xdr:rowOff>
    </xdr:to>
    <xdr:pic>
      <xdr:nvPicPr>
        <xdr:cNvPr id="4933" name="Изображение 4932" descr="resizeПП-00251168"/>
        <xdr:cNvPicPr>
          <a:picLocks noChangeAspect="1"/>
        </xdr:cNvPicPr>
      </xdr:nvPicPr>
      <xdr:blipFill>
        <a:blip xmlns:r="http://schemas.openxmlformats.org/officeDocument/2006/relationships" r:embed="rId695"/>
        <a:stretch>
          <a:fillRect/>
        </a:stretch>
      </xdr:blipFill>
      <xdr:spPr>
        <a:xfrm>
          <a:off x="7264400" y="929166925"/>
          <a:ext cx="878840" cy="1183640"/>
        </a:xfrm>
        <a:prstGeom prst="rect">
          <a:avLst/>
        </a:prstGeom>
      </xdr:spPr>
    </xdr:pic>
    <xdr:clientData/>
  </xdr:twoCellAnchor>
  <xdr:twoCellAnchor>
    <xdr:from>
      <xdr:col>8</xdr:col>
      <xdr:colOff>6350</xdr:colOff>
      <xdr:row>986</xdr:row>
      <xdr:rowOff>25400</xdr:rowOff>
    </xdr:from>
    <xdr:to>
      <xdr:col>8</xdr:col>
      <xdr:colOff>885190</xdr:colOff>
      <xdr:row>986</xdr:row>
      <xdr:rowOff>1209040</xdr:rowOff>
    </xdr:to>
    <xdr:pic>
      <xdr:nvPicPr>
        <xdr:cNvPr id="4934" name="Изображение 4933" descr="resizeПП-00251178"/>
        <xdr:cNvPicPr>
          <a:picLocks noChangeAspect="1"/>
        </xdr:cNvPicPr>
      </xdr:nvPicPr>
      <xdr:blipFill>
        <a:blip xmlns:r="http://schemas.openxmlformats.org/officeDocument/2006/relationships" r:embed="rId696"/>
        <a:stretch>
          <a:fillRect/>
        </a:stretch>
      </xdr:blipFill>
      <xdr:spPr>
        <a:xfrm>
          <a:off x="7264400" y="930389300"/>
          <a:ext cx="878840" cy="1183640"/>
        </a:xfrm>
        <a:prstGeom prst="rect">
          <a:avLst/>
        </a:prstGeom>
      </xdr:spPr>
    </xdr:pic>
    <xdr:clientData/>
  </xdr:twoCellAnchor>
  <xdr:twoCellAnchor>
    <xdr:from>
      <xdr:col>8</xdr:col>
      <xdr:colOff>6350</xdr:colOff>
      <xdr:row>987</xdr:row>
      <xdr:rowOff>25400</xdr:rowOff>
    </xdr:from>
    <xdr:to>
      <xdr:col>8</xdr:col>
      <xdr:colOff>885190</xdr:colOff>
      <xdr:row>987</xdr:row>
      <xdr:rowOff>1209040</xdr:rowOff>
    </xdr:to>
    <xdr:pic>
      <xdr:nvPicPr>
        <xdr:cNvPr id="4935" name="Изображение 4934" descr="resizeПП-00251172"/>
        <xdr:cNvPicPr>
          <a:picLocks noChangeAspect="1"/>
        </xdr:cNvPicPr>
      </xdr:nvPicPr>
      <xdr:blipFill>
        <a:blip xmlns:r="http://schemas.openxmlformats.org/officeDocument/2006/relationships" r:embed="rId697"/>
        <a:stretch>
          <a:fillRect/>
        </a:stretch>
      </xdr:blipFill>
      <xdr:spPr>
        <a:xfrm>
          <a:off x="7264400" y="931611675"/>
          <a:ext cx="878840" cy="1183640"/>
        </a:xfrm>
        <a:prstGeom prst="rect">
          <a:avLst/>
        </a:prstGeom>
      </xdr:spPr>
    </xdr:pic>
    <xdr:clientData/>
  </xdr:twoCellAnchor>
  <xdr:twoCellAnchor>
    <xdr:from>
      <xdr:col>8</xdr:col>
      <xdr:colOff>6350</xdr:colOff>
      <xdr:row>988</xdr:row>
      <xdr:rowOff>25400</xdr:rowOff>
    </xdr:from>
    <xdr:to>
      <xdr:col>8</xdr:col>
      <xdr:colOff>885190</xdr:colOff>
      <xdr:row>988</xdr:row>
      <xdr:rowOff>1209040</xdr:rowOff>
    </xdr:to>
    <xdr:pic>
      <xdr:nvPicPr>
        <xdr:cNvPr id="4936" name="Изображение 4935" descr="resizeПП-00251169"/>
        <xdr:cNvPicPr>
          <a:picLocks noChangeAspect="1"/>
        </xdr:cNvPicPr>
      </xdr:nvPicPr>
      <xdr:blipFill>
        <a:blip xmlns:r="http://schemas.openxmlformats.org/officeDocument/2006/relationships" r:embed="rId698"/>
        <a:stretch>
          <a:fillRect/>
        </a:stretch>
      </xdr:blipFill>
      <xdr:spPr>
        <a:xfrm>
          <a:off x="7264400" y="932834050"/>
          <a:ext cx="878840" cy="1183640"/>
        </a:xfrm>
        <a:prstGeom prst="rect">
          <a:avLst/>
        </a:prstGeom>
      </xdr:spPr>
    </xdr:pic>
    <xdr:clientData/>
  </xdr:twoCellAnchor>
  <xdr:twoCellAnchor>
    <xdr:from>
      <xdr:col>8</xdr:col>
      <xdr:colOff>6350</xdr:colOff>
      <xdr:row>989</xdr:row>
      <xdr:rowOff>25400</xdr:rowOff>
    </xdr:from>
    <xdr:to>
      <xdr:col>8</xdr:col>
      <xdr:colOff>885190</xdr:colOff>
      <xdr:row>989</xdr:row>
      <xdr:rowOff>1209040</xdr:rowOff>
    </xdr:to>
    <xdr:pic>
      <xdr:nvPicPr>
        <xdr:cNvPr id="4937" name="Изображение 4936" descr="resizeПП-00251149"/>
        <xdr:cNvPicPr>
          <a:picLocks noChangeAspect="1"/>
        </xdr:cNvPicPr>
      </xdr:nvPicPr>
      <xdr:blipFill>
        <a:blip xmlns:r="http://schemas.openxmlformats.org/officeDocument/2006/relationships" r:embed="rId699"/>
        <a:stretch>
          <a:fillRect/>
        </a:stretch>
      </xdr:blipFill>
      <xdr:spPr>
        <a:xfrm>
          <a:off x="7264400" y="934056425"/>
          <a:ext cx="878840" cy="1183640"/>
        </a:xfrm>
        <a:prstGeom prst="rect">
          <a:avLst/>
        </a:prstGeom>
      </xdr:spPr>
    </xdr:pic>
    <xdr:clientData/>
  </xdr:twoCellAnchor>
  <xdr:twoCellAnchor>
    <xdr:from>
      <xdr:col>8</xdr:col>
      <xdr:colOff>6350</xdr:colOff>
      <xdr:row>990</xdr:row>
      <xdr:rowOff>25400</xdr:rowOff>
    </xdr:from>
    <xdr:to>
      <xdr:col>8</xdr:col>
      <xdr:colOff>885190</xdr:colOff>
      <xdr:row>990</xdr:row>
      <xdr:rowOff>1209040</xdr:rowOff>
    </xdr:to>
    <xdr:pic>
      <xdr:nvPicPr>
        <xdr:cNvPr id="4938" name="Изображение 4937" descr="resizeПП-00251177"/>
        <xdr:cNvPicPr>
          <a:picLocks noChangeAspect="1"/>
        </xdr:cNvPicPr>
      </xdr:nvPicPr>
      <xdr:blipFill>
        <a:blip xmlns:r="http://schemas.openxmlformats.org/officeDocument/2006/relationships" r:embed="rId700"/>
        <a:stretch>
          <a:fillRect/>
        </a:stretch>
      </xdr:blipFill>
      <xdr:spPr>
        <a:xfrm>
          <a:off x="7264400" y="935278800"/>
          <a:ext cx="878840" cy="1183640"/>
        </a:xfrm>
        <a:prstGeom prst="rect">
          <a:avLst/>
        </a:prstGeom>
      </xdr:spPr>
    </xdr:pic>
    <xdr:clientData/>
  </xdr:twoCellAnchor>
  <xdr:twoCellAnchor>
    <xdr:from>
      <xdr:col>8</xdr:col>
      <xdr:colOff>6350</xdr:colOff>
      <xdr:row>991</xdr:row>
      <xdr:rowOff>25400</xdr:rowOff>
    </xdr:from>
    <xdr:to>
      <xdr:col>8</xdr:col>
      <xdr:colOff>885190</xdr:colOff>
      <xdr:row>991</xdr:row>
      <xdr:rowOff>1209040</xdr:rowOff>
    </xdr:to>
    <xdr:pic>
      <xdr:nvPicPr>
        <xdr:cNvPr id="4939" name="Изображение 4938" descr="resizeПП-00251167"/>
        <xdr:cNvPicPr>
          <a:picLocks noChangeAspect="1"/>
        </xdr:cNvPicPr>
      </xdr:nvPicPr>
      <xdr:blipFill>
        <a:blip xmlns:r="http://schemas.openxmlformats.org/officeDocument/2006/relationships" r:embed="rId701"/>
        <a:stretch>
          <a:fillRect/>
        </a:stretch>
      </xdr:blipFill>
      <xdr:spPr>
        <a:xfrm>
          <a:off x="7264400" y="936501175"/>
          <a:ext cx="878840" cy="1183640"/>
        </a:xfrm>
        <a:prstGeom prst="rect">
          <a:avLst/>
        </a:prstGeom>
      </xdr:spPr>
    </xdr:pic>
    <xdr:clientData/>
  </xdr:twoCellAnchor>
  <xdr:twoCellAnchor>
    <xdr:from>
      <xdr:col>8</xdr:col>
      <xdr:colOff>6350</xdr:colOff>
      <xdr:row>992</xdr:row>
      <xdr:rowOff>25400</xdr:rowOff>
    </xdr:from>
    <xdr:to>
      <xdr:col>8</xdr:col>
      <xdr:colOff>885190</xdr:colOff>
      <xdr:row>992</xdr:row>
      <xdr:rowOff>1209040</xdr:rowOff>
    </xdr:to>
    <xdr:pic>
      <xdr:nvPicPr>
        <xdr:cNvPr id="4940" name="Изображение 4939" descr="resizeПП-00251156"/>
        <xdr:cNvPicPr>
          <a:picLocks noChangeAspect="1"/>
        </xdr:cNvPicPr>
      </xdr:nvPicPr>
      <xdr:blipFill>
        <a:blip xmlns:r="http://schemas.openxmlformats.org/officeDocument/2006/relationships" r:embed="rId702"/>
        <a:stretch>
          <a:fillRect/>
        </a:stretch>
      </xdr:blipFill>
      <xdr:spPr>
        <a:xfrm>
          <a:off x="7264400" y="937723550"/>
          <a:ext cx="878840" cy="1183640"/>
        </a:xfrm>
        <a:prstGeom prst="rect">
          <a:avLst/>
        </a:prstGeom>
      </xdr:spPr>
    </xdr:pic>
    <xdr:clientData/>
  </xdr:twoCellAnchor>
  <xdr:twoCellAnchor>
    <xdr:from>
      <xdr:col>8</xdr:col>
      <xdr:colOff>6350</xdr:colOff>
      <xdr:row>993</xdr:row>
      <xdr:rowOff>25400</xdr:rowOff>
    </xdr:from>
    <xdr:to>
      <xdr:col>8</xdr:col>
      <xdr:colOff>885190</xdr:colOff>
      <xdr:row>993</xdr:row>
      <xdr:rowOff>1209040</xdr:rowOff>
    </xdr:to>
    <xdr:pic>
      <xdr:nvPicPr>
        <xdr:cNvPr id="4941" name="Изображение 4940" descr="resizeПП-00251166"/>
        <xdr:cNvPicPr>
          <a:picLocks noChangeAspect="1"/>
        </xdr:cNvPicPr>
      </xdr:nvPicPr>
      <xdr:blipFill>
        <a:blip xmlns:r="http://schemas.openxmlformats.org/officeDocument/2006/relationships" r:embed="rId703"/>
        <a:stretch>
          <a:fillRect/>
        </a:stretch>
      </xdr:blipFill>
      <xdr:spPr>
        <a:xfrm>
          <a:off x="7264400" y="938945925"/>
          <a:ext cx="878840" cy="1183640"/>
        </a:xfrm>
        <a:prstGeom prst="rect">
          <a:avLst/>
        </a:prstGeom>
      </xdr:spPr>
    </xdr:pic>
    <xdr:clientData/>
  </xdr:twoCellAnchor>
  <xdr:twoCellAnchor>
    <xdr:from>
      <xdr:col>8</xdr:col>
      <xdr:colOff>6350</xdr:colOff>
      <xdr:row>994</xdr:row>
      <xdr:rowOff>25400</xdr:rowOff>
    </xdr:from>
    <xdr:to>
      <xdr:col>8</xdr:col>
      <xdr:colOff>885190</xdr:colOff>
      <xdr:row>994</xdr:row>
      <xdr:rowOff>1209040</xdr:rowOff>
    </xdr:to>
    <xdr:pic>
      <xdr:nvPicPr>
        <xdr:cNvPr id="4942" name="Изображение 4941" descr="resizeПП-00104479"/>
        <xdr:cNvPicPr>
          <a:picLocks noChangeAspect="1"/>
        </xdr:cNvPicPr>
      </xdr:nvPicPr>
      <xdr:blipFill>
        <a:blip xmlns:r="http://schemas.openxmlformats.org/officeDocument/2006/relationships" r:embed="rId704"/>
        <a:stretch>
          <a:fillRect/>
        </a:stretch>
      </xdr:blipFill>
      <xdr:spPr>
        <a:xfrm>
          <a:off x="7264400" y="940168300"/>
          <a:ext cx="878840" cy="1183640"/>
        </a:xfrm>
        <a:prstGeom prst="rect">
          <a:avLst/>
        </a:prstGeom>
      </xdr:spPr>
    </xdr:pic>
    <xdr:clientData/>
  </xdr:twoCellAnchor>
  <xdr:twoCellAnchor>
    <xdr:from>
      <xdr:col>8</xdr:col>
      <xdr:colOff>6350</xdr:colOff>
      <xdr:row>995</xdr:row>
      <xdr:rowOff>25400</xdr:rowOff>
    </xdr:from>
    <xdr:to>
      <xdr:col>8</xdr:col>
      <xdr:colOff>885190</xdr:colOff>
      <xdr:row>995</xdr:row>
      <xdr:rowOff>1209040</xdr:rowOff>
    </xdr:to>
    <xdr:pic>
      <xdr:nvPicPr>
        <xdr:cNvPr id="4943" name="Изображение 4942" descr="resizeПП-00251463"/>
        <xdr:cNvPicPr>
          <a:picLocks noChangeAspect="1"/>
        </xdr:cNvPicPr>
      </xdr:nvPicPr>
      <xdr:blipFill>
        <a:blip xmlns:r="http://schemas.openxmlformats.org/officeDocument/2006/relationships" r:embed="rId705"/>
        <a:stretch>
          <a:fillRect/>
        </a:stretch>
      </xdr:blipFill>
      <xdr:spPr>
        <a:xfrm>
          <a:off x="7264400" y="941390675"/>
          <a:ext cx="878840" cy="1183640"/>
        </a:xfrm>
        <a:prstGeom prst="rect">
          <a:avLst/>
        </a:prstGeom>
      </xdr:spPr>
    </xdr:pic>
    <xdr:clientData/>
  </xdr:twoCellAnchor>
  <xdr:twoCellAnchor>
    <xdr:from>
      <xdr:col>8</xdr:col>
      <xdr:colOff>6350</xdr:colOff>
      <xdr:row>996</xdr:row>
      <xdr:rowOff>25400</xdr:rowOff>
    </xdr:from>
    <xdr:to>
      <xdr:col>8</xdr:col>
      <xdr:colOff>885190</xdr:colOff>
      <xdr:row>996</xdr:row>
      <xdr:rowOff>1209040</xdr:rowOff>
    </xdr:to>
    <xdr:pic>
      <xdr:nvPicPr>
        <xdr:cNvPr id="4944" name="Изображение 4943" descr="resizeПП-00173050"/>
        <xdr:cNvPicPr>
          <a:picLocks noChangeAspect="1"/>
        </xdr:cNvPicPr>
      </xdr:nvPicPr>
      <xdr:blipFill>
        <a:blip xmlns:r="http://schemas.openxmlformats.org/officeDocument/2006/relationships" r:embed="rId706"/>
        <a:stretch>
          <a:fillRect/>
        </a:stretch>
      </xdr:blipFill>
      <xdr:spPr>
        <a:xfrm>
          <a:off x="7264400" y="942613050"/>
          <a:ext cx="878840" cy="1183640"/>
        </a:xfrm>
        <a:prstGeom prst="rect">
          <a:avLst/>
        </a:prstGeom>
      </xdr:spPr>
    </xdr:pic>
    <xdr:clientData/>
  </xdr:twoCellAnchor>
  <xdr:twoCellAnchor>
    <xdr:from>
      <xdr:col>8</xdr:col>
      <xdr:colOff>6350</xdr:colOff>
      <xdr:row>999</xdr:row>
      <xdr:rowOff>25400</xdr:rowOff>
    </xdr:from>
    <xdr:to>
      <xdr:col>8</xdr:col>
      <xdr:colOff>885190</xdr:colOff>
      <xdr:row>999</xdr:row>
      <xdr:rowOff>1209040</xdr:rowOff>
    </xdr:to>
    <xdr:pic>
      <xdr:nvPicPr>
        <xdr:cNvPr id="4945" name="Изображение 4944" descr="resizeПП-00203006"/>
        <xdr:cNvPicPr>
          <a:picLocks noChangeAspect="1"/>
        </xdr:cNvPicPr>
      </xdr:nvPicPr>
      <xdr:blipFill>
        <a:blip xmlns:r="http://schemas.openxmlformats.org/officeDocument/2006/relationships" r:embed="rId707"/>
        <a:stretch>
          <a:fillRect/>
        </a:stretch>
      </xdr:blipFill>
      <xdr:spPr>
        <a:xfrm>
          <a:off x="7264400" y="944140225"/>
          <a:ext cx="878840" cy="1183640"/>
        </a:xfrm>
        <a:prstGeom prst="rect">
          <a:avLst/>
        </a:prstGeom>
      </xdr:spPr>
    </xdr:pic>
    <xdr:clientData/>
  </xdr:twoCellAnchor>
  <xdr:twoCellAnchor>
    <xdr:from>
      <xdr:col>8</xdr:col>
      <xdr:colOff>6350</xdr:colOff>
      <xdr:row>1000</xdr:row>
      <xdr:rowOff>25400</xdr:rowOff>
    </xdr:from>
    <xdr:to>
      <xdr:col>8</xdr:col>
      <xdr:colOff>885190</xdr:colOff>
      <xdr:row>1000</xdr:row>
      <xdr:rowOff>1209040</xdr:rowOff>
    </xdr:to>
    <xdr:pic>
      <xdr:nvPicPr>
        <xdr:cNvPr id="4946" name="Изображение 4945" descr="resizeПП-00203024"/>
        <xdr:cNvPicPr>
          <a:picLocks noChangeAspect="1"/>
        </xdr:cNvPicPr>
      </xdr:nvPicPr>
      <xdr:blipFill>
        <a:blip xmlns:r="http://schemas.openxmlformats.org/officeDocument/2006/relationships" r:embed="rId708"/>
        <a:stretch>
          <a:fillRect/>
        </a:stretch>
      </xdr:blipFill>
      <xdr:spPr>
        <a:xfrm>
          <a:off x="7264400" y="945362600"/>
          <a:ext cx="878840" cy="1183640"/>
        </a:xfrm>
        <a:prstGeom prst="rect">
          <a:avLst/>
        </a:prstGeom>
      </xdr:spPr>
    </xdr:pic>
    <xdr:clientData/>
  </xdr:twoCellAnchor>
  <xdr:twoCellAnchor>
    <xdr:from>
      <xdr:col>8</xdr:col>
      <xdr:colOff>6350</xdr:colOff>
      <xdr:row>1002</xdr:row>
      <xdr:rowOff>25400</xdr:rowOff>
    </xdr:from>
    <xdr:to>
      <xdr:col>8</xdr:col>
      <xdr:colOff>885190</xdr:colOff>
      <xdr:row>1002</xdr:row>
      <xdr:rowOff>1209040</xdr:rowOff>
    </xdr:to>
    <xdr:pic>
      <xdr:nvPicPr>
        <xdr:cNvPr id="4947" name="Изображение 4946" descr="resizeПП-00203011"/>
        <xdr:cNvPicPr>
          <a:picLocks noChangeAspect="1"/>
        </xdr:cNvPicPr>
      </xdr:nvPicPr>
      <xdr:blipFill>
        <a:blip xmlns:r="http://schemas.openxmlformats.org/officeDocument/2006/relationships" r:embed="rId709"/>
        <a:stretch>
          <a:fillRect/>
        </a:stretch>
      </xdr:blipFill>
      <xdr:spPr>
        <a:xfrm>
          <a:off x="7264400" y="946737375"/>
          <a:ext cx="878840" cy="1183640"/>
        </a:xfrm>
        <a:prstGeom prst="rect">
          <a:avLst/>
        </a:prstGeom>
      </xdr:spPr>
    </xdr:pic>
    <xdr:clientData/>
  </xdr:twoCellAnchor>
  <xdr:twoCellAnchor>
    <xdr:from>
      <xdr:col>8</xdr:col>
      <xdr:colOff>6350</xdr:colOff>
      <xdr:row>1003</xdr:row>
      <xdr:rowOff>25400</xdr:rowOff>
    </xdr:from>
    <xdr:to>
      <xdr:col>8</xdr:col>
      <xdr:colOff>885190</xdr:colOff>
      <xdr:row>1003</xdr:row>
      <xdr:rowOff>1209040</xdr:rowOff>
    </xdr:to>
    <xdr:pic>
      <xdr:nvPicPr>
        <xdr:cNvPr id="4948" name="Изображение 4947" descr="resizeПП-00203008"/>
        <xdr:cNvPicPr>
          <a:picLocks noChangeAspect="1"/>
        </xdr:cNvPicPr>
      </xdr:nvPicPr>
      <xdr:blipFill>
        <a:blip xmlns:r="http://schemas.openxmlformats.org/officeDocument/2006/relationships" r:embed="rId710"/>
        <a:stretch>
          <a:fillRect/>
        </a:stretch>
      </xdr:blipFill>
      <xdr:spPr>
        <a:xfrm>
          <a:off x="7264400" y="947959750"/>
          <a:ext cx="878840" cy="1183640"/>
        </a:xfrm>
        <a:prstGeom prst="rect">
          <a:avLst/>
        </a:prstGeom>
      </xdr:spPr>
    </xdr:pic>
    <xdr:clientData/>
  </xdr:twoCellAnchor>
  <xdr:twoCellAnchor>
    <xdr:from>
      <xdr:col>8</xdr:col>
      <xdr:colOff>6350</xdr:colOff>
      <xdr:row>1004</xdr:row>
      <xdr:rowOff>25400</xdr:rowOff>
    </xdr:from>
    <xdr:to>
      <xdr:col>8</xdr:col>
      <xdr:colOff>885190</xdr:colOff>
      <xdr:row>1004</xdr:row>
      <xdr:rowOff>1209040</xdr:rowOff>
    </xdr:to>
    <xdr:pic>
      <xdr:nvPicPr>
        <xdr:cNvPr id="4949" name="Изображение 4948" descr="resizeПП-00203013"/>
        <xdr:cNvPicPr>
          <a:picLocks noChangeAspect="1"/>
        </xdr:cNvPicPr>
      </xdr:nvPicPr>
      <xdr:blipFill>
        <a:blip xmlns:r="http://schemas.openxmlformats.org/officeDocument/2006/relationships" r:embed="rId711"/>
        <a:stretch>
          <a:fillRect/>
        </a:stretch>
      </xdr:blipFill>
      <xdr:spPr>
        <a:xfrm>
          <a:off x="7264400" y="949182125"/>
          <a:ext cx="878840" cy="1183640"/>
        </a:xfrm>
        <a:prstGeom prst="rect">
          <a:avLst/>
        </a:prstGeom>
      </xdr:spPr>
    </xdr:pic>
    <xdr:clientData/>
  </xdr:twoCellAnchor>
  <xdr:twoCellAnchor>
    <xdr:from>
      <xdr:col>8</xdr:col>
      <xdr:colOff>6350</xdr:colOff>
      <xdr:row>1005</xdr:row>
      <xdr:rowOff>25400</xdr:rowOff>
    </xdr:from>
    <xdr:to>
      <xdr:col>8</xdr:col>
      <xdr:colOff>885190</xdr:colOff>
      <xdr:row>1005</xdr:row>
      <xdr:rowOff>1209040</xdr:rowOff>
    </xdr:to>
    <xdr:pic>
      <xdr:nvPicPr>
        <xdr:cNvPr id="4950" name="Изображение 4949" descr="resizeПП-00203015"/>
        <xdr:cNvPicPr>
          <a:picLocks noChangeAspect="1"/>
        </xdr:cNvPicPr>
      </xdr:nvPicPr>
      <xdr:blipFill>
        <a:blip xmlns:r="http://schemas.openxmlformats.org/officeDocument/2006/relationships" r:embed="rId712"/>
        <a:stretch>
          <a:fillRect/>
        </a:stretch>
      </xdr:blipFill>
      <xdr:spPr>
        <a:xfrm>
          <a:off x="7264400" y="950404500"/>
          <a:ext cx="878840" cy="1183640"/>
        </a:xfrm>
        <a:prstGeom prst="rect">
          <a:avLst/>
        </a:prstGeom>
      </xdr:spPr>
    </xdr:pic>
    <xdr:clientData/>
  </xdr:twoCellAnchor>
  <xdr:twoCellAnchor>
    <xdr:from>
      <xdr:col>8</xdr:col>
      <xdr:colOff>6350</xdr:colOff>
      <xdr:row>1006</xdr:row>
      <xdr:rowOff>25400</xdr:rowOff>
    </xdr:from>
    <xdr:to>
      <xdr:col>8</xdr:col>
      <xdr:colOff>885190</xdr:colOff>
      <xdr:row>1006</xdr:row>
      <xdr:rowOff>1209040</xdr:rowOff>
    </xdr:to>
    <xdr:pic>
      <xdr:nvPicPr>
        <xdr:cNvPr id="4951" name="Изображение 4950" descr="resizeПП-00203009"/>
        <xdr:cNvPicPr>
          <a:picLocks noChangeAspect="1"/>
        </xdr:cNvPicPr>
      </xdr:nvPicPr>
      <xdr:blipFill>
        <a:blip xmlns:r="http://schemas.openxmlformats.org/officeDocument/2006/relationships" r:embed="rId713"/>
        <a:stretch>
          <a:fillRect/>
        </a:stretch>
      </xdr:blipFill>
      <xdr:spPr>
        <a:xfrm>
          <a:off x="7264400" y="951626875"/>
          <a:ext cx="878840" cy="1183640"/>
        </a:xfrm>
        <a:prstGeom prst="rect">
          <a:avLst/>
        </a:prstGeom>
      </xdr:spPr>
    </xdr:pic>
    <xdr:clientData/>
  </xdr:twoCellAnchor>
  <xdr:twoCellAnchor>
    <xdr:from>
      <xdr:col>8</xdr:col>
      <xdr:colOff>6350</xdr:colOff>
      <xdr:row>1008</xdr:row>
      <xdr:rowOff>25400</xdr:rowOff>
    </xdr:from>
    <xdr:to>
      <xdr:col>8</xdr:col>
      <xdr:colOff>885190</xdr:colOff>
      <xdr:row>1008</xdr:row>
      <xdr:rowOff>1209040</xdr:rowOff>
    </xdr:to>
    <xdr:pic>
      <xdr:nvPicPr>
        <xdr:cNvPr id="4952" name="Изображение 4951" descr="resizeПП-00202917"/>
        <xdr:cNvPicPr>
          <a:picLocks noChangeAspect="1"/>
        </xdr:cNvPicPr>
      </xdr:nvPicPr>
      <xdr:blipFill>
        <a:blip xmlns:r="http://schemas.openxmlformats.org/officeDocument/2006/relationships" r:embed="rId714"/>
        <a:stretch>
          <a:fillRect/>
        </a:stretch>
      </xdr:blipFill>
      <xdr:spPr>
        <a:xfrm>
          <a:off x="7264400" y="953001650"/>
          <a:ext cx="878840" cy="1183640"/>
        </a:xfrm>
        <a:prstGeom prst="rect">
          <a:avLst/>
        </a:prstGeom>
      </xdr:spPr>
    </xdr:pic>
    <xdr:clientData/>
  </xdr:twoCellAnchor>
  <xdr:twoCellAnchor>
    <xdr:from>
      <xdr:col>8</xdr:col>
      <xdr:colOff>6350</xdr:colOff>
      <xdr:row>1009</xdr:row>
      <xdr:rowOff>25400</xdr:rowOff>
    </xdr:from>
    <xdr:to>
      <xdr:col>8</xdr:col>
      <xdr:colOff>885190</xdr:colOff>
      <xdr:row>1009</xdr:row>
      <xdr:rowOff>1209040</xdr:rowOff>
    </xdr:to>
    <xdr:pic>
      <xdr:nvPicPr>
        <xdr:cNvPr id="4953" name="Изображение 4952" descr="resizeПП-00202918"/>
        <xdr:cNvPicPr>
          <a:picLocks noChangeAspect="1"/>
        </xdr:cNvPicPr>
      </xdr:nvPicPr>
      <xdr:blipFill>
        <a:blip xmlns:r="http://schemas.openxmlformats.org/officeDocument/2006/relationships" r:embed="rId715"/>
        <a:stretch>
          <a:fillRect/>
        </a:stretch>
      </xdr:blipFill>
      <xdr:spPr>
        <a:xfrm>
          <a:off x="7264400" y="954224025"/>
          <a:ext cx="878840" cy="1183640"/>
        </a:xfrm>
        <a:prstGeom prst="rect">
          <a:avLst/>
        </a:prstGeom>
      </xdr:spPr>
    </xdr:pic>
    <xdr:clientData/>
  </xdr:twoCellAnchor>
  <xdr:twoCellAnchor>
    <xdr:from>
      <xdr:col>8</xdr:col>
      <xdr:colOff>6350</xdr:colOff>
      <xdr:row>1010</xdr:row>
      <xdr:rowOff>25400</xdr:rowOff>
    </xdr:from>
    <xdr:to>
      <xdr:col>8</xdr:col>
      <xdr:colOff>885190</xdr:colOff>
      <xdr:row>1010</xdr:row>
      <xdr:rowOff>1209040</xdr:rowOff>
    </xdr:to>
    <xdr:pic>
      <xdr:nvPicPr>
        <xdr:cNvPr id="4954" name="Изображение 4953" descr="resizeПП-00202906"/>
        <xdr:cNvPicPr>
          <a:picLocks noChangeAspect="1"/>
        </xdr:cNvPicPr>
      </xdr:nvPicPr>
      <xdr:blipFill>
        <a:blip xmlns:r="http://schemas.openxmlformats.org/officeDocument/2006/relationships" r:embed="rId716"/>
        <a:stretch>
          <a:fillRect/>
        </a:stretch>
      </xdr:blipFill>
      <xdr:spPr>
        <a:xfrm>
          <a:off x="7264400" y="955446400"/>
          <a:ext cx="878840" cy="1183640"/>
        </a:xfrm>
        <a:prstGeom prst="rect">
          <a:avLst/>
        </a:prstGeom>
      </xdr:spPr>
    </xdr:pic>
    <xdr:clientData/>
  </xdr:twoCellAnchor>
  <xdr:twoCellAnchor>
    <xdr:from>
      <xdr:col>8</xdr:col>
      <xdr:colOff>6350</xdr:colOff>
      <xdr:row>1011</xdr:row>
      <xdr:rowOff>25400</xdr:rowOff>
    </xdr:from>
    <xdr:to>
      <xdr:col>8</xdr:col>
      <xdr:colOff>885190</xdr:colOff>
      <xdr:row>1011</xdr:row>
      <xdr:rowOff>1209040</xdr:rowOff>
    </xdr:to>
    <xdr:pic>
      <xdr:nvPicPr>
        <xdr:cNvPr id="4955" name="Изображение 4954" descr="resizeПП-00202966"/>
        <xdr:cNvPicPr>
          <a:picLocks noChangeAspect="1"/>
        </xdr:cNvPicPr>
      </xdr:nvPicPr>
      <xdr:blipFill>
        <a:blip xmlns:r="http://schemas.openxmlformats.org/officeDocument/2006/relationships" r:embed="rId717"/>
        <a:stretch>
          <a:fillRect/>
        </a:stretch>
      </xdr:blipFill>
      <xdr:spPr>
        <a:xfrm>
          <a:off x="7264400" y="956668775"/>
          <a:ext cx="878840" cy="1183640"/>
        </a:xfrm>
        <a:prstGeom prst="rect">
          <a:avLst/>
        </a:prstGeom>
      </xdr:spPr>
    </xdr:pic>
    <xdr:clientData/>
  </xdr:twoCellAnchor>
  <xdr:twoCellAnchor>
    <xdr:from>
      <xdr:col>8</xdr:col>
      <xdr:colOff>6350</xdr:colOff>
      <xdr:row>1012</xdr:row>
      <xdr:rowOff>25400</xdr:rowOff>
    </xdr:from>
    <xdr:to>
      <xdr:col>8</xdr:col>
      <xdr:colOff>885190</xdr:colOff>
      <xdr:row>1012</xdr:row>
      <xdr:rowOff>1209040</xdr:rowOff>
    </xdr:to>
    <xdr:pic>
      <xdr:nvPicPr>
        <xdr:cNvPr id="4956" name="Изображение 4955" descr="resizeПП-00202985"/>
        <xdr:cNvPicPr>
          <a:picLocks noChangeAspect="1"/>
        </xdr:cNvPicPr>
      </xdr:nvPicPr>
      <xdr:blipFill>
        <a:blip xmlns:r="http://schemas.openxmlformats.org/officeDocument/2006/relationships" r:embed="rId718"/>
        <a:stretch>
          <a:fillRect/>
        </a:stretch>
      </xdr:blipFill>
      <xdr:spPr>
        <a:xfrm>
          <a:off x="7264400" y="957891150"/>
          <a:ext cx="878840" cy="1183640"/>
        </a:xfrm>
        <a:prstGeom prst="rect">
          <a:avLst/>
        </a:prstGeom>
      </xdr:spPr>
    </xdr:pic>
    <xdr:clientData/>
  </xdr:twoCellAnchor>
  <xdr:twoCellAnchor>
    <xdr:from>
      <xdr:col>8</xdr:col>
      <xdr:colOff>6350</xdr:colOff>
      <xdr:row>1013</xdr:row>
      <xdr:rowOff>25400</xdr:rowOff>
    </xdr:from>
    <xdr:to>
      <xdr:col>8</xdr:col>
      <xdr:colOff>885190</xdr:colOff>
      <xdr:row>1013</xdr:row>
      <xdr:rowOff>1209040</xdr:rowOff>
    </xdr:to>
    <xdr:pic>
      <xdr:nvPicPr>
        <xdr:cNvPr id="4957" name="Изображение 4956" descr="resizeПП-00203019"/>
        <xdr:cNvPicPr>
          <a:picLocks noChangeAspect="1"/>
        </xdr:cNvPicPr>
      </xdr:nvPicPr>
      <xdr:blipFill>
        <a:blip xmlns:r="http://schemas.openxmlformats.org/officeDocument/2006/relationships" r:embed="rId719"/>
        <a:stretch>
          <a:fillRect/>
        </a:stretch>
      </xdr:blipFill>
      <xdr:spPr>
        <a:xfrm>
          <a:off x="7264400" y="959113525"/>
          <a:ext cx="878840" cy="1183640"/>
        </a:xfrm>
        <a:prstGeom prst="rect">
          <a:avLst/>
        </a:prstGeom>
      </xdr:spPr>
    </xdr:pic>
    <xdr:clientData/>
  </xdr:twoCellAnchor>
  <xdr:twoCellAnchor>
    <xdr:from>
      <xdr:col>8</xdr:col>
      <xdr:colOff>6350</xdr:colOff>
      <xdr:row>1014</xdr:row>
      <xdr:rowOff>25400</xdr:rowOff>
    </xdr:from>
    <xdr:to>
      <xdr:col>8</xdr:col>
      <xdr:colOff>885190</xdr:colOff>
      <xdr:row>1014</xdr:row>
      <xdr:rowOff>1209040</xdr:rowOff>
    </xdr:to>
    <xdr:pic>
      <xdr:nvPicPr>
        <xdr:cNvPr id="4958" name="Изображение 4957" descr="resizeПП-00251322"/>
        <xdr:cNvPicPr>
          <a:picLocks noChangeAspect="1"/>
        </xdr:cNvPicPr>
      </xdr:nvPicPr>
      <xdr:blipFill>
        <a:blip xmlns:r="http://schemas.openxmlformats.org/officeDocument/2006/relationships" r:embed="rId720"/>
        <a:stretch>
          <a:fillRect/>
        </a:stretch>
      </xdr:blipFill>
      <xdr:spPr>
        <a:xfrm>
          <a:off x="7264400" y="960335900"/>
          <a:ext cx="878840" cy="1183640"/>
        </a:xfrm>
        <a:prstGeom prst="rect">
          <a:avLst/>
        </a:prstGeom>
      </xdr:spPr>
    </xdr:pic>
    <xdr:clientData/>
  </xdr:twoCellAnchor>
  <xdr:twoCellAnchor>
    <xdr:from>
      <xdr:col>8</xdr:col>
      <xdr:colOff>6350</xdr:colOff>
      <xdr:row>1015</xdr:row>
      <xdr:rowOff>25400</xdr:rowOff>
    </xdr:from>
    <xdr:to>
      <xdr:col>8</xdr:col>
      <xdr:colOff>885190</xdr:colOff>
      <xdr:row>1015</xdr:row>
      <xdr:rowOff>1209040</xdr:rowOff>
    </xdr:to>
    <xdr:pic>
      <xdr:nvPicPr>
        <xdr:cNvPr id="4959" name="Изображение 4958" descr="resizeПП-00202910"/>
        <xdr:cNvPicPr>
          <a:picLocks noChangeAspect="1"/>
        </xdr:cNvPicPr>
      </xdr:nvPicPr>
      <xdr:blipFill>
        <a:blip xmlns:r="http://schemas.openxmlformats.org/officeDocument/2006/relationships" r:embed="rId721"/>
        <a:stretch>
          <a:fillRect/>
        </a:stretch>
      </xdr:blipFill>
      <xdr:spPr>
        <a:xfrm>
          <a:off x="7264400" y="961558275"/>
          <a:ext cx="878840" cy="1183640"/>
        </a:xfrm>
        <a:prstGeom prst="rect">
          <a:avLst/>
        </a:prstGeom>
      </xdr:spPr>
    </xdr:pic>
    <xdr:clientData/>
  </xdr:twoCellAnchor>
  <xdr:twoCellAnchor>
    <xdr:from>
      <xdr:col>8</xdr:col>
      <xdr:colOff>6350</xdr:colOff>
      <xdr:row>1016</xdr:row>
      <xdr:rowOff>25400</xdr:rowOff>
    </xdr:from>
    <xdr:to>
      <xdr:col>8</xdr:col>
      <xdr:colOff>885190</xdr:colOff>
      <xdr:row>1016</xdr:row>
      <xdr:rowOff>1209040</xdr:rowOff>
    </xdr:to>
    <xdr:pic>
      <xdr:nvPicPr>
        <xdr:cNvPr id="4960" name="Изображение 4959" descr="resizeПП-00202999"/>
        <xdr:cNvPicPr>
          <a:picLocks noChangeAspect="1"/>
        </xdr:cNvPicPr>
      </xdr:nvPicPr>
      <xdr:blipFill>
        <a:blip xmlns:r="http://schemas.openxmlformats.org/officeDocument/2006/relationships" r:embed="rId722"/>
        <a:stretch>
          <a:fillRect/>
        </a:stretch>
      </xdr:blipFill>
      <xdr:spPr>
        <a:xfrm>
          <a:off x="7264400" y="962780650"/>
          <a:ext cx="878840" cy="1183640"/>
        </a:xfrm>
        <a:prstGeom prst="rect">
          <a:avLst/>
        </a:prstGeom>
      </xdr:spPr>
    </xdr:pic>
    <xdr:clientData/>
  </xdr:twoCellAnchor>
  <xdr:twoCellAnchor>
    <xdr:from>
      <xdr:col>8</xdr:col>
      <xdr:colOff>6350</xdr:colOff>
      <xdr:row>1017</xdr:row>
      <xdr:rowOff>25400</xdr:rowOff>
    </xdr:from>
    <xdr:to>
      <xdr:col>8</xdr:col>
      <xdr:colOff>885190</xdr:colOff>
      <xdr:row>1017</xdr:row>
      <xdr:rowOff>1209040</xdr:rowOff>
    </xdr:to>
    <xdr:pic>
      <xdr:nvPicPr>
        <xdr:cNvPr id="4961" name="Изображение 4960" descr="resizeПП-00202980"/>
        <xdr:cNvPicPr>
          <a:picLocks noChangeAspect="1"/>
        </xdr:cNvPicPr>
      </xdr:nvPicPr>
      <xdr:blipFill>
        <a:blip xmlns:r="http://schemas.openxmlformats.org/officeDocument/2006/relationships" r:embed="rId723"/>
        <a:stretch>
          <a:fillRect/>
        </a:stretch>
      </xdr:blipFill>
      <xdr:spPr>
        <a:xfrm>
          <a:off x="7264400" y="964003025"/>
          <a:ext cx="878840" cy="1183640"/>
        </a:xfrm>
        <a:prstGeom prst="rect">
          <a:avLst/>
        </a:prstGeom>
      </xdr:spPr>
    </xdr:pic>
    <xdr:clientData/>
  </xdr:twoCellAnchor>
  <xdr:twoCellAnchor>
    <xdr:from>
      <xdr:col>8</xdr:col>
      <xdr:colOff>6350</xdr:colOff>
      <xdr:row>1018</xdr:row>
      <xdr:rowOff>25400</xdr:rowOff>
    </xdr:from>
    <xdr:to>
      <xdr:col>8</xdr:col>
      <xdr:colOff>885190</xdr:colOff>
      <xdr:row>1018</xdr:row>
      <xdr:rowOff>1209040</xdr:rowOff>
    </xdr:to>
    <xdr:pic>
      <xdr:nvPicPr>
        <xdr:cNvPr id="4962" name="Изображение 4961" descr="resizeПП-00202916"/>
        <xdr:cNvPicPr>
          <a:picLocks noChangeAspect="1"/>
        </xdr:cNvPicPr>
      </xdr:nvPicPr>
      <xdr:blipFill>
        <a:blip xmlns:r="http://schemas.openxmlformats.org/officeDocument/2006/relationships" r:embed="rId724"/>
        <a:stretch>
          <a:fillRect/>
        </a:stretch>
      </xdr:blipFill>
      <xdr:spPr>
        <a:xfrm>
          <a:off x="7264400" y="965225400"/>
          <a:ext cx="878840" cy="1183640"/>
        </a:xfrm>
        <a:prstGeom prst="rect">
          <a:avLst/>
        </a:prstGeom>
      </xdr:spPr>
    </xdr:pic>
    <xdr:clientData/>
  </xdr:twoCellAnchor>
  <xdr:twoCellAnchor>
    <xdr:from>
      <xdr:col>8</xdr:col>
      <xdr:colOff>6350</xdr:colOff>
      <xdr:row>1019</xdr:row>
      <xdr:rowOff>25400</xdr:rowOff>
    </xdr:from>
    <xdr:to>
      <xdr:col>8</xdr:col>
      <xdr:colOff>885190</xdr:colOff>
      <xdr:row>1019</xdr:row>
      <xdr:rowOff>1209040</xdr:rowOff>
    </xdr:to>
    <xdr:pic>
      <xdr:nvPicPr>
        <xdr:cNvPr id="4963" name="Изображение 4962" descr="resizeПП-00251321"/>
        <xdr:cNvPicPr>
          <a:picLocks noChangeAspect="1"/>
        </xdr:cNvPicPr>
      </xdr:nvPicPr>
      <xdr:blipFill>
        <a:blip xmlns:r="http://schemas.openxmlformats.org/officeDocument/2006/relationships" r:embed="rId725"/>
        <a:stretch>
          <a:fillRect/>
        </a:stretch>
      </xdr:blipFill>
      <xdr:spPr>
        <a:xfrm>
          <a:off x="7264400" y="966447775"/>
          <a:ext cx="878840" cy="1183640"/>
        </a:xfrm>
        <a:prstGeom prst="rect">
          <a:avLst/>
        </a:prstGeom>
      </xdr:spPr>
    </xdr:pic>
    <xdr:clientData/>
  </xdr:twoCellAnchor>
  <xdr:twoCellAnchor>
    <xdr:from>
      <xdr:col>8</xdr:col>
      <xdr:colOff>6350</xdr:colOff>
      <xdr:row>1020</xdr:row>
      <xdr:rowOff>25400</xdr:rowOff>
    </xdr:from>
    <xdr:to>
      <xdr:col>8</xdr:col>
      <xdr:colOff>885190</xdr:colOff>
      <xdr:row>1020</xdr:row>
      <xdr:rowOff>1209040</xdr:rowOff>
    </xdr:to>
    <xdr:pic>
      <xdr:nvPicPr>
        <xdr:cNvPr id="4964" name="Изображение 4963" descr="resizeПП-00251323"/>
        <xdr:cNvPicPr>
          <a:picLocks noChangeAspect="1"/>
        </xdr:cNvPicPr>
      </xdr:nvPicPr>
      <xdr:blipFill>
        <a:blip xmlns:r="http://schemas.openxmlformats.org/officeDocument/2006/relationships" r:embed="rId726"/>
        <a:stretch>
          <a:fillRect/>
        </a:stretch>
      </xdr:blipFill>
      <xdr:spPr>
        <a:xfrm>
          <a:off x="7264400" y="967670150"/>
          <a:ext cx="878840" cy="1183640"/>
        </a:xfrm>
        <a:prstGeom prst="rect">
          <a:avLst/>
        </a:prstGeom>
      </xdr:spPr>
    </xdr:pic>
    <xdr:clientData/>
  </xdr:twoCellAnchor>
  <xdr:twoCellAnchor>
    <xdr:from>
      <xdr:col>8</xdr:col>
      <xdr:colOff>6350</xdr:colOff>
      <xdr:row>1021</xdr:row>
      <xdr:rowOff>25400</xdr:rowOff>
    </xdr:from>
    <xdr:to>
      <xdr:col>8</xdr:col>
      <xdr:colOff>885190</xdr:colOff>
      <xdr:row>1021</xdr:row>
      <xdr:rowOff>1209040</xdr:rowOff>
    </xdr:to>
    <xdr:pic>
      <xdr:nvPicPr>
        <xdr:cNvPr id="4965" name="Изображение 4964" descr="resizeПП-00275063"/>
        <xdr:cNvPicPr>
          <a:picLocks noChangeAspect="1"/>
        </xdr:cNvPicPr>
      </xdr:nvPicPr>
      <xdr:blipFill>
        <a:blip xmlns:r="http://schemas.openxmlformats.org/officeDocument/2006/relationships" r:embed="rId727"/>
        <a:stretch>
          <a:fillRect/>
        </a:stretch>
      </xdr:blipFill>
      <xdr:spPr>
        <a:xfrm>
          <a:off x="7264400" y="968892525"/>
          <a:ext cx="878840" cy="1183640"/>
        </a:xfrm>
        <a:prstGeom prst="rect">
          <a:avLst/>
        </a:prstGeom>
      </xdr:spPr>
    </xdr:pic>
    <xdr:clientData/>
  </xdr:twoCellAnchor>
  <xdr:twoCellAnchor>
    <xdr:from>
      <xdr:col>8</xdr:col>
      <xdr:colOff>6350</xdr:colOff>
      <xdr:row>1022</xdr:row>
      <xdr:rowOff>25400</xdr:rowOff>
    </xdr:from>
    <xdr:to>
      <xdr:col>8</xdr:col>
      <xdr:colOff>885190</xdr:colOff>
      <xdr:row>1022</xdr:row>
      <xdr:rowOff>1209040</xdr:rowOff>
    </xdr:to>
    <xdr:pic>
      <xdr:nvPicPr>
        <xdr:cNvPr id="4966" name="Изображение 4965" descr="resizeПП-00228123"/>
        <xdr:cNvPicPr>
          <a:picLocks noChangeAspect="1"/>
        </xdr:cNvPicPr>
      </xdr:nvPicPr>
      <xdr:blipFill>
        <a:blip xmlns:r="http://schemas.openxmlformats.org/officeDocument/2006/relationships" r:embed="rId728"/>
        <a:stretch>
          <a:fillRect/>
        </a:stretch>
      </xdr:blipFill>
      <xdr:spPr>
        <a:xfrm>
          <a:off x="7264400" y="970114900"/>
          <a:ext cx="878840" cy="1183640"/>
        </a:xfrm>
        <a:prstGeom prst="rect">
          <a:avLst/>
        </a:prstGeom>
      </xdr:spPr>
    </xdr:pic>
    <xdr:clientData/>
  </xdr:twoCellAnchor>
  <xdr:twoCellAnchor>
    <xdr:from>
      <xdr:col>8</xdr:col>
      <xdr:colOff>6350</xdr:colOff>
      <xdr:row>1023</xdr:row>
      <xdr:rowOff>25400</xdr:rowOff>
    </xdr:from>
    <xdr:to>
      <xdr:col>8</xdr:col>
      <xdr:colOff>885190</xdr:colOff>
      <xdr:row>1023</xdr:row>
      <xdr:rowOff>1209040</xdr:rowOff>
    </xdr:to>
    <xdr:pic>
      <xdr:nvPicPr>
        <xdr:cNvPr id="4967" name="Изображение 4966" descr="resizeПП-00268655"/>
        <xdr:cNvPicPr>
          <a:picLocks noChangeAspect="1"/>
        </xdr:cNvPicPr>
      </xdr:nvPicPr>
      <xdr:blipFill>
        <a:blip xmlns:r="http://schemas.openxmlformats.org/officeDocument/2006/relationships" r:embed="rId729"/>
        <a:stretch>
          <a:fillRect/>
        </a:stretch>
      </xdr:blipFill>
      <xdr:spPr>
        <a:xfrm>
          <a:off x="7264400" y="971337275"/>
          <a:ext cx="878840" cy="1183640"/>
        </a:xfrm>
        <a:prstGeom prst="rect">
          <a:avLst/>
        </a:prstGeom>
      </xdr:spPr>
    </xdr:pic>
    <xdr:clientData/>
  </xdr:twoCellAnchor>
  <xdr:twoCellAnchor>
    <xdr:from>
      <xdr:col>8</xdr:col>
      <xdr:colOff>6350</xdr:colOff>
      <xdr:row>1024</xdr:row>
      <xdr:rowOff>25400</xdr:rowOff>
    </xdr:from>
    <xdr:to>
      <xdr:col>8</xdr:col>
      <xdr:colOff>885190</xdr:colOff>
      <xdr:row>1024</xdr:row>
      <xdr:rowOff>1209040</xdr:rowOff>
    </xdr:to>
    <xdr:pic>
      <xdr:nvPicPr>
        <xdr:cNvPr id="4968" name="Изображение 4967" descr="resizeПП-00275058"/>
        <xdr:cNvPicPr>
          <a:picLocks noChangeAspect="1"/>
        </xdr:cNvPicPr>
      </xdr:nvPicPr>
      <xdr:blipFill>
        <a:blip xmlns:r="http://schemas.openxmlformats.org/officeDocument/2006/relationships" r:embed="rId730"/>
        <a:stretch>
          <a:fillRect/>
        </a:stretch>
      </xdr:blipFill>
      <xdr:spPr>
        <a:xfrm>
          <a:off x="7264400" y="972559650"/>
          <a:ext cx="878840" cy="1183640"/>
        </a:xfrm>
        <a:prstGeom prst="rect">
          <a:avLst/>
        </a:prstGeom>
      </xdr:spPr>
    </xdr:pic>
    <xdr:clientData/>
  </xdr:twoCellAnchor>
  <xdr:twoCellAnchor>
    <xdr:from>
      <xdr:col>8</xdr:col>
      <xdr:colOff>6350</xdr:colOff>
      <xdr:row>1025</xdr:row>
      <xdr:rowOff>25400</xdr:rowOff>
    </xdr:from>
    <xdr:to>
      <xdr:col>8</xdr:col>
      <xdr:colOff>885190</xdr:colOff>
      <xdr:row>1025</xdr:row>
      <xdr:rowOff>1209040</xdr:rowOff>
    </xdr:to>
    <xdr:pic>
      <xdr:nvPicPr>
        <xdr:cNvPr id="4969" name="Изображение 4968" descr="resizeПП-00275068"/>
        <xdr:cNvPicPr>
          <a:picLocks noChangeAspect="1"/>
        </xdr:cNvPicPr>
      </xdr:nvPicPr>
      <xdr:blipFill>
        <a:blip xmlns:r="http://schemas.openxmlformats.org/officeDocument/2006/relationships" r:embed="rId731"/>
        <a:stretch>
          <a:fillRect/>
        </a:stretch>
      </xdr:blipFill>
      <xdr:spPr>
        <a:xfrm>
          <a:off x="7264400" y="973782025"/>
          <a:ext cx="878840" cy="1183640"/>
        </a:xfrm>
        <a:prstGeom prst="rect">
          <a:avLst/>
        </a:prstGeom>
      </xdr:spPr>
    </xdr:pic>
    <xdr:clientData/>
  </xdr:twoCellAnchor>
  <xdr:twoCellAnchor>
    <xdr:from>
      <xdr:col>8</xdr:col>
      <xdr:colOff>6350</xdr:colOff>
      <xdr:row>1026</xdr:row>
      <xdr:rowOff>25400</xdr:rowOff>
    </xdr:from>
    <xdr:to>
      <xdr:col>8</xdr:col>
      <xdr:colOff>885190</xdr:colOff>
      <xdr:row>1026</xdr:row>
      <xdr:rowOff>1209040</xdr:rowOff>
    </xdr:to>
    <xdr:pic>
      <xdr:nvPicPr>
        <xdr:cNvPr id="4970" name="Изображение 4969" descr="resizeПП-00275057"/>
        <xdr:cNvPicPr>
          <a:picLocks noChangeAspect="1"/>
        </xdr:cNvPicPr>
      </xdr:nvPicPr>
      <xdr:blipFill>
        <a:blip xmlns:r="http://schemas.openxmlformats.org/officeDocument/2006/relationships" r:embed="rId732"/>
        <a:stretch>
          <a:fillRect/>
        </a:stretch>
      </xdr:blipFill>
      <xdr:spPr>
        <a:xfrm>
          <a:off x="7264400" y="975004400"/>
          <a:ext cx="878840" cy="1183640"/>
        </a:xfrm>
        <a:prstGeom prst="rect">
          <a:avLst/>
        </a:prstGeom>
      </xdr:spPr>
    </xdr:pic>
    <xdr:clientData/>
  </xdr:twoCellAnchor>
  <xdr:twoCellAnchor>
    <xdr:from>
      <xdr:col>8</xdr:col>
      <xdr:colOff>6350</xdr:colOff>
      <xdr:row>1027</xdr:row>
      <xdr:rowOff>25400</xdr:rowOff>
    </xdr:from>
    <xdr:to>
      <xdr:col>8</xdr:col>
      <xdr:colOff>885190</xdr:colOff>
      <xdr:row>1027</xdr:row>
      <xdr:rowOff>1209040</xdr:rowOff>
    </xdr:to>
    <xdr:pic>
      <xdr:nvPicPr>
        <xdr:cNvPr id="4971" name="Изображение 4970" descr="resizeПП-00268656"/>
        <xdr:cNvPicPr>
          <a:picLocks noChangeAspect="1"/>
        </xdr:cNvPicPr>
      </xdr:nvPicPr>
      <xdr:blipFill>
        <a:blip xmlns:r="http://schemas.openxmlformats.org/officeDocument/2006/relationships" r:embed="rId733"/>
        <a:stretch>
          <a:fillRect/>
        </a:stretch>
      </xdr:blipFill>
      <xdr:spPr>
        <a:xfrm>
          <a:off x="7264400" y="976226775"/>
          <a:ext cx="878840" cy="1183640"/>
        </a:xfrm>
        <a:prstGeom prst="rect">
          <a:avLst/>
        </a:prstGeom>
      </xdr:spPr>
    </xdr:pic>
    <xdr:clientData/>
  </xdr:twoCellAnchor>
  <xdr:twoCellAnchor>
    <xdr:from>
      <xdr:col>8</xdr:col>
      <xdr:colOff>6350</xdr:colOff>
      <xdr:row>1028</xdr:row>
      <xdr:rowOff>25400</xdr:rowOff>
    </xdr:from>
    <xdr:to>
      <xdr:col>8</xdr:col>
      <xdr:colOff>885190</xdr:colOff>
      <xdr:row>1028</xdr:row>
      <xdr:rowOff>1209040</xdr:rowOff>
    </xdr:to>
    <xdr:pic>
      <xdr:nvPicPr>
        <xdr:cNvPr id="4972" name="Изображение 4971" descr="resizeПП-00268663"/>
        <xdr:cNvPicPr>
          <a:picLocks noChangeAspect="1"/>
        </xdr:cNvPicPr>
      </xdr:nvPicPr>
      <xdr:blipFill>
        <a:blip xmlns:r="http://schemas.openxmlformats.org/officeDocument/2006/relationships" r:embed="rId734"/>
        <a:stretch>
          <a:fillRect/>
        </a:stretch>
      </xdr:blipFill>
      <xdr:spPr>
        <a:xfrm>
          <a:off x="7264400" y="977449150"/>
          <a:ext cx="878840" cy="1183640"/>
        </a:xfrm>
        <a:prstGeom prst="rect">
          <a:avLst/>
        </a:prstGeom>
      </xdr:spPr>
    </xdr:pic>
    <xdr:clientData/>
  </xdr:twoCellAnchor>
  <xdr:twoCellAnchor>
    <xdr:from>
      <xdr:col>8</xdr:col>
      <xdr:colOff>6350</xdr:colOff>
      <xdr:row>1029</xdr:row>
      <xdr:rowOff>25400</xdr:rowOff>
    </xdr:from>
    <xdr:to>
      <xdr:col>8</xdr:col>
      <xdr:colOff>885190</xdr:colOff>
      <xdr:row>1029</xdr:row>
      <xdr:rowOff>1209040</xdr:rowOff>
    </xdr:to>
    <xdr:pic>
      <xdr:nvPicPr>
        <xdr:cNvPr id="4973" name="Изображение 4972" descr="resizeПП-00268652"/>
        <xdr:cNvPicPr>
          <a:picLocks noChangeAspect="1"/>
        </xdr:cNvPicPr>
      </xdr:nvPicPr>
      <xdr:blipFill>
        <a:blip xmlns:r="http://schemas.openxmlformats.org/officeDocument/2006/relationships" r:embed="rId735"/>
        <a:stretch>
          <a:fillRect/>
        </a:stretch>
      </xdr:blipFill>
      <xdr:spPr>
        <a:xfrm>
          <a:off x="7264400" y="978671525"/>
          <a:ext cx="878840" cy="1183640"/>
        </a:xfrm>
        <a:prstGeom prst="rect">
          <a:avLst/>
        </a:prstGeom>
      </xdr:spPr>
    </xdr:pic>
    <xdr:clientData/>
  </xdr:twoCellAnchor>
  <xdr:twoCellAnchor>
    <xdr:from>
      <xdr:col>8</xdr:col>
      <xdr:colOff>6350</xdr:colOff>
      <xdr:row>1030</xdr:row>
      <xdr:rowOff>25400</xdr:rowOff>
    </xdr:from>
    <xdr:to>
      <xdr:col>8</xdr:col>
      <xdr:colOff>885190</xdr:colOff>
      <xdr:row>1030</xdr:row>
      <xdr:rowOff>1209040</xdr:rowOff>
    </xdr:to>
    <xdr:pic>
      <xdr:nvPicPr>
        <xdr:cNvPr id="4974" name="Изображение 4973" descr="resizeПП-00275061"/>
        <xdr:cNvPicPr>
          <a:picLocks noChangeAspect="1"/>
        </xdr:cNvPicPr>
      </xdr:nvPicPr>
      <xdr:blipFill>
        <a:blip xmlns:r="http://schemas.openxmlformats.org/officeDocument/2006/relationships" r:embed="rId736"/>
        <a:stretch>
          <a:fillRect/>
        </a:stretch>
      </xdr:blipFill>
      <xdr:spPr>
        <a:xfrm>
          <a:off x="7264400" y="979893900"/>
          <a:ext cx="878840" cy="1183640"/>
        </a:xfrm>
        <a:prstGeom prst="rect">
          <a:avLst/>
        </a:prstGeom>
      </xdr:spPr>
    </xdr:pic>
    <xdr:clientData/>
  </xdr:twoCellAnchor>
  <xdr:twoCellAnchor>
    <xdr:from>
      <xdr:col>8</xdr:col>
      <xdr:colOff>6350</xdr:colOff>
      <xdr:row>1031</xdr:row>
      <xdr:rowOff>25400</xdr:rowOff>
    </xdr:from>
    <xdr:to>
      <xdr:col>8</xdr:col>
      <xdr:colOff>885190</xdr:colOff>
      <xdr:row>1031</xdr:row>
      <xdr:rowOff>1209040</xdr:rowOff>
    </xdr:to>
    <xdr:pic>
      <xdr:nvPicPr>
        <xdr:cNvPr id="4975" name="Изображение 4974" descr="resizeПП-00268661"/>
        <xdr:cNvPicPr>
          <a:picLocks noChangeAspect="1"/>
        </xdr:cNvPicPr>
      </xdr:nvPicPr>
      <xdr:blipFill>
        <a:blip xmlns:r="http://schemas.openxmlformats.org/officeDocument/2006/relationships" r:embed="rId737"/>
        <a:stretch>
          <a:fillRect/>
        </a:stretch>
      </xdr:blipFill>
      <xdr:spPr>
        <a:xfrm>
          <a:off x="7264400" y="981116275"/>
          <a:ext cx="878840" cy="1183640"/>
        </a:xfrm>
        <a:prstGeom prst="rect">
          <a:avLst/>
        </a:prstGeom>
      </xdr:spPr>
    </xdr:pic>
    <xdr:clientData/>
  </xdr:twoCellAnchor>
  <xdr:twoCellAnchor>
    <xdr:from>
      <xdr:col>8</xdr:col>
      <xdr:colOff>6350</xdr:colOff>
      <xdr:row>1032</xdr:row>
      <xdr:rowOff>25400</xdr:rowOff>
    </xdr:from>
    <xdr:to>
      <xdr:col>8</xdr:col>
      <xdr:colOff>885190</xdr:colOff>
      <xdr:row>1032</xdr:row>
      <xdr:rowOff>1209040</xdr:rowOff>
    </xdr:to>
    <xdr:pic>
      <xdr:nvPicPr>
        <xdr:cNvPr id="4976" name="Изображение 4975" descr="resizeПП-00268649"/>
        <xdr:cNvPicPr>
          <a:picLocks noChangeAspect="1"/>
        </xdr:cNvPicPr>
      </xdr:nvPicPr>
      <xdr:blipFill>
        <a:blip xmlns:r="http://schemas.openxmlformats.org/officeDocument/2006/relationships" r:embed="rId738"/>
        <a:stretch>
          <a:fillRect/>
        </a:stretch>
      </xdr:blipFill>
      <xdr:spPr>
        <a:xfrm>
          <a:off x="7264400" y="982338650"/>
          <a:ext cx="878840" cy="1183640"/>
        </a:xfrm>
        <a:prstGeom prst="rect">
          <a:avLst/>
        </a:prstGeom>
      </xdr:spPr>
    </xdr:pic>
    <xdr:clientData/>
  </xdr:twoCellAnchor>
  <xdr:twoCellAnchor>
    <xdr:from>
      <xdr:col>8</xdr:col>
      <xdr:colOff>6350</xdr:colOff>
      <xdr:row>1033</xdr:row>
      <xdr:rowOff>25400</xdr:rowOff>
    </xdr:from>
    <xdr:to>
      <xdr:col>8</xdr:col>
      <xdr:colOff>885190</xdr:colOff>
      <xdr:row>1033</xdr:row>
      <xdr:rowOff>1209040</xdr:rowOff>
    </xdr:to>
    <xdr:pic>
      <xdr:nvPicPr>
        <xdr:cNvPr id="4977" name="Изображение 4976" descr="resizeПП-00268653"/>
        <xdr:cNvPicPr>
          <a:picLocks noChangeAspect="1"/>
        </xdr:cNvPicPr>
      </xdr:nvPicPr>
      <xdr:blipFill>
        <a:blip xmlns:r="http://schemas.openxmlformats.org/officeDocument/2006/relationships" r:embed="rId739"/>
        <a:stretch>
          <a:fillRect/>
        </a:stretch>
      </xdr:blipFill>
      <xdr:spPr>
        <a:xfrm>
          <a:off x="7264400" y="983561025"/>
          <a:ext cx="878840" cy="1183640"/>
        </a:xfrm>
        <a:prstGeom prst="rect">
          <a:avLst/>
        </a:prstGeom>
      </xdr:spPr>
    </xdr:pic>
    <xdr:clientData/>
  </xdr:twoCellAnchor>
  <xdr:twoCellAnchor>
    <xdr:from>
      <xdr:col>8</xdr:col>
      <xdr:colOff>6350</xdr:colOff>
      <xdr:row>1034</xdr:row>
      <xdr:rowOff>25400</xdr:rowOff>
    </xdr:from>
    <xdr:to>
      <xdr:col>8</xdr:col>
      <xdr:colOff>885190</xdr:colOff>
      <xdr:row>1034</xdr:row>
      <xdr:rowOff>1209040</xdr:rowOff>
    </xdr:to>
    <xdr:pic>
      <xdr:nvPicPr>
        <xdr:cNvPr id="4978" name="Изображение 4977" descr="resizeПП-00275059"/>
        <xdr:cNvPicPr>
          <a:picLocks noChangeAspect="1"/>
        </xdr:cNvPicPr>
      </xdr:nvPicPr>
      <xdr:blipFill>
        <a:blip xmlns:r="http://schemas.openxmlformats.org/officeDocument/2006/relationships" r:embed="rId740"/>
        <a:stretch>
          <a:fillRect/>
        </a:stretch>
      </xdr:blipFill>
      <xdr:spPr>
        <a:xfrm>
          <a:off x="7264400" y="984783400"/>
          <a:ext cx="878840" cy="1183640"/>
        </a:xfrm>
        <a:prstGeom prst="rect">
          <a:avLst/>
        </a:prstGeom>
      </xdr:spPr>
    </xdr:pic>
    <xdr:clientData/>
  </xdr:twoCellAnchor>
  <xdr:twoCellAnchor>
    <xdr:from>
      <xdr:col>8</xdr:col>
      <xdr:colOff>6350</xdr:colOff>
      <xdr:row>1035</xdr:row>
      <xdr:rowOff>25400</xdr:rowOff>
    </xdr:from>
    <xdr:to>
      <xdr:col>8</xdr:col>
      <xdr:colOff>885190</xdr:colOff>
      <xdr:row>1035</xdr:row>
      <xdr:rowOff>1209040</xdr:rowOff>
    </xdr:to>
    <xdr:pic>
      <xdr:nvPicPr>
        <xdr:cNvPr id="4979" name="Изображение 4978" descr="resizeПП-00275064"/>
        <xdr:cNvPicPr>
          <a:picLocks noChangeAspect="1"/>
        </xdr:cNvPicPr>
      </xdr:nvPicPr>
      <xdr:blipFill>
        <a:blip xmlns:r="http://schemas.openxmlformats.org/officeDocument/2006/relationships" r:embed="rId741"/>
        <a:stretch>
          <a:fillRect/>
        </a:stretch>
      </xdr:blipFill>
      <xdr:spPr>
        <a:xfrm>
          <a:off x="7264400" y="986005775"/>
          <a:ext cx="878840" cy="1183640"/>
        </a:xfrm>
        <a:prstGeom prst="rect">
          <a:avLst/>
        </a:prstGeom>
      </xdr:spPr>
    </xdr:pic>
    <xdr:clientData/>
  </xdr:twoCellAnchor>
  <xdr:twoCellAnchor>
    <xdr:from>
      <xdr:col>8</xdr:col>
      <xdr:colOff>6350</xdr:colOff>
      <xdr:row>1036</xdr:row>
      <xdr:rowOff>25400</xdr:rowOff>
    </xdr:from>
    <xdr:to>
      <xdr:col>8</xdr:col>
      <xdr:colOff>885190</xdr:colOff>
      <xdr:row>1036</xdr:row>
      <xdr:rowOff>1209040</xdr:rowOff>
    </xdr:to>
    <xdr:pic>
      <xdr:nvPicPr>
        <xdr:cNvPr id="4980" name="Изображение 4979" descr="resizeПП-00275060"/>
        <xdr:cNvPicPr>
          <a:picLocks noChangeAspect="1"/>
        </xdr:cNvPicPr>
      </xdr:nvPicPr>
      <xdr:blipFill>
        <a:blip xmlns:r="http://schemas.openxmlformats.org/officeDocument/2006/relationships" r:embed="rId742"/>
        <a:stretch>
          <a:fillRect/>
        </a:stretch>
      </xdr:blipFill>
      <xdr:spPr>
        <a:xfrm>
          <a:off x="7264400" y="987228150"/>
          <a:ext cx="878840" cy="1183640"/>
        </a:xfrm>
        <a:prstGeom prst="rect">
          <a:avLst/>
        </a:prstGeom>
      </xdr:spPr>
    </xdr:pic>
    <xdr:clientData/>
  </xdr:twoCellAnchor>
  <xdr:twoCellAnchor>
    <xdr:from>
      <xdr:col>8</xdr:col>
      <xdr:colOff>6350</xdr:colOff>
      <xdr:row>1037</xdr:row>
      <xdr:rowOff>25400</xdr:rowOff>
    </xdr:from>
    <xdr:to>
      <xdr:col>8</xdr:col>
      <xdr:colOff>885190</xdr:colOff>
      <xdr:row>1037</xdr:row>
      <xdr:rowOff>1209040</xdr:rowOff>
    </xdr:to>
    <xdr:pic>
      <xdr:nvPicPr>
        <xdr:cNvPr id="4981" name="Изображение 4980" descr="resizeПП-00228115"/>
        <xdr:cNvPicPr>
          <a:picLocks noChangeAspect="1"/>
        </xdr:cNvPicPr>
      </xdr:nvPicPr>
      <xdr:blipFill>
        <a:blip xmlns:r="http://schemas.openxmlformats.org/officeDocument/2006/relationships" r:embed="rId743"/>
        <a:stretch>
          <a:fillRect/>
        </a:stretch>
      </xdr:blipFill>
      <xdr:spPr>
        <a:xfrm>
          <a:off x="7264400" y="988450525"/>
          <a:ext cx="878840" cy="1183640"/>
        </a:xfrm>
        <a:prstGeom prst="rect">
          <a:avLst/>
        </a:prstGeom>
      </xdr:spPr>
    </xdr:pic>
    <xdr:clientData/>
  </xdr:twoCellAnchor>
  <xdr:twoCellAnchor>
    <xdr:from>
      <xdr:col>8</xdr:col>
      <xdr:colOff>6350</xdr:colOff>
      <xdr:row>1039</xdr:row>
      <xdr:rowOff>25400</xdr:rowOff>
    </xdr:from>
    <xdr:to>
      <xdr:col>8</xdr:col>
      <xdr:colOff>885190</xdr:colOff>
      <xdr:row>1039</xdr:row>
      <xdr:rowOff>1209040</xdr:rowOff>
    </xdr:to>
    <xdr:pic>
      <xdr:nvPicPr>
        <xdr:cNvPr id="4982" name="Изображение 4981" descr="resizeПП-00275053"/>
        <xdr:cNvPicPr>
          <a:picLocks noChangeAspect="1"/>
        </xdr:cNvPicPr>
      </xdr:nvPicPr>
      <xdr:blipFill>
        <a:blip xmlns:r="http://schemas.openxmlformats.org/officeDocument/2006/relationships" r:embed="rId744"/>
        <a:stretch>
          <a:fillRect/>
        </a:stretch>
      </xdr:blipFill>
      <xdr:spPr>
        <a:xfrm>
          <a:off x="7264400" y="989825300"/>
          <a:ext cx="878840" cy="1183640"/>
        </a:xfrm>
        <a:prstGeom prst="rect">
          <a:avLst/>
        </a:prstGeom>
      </xdr:spPr>
    </xdr:pic>
    <xdr:clientData/>
  </xdr:twoCellAnchor>
  <xdr:twoCellAnchor>
    <xdr:from>
      <xdr:col>8</xdr:col>
      <xdr:colOff>6350</xdr:colOff>
      <xdr:row>1040</xdr:row>
      <xdr:rowOff>25400</xdr:rowOff>
    </xdr:from>
    <xdr:to>
      <xdr:col>8</xdr:col>
      <xdr:colOff>885190</xdr:colOff>
      <xdr:row>1040</xdr:row>
      <xdr:rowOff>1209040</xdr:rowOff>
    </xdr:to>
    <xdr:pic>
      <xdr:nvPicPr>
        <xdr:cNvPr id="4983" name="Изображение 4982" descr="resizeПП-00275047"/>
        <xdr:cNvPicPr>
          <a:picLocks noChangeAspect="1"/>
        </xdr:cNvPicPr>
      </xdr:nvPicPr>
      <xdr:blipFill>
        <a:blip xmlns:r="http://schemas.openxmlformats.org/officeDocument/2006/relationships" r:embed="rId745"/>
        <a:stretch>
          <a:fillRect/>
        </a:stretch>
      </xdr:blipFill>
      <xdr:spPr>
        <a:xfrm>
          <a:off x="7264400" y="991047675"/>
          <a:ext cx="878840" cy="1183640"/>
        </a:xfrm>
        <a:prstGeom prst="rect">
          <a:avLst/>
        </a:prstGeom>
      </xdr:spPr>
    </xdr:pic>
    <xdr:clientData/>
  </xdr:twoCellAnchor>
  <xdr:twoCellAnchor>
    <xdr:from>
      <xdr:col>8</xdr:col>
      <xdr:colOff>6350</xdr:colOff>
      <xdr:row>1041</xdr:row>
      <xdr:rowOff>25400</xdr:rowOff>
    </xdr:from>
    <xdr:to>
      <xdr:col>8</xdr:col>
      <xdr:colOff>885190</xdr:colOff>
      <xdr:row>1041</xdr:row>
      <xdr:rowOff>1209040</xdr:rowOff>
    </xdr:to>
    <xdr:pic>
      <xdr:nvPicPr>
        <xdr:cNvPr id="4984" name="Изображение 4983" descr="resizeПП-00275049"/>
        <xdr:cNvPicPr>
          <a:picLocks noChangeAspect="1"/>
        </xdr:cNvPicPr>
      </xdr:nvPicPr>
      <xdr:blipFill>
        <a:blip xmlns:r="http://schemas.openxmlformats.org/officeDocument/2006/relationships" r:embed="rId746"/>
        <a:stretch>
          <a:fillRect/>
        </a:stretch>
      </xdr:blipFill>
      <xdr:spPr>
        <a:xfrm>
          <a:off x="7264400" y="992270050"/>
          <a:ext cx="878840" cy="1183640"/>
        </a:xfrm>
        <a:prstGeom prst="rect">
          <a:avLst/>
        </a:prstGeom>
      </xdr:spPr>
    </xdr:pic>
    <xdr:clientData/>
  </xdr:twoCellAnchor>
  <xdr:twoCellAnchor>
    <xdr:from>
      <xdr:col>8</xdr:col>
      <xdr:colOff>6350</xdr:colOff>
      <xdr:row>1042</xdr:row>
      <xdr:rowOff>25400</xdr:rowOff>
    </xdr:from>
    <xdr:to>
      <xdr:col>8</xdr:col>
      <xdr:colOff>885190</xdr:colOff>
      <xdr:row>1042</xdr:row>
      <xdr:rowOff>1209040</xdr:rowOff>
    </xdr:to>
    <xdr:pic>
      <xdr:nvPicPr>
        <xdr:cNvPr id="4985" name="Изображение 4984" descr="resizeПП-00275050"/>
        <xdr:cNvPicPr>
          <a:picLocks noChangeAspect="1"/>
        </xdr:cNvPicPr>
      </xdr:nvPicPr>
      <xdr:blipFill>
        <a:blip xmlns:r="http://schemas.openxmlformats.org/officeDocument/2006/relationships" r:embed="rId747"/>
        <a:stretch>
          <a:fillRect/>
        </a:stretch>
      </xdr:blipFill>
      <xdr:spPr>
        <a:xfrm>
          <a:off x="7264400" y="993492425"/>
          <a:ext cx="878840" cy="1183640"/>
        </a:xfrm>
        <a:prstGeom prst="rect">
          <a:avLst/>
        </a:prstGeom>
      </xdr:spPr>
    </xdr:pic>
    <xdr:clientData/>
  </xdr:twoCellAnchor>
  <xdr:twoCellAnchor>
    <xdr:from>
      <xdr:col>8</xdr:col>
      <xdr:colOff>6350</xdr:colOff>
      <xdr:row>1043</xdr:row>
      <xdr:rowOff>25400</xdr:rowOff>
    </xdr:from>
    <xdr:to>
      <xdr:col>8</xdr:col>
      <xdr:colOff>885190</xdr:colOff>
      <xdr:row>1043</xdr:row>
      <xdr:rowOff>1209040</xdr:rowOff>
    </xdr:to>
    <xdr:pic>
      <xdr:nvPicPr>
        <xdr:cNvPr id="4986" name="Изображение 4985" descr="resizeПП-00268658"/>
        <xdr:cNvPicPr>
          <a:picLocks noChangeAspect="1"/>
        </xdr:cNvPicPr>
      </xdr:nvPicPr>
      <xdr:blipFill>
        <a:blip xmlns:r="http://schemas.openxmlformats.org/officeDocument/2006/relationships" r:embed="rId748"/>
        <a:stretch>
          <a:fillRect/>
        </a:stretch>
      </xdr:blipFill>
      <xdr:spPr>
        <a:xfrm>
          <a:off x="7264400" y="994714800"/>
          <a:ext cx="878840" cy="1183640"/>
        </a:xfrm>
        <a:prstGeom prst="rect">
          <a:avLst/>
        </a:prstGeom>
      </xdr:spPr>
    </xdr:pic>
    <xdr:clientData/>
  </xdr:twoCellAnchor>
  <xdr:twoCellAnchor>
    <xdr:from>
      <xdr:col>8</xdr:col>
      <xdr:colOff>6350</xdr:colOff>
      <xdr:row>1044</xdr:row>
      <xdr:rowOff>25400</xdr:rowOff>
    </xdr:from>
    <xdr:to>
      <xdr:col>8</xdr:col>
      <xdr:colOff>885190</xdr:colOff>
      <xdr:row>1044</xdr:row>
      <xdr:rowOff>1209040</xdr:rowOff>
    </xdr:to>
    <xdr:pic>
      <xdr:nvPicPr>
        <xdr:cNvPr id="4987" name="Изображение 4986" descr="resizeПП-00275055"/>
        <xdr:cNvPicPr>
          <a:picLocks noChangeAspect="1"/>
        </xdr:cNvPicPr>
      </xdr:nvPicPr>
      <xdr:blipFill>
        <a:blip xmlns:r="http://schemas.openxmlformats.org/officeDocument/2006/relationships" r:embed="rId749"/>
        <a:stretch>
          <a:fillRect/>
        </a:stretch>
      </xdr:blipFill>
      <xdr:spPr>
        <a:xfrm>
          <a:off x="7264400" y="995937175"/>
          <a:ext cx="878840" cy="1183640"/>
        </a:xfrm>
        <a:prstGeom prst="rect">
          <a:avLst/>
        </a:prstGeom>
      </xdr:spPr>
    </xdr:pic>
    <xdr:clientData/>
  </xdr:twoCellAnchor>
  <xdr:twoCellAnchor>
    <xdr:from>
      <xdr:col>8</xdr:col>
      <xdr:colOff>6350</xdr:colOff>
      <xdr:row>1045</xdr:row>
      <xdr:rowOff>25400</xdr:rowOff>
    </xdr:from>
    <xdr:to>
      <xdr:col>8</xdr:col>
      <xdr:colOff>885190</xdr:colOff>
      <xdr:row>1045</xdr:row>
      <xdr:rowOff>1209040</xdr:rowOff>
    </xdr:to>
    <xdr:pic>
      <xdr:nvPicPr>
        <xdr:cNvPr id="4988" name="Изображение 4987" descr="resizeПП-00275054"/>
        <xdr:cNvPicPr>
          <a:picLocks noChangeAspect="1"/>
        </xdr:cNvPicPr>
      </xdr:nvPicPr>
      <xdr:blipFill>
        <a:blip xmlns:r="http://schemas.openxmlformats.org/officeDocument/2006/relationships" r:embed="rId750"/>
        <a:stretch>
          <a:fillRect/>
        </a:stretch>
      </xdr:blipFill>
      <xdr:spPr>
        <a:xfrm>
          <a:off x="7264400" y="997159550"/>
          <a:ext cx="878840" cy="1183640"/>
        </a:xfrm>
        <a:prstGeom prst="rect">
          <a:avLst/>
        </a:prstGeom>
      </xdr:spPr>
    </xdr:pic>
    <xdr:clientData/>
  </xdr:twoCellAnchor>
  <xdr:twoCellAnchor>
    <xdr:from>
      <xdr:col>8</xdr:col>
      <xdr:colOff>6350</xdr:colOff>
      <xdr:row>1046</xdr:row>
      <xdr:rowOff>25400</xdr:rowOff>
    </xdr:from>
    <xdr:to>
      <xdr:col>8</xdr:col>
      <xdr:colOff>885190</xdr:colOff>
      <xdr:row>1046</xdr:row>
      <xdr:rowOff>1209040</xdr:rowOff>
    </xdr:to>
    <xdr:pic>
      <xdr:nvPicPr>
        <xdr:cNvPr id="4989" name="Изображение 4988" descr="resizeПП-00275056"/>
        <xdr:cNvPicPr>
          <a:picLocks noChangeAspect="1"/>
        </xdr:cNvPicPr>
      </xdr:nvPicPr>
      <xdr:blipFill>
        <a:blip xmlns:r="http://schemas.openxmlformats.org/officeDocument/2006/relationships" r:embed="rId751"/>
        <a:stretch>
          <a:fillRect/>
        </a:stretch>
      </xdr:blipFill>
      <xdr:spPr>
        <a:xfrm>
          <a:off x="7264400" y="998381925"/>
          <a:ext cx="878840" cy="1183640"/>
        </a:xfrm>
        <a:prstGeom prst="rect">
          <a:avLst/>
        </a:prstGeom>
      </xdr:spPr>
    </xdr:pic>
    <xdr:clientData/>
  </xdr:twoCellAnchor>
  <xdr:twoCellAnchor>
    <xdr:from>
      <xdr:col>8</xdr:col>
      <xdr:colOff>6350</xdr:colOff>
      <xdr:row>1047</xdr:row>
      <xdr:rowOff>25400</xdr:rowOff>
    </xdr:from>
    <xdr:to>
      <xdr:col>8</xdr:col>
      <xdr:colOff>885190</xdr:colOff>
      <xdr:row>1047</xdr:row>
      <xdr:rowOff>1209040</xdr:rowOff>
    </xdr:to>
    <xdr:pic>
      <xdr:nvPicPr>
        <xdr:cNvPr id="4990" name="Изображение 4989" descr="resizeПП-00275052"/>
        <xdr:cNvPicPr>
          <a:picLocks noChangeAspect="1"/>
        </xdr:cNvPicPr>
      </xdr:nvPicPr>
      <xdr:blipFill>
        <a:blip xmlns:r="http://schemas.openxmlformats.org/officeDocument/2006/relationships" r:embed="rId752"/>
        <a:stretch>
          <a:fillRect/>
        </a:stretch>
      </xdr:blipFill>
      <xdr:spPr>
        <a:xfrm>
          <a:off x="7264400" y="999604300"/>
          <a:ext cx="878840" cy="1183640"/>
        </a:xfrm>
        <a:prstGeom prst="rect">
          <a:avLst/>
        </a:prstGeom>
      </xdr:spPr>
    </xdr:pic>
    <xdr:clientData/>
  </xdr:twoCellAnchor>
  <xdr:twoCellAnchor>
    <xdr:from>
      <xdr:col>8</xdr:col>
      <xdr:colOff>6350</xdr:colOff>
      <xdr:row>1048</xdr:row>
      <xdr:rowOff>25400</xdr:rowOff>
    </xdr:from>
    <xdr:to>
      <xdr:col>8</xdr:col>
      <xdr:colOff>885190</xdr:colOff>
      <xdr:row>1048</xdr:row>
      <xdr:rowOff>1209040</xdr:rowOff>
    </xdr:to>
    <xdr:pic>
      <xdr:nvPicPr>
        <xdr:cNvPr id="4991" name="Изображение 4990" descr="resizeПП-00275051"/>
        <xdr:cNvPicPr>
          <a:picLocks noChangeAspect="1"/>
        </xdr:cNvPicPr>
      </xdr:nvPicPr>
      <xdr:blipFill>
        <a:blip xmlns:r="http://schemas.openxmlformats.org/officeDocument/2006/relationships" r:embed="rId753"/>
        <a:stretch>
          <a:fillRect/>
        </a:stretch>
      </xdr:blipFill>
      <xdr:spPr>
        <a:xfrm>
          <a:off x="7264400" y="1000826675"/>
          <a:ext cx="878840" cy="1183640"/>
        </a:xfrm>
        <a:prstGeom prst="rect">
          <a:avLst/>
        </a:prstGeom>
      </xdr:spPr>
    </xdr:pic>
    <xdr:clientData/>
  </xdr:twoCellAnchor>
  <xdr:twoCellAnchor>
    <xdr:from>
      <xdr:col>8</xdr:col>
      <xdr:colOff>6350</xdr:colOff>
      <xdr:row>1049</xdr:row>
      <xdr:rowOff>25400</xdr:rowOff>
    </xdr:from>
    <xdr:to>
      <xdr:col>8</xdr:col>
      <xdr:colOff>885190</xdr:colOff>
      <xdr:row>1049</xdr:row>
      <xdr:rowOff>1209040</xdr:rowOff>
    </xdr:to>
    <xdr:pic>
      <xdr:nvPicPr>
        <xdr:cNvPr id="4992" name="Изображение 4991" descr="resizeПП-00274750"/>
        <xdr:cNvPicPr>
          <a:picLocks noChangeAspect="1"/>
        </xdr:cNvPicPr>
      </xdr:nvPicPr>
      <xdr:blipFill>
        <a:blip xmlns:r="http://schemas.openxmlformats.org/officeDocument/2006/relationships" r:embed="rId754"/>
        <a:stretch>
          <a:fillRect/>
        </a:stretch>
      </xdr:blipFill>
      <xdr:spPr>
        <a:xfrm>
          <a:off x="7264400" y="1002049050"/>
          <a:ext cx="878840" cy="1183640"/>
        </a:xfrm>
        <a:prstGeom prst="rect">
          <a:avLst/>
        </a:prstGeom>
      </xdr:spPr>
    </xdr:pic>
    <xdr:clientData/>
  </xdr:twoCellAnchor>
  <xdr:twoCellAnchor>
    <xdr:from>
      <xdr:col>8</xdr:col>
      <xdr:colOff>6350</xdr:colOff>
      <xdr:row>1050</xdr:row>
      <xdr:rowOff>25400</xdr:rowOff>
    </xdr:from>
    <xdr:to>
      <xdr:col>8</xdr:col>
      <xdr:colOff>885190</xdr:colOff>
      <xdr:row>1050</xdr:row>
      <xdr:rowOff>1209040</xdr:rowOff>
    </xdr:to>
    <xdr:pic>
      <xdr:nvPicPr>
        <xdr:cNvPr id="4993" name="Изображение 4992" descr="resizeПП-00274751"/>
        <xdr:cNvPicPr>
          <a:picLocks noChangeAspect="1"/>
        </xdr:cNvPicPr>
      </xdr:nvPicPr>
      <xdr:blipFill>
        <a:blip xmlns:r="http://schemas.openxmlformats.org/officeDocument/2006/relationships" r:embed="rId755"/>
        <a:stretch>
          <a:fillRect/>
        </a:stretch>
      </xdr:blipFill>
      <xdr:spPr>
        <a:xfrm>
          <a:off x="7264400" y="1003271425"/>
          <a:ext cx="878840" cy="1183640"/>
        </a:xfrm>
        <a:prstGeom prst="rect">
          <a:avLst/>
        </a:prstGeom>
      </xdr:spPr>
    </xdr:pic>
    <xdr:clientData/>
  </xdr:twoCellAnchor>
  <xdr:twoCellAnchor>
    <xdr:from>
      <xdr:col>8</xdr:col>
      <xdr:colOff>6350</xdr:colOff>
      <xdr:row>1051</xdr:row>
      <xdr:rowOff>25400</xdr:rowOff>
    </xdr:from>
    <xdr:to>
      <xdr:col>8</xdr:col>
      <xdr:colOff>885190</xdr:colOff>
      <xdr:row>1051</xdr:row>
      <xdr:rowOff>1209040</xdr:rowOff>
    </xdr:to>
    <xdr:pic>
      <xdr:nvPicPr>
        <xdr:cNvPr id="4994" name="Изображение 4993" descr="resizeПП-00274752"/>
        <xdr:cNvPicPr>
          <a:picLocks noChangeAspect="1"/>
        </xdr:cNvPicPr>
      </xdr:nvPicPr>
      <xdr:blipFill>
        <a:blip xmlns:r="http://schemas.openxmlformats.org/officeDocument/2006/relationships" r:embed="rId756"/>
        <a:stretch>
          <a:fillRect/>
        </a:stretch>
      </xdr:blipFill>
      <xdr:spPr>
        <a:xfrm>
          <a:off x="7264400" y="1004493800"/>
          <a:ext cx="878840" cy="1183640"/>
        </a:xfrm>
        <a:prstGeom prst="rect">
          <a:avLst/>
        </a:prstGeom>
      </xdr:spPr>
    </xdr:pic>
    <xdr:clientData/>
  </xdr:twoCellAnchor>
  <xdr:twoCellAnchor>
    <xdr:from>
      <xdr:col>8</xdr:col>
      <xdr:colOff>6350</xdr:colOff>
      <xdr:row>1052</xdr:row>
      <xdr:rowOff>25400</xdr:rowOff>
    </xdr:from>
    <xdr:to>
      <xdr:col>8</xdr:col>
      <xdr:colOff>885190</xdr:colOff>
      <xdr:row>1052</xdr:row>
      <xdr:rowOff>1209040</xdr:rowOff>
    </xdr:to>
    <xdr:pic>
      <xdr:nvPicPr>
        <xdr:cNvPr id="4995" name="Изображение 4994" descr="resizeПП-00274726"/>
        <xdr:cNvPicPr>
          <a:picLocks noChangeAspect="1"/>
        </xdr:cNvPicPr>
      </xdr:nvPicPr>
      <xdr:blipFill>
        <a:blip xmlns:r="http://schemas.openxmlformats.org/officeDocument/2006/relationships" r:embed="rId757"/>
        <a:stretch>
          <a:fillRect/>
        </a:stretch>
      </xdr:blipFill>
      <xdr:spPr>
        <a:xfrm>
          <a:off x="7264400" y="1005716175"/>
          <a:ext cx="878840" cy="1183640"/>
        </a:xfrm>
        <a:prstGeom prst="rect">
          <a:avLst/>
        </a:prstGeom>
      </xdr:spPr>
    </xdr:pic>
    <xdr:clientData/>
  </xdr:twoCellAnchor>
  <xdr:twoCellAnchor>
    <xdr:from>
      <xdr:col>8</xdr:col>
      <xdr:colOff>6350</xdr:colOff>
      <xdr:row>1055</xdr:row>
      <xdr:rowOff>25400</xdr:rowOff>
    </xdr:from>
    <xdr:to>
      <xdr:col>8</xdr:col>
      <xdr:colOff>885190</xdr:colOff>
      <xdr:row>1055</xdr:row>
      <xdr:rowOff>1209040</xdr:rowOff>
    </xdr:to>
    <xdr:pic>
      <xdr:nvPicPr>
        <xdr:cNvPr id="4996" name="Изображение 4995" descr="resizeПП-00064826"/>
        <xdr:cNvPicPr>
          <a:picLocks noChangeAspect="1"/>
        </xdr:cNvPicPr>
      </xdr:nvPicPr>
      <xdr:blipFill>
        <a:blip xmlns:r="http://schemas.openxmlformats.org/officeDocument/2006/relationships" r:embed="rId758"/>
        <a:stretch>
          <a:fillRect/>
        </a:stretch>
      </xdr:blipFill>
      <xdr:spPr>
        <a:xfrm>
          <a:off x="7264400" y="1007243350"/>
          <a:ext cx="878840" cy="1183640"/>
        </a:xfrm>
        <a:prstGeom prst="rect">
          <a:avLst/>
        </a:prstGeom>
      </xdr:spPr>
    </xdr:pic>
    <xdr:clientData/>
  </xdr:twoCellAnchor>
  <xdr:twoCellAnchor>
    <xdr:from>
      <xdr:col>8</xdr:col>
      <xdr:colOff>6350</xdr:colOff>
      <xdr:row>1056</xdr:row>
      <xdr:rowOff>25400</xdr:rowOff>
    </xdr:from>
    <xdr:to>
      <xdr:col>8</xdr:col>
      <xdr:colOff>885190</xdr:colOff>
      <xdr:row>1056</xdr:row>
      <xdr:rowOff>1209040</xdr:rowOff>
    </xdr:to>
    <xdr:pic>
      <xdr:nvPicPr>
        <xdr:cNvPr id="4997" name="Изображение 4996" descr="resizeПП-00064810"/>
        <xdr:cNvPicPr>
          <a:picLocks noChangeAspect="1"/>
        </xdr:cNvPicPr>
      </xdr:nvPicPr>
      <xdr:blipFill>
        <a:blip xmlns:r="http://schemas.openxmlformats.org/officeDocument/2006/relationships" r:embed="rId759"/>
        <a:stretch>
          <a:fillRect/>
        </a:stretch>
      </xdr:blipFill>
      <xdr:spPr>
        <a:xfrm>
          <a:off x="7264400" y="1008465725"/>
          <a:ext cx="878840" cy="1183640"/>
        </a:xfrm>
        <a:prstGeom prst="rect">
          <a:avLst/>
        </a:prstGeom>
      </xdr:spPr>
    </xdr:pic>
    <xdr:clientData/>
  </xdr:twoCellAnchor>
  <xdr:twoCellAnchor>
    <xdr:from>
      <xdr:col>8</xdr:col>
      <xdr:colOff>6350</xdr:colOff>
      <xdr:row>1057</xdr:row>
      <xdr:rowOff>25400</xdr:rowOff>
    </xdr:from>
    <xdr:to>
      <xdr:col>8</xdr:col>
      <xdr:colOff>885190</xdr:colOff>
      <xdr:row>1057</xdr:row>
      <xdr:rowOff>1209040</xdr:rowOff>
    </xdr:to>
    <xdr:pic>
      <xdr:nvPicPr>
        <xdr:cNvPr id="4998" name="Изображение 4997" descr="resizeПП-00064832"/>
        <xdr:cNvPicPr>
          <a:picLocks noChangeAspect="1"/>
        </xdr:cNvPicPr>
      </xdr:nvPicPr>
      <xdr:blipFill>
        <a:blip xmlns:r="http://schemas.openxmlformats.org/officeDocument/2006/relationships" r:embed="rId760"/>
        <a:stretch>
          <a:fillRect/>
        </a:stretch>
      </xdr:blipFill>
      <xdr:spPr>
        <a:xfrm>
          <a:off x="7264400" y="1009688100"/>
          <a:ext cx="878840" cy="1183640"/>
        </a:xfrm>
        <a:prstGeom prst="rect">
          <a:avLst/>
        </a:prstGeom>
      </xdr:spPr>
    </xdr:pic>
    <xdr:clientData/>
  </xdr:twoCellAnchor>
  <xdr:twoCellAnchor>
    <xdr:from>
      <xdr:col>8</xdr:col>
      <xdr:colOff>6350</xdr:colOff>
      <xdr:row>1058</xdr:row>
      <xdr:rowOff>25400</xdr:rowOff>
    </xdr:from>
    <xdr:to>
      <xdr:col>8</xdr:col>
      <xdr:colOff>885190</xdr:colOff>
      <xdr:row>1058</xdr:row>
      <xdr:rowOff>1209040</xdr:rowOff>
    </xdr:to>
    <xdr:pic>
      <xdr:nvPicPr>
        <xdr:cNvPr id="4999" name="Изображение 4998" descr="resizeПП-00064802"/>
        <xdr:cNvPicPr>
          <a:picLocks noChangeAspect="1"/>
        </xdr:cNvPicPr>
      </xdr:nvPicPr>
      <xdr:blipFill>
        <a:blip xmlns:r="http://schemas.openxmlformats.org/officeDocument/2006/relationships" r:embed="rId761"/>
        <a:stretch>
          <a:fillRect/>
        </a:stretch>
      </xdr:blipFill>
      <xdr:spPr>
        <a:xfrm>
          <a:off x="7264400" y="1010910475"/>
          <a:ext cx="878840" cy="1183640"/>
        </a:xfrm>
        <a:prstGeom prst="rect">
          <a:avLst/>
        </a:prstGeom>
      </xdr:spPr>
    </xdr:pic>
    <xdr:clientData/>
  </xdr:twoCellAnchor>
  <xdr:twoCellAnchor>
    <xdr:from>
      <xdr:col>8</xdr:col>
      <xdr:colOff>6350</xdr:colOff>
      <xdr:row>1059</xdr:row>
      <xdr:rowOff>25400</xdr:rowOff>
    </xdr:from>
    <xdr:to>
      <xdr:col>8</xdr:col>
      <xdr:colOff>885190</xdr:colOff>
      <xdr:row>1059</xdr:row>
      <xdr:rowOff>1209040</xdr:rowOff>
    </xdr:to>
    <xdr:pic>
      <xdr:nvPicPr>
        <xdr:cNvPr id="5000" name="Изображение 4999" descr="resizeПП-00106804"/>
        <xdr:cNvPicPr>
          <a:picLocks noChangeAspect="1"/>
        </xdr:cNvPicPr>
      </xdr:nvPicPr>
      <xdr:blipFill>
        <a:blip xmlns:r="http://schemas.openxmlformats.org/officeDocument/2006/relationships" r:embed="rId762"/>
        <a:stretch>
          <a:fillRect/>
        </a:stretch>
      </xdr:blipFill>
      <xdr:spPr>
        <a:xfrm>
          <a:off x="7264400" y="1012132850"/>
          <a:ext cx="878840" cy="1183640"/>
        </a:xfrm>
        <a:prstGeom prst="rect">
          <a:avLst/>
        </a:prstGeom>
      </xdr:spPr>
    </xdr:pic>
    <xdr:clientData/>
  </xdr:twoCellAnchor>
  <xdr:twoCellAnchor>
    <xdr:from>
      <xdr:col>8</xdr:col>
      <xdr:colOff>6350</xdr:colOff>
      <xdr:row>1060</xdr:row>
      <xdr:rowOff>25400</xdr:rowOff>
    </xdr:from>
    <xdr:to>
      <xdr:col>8</xdr:col>
      <xdr:colOff>885190</xdr:colOff>
      <xdr:row>1060</xdr:row>
      <xdr:rowOff>1209040</xdr:rowOff>
    </xdr:to>
    <xdr:pic>
      <xdr:nvPicPr>
        <xdr:cNvPr id="5001" name="Изображение 5000" descr="resizeПП-00203590"/>
        <xdr:cNvPicPr>
          <a:picLocks noChangeAspect="1"/>
        </xdr:cNvPicPr>
      </xdr:nvPicPr>
      <xdr:blipFill>
        <a:blip xmlns:r="http://schemas.openxmlformats.org/officeDocument/2006/relationships" r:embed="rId763"/>
        <a:stretch>
          <a:fillRect/>
        </a:stretch>
      </xdr:blipFill>
      <xdr:spPr>
        <a:xfrm>
          <a:off x="7264400" y="1013355225"/>
          <a:ext cx="878840" cy="1183640"/>
        </a:xfrm>
        <a:prstGeom prst="rect">
          <a:avLst/>
        </a:prstGeom>
      </xdr:spPr>
    </xdr:pic>
    <xdr:clientData/>
  </xdr:twoCellAnchor>
  <xdr:twoCellAnchor>
    <xdr:from>
      <xdr:col>8</xdr:col>
      <xdr:colOff>6350</xdr:colOff>
      <xdr:row>1061</xdr:row>
      <xdr:rowOff>25400</xdr:rowOff>
    </xdr:from>
    <xdr:to>
      <xdr:col>8</xdr:col>
      <xdr:colOff>885190</xdr:colOff>
      <xdr:row>1061</xdr:row>
      <xdr:rowOff>1209040</xdr:rowOff>
    </xdr:to>
    <xdr:pic>
      <xdr:nvPicPr>
        <xdr:cNvPr id="5002" name="Изображение 5001" descr="resizeПП-00203588"/>
        <xdr:cNvPicPr>
          <a:picLocks noChangeAspect="1"/>
        </xdr:cNvPicPr>
      </xdr:nvPicPr>
      <xdr:blipFill>
        <a:blip xmlns:r="http://schemas.openxmlformats.org/officeDocument/2006/relationships" r:embed="rId764"/>
        <a:stretch>
          <a:fillRect/>
        </a:stretch>
      </xdr:blipFill>
      <xdr:spPr>
        <a:xfrm>
          <a:off x="7264400" y="1014577600"/>
          <a:ext cx="878840" cy="1183640"/>
        </a:xfrm>
        <a:prstGeom prst="rect">
          <a:avLst/>
        </a:prstGeom>
      </xdr:spPr>
    </xdr:pic>
    <xdr:clientData/>
  </xdr:twoCellAnchor>
  <xdr:twoCellAnchor>
    <xdr:from>
      <xdr:col>8</xdr:col>
      <xdr:colOff>6350</xdr:colOff>
      <xdr:row>1062</xdr:row>
      <xdr:rowOff>25400</xdr:rowOff>
    </xdr:from>
    <xdr:to>
      <xdr:col>8</xdr:col>
      <xdr:colOff>885190</xdr:colOff>
      <xdr:row>1062</xdr:row>
      <xdr:rowOff>1209040</xdr:rowOff>
    </xdr:to>
    <xdr:pic>
      <xdr:nvPicPr>
        <xdr:cNvPr id="5003" name="Изображение 5002" descr="resizeПП-00203587"/>
        <xdr:cNvPicPr>
          <a:picLocks noChangeAspect="1"/>
        </xdr:cNvPicPr>
      </xdr:nvPicPr>
      <xdr:blipFill>
        <a:blip xmlns:r="http://schemas.openxmlformats.org/officeDocument/2006/relationships" r:embed="rId765"/>
        <a:stretch>
          <a:fillRect/>
        </a:stretch>
      </xdr:blipFill>
      <xdr:spPr>
        <a:xfrm>
          <a:off x="7264400" y="1015799975"/>
          <a:ext cx="878840" cy="1183640"/>
        </a:xfrm>
        <a:prstGeom prst="rect">
          <a:avLst/>
        </a:prstGeom>
      </xdr:spPr>
    </xdr:pic>
    <xdr:clientData/>
  </xdr:twoCellAnchor>
  <xdr:twoCellAnchor>
    <xdr:from>
      <xdr:col>8</xdr:col>
      <xdr:colOff>6350</xdr:colOff>
      <xdr:row>1063</xdr:row>
      <xdr:rowOff>25400</xdr:rowOff>
    </xdr:from>
    <xdr:to>
      <xdr:col>8</xdr:col>
      <xdr:colOff>885190</xdr:colOff>
      <xdr:row>1063</xdr:row>
      <xdr:rowOff>1209040</xdr:rowOff>
    </xdr:to>
    <xdr:pic>
      <xdr:nvPicPr>
        <xdr:cNvPr id="5004" name="Изображение 5003" descr="resizeПП-00203589"/>
        <xdr:cNvPicPr>
          <a:picLocks noChangeAspect="1"/>
        </xdr:cNvPicPr>
      </xdr:nvPicPr>
      <xdr:blipFill>
        <a:blip xmlns:r="http://schemas.openxmlformats.org/officeDocument/2006/relationships" r:embed="rId766"/>
        <a:stretch>
          <a:fillRect/>
        </a:stretch>
      </xdr:blipFill>
      <xdr:spPr>
        <a:xfrm>
          <a:off x="7264400" y="1017022350"/>
          <a:ext cx="878840" cy="1183640"/>
        </a:xfrm>
        <a:prstGeom prst="rect">
          <a:avLst/>
        </a:prstGeom>
      </xdr:spPr>
    </xdr:pic>
    <xdr:clientData/>
  </xdr:twoCellAnchor>
  <xdr:twoCellAnchor>
    <xdr:from>
      <xdr:col>8</xdr:col>
      <xdr:colOff>6350</xdr:colOff>
      <xdr:row>1064</xdr:row>
      <xdr:rowOff>25400</xdr:rowOff>
    </xdr:from>
    <xdr:to>
      <xdr:col>8</xdr:col>
      <xdr:colOff>885190</xdr:colOff>
      <xdr:row>1064</xdr:row>
      <xdr:rowOff>1209040</xdr:rowOff>
    </xdr:to>
    <xdr:pic>
      <xdr:nvPicPr>
        <xdr:cNvPr id="5005" name="Изображение 5004" descr="resizeПП-00104411"/>
        <xdr:cNvPicPr>
          <a:picLocks noChangeAspect="1"/>
        </xdr:cNvPicPr>
      </xdr:nvPicPr>
      <xdr:blipFill>
        <a:blip xmlns:r="http://schemas.openxmlformats.org/officeDocument/2006/relationships" r:embed="rId767"/>
        <a:stretch>
          <a:fillRect/>
        </a:stretch>
      </xdr:blipFill>
      <xdr:spPr>
        <a:xfrm>
          <a:off x="7264400" y="1018244725"/>
          <a:ext cx="878840" cy="1183640"/>
        </a:xfrm>
        <a:prstGeom prst="rect">
          <a:avLst/>
        </a:prstGeom>
      </xdr:spPr>
    </xdr:pic>
    <xdr:clientData/>
  </xdr:twoCellAnchor>
  <xdr:twoCellAnchor>
    <xdr:from>
      <xdr:col>8</xdr:col>
      <xdr:colOff>6350</xdr:colOff>
      <xdr:row>1065</xdr:row>
      <xdr:rowOff>25400</xdr:rowOff>
    </xdr:from>
    <xdr:to>
      <xdr:col>8</xdr:col>
      <xdr:colOff>885190</xdr:colOff>
      <xdr:row>1065</xdr:row>
      <xdr:rowOff>1209040</xdr:rowOff>
    </xdr:to>
    <xdr:pic>
      <xdr:nvPicPr>
        <xdr:cNvPr id="5006" name="Изображение 5005" descr="resizeПП-00104444"/>
        <xdr:cNvPicPr>
          <a:picLocks noChangeAspect="1"/>
        </xdr:cNvPicPr>
      </xdr:nvPicPr>
      <xdr:blipFill>
        <a:blip xmlns:r="http://schemas.openxmlformats.org/officeDocument/2006/relationships" r:embed="rId768"/>
        <a:stretch>
          <a:fillRect/>
        </a:stretch>
      </xdr:blipFill>
      <xdr:spPr>
        <a:xfrm>
          <a:off x="7264400" y="1019467100"/>
          <a:ext cx="878840" cy="1183640"/>
        </a:xfrm>
        <a:prstGeom prst="rect">
          <a:avLst/>
        </a:prstGeom>
      </xdr:spPr>
    </xdr:pic>
    <xdr:clientData/>
  </xdr:twoCellAnchor>
  <xdr:twoCellAnchor>
    <xdr:from>
      <xdr:col>8</xdr:col>
      <xdr:colOff>6350</xdr:colOff>
      <xdr:row>1066</xdr:row>
      <xdr:rowOff>25400</xdr:rowOff>
    </xdr:from>
    <xdr:to>
      <xdr:col>8</xdr:col>
      <xdr:colOff>885190</xdr:colOff>
      <xdr:row>1066</xdr:row>
      <xdr:rowOff>1209040</xdr:rowOff>
    </xdr:to>
    <xdr:pic>
      <xdr:nvPicPr>
        <xdr:cNvPr id="5007" name="Изображение 5006" descr="resizeПП-00082811"/>
        <xdr:cNvPicPr>
          <a:picLocks noChangeAspect="1"/>
        </xdr:cNvPicPr>
      </xdr:nvPicPr>
      <xdr:blipFill>
        <a:blip xmlns:r="http://schemas.openxmlformats.org/officeDocument/2006/relationships" r:embed="rId769"/>
        <a:stretch>
          <a:fillRect/>
        </a:stretch>
      </xdr:blipFill>
      <xdr:spPr>
        <a:xfrm>
          <a:off x="7264400" y="1020689475"/>
          <a:ext cx="878840" cy="1183640"/>
        </a:xfrm>
        <a:prstGeom prst="rect">
          <a:avLst/>
        </a:prstGeom>
      </xdr:spPr>
    </xdr:pic>
    <xdr:clientData/>
  </xdr:twoCellAnchor>
  <xdr:twoCellAnchor>
    <xdr:from>
      <xdr:col>8</xdr:col>
      <xdr:colOff>6350</xdr:colOff>
      <xdr:row>1068</xdr:row>
      <xdr:rowOff>25400</xdr:rowOff>
    </xdr:from>
    <xdr:to>
      <xdr:col>8</xdr:col>
      <xdr:colOff>885190</xdr:colOff>
      <xdr:row>1068</xdr:row>
      <xdr:rowOff>1209040</xdr:rowOff>
    </xdr:to>
    <xdr:pic>
      <xdr:nvPicPr>
        <xdr:cNvPr id="5008" name="Изображение 5007" descr="resizeПП-00064809"/>
        <xdr:cNvPicPr>
          <a:picLocks noChangeAspect="1"/>
        </xdr:cNvPicPr>
      </xdr:nvPicPr>
      <xdr:blipFill>
        <a:blip xmlns:r="http://schemas.openxmlformats.org/officeDocument/2006/relationships" r:embed="rId770"/>
        <a:stretch>
          <a:fillRect/>
        </a:stretch>
      </xdr:blipFill>
      <xdr:spPr>
        <a:xfrm>
          <a:off x="7264400" y="1022064250"/>
          <a:ext cx="878840" cy="1183640"/>
        </a:xfrm>
        <a:prstGeom prst="rect">
          <a:avLst/>
        </a:prstGeom>
      </xdr:spPr>
    </xdr:pic>
    <xdr:clientData/>
  </xdr:twoCellAnchor>
  <xdr:twoCellAnchor>
    <xdr:from>
      <xdr:col>8</xdr:col>
      <xdr:colOff>6350</xdr:colOff>
      <xdr:row>1069</xdr:row>
      <xdr:rowOff>25400</xdr:rowOff>
    </xdr:from>
    <xdr:to>
      <xdr:col>8</xdr:col>
      <xdr:colOff>885190</xdr:colOff>
      <xdr:row>1069</xdr:row>
      <xdr:rowOff>1209040</xdr:rowOff>
    </xdr:to>
    <xdr:pic>
      <xdr:nvPicPr>
        <xdr:cNvPr id="5009" name="Изображение 5008" descr="resizeПП-00064805"/>
        <xdr:cNvPicPr>
          <a:picLocks noChangeAspect="1"/>
        </xdr:cNvPicPr>
      </xdr:nvPicPr>
      <xdr:blipFill>
        <a:blip xmlns:r="http://schemas.openxmlformats.org/officeDocument/2006/relationships" r:embed="rId771"/>
        <a:stretch>
          <a:fillRect/>
        </a:stretch>
      </xdr:blipFill>
      <xdr:spPr>
        <a:xfrm>
          <a:off x="7264400" y="1023286625"/>
          <a:ext cx="878840" cy="1183640"/>
        </a:xfrm>
        <a:prstGeom prst="rect">
          <a:avLst/>
        </a:prstGeom>
      </xdr:spPr>
    </xdr:pic>
    <xdr:clientData/>
  </xdr:twoCellAnchor>
  <xdr:twoCellAnchor>
    <xdr:from>
      <xdr:col>8</xdr:col>
      <xdr:colOff>6350</xdr:colOff>
      <xdr:row>1070</xdr:row>
      <xdr:rowOff>25400</xdr:rowOff>
    </xdr:from>
    <xdr:to>
      <xdr:col>8</xdr:col>
      <xdr:colOff>885190</xdr:colOff>
      <xdr:row>1070</xdr:row>
      <xdr:rowOff>1209040</xdr:rowOff>
    </xdr:to>
    <xdr:pic>
      <xdr:nvPicPr>
        <xdr:cNvPr id="5010" name="Изображение 5009" descr="resizeПП-00064808"/>
        <xdr:cNvPicPr>
          <a:picLocks noChangeAspect="1"/>
        </xdr:cNvPicPr>
      </xdr:nvPicPr>
      <xdr:blipFill>
        <a:blip xmlns:r="http://schemas.openxmlformats.org/officeDocument/2006/relationships" r:embed="rId772"/>
        <a:stretch>
          <a:fillRect/>
        </a:stretch>
      </xdr:blipFill>
      <xdr:spPr>
        <a:xfrm>
          <a:off x="7264400" y="1024509000"/>
          <a:ext cx="878840" cy="1183640"/>
        </a:xfrm>
        <a:prstGeom prst="rect">
          <a:avLst/>
        </a:prstGeom>
      </xdr:spPr>
    </xdr:pic>
    <xdr:clientData/>
  </xdr:twoCellAnchor>
  <xdr:twoCellAnchor>
    <xdr:from>
      <xdr:col>8</xdr:col>
      <xdr:colOff>6350</xdr:colOff>
      <xdr:row>1071</xdr:row>
      <xdr:rowOff>25400</xdr:rowOff>
    </xdr:from>
    <xdr:to>
      <xdr:col>8</xdr:col>
      <xdr:colOff>885190</xdr:colOff>
      <xdr:row>1071</xdr:row>
      <xdr:rowOff>1209040</xdr:rowOff>
    </xdr:to>
    <xdr:pic>
      <xdr:nvPicPr>
        <xdr:cNvPr id="5011" name="Изображение 5010" descr="resizeПП-00251325"/>
        <xdr:cNvPicPr>
          <a:picLocks noChangeAspect="1"/>
        </xdr:cNvPicPr>
      </xdr:nvPicPr>
      <xdr:blipFill>
        <a:blip xmlns:r="http://schemas.openxmlformats.org/officeDocument/2006/relationships" r:embed="rId773"/>
        <a:stretch>
          <a:fillRect/>
        </a:stretch>
      </xdr:blipFill>
      <xdr:spPr>
        <a:xfrm>
          <a:off x="7264400" y="1025731375"/>
          <a:ext cx="878840" cy="1183640"/>
        </a:xfrm>
        <a:prstGeom prst="rect">
          <a:avLst/>
        </a:prstGeom>
      </xdr:spPr>
    </xdr:pic>
    <xdr:clientData/>
  </xdr:twoCellAnchor>
  <xdr:twoCellAnchor>
    <xdr:from>
      <xdr:col>8</xdr:col>
      <xdr:colOff>6350</xdr:colOff>
      <xdr:row>1072</xdr:row>
      <xdr:rowOff>25400</xdr:rowOff>
    </xdr:from>
    <xdr:to>
      <xdr:col>8</xdr:col>
      <xdr:colOff>885190</xdr:colOff>
      <xdr:row>1072</xdr:row>
      <xdr:rowOff>1209040</xdr:rowOff>
    </xdr:to>
    <xdr:pic>
      <xdr:nvPicPr>
        <xdr:cNvPr id="5012" name="Изображение 5011" descr="resizeПП-00202914"/>
        <xdr:cNvPicPr>
          <a:picLocks noChangeAspect="1"/>
        </xdr:cNvPicPr>
      </xdr:nvPicPr>
      <xdr:blipFill>
        <a:blip xmlns:r="http://schemas.openxmlformats.org/officeDocument/2006/relationships" r:embed="rId774"/>
        <a:stretch>
          <a:fillRect/>
        </a:stretch>
      </xdr:blipFill>
      <xdr:spPr>
        <a:xfrm>
          <a:off x="7264400" y="1026953750"/>
          <a:ext cx="878840" cy="1183640"/>
        </a:xfrm>
        <a:prstGeom prst="rect">
          <a:avLst/>
        </a:prstGeom>
      </xdr:spPr>
    </xdr:pic>
    <xdr:clientData/>
  </xdr:twoCellAnchor>
  <xdr:twoCellAnchor>
    <xdr:from>
      <xdr:col>8</xdr:col>
      <xdr:colOff>6350</xdr:colOff>
      <xdr:row>1073</xdr:row>
      <xdr:rowOff>25400</xdr:rowOff>
    </xdr:from>
    <xdr:to>
      <xdr:col>8</xdr:col>
      <xdr:colOff>885190</xdr:colOff>
      <xdr:row>1073</xdr:row>
      <xdr:rowOff>1209040</xdr:rowOff>
    </xdr:to>
    <xdr:pic>
      <xdr:nvPicPr>
        <xdr:cNvPr id="5013" name="Изображение 5012" descr="resizeПП-00203001"/>
        <xdr:cNvPicPr>
          <a:picLocks noChangeAspect="1"/>
        </xdr:cNvPicPr>
      </xdr:nvPicPr>
      <xdr:blipFill>
        <a:blip xmlns:r="http://schemas.openxmlformats.org/officeDocument/2006/relationships" r:embed="rId775"/>
        <a:stretch>
          <a:fillRect/>
        </a:stretch>
      </xdr:blipFill>
      <xdr:spPr>
        <a:xfrm>
          <a:off x="7264400" y="1028176125"/>
          <a:ext cx="878840" cy="1183640"/>
        </a:xfrm>
        <a:prstGeom prst="rect">
          <a:avLst/>
        </a:prstGeom>
      </xdr:spPr>
    </xdr:pic>
    <xdr:clientData/>
  </xdr:twoCellAnchor>
  <xdr:twoCellAnchor>
    <xdr:from>
      <xdr:col>8</xdr:col>
      <xdr:colOff>6350</xdr:colOff>
      <xdr:row>1074</xdr:row>
      <xdr:rowOff>25400</xdr:rowOff>
    </xdr:from>
    <xdr:to>
      <xdr:col>8</xdr:col>
      <xdr:colOff>885190</xdr:colOff>
      <xdr:row>1074</xdr:row>
      <xdr:rowOff>1209040</xdr:rowOff>
    </xdr:to>
    <xdr:pic>
      <xdr:nvPicPr>
        <xdr:cNvPr id="5014" name="Изображение 5013" descr="resizeПП-00193755"/>
        <xdr:cNvPicPr>
          <a:picLocks noChangeAspect="1"/>
        </xdr:cNvPicPr>
      </xdr:nvPicPr>
      <xdr:blipFill>
        <a:blip xmlns:r="http://schemas.openxmlformats.org/officeDocument/2006/relationships" r:embed="rId776"/>
        <a:stretch>
          <a:fillRect/>
        </a:stretch>
      </xdr:blipFill>
      <xdr:spPr>
        <a:xfrm>
          <a:off x="7264400" y="1029398500"/>
          <a:ext cx="878840" cy="1183640"/>
        </a:xfrm>
        <a:prstGeom prst="rect">
          <a:avLst/>
        </a:prstGeom>
      </xdr:spPr>
    </xdr:pic>
    <xdr:clientData/>
  </xdr:twoCellAnchor>
  <xdr:twoCellAnchor>
    <xdr:from>
      <xdr:col>8</xdr:col>
      <xdr:colOff>6350</xdr:colOff>
      <xdr:row>1075</xdr:row>
      <xdr:rowOff>25400</xdr:rowOff>
    </xdr:from>
    <xdr:to>
      <xdr:col>8</xdr:col>
      <xdr:colOff>885190</xdr:colOff>
      <xdr:row>1075</xdr:row>
      <xdr:rowOff>1209040</xdr:rowOff>
    </xdr:to>
    <xdr:pic>
      <xdr:nvPicPr>
        <xdr:cNvPr id="5015" name="Изображение 5014" descr="resizeПП-00160575"/>
        <xdr:cNvPicPr>
          <a:picLocks noChangeAspect="1"/>
        </xdr:cNvPicPr>
      </xdr:nvPicPr>
      <xdr:blipFill>
        <a:blip xmlns:r="http://schemas.openxmlformats.org/officeDocument/2006/relationships" r:embed="rId777"/>
        <a:stretch>
          <a:fillRect/>
        </a:stretch>
      </xdr:blipFill>
      <xdr:spPr>
        <a:xfrm>
          <a:off x="7264400" y="1030620875"/>
          <a:ext cx="878840" cy="1183640"/>
        </a:xfrm>
        <a:prstGeom prst="rect">
          <a:avLst/>
        </a:prstGeom>
      </xdr:spPr>
    </xdr:pic>
    <xdr:clientData/>
  </xdr:twoCellAnchor>
  <xdr:twoCellAnchor>
    <xdr:from>
      <xdr:col>8</xdr:col>
      <xdr:colOff>6350</xdr:colOff>
      <xdr:row>1076</xdr:row>
      <xdr:rowOff>25400</xdr:rowOff>
    </xdr:from>
    <xdr:to>
      <xdr:col>8</xdr:col>
      <xdr:colOff>885190</xdr:colOff>
      <xdr:row>1076</xdr:row>
      <xdr:rowOff>1209040</xdr:rowOff>
    </xdr:to>
    <xdr:pic>
      <xdr:nvPicPr>
        <xdr:cNvPr id="5016" name="Изображение 5015" descr="resizeПП-00275067"/>
        <xdr:cNvPicPr>
          <a:picLocks noChangeAspect="1"/>
        </xdr:cNvPicPr>
      </xdr:nvPicPr>
      <xdr:blipFill>
        <a:blip xmlns:r="http://schemas.openxmlformats.org/officeDocument/2006/relationships" r:embed="rId778"/>
        <a:stretch>
          <a:fillRect/>
        </a:stretch>
      </xdr:blipFill>
      <xdr:spPr>
        <a:xfrm>
          <a:off x="7264400" y="1031843250"/>
          <a:ext cx="878840" cy="1183640"/>
        </a:xfrm>
        <a:prstGeom prst="rect">
          <a:avLst/>
        </a:prstGeom>
      </xdr:spPr>
    </xdr:pic>
    <xdr:clientData/>
  </xdr:twoCellAnchor>
  <xdr:twoCellAnchor>
    <xdr:from>
      <xdr:col>8</xdr:col>
      <xdr:colOff>6350</xdr:colOff>
      <xdr:row>1077</xdr:row>
      <xdr:rowOff>25400</xdr:rowOff>
    </xdr:from>
    <xdr:to>
      <xdr:col>8</xdr:col>
      <xdr:colOff>885190</xdr:colOff>
      <xdr:row>1077</xdr:row>
      <xdr:rowOff>1209040</xdr:rowOff>
    </xdr:to>
    <xdr:pic>
      <xdr:nvPicPr>
        <xdr:cNvPr id="5017" name="Изображение 5016" descr="resizeПП-00251324"/>
        <xdr:cNvPicPr>
          <a:picLocks noChangeAspect="1"/>
        </xdr:cNvPicPr>
      </xdr:nvPicPr>
      <xdr:blipFill>
        <a:blip xmlns:r="http://schemas.openxmlformats.org/officeDocument/2006/relationships" r:embed="rId779"/>
        <a:stretch>
          <a:fillRect/>
        </a:stretch>
      </xdr:blipFill>
      <xdr:spPr>
        <a:xfrm>
          <a:off x="7264400" y="1033065625"/>
          <a:ext cx="878840" cy="1183640"/>
        </a:xfrm>
        <a:prstGeom prst="rect">
          <a:avLst/>
        </a:prstGeom>
      </xdr:spPr>
    </xdr:pic>
    <xdr:clientData/>
  </xdr:twoCellAnchor>
  <xdr:twoCellAnchor>
    <xdr:from>
      <xdr:col>8</xdr:col>
      <xdr:colOff>6350</xdr:colOff>
      <xdr:row>1078</xdr:row>
      <xdr:rowOff>25400</xdr:rowOff>
    </xdr:from>
    <xdr:to>
      <xdr:col>8</xdr:col>
      <xdr:colOff>885190</xdr:colOff>
      <xdr:row>1078</xdr:row>
      <xdr:rowOff>1209040</xdr:rowOff>
    </xdr:to>
    <xdr:pic>
      <xdr:nvPicPr>
        <xdr:cNvPr id="5018" name="Изображение 5017" descr="resizeПП-00255710"/>
        <xdr:cNvPicPr>
          <a:picLocks noChangeAspect="1"/>
        </xdr:cNvPicPr>
      </xdr:nvPicPr>
      <xdr:blipFill>
        <a:blip xmlns:r="http://schemas.openxmlformats.org/officeDocument/2006/relationships" r:embed="rId780"/>
        <a:stretch>
          <a:fillRect/>
        </a:stretch>
      </xdr:blipFill>
      <xdr:spPr>
        <a:xfrm>
          <a:off x="7264400" y="1034288000"/>
          <a:ext cx="878840" cy="1183640"/>
        </a:xfrm>
        <a:prstGeom prst="rect">
          <a:avLst/>
        </a:prstGeom>
      </xdr:spPr>
    </xdr:pic>
    <xdr:clientData/>
  </xdr:twoCellAnchor>
  <xdr:twoCellAnchor>
    <xdr:from>
      <xdr:col>8</xdr:col>
      <xdr:colOff>6350</xdr:colOff>
      <xdr:row>1079</xdr:row>
      <xdr:rowOff>25400</xdr:rowOff>
    </xdr:from>
    <xdr:to>
      <xdr:col>8</xdr:col>
      <xdr:colOff>885190</xdr:colOff>
      <xdr:row>1079</xdr:row>
      <xdr:rowOff>1209040</xdr:rowOff>
    </xdr:to>
    <xdr:pic>
      <xdr:nvPicPr>
        <xdr:cNvPr id="5019" name="Изображение 5018" descr="resizeПП-00255709"/>
        <xdr:cNvPicPr>
          <a:picLocks noChangeAspect="1"/>
        </xdr:cNvPicPr>
      </xdr:nvPicPr>
      <xdr:blipFill>
        <a:blip xmlns:r="http://schemas.openxmlformats.org/officeDocument/2006/relationships" r:embed="rId781"/>
        <a:stretch>
          <a:fillRect/>
        </a:stretch>
      </xdr:blipFill>
      <xdr:spPr>
        <a:xfrm>
          <a:off x="7264400" y="1035510375"/>
          <a:ext cx="878840" cy="1183640"/>
        </a:xfrm>
        <a:prstGeom prst="rect">
          <a:avLst/>
        </a:prstGeom>
      </xdr:spPr>
    </xdr:pic>
    <xdr:clientData/>
  </xdr:twoCellAnchor>
  <xdr:twoCellAnchor>
    <xdr:from>
      <xdr:col>8</xdr:col>
      <xdr:colOff>6350</xdr:colOff>
      <xdr:row>1080</xdr:row>
      <xdr:rowOff>25400</xdr:rowOff>
    </xdr:from>
    <xdr:to>
      <xdr:col>8</xdr:col>
      <xdr:colOff>885190</xdr:colOff>
      <xdr:row>1080</xdr:row>
      <xdr:rowOff>1209040</xdr:rowOff>
    </xdr:to>
    <xdr:pic>
      <xdr:nvPicPr>
        <xdr:cNvPr id="5020" name="Изображение 5019" descr="resizeПП-00255712"/>
        <xdr:cNvPicPr>
          <a:picLocks noChangeAspect="1"/>
        </xdr:cNvPicPr>
      </xdr:nvPicPr>
      <xdr:blipFill>
        <a:blip xmlns:r="http://schemas.openxmlformats.org/officeDocument/2006/relationships" r:embed="rId782"/>
        <a:stretch>
          <a:fillRect/>
        </a:stretch>
      </xdr:blipFill>
      <xdr:spPr>
        <a:xfrm>
          <a:off x="7264400" y="1036732750"/>
          <a:ext cx="878840" cy="1183640"/>
        </a:xfrm>
        <a:prstGeom prst="rect">
          <a:avLst/>
        </a:prstGeom>
      </xdr:spPr>
    </xdr:pic>
    <xdr:clientData/>
  </xdr:twoCellAnchor>
  <xdr:twoCellAnchor>
    <xdr:from>
      <xdr:col>8</xdr:col>
      <xdr:colOff>6350</xdr:colOff>
      <xdr:row>1081</xdr:row>
      <xdr:rowOff>25400</xdr:rowOff>
    </xdr:from>
    <xdr:to>
      <xdr:col>8</xdr:col>
      <xdr:colOff>885190</xdr:colOff>
      <xdr:row>1081</xdr:row>
      <xdr:rowOff>1209040</xdr:rowOff>
    </xdr:to>
    <xdr:pic>
      <xdr:nvPicPr>
        <xdr:cNvPr id="5021" name="Изображение 5020" descr="resizeПП-00255711"/>
        <xdr:cNvPicPr>
          <a:picLocks noChangeAspect="1"/>
        </xdr:cNvPicPr>
      </xdr:nvPicPr>
      <xdr:blipFill>
        <a:blip xmlns:r="http://schemas.openxmlformats.org/officeDocument/2006/relationships" r:embed="rId783"/>
        <a:stretch>
          <a:fillRect/>
        </a:stretch>
      </xdr:blipFill>
      <xdr:spPr>
        <a:xfrm>
          <a:off x="7264400" y="1037955125"/>
          <a:ext cx="878840" cy="1183640"/>
        </a:xfrm>
        <a:prstGeom prst="rect">
          <a:avLst/>
        </a:prstGeom>
      </xdr:spPr>
    </xdr:pic>
    <xdr:clientData/>
  </xdr:twoCellAnchor>
  <xdr:twoCellAnchor>
    <xdr:from>
      <xdr:col>8</xdr:col>
      <xdr:colOff>6350</xdr:colOff>
      <xdr:row>1082</xdr:row>
      <xdr:rowOff>25400</xdr:rowOff>
    </xdr:from>
    <xdr:to>
      <xdr:col>8</xdr:col>
      <xdr:colOff>885190</xdr:colOff>
      <xdr:row>1082</xdr:row>
      <xdr:rowOff>1209040</xdr:rowOff>
    </xdr:to>
    <xdr:pic>
      <xdr:nvPicPr>
        <xdr:cNvPr id="5022" name="Изображение 5021" descr="resizeПП-00255704"/>
        <xdr:cNvPicPr>
          <a:picLocks noChangeAspect="1"/>
        </xdr:cNvPicPr>
      </xdr:nvPicPr>
      <xdr:blipFill>
        <a:blip xmlns:r="http://schemas.openxmlformats.org/officeDocument/2006/relationships" r:embed="rId784"/>
        <a:stretch>
          <a:fillRect/>
        </a:stretch>
      </xdr:blipFill>
      <xdr:spPr>
        <a:xfrm>
          <a:off x="7264400" y="1039177500"/>
          <a:ext cx="878840" cy="1183640"/>
        </a:xfrm>
        <a:prstGeom prst="rect">
          <a:avLst/>
        </a:prstGeom>
      </xdr:spPr>
    </xdr:pic>
    <xdr:clientData/>
  </xdr:twoCellAnchor>
  <xdr:twoCellAnchor>
    <xdr:from>
      <xdr:col>8</xdr:col>
      <xdr:colOff>6350</xdr:colOff>
      <xdr:row>1083</xdr:row>
      <xdr:rowOff>25400</xdr:rowOff>
    </xdr:from>
    <xdr:to>
      <xdr:col>8</xdr:col>
      <xdr:colOff>885190</xdr:colOff>
      <xdr:row>1083</xdr:row>
      <xdr:rowOff>1209040</xdr:rowOff>
    </xdr:to>
    <xdr:pic>
      <xdr:nvPicPr>
        <xdr:cNvPr id="5023" name="Изображение 5022" descr="resizeПП-00255707"/>
        <xdr:cNvPicPr>
          <a:picLocks noChangeAspect="1"/>
        </xdr:cNvPicPr>
      </xdr:nvPicPr>
      <xdr:blipFill>
        <a:blip xmlns:r="http://schemas.openxmlformats.org/officeDocument/2006/relationships" r:embed="rId785"/>
        <a:stretch>
          <a:fillRect/>
        </a:stretch>
      </xdr:blipFill>
      <xdr:spPr>
        <a:xfrm>
          <a:off x="7264400" y="1040399875"/>
          <a:ext cx="878840" cy="1183640"/>
        </a:xfrm>
        <a:prstGeom prst="rect">
          <a:avLst/>
        </a:prstGeom>
      </xdr:spPr>
    </xdr:pic>
    <xdr:clientData/>
  </xdr:twoCellAnchor>
  <xdr:twoCellAnchor>
    <xdr:from>
      <xdr:col>8</xdr:col>
      <xdr:colOff>6350</xdr:colOff>
      <xdr:row>1084</xdr:row>
      <xdr:rowOff>25400</xdr:rowOff>
    </xdr:from>
    <xdr:to>
      <xdr:col>8</xdr:col>
      <xdr:colOff>885190</xdr:colOff>
      <xdr:row>1084</xdr:row>
      <xdr:rowOff>1209040</xdr:rowOff>
    </xdr:to>
    <xdr:pic>
      <xdr:nvPicPr>
        <xdr:cNvPr id="5024" name="Изображение 5023" descr="resizeПП-00255703"/>
        <xdr:cNvPicPr>
          <a:picLocks noChangeAspect="1"/>
        </xdr:cNvPicPr>
      </xdr:nvPicPr>
      <xdr:blipFill>
        <a:blip xmlns:r="http://schemas.openxmlformats.org/officeDocument/2006/relationships" r:embed="rId786"/>
        <a:stretch>
          <a:fillRect/>
        </a:stretch>
      </xdr:blipFill>
      <xdr:spPr>
        <a:xfrm>
          <a:off x="7264400" y="1041622250"/>
          <a:ext cx="878840" cy="1183640"/>
        </a:xfrm>
        <a:prstGeom prst="rect">
          <a:avLst/>
        </a:prstGeom>
      </xdr:spPr>
    </xdr:pic>
    <xdr:clientData/>
  </xdr:twoCellAnchor>
  <xdr:twoCellAnchor>
    <xdr:from>
      <xdr:col>8</xdr:col>
      <xdr:colOff>6350</xdr:colOff>
      <xdr:row>1087</xdr:row>
      <xdr:rowOff>25400</xdr:rowOff>
    </xdr:from>
    <xdr:to>
      <xdr:col>8</xdr:col>
      <xdr:colOff>885190</xdr:colOff>
      <xdr:row>1087</xdr:row>
      <xdr:rowOff>1209040</xdr:rowOff>
    </xdr:to>
    <xdr:pic>
      <xdr:nvPicPr>
        <xdr:cNvPr id="5025" name="Изображение 5024" descr="resizeПП-00275430"/>
        <xdr:cNvPicPr>
          <a:picLocks noChangeAspect="1"/>
        </xdr:cNvPicPr>
      </xdr:nvPicPr>
      <xdr:blipFill>
        <a:blip xmlns:r="http://schemas.openxmlformats.org/officeDocument/2006/relationships" r:embed="rId787"/>
        <a:stretch>
          <a:fillRect/>
        </a:stretch>
      </xdr:blipFill>
      <xdr:spPr>
        <a:xfrm>
          <a:off x="7264400" y="1043149425"/>
          <a:ext cx="878840" cy="1183640"/>
        </a:xfrm>
        <a:prstGeom prst="rect">
          <a:avLst/>
        </a:prstGeom>
      </xdr:spPr>
    </xdr:pic>
    <xdr:clientData/>
  </xdr:twoCellAnchor>
  <xdr:twoCellAnchor>
    <xdr:from>
      <xdr:col>8</xdr:col>
      <xdr:colOff>6350</xdr:colOff>
      <xdr:row>1088</xdr:row>
      <xdr:rowOff>25400</xdr:rowOff>
    </xdr:from>
    <xdr:to>
      <xdr:col>8</xdr:col>
      <xdr:colOff>885190</xdr:colOff>
      <xdr:row>1088</xdr:row>
      <xdr:rowOff>1209040</xdr:rowOff>
    </xdr:to>
    <xdr:pic>
      <xdr:nvPicPr>
        <xdr:cNvPr id="5026" name="Изображение 5025" descr="resizeПП-00234441"/>
        <xdr:cNvPicPr>
          <a:picLocks noChangeAspect="1"/>
        </xdr:cNvPicPr>
      </xdr:nvPicPr>
      <xdr:blipFill>
        <a:blip xmlns:r="http://schemas.openxmlformats.org/officeDocument/2006/relationships" r:embed="rId788"/>
        <a:stretch>
          <a:fillRect/>
        </a:stretch>
      </xdr:blipFill>
      <xdr:spPr>
        <a:xfrm>
          <a:off x="7264400" y="1044371800"/>
          <a:ext cx="878840" cy="1183640"/>
        </a:xfrm>
        <a:prstGeom prst="rect">
          <a:avLst/>
        </a:prstGeom>
      </xdr:spPr>
    </xdr:pic>
    <xdr:clientData/>
  </xdr:twoCellAnchor>
  <xdr:twoCellAnchor>
    <xdr:from>
      <xdr:col>8</xdr:col>
      <xdr:colOff>6350</xdr:colOff>
      <xdr:row>1089</xdr:row>
      <xdr:rowOff>25400</xdr:rowOff>
    </xdr:from>
    <xdr:to>
      <xdr:col>8</xdr:col>
      <xdr:colOff>885190</xdr:colOff>
      <xdr:row>1089</xdr:row>
      <xdr:rowOff>1209040</xdr:rowOff>
    </xdr:to>
    <xdr:pic>
      <xdr:nvPicPr>
        <xdr:cNvPr id="5027" name="Изображение 5026" descr="resizeПП-00234439"/>
        <xdr:cNvPicPr>
          <a:picLocks noChangeAspect="1"/>
        </xdr:cNvPicPr>
      </xdr:nvPicPr>
      <xdr:blipFill>
        <a:blip xmlns:r="http://schemas.openxmlformats.org/officeDocument/2006/relationships" r:embed="rId789"/>
        <a:stretch>
          <a:fillRect/>
        </a:stretch>
      </xdr:blipFill>
      <xdr:spPr>
        <a:xfrm>
          <a:off x="7264400" y="1045594175"/>
          <a:ext cx="878840" cy="1183640"/>
        </a:xfrm>
        <a:prstGeom prst="rect">
          <a:avLst/>
        </a:prstGeom>
      </xdr:spPr>
    </xdr:pic>
    <xdr:clientData/>
  </xdr:twoCellAnchor>
  <xdr:twoCellAnchor>
    <xdr:from>
      <xdr:col>8</xdr:col>
      <xdr:colOff>6350</xdr:colOff>
      <xdr:row>1091</xdr:row>
      <xdr:rowOff>25400</xdr:rowOff>
    </xdr:from>
    <xdr:to>
      <xdr:col>8</xdr:col>
      <xdr:colOff>885190</xdr:colOff>
      <xdr:row>1091</xdr:row>
      <xdr:rowOff>1209040</xdr:rowOff>
    </xdr:to>
    <xdr:pic>
      <xdr:nvPicPr>
        <xdr:cNvPr id="5028" name="Изображение 5027" descr="resizeПП-00275426"/>
        <xdr:cNvPicPr>
          <a:picLocks noChangeAspect="1"/>
        </xdr:cNvPicPr>
      </xdr:nvPicPr>
      <xdr:blipFill>
        <a:blip xmlns:r="http://schemas.openxmlformats.org/officeDocument/2006/relationships" r:embed="rId790"/>
        <a:stretch>
          <a:fillRect/>
        </a:stretch>
      </xdr:blipFill>
      <xdr:spPr>
        <a:xfrm>
          <a:off x="7264400" y="1046968950"/>
          <a:ext cx="878840" cy="1183640"/>
        </a:xfrm>
        <a:prstGeom prst="rect">
          <a:avLst/>
        </a:prstGeom>
      </xdr:spPr>
    </xdr:pic>
    <xdr:clientData/>
  </xdr:twoCellAnchor>
  <xdr:twoCellAnchor>
    <xdr:from>
      <xdr:col>8</xdr:col>
      <xdr:colOff>6350</xdr:colOff>
      <xdr:row>1092</xdr:row>
      <xdr:rowOff>25400</xdr:rowOff>
    </xdr:from>
    <xdr:to>
      <xdr:col>8</xdr:col>
      <xdr:colOff>885190</xdr:colOff>
      <xdr:row>1092</xdr:row>
      <xdr:rowOff>1209040</xdr:rowOff>
    </xdr:to>
    <xdr:pic>
      <xdr:nvPicPr>
        <xdr:cNvPr id="5029" name="Изображение 5028" descr="resizeПП-00275415"/>
        <xdr:cNvPicPr>
          <a:picLocks noChangeAspect="1"/>
        </xdr:cNvPicPr>
      </xdr:nvPicPr>
      <xdr:blipFill>
        <a:blip xmlns:r="http://schemas.openxmlformats.org/officeDocument/2006/relationships" r:embed="rId791"/>
        <a:stretch>
          <a:fillRect/>
        </a:stretch>
      </xdr:blipFill>
      <xdr:spPr>
        <a:xfrm>
          <a:off x="7264400" y="1048191325"/>
          <a:ext cx="878840" cy="1183640"/>
        </a:xfrm>
        <a:prstGeom prst="rect">
          <a:avLst/>
        </a:prstGeom>
      </xdr:spPr>
    </xdr:pic>
    <xdr:clientData/>
  </xdr:twoCellAnchor>
  <xdr:twoCellAnchor>
    <xdr:from>
      <xdr:col>8</xdr:col>
      <xdr:colOff>6350</xdr:colOff>
      <xdr:row>1093</xdr:row>
      <xdr:rowOff>25400</xdr:rowOff>
    </xdr:from>
    <xdr:to>
      <xdr:col>8</xdr:col>
      <xdr:colOff>885190</xdr:colOff>
      <xdr:row>1093</xdr:row>
      <xdr:rowOff>1209040</xdr:rowOff>
    </xdr:to>
    <xdr:pic>
      <xdr:nvPicPr>
        <xdr:cNvPr id="5030" name="Изображение 5029" descr="resizeПП-00275405"/>
        <xdr:cNvPicPr>
          <a:picLocks noChangeAspect="1"/>
        </xdr:cNvPicPr>
      </xdr:nvPicPr>
      <xdr:blipFill>
        <a:blip xmlns:r="http://schemas.openxmlformats.org/officeDocument/2006/relationships" r:embed="rId792"/>
        <a:stretch>
          <a:fillRect/>
        </a:stretch>
      </xdr:blipFill>
      <xdr:spPr>
        <a:xfrm>
          <a:off x="7264400" y="1049413700"/>
          <a:ext cx="878840" cy="1183640"/>
        </a:xfrm>
        <a:prstGeom prst="rect">
          <a:avLst/>
        </a:prstGeom>
      </xdr:spPr>
    </xdr:pic>
    <xdr:clientData/>
  </xdr:twoCellAnchor>
  <xdr:twoCellAnchor>
    <xdr:from>
      <xdr:col>8</xdr:col>
      <xdr:colOff>6350</xdr:colOff>
      <xdr:row>1094</xdr:row>
      <xdr:rowOff>25400</xdr:rowOff>
    </xdr:from>
    <xdr:to>
      <xdr:col>8</xdr:col>
      <xdr:colOff>885190</xdr:colOff>
      <xdr:row>1094</xdr:row>
      <xdr:rowOff>1209040</xdr:rowOff>
    </xdr:to>
    <xdr:pic>
      <xdr:nvPicPr>
        <xdr:cNvPr id="5031" name="Изображение 5030" descr="resizeПП-00211084"/>
        <xdr:cNvPicPr>
          <a:picLocks noChangeAspect="1"/>
        </xdr:cNvPicPr>
      </xdr:nvPicPr>
      <xdr:blipFill>
        <a:blip xmlns:r="http://schemas.openxmlformats.org/officeDocument/2006/relationships" r:embed="rId793"/>
        <a:stretch>
          <a:fillRect/>
        </a:stretch>
      </xdr:blipFill>
      <xdr:spPr>
        <a:xfrm>
          <a:off x="7264400" y="1050636075"/>
          <a:ext cx="878840" cy="1183640"/>
        </a:xfrm>
        <a:prstGeom prst="rect">
          <a:avLst/>
        </a:prstGeom>
      </xdr:spPr>
    </xdr:pic>
    <xdr:clientData/>
  </xdr:twoCellAnchor>
  <xdr:twoCellAnchor>
    <xdr:from>
      <xdr:col>8</xdr:col>
      <xdr:colOff>6350</xdr:colOff>
      <xdr:row>1095</xdr:row>
      <xdr:rowOff>25400</xdr:rowOff>
    </xdr:from>
    <xdr:to>
      <xdr:col>8</xdr:col>
      <xdr:colOff>885190</xdr:colOff>
      <xdr:row>1095</xdr:row>
      <xdr:rowOff>1209040</xdr:rowOff>
    </xdr:to>
    <xdr:pic>
      <xdr:nvPicPr>
        <xdr:cNvPr id="5032" name="Изображение 5031" descr="resizeПП-00211088"/>
        <xdr:cNvPicPr>
          <a:picLocks noChangeAspect="1"/>
        </xdr:cNvPicPr>
      </xdr:nvPicPr>
      <xdr:blipFill>
        <a:blip xmlns:r="http://schemas.openxmlformats.org/officeDocument/2006/relationships" r:embed="rId794"/>
        <a:stretch>
          <a:fillRect/>
        </a:stretch>
      </xdr:blipFill>
      <xdr:spPr>
        <a:xfrm>
          <a:off x="7264400" y="1051858450"/>
          <a:ext cx="878840" cy="1183640"/>
        </a:xfrm>
        <a:prstGeom prst="rect">
          <a:avLst/>
        </a:prstGeom>
      </xdr:spPr>
    </xdr:pic>
    <xdr:clientData/>
  </xdr:twoCellAnchor>
  <xdr:twoCellAnchor>
    <xdr:from>
      <xdr:col>8</xdr:col>
      <xdr:colOff>6350</xdr:colOff>
      <xdr:row>1096</xdr:row>
      <xdr:rowOff>25400</xdr:rowOff>
    </xdr:from>
    <xdr:to>
      <xdr:col>8</xdr:col>
      <xdr:colOff>885190</xdr:colOff>
      <xdr:row>1096</xdr:row>
      <xdr:rowOff>1209040</xdr:rowOff>
    </xdr:to>
    <xdr:pic>
      <xdr:nvPicPr>
        <xdr:cNvPr id="5033" name="Изображение 5032" descr="resizeПП-00211094"/>
        <xdr:cNvPicPr>
          <a:picLocks noChangeAspect="1"/>
        </xdr:cNvPicPr>
      </xdr:nvPicPr>
      <xdr:blipFill>
        <a:blip xmlns:r="http://schemas.openxmlformats.org/officeDocument/2006/relationships" r:embed="rId795"/>
        <a:stretch>
          <a:fillRect/>
        </a:stretch>
      </xdr:blipFill>
      <xdr:spPr>
        <a:xfrm>
          <a:off x="7264400" y="1053080825"/>
          <a:ext cx="878840" cy="1183640"/>
        </a:xfrm>
        <a:prstGeom prst="rect">
          <a:avLst/>
        </a:prstGeom>
      </xdr:spPr>
    </xdr:pic>
    <xdr:clientData/>
  </xdr:twoCellAnchor>
  <xdr:twoCellAnchor>
    <xdr:from>
      <xdr:col>8</xdr:col>
      <xdr:colOff>6350</xdr:colOff>
      <xdr:row>1097</xdr:row>
      <xdr:rowOff>25400</xdr:rowOff>
    </xdr:from>
    <xdr:to>
      <xdr:col>8</xdr:col>
      <xdr:colOff>885190</xdr:colOff>
      <xdr:row>1097</xdr:row>
      <xdr:rowOff>1209040</xdr:rowOff>
    </xdr:to>
    <xdr:pic>
      <xdr:nvPicPr>
        <xdr:cNvPr id="5034" name="Изображение 5033" descr="resizeПП-00211080"/>
        <xdr:cNvPicPr>
          <a:picLocks noChangeAspect="1"/>
        </xdr:cNvPicPr>
      </xdr:nvPicPr>
      <xdr:blipFill>
        <a:blip xmlns:r="http://schemas.openxmlformats.org/officeDocument/2006/relationships" r:embed="rId796"/>
        <a:stretch>
          <a:fillRect/>
        </a:stretch>
      </xdr:blipFill>
      <xdr:spPr>
        <a:xfrm>
          <a:off x="7264400" y="1054303200"/>
          <a:ext cx="878840" cy="1183640"/>
        </a:xfrm>
        <a:prstGeom prst="rect">
          <a:avLst/>
        </a:prstGeom>
      </xdr:spPr>
    </xdr:pic>
    <xdr:clientData/>
  </xdr:twoCellAnchor>
  <xdr:twoCellAnchor>
    <xdr:from>
      <xdr:col>8</xdr:col>
      <xdr:colOff>6350</xdr:colOff>
      <xdr:row>1098</xdr:row>
      <xdr:rowOff>25400</xdr:rowOff>
    </xdr:from>
    <xdr:to>
      <xdr:col>8</xdr:col>
      <xdr:colOff>885190</xdr:colOff>
      <xdr:row>1098</xdr:row>
      <xdr:rowOff>1209040</xdr:rowOff>
    </xdr:to>
    <xdr:pic>
      <xdr:nvPicPr>
        <xdr:cNvPr id="5035" name="Изображение 5034" descr="resizeПП-00275420"/>
        <xdr:cNvPicPr>
          <a:picLocks noChangeAspect="1"/>
        </xdr:cNvPicPr>
      </xdr:nvPicPr>
      <xdr:blipFill>
        <a:blip xmlns:r="http://schemas.openxmlformats.org/officeDocument/2006/relationships" r:embed="rId797"/>
        <a:stretch>
          <a:fillRect/>
        </a:stretch>
      </xdr:blipFill>
      <xdr:spPr>
        <a:xfrm>
          <a:off x="7264400" y="1055525575"/>
          <a:ext cx="878840" cy="1183640"/>
        </a:xfrm>
        <a:prstGeom prst="rect">
          <a:avLst/>
        </a:prstGeom>
      </xdr:spPr>
    </xdr:pic>
    <xdr:clientData/>
  </xdr:twoCellAnchor>
  <xdr:twoCellAnchor>
    <xdr:from>
      <xdr:col>8</xdr:col>
      <xdr:colOff>6350</xdr:colOff>
      <xdr:row>1099</xdr:row>
      <xdr:rowOff>25400</xdr:rowOff>
    </xdr:from>
    <xdr:to>
      <xdr:col>8</xdr:col>
      <xdr:colOff>885190</xdr:colOff>
      <xdr:row>1099</xdr:row>
      <xdr:rowOff>1209040</xdr:rowOff>
    </xdr:to>
    <xdr:pic>
      <xdr:nvPicPr>
        <xdr:cNvPr id="5036" name="Изображение 5035" descr="resizeПП-00275411"/>
        <xdr:cNvPicPr>
          <a:picLocks noChangeAspect="1"/>
        </xdr:cNvPicPr>
      </xdr:nvPicPr>
      <xdr:blipFill>
        <a:blip xmlns:r="http://schemas.openxmlformats.org/officeDocument/2006/relationships" r:embed="rId798"/>
        <a:stretch>
          <a:fillRect/>
        </a:stretch>
      </xdr:blipFill>
      <xdr:spPr>
        <a:xfrm>
          <a:off x="7264400" y="1056747950"/>
          <a:ext cx="878840" cy="1183640"/>
        </a:xfrm>
        <a:prstGeom prst="rect">
          <a:avLst/>
        </a:prstGeom>
      </xdr:spPr>
    </xdr:pic>
    <xdr:clientData/>
  </xdr:twoCellAnchor>
  <xdr:twoCellAnchor>
    <xdr:from>
      <xdr:col>8</xdr:col>
      <xdr:colOff>6350</xdr:colOff>
      <xdr:row>1100</xdr:row>
      <xdr:rowOff>25400</xdr:rowOff>
    </xdr:from>
    <xdr:to>
      <xdr:col>8</xdr:col>
      <xdr:colOff>885190</xdr:colOff>
      <xdr:row>1100</xdr:row>
      <xdr:rowOff>1209040</xdr:rowOff>
    </xdr:to>
    <xdr:pic>
      <xdr:nvPicPr>
        <xdr:cNvPr id="5037" name="Изображение 5036" descr="resizeПП-00275410"/>
        <xdr:cNvPicPr>
          <a:picLocks noChangeAspect="1"/>
        </xdr:cNvPicPr>
      </xdr:nvPicPr>
      <xdr:blipFill>
        <a:blip xmlns:r="http://schemas.openxmlformats.org/officeDocument/2006/relationships" r:embed="rId799"/>
        <a:stretch>
          <a:fillRect/>
        </a:stretch>
      </xdr:blipFill>
      <xdr:spPr>
        <a:xfrm>
          <a:off x="7264400" y="1057970325"/>
          <a:ext cx="878840" cy="1183640"/>
        </a:xfrm>
        <a:prstGeom prst="rect">
          <a:avLst/>
        </a:prstGeom>
      </xdr:spPr>
    </xdr:pic>
    <xdr:clientData/>
  </xdr:twoCellAnchor>
  <xdr:twoCellAnchor>
    <xdr:from>
      <xdr:col>8</xdr:col>
      <xdr:colOff>6350</xdr:colOff>
      <xdr:row>1101</xdr:row>
      <xdr:rowOff>25400</xdr:rowOff>
    </xdr:from>
    <xdr:to>
      <xdr:col>8</xdr:col>
      <xdr:colOff>885190</xdr:colOff>
      <xdr:row>1101</xdr:row>
      <xdr:rowOff>1209040</xdr:rowOff>
    </xdr:to>
    <xdr:pic>
      <xdr:nvPicPr>
        <xdr:cNvPr id="5038" name="Изображение 5037" descr="resizeПП-00275406"/>
        <xdr:cNvPicPr>
          <a:picLocks noChangeAspect="1"/>
        </xdr:cNvPicPr>
      </xdr:nvPicPr>
      <xdr:blipFill>
        <a:blip xmlns:r="http://schemas.openxmlformats.org/officeDocument/2006/relationships" r:embed="rId800"/>
        <a:stretch>
          <a:fillRect/>
        </a:stretch>
      </xdr:blipFill>
      <xdr:spPr>
        <a:xfrm>
          <a:off x="7264400" y="1059192700"/>
          <a:ext cx="878840" cy="1183640"/>
        </a:xfrm>
        <a:prstGeom prst="rect">
          <a:avLst/>
        </a:prstGeom>
      </xdr:spPr>
    </xdr:pic>
    <xdr:clientData/>
  </xdr:twoCellAnchor>
  <xdr:twoCellAnchor>
    <xdr:from>
      <xdr:col>8</xdr:col>
      <xdr:colOff>6350</xdr:colOff>
      <xdr:row>1102</xdr:row>
      <xdr:rowOff>25400</xdr:rowOff>
    </xdr:from>
    <xdr:to>
      <xdr:col>8</xdr:col>
      <xdr:colOff>885190</xdr:colOff>
      <xdr:row>1102</xdr:row>
      <xdr:rowOff>1209040</xdr:rowOff>
    </xdr:to>
    <xdr:pic>
      <xdr:nvPicPr>
        <xdr:cNvPr id="5039" name="Изображение 5038" descr="resizeПП-00275407"/>
        <xdr:cNvPicPr>
          <a:picLocks noChangeAspect="1"/>
        </xdr:cNvPicPr>
      </xdr:nvPicPr>
      <xdr:blipFill>
        <a:blip xmlns:r="http://schemas.openxmlformats.org/officeDocument/2006/relationships" r:embed="rId801"/>
        <a:stretch>
          <a:fillRect/>
        </a:stretch>
      </xdr:blipFill>
      <xdr:spPr>
        <a:xfrm>
          <a:off x="7264400" y="1060415075"/>
          <a:ext cx="878840" cy="1183640"/>
        </a:xfrm>
        <a:prstGeom prst="rect">
          <a:avLst/>
        </a:prstGeom>
      </xdr:spPr>
    </xdr:pic>
    <xdr:clientData/>
  </xdr:twoCellAnchor>
  <xdr:twoCellAnchor>
    <xdr:from>
      <xdr:col>8</xdr:col>
      <xdr:colOff>6350</xdr:colOff>
      <xdr:row>1103</xdr:row>
      <xdr:rowOff>25400</xdr:rowOff>
    </xdr:from>
    <xdr:to>
      <xdr:col>8</xdr:col>
      <xdr:colOff>885190</xdr:colOff>
      <xdr:row>1103</xdr:row>
      <xdr:rowOff>1209040</xdr:rowOff>
    </xdr:to>
    <xdr:pic>
      <xdr:nvPicPr>
        <xdr:cNvPr id="5040" name="Изображение 5039" descr="resizeПП-00211075"/>
        <xdr:cNvPicPr>
          <a:picLocks noChangeAspect="1"/>
        </xdr:cNvPicPr>
      </xdr:nvPicPr>
      <xdr:blipFill>
        <a:blip xmlns:r="http://schemas.openxmlformats.org/officeDocument/2006/relationships" r:embed="rId802"/>
        <a:stretch>
          <a:fillRect/>
        </a:stretch>
      </xdr:blipFill>
      <xdr:spPr>
        <a:xfrm>
          <a:off x="7264400" y="1061637450"/>
          <a:ext cx="878840" cy="1183640"/>
        </a:xfrm>
        <a:prstGeom prst="rect">
          <a:avLst/>
        </a:prstGeom>
      </xdr:spPr>
    </xdr:pic>
    <xdr:clientData/>
  </xdr:twoCellAnchor>
  <xdr:twoCellAnchor>
    <xdr:from>
      <xdr:col>8</xdr:col>
      <xdr:colOff>6350</xdr:colOff>
      <xdr:row>1105</xdr:row>
      <xdr:rowOff>25400</xdr:rowOff>
    </xdr:from>
    <xdr:to>
      <xdr:col>8</xdr:col>
      <xdr:colOff>885190</xdr:colOff>
      <xdr:row>1105</xdr:row>
      <xdr:rowOff>1209040</xdr:rowOff>
    </xdr:to>
    <xdr:pic>
      <xdr:nvPicPr>
        <xdr:cNvPr id="5041" name="Изображение 5040" descr="resizeПП-00251196"/>
        <xdr:cNvPicPr>
          <a:picLocks noChangeAspect="1"/>
        </xdr:cNvPicPr>
      </xdr:nvPicPr>
      <xdr:blipFill>
        <a:blip xmlns:r="http://schemas.openxmlformats.org/officeDocument/2006/relationships" r:embed="rId803"/>
        <a:stretch>
          <a:fillRect/>
        </a:stretch>
      </xdr:blipFill>
      <xdr:spPr>
        <a:xfrm>
          <a:off x="7264400" y="1063012225"/>
          <a:ext cx="878840" cy="1183640"/>
        </a:xfrm>
        <a:prstGeom prst="rect">
          <a:avLst/>
        </a:prstGeom>
      </xdr:spPr>
    </xdr:pic>
    <xdr:clientData/>
  </xdr:twoCellAnchor>
  <xdr:twoCellAnchor>
    <xdr:from>
      <xdr:col>8</xdr:col>
      <xdr:colOff>6350</xdr:colOff>
      <xdr:row>1106</xdr:row>
      <xdr:rowOff>25400</xdr:rowOff>
    </xdr:from>
    <xdr:to>
      <xdr:col>8</xdr:col>
      <xdr:colOff>885190</xdr:colOff>
      <xdr:row>1106</xdr:row>
      <xdr:rowOff>1209040</xdr:rowOff>
    </xdr:to>
    <xdr:pic>
      <xdr:nvPicPr>
        <xdr:cNvPr id="5042" name="Изображение 5041" descr="resizeПП-00251199"/>
        <xdr:cNvPicPr>
          <a:picLocks noChangeAspect="1"/>
        </xdr:cNvPicPr>
      </xdr:nvPicPr>
      <xdr:blipFill>
        <a:blip xmlns:r="http://schemas.openxmlformats.org/officeDocument/2006/relationships" r:embed="rId804"/>
        <a:stretch>
          <a:fillRect/>
        </a:stretch>
      </xdr:blipFill>
      <xdr:spPr>
        <a:xfrm>
          <a:off x="7264400" y="1064234600"/>
          <a:ext cx="878840" cy="1183640"/>
        </a:xfrm>
        <a:prstGeom prst="rect">
          <a:avLst/>
        </a:prstGeom>
      </xdr:spPr>
    </xdr:pic>
    <xdr:clientData/>
  </xdr:twoCellAnchor>
  <xdr:twoCellAnchor>
    <xdr:from>
      <xdr:col>8</xdr:col>
      <xdr:colOff>6350</xdr:colOff>
      <xdr:row>1107</xdr:row>
      <xdr:rowOff>25400</xdr:rowOff>
    </xdr:from>
    <xdr:to>
      <xdr:col>8</xdr:col>
      <xdr:colOff>885190</xdr:colOff>
      <xdr:row>1107</xdr:row>
      <xdr:rowOff>1209040</xdr:rowOff>
    </xdr:to>
    <xdr:pic>
      <xdr:nvPicPr>
        <xdr:cNvPr id="5043" name="Изображение 5042" descr="resizeПП-00223955"/>
        <xdr:cNvPicPr>
          <a:picLocks noChangeAspect="1"/>
        </xdr:cNvPicPr>
      </xdr:nvPicPr>
      <xdr:blipFill>
        <a:blip xmlns:r="http://schemas.openxmlformats.org/officeDocument/2006/relationships" r:embed="rId805"/>
        <a:stretch>
          <a:fillRect/>
        </a:stretch>
      </xdr:blipFill>
      <xdr:spPr>
        <a:xfrm>
          <a:off x="7264400" y="1065456975"/>
          <a:ext cx="878840" cy="1183640"/>
        </a:xfrm>
        <a:prstGeom prst="rect">
          <a:avLst/>
        </a:prstGeom>
      </xdr:spPr>
    </xdr:pic>
    <xdr:clientData/>
  </xdr:twoCellAnchor>
  <xdr:twoCellAnchor>
    <xdr:from>
      <xdr:col>8</xdr:col>
      <xdr:colOff>6350</xdr:colOff>
      <xdr:row>1108</xdr:row>
      <xdr:rowOff>25400</xdr:rowOff>
    </xdr:from>
    <xdr:to>
      <xdr:col>8</xdr:col>
      <xdr:colOff>885190</xdr:colOff>
      <xdr:row>1108</xdr:row>
      <xdr:rowOff>1209040</xdr:rowOff>
    </xdr:to>
    <xdr:pic>
      <xdr:nvPicPr>
        <xdr:cNvPr id="5044" name="Изображение 5043" descr="resizeПП-00223960"/>
        <xdr:cNvPicPr>
          <a:picLocks noChangeAspect="1"/>
        </xdr:cNvPicPr>
      </xdr:nvPicPr>
      <xdr:blipFill>
        <a:blip xmlns:r="http://schemas.openxmlformats.org/officeDocument/2006/relationships" r:embed="rId806"/>
        <a:stretch>
          <a:fillRect/>
        </a:stretch>
      </xdr:blipFill>
      <xdr:spPr>
        <a:xfrm>
          <a:off x="7264400" y="1066679350"/>
          <a:ext cx="878840" cy="1183640"/>
        </a:xfrm>
        <a:prstGeom prst="rect">
          <a:avLst/>
        </a:prstGeom>
      </xdr:spPr>
    </xdr:pic>
    <xdr:clientData/>
  </xdr:twoCellAnchor>
  <xdr:twoCellAnchor>
    <xdr:from>
      <xdr:col>8</xdr:col>
      <xdr:colOff>6350</xdr:colOff>
      <xdr:row>1109</xdr:row>
      <xdr:rowOff>25400</xdr:rowOff>
    </xdr:from>
    <xdr:to>
      <xdr:col>8</xdr:col>
      <xdr:colOff>885190</xdr:colOff>
      <xdr:row>1109</xdr:row>
      <xdr:rowOff>1209040</xdr:rowOff>
    </xdr:to>
    <xdr:pic>
      <xdr:nvPicPr>
        <xdr:cNvPr id="5045" name="Изображение 5044" descr="resizeПП-00223956"/>
        <xdr:cNvPicPr>
          <a:picLocks noChangeAspect="1"/>
        </xdr:cNvPicPr>
      </xdr:nvPicPr>
      <xdr:blipFill>
        <a:blip xmlns:r="http://schemas.openxmlformats.org/officeDocument/2006/relationships" r:embed="rId807"/>
        <a:stretch>
          <a:fillRect/>
        </a:stretch>
      </xdr:blipFill>
      <xdr:spPr>
        <a:xfrm>
          <a:off x="7264400" y="1067901725"/>
          <a:ext cx="878840" cy="1183640"/>
        </a:xfrm>
        <a:prstGeom prst="rect">
          <a:avLst/>
        </a:prstGeom>
      </xdr:spPr>
    </xdr:pic>
    <xdr:clientData/>
  </xdr:twoCellAnchor>
  <xdr:twoCellAnchor>
    <xdr:from>
      <xdr:col>8</xdr:col>
      <xdr:colOff>6350</xdr:colOff>
      <xdr:row>1110</xdr:row>
      <xdr:rowOff>25400</xdr:rowOff>
    </xdr:from>
    <xdr:to>
      <xdr:col>8</xdr:col>
      <xdr:colOff>885190</xdr:colOff>
      <xdr:row>1110</xdr:row>
      <xdr:rowOff>1209040</xdr:rowOff>
    </xdr:to>
    <xdr:pic>
      <xdr:nvPicPr>
        <xdr:cNvPr id="5046" name="Изображение 5045" descr="resizeПП-00223958"/>
        <xdr:cNvPicPr>
          <a:picLocks noChangeAspect="1"/>
        </xdr:cNvPicPr>
      </xdr:nvPicPr>
      <xdr:blipFill>
        <a:blip xmlns:r="http://schemas.openxmlformats.org/officeDocument/2006/relationships" r:embed="rId808"/>
        <a:stretch>
          <a:fillRect/>
        </a:stretch>
      </xdr:blipFill>
      <xdr:spPr>
        <a:xfrm>
          <a:off x="7264400" y="1069124100"/>
          <a:ext cx="878840" cy="1183640"/>
        </a:xfrm>
        <a:prstGeom prst="rect">
          <a:avLst/>
        </a:prstGeom>
      </xdr:spPr>
    </xdr:pic>
    <xdr:clientData/>
  </xdr:twoCellAnchor>
  <xdr:twoCellAnchor>
    <xdr:from>
      <xdr:col>8</xdr:col>
      <xdr:colOff>6350</xdr:colOff>
      <xdr:row>1111</xdr:row>
      <xdr:rowOff>25400</xdr:rowOff>
    </xdr:from>
    <xdr:to>
      <xdr:col>8</xdr:col>
      <xdr:colOff>885190</xdr:colOff>
      <xdr:row>1111</xdr:row>
      <xdr:rowOff>1209040</xdr:rowOff>
    </xdr:to>
    <xdr:pic>
      <xdr:nvPicPr>
        <xdr:cNvPr id="5047" name="Изображение 5046" descr="resizeПП-00223962"/>
        <xdr:cNvPicPr>
          <a:picLocks noChangeAspect="1"/>
        </xdr:cNvPicPr>
      </xdr:nvPicPr>
      <xdr:blipFill>
        <a:blip xmlns:r="http://schemas.openxmlformats.org/officeDocument/2006/relationships" r:embed="rId809"/>
        <a:stretch>
          <a:fillRect/>
        </a:stretch>
      </xdr:blipFill>
      <xdr:spPr>
        <a:xfrm>
          <a:off x="7264400" y="1070346475"/>
          <a:ext cx="878840" cy="1183640"/>
        </a:xfrm>
        <a:prstGeom prst="rect">
          <a:avLst/>
        </a:prstGeom>
      </xdr:spPr>
    </xdr:pic>
    <xdr:clientData/>
  </xdr:twoCellAnchor>
  <xdr:twoCellAnchor>
    <xdr:from>
      <xdr:col>8</xdr:col>
      <xdr:colOff>6350</xdr:colOff>
      <xdr:row>1112</xdr:row>
      <xdr:rowOff>25400</xdr:rowOff>
    </xdr:from>
    <xdr:to>
      <xdr:col>8</xdr:col>
      <xdr:colOff>885190</xdr:colOff>
      <xdr:row>1112</xdr:row>
      <xdr:rowOff>1209040</xdr:rowOff>
    </xdr:to>
    <xdr:pic>
      <xdr:nvPicPr>
        <xdr:cNvPr id="5048" name="Изображение 5047" descr="resizeПП-00223957"/>
        <xdr:cNvPicPr>
          <a:picLocks noChangeAspect="1"/>
        </xdr:cNvPicPr>
      </xdr:nvPicPr>
      <xdr:blipFill>
        <a:blip xmlns:r="http://schemas.openxmlformats.org/officeDocument/2006/relationships" r:embed="rId810"/>
        <a:stretch>
          <a:fillRect/>
        </a:stretch>
      </xdr:blipFill>
      <xdr:spPr>
        <a:xfrm>
          <a:off x="7264400" y="1071568850"/>
          <a:ext cx="878840" cy="1183640"/>
        </a:xfrm>
        <a:prstGeom prst="rect">
          <a:avLst/>
        </a:prstGeom>
      </xdr:spPr>
    </xdr:pic>
    <xdr:clientData/>
  </xdr:twoCellAnchor>
  <xdr:twoCellAnchor>
    <xdr:from>
      <xdr:col>8</xdr:col>
      <xdr:colOff>6350</xdr:colOff>
      <xdr:row>1113</xdr:row>
      <xdr:rowOff>25400</xdr:rowOff>
    </xdr:from>
    <xdr:to>
      <xdr:col>8</xdr:col>
      <xdr:colOff>885190</xdr:colOff>
      <xdr:row>1113</xdr:row>
      <xdr:rowOff>1209040</xdr:rowOff>
    </xdr:to>
    <xdr:pic>
      <xdr:nvPicPr>
        <xdr:cNvPr id="5049" name="Изображение 5048" descr="resizeПП-00223959"/>
        <xdr:cNvPicPr>
          <a:picLocks noChangeAspect="1"/>
        </xdr:cNvPicPr>
      </xdr:nvPicPr>
      <xdr:blipFill>
        <a:blip xmlns:r="http://schemas.openxmlformats.org/officeDocument/2006/relationships" r:embed="rId811"/>
        <a:stretch>
          <a:fillRect/>
        </a:stretch>
      </xdr:blipFill>
      <xdr:spPr>
        <a:xfrm>
          <a:off x="7264400" y="1072791225"/>
          <a:ext cx="878840" cy="1183640"/>
        </a:xfrm>
        <a:prstGeom prst="rect">
          <a:avLst/>
        </a:prstGeom>
      </xdr:spPr>
    </xdr:pic>
    <xdr:clientData/>
  </xdr:twoCellAnchor>
  <xdr:twoCellAnchor>
    <xdr:from>
      <xdr:col>8</xdr:col>
      <xdr:colOff>6350</xdr:colOff>
      <xdr:row>1114</xdr:row>
      <xdr:rowOff>25400</xdr:rowOff>
    </xdr:from>
    <xdr:to>
      <xdr:col>8</xdr:col>
      <xdr:colOff>885190</xdr:colOff>
      <xdr:row>1114</xdr:row>
      <xdr:rowOff>1209040</xdr:rowOff>
    </xdr:to>
    <xdr:pic>
      <xdr:nvPicPr>
        <xdr:cNvPr id="5050" name="Изображение 5049" descr="resizeПП-00251195"/>
        <xdr:cNvPicPr>
          <a:picLocks noChangeAspect="1"/>
        </xdr:cNvPicPr>
      </xdr:nvPicPr>
      <xdr:blipFill>
        <a:blip xmlns:r="http://schemas.openxmlformats.org/officeDocument/2006/relationships" r:embed="rId812"/>
        <a:stretch>
          <a:fillRect/>
        </a:stretch>
      </xdr:blipFill>
      <xdr:spPr>
        <a:xfrm>
          <a:off x="7264400" y="1074013600"/>
          <a:ext cx="878840" cy="1183640"/>
        </a:xfrm>
        <a:prstGeom prst="rect">
          <a:avLst/>
        </a:prstGeom>
      </xdr:spPr>
    </xdr:pic>
    <xdr:clientData/>
  </xdr:twoCellAnchor>
  <xdr:twoCellAnchor>
    <xdr:from>
      <xdr:col>8</xdr:col>
      <xdr:colOff>6350</xdr:colOff>
      <xdr:row>1115</xdr:row>
      <xdr:rowOff>25400</xdr:rowOff>
    </xdr:from>
    <xdr:to>
      <xdr:col>8</xdr:col>
      <xdr:colOff>885190</xdr:colOff>
      <xdr:row>1115</xdr:row>
      <xdr:rowOff>1209040</xdr:rowOff>
    </xdr:to>
    <xdr:pic>
      <xdr:nvPicPr>
        <xdr:cNvPr id="5051" name="Изображение 5050" descr="resizeПП-00223953"/>
        <xdr:cNvPicPr>
          <a:picLocks noChangeAspect="1"/>
        </xdr:cNvPicPr>
      </xdr:nvPicPr>
      <xdr:blipFill>
        <a:blip xmlns:r="http://schemas.openxmlformats.org/officeDocument/2006/relationships" r:embed="rId813"/>
        <a:stretch>
          <a:fillRect/>
        </a:stretch>
      </xdr:blipFill>
      <xdr:spPr>
        <a:xfrm>
          <a:off x="7264400" y="1075235975"/>
          <a:ext cx="878840" cy="1183640"/>
        </a:xfrm>
        <a:prstGeom prst="rect">
          <a:avLst/>
        </a:prstGeom>
      </xdr:spPr>
    </xdr:pic>
    <xdr:clientData/>
  </xdr:twoCellAnchor>
  <xdr:twoCellAnchor>
    <xdr:from>
      <xdr:col>8</xdr:col>
      <xdr:colOff>6350</xdr:colOff>
      <xdr:row>1116</xdr:row>
      <xdr:rowOff>25400</xdr:rowOff>
    </xdr:from>
    <xdr:to>
      <xdr:col>8</xdr:col>
      <xdr:colOff>885190</xdr:colOff>
      <xdr:row>1116</xdr:row>
      <xdr:rowOff>1209040</xdr:rowOff>
    </xdr:to>
    <xdr:pic>
      <xdr:nvPicPr>
        <xdr:cNvPr id="5052" name="Изображение 5051" descr="resizeПП-00223954"/>
        <xdr:cNvPicPr>
          <a:picLocks noChangeAspect="1"/>
        </xdr:cNvPicPr>
      </xdr:nvPicPr>
      <xdr:blipFill>
        <a:blip xmlns:r="http://schemas.openxmlformats.org/officeDocument/2006/relationships" r:embed="rId814"/>
        <a:stretch>
          <a:fillRect/>
        </a:stretch>
      </xdr:blipFill>
      <xdr:spPr>
        <a:xfrm>
          <a:off x="7264400" y="1076458350"/>
          <a:ext cx="878840" cy="1183640"/>
        </a:xfrm>
        <a:prstGeom prst="rect">
          <a:avLst/>
        </a:prstGeom>
      </xdr:spPr>
    </xdr:pic>
    <xdr:clientData/>
  </xdr:twoCellAnchor>
  <xdr:twoCellAnchor>
    <xdr:from>
      <xdr:col>8</xdr:col>
      <xdr:colOff>6350</xdr:colOff>
      <xdr:row>1118</xdr:row>
      <xdr:rowOff>25400</xdr:rowOff>
    </xdr:from>
    <xdr:to>
      <xdr:col>8</xdr:col>
      <xdr:colOff>885190</xdr:colOff>
      <xdr:row>1118</xdr:row>
      <xdr:rowOff>1209040</xdr:rowOff>
    </xdr:to>
    <xdr:pic>
      <xdr:nvPicPr>
        <xdr:cNvPr id="5053" name="Изображение 5052" descr="resizeПП-00273917"/>
        <xdr:cNvPicPr>
          <a:picLocks noChangeAspect="1"/>
        </xdr:cNvPicPr>
      </xdr:nvPicPr>
      <xdr:blipFill>
        <a:blip xmlns:r="http://schemas.openxmlformats.org/officeDocument/2006/relationships" r:embed="rId815"/>
        <a:stretch>
          <a:fillRect/>
        </a:stretch>
      </xdr:blipFill>
      <xdr:spPr>
        <a:xfrm>
          <a:off x="7264400" y="1077833125"/>
          <a:ext cx="878840" cy="1183640"/>
        </a:xfrm>
        <a:prstGeom prst="rect">
          <a:avLst/>
        </a:prstGeom>
      </xdr:spPr>
    </xdr:pic>
    <xdr:clientData/>
  </xdr:twoCellAnchor>
  <xdr:twoCellAnchor>
    <xdr:from>
      <xdr:col>8</xdr:col>
      <xdr:colOff>6350</xdr:colOff>
      <xdr:row>1119</xdr:row>
      <xdr:rowOff>25400</xdr:rowOff>
    </xdr:from>
    <xdr:to>
      <xdr:col>8</xdr:col>
      <xdr:colOff>885190</xdr:colOff>
      <xdr:row>1119</xdr:row>
      <xdr:rowOff>1209040</xdr:rowOff>
    </xdr:to>
    <xdr:pic>
      <xdr:nvPicPr>
        <xdr:cNvPr id="5054" name="Изображение 5053" descr="resizeПП-00273918"/>
        <xdr:cNvPicPr>
          <a:picLocks noChangeAspect="1"/>
        </xdr:cNvPicPr>
      </xdr:nvPicPr>
      <xdr:blipFill>
        <a:blip xmlns:r="http://schemas.openxmlformats.org/officeDocument/2006/relationships" r:embed="rId816"/>
        <a:stretch>
          <a:fillRect/>
        </a:stretch>
      </xdr:blipFill>
      <xdr:spPr>
        <a:xfrm>
          <a:off x="7264400" y="1079055500"/>
          <a:ext cx="878840" cy="1183640"/>
        </a:xfrm>
        <a:prstGeom prst="rect">
          <a:avLst/>
        </a:prstGeom>
      </xdr:spPr>
    </xdr:pic>
    <xdr:clientData/>
  </xdr:twoCellAnchor>
  <xdr:twoCellAnchor>
    <xdr:from>
      <xdr:col>8</xdr:col>
      <xdr:colOff>6350</xdr:colOff>
      <xdr:row>1121</xdr:row>
      <xdr:rowOff>25400</xdr:rowOff>
    </xdr:from>
    <xdr:to>
      <xdr:col>8</xdr:col>
      <xdr:colOff>885190</xdr:colOff>
      <xdr:row>1121</xdr:row>
      <xdr:rowOff>1209040</xdr:rowOff>
    </xdr:to>
    <xdr:pic>
      <xdr:nvPicPr>
        <xdr:cNvPr id="5055" name="Изображение 5054" descr="resizeПП-00275471"/>
        <xdr:cNvPicPr>
          <a:picLocks noChangeAspect="1"/>
        </xdr:cNvPicPr>
      </xdr:nvPicPr>
      <xdr:blipFill>
        <a:blip xmlns:r="http://schemas.openxmlformats.org/officeDocument/2006/relationships" r:embed="rId817"/>
        <a:stretch>
          <a:fillRect/>
        </a:stretch>
      </xdr:blipFill>
      <xdr:spPr>
        <a:xfrm>
          <a:off x="7264400" y="1080430275"/>
          <a:ext cx="878840" cy="1183640"/>
        </a:xfrm>
        <a:prstGeom prst="rect">
          <a:avLst/>
        </a:prstGeom>
      </xdr:spPr>
    </xdr:pic>
    <xdr:clientData/>
  </xdr:twoCellAnchor>
  <xdr:twoCellAnchor>
    <xdr:from>
      <xdr:col>8</xdr:col>
      <xdr:colOff>6350</xdr:colOff>
      <xdr:row>1122</xdr:row>
      <xdr:rowOff>25400</xdr:rowOff>
    </xdr:from>
    <xdr:to>
      <xdr:col>8</xdr:col>
      <xdr:colOff>885190</xdr:colOff>
      <xdr:row>1122</xdr:row>
      <xdr:rowOff>1209040</xdr:rowOff>
    </xdr:to>
    <xdr:pic>
      <xdr:nvPicPr>
        <xdr:cNvPr id="5056" name="Изображение 5055" descr="resizeПП-00275470"/>
        <xdr:cNvPicPr>
          <a:picLocks noChangeAspect="1"/>
        </xdr:cNvPicPr>
      </xdr:nvPicPr>
      <xdr:blipFill>
        <a:blip xmlns:r="http://schemas.openxmlformats.org/officeDocument/2006/relationships" r:embed="rId818"/>
        <a:stretch>
          <a:fillRect/>
        </a:stretch>
      </xdr:blipFill>
      <xdr:spPr>
        <a:xfrm>
          <a:off x="7264400" y="1081652650"/>
          <a:ext cx="878840" cy="1183640"/>
        </a:xfrm>
        <a:prstGeom prst="rect">
          <a:avLst/>
        </a:prstGeom>
      </xdr:spPr>
    </xdr:pic>
    <xdr:clientData/>
  </xdr:twoCellAnchor>
  <xdr:twoCellAnchor>
    <xdr:from>
      <xdr:col>8</xdr:col>
      <xdr:colOff>6350</xdr:colOff>
      <xdr:row>1123</xdr:row>
      <xdr:rowOff>25400</xdr:rowOff>
    </xdr:from>
    <xdr:to>
      <xdr:col>8</xdr:col>
      <xdr:colOff>885190</xdr:colOff>
      <xdr:row>1123</xdr:row>
      <xdr:rowOff>1209040</xdr:rowOff>
    </xdr:to>
    <xdr:pic>
      <xdr:nvPicPr>
        <xdr:cNvPr id="5057" name="Изображение 5056" descr="resizeПП-00275468"/>
        <xdr:cNvPicPr>
          <a:picLocks noChangeAspect="1"/>
        </xdr:cNvPicPr>
      </xdr:nvPicPr>
      <xdr:blipFill>
        <a:blip xmlns:r="http://schemas.openxmlformats.org/officeDocument/2006/relationships" r:embed="rId819"/>
        <a:stretch>
          <a:fillRect/>
        </a:stretch>
      </xdr:blipFill>
      <xdr:spPr>
        <a:xfrm>
          <a:off x="7264400" y="1082875025"/>
          <a:ext cx="878840" cy="1183640"/>
        </a:xfrm>
        <a:prstGeom prst="rect">
          <a:avLst/>
        </a:prstGeom>
      </xdr:spPr>
    </xdr:pic>
    <xdr:clientData/>
  </xdr:twoCellAnchor>
  <xdr:twoCellAnchor>
    <xdr:from>
      <xdr:col>8</xdr:col>
      <xdr:colOff>6350</xdr:colOff>
      <xdr:row>1124</xdr:row>
      <xdr:rowOff>25400</xdr:rowOff>
    </xdr:from>
    <xdr:to>
      <xdr:col>8</xdr:col>
      <xdr:colOff>885190</xdr:colOff>
      <xdr:row>1124</xdr:row>
      <xdr:rowOff>1209040</xdr:rowOff>
    </xdr:to>
    <xdr:pic>
      <xdr:nvPicPr>
        <xdr:cNvPr id="5058" name="Изображение 5057" descr="resizeПП-00275474"/>
        <xdr:cNvPicPr>
          <a:picLocks noChangeAspect="1"/>
        </xdr:cNvPicPr>
      </xdr:nvPicPr>
      <xdr:blipFill>
        <a:blip xmlns:r="http://schemas.openxmlformats.org/officeDocument/2006/relationships" r:embed="rId820"/>
        <a:stretch>
          <a:fillRect/>
        </a:stretch>
      </xdr:blipFill>
      <xdr:spPr>
        <a:xfrm>
          <a:off x="7264400" y="1084097400"/>
          <a:ext cx="878840" cy="1183640"/>
        </a:xfrm>
        <a:prstGeom prst="rect">
          <a:avLst/>
        </a:prstGeom>
      </xdr:spPr>
    </xdr:pic>
    <xdr:clientData/>
  </xdr:twoCellAnchor>
  <xdr:twoCellAnchor>
    <xdr:from>
      <xdr:col>8</xdr:col>
      <xdr:colOff>6350</xdr:colOff>
      <xdr:row>1125</xdr:row>
      <xdr:rowOff>25400</xdr:rowOff>
    </xdr:from>
    <xdr:to>
      <xdr:col>8</xdr:col>
      <xdr:colOff>885190</xdr:colOff>
      <xdr:row>1125</xdr:row>
      <xdr:rowOff>1209040</xdr:rowOff>
    </xdr:to>
    <xdr:pic>
      <xdr:nvPicPr>
        <xdr:cNvPr id="5059" name="Изображение 5058" descr="resizeПП-00275472"/>
        <xdr:cNvPicPr>
          <a:picLocks noChangeAspect="1"/>
        </xdr:cNvPicPr>
      </xdr:nvPicPr>
      <xdr:blipFill>
        <a:blip xmlns:r="http://schemas.openxmlformats.org/officeDocument/2006/relationships" r:embed="rId821"/>
        <a:stretch>
          <a:fillRect/>
        </a:stretch>
      </xdr:blipFill>
      <xdr:spPr>
        <a:xfrm>
          <a:off x="7264400" y="1085319775"/>
          <a:ext cx="878840" cy="1183640"/>
        </a:xfrm>
        <a:prstGeom prst="rect">
          <a:avLst/>
        </a:prstGeom>
      </xdr:spPr>
    </xdr:pic>
    <xdr:clientData/>
  </xdr:twoCellAnchor>
  <xdr:twoCellAnchor>
    <xdr:from>
      <xdr:col>8</xdr:col>
      <xdr:colOff>6350</xdr:colOff>
      <xdr:row>1127</xdr:row>
      <xdr:rowOff>25400</xdr:rowOff>
    </xdr:from>
    <xdr:to>
      <xdr:col>8</xdr:col>
      <xdr:colOff>885190</xdr:colOff>
      <xdr:row>1127</xdr:row>
      <xdr:rowOff>1209040</xdr:rowOff>
    </xdr:to>
    <xdr:pic>
      <xdr:nvPicPr>
        <xdr:cNvPr id="5060" name="Изображение 5059" descr="resizeПП-00276484"/>
        <xdr:cNvPicPr>
          <a:picLocks noChangeAspect="1"/>
        </xdr:cNvPicPr>
      </xdr:nvPicPr>
      <xdr:blipFill>
        <a:blip xmlns:r="http://schemas.openxmlformats.org/officeDocument/2006/relationships" r:embed="rId822"/>
        <a:stretch>
          <a:fillRect/>
        </a:stretch>
      </xdr:blipFill>
      <xdr:spPr>
        <a:xfrm>
          <a:off x="7264400" y="1086694550"/>
          <a:ext cx="878840" cy="1183640"/>
        </a:xfrm>
        <a:prstGeom prst="rect">
          <a:avLst/>
        </a:prstGeom>
      </xdr:spPr>
    </xdr:pic>
    <xdr:clientData/>
  </xdr:twoCellAnchor>
  <xdr:twoCellAnchor>
    <xdr:from>
      <xdr:col>8</xdr:col>
      <xdr:colOff>6350</xdr:colOff>
      <xdr:row>1128</xdr:row>
      <xdr:rowOff>25400</xdr:rowOff>
    </xdr:from>
    <xdr:to>
      <xdr:col>8</xdr:col>
      <xdr:colOff>885190</xdr:colOff>
      <xdr:row>1128</xdr:row>
      <xdr:rowOff>1209040</xdr:rowOff>
    </xdr:to>
    <xdr:pic>
      <xdr:nvPicPr>
        <xdr:cNvPr id="5061" name="Изображение 5060" descr="resizeПП-00276483"/>
        <xdr:cNvPicPr>
          <a:picLocks noChangeAspect="1"/>
        </xdr:cNvPicPr>
      </xdr:nvPicPr>
      <xdr:blipFill>
        <a:blip xmlns:r="http://schemas.openxmlformats.org/officeDocument/2006/relationships" r:embed="rId823"/>
        <a:stretch>
          <a:fillRect/>
        </a:stretch>
      </xdr:blipFill>
      <xdr:spPr>
        <a:xfrm>
          <a:off x="7264400" y="1087916925"/>
          <a:ext cx="878840" cy="1183640"/>
        </a:xfrm>
        <a:prstGeom prst="rect">
          <a:avLst/>
        </a:prstGeom>
      </xdr:spPr>
    </xdr:pic>
    <xdr:clientData/>
  </xdr:twoCellAnchor>
  <xdr:twoCellAnchor>
    <xdr:from>
      <xdr:col>8</xdr:col>
      <xdr:colOff>6350</xdr:colOff>
      <xdr:row>1129</xdr:row>
      <xdr:rowOff>25400</xdr:rowOff>
    </xdr:from>
    <xdr:to>
      <xdr:col>8</xdr:col>
      <xdr:colOff>885190</xdr:colOff>
      <xdr:row>1129</xdr:row>
      <xdr:rowOff>1209040</xdr:rowOff>
    </xdr:to>
    <xdr:pic>
      <xdr:nvPicPr>
        <xdr:cNvPr id="5062" name="Изображение 5061" descr="resizeПП-00276486"/>
        <xdr:cNvPicPr>
          <a:picLocks noChangeAspect="1"/>
        </xdr:cNvPicPr>
      </xdr:nvPicPr>
      <xdr:blipFill>
        <a:blip xmlns:r="http://schemas.openxmlformats.org/officeDocument/2006/relationships" r:embed="rId824"/>
        <a:stretch>
          <a:fillRect/>
        </a:stretch>
      </xdr:blipFill>
      <xdr:spPr>
        <a:xfrm>
          <a:off x="7264400" y="1089139300"/>
          <a:ext cx="878840" cy="1183640"/>
        </a:xfrm>
        <a:prstGeom prst="rect">
          <a:avLst/>
        </a:prstGeom>
      </xdr:spPr>
    </xdr:pic>
    <xdr:clientData/>
  </xdr:twoCellAnchor>
  <xdr:twoCellAnchor>
    <xdr:from>
      <xdr:col>8</xdr:col>
      <xdr:colOff>6350</xdr:colOff>
      <xdr:row>1134</xdr:row>
      <xdr:rowOff>25400</xdr:rowOff>
    </xdr:from>
    <xdr:to>
      <xdr:col>8</xdr:col>
      <xdr:colOff>885190</xdr:colOff>
      <xdr:row>1134</xdr:row>
      <xdr:rowOff>1209040</xdr:rowOff>
    </xdr:to>
    <xdr:pic>
      <xdr:nvPicPr>
        <xdr:cNvPr id="5063" name="Изображение 5062" descr="resizeПП-00227748"/>
        <xdr:cNvPicPr>
          <a:picLocks noChangeAspect="1"/>
        </xdr:cNvPicPr>
      </xdr:nvPicPr>
      <xdr:blipFill>
        <a:blip xmlns:r="http://schemas.openxmlformats.org/officeDocument/2006/relationships" r:embed="rId825"/>
        <a:stretch>
          <a:fillRect/>
        </a:stretch>
      </xdr:blipFill>
      <xdr:spPr>
        <a:xfrm>
          <a:off x="7264400" y="1090971275"/>
          <a:ext cx="878840" cy="1183640"/>
        </a:xfrm>
        <a:prstGeom prst="rect">
          <a:avLst/>
        </a:prstGeom>
      </xdr:spPr>
    </xdr:pic>
    <xdr:clientData/>
  </xdr:twoCellAnchor>
  <xdr:twoCellAnchor>
    <xdr:from>
      <xdr:col>8</xdr:col>
      <xdr:colOff>6350</xdr:colOff>
      <xdr:row>1135</xdr:row>
      <xdr:rowOff>25400</xdr:rowOff>
    </xdr:from>
    <xdr:to>
      <xdr:col>8</xdr:col>
      <xdr:colOff>885190</xdr:colOff>
      <xdr:row>1135</xdr:row>
      <xdr:rowOff>1209040</xdr:rowOff>
    </xdr:to>
    <xdr:pic>
      <xdr:nvPicPr>
        <xdr:cNvPr id="5064" name="Изображение 5063" descr="resizeПП-00227750"/>
        <xdr:cNvPicPr>
          <a:picLocks noChangeAspect="1"/>
        </xdr:cNvPicPr>
      </xdr:nvPicPr>
      <xdr:blipFill>
        <a:blip xmlns:r="http://schemas.openxmlformats.org/officeDocument/2006/relationships" r:embed="rId826"/>
        <a:stretch>
          <a:fillRect/>
        </a:stretch>
      </xdr:blipFill>
      <xdr:spPr>
        <a:xfrm>
          <a:off x="7264400" y="1092193650"/>
          <a:ext cx="878840" cy="1183640"/>
        </a:xfrm>
        <a:prstGeom prst="rect">
          <a:avLst/>
        </a:prstGeom>
      </xdr:spPr>
    </xdr:pic>
    <xdr:clientData/>
  </xdr:twoCellAnchor>
  <xdr:twoCellAnchor>
    <xdr:from>
      <xdr:col>8</xdr:col>
      <xdr:colOff>6350</xdr:colOff>
      <xdr:row>1136</xdr:row>
      <xdr:rowOff>25400</xdr:rowOff>
    </xdr:from>
    <xdr:to>
      <xdr:col>8</xdr:col>
      <xdr:colOff>885190</xdr:colOff>
      <xdr:row>1136</xdr:row>
      <xdr:rowOff>1209040</xdr:rowOff>
    </xdr:to>
    <xdr:pic>
      <xdr:nvPicPr>
        <xdr:cNvPr id="5065" name="Изображение 5064" descr="resizeПП-00227743"/>
        <xdr:cNvPicPr>
          <a:picLocks noChangeAspect="1"/>
        </xdr:cNvPicPr>
      </xdr:nvPicPr>
      <xdr:blipFill>
        <a:blip xmlns:r="http://schemas.openxmlformats.org/officeDocument/2006/relationships" r:embed="rId827"/>
        <a:stretch>
          <a:fillRect/>
        </a:stretch>
      </xdr:blipFill>
      <xdr:spPr>
        <a:xfrm>
          <a:off x="7264400" y="1093416025"/>
          <a:ext cx="878840" cy="1183640"/>
        </a:xfrm>
        <a:prstGeom prst="rect">
          <a:avLst/>
        </a:prstGeom>
      </xdr:spPr>
    </xdr:pic>
    <xdr:clientData/>
  </xdr:twoCellAnchor>
  <xdr:twoCellAnchor>
    <xdr:from>
      <xdr:col>8</xdr:col>
      <xdr:colOff>6350</xdr:colOff>
      <xdr:row>1137</xdr:row>
      <xdr:rowOff>25400</xdr:rowOff>
    </xdr:from>
    <xdr:to>
      <xdr:col>8</xdr:col>
      <xdr:colOff>885190</xdr:colOff>
      <xdr:row>1137</xdr:row>
      <xdr:rowOff>1209040</xdr:rowOff>
    </xdr:to>
    <xdr:pic>
      <xdr:nvPicPr>
        <xdr:cNvPr id="5066" name="Изображение 5065" descr="resizeПП-00227747"/>
        <xdr:cNvPicPr>
          <a:picLocks noChangeAspect="1"/>
        </xdr:cNvPicPr>
      </xdr:nvPicPr>
      <xdr:blipFill>
        <a:blip xmlns:r="http://schemas.openxmlformats.org/officeDocument/2006/relationships" r:embed="rId828"/>
        <a:stretch>
          <a:fillRect/>
        </a:stretch>
      </xdr:blipFill>
      <xdr:spPr>
        <a:xfrm>
          <a:off x="7264400" y="1094638400"/>
          <a:ext cx="878840" cy="1183640"/>
        </a:xfrm>
        <a:prstGeom prst="rect">
          <a:avLst/>
        </a:prstGeom>
      </xdr:spPr>
    </xdr:pic>
    <xdr:clientData/>
  </xdr:twoCellAnchor>
  <xdr:twoCellAnchor>
    <xdr:from>
      <xdr:col>8</xdr:col>
      <xdr:colOff>6350</xdr:colOff>
      <xdr:row>1138</xdr:row>
      <xdr:rowOff>25400</xdr:rowOff>
    </xdr:from>
    <xdr:to>
      <xdr:col>8</xdr:col>
      <xdr:colOff>885190</xdr:colOff>
      <xdr:row>1138</xdr:row>
      <xdr:rowOff>1209040</xdr:rowOff>
    </xdr:to>
    <xdr:pic>
      <xdr:nvPicPr>
        <xdr:cNvPr id="5067" name="Изображение 5066" descr="resizeПП-00246257"/>
        <xdr:cNvPicPr>
          <a:picLocks noChangeAspect="1"/>
        </xdr:cNvPicPr>
      </xdr:nvPicPr>
      <xdr:blipFill>
        <a:blip xmlns:r="http://schemas.openxmlformats.org/officeDocument/2006/relationships" r:embed="rId829"/>
        <a:stretch>
          <a:fillRect/>
        </a:stretch>
      </xdr:blipFill>
      <xdr:spPr>
        <a:xfrm>
          <a:off x="7264400" y="1095860775"/>
          <a:ext cx="878840" cy="1183640"/>
        </a:xfrm>
        <a:prstGeom prst="rect">
          <a:avLst/>
        </a:prstGeom>
      </xdr:spPr>
    </xdr:pic>
    <xdr:clientData/>
  </xdr:twoCellAnchor>
  <xdr:twoCellAnchor>
    <xdr:from>
      <xdr:col>8</xdr:col>
      <xdr:colOff>6350</xdr:colOff>
      <xdr:row>1140</xdr:row>
      <xdr:rowOff>25400</xdr:rowOff>
    </xdr:from>
    <xdr:to>
      <xdr:col>8</xdr:col>
      <xdr:colOff>885190</xdr:colOff>
      <xdr:row>1140</xdr:row>
      <xdr:rowOff>1209040</xdr:rowOff>
    </xdr:to>
    <xdr:pic>
      <xdr:nvPicPr>
        <xdr:cNvPr id="5068" name="Изображение 5067" descr="resizeПП-00227723"/>
        <xdr:cNvPicPr>
          <a:picLocks noChangeAspect="1"/>
        </xdr:cNvPicPr>
      </xdr:nvPicPr>
      <xdr:blipFill>
        <a:blip xmlns:r="http://schemas.openxmlformats.org/officeDocument/2006/relationships" r:embed="rId830"/>
        <a:stretch>
          <a:fillRect/>
        </a:stretch>
      </xdr:blipFill>
      <xdr:spPr>
        <a:xfrm>
          <a:off x="7264400" y="1097235550"/>
          <a:ext cx="878840" cy="1183640"/>
        </a:xfrm>
        <a:prstGeom prst="rect">
          <a:avLst/>
        </a:prstGeom>
      </xdr:spPr>
    </xdr:pic>
    <xdr:clientData/>
  </xdr:twoCellAnchor>
  <xdr:twoCellAnchor>
    <xdr:from>
      <xdr:col>8</xdr:col>
      <xdr:colOff>6350</xdr:colOff>
      <xdr:row>1141</xdr:row>
      <xdr:rowOff>25400</xdr:rowOff>
    </xdr:from>
    <xdr:to>
      <xdr:col>8</xdr:col>
      <xdr:colOff>885190</xdr:colOff>
      <xdr:row>1141</xdr:row>
      <xdr:rowOff>1209040</xdr:rowOff>
    </xdr:to>
    <xdr:pic>
      <xdr:nvPicPr>
        <xdr:cNvPr id="5069" name="Изображение 5068" descr="resizeПП-00227722"/>
        <xdr:cNvPicPr>
          <a:picLocks noChangeAspect="1"/>
        </xdr:cNvPicPr>
      </xdr:nvPicPr>
      <xdr:blipFill>
        <a:blip xmlns:r="http://schemas.openxmlformats.org/officeDocument/2006/relationships" r:embed="rId831"/>
        <a:stretch>
          <a:fillRect/>
        </a:stretch>
      </xdr:blipFill>
      <xdr:spPr>
        <a:xfrm>
          <a:off x="7264400" y="1098457925"/>
          <a:ext cx="878840" cy="1183640"/>
        </a:xfrm>
        <a:prstGeom prst="rect">
          <a:avLst/>
        </a:prstGeom>
      </xdr:spPr>
    </xdr:pic>
    <xdr:clientData/>
  </xdr:twoCellAnchor>
  <xdr:twoCellAnchor>
    <xdr:from>
      <xdr:col>8</xdr:col>
      <xdr:colOff>6350</xdr:colOff>
      <xdr:row>1142</xdr:row>
      <xdr:rowOff>25400</xdr:rowOff>
    </xdr:from>
    <xdr:to>
      <xdr:col>8</xdr:col>
      <xdr:colOff>885190</xdr:colOff>
      <xdr:row>1142</xdr:row>
      <xdr:rowOff>1209040</xdr:rowOff>
    </xdr:to>
    <xdr:pic>
      <xdr:nvPicPr>
        <xdr:cNvPr id="5070" name="Изображение 5069" descr="resizeПП-00227725"/>
        <xdr:cNvPicPr>
          <a:picLocks noChangeAspect="1"/>
        </xdr:cNvPicPr>
      </xdr:nvPicPr>
      <xdr:blipFill>
        <a:blip xmlns:r="http://schemas.openxmlformats.org/officeDocument/2006/relationships" r:embed="rId832"/>
        <a:stretch>
          <a:fillRect/>
        </a:stretch>
      </xdr:blipFill>
      <xdr:spPr>
        <a:xfrm>
          <a:off x="7264400" y="1099680300"/>
          <a:ext cx="878840" cy="1183640"/>
        </a:xfrm>
        <a:prstGeom prst="rect">
          <a:avLst/>
        </a:prstGeom>
      </xdr:spPr>
    </xdr:pic>
    <xdr:clientData/>
  </xdr:twoCellAnchor>
  <xdr:twoCellAnchor>
    <xdr:from>
      <xdr:col>8</xdr:col>
      <xdr:colOff>6350</xdr:colOff>
      <xdr:row>1143</xdr:row>
      <xdr:rowOff>25400</xdr:rowOff>
    </xdr:from>
    <xdr:to>
      <xdr:col>8</xdr:col>
      <xdr:colOff>885190</xdr:colOff>
      <xdr:row>1143</xdr:row>
      <xdr:rowOff>1209040</xdr:rowOff>
    </xdr:to>
    <xdr:pic>
      <xdr:nvPicPr>
        <xdr:cNvPr id="5071" name="Изображение 5070" descr="resizeПП-00227724"/>
        <xdr:cNvPicPr>
          <a:picLocks noChangeAspect="1"/>
        </xdr:cNvPicPr>
      </xdr:nvPicPr>
      <xdr:blipFill>
        <a:blip xmlns:r="http://schemas.openxmlformats.org/officeDocument/2006/relationships" r:embed="rId833"/>
        <a:stretch>
          <a:fillRect/>
        </a:stretch>
      </xdr:blipFill>
      <xdr:spPr>
        <a:xfrm>
          <a:off x="7264400" y="1100902675"/>
          <a:ext cx="878840" cy="1183640"/>
        </a:xfrm>
        <a:prstGeom prst="rect">
          <a:avLst/>
        </a:prstGeom>
      </xdr:spPr>
    </xdr:pic>
    <xdr:clientData/>
  </xdr:twoCellAnchor>
  <xdr:twoCellAnchor>
    <xdr:from>
      <xdr:col>8</xdr:col>
      <xdr:colOff>6350</xdr:colOff>
      <xdr:row>1145</xdr:row>
      <xdr:rowOff>25400</xdr:rowOff>
    </xdr:from>
    <xdr:to>
      <xdr:col>8</xdr:col>
      <xdr:colOff>885190</xdr:colOff>
      <xdr:row>1145</xdr:row>
      <xdr:rowOff>1209040</xdr:rowOff>
    </xdr:to>
    <xdr:pic>
      <xdr:nvPicPr>
        <xdr:cNvPr id="5072" name="Изображение 5071" descr="resizeПП-00227733"/>
        <xdr:cNvPicPr>
          <a:picLocks noChangeAspect="1"/>
        </xdr:cNvPicPr>
      </xdr:nvPicPr>
      <xdr:blipFill>
        <a:blip xmlns:r="http://schemas.openxmlformats.org/officeDocument/2006/relationships" r:embed="rId834"/>
        <a:stretch>
          <a:fillRect/>
        </a:stretch>
      </xdr:blipFill>
      <xdr:spPr>
        <a:xfrm>
          <a:off x="7264400" y="1102277450"/>
          <a:ext cx="878840" cy="1183640"/>
        </a:xfrm>
        <a:prstGeom prst="rect">
          <a:avLst/>
        </a:prstGeom>
      </xdr:spPr>
    </xdr:pic>
    <xdr:clientData/>
  </xdr:twoCellAnchor>
  <xdr:twoCellAnchor>
    <xdr:from>
      <xdr:col>8</xdr:col>
      <xdr:colOff>6350</xdr:colOff>
      <xdr:row>1146</xdr:row>
      <xdr:rowOff>25400</xdr:rowOff>
    </xdr:from>
    <xdr:to>
      <xdr:col>8</xdr:col>
      <xdr:colOff>885190</xdr:colOff>
      <xdr:row>1146</xdr:row>
      <xdr:rowOff>1209040</xdr:rowOff>
    </xdr:to>
    <xdr:pic>
      <xdr:nvPicPr>
        <xdr:cNvPr id="5073" name="Изображение 5072" descr="resizeПП-00227734"/>
        <xdr:cNvPicPr>
          <a:picLocks noChangeAspect="1"/>
        </xdr:cNvPicPr>
      </xdr:nvPicPr>
      <xdr:blipFill>
        <a:blip xmlns:r="http://schemas.openxmlformats.org/officeDocument/2006/relationships" r:embed="rId835"/>
        <a:stretch>
          <a:fillRect/>
        </a:stretch>
      </xdr:blipFill>
      <xdr:spPr>
        <a:xfrm>
          <a:off x="7264400" y="1103499825"/>
          <a:ext cx="878840" cy="1183640"/>
        </a:xfrm>
        <a:prstGeom prst="rect">
          <a:avLst/>
        </a:prstGeom>
      </xdr:spPr>
    </xdr:pic>
    <xdr:clientData/>
  </xdr:twoCellAnchor>
  <xdr:twoCellAnchor>
    <xdr:from>
      <xdr:col>8</xdr:col>
      <xdr:colOff>6350</xdr:colOff>
      <xdr:row>1147</xdr:row>
      <xdr:rowOff>25400</xdr:rowOff>
    </xdr:from>
    <xdr:to>
      <xdr:col>8</xdr:col>
      <xdr:colOff>885190</xdr:colOff>
      <xdr:row>1147</xdr:row>
      <xdr:rowOff>1209040</xdr:rowOff>
    </xdr:to>
    <xdr:pic>
      <xdr:nvPicPr>
        <xdr:cNvPr id="5074" name="Изображение 5073" descr="resizeПП-00227735"/>
        <xdr:cNvPicPr>
          <a:picLocks noChangeAspect="1"/>
        </xdr:cNvPicPr>
      </xdr:nvPicPr>
      <xdr:blipFill>
        <a:blip xmlns:r="http://schemas.openxmlformats.org/officeDocument/2006/relationships" r:embed="rId836"/>
        <a:stretch>
          <a:fillRect/>
        </a:stretch>
      </xdr:blipFill>
      <xdr:spPr>
        <a:xfrm>
          <a:off x="7264400" y="1104722200"/>
          <a:ext cx="878840" cy="1183640"/>
        </a:xfrm>
        <a:prstGeom prst="rect">
          <a:avLst/>
        </a:prstGeom>
      </xdr:spPr>
    </xdr:pic>
    <xdr:clientData/>
  </xdr:twoCellAnchor>
  <xdr:twoCellAnchor>
    <xdr:from>
      <xdr:col>8</xdr:col>
      <xdr:colOff>6350</xdr:colOff>
      <xdr:row>1148</xdr:row>
      <xdr:rowOff>25400</xdr:rowOff>
    </xdr:from>
    <xdr:to>
      <xdr:col>8</xdr:col>
      <xdr:colOff>885190</xdr:colOff>
      <xdr:row>1148</xdr:row>
      <xdr:rowOff>1209040</xdr:rowOff>
    </xdr:to>
    <xdr:pic>
      <xdr:nvPicPr>
        <xdr:cNvPr id="5075" name="Изображение 5074" descr="resizeПП-00227732"/>
        <xdr:cNvPicPr>
          <a:picLocks noChangeAspect="1"/>
        </xdr:cNvPicPr>
      </xdr:nvPicPr>
      <xdr:blipFill>
        <a:blip xmlns:r="http://schemas.openxmlformats.org/officeDocument/2006/relationships" r:embed="rId837"/>
        <a:stretch>
          <a:fillRect/>
        </a:stretch>
      </xdr:blipFill>
      <xdr:spPr>
        <a:xfrm>
          <a:off x="7264400" y="1105944575"/>
          <a:ext cx="878840" cy="1183640"/>
        </a:xfrm>
        <a:prstGeom prst="rect">
          <a:avLst/>
        </a:prstGeom>
      </xdr:spPr>
    </xdr:pic>
    <xdr:clientData/>
  </xdr:twoCellAnchor>
  <xdr:twoCellAnchor>
    <xdr:from>
      <xdr:col>8</xdr:col>
      <xdr:colOff>6350</xdr:colOff>
      <xdr:row>1150</xdr:row>
      <xdr:rowOff>25400</xdr:rowOff>
    </xdr:from>
    <xdr:to>
      <xdr:col>8</xdr:col>
      <xdr:colOff>885190</xdr:colOff>
      <xdr:row>1150</xdr:row>
      <xdr:rowOff>1209040</xdr:rowOff>
    </xdr:to>
    <xdr:pic>
      <xdr:nvPicPr>
        <xdr:cNvPr id="5076" name="Изображение 5075" descr="resizeПП-00227713"/>
        <xdr:cNvPicPr>
          <a:picLocks noChangeAspect="1"/>
        </xdr:cNvPicPr>
      </xdr:nvPicPr>
      <xdr:blipFill>
        <a:blip xmlns:r="http://schemas.openxmlformats.org/officeDocument/2006/relationships" r:embed="rId838"/>
        <a:stretch>
          <a:fillRect/>
        </a:stretch>
      </xdr:blipFill>
      <xdr:spPr>
        <a:xfrm>
          <a:off x="7264400" y="1107319350"/>
          <a:ext cx="878840" cy="1183640"/>
        </a:xfrm>
        <a:prstGeom prst="rect">
          <a:avLst/>
        </a:prstGeom>
      </xdr:spPr>
    </xdr:pic>
    <xdr:clientData/>
  </xdr:twoCellAnchor>
  <xdr:twoCellAnchor>
    <xdr:from>
      <xdr:col>8</xdr:col>
      <xdr:colOff>6350</xdr:colOff>
      <xdr:row>1151</xdr:row>
      <xdr:rowOff>25400</xdr:rowOff>
    </xdr:from>
    <xdr:to>
      <xdr:col>8</xdr:col>
      <xdr:colOff>885190</xdr:colOff>
      <xdr:row>1151</xdr:row>
      <xdr:rowOff>1209040</xdr:rowOff>
    </xdr:to>
    <xdr:pic>
      <xdr:nvPicPr>
        <xdr:cNvPr id="5077" name="Изображение 5076" descr="resizeПП-00227712"/>
        <xdr:cNvPicPr>
          <a:picLocks noChangeAspect="1"/>
        </xdr:cNvPicPr>
      </xdr:nvPicPr>
      <xdr:blipFill>
        <a:blip xmlns:r="http://schemas.openxmlformats.org/officeDocument/2006/relationships" r:embed="rId839"/>
        <a:stretch>
          <a:fillRect/>
        </a:stretch>
      </xdr:blipFill>
      <xdr:spPr>
        <a:xfrm>
          <a:off x="7264400" y="1108541725"/>
          <a:ext cx="878840" cy="1183640"/>
        </a:xfrm>
        <a:prstGeom prst="rect">
          <a:avLst/>
        </a:prstGeom>
      </xdr:spPr>
    </xdr:pic>
    <xdr:clientData/>
  </xdr:twoCellAnchor>
  <xdr:twoCellAnchor>
    <xdr:from>
      <xdr:col>8</xdr:col>
      <xdr:colOff>6350</xdr:colOff>
      <xdr:row>1152</xdr:row>
      <xdr:rowOff>25400</xdr:rowOff>
    </xdr:from>
    <xdr:to>
      <xdr:col>8</xdr:col>
      <xdr:colOff>885190</xdr:colOff>
      <xdr:row>1152</xdr:row>
      <xdr:rowOff>1209040</xdr:rowOff>
    </xdr:to>
    <xdr:pic>
      <xdr:nvPicPr>
        <xdr:cNvPr id="5078" name="Изображение 5077" descr="resizeПП-00227710"/>
        <xdr:cNvPicPr>
          <a:picLocks noChangeAspect="1"/>
        </xdr:cNvPicPr>
      </xdr:nvPicPr>
      <xdr:blipFill>
        <a:blip xmlns:r="http://schemas.openxmlformats.org/officeDocument/2006/relationships" r:embed="rId840"/>
        <a:stretch>
          <a:fillRect/>
        </a:stretch>
      </xdr:blipFill>
      <xdr:spPr>
        <a:xfrm>
          <a:off x="7264400" y="1109764100"/>
          <a:ext cx="878840" cy="1183640"/>
        </a:xfrm>
        <a:prstGeom prst="rect">
          <a:avLst/>
        </a:prstGeom>
      </xdr:spPr>
    </xdr:pic>
    <xdr:clientData/>
  </xdr:twoCellAnchor>
  <xdr:twoCellAnchor>
    <xdr:from>
      <xdr:col>8</xdr:col>
      <xdr:colOff>6350</xdr:colOff>
      <xdr:row>1153</xdr:row>
      <xdr:rowOff>25400</xdr:rowOff>
    </xdr:from>
    <xdr:to>
      <xdr:col>8</xdr:col>
      <xdr:colOff>885190</xdr:colOff>
      <xdr:row>1153</xdr:row>
      <xdr:rowOff>1209040</xdr:rowOff>
    </xdr:to>
    <xdr:pic>
      <xdr:nvPicPr>
        <xdr:cNvPr id="5079" name="Изображение 5078" descr="resizeПП-00227715"/>
        <xdr:cNvPicPr>
          <a:picLocks noChangeAspect="1"/>
        </xdr:cNvPicPr>
      </xdr:nvPicPr>
      <xdr:blipFill>
        <a:blip xmlns:r="http://schemas.openxmlformats.org/officeDocument/2006/relationships" r:embed="rId841"/>
        <a:stretch>
          <a:fillRect/>
        </a:stretch>
      </xdr:blipFill>
      <xdr:spPr>
        <a:xfrm>
          <a:off x="7264400" y="1110986475"/>
          <a:ext cx="878840" cy="1183640"/>
        </a:xfrm>
        <a:prstGeom prst="rect">
          <a:avLst/>
        </a:prstGeom>
      </xdr:spPr>
    </xdr:pic>
    <xdr:clientData/>
  </xdr:twoCellAnchor>
  <xdr:twoCellAnchor>
    <xdr:from>
      <xdr:col>8</xdr:col>
      <xdr:colOff>6350</xdr:colOff>
      <xdr:row>1154</xdr:row>
      <xdr:rowOff>25400</xdr:rowOff>
    </xdr:from>
    <xdr:to>
      <xdr:col>8</xdr:col>
      <xdr:colOff>885190</xdr:colOff>
      <xdr:row>1154</xdr:row>
      <xdr:rowOff>1209040</xdr:rowOff>
    </xdr:to>
    <xdr:pic>
      <xdr:nvPicPr>
        <xdr:cNvPr id="5080" name="Изображение 5079" descr="resizeПП-00246246"/>
        <xdr:cNvPicPr>
          <a:picLocks noChangeAspect="1"/>
        </xdr:cNvPicPr>
      </xdr:nvPicPr>
      <xdr:blipFill>
        <a:blip xmlns:r="http://schemas.openxmlformats.org/officeDocument/2006/relationships" r:embed="rId842"/>
        <a:stretch>
          <a:fillRect/>
        </a:stretch>
      </xdr:blipFill>
      <xdr:spPr>
        <a:xfrm>
          <a:off x="7264400" y="1112208850"/>
          <a:ext cx="878840" cy="1183640"/>
        </a:xfrm>
        <a:prstGeom prst="rect">
          <a:avLst/>
        </a:prstGeom>
      </xdr:spPr>
    </xdr:pic>
    <xdr:clientData/>
  </xdr:twoCellAnchor>
  <xdr:twoCellAnchor>
    <xdr:from>
      <xdr:col>8</xdr:col>
      <xdr:colOff>6350</xdr:colOff>
      <xdr:row>1156</xdr:row>
      <xdr:rowOff>25400</xdr:rowOff>
    </xdr:from>
    <xdr:to>
      <xdr:col>8</xdr:col>
      <xdr:colOff>885190</xdr:colOff>
      <xdr:row>1156</xdr:row>
      <xdr:rowOff>1209040</xdr:rowOff>
    </xdr:to>
    <xdr:pic>
      <xdr:nvPicPr>
        <xdr:cNvPr id="5081" name="Изображение 5080" descr="resizeПП-00227727"/>
        <xdr:cNvPicPr>
          <a:picLocks noChangeAspect="1"/>
        </xdr:cNvPicPr>
      </xdr:nvPicPr>
      <xdr:blipFill>
        <a:blip xmlns:r="http://schemas.openxmlformats.org/officeDocument/2006/relationships" r:embed="rId843"/>
        <a:stretch>
          <a:fillRect/>
        </a:stretch>
      </xdr:blipFill>
      <xdr:spPr>
        <a:xfrm>
          <a:off x="7264400" y="1113583625"/>
          <a:ext cx="878840" cy="1183640"/>
        </a:xfrm>
        <a:prstGeom prst="rect">
          <a:avLst/>
        </a:prstGeom>
      </xdr:spPr>
    </xdr:pic>
    <xdr:clientData/>
  </xdr:twoCellAnchor>
  <xdr:twoCellAnchor>
    <xdr:from>
      <xdr:col>8</xdr:col>
      <xdr:colOff>6350</xdr:colOff>
      <xdr:row>1157</xdr:row>
      <xdr:rowOff>25400</xdr:rowOff>
    </xdr:from>
    <xdr:to>
      <xdr:col>8</xdr:col>
      <xdr:colOff>885190</xdr:colOff>
      <xdr:row>1157</xdr:row>
      <xdr:rowOff>1209040</xdr:rowOff>
    </xdr:to>
    <xdr:pic>
      <xdr:nvPicPr>
        <xdr:cNvPr id="5082" name="Изображение 5081" descr="resizeПП-00227729"/>
        <xdr:cNvPicPr>
          <a:picLocks noChangeAspect="1"/>
        </xdr:cNvPicPr>
      </xdr:nvPicPr>
      <xdr:blipFill>
        <a:blip xmlns:r="http://schemas.openxmlformats.org/officeDocument/2006/relationships" r:embed="rId844"/>
        <a:stretch>
          <a:fillRect/>
        </a:stretch>
      </xdr:blipFill>
      <xdr:spPr>
        <a:xfrm>
          <a:off x="7264400" y="1114806000"/>
          <a:ext cx="878840" cy="1183640"/>
        </a:xfrm>
        <a:prstGeom prst="rect">
          <a:avLst/>
        </a:prstGeom>
      </xdr:spPr>
    </xdr:pic>
    <xdr:clientData/>
  </xdr:twoCellAnchor>
  <xdr:twoCellAnchor>
    <xdr:from>
      <xdr:col>8</xdr:col>
      <xdr:colOff>6350</xdr:colOff>
      <xdr:row>1158</xdr:row>
      <xdr:rowOff>25400</xdr:rowOff>
    </xdr:from>
    <xdr:to>
      <xdr:col>8</xdr:col>
      <xdr:colOff>885190</xdr:colOff>
      <xdr:row>1158</xdr:row>
      <xdr:rowOff>1209040</xdr:rowOff>
    </xdr:to>
    <xdr:pic>
      <xdr:nvPicPr>
        <xdr:cNvPr id="5083" name="Изображение 5082" descr="resizeПП-00227730"/>
        <xdr:cNvPicPr>
          <a:picLocks noChangeAspect="1"/>
        </xdr:cNvPicPr>
      </xdr:nvPicPr>
      <xdr:blipFill>
        <a:blip xmlns:r="http://schemas.openxmlformats.org/officeDocument/2006/relationships" r:embed="rId845"/>
        <a:stretch>
          <a:fillRect/>
        </a:stretch>
      </xdr:blipFill>
      <xdr:spPr>
        <a:xfrm>
          <a:off x="7264400" y="1116028375"/>
          <a:ext cx="878840" cy="1183640"/>
        </a:xfrm>
        <a:prstGeom prst="rect">
          <a:avLst/>
        </a:prstGeom>
      </xdr:spPr>
    </xdr:pic>
    <xdr:clientData/>
  </xdr:twoCellAnchor>
  <xdr:twoCellAnchor>
    <xdr:from>
      <xdr:col>8</xdr:col>
      <xdr:colOff>6350</xdr:colOff>
      <xdr:row>1159</xdr:row>
      <xdr:rowOff>25400</xdr:rowOff>
    </xdr:from>
    <xdr:to>
      <xdr:col>8</xdr:col>
      <xdr:colOff>885190</xdr:colOff>
      <xdr:row>1159</xdr:row>
      <xdr:rowOff>1209040</xdr:rowOff>
    </xdr:to>
    <xdr:pic>
      <xdr:nvPicPr>
        <xdr:cNvPr id="5084" name="Изображение 5083" descr="resizeПП-00246245"/>
        <xdr:cNvPicPr>
          <a:picLocks noChangeAspect="1"/>
        </xdr:cNvPicPr>
      </xdr:nvPicPr>
      <xdr:blipFill>
        <a:blip xmlns:r="http://schemas.openxmlformats.org/officeDocument/2006/relationships" r:embed="rId846"/>
        <a:stretch>
          <a:fillRect/>
        </a:stretch>
      </xdr:blipFill>
      <xdr:spPr>
        <a:xfrm>
          <a:off x="7264400" y="1117250750"/>
          <a:ext cx="878840" cy="1183640"/>
        </a:xfrm>
        <a:prstGeom prst="rect">
          <a:avLst/>
        </a:prstGeom>
      </xdr:spPr>
    </xdr:pic>
    <xdr:clientData/>
  </xdr:twoCellAnchor>
  <xdr:twoCellAnchor>
    <xdr:from>
      <xdr:col>8</xdr:col>
      <xdr:colOff>6350</xdr:colOff>
      <xdr:row>1161</xdr:row>
      <xdr:rowOff>25400</xdr:rowOff>
    </xdr:from>
    <xdr:to>
      <xdr:col>8</xdr:col>
      <xdr:colOff>885190</xdr:colOff>
      <xdr:row>1161</xdr:row>
      <xdr:rowOff>1209040</xdr:rowOff>
    </xdr:to>
    <xdr:pic>
      <xdr:nvPicPr>
        <xdr:cNvPr id="5085" name="Изображение 5084" descr="resizeПП-00228660"/>
        <xdr:cNvPicPr>
          <a:picLocks noChangeAspect="1"/>
        </xdr:cNvPicPr>
      </xdr:nvPicPr>
      <xdr:blipFill>
        <a:blip xmlns:r="http://schemas.openxmlformats.org/officeDocument/2006/relationships" r:embed="rId847"/>
        <a:stretch>
          <a:fillRect/>
        </a:stretch>
      </xdr:blipFill>
      <xdr:spPr>
        <a:xfrm>
          <a:off x="7264400" y="1118625525"/>
          <a:ext cx="878840" cy="1183640"/>
        </a:xfrm>
        <a:prstGeom prst="rect">
          <a:avLst/>
        </a:prstGeom>
      </xdr:spPr>
    </xdr:pic>
    <xdr:clientData/>
  </xdr:twoCellAnchor>
  <xdr:twoCellAnchor>
    <xdr:from>
      <xdr:col>8</xdr:col>
      <xdr:colOff>6350</xdr:colOff>
      <xdr:row>1162</xdr:row>
      <xdr:rowOff>25400</xdr:rowOff>
    </xdr:from>
    <xdr:to>
      <xdr:col>8</xdr:col>
      <xdr:colOff>885190</xdr:colOff>
      <xdr:row>1162</xdr:row>
      <xdr:rowOff>1209040</xdr:rowOff>
    </xdr:to>
    <xdr:pic>
      <xdr:nvPicPr>
        <xdr:cNvPr id="5086" name="Изображение 5085" descr="resizeПП-00228661"/>
        <xdr:cNvPicPr>
          <a:picLocks noChangeAspect="1"/>
        </xdr:cNvPicPr>
      </xdr:nvPicPr>
      <xdr:blipFill>
        <a:blip xmlns:r="http://schemas.openxmlformats.org/officeDocument/2006/relationships" r:embed="rId848"/>
        <a:stretch>
          <a:fillRect/>
        </a:stretch>
      </xdr:blipFill>
      <xdr:spPr>
        <a:xfrm>
          <a:off x="7264400" y="1119847900"/>
          <a:ext cx="878840" cy="1183640"/>
        </a:xfrm>
        <a:prstGeom prst="rect">
          <a:avLst/>
        </a:prstGeom>
      </xdr:spPr>
    </xdr:pic>
    <xdr:clientData/>
  </xdr:twoCellAnchor>
  <xdr:twoCellAnchor>
    <xdr:from>
      <xdr:col>8</xdr:col>
      <xdr:colOff>6350</xdr:colOff>
      <xdr:row>1163</xdr:row>
      <xdr:rowOff>25400</xdr:rowOff>
    </xdr:from>
    <xdr:to>
      <xdr:col>8</xdr:col>
      <xdr:colOff>885190</xdr:colOff>
      <xdr:row>1163</xdr:row>
      <xdr:rowOff>1209040</xdr:rowOff>
    </xdr:to>
    <xdr:pic>
      <xdr:nvPicPr>
        <xdr:cNvPr id="5087" name="Изображение 5086" descr="resizeПП-00228664"/>
        <xdr:cNvPicPr>
          <a:picLocks noChangeAspect="1"/>
        </xdr:cNvPicPr>
      </xdr:nvPicPr>
      <xdr:blipFill>
        <a:blip xmlns:r="http://schemas.openxmlformats.org/officeDocument/2006/relationships" r:embed="rId849"/>
        <a:stretch>
          <a:fillRect/>
        </a:stretch>
      </xdr:blipFill>
      <xdr:spPr>
        <a:xfrm>
          <a:off x="7264400" y="1121070275"/>
          <a:ext cx="878840" cy="1183640"/>
        </a:xfrm>
        <a:prstGeom prst="rect">
          <a:avLst/>
        </a:prstGeom>
      </xdr:spPr>
    </xdr:pic>
    <xdr:clientData/>
  </xdr:twoCellAnchor>
  <xdr:twoCellAnchor>
    <xdr:from>
      <xdr:col>8</xdr:col>
      <xdr:colOff>6350</xdr:colOff>
      <xdr:row>1164</xdr:row>
      <xdr:rowOff>25400</xdr:rowOff>
    </xdr:from>
    <xdr:to>
      <xdr:col>8</xdr:col>
      <xdr:colOff>885190</xdr:colOff>
      <xdr:row>1164</xdr:row>
      <xdr:rowOff>1209040</xdr:rowOff>
    </xdr:to>
    <xdr:pic>
      <xdr:nvPicPr>
        <xdr:cNvPr id="5088" name="Изображение 5087" descr="resizeПП-00228662"/>
        <xdr:cNvPicPr>
          <a:picLocks noChangeAspect="1"/>
        </xdr:cNvPicPr>
      </xdr:nvPicPr>
      <xdr:blipFill>
        <a:blip xmlns:r="http://schemas.openxmlformats.org/officeDocument/2006/relationships" r:embed="rId850"/>
        <a:stretch>
          <a:fillRect/>
        </a:stretch>
      </xdr:blipFill>
      <xdr:spPr>
        <a:xfrm>
          <a:off x="7264400" y="1122292650"/>
          <a:ext cx="878840" cy="1183640"/>
        </a:xfrm>
        <a:prstGeom prst="rect">
          <a:avLst/>
        </a:prstGeom>
      </xdr:spPr>
    </xdr:pic>
    <xdr:clientData/>
  </xdr:twoCellAnchor>
  <xdr:twoCellAnchor>
    <xdr:from>
      <xdr:col>8</xdr:col>
      <xdr:colOff>6350</xdr:colOff>
      <xdr:row>1165</xdr:row>
      <xdr:rowOff>25400</xdr:rowOff>
    </xdr:from>
    <xdr:to>
      <xdr:col>8</xdr:col>
      <xdr:colOff>885190</xdr:colOff>
      <xdr:row>1165</xdr:row>
      <xdr:rowOff>1209040</xdr:rowOff>
    </xdr:to>
    <xdr:pic>
      <xdr:nvPicPr>
        <xdr:cNvPr id="5089" name="Изображение 5088" descr="resizeПП-00246243"/>
        <xdr:cNvPicPr>
          <a:picLocks noChangeAspect="1"/>
        </xdr:cNvPicPr>
      </xdr:nvPicPr>
      <xdr:blipFill>
        <a:blip xmlns:r="http://schemas.openxmlformats.org/officeDocument/2006/relationships" r:embed="rId851"/>
        <a:stretch>
          <a:fillRect/>
        </a:stretch>
      </xdr:blipFill>
      <xdr:spPr>
        <a:xfrm>
          <a:off x="7264400" y="1123515025"/>
          <a:ext cx="878840" cy="1183640"/>
        </a:xfrm>
        <a:prstGeom prst="rect">
          <a:avLst/>
        </a:prstGeom>
      </xdr:spPr>
    </xdr:pic>
    <xdr:clientData/>
  </xdr:twoCellAnchor>
  <xdr:twoCellAnchor>
    <xdr:from>
      <xdr:col>8</xdr:col>
      <xdr:colOff>6350</xdr:colOff>
      <xdr:row>1167</xdr:row>
      <xdr:rowOff>25400</xdr:rowOff>
    </xdr:from>
    <xdr:to>
      <xdr:col>8</xdr:col>
      <xdr:colOff>885190</xdr:colOff>
      <xdr:row>1167</xdr:row>
      <xdr:rowOff>1209040</xdr:rowOff>
    </xdr:to>
    <xdr:pic>
      <xdr:nvPicPr>
        <xdr:cNvPr id="5090" name="Изображение 5089" descr="resizeПП-00232201"/>
        <xdr:cNvPicPr>
          <a:picLocks noChangeAspect="1"/>
        </xdr:cNvPicPr>
      </xdr:nvPicPr>
      <xdr:blipFill>
        <a:blip xmlns:r="http://schemas.openxmlformats.org/officeDocument/2006/relationships" r:embed="rId852"/>
        <a:stretch>
          <a:fillRect/>
        </a:stretch>
      </xdr:blipFill>
      <xdr:spPr>
        <a:xfrm>
          <a:off x="7264400" y="1124889800"/>
          <a:ext cx="878840" cy="1183640"/>
        </a:xfrm>
        <a:prstGeom prst="rect">
          <a:avLst/>
        </a:prstGeom>
      </xdr:spPr>
    </xdr:pic>
    <xdr:clientData/>
  </xdr:twoCellAnchor>
  <xdr:twoCellAnchor>
    <xdr:from>
      <xdr:col>8</xdr:col>
      <xdr:colOff>6350</xdr:colOff>
      <xdr:row>1168</xdr:row>
      <xdr:rowOff>25400</xdr:rowOff>
    </xdr:from>
    <xdr:to>
      <xdr:col>8</xdr:col>
      <xdr:colOff>885190</xdr:colOff>
      <xdr:row>1168</xdr:row>
      <xdr:rowOff>1209040</xdr:rowOff>
    </xdr:to>
    <xdr:pic>
      <xdr:nvPicPr>
        <xdr:cNvPr id="5091" name="Изображение 5090" descr="resizeПП-00232205"/>
        <xdr:cNvPicPr>
          <a:picLocks noChangeAspect="1"/>
        </xdr:cNvPicPr>
      </xdr:nvPicPr>
      <xdr:blipFill>
        <a:blip xmlns:r="http://schemas.openxmlformats.org/officeDocument/2006/relationships" r:embed="rId853"/>
        <a:stretch>
          <a:fillRect/>
        </a:stretch>
      </xdr:blipFill>
      <xdr:spPr>
        <a:xfrm>
          <a:off x="7264400" y="1126112175"/>
          <a:ext cx="878840" cy="1183640"/>
        </a:xfrm>
        <a:prstGeom prst="rect">
          <a:avLst/>
        </a:prstGeom>
      </xdr:spPr>
    </xdr:pic>
    <xdr:clientData/>
  </xdr:twoCellAnchor>
  <xdr:twoCellAnchor>
    <xdr:from>
      <xdr:col>8</xdr:col>
      <xdr:colOff>6350</xdr:colOff>
      <xdr:row>1169</xdr:row>
      <xdr:rowOff>25400</xdr:rowOff>
    </xdr:from>
    <xdr:to>
      <xdr:col>8</xdr:col>
      <xdr:colOff>885190</xdr:colOff>
      <xdr:row>1169</xdr:row>
      <xdr:rowOff>1209040</xdr:rowOff>
    </xdr:to>
    <xdr:pic>
      <xdr:nvPicPr>
        <xdr:cNvPr id="5092" name="Изображение 5091" descr="resizeПП-00232202"/>
        <xdr:cNvPicPr>
          <a:picLocks noChangeAspect="1"/>
        </xdr:cNvPicPr>
      </xdr:nvPicPr>
      <xdr:blipFill>
        <a:blip xmlns:r="http://schemas.openxmlformats.org/officeDocument/2006/relationships" r:embed="rId854"/>
        <a:stretch>
          <a:fillRect/>
        </a:stretch>
      </xdr:blipFill>
      <xdr:spPr>
        <a:xfrm>
          <a:off x="7264400" y="1127334550"/>
          <a:ext cx="878840" cy="1183640"/>
        </a:xfrm>
        <a:prstGeom prst="rect">
          <a:avLst/>
        </a:prstGeom>
      </xdr:spPr>
    </xdr:pic>
    <xdr:clientData/>
  </xdr:twoCellAnchor>
  <xdr:twoCellAnchor>
    <xdr:from>
      <xdr:col>8</xdr:col>
      <xdr:colOff>6350</xdr:colOff>
      <xdr:row>1170</xdr:row>
      <xdr:rowOff>25400</xdr:rowOff>
    </xdr:from>
    <xdr:to>
      <xdr:col>8</xdr:col>
      <xdr:colOff>885190</xdr:colOff>
      <xdr:row>1170</xdr:row>
      <xdr:rowOff>1209040</xdr:rowOff>
    </xdr:to>
    <xdr:pic>
      <xdr:nvPicPr>
        <xdr:cNvPr id="5093" name="Изображение 5092" descr="resizeПП-00232204"/>
        <xdr:cNvPicPr>
          <a:picLocks noChangeAspect="1"/>
        </xdr:cNvPicPr>
      </xdr:nvPicPr>
      <xdr:blipFill>
        <a:blip xmlns:r="http://schemas.openxmlformats.org/officeDocument/2006/relationships" r:embed="rId855"/>
        <a:stretch>
          <a:fillRect/>
        </a:stretch>
      </xdr:blipFill>
      <xdr:spPr>
        <a:xfrm>
          <a:off x="7264400" y="1128556925"/>
          <a:ext cx="878840" cy="1183640"/>
        </a:xfrm>
        <a:prstGeom prst="rect">
          <a:avLst/>
        </a:prstGeom>
      </xdr:spPr>
    </xdr:pic>
    <xdr:clientData/>
  </xdr:twoCellAnchor>
  <xdr:twoCellAnchor>
    <xdr:from>
      <xdr:col>8</xdr:col>
      <xdr:colOff>6350</xdr:colOff>
      <xdr:row>1171</xdr:row>
      <xdr:rowOff>25400</xdr:rowOff>
    </xdr:from>
    <xdr:to>
      <xdr:col>8</xdr:col>
      <xdr:colOff>885190</xdr:colOff>
      <xdr:row>1171</xdr:row>
      <xdr:rowOff>1209040</xdr:rowOff>
    </xdr:to>
    <xdr:pic>
      <xdr:nvPicPr>
        <xdr:cNvPr id="5094" name="Изображение 5093" descr="resizeПП-00246239"/>
        <xdr:cNvPicPr>
          <a:picLocks noChangeAspect="1"/>
        </xdr:cNvPicPr>
      </xdr:nvPicPr>
      <xdr:blipFill>
        <a:blip xmlns:r="http://schemas.openxmlformats.org/officeDocument/2006/relationships" r:embed="rId856"/>
        <a:stretch>
          <a:fillRect/>
        </a:stretch>
      </xdr:blipFill>
      <xdr:spPr>
        <a:xfrm>
          <a:off x="7264400" y="1129779300"/>
          <a:ext cx="878840" cy="1183640"/>
        </a:xfrm>
        <a:prstGeom prst="rect">
          <a:avLst/>
        </a:prstGeom>
      </xdr:spPr>
    </xdr:pic>
    <xdr:clientData/>
  </xdr:twoCellAnchor>
  <xdr:twoCellAnchor>
    <xdr:from>
      <xdr:col>8</xdr:col>
      <xdr:colOff>6350</xdr:colOff>
      <xdr:row>1174</xdr:row>
      <xdr:rowOff>25400</xdr:rowOff>
    </xdr:from>
    <xdr:to>
      <xdr:col>8</xdr:col>
      <xdr:colOff>885190</xdr:colOff>
      <xdr:row>1174</xdr:row>
      <xdr:rowOff>1209040</xdr:rowOff>
    </xdr:to>
    <xdr:pic>
      <xdr:nvPicPr>
        <xdr:cNvPr id="5095" name="Изображение 5094" descr="resizeПП-00270333"/>
        <xdr:cNvPicPr>
          <a:picLocks noChangeAspect="1"/>
        </xdr:cNvPicPr>
      </xdr:nvPicPr>
      <xdr:blipFill>
        <a:blip xmlns:r="http://schemas.openxmlformats.org/officeDocument/2006/relationships" r:embed="rId857"/>
        <a:stretch>
          <a:fillRect/>
        </a:stretch>
      </xdr:blipFill>
      <xdr:spPr>
        <a:xfrm>
          <a:off x="7264400" y="1131306475"/>
          <a:ext cx="878840" cy="1183640"/>
        </a:xfrm>
        <a:prstGeom prst="rect">
          <a:avLst/>
        </a:prstGeom>
      </xdr:spPr>
    </xdr:pic>
    <xdr:clientData/>
  </xdr:twoCellAnchor>
  <xdr:twoCellAnchor>
    <xdr:from>
      <xdr:col>8</xdr:col>
      <xdr:colOff>6350</xdr:colOff>
      <xdr:row>1175</xdr:row>
      <xdr:rowOff>25400</xdr:rowOff>
    </xdr:from>
    <xdr:to>
      <xdr:col>8</xdr:col>
      <xdr:colOff>885190</xdr:colOff>
      <xdr:row>1175</xdr:row>
      <xdr:rowOff>1209040</xdr:rowOff>
    </xdr:to>
    <xdr:pic>
      <xdr:nvPicPr>
        <xdr:cNvPr id="5096" name="Изображение 5095" descr="resizeПП-00270335"/>
        <xdr:cNvPicPr>
          <a:picLocks noChangeAspect="1"/>
        </xdr:cNvPicPr>
      </xdr:nvPicPr>
      <xdr:blipFill>
        <a:blip xmlns:r="http://schemas.openxmlformats.org/officeDocument/2006/relationships" r:embed="rId858"/>
        <a:stretch>
          <a:fillRect/>
        </a:stretch>
      </xdr:blipFill>
      <xdr:spPr>
        <a:xfrm>
          <a:off x="7264400" y="1132528850"/>
          <a:ext cx="878840" cy="1183640"/>
        </a:xfrm>
        <a:prstGeom prst="rect">
          <a:avLst/>
        </a:prstGeom>
      </xdr:spPr>
    </xdr:pic>
    <xdr:clientData/>
  </xdr:twoCellAnchor>
  <xdr:twoCellAnchor>
    <xdr:from>
      <xdr:col>8</xdr:col>
      <xdr:colOff>6350</xdr:colOff>
      <xdr:row>1177</xdr:row>
      <xdr:rowOff>25400</xdr:rowOff>
    </xdr:from>
    <xdr:to>
      <xdr:col>8</xdr:col>
      <xdr:colOff>885190</xdr:colOff>
      <xdr:row>1177</xdr:row>
      <xdr:rowOff>1209040</xdr:rowOff>
    </xdr:to>
    <xdr:pic>
      <xdr:nvPicPr>
        <xdr:cNvPr id="5097" name="Изображение 5096" descr="resizeПП-00227692"/>
        <xdr:cNvPicPr>
          <a:picLocks noChangeAspect="1"/>
        </xdr:cNvPicPr>
      </xdr:nvPicPr>
      <xdr:blipFill>
        <a:blip xmlns:r="http://schemas.openxmlformats.org/officeDocument/2006/relationships" r:embed="rId859"/>
        <a:stretch>
          <a:fillRect/>
        </a:stretch>
      </xdr:blipFill>
      <xdr:spPr>
        <a:xfrm>
          <a:off x="7264400" y="1133903625"/>
          <a:ext cx="878840" cy="1183640"/>
        </a:xfrm>
        <a:prstGeom prst="rect">
          <a:avLst/>
        </a:prstGeom>
      </xdr:spPr>
    </xdr:pic>
    <xdr:clientData/>
  </xdr:twoCellAnchor>
  <xdr:twoCellAnchor>
    <xdr:from>
      <xdr:col>8</xdr:col>
      <xdr:colOff>6350</xdr:colOff>
      <xdr:row>1178</xdr:row>
      <xdr:rowOff>25400</xdr:rowOff>
    </xdr:from>
    <xdr:to>
      <xdr:col>8</xdr:col>
      <xdr:colOff>885190</xdr:colOff>
      <xdr:row>1178</xdr:row>
      <xdr:rowOff>1209040</xdr:rowOff>
    </xdr:to>
    <xdr:pic>
      <xdr:nvPicPr>
        <xdr:cNvPr id="5098" name="Изображение 5097" descr="resizeПП-00227694"/>
        <xdr:cNvPicPr>
          <a:picLocks noChangeAspect="1"/>
        </xdr:cNvPicPr>
      </xdr:nvPicPr>
      <xdr:blipFill>
        <a:blip xmlns:r="http://schemas.openxmlformats.org/officeDocument/2006/relationships" r:embed="rId860"/>
        <a:stretch>
          <a:fillRect/>
        </a:stretch>
      </xdr:blipFill>
      <xdr:spPr>
        <a:xfrm>
          <a:off x="7264400" y="1135126000"/>
          <a:ext cx="878840" cy="1183640"/>
        </a:xfrm>
        <a:prstGeom prst="rect">
          <a:avLst/>
        </a:prstGeom>
      </xdr:spPr>
    </xdr:pic>
    <xdr:clientData/>
  </xdr:twoCellAnchor>
  <xdr:twoCellAnchor>
    <xdr:from>
      <xdr:col>8</xdr:col>
      <xdr:colOff>6350</xdr:colOff>
      <xdr:row>1179</xdr:row>
      <xdr:rowOff>25400</xdr:rowOff>
    </xdr:from>
    <xdr:to>
      <xdr:col>8</xdr:col>
      <xdr:colOff>885190</xdr:colOff>
      <xdr:row>1179</xdr:row>
      <xdr:rowOff>1209040</xdr:rowOff>
    </xdr:to>
    <xdr:pic>
      <xdr:nvPicPr>
        <xdr:cNvPr id="5099" name="Изображение 5098" descr="resizeПП-00227690"/>
        <xdr:cNvPicPr>
          <a:picLocks noChangeAspect="1"/>
        </xdr:cNvPicPr>
      </xdr:nvPicPr>
      <xdr:blipFill>
        <a:blip xmlns:r="http://schemas.openxmlformats.org/officeDocument/2006/relationships" r:embed="rId861"/>
        <a:stretch>
          <a:fillRect/>
        </a:stretch>
      </xdr:blipFill>
      <xdr:spPr>
        <a:xfrm>
          <a:off x="7264400" y="1136348375"/>
          <a:ext cx="878840" cy="1183640"/>
        </a:xfrm>
        <a:prstGeom prst="rect">
          <a:avLst/>
        </a:prstGeom>
      </xdr:spPr>
    </xdr:pic>
    <xdr:clientData/>
  </xdr:twoCellAnchor>
  <xdr:twoCellAnchor>
    <xdr:from>
      <xdr:col>8</xdr:col>
      <xdr:colOff>6350</xdr:colOff>
      <xdr:row>1180</xdr:row>
      <xdr:rowOff>25400</xdr:rowOff>
    </xdr:from>
    <xdr:to>
      <xdr:col>8</xdr:col>
      <xdr:colOff>885190</xdr:colOff>
      <xdr:row>1180</xdr:row>
      <xdr:rowOff>1209040</xdr:rowOff>
    </xdr:to>
    <xdr:pic>
      <xdr:nvPicPr>
        <xdr:cNvPr id="5100" name="Изображение 5099" descr="resizeПП-00227696"/>
        <xdr:cNvPicPr>
          <a:picLocks noChangeAspect="1"/>
        </xdr:cNvPicPr>
      </xdr:nvPicPr>
      <xdr:blipFill>
        <a:blip xmlns:r="http://schemas.openxmlformats.org/officeDocument/2006/relationships" r:embed="rId862"/>
        <a:stretch>
          <a:fillRect/>
        </a:stretch>
      </xdr:blipFill>
      <xdr:spPr>
        <a:xfrm>
          <a:off x="7264400" y="1137570750"/>
          <a:ext cx="878840" cy="1183640"/>
        </a:xfrm>
        <a:prstGeom prst="rect">
          <a:avLst/>
        </a:prstGeom>
      </xdr:spPr>
    </xdr:pic>
    <xdr:clientData/>
  </xdr:twoCellAnchor>
  <xdr:twoCellAnchor>
    <xdr:from>
      <xdr:col>8</xdr:col>
      <xdr:colOff>6350</xdr:colOff>
      <xdr:row>1181</xdr:row>
      <xdr:rowOff>25400</xdr:rowOff>
    </xdr:from>
    <xdr:to>
      <xdr:col>8</xdr:col>
      <xdr:colOff>885190</xdr:colOff>
      <xdr:row>1181</xdr:row>
      <xdr:rowOff>1209040</xdr:rowOff>
    </xdr:to>
    <xdr:pic>
      <xdr:nvPicPr>
        <xdr:cNvPr id="5101" name="Изображение 5100" descr="resizeПП-00246256"/>
        <xdr:cNvPicPr>
          <a:picLocks noChangeAspect="1"/>
        </xdr:cNvPicPr>
      </xdr:nvPicPr>
      <xdr:blipFill>
        <a:blip xmlns:r="http://schemas.openxmlformats.org/officeDocument/2006/relationships" r:embed="rId863"/>
        <a:stretch>
          <a:fillRect/>
        </a:stretch>
      </xdr:blipFill>
      <xdr:spPr>
        <a:xfrm>
          <a:off x="7264400" y="1138793125"/>
          <a:ext cx="878840" cy="1183640"/>
        </a:xfrm>
        <a:prstGeom prst="rect">
          <a:avLst/>
        </a:prstGeom>
      </xdr:spPr>
    </xdr:pic>
    <xdr:clientData/>
  </xdr:twoCellAnchor>
  <xdr:twoCellAnchor>
    <xdr:from>
      <xdr:col>8</xdr:col>
      <xdr:colOff>6350</xdr:colOff>
      <xdr:row>1183</xdr:row>
      <xdr:rowOff>25400</xdr:rowOff>
    </xdr:from>
    <xdr:to>
      <xdr:col>8</xdr:col>
      <xdr:colOff>885190</xdr:colOff>
      <xdr:row>1183</xdr:row>
      <xdr:rowOff>1209040</xdr:rowOff>
    </xdr:to>
    <xdr:pic>
      <xdr:nvPicPr>
        <xdr:cNvPr id="5102" name="Изображение 5101" descr="resizeПП-00270337"/>
        <xdr:cNvPicPr>
          <a:picLocks noChangeAspect="1"/>
        </xdr:cNvPicPr>
      </xdr:nvPicPr>
      <xdr:blipFill>
        <a:blip xmlns:r="http://schemas.openxmlformats.org/officeDocument/2006/relationships" r:embed="rId864"/>
        <a:stretch>
          <a:fillRect/>
        </a:stretch>
      </xdr:blipFill>
      <xdr:spPr>
        <a:xfrm>
          <a:off x="7264400" y="1140167900"/>
          <a:ext cx="878840" cy="1183640"/>
        </a:xfrm>
        <a:prstGeom prst="rect">
          <a:avLst/>
        </a:prstGeom>
      </xdr:spPr>
    </xdr:pic>
    <xdr:clientData/>
  </xdr:twoCellAnchor>
  <xdr:twoCellAnchor>
    <xdr:from>
      <xdr:col>8</xdr:col>
      <xdr:colOff>6350</xdr:colOff>
      <xdr:row>1185</xdr:row>
      <xdr:rowOff>25400</xdr:rowOff>
    </xdr:from>
    <xdr:to>
      <xdr:col>8</xdr:col>
      <xdr:colOff>885190</xdr:colOff>
      <xdr:row>1185</xdr:row>
      <xdr:rowOff>1209040</xdr:rowOff>
    </xdr:to>
    <xdr:pic>
      <xdr:nvPicPr>
        <xdr:cNvPr id="5103" name="Изображение 5102" descr="resizeПП-00204274"/>
        <xdr:cNvPicPr>
          <a:picLocks noChangeAspect="1"/>
        </xdr:cNvPicPr>
      </xdr:nvPicPr>
      <xdr:blipFill>
        <a:blip xmlns:r="http://schemas.openxmlformats.org/officeDocument/2006/relationships" r:embed="rId865"/>
        <a:stretch>
          <a:fillRect/>
        </a:stretch>
      </xdr:blipFill>
      <xdr:spPr>
        <a:xfrm>
          <a:off x="7264400" y="1141542675"/>
          <a:ext cx="878840" cy="1183640"/>
        </a:xfrm>
        <a:prstGeom prst="rect">
          <a:avLst/>
        </a:prstGeom>
      </xdr:spPr>
    </xdr:pic>
    <xdr:clientData/>
  </xdr:twoCellAnchor>
  <xdr:twoCellAnchor>
    <xdr:from>
      <xdr:col>8</xdr:col>
      <xdr:colOff>6350</xdr:colOff>
      <xdr:row>1186</xdr:row>
      <xdr:rowOff>25400</xdr:rowOff>
    </xdr:from>
    <xdr:to>
      <xdr:col>8</xdr:col>
      <xdr:colOff>885190</xdr:colOff>
      <xdr:row>1186</xdr:row>
      <xdr:rowOff>1209040</xdr:rowOff>
    </xdr:to>
    <xdr:pic>
      <xdr:nvPicPr>
        <xdr:cNvPr id="5104" name="Изображение 5103" descr="resizeПП-00204278"/>
        <xdr:cNvPicPr>
          <a:picLocks noChangeAspect="1"/>
        </xdr:cNvPicPr>
      </xdr:nvPicPr>
      <xdr:blipFill>
        <a:blip xmlns:r="http://schemas.openxmlformats.org/officeDocument/2006/relationships" r:embed="rId866"/>
        <a:stretch>
          <a:fillRect/>
        </a:stretch>
      </xdr:blipFill>
      <xdr:spPr>
        <a:xfrm>
          <a:off x="7264400" y="1142765050"/>
          <a:ext cx="878840" cy="1183640"/>
        </a:xfrm>
        <a:prstGeom prst="rect">
          <a:avLst/>
        </a:prstGeom>
      </xdr:spPr>
    </xdr:pic>
    <xdr:clientData/>
  </xdr:twoCellAnchor>
  <xdr:twoCellAnchor>
    <xdr:from>
      <xdr:col>8</xdr:col>
      <xdr:colOff>6350</xdr:colOff>
      <xdr:row>1187</xdr:row>
      <xdr:rowOff>25400</xdr:rowOff>
    </xdr:from>
    <xdr:to>
      <xdr:col>8</xdr:col>
      <xdr:colOff>885190</xdr:colOff>
      <xdr:row>1187</xdr:row>
      <xdr:rowOff>1209040</xdr:rowOff>
    </xdr:to>
    <xdr:pic>
      <xdr:nvPicPr>
        <xdr:cNvPr id="5105" name="Изображение 5104" descr="resizeПП-00204275"/>
        <xdr:cNvPicPr>
          <a:picLocks noChangeAspect="1"/>
        </xdr:cNvPicPr>
      </xdr:nvPicPr>
      <xdr:blipFill>
        <a:blip xmlns:r="http://schemas.openxmlformats.org/officeDocument/2006/relationships" r:embed="rId867"/>
        <a:stretch>
          <a:fillRect/>
        </a:stretch>
      </xdr:blipFill>
      <xdr:spPr>
        <a:xfrm>
          <a:off x="7264400" y="1143987425"/>
          <a:ext cx="878840" cy="1183640"/>
        </a:xfrm>
        <a:prstGeom prst="rect">
          <a:avLst/>
        </a:prstGeom>
      </xdr:spPr>
    </xdr:pic>
    <xdr:clientData/>
  </xdr:twoCellAnchor>
  <xdr:twoCellAnchor>
    <xdr:from>
      <xdr:col>8</xdr:col>
      <xdr:colOff>6350</xdr:colOff>
      <xdr:row>1189</xdr:row>
      <xdr:rowOff>25400</xdr:rowOff>
    </xdr:from>
    <xdr:to>
      <xdr:col>8</xdr:col>
      <xdr:colOff>885190</xdr:colOff>
      <xdr:row>1189</xdr:row>
      <xdr:rowOff>1209040</xdr:rowOff>
    </xdr:to>
    <xdr:pic>
      <xdr:nvPicPr>
        <xdr:cNvPr id="5106" name="Изображение 5105" descr="resizeПП-00227679"/>
        <xdr:cNvPicPr>
          <a:picLocks noChangeAspect="1"/>
        </xdr:cNvPicPr>
      </xdr:nvPicPr>
      <xdr:blipFill>
        <a:blip xmlns:r="http://schemas.openxmlformats.org/officeDocument/2006/relationships" r:embed="rId868"/>
        <a:stretch>
          <a:fillRect/>
        </a:stretch>
      </xdr:blipFill>
      <xdr:spPr>
        <a:xfrm>
          <a:off x="7264400" y="1145362200"/>
          <a:ext cx="878840" cy="1183640"/>
        </a:xfrm>
        <a:prstGeom prst="rect">
          <a:avLst/>
        </a:prstGeom>
      </xdr:spPr>
    </xdr:pic>
    <xdr:clientData/>
  </xdr:twoCellAnchor>
  <xdr:twoCellAnchor>
    <xdr:from>
      <xdr:col>8</xdr:col>
      <xdr:colOff>6350</xdr:colOff>
      <xdr:row>1190</xdr:row>
      <xdr:rowOff>25400</xdr:rowOff>
    </xdr:from>
    <xdr:to>
      <xdr:col>8</xdr:col>
      <xdr:colOff>885190</xdr:colOff>
      <xdr:row>1190</xdr:row>
      <xdr:rowOff>1209040</xdr:rowOff>
    </xdr:to>
    <xdr:pic>
      <xdr:nvPicPr>
        <xdr:cNvPr id="5107" name="Изображение 5106" descr="resizeПП-00227678"/>
        <xdr:cNvPicPr>
          <a:picLocks noChangeAspect="1"/>
        </xdr:cNvPicPr>
      </xdr:nvPicPr>
      <xdr:blipFill>
        <a:blip xmlns:r="http://schemas.openxmlformats.org/officeDocument/2006/relationships" r:embed="rId869"/>
        <a:stretch>
          <a:fillRect/>
        </a:stretch>
      </xdr:blipFill>
      <xdr:spPr>
        <a:xfrm>
          <a:off x="7264400" y="1146584575"/>
          <a:ext cx="878840" cy="1183640"/>
        </a:xfrm>
        <a:prstGeom prst="rect">
          <a:avLst/>
        </a:prstGeom>
      </xdr:spPr>
    </xdr:pic>
    <xdr:clientData/>
  </xdr:twoCellAnchor>
  <xdr:twoCellAnchor>
    <xdr:from>
      <xdr:col>8</xdr:col>
      <xdr:colOff>6350</xdr:colOff>
      <xdr:row>1191</xdr:row>
      <xdr:rowOff>25400</xdr:rowOff>
    </xdr:from>
    <xdr:to>
      <xdr:col>8</xdr:col>
      <xdr:colOff>885190</xdr:colOff>
      <xdr:row>1191</xdr:row>
      <xdr:rowOff>1209040</xdr:rowOff>
    </xdr:to>
    <xdr:pic>
      <xdr:nvPicPr>
        <xdr:cNvPr id="5108" name="Изображение 5107" descr="resizeПП-00227674"/>
        <xdr:cNvPicPr>
          <a:picLocks noChangeAspect="1"/>
        </xdr:cNvPicPr>
      </xdr:nvPicPr>
      <xdr:blipFill>
        <a:blip xmlns:r="http://schemas.openxmlformats.org/officeDocument/2006/relationships" r:embed="rId870"/>
        <a:stretch>
          <a:fillRect/>
        </a:stretch>
      </xdr:blipFill>
      <xdr:spPr>
        <a:xfrm>
          <a:off x="7264400" y="1147806950"/>
          <a:ext cx="878840" cy="1183640"/>
        </a:xfrm>
        <a:prstGeom prst="rect">
          <a:avLst/>
        </a:prstGeom>
      </xdr:spPr>
    </xdr:pic>
    <xdr:clientData/>
  </xdr:twoCellAnchor>
  <xdr:twoCellAnchor>
    <xdr:from>
      <xdr:col>8</xdr:col>
      <xdr:colOff>6350</xdr:colOff>
      <xdr:row>1192</xdr:row>
      <xdr:rowOff>25400</xdr:rowOff>
    </xdr:from>
    <xdr:to>
      <xdr:col>8</xdr:col>
      <xdr:colOff>885190</xdr:colOff>
      <xdr:row>1192</xdr:row>
      <xdr:rowOff>1209040</xdr:rowOff>
    </xdr:to>
    <xdr:pic>
      <xdr:nvPicPr>
        <xdr:cNvPr id="5109" name="Изображение 5108" descr="resizeПП-00227676"/>
        <xdr:cNvPicPr>
          <a:picLocks noChangeAspect="1"/>
        </xdr:cNvPicPr>
      </xdr:nvPicPr>
      <xdr:blipFill>
        <a:blip xmlns:r="http://schemas.openxmlformats.org/officeDocument/2006/relationships" r:embed="rId871"/>
        <a:stretch>
          <a:fillRect/>
        </a:stretch>
      </xdr:blipFill>
      <xdr:spPr>
        <a:xfrm>
          <a:off x="7264400" y="1149029325"/>
          <a:ext cx="878840" cy="1183640"/>
        </a:xfrm>
        <a:prstGeom prst="rect">
          <a:avLst/>
        </a:prstGeom>
      </xdr:spPr>
    </xdr:pic>
    <xdr:clientData/>
  </xdr:twoCellAnchor>
  <xdr:twoCellAnchor>
    <xdr:from>
      <xdr:col>8</xdr:col>
      <xdr:colOff>6350</xdr:colOff>
      <xdr:row>1193</xdr:row>
      <xdr:rowOff>25400</xdr:rowOff>
    </xdr:from>
    <xdr:to>
      <xdr:col>8</xdr:col>
      <xdr:colOff>885190</xdr:colOff>
      <xdr:row>1193</xdr:row>
      <xdr:rowOff>1209040</xdr:rowOff>
    </xdr:to>
    <xdr:pic>
      <xdr:nvPicPr>
        <xdr:cNvPr id="5110" name="Изображение 5109" descr="resizeПП-00246255"/>
        <xdr:cNvPicPr>
          <a:picLocks noChangeAspect="1"/>
        </xdr:cNvPicPr>
      </xdr:nvPicPr>
      <xdr:blipFill>
        <a:blip xmlns:r="http://schemas.openxmlformats.org/officeDocument/2006/relationships" r:embed="rId872"/>
        <a:stretch>
          <a:fillRect/>
        </a:stretch>
      </xdr:blipFill>
      <xdr:spPr>
        <a:xfrm>
          <a:off x="7264400" y="1150251700"/>
          <a:ext cx="878840" cy="1183640"/>
        </a:xfrm>
        <a:prstGeom prst="rect">
          <a:avLst/>
        </a:prstGeom>
      </xdr:spPr>
    </xdr:pic>
    <xdr:clientData/>
  </xdr:twoCellAnchor>
  <xdr:twoCellAnchor>
    <xdr:from>
      <xdr:col>8</xdr:col>
      <xdr:colOff>6350</xdr:colOff>
      <xdr:row>1195</xdr:row>
      <xdr:rowOff>25400</xdr:rowOff>
    </xdr:from>
    <xdr:to>
      <xdr:col>8</xdr:col>
      <xdr:colOff>885190</xdr:colOff>
      <xdr:row>1195</xdr:row>
      <xdr:rowOff>1209040</xdr:rowOff>
    </xdr:to>
    <xdr:pic>
      <xdr:nvPicPr>
        <xdr:cNvPr id="5111" name="Изображение 5110" descr="resizeПП-00227646"/>
        <xdr:cNvPicPr>
          <a:picLocks noChangeAspect="1"/>
        </xdr:cNvPicPr>
      </xdr:nvPicPr>
      <xdr:blipFill>
        <a:blip xmlns:r="http://schemas.openxmlformats.org/officeDocument/2006/relationships" r:embed="rId873"/>
        <a:stretch>
          <a:fillRect/>
        </a:stretch>
      </xdr:blipFill>
      <xdr:spPr>
        <a:xfrm>
          <a:off x="7264400" y="1151626475"/>
          <a:ext cx="878840" cy="1183640"/>
        </a:xfrm>
        <a:prstGeom prst="rect">
          <a:avLst/>
        </a:prstGeom>
      </xdr:spPr>
    </xdr:pic>
    <xdr:clientData/>
  </xdr:twoCellAnchor>
  <xdr:twoCellAnchor>
    <xdr:from>
      <xdr:col>8</xdr:col>
      <xdr:colOff>6350</xdr:colOff>
      <xdr:row>1196</xdr:row>
      <xdr:rowOff>25400</xdr:rowOff>
    </xdr:from>
    <xdr:to>
      <xdr:col>8</xdr:col>
      <xdr:colOff>885190</xdr:colOff>
      <xdr:row>1196</xdr:row>
      <xdr:rowOff>1209040</xdr:rowOff>
    </xdr:to>
    <xdr:pic>
      <xdr:nvPicPr>
        <xdr:cNvPr id="5112" name="Изображение 5111" descr="resizeПП-00230595"/>
        <xdr:cNvPicPr>
          <a:picLocks noChangeAspect="1"/>
        </xdr:cNvPicPr>
      </xdr:nvPicPr>
      <xdr:blipFill>
        <a:blip xmlns:r="http://schemas.openxmlformats.org/officeDocument/2006/relationships" r:embed="rId874"/>
        <a:stretch>
          <a:fillRect/>
        </a:stretch>
      </xdr:blipFill>
      <xdr:spPr>
        <a:xfrm>
          <a:off x="7264400" y="1152848850"/>
          <a:ext cx="878840" cy="1183640"/>
        </a:xfrm>
        <a:prstGeom prst="rect">
          <a:avLst/>
        </a:prstGeom>
      </xdr:spPr>
    </xdr:pic>
    <xdr:clientData/>
  </xdr:twoCellAnchor>
  <xdr:twoCellAnchor>
    <xdr:from>
      <xdr:col>8</xdr:col>
      <xdr:colOff>6350</xdr:colOff>
      <xdr:row>1197</xdr:row>
      <xdr:rowOff>25400</xdr:rowOff>
    </xdr:from>
    <xdr:to>
      <xdr:col>8</xdr:col>
      <xdr:colOff>885190</xdr:colOff>
      <xdr:row>1197</xdr:row>
      <xdr:rowOff>1209040</xdr:rowOff>
    </xdr:to>
    <xdr:pic>
      <xdr:nvPicPr>
        <xdr:cNvPr id="5113" name="Изображение 5112" descr="resizeПП-00227649"/>
        <xdr:cNvPicPr>
          <a:picLocks noChangeAspect="1"/>
        </xdr:cNvPicPr>
      </xdr:nvPicPr>
      <xdr:blipFill>
        <a:blip xmlns:r="http://schemas.openxmlformats.org/officeDocument/2006/relationships" r:embed="rId875"/>
        <a:stretch>
          <a:fillRect/>
        </a:stretch>
      </xdr:blipFill>
      <xdr:spPr>
        <a:xfrm>
          <a:off x="7264400" y="1154071225"/>
          <a:ext cx="878840" cy="1183640"/>
        </a:xfrm>
        <a:prstGeom prst="rect">
          <a:avLst/>
        </a:prstGeom>
      </xdr:spPr>
    </xdr:pic>
    <xdr:clientData/>
  </xdr:twoCellAnchor>
  <xdr:twoCellAnchor>
    <xdr:from>
      <xdr:col>8</xdr:col>
      <xdr:colOff>6350</xdr:colOff>
      <xdr:row>1199</xdr:row>
      <xdr:rowOff>25400</xdr:rowOff>
    </xdr:from>
    <xdr:to>
      <xdr:col>8</xdr:col>
      <xdr:colOff>885190</xdr:colOff>
      <xdr:row>1199</xdr:row>
      <xdr:rowOff>1209040</xdr:rowOff>
    </xdr:to>
    <xdr:pic>
      <xdr:nvPicPr>
        <xdr:cNvPr id="5114" name="Изображение 5113" descr="resizeПП-00230599"/>
        <xdr:cNvPicPr>
          <a:picLocks noChangeAspect="1"/>
        </xdr:cNvPicPr>
      </xdr:nvPicPr>
      <xdr:blipFill>
        <a:blip xmlns:r="http://schemas.openxmlformats.org/officeDocument/2006/relationships" r:embed="rId876"/>
        <a:stretch>
          <a:fillRect/>
        </a:stretch>
      </xdr:blipFill>
      <xdr:spPr>
        <a:xfrm>
          <a:off x="7264400" y="1155446000"/>
          <a:ext cx="878840" cy="1183640"/>
        </a:xfrm>
        <a:prstGeom prst="rect">
          <a:avLst/>
        </a:prstGeom>
      </xdr:spPr>
    </xdr:pic>
    <xdr:clientData/>
  </xdr:twoCellAnchor>
  <xdr:twoCellAnchor>
    <xdr:from>
      <xdr:col>8</xdr:col>
      <xdr:colOff>6350</xdr:colOff>
      <xdr:row>1200</xdr:row>
      <xdr:rowOff>25400</xdr:rowOff>
    </xdr:from>
    <xdr:to>
      <xdr:col>8</xdr:col>
      <xdr:colOff>885190</xdr:colOff>
      <xdr:row>1200</xdr:row>
      <xdr:rowOff>1209040</xdr:rowOff>
    </xdr:to>
    <xdr:pic>
      <xdr:nvPicPr>
        <xdr:cNvPr id="5115" name="Изображение 5114" descr="resizeПП-00230597"/>
        <xdr:cNvPicPr>
          <a:picLocks noChangeAspect="1"/>
        </xdr:cNvPicPr>
      </xdr:nvPicPr>
      <xdr:blipFill>
        <a:blip xmlns:r="http://schemas.openxmlformats.org/officeDocument/2006/relationships" r:embed="rId877"/>
        <a:stretch>
          <a:fillRect/>
        </a:stretch>
      </xdr:blipFill>
      <xdr:spPr>
        <a:xfrm>
          <a:off x="7264400" y="1156668375"/>
          <a:ext cx="878840" cy="1183640"/>
        </a:xfrm>
        <a:prstGeom prst="rect">
          <a:avLst/>
        </a:prstGeom>
      </xdr:spPr>
    </xdr:pic>
    <xdr:clientData/>
  </xdr:twoCellAnchor>
  <xdr:twoCellAnchor>
    <xdr:from>
      <xdr:col>8</xdr:col>
      <xdr:colOff>6350</xdr:colOff>
      <xdr:row>1201</xdr:row>
      <xdr:rowOff>25400</xdr:rowOff>
    </xdr:from>
    <xdr:to>
      <xdr:col>8</xdr:col>
      <xdr:colOff>885190</xdr:colOff>
      <xdr:row>1201</xdr:row>
      <xdr:rowOff>1209040</xdr:rowOff>
    </xdr:to>
    <xdr:pic>
      <xdr:nvPicPr>
        <xdr:cNvPr id="5116" name="Изображение 5115" descr="resizeПП-00230598"/>
        <xdr:cNvPicPr>
          <a:picLocks noChangeAspect="1"/>
        </xdr:cNvPicPr>
      </xdr:nvPicPr>
      <xdr:blipFill>
        <a:blip xmlns:r="http://schemas.openxmlformats.org/officeDocument/2006/relationships" r:embed="rId878"/>
        <a:stretch>
          <a:fillRect/>
        </a:stretch>
      </xdr:blipFill>
      <xdr:spPr>
        <a:xfrm>
          <a:off x="7264400" y="1157890750"/>
          <a:ext cx="878840" cy="1183640"/>
        </a:xfrm>
        <a:prstGeom prst="rect">
          <a:avLst/>
        </a:prstGeom>
      </xdr:spPr>
    </xdr:pic>
    <xdr:clientData/>
  </xdr:twoCellAnchor>
  <xdr:twoCellAnchor>
    <xdr:from>
      <xdr:col>8</xdr:col>
      <xdr:colOff>6350</xdr:colOff>
      <xdr:row>1203</xdr:row>
      <xdr:rowOff>25400</xdr:rowOff>
    </xdr:from>
    <xdr:to>
      <xdr:col>8</xdr:col>
      <xdr:colOff>885190</xdr:colOff>
      <xdr:row>1203</xdr:row>
      <xdr:rowOff>1209040</xdr:rowOff>
    </xdr:to>
    <xdr:pic>
      <xdr:nvPicPr>
        <xdr:cNvPr id="5117" name="Изображение 5116" descr="resizeПП-00227671"/>
        <xdr:cNvPicPr>
          <a:picLocks noChangeAspect="1"/>
        </xdr:cNvPicPr>
      </xdr:nvPicPr>
      <xdr:blipFill>
        <a:blip xmlns:r="http://schemas.openxmlformats.org/officeDocument/2006/relationships" r:embed="rId879"/>
        <a:stretch>
          <a:fillRect/>
        </a:stretch>
      </xdr:blipFill>
      <xdr:spPr>
        <a:xfrm>
          <a:off x="7264400" y="1159265525"/>
          <a:ext cx="878840" cy="1183640"/>
        </a:xfrm>
        <a:prstGeom prst="rect">
          <a:avLst/>
        </a:prstGeom>
      </xdr:spPr>
    </xdr:pic>
    <xdr:clientData/>
  </xdr:twoCellAnchor>
  <xdr:twoCellAnchor>
    <xdr:from>
      <xdr:col>8</xdr:col>
      <xdr:colOff>6350</xdr:colOff>
      <xdr:row>1204</xdr:row>
      <xdr:rowOff>25400</xdr:rowOff>
    </xdr:from>
    <xdr:to>
      <xdr:col>8</xdr:col>
      <xdr:colOff>885190</xdr:colOff>
      <xdr:row>1204</xdr:row>
      <xdr:rowOff>1209040</xdr:rowOff>
    </xdr:to>
    <xdr:pic>
      <xdr:nvPicPr>
        <xdr:cNvPr id="5118" name="Изображение 5117" descr="resizeПП-00227672"/>
        <xdr:cNvPicPr>
          <a:picLocks noChangeAspect="1"/>
        </xdr:cNvPicPr>
      </xdr:nvPicPr>
      <xdr:blipFill>
        <a:blip xmlns:r="http://schemas.openxmlformats.org/officeDocument/2006/relationships" r:embed="rId880"/>
        <a:stretch>
          <a:fillRect/>
        </a:stretch>
      </xdr:blipFill>
      <xdr:spPr>
        <a:xfrm>
          <a:off x="7264400" y="1160487900"/>
          <a:ext cx="878840" cy="1183640"/>
        </a:xfrm>
        <a:prstGeom prst="rect">
          <a:avLst/>
        </a:prstGeom>
      </xdr:spPr>
    </xdr:pic>
    <xdr:clientData/>
  </xdr:twoCellAnchor>
  <xdr:twoCellAnchor>
    <xdr:from>
      <xdr:col>8</xdr:col>
      <xdr:colOff>6350</xdr:colOff>
      <xdr:row>1205</xdr:row>
      <xdr:rowOff>25400</xdr:rowOff>
    </xdr:from>
    <xdr:to>
      <xdr:col>8</xdr:col>
      <xdr:colOff>885190</xdr:colOff>
      <xdr:row>1205</xdr:row>
      <xdr:rowOff>1209040</xdr:rowOff>
    </xdr:to>
    <xdr:pic>
      <xdr:nvPicPr>
        <xdr:cNvPr id="5119" name="Изображение 5118" descr="resizeПП-00227673"/>
        <xdr:cNvPicPr>
          <a:picLocks noChangeAspect="1"/>
        </xdr:cNvPicPr>
      </xdr:nvPicPr>
      <xdr:blipFill>
        <a:blip xmlns:r="http://schemas.openxmlformats.org/officeDocument/2006/relationships" r:embed="rId881"/>
        <a:stretch>
          <a:fillRect/>
        </a:stretch>
      </xdr:blipFill>
      <xdr:spPr>
        <a:xfrm>
          <a:off x="7264400" y="1161710275"/>
          <a:ext cx="878840" cy="1183640"/>
        </a:xfrm>
        <a:prstGeom prst="rect">
          <a:avLst/>
        </a:prstGeom>
      </xdr:spPr>
    </xdr:pic>
    <xdr:clientData/>
  </xdr:twoCellAnchor>
  <xdr:twoCellAnchor>
    <xdr:from>
      <xdr:col>8</xdr:col>
      <xdr:colOff>6350</xdr:colOff>
      <xdr:row>1206</xdr:row>
      <xdr:rowOff>25400</xdr:rowOff>
    </xdr:from>
    <xdr:to>
      <xdr:col>8</xdr:col>
      <xdr:colOff>885190</xdr:colOff>
      <xdr:row>1206</xdr:row>
      <xdr:rowOff>1209040</xdr:rowOff>
    </xdr:to>
    <xdr:pic>
      <xdr:nvPicPr>
        <xdr:cNvPr id="5120" name="Изображение 5119" descr="resizeПП-00227669"/>
        <xdr:cNvPicPr>
          <a:picLocks noChangeAspect="1"/>
        </xdr:cNvPicPr>
      </xdr:nvPicPr>
      <xdr:blipFill>
        <a:blip xmlns:r="http://schemas.openxmlformats.org/officeDocument/2006/relationships" r:embed="rId882"/>
        <a:stretch>
          <a:fillRect/>
        </a:stretch>
      </xdr:blipFill>
      <xdr:spPr>
        <a:xfrm>
          <a:off x="7264400" y="1162932650"/>
          <a:ext cx="878840" cy="1183640"/>
        </a:xfrm>
        <a:prstGeom prst="rect">
          <a:avLst/>
        </a:prstGeom>
      </xdr:spPr>
    </xdr:pic>
    <xdr:clientData/>
  </xdr:twoCellAnchor>
  <xdr:twoCellAnchor>
    <xdr:from>
      <xdr:col>8</xdr:col>
      <xdr:colOff>6350</xdr:colOff>
      <xdr:row>1207</xdr:row>
      <xdr:rowOff>25400</xdr:rowOff>
    </xdr:from>
    <xdr:to>
      <xdr:col>8</xdr:col>
      <xdr:colOff>885190</xdr:colOff>
      <xdr:row>1207</xdr:row>
      <xdr:rowOff>1209040</xdr:rowOff>
    </xdr:to>
    <xdr:pic>
      <xdr:nvPicPr>
        <xdr:cNvPr id="5121" name="Изображение 5120" descr="resizeПП-00246254"/>
        <xdr:cNvPicPr>
          <a:picLocks noChangeAspect="1"/>
        </xdr:cNvPicPr>
      </xdr:nvPicPr>
      <xdr:blipFill>
        <a:blip xmlns:r="http://schemas.openxmlformats.org/officeDocument/2006/relationships" r:embed="rId883"/>
        <a:stretch>
          <a:fillRect/>
        </a:stretch>
      </xdr:blipFill>
      <xdr:spPr>
        <a:xfrm>
          <a:off x="7264400" y="1164155025"/>
          <a:ext cx="878840" cy="1183640"/>
        </a:xfrm>
        <a:prstGeom prst="rect">
          <a:avLst/>
        </a:prstGeom>
      </xdr:spPr>
    </xdr:pic>
    <xdr:clientData/>
  </xdr:twoCellAnchor>
  <xdr:twoCellAnchor>
    <xdr:from>
      <xdr:col>8</xdr:col>
      <xdr:colOff>6350</xdr:colOff>
      <xdr:row>1209</xdr:row>
      <xdr:rowOff>25400</xdr:rowOff>
    </xdr:from>
    <xdr:to>
      <xdr:col>8</xdr:col>
      <xdr:colOff>885190</xdr:colOff>
      <xdr:row>1209</xdr:row>
      <xdr:rowOff>1209040</xdr:rowOff>
    </xdr:to>
    <xdr:pic>
      <xdr:nvPicPr>
        <xdr:cNvPr id="5122" name="Изображение 5121" descr="resizeПП-00227689"/>
        <xdr:cNvPicPr>
          <a:picLocks noChangeAspect="1"/>
        </xdr:cNvPicPr>
      </xdr:nvPicPr>
      <xdr:blipFill>
        <a:blip xmlns:r="http://schemas.openxmlformats.org/officeDocument/2006/relationships" r:embed="rId884"/>
        <a:stretch>
          <a:fillRect/>
        </a:stretch>
      </xdr:blipFill>
      <xdr:spPr>
        <a:xfrm>
          <a:off x="7264400" y="1165529800"/>
          <a:ext cx="878840" cy="1183640"/>
        </a:xfrm>
        <a:prstGeom prst="rect">
          <a:avLst/>
        </a:prstGeom>
      </xdr:spPr>
    </xdr:pic>
    <xdr:clientData/>
  </xdr:twoCellAnchor>
  <xdr:twoCellAnchor>
    <xdr:from>
      <xdr:col>8</xdr:col>
      <xdr:colOff>6350</xdr:colOff>
      <xdr:row>1210</xdr:row>
      <xdr:rowOff>25400</xdr:rowOff>
    </xdr:from>
    <xdr:to>
      <xdr:col>8</xdr:col>
      <xdr:colOff>885190</xdr:colOff>
      <xdr:row>1210</xdr:row>
      <xdr:rowOff>1209040</xdr:rowOff>
    </xdr:to>
    <xdr:pic>
      <xdr:nvPicPr>
        <xdr:cNvPr id="5123" name="Изображение 5122" descr="resizeПП-00227686"/>
        <xdr:cNvPicPr>
          <a:picLocks noChangeAspect="1"/>
        </xdr:cNvPicPr>
      </xdr:nvPicPr>
      <xdr:blipFill>
        <a:blip xmlns:r="http://schemas.openxmlformats.org/officeDocument/2006/relationships" r:embed="rId885"/>
        <a:stretch>
          <a:fillRect/>
        </a:stretch>
      </xdr:blipFill>
      <xdr:spPr>
        <a:xfrm>
          <a:off x="7264400" y="1166752175"/>
          <a:ext cx="878840" cy="1183640"/>
        </a:xfrm>
        <a:prstGeom prst="rect">
          <a:avLst/>
        </a:prstGeom>
      </xdr:spPr>
    </xdr:pic>
    <xdr:clientData/>
  </xdr:twoCellAnchor>
  <xdr:twoCellAnchor>
    <xdr:from>
      <xdr:col>8</xdr:col>
      <xdr:colOff>6350</xdr:colOff>
      <xdr:row>1211</xdr:row>
      <xdr:rowOff>25400</xdr:rowOff>
    </xdr:from>
    <xdr:to>
      <xdr:col>8</xdr:col>
      <xdr:colOff>885190</xdr:colOff>
      <xdr:row>1211</xdr:row>
      <xdr:rowOff>1209040</xdr:rowOff>
    </xdr:to>
    <xdr:pic>
      <xdr:nvPicPr>
        <xdr:cNvPr id="5124" name="Изображение 5123" descr="resizeПП-00227688"/>
        <xdr:cNvPicPr>
          <a:picLocks noChangeAspect="1"/>
        </xdr:cNvPicPr>
      </xdr:nvPicPr>
      <xdr:blipFill>
        <a:blip xmlns:r="http://schemas.openxmlformats.org/officeDocument/2006/relationships" r:embed="rId886"/>
        <a:stretch>
          <a:fillRect/>
        </a:stretch>
      </xdr:blipFill>
      <xdr:spPr>
        <a:xfrm>
          <a:off x="7264400" y="1167974550"/>
          <a:ext cx="878840" cy="1183640"/>
        </a:xfrm>
        <a:prstGeom prst="rect">
          <a:avLst/>
        </a:prstGeom>
      </xdr:spPr>
    </xdr:pic>
    <xdr:clientData/>
  </xdr:twoCellAnchor>
  <xdr:twoCellAnchor>
    <xdr:from>
      <xdr:col>8</xdr:col>
      <xdr:colOff>6350</xdr:colOff>
      <xdr:row>1212</xdr:row>
      <xdr:rowOff>25400</xdr:rowOff>
    </xdr:from>
    <xdr:to>
      <xdr:col>8</xdr:col>
      <xdr:colOff>885190</xdr:colOff>
      <xdr:row>1212</xdr:row>
      <xdr:rowOff>1209040</xdr:rowOff>
    </xdr:to>
    <xdr:pic>
      <xdr:nvPicPr>
        <xdr:cNvPr id="5125" name="Изображение 5124" descr="resizeПП-00227687"/>
        <xdr:cNvPicPr>
          <a:picLocks noChangeAspect="1"/>
        </xdr:cNvPicPr>
      </xdr:nvPicPr>
      <xdr:blipFill>
        <a:blip xmlns:r="http://schemas.openxmlformats.org/officeDocument/2006/relationships" r:embed="rId887"/>
        <a:stretch>
          <a:fillRect/>
        </a:stretch>
      </xdr:blipFill>
      <xdr:spPr>
        <a:xfrm>
          <a:off x="7264400" y="1169196925"/>
          <a:ext cx="878840" cy="1183640"/>
        </a:xfrm>
        <a:prstGeom prst="rect">
          <a:avLst/>
        </a:prstGeom>
      </xdr:spPr>
    </xdr:pic>
    <xdr:clientData/>
  </xdr:twoCellAnchor>
  <xdr:twoCellAnchor>
    <xdr:from>
      <xdr:col>8</xdr:col>
      <xdr:colOff>6350</xdr:colOff>
      <xdr:row>1214</xdr:row>
      <xdr:rowOff>25400</xdr:rowOff>
    </xdr:from>
    <xdr:to>
      <xdr:col>8</xdr:col>
      <xdr:colOff>885190</xdr:colOff>
      <xdr:row>1214</xdr:row>
      <xdr:rowOff>1209040</xdr:rowOff>
    </xdr:to>
    <xdr:pic>
      <xdr:nvPicPr>
        <xdr:cNvPr id="5126" name="Изображение 5125" descr="resizeПП-00227652"/>
        <xdr:cNvPicPr>
          <a:picLocks noChangeAspect="1"/>
        </xdr:cNvPicPr>
      </xdr:nvPicPr>
      <xdr:blipFill>
        <a:blip xmlns:r="http://schemas.openxmlformats.org/officeDocument/2006/relationships" r:embed="rId888"/>
        <a:stretch>
          <a:fillRect/>
        </a:stretch>
      </xdr:blipFill>
      <xdr:spPr>
        <a:xfrm>
          <a:off x="7264400" y="1170571700"/>
          <a:ext cx="878840" cy="1183640"/>
        </a:xfrm>
        <a:prstGeom prst="rect">
          <a:avLst/>
        </a:prstGeom>
      </xdr:spPr>
    </xdr:pic>
    <xdr:clientData/>
  </xdr:twoCellAnchor>
  <xdr:twoCellAnchor>
    <xdr:from>
      <xdr:col>8</xdr:col>
      <xdr:colOff>6350</xdr:colOff>
      <xdr:row>1215</xdr:row>
      <xdr:rowOff>25400</xdr:rowOff>
    </xdr:from>
    <xdr:to>
      <xdr:col>8</xdr:col>
      <xdr:colOff>885190</xdr:colOff>
      <xdr:row>1215</xdr:row>
      <xdr:rowOff>1209040</xdr:rowOff>
    </xdr:to>
    <xdr:pic>
      <xdr:nvPicPr>
        <xdr:cNvPr id="5127" name="Изображение 5126" descr="resizeПП-00227653"/>
        <xdr:cNvPicPr>
          <a:picLocks noChangeAspect="1"/>
        </xdr:cNvPicPr>
      </xdr:nvPicPr>
      <xdr:blipFill>
        <a:blip xmlns:r="http://schemas.openxmlformats.org/officeDocument/2006/relationships" r:embed="rId889"/>
        <a:stretch>
          <a:fillRect/>
        </a:stretch>
      </xdr:blipFill>
      <xdr:spPr>
        <a:xfrm>
          <a:off x="7264400" y="1171794075"/>
          <a:ext cx="878840" cy="1183640"/>
        </a:xfrm>
        <a:prstGeom prst="rect">
          <a:avLst/>
        </a:prstGeom>
      </xdr:spPr>
    </xdr:pic>
    <xdr:clientData/>
  </xdr:twoCellAnchor>
  <xdr:twoCellAnchor>
    <xdr:from>
      <xdr:col>8</xdr:col>
      <xdr:colOff>6350</xdr:colOff>
      <xdr:row>1216</xdr:row>
      <xdr:rowOff>25400</xdr:rowOff>
    </xdr:from>
    <xdr:to>
      <xdr:col>8</xdr:col>
      <xdr:colOff>885190</xdr:colOff>
      <xdr:row>1216</xdr:row>
      <xdr:rowOff>1209040</xdr:rowOff>
    </xdr:to>
    <xdr:pic>
      <xdr:nvPicPr>
        <xdr:cNvPr id="5128" name="Изображение 5127" descr="resizeПП-00227651"/>
        <xdr:cNvPicPr>
          <a:picLocks noChangeAspect="1"/>
        </xdr:cNvPicPr>
      </xdr:nvPicPr>
      <xdr:blipFill>
        <a:blip xmlns:r="http://schemas.openxmlformats.org/officeDocument/2006/relationships" r:embed="rId890"/>
        <a:stretch>
          <a:fillRect/>
        </a:stretch>
      </xdr:blipFill>
      <xdr:spPr>
        <a:xfrm>
          <a:off x="7264400" y="1173016450"/>
          <a:ext cx="878840" cy="1183640"/>
        </a:xfrm>
        <a:prstGeom prst="rect">
          <a:avLst/>
        </a:prstGeom>
      </xdr:spPr>
    </xdr:pic>
    <xdr:clientData/>
  </xdr:twoCellAnchor>
  <xdr:twoCellAnchor>
    <xdr:from>
      <xdr:col>8</xdr:col>
      <xdr:colOff>6350</xdr:colOff>
      <xdr:row>1217</xdr:row>
      <xdr:rowOff>25400</xdr:rowOff>
    </xdr:from>
    <xdr:to>
      <xdr:col>8</xdr:col>
      <xdr:colOff>885190</xdr:colOff>
      <xdr:row>1217</xdr:row>
      <xdr:rowOff>1209040</xdr:rowOff>
    </xdr:to>
    <xdr:pic>
      <xdr:nvPicPr>
        <xdr:cNvPr id="5129" name="Изображение 5128" descr="resizeПП-00227757"/>
        <xdr:cNvPicPr>
          <a:picLocks noChangeAspect="1"/>
        </xdr:cNvPicPr>
      </xdr:nvPicPr>
      <xdr:blipFill>
        <a:blip xmlns:r="http://schemas.openxmlformats.org/officeDocument/2006/relationships" r:embed="rId891"/>
        <a:stretch>
          <a:fillRect/>
        </a:stretch>
      </xdr:blipFill>
      <xdr:spPr>
        <a:xfrm>
          <a:off x="7264400" y="1174238825"/>
          <a:ext cx="878840" cy="1183640"/>
        </a:xfrm>
        <a:prstGeom prst="rect">
          <a:avLst/>
        </a:prstGeom>
      </xdr:spPr>
    </xdr:pic>
    <xdr:clientData/>
  </xdr:twoCellAnchor>
  <xdr:twoCellAnchor>
    <xdr:from>
      <xdr:col>8</xdr:col>
      <xdr:colOff>6350</xdr:colOff>
      <xdr:row>1218</xdr:row>
      <xdr:rowOff>25400</xdr:rowOff>
    </xdr:from>
    <xdr:to>
      <xdr:col>8</xdr:col>
      <xdr:colOff>885190</xdr:colOff>
      <xdr:row>1218</xdr:row>
      <xdr:rowOff>1209040</xdr:rowOff>
    </xdr:to>
    <xdr:pic>
      <xdr:nvPicPr>
        <xdr:cNvPr id="5130" name="Изображение 5129" descr="resizeПП-00246253"/>
        <xdr:cNvPicPr>
          <a:picLocks noChangeAspect="1"/>
        </xdr:cNvPicPr>
      </xdr:nvPicPr>
      <xdr:blipFill>
        <a:blip xmlns:r="http://schemas.openxmlformats.org/officeDocument/2006/relationships" r:embed="rId892"/>
        <a:stretch>
          <a:fillRect/>
        </a:stretch>
      </xdr:blipFill>
      <xdr:spPr>
        <a:xfrm>
          <a:off x="7264400" y="1175461200"/>
          <a:ext cx="878840" cy="1183640"/>
        </a:xfrm>
        <a:prstGeom prst="rect">
          <a:avLst/>
        </a:prstGeom>
      </xdr:spPr>
    </xdr:pic>
    <xdr:clientData/>
  </xdr:twoCellAnchor>
  <xdr:twoCellAnchor>
    <xdr:from>
      <xdr:col>8</xdr:col>
      <xdr:colOff>6350</xdr:colOff>
      <xdr:row>1220</xdr:row>
      <xdr:rowOff>25400</xdr:rowOff>
    </xdr:from>
    <xdr:to>
      <xdr:col>8</xdr:col>
      <xdr:colOff>885190</xdr:colOff>
      <xdr:row>1220</xdr:row>
      <xdr:rowOff>1209040</xdr:rowOff>
    </xdr:to>
    <xdr:pic>
      <xdr:nvPicPr>
        <xdr:cNvPr id="5131" name="Изображение 5130" descr="resizeПП-00204273"/>
        <xdr:cNvPicPr>
          <a:picLocks noChangeAspect="1"/>
        </xdr:cNvPicPr>
      </xdr:nvPicPr>
      <xdr:blipFill>
        <a:blip xmlns:r="http://schemas.openxmlformats.org/officeDocument/2006/relationships" r:embed="rId893"/>
        <a:stretch>
          <a:fillRect/>
        </a:stretch>
      </xdr:blipFill>
      <xdr:spPr>
        <a:xfrm>
          <a:off x="7264400" y="1176835975"/>
          <a:ext cx="878840" cy="1183640"/>
        </a:xfrm>
        <a:prstGeom prst="rect">
          <a:avLst/>
        </a:prstGeom>
      </xdr:spPr>
    </xdr:pic>
    <xdr:clientData/>
  </xdr:twoCellAnchor>
  <xdr:twoCellAnchor>
    <xdr:from>
      <xdr:col>8</xdr:col>
      <xdr:colOff>6350</xdr:colOff>
      <xdr:row>1221</xdr:row>
      <xdr:rowOff>25400</xdr:rowOff>
    </xdr:from>
    <xdr:to>
      <xdr:col>8</xdr:col>
      <xdr:colOff>885190</xdr:colOff>
      <xdr:row>1221</xdr:row>
      <xdr:rowOff>1209040</xdr:rowOff>
    </xdr:to>
    <xdr:pic>
      <xdr:nvPicPr>
        <xdr:cNvPr id="5132" name="Изображение 5131" descr="resizeПП-00204272"/>
        <xdr:cNvPicPr>
          <a:picLocks noChangeAspect="1"/>
        </xdr:cNvPicPr>
      </xdr:nvPicPr>
      <xdr:blipFill>
        <a:blip xmlns:r="http://schemas.openxmlformats.org/officeDocument/2006/relationships" r:embed="rId894"/>
        <a:stretch>
          <a:fillRect/>
        </a:stretch>
      </xdr:blipFill>
      <xdr:spPr>
        <a:xfrm>
          <a:off x="7264400" y="1178058350"/>
          <a:ext cx="878840" cy="1183640"/>
        </a:xfrm>
        <a:prstGeom prst="rect">
          <a:avLst/>
        </a:prstGeom>
      </xdr:spPr>
    </xdr:pic>
    <xdr:clientData/>
  </xdr:twoCellAnchor>
  <xdr:twoCellAnchor>
    <xdr:from>
      <xdr:col>8</xdr:col>
      <xdr:colOff>6350</xdr:colOff>
      <xdr:row>1222</xdr:row>
      <xdr:rowOff>25400</xdr:rowOff>
    </xdr:from>
    <xdr:to>
      <xdr:col>8</xdr:col>
      <xdr:colOff>885190</xdr:colOff>
      <xdr:row>1222</xdr:row>
      <xdr:rowOff>1209040</xdr:rowOff>
    </xdr:to>
    <xdr:pic>
      <xdr:nvPicPr>
        <xdr:cNvPr id="5133" name="Изображение 5132" descr="resizeПП-00204269"/>
        <xdr:cNvPicPr>
          <a:picLocks noChangeAspect="1"/>
        </xdr:cNvPicPr>
      </xdr:nvPicPr>
      <xdr:blipFill>
        <a:blip xmlns:r="http://schemas.openxmlformats.org/officeDocument/2006/relationships" r:embed="rId895"/>
        <a:stretch>
          <a:fillRect/>
        </a:stretch>
      </xdr:blipFill>
      <xdr:spPr>
        <a:xfrm>
          <a:off x="7264400" y="1179280725"/>
          <a:ext cx="878840" cy="1183640"/>
        </a:xfrm>
        <a:prstGeom prst="rect">
          <a:avLst/>
        </a:prstGeom>
      </xdr:spPr>
    </xdr:pic>
    <xdr:clientData/>
  </xdr:twoCellAnchor>
  <xdr:twoCellAnchor>
    <xdr:from>
      <xdr:col>8</xdr:col>
      <xdr:colOff>6350</xdr:colOff>
      <xdr:row>1223</xdr:row>
      <xdr:rowOff>25400</xdr:rowOff>
    </xdr:from>
    <xdr:to>
      <xdr:col>8</xdr:col>
      <xdr:colOff>885190</xdr:colOff>
      <xdr:row>1223</xdr:row>
      <xdr:rowOff>1209040</xdr:rowOff>
    </xdr:to>
    <xdr:pic>
      <xdr:nvPicPr>
        <xdr:cNvPr id="5134" name="Изображение 5133" descr="resizeПП-00204270"/>
        <xdr:cNvPicPr>
          <a:picLocks noChangeAspect="1"/>
        </xdr:cNvPicPr>
      </xdr:nvPicPr>
      <xdr:blipFill>
        <a:blip xmlns:r="http://schemas.openxmlformats.org/officeDocument/2006/relationships" r:embed="rId896"/>
        <a:stretch>
          <a:fillRect/>
        </a:stretch>
      </xdr:blipFill>
      <xdr:spPr>
        <a:xfrm>
          <a:off x="7264400" y="1180503100"/>
          <a:ext cx="878840" cy="1183640"/>
        </a:xfrm>
        <a:prstGeom prst="rect">
          <a:avLst/>
        </a:prstGeom>
      </xdr:spPr>
    </xdr:pic>
    <xdr:clientData/>
  </xdr:twoCellAnchor>
  <xdr:twoCellAnchor>
    <xdr:from>
      <xdr:col>8</xdr:col>
      <xdr:colOff>6350</xdr:colOff>
      <xdr:row>1225</xdr:row>
      <xdr:rowOff>25400</xdr:rowOff>
    </xdr:from>
    <xdr:to>
      <xdr:col>8</xdr:col>
      <xdr:colOff>885190</xdr:colOff>
      <xdr:row>1225</xdr:row>
      <xdr:rowOff>1209040</xdr:rowOff>
    </xdr:to>
    <xdr:pic>
      <xdr:nvPicPr>
        <xdr:cNvPr id="5135" name="Изображение 5134" descr="resizeПП-00227683"/>
        <xdr:cNvPicPr>
          <a:picLocks noChangeAspect="1"/>
        </xdr:cNvPicPr>
      </xdr:nvPicPr>
      <xdr:blipFill>
        <a:blip xmlns:r="http://schemas.openxmlformats.org/officeDocument/2006/relationships" r:embed="rId897"/>
        <a:stretch>
          <a:fillRect/>
        </a:stretch>
      </xdr:blipFill>
      <xdr:spPr>
        <a:xfrm>
          <a:off x="7264400" y="1181877875"/>
          <a:ext cx="878840" cy="1183640"/>
        </a:xfrm>
        <a:prstGeom prst="rect">
          <a:avLst/>
        </a:prstGeom>
      </xdr:spPr>
    </xdr:pic>
    <xdr:clientData/>
  </xdr:twoCellAnchor>
  <xdr:twoCellAnchor>
    <xdr:from>
      <xdr:col>8</xdr:col>
      <xdr:colOff>6350</xdr:colOff>
      <xdr:row>1226</xdr:row>
      <xdr:rowOff>25400</xdr:rowOff>
    </xdr:from>
    <xdr:to>
      <xdr:col>8</xdr:col>
      <xdr:colOff>885190</xdr:colOff>
      <xdr:row>1226</xdr:row>
      <xdr:rowOff>1209040</xdr:rowOff>
    </xdr:to>
    <xdr:pic>
      <xdr:nvPicPr>
        <xdr:cNvPr id="5136" name="Изображение 5135" descr="resizeПП-00227681"/>
        <xdr:cNvPicPr>
          <a:picLocks noChangeAspect="1"/>
        </xdr:cNvPicPr>
      </xdr:nvPicPr>
      <xdr:blipFill>
        <a:blip xmlns:r="http://schemas.openxmlformats.org/officeDocument/2006/relationships" r:embed="rId898"/>
        <a:stretch>
          <a:fillRect/>
        </a:stretch>
      </xdr:blipFill>
      <xdr:spPr>
        <a:xfrm>
          <a:off x="7264400" y="1183100250"/>
          <a:ext cx="878840" cy="1183640"/>
        </a:xfrm>
        <a:prstGeom prst="rect">
          <a:avLst/>
        </a:prstGeom>
      </xdr:spPr>
    </xdr:pic>
    <xdr:clientData/>
  </xdr:twoCellAnchor>
  <xdr:twoCellAnchor>
    <xdr:from>
      <xdr:col>8</xdr:col>
      <xdr:colOff>6350</xdr:colOff>
      <xdr:row>1227</xdr:row>
      <xdr:rowOff>25400</xdr:rowOff>
    </xdr:from>
    <xdr:to>
      <xdr:col>8</xdr:col>
      <xdr:colOff>885190</xdr:colOff>
      <xdr:row>1227</xdr:row>
      <xdr:rowOff>1209040</xdr:rowOff>
    </xdr:to>
    <xdr:pic>
      <xdr:nvPicPr>
        <xdr:cNvPr id="5137" name="Изображение 5136" descr="resizeПП-00227682"/>
        <xdr:cNvPicPr>
          <a:picLocks noChangeAspect="1"/>
        </xdr:cNvPicPr>
      </xdr:nvPicPr>
      <xdr:blipFill>
        <a:blip xmlns:r="http://schemas.openxmlformats.org/officeDocument/2006/relationships" r:embed="rId899"/>
        <a:stretch>
          <a:fillRect/>
        </a:stretch>
      </xdr:blipFill>
      <xdr:spPr>
        <a:xfrm>
          <a:off x="7264400" y="1184322625"/>
          <a:ext cx="878840" cy="1183640"/>
        </a:xfrm>
        <a:prstGeom prst="rect">
          <a:avLst/>
        </a:prstGeom>
      </xdr:spPr>
    </xdr:pic>
    <xdr:clientData/>
  </xdr:twoCellAnchor>
  <xdr:twoCellAnchor>
    <xdr:from>
      <xdr:col>8</xdr:col>
      <xdr:colOff>6350</xdr:colOff>
      <xdr:row>1228</xdr:row>
      <xdr:rowOff>25400</xdr:rowOff>
    </xdr:from>
    <xdr:to>
      <xdr:col>8</xdr:col>
      <xdr:colOff>885190</xdr:colOff>
      <xdr:row>1228</xdr:row>
      <xdr:rowOff>1209040</xdr:rowOff>
    </xdr:to>
    <xdr:pic>
      <xdr:nvPicPr>
        <xdr:cNvPr id="5138" name="Изображение 5137" descr="resizeПП-00227684"/>
        <xdr:cNvPicPr>
          <a:picLocks noChangeAspect="1"/>
        </xdr:cNvPicPr>
      </xdr:nvPicPr>
      <xdr:blipFill>
        <a:blip xmlns:r="http://schemas.openxmlformats.org/officeDocument/2006/relationships" r:embed="rId900"/>
        <a:stretch>
          <a:fillRect/>
        </a:stretch>
      </xdr:blipFill>
      <xdr:spPr>
        <a:xfrm>
          <a:off x="7264400" y="1185545000"/>
          <a:ext cx="878840" cy="1183640"/>
        </a:xfrm>
        <a:prstGeom prst="rect">
          <a:avLst/>
        </a:prstGeom>
      </xdr:spPr>
    </xdr:pic>
    <xdr:clientData/>
  </xdr:twoCellAnchor>
  <xdr:twoCellAnchor>
    <xdr:from>
      <xdr:col>8</xdr:col>
      <xdr:colOff>6350</xdr:colOff>
      <xdr:row>1229</xdr:row>
      <xdr:rowOff>25400</xdr:rowOff>
    </xdr:from>
    <xdr:to>
      <xdr:col>8</xdr:col>
      <xdr:colOff>885190</xdr:colOff>
      <xdr:row>1229</xdr:row>
      <xdr:rowOff>1209040</xdr:rowOff>
    </xdr:to>
    <xdr:pic>
      <xdr:nvPicPr>
        <xdr:cNvPr id="5139" name="Изображение 5138" descr="resizeПП-00246252"/>
        <xdr:cNvPicPr>
          <a:picLocks noChangeAspect="1"/>
        </xdr:cNvPicPr>
      </xdr:nvPicPr>
      <xdr:blipFill>
        <a:blip xmlns:r="http://schemas.openxmlformats.org/officeDocument/2006/relationships" r:embed="rId901"/>
        <a:stretch>
          <a:fillRect/>
        </a:stretch>
      </xdr:blipFill>
      <xdr:spPr>
        <a:xfrm>
          <a:off x="7264400" y="1186767375"/>
          <a:ext cx="878840" cy="1183640"/>
        </a:xfrm>
        <a:prstGeom prst="rect">
          <a:avLst/>
        </a:prstGeom>
      </xdr:spPr>
    </xdr:pic>
    <xdr:clientData/>
  </xdr:twoCellAnchor>
  <xdr:twoCellAnchor>
    <xdr:from>
      <xdr:col>8</xdr:col>
      <xdr:colOff>6350</xdr:colOff>
      <xdr:row>1231</xdr:row>
      <xdr:rowOff>25400</xdr:rowOff>
    </xdr:from>
    <xdr:to>
      <xdr:col>8</xdr:col>
      <xdr:colOff>885190</xdr:colOff>
      <xdr:row>1231</xdr:row>
      <xdr:rowOff>1209040</xdr:rowOff>
    </xdr:to>
    <xdr:pic>
      <xdr:nvPicPr>
        <xdr:cNvPr id="5140" name="Изображение 5139" descr="resizeПП-00227641"/>
        <xdr:cNvPicPr>
          <a:picLocks noChangeAspect="1"/>
        </xdr:cNvPicPr>
      </xdr:nvPicPr>
      <xdr:blipFill>
        <a:blip xmlns:r="http://schemas.openxmlformats.org/officeDocument/2006/relationships" r:embed="rId902"/>
        <a:stretch>
          <a:fillRect/>
        </a:stretch>
      </xdr:blipFill>
      <xdr:spPr>
        <a:xfrm>
          <a:off x="7264400" y="1188142150"/>
          <a:ext cx="878840" cy="1183640"/>
        </a:xfrm>
        <a:prstGeom prst="rect">
          <a:avLst/>
        </a:prstGeom>
      </xdr:spPr>
    </xdr:pic>
    <xdr:clientData/>
  </xdr:twoCellAnchor>
  <xdr:twoCellAnchor>
    <xdr:from>
      <xdr:col>8</xdr:col>
      <xdr:colOff>6350</xdr:colOff>
      <xdr:row>1232</xdr:row>
      <xdr:rowOff>25400</xdr:rowOff>
    </xdr:from>
    <xdr:to>
      <xdr:col>8</xdr:col>
      <xdr:colOff>885190</xdr:colOff>
      <xdr:row>1232</xdr:row>
      <xdr:rowOff>1209040</xdr:rowOff>
    </xdr:to>
    <xdr:pic>
      <xdr:nvPicPr>
        <xdr:cNvPr id="5141" name="Изображение 5140" descr="resizeПП-00227637"/>
        <xdr:cNvPicPr>
          <a:picLocks noChangeAspect="1"/>
        </xdr:cNvPicPr>
      </xdr:nvPicPr>
      <xdr:blipFill>
        <a:blip xmlns:r="http://schemas.openxmlformats.org/officeDocument/2006/relationships" r:embed="rId903"/>
        <a:stretch>
          <a:fillRect/>
        </a:stretch>
      </xdr:blipFill>
      <xdr:spPr>
        <a:xfrm>
          <a:off x="7264400" y="1189364525"/>
          <a:ext cx="878840" cy="1183640"/>
        </a:xfrm>
        <a:prstGeom prst="rect">
          <a:avLst/>
        </a:prstGeom>
      </xdr:spPr>
    </xdr:pic>
    <xdr:clientData/>
  </xdr:twoCellAnchor>
  <xdr:twoCellAnchor>
    <xdr:from>
      <xdr:col>8</xdr:col>
      <xdr:colOff>6350</xdr:colOff>
      <xdr:row>1233</xdr:row>
      <xdr:rowOff>25400</xdr:rowOff>
    </xdr:from>
    <xdr:to>
      <xdr:col>8</xdr:col>
      <xdr:colOff>885190</xdr:colOff>
      <xdr:row>1233</xdr:row>
      <xdr:rowOff>1209040</xdr:rowOff>
    </xdr:to>
    <xdr:pic>
      <xdr:nvPicPr>
        <xdr:cNvPr id="5142" name="Изображение 5141" descr="resizeПП-00227642"/>
        <xdr:cNvPicPr>
          <a:picLocks noChangeAspect="1"/>
        </xdr:cNvPicPr>
      </xdr:nvPicPr>
      <xdr:blipFill>
        <a:blip xmlns:r="http://schemas.openxmlformats.org/officeDocument/2006/relationships" r:embed="rId904"/>
        <a:stretch>
          <a:fillRect/>
        </a:stretch>
      </xdr:blipFill>
      <xdr:spPr>
        <a:xfrm>
          <a:off x="7264400" y="1190586900"/>
          <a:ext cx="878840" cy="1183640"/>
        </a:xfrm>
        <a:prstGeom prst="rect">
          <a:avLst/>
        </a:prstGeom>
      </xdr:spPr>
    </xdr:pic>
    <xdr:clientData/>
  </xdr:twoCellAnchor>
  <xdr:twoCellAnchor>
    <xdr:from>
      <xdr:col>8</xdr:col>
      <xdr:colOff>6350</xdr:colOff>
      <xdr:row>1234</xdr:row>
      <xdr:rowOff>25400</xdr:rowOff>
    </xdr:from>
    <xdr:to>
      <xdr:col>8</xdr:col>
      <xdr:colOff>885190</xdr:colOff>
      <xdr:row>1234</xdr:row>
      <xdr:rowOff>1209040</xdr:rowOff>
    </xdr:to>
    <xdr:pic>
      <xdr:nvPicPr>
        <xdr:cNvPr id="5143" name="Изображение 5142" descr="resizeПП-00246249"/>
        <xdr:cNvPicPr>
          <a:picLocks noChangeAspect="1"/>
        </xdr:cNvPicPr>
      </xdr:nvPicPr>
      <xdr:blipFill>
        <a:blip xmlns:r="http://schemas.openxmlformats.org/officeDocument/2006/relationships" r:embed="rId905"/>
        <a:stretch>
          <a:fillRect/>
        </a:stretch>
      </xdr:blipFill>
      <xdr:spPr>
        <a:xfrm>
          <a:off x="7264400" y="1191809275"/>
          <a:ext cx="878840" cy="1183640"/>
        </a:xfrm>
        <a:prstGeom prst="rect">
          <a:avLst/>
        </a:prstGeom>
      </xdr:spPr>
    </xdr:pic>
    <xdr:clientData/>
  </xdr:twoCellAnchor>
  <xdr:twoCellAnchor>
    <xdr:from>
      <xdr:col>8</xdr:col>
      <xdr:colOff>6350</xdr:colOff>
      <xdr:row>1236</xdr:row>
      <xdr:rowOff>25400</xdr:rowOff>
    </xdr:from>
    <xdr:to>
      <xdr:col>8</xdr:col>
      <xdr:colOff>885190</xdr:colOff>
      <xdr:row>1236</xdr:row>
      <xdr:rowOff>1209040</xdr:rowOff>
    </xdr:to>
    <xdr:pic>
      <xdr:nvPicPr>
        <xdr:cNvPr id="5144" name="Изображение 5143" descr="resizeПП-00227661"/>
        <xdr:cNvPicPr>
          <a:picLocks noChangeAspect="1"/>
        </xdr:cNvPicPr>
      </xdr:nvPicPr>
      <xdr:blipFill>
        <a:blip xmlns:r="http://schemas.openxmlformats.org/officeDocument/2006/relationships" r:embed="rId906"/>
        <a:stretch>
          <a:fillRect/>
        </a:stretch>
      </xdr:blipFill>
      <xdr:spPr>
        <a:xfrm>
          <a:off x="7264400" y="1193184050"/>
          <a:ext cx="878840" cy="1183640"/>
        </a:xfrm>
        <a:prstGeom prst="rect">
          <a:avLst/>
        </a:prstGeom>
      </xdr:spPr>
    </xdr:pic>
    <xdr:clientData/>
  </xdr:twoCellAnchor>
  <xdr:twoCellAnchor>
    <xdr:from>
      <xdr:col>8</xdr:col>
      <xdr:colOff>6350</xdr:colOff>
      <xdr:row>1237</xdr:row>
      <xdr:rowOff>25400</xdr:rowOff>
    </xdr:from>
    <xdr:to>
      <xdr:col>8</xdr:col>
      <xdr:colOff>885190</xdr:colOff>
      <xdr:row>1237</xdr:row>
      <xdr:rowOff>1209040</xdr:rowOff>
    </xdr:to>
    <xdr:pic>
      <xdr:nvPicPr>
        <xdr:cNvPr id="5145" name="Изображение 5144" descr="resizeПП-00227663"/>
        <xdr:cNvPicPr>
          <a:picLocks noChangeAspect="1"/>
        </xdr:cNvPicPr>
      </xdr:nvPicPr>
      <xdr:blipFill>
        <a:blip xmlns:r="http://schemas.openxmlformats.org/officeDocument/2006/relationships" r:embed="rId907"/>
        <a:stretch>
          <a:fillRect/>
        </a:stretch>
      </xdr:blipFill>
      <xdr:spPr>
        <a:xfrm>
          <a:off x="7264400" y="1194406425"/>
          <a:ext cx="878840" cy="1183640"/>
        </a:xfrm>
        <a:prstGeom prst="rect">
          <a:avLst/>
        </a:prstGeom>
      </xdr:spPr>
    </xdr:pic>
    <xdr:clientData/>
  </xdr:twoCellAnchor>
  <xdr:twoCellAnchor>
    <xdr:from>
      <xdr:col>8</xdr:col>
      <xdr:colOff>6350</xdr:colOff>
      <xdr:row>1238</xdr:row>
      <xdr:rowOff>25400</xdr:rowOff>
    </xdr:from>
    <xdr:to>
      <xdr:col>8</xdr:col>
      <xdr:colOff>885190</xdr:colOff>
      <xdr:row>1238</xdr:row>
      <xdr:rowOff>1209040</xdr:rowOff>
    </xdr:to>
    <xdr:pic>
      <xdr:nvPicPr>
        <xdr:cNvPr id="5146" name="Изображение 5145" descr="resizeПП-00227662"/>
        <xdr:cNvPicPr>
          <a:picLocks noChangeAspect="1"/>
        </xdr:cNvPicPr>
      </xdr:nvPicPr>
      <xdr:blipFill>
        <a:blip xmlns:r="http://schemas.openxmlformats.org/officeDocument/2006/relationships" r:embed="rId908"/>
        <a:stretch>
          <a:fillRect/>
        </a:stretch>
      </xdr:blipFill>
      <xdr:spPr>
        <a:xfrm>
          <a:off x="7264400" y="1195628800"/>
          <a:ext cx="878840" cy="1183640"/>
        </a:xfrm>
        <a:prstGeom prst="rect">
          <a:avLst/>
        </a:prstGeom>
      </xdr:spPr>
    </xdr:pic>
    <xdr:clientData/>
  </xdr:twoCellAnchor>
  <xdr:twoCellAnchor>
    <xdr:from>
      <xdr:col>8</xdr:col>
      <xdr:colOff>6350</xdr:colOff>
      <xdr:row>1239</xdr:row>
      <xdr:rowOff>25400</xdr:rowOff>
    </xdr:from>
    <xdr:to>
      <xdr:col>8</xdr:col>
      <xdr:colOff>885190</xdr:colOff>
      <xdr:row>1239</xdr:row>
      <xdr:rowOff>1209040</xdr:rowOff>
    </xdr:to>
    <xdr:pic>
      <xdr:nvPicPr>
        <xdr:cNvPr id="5147" name="Изображение 5146" descr="resizeПП-00227660"/>
        <xdr:cNvPicPr>
          <a:picLocks noChangeAspect="1"/>
        </xdr:cNvPicPr>
      </xdr:nvPicPr>
      <xdr:blipFill>
        <a:blip xmlns:r="http://schemas.openxmlformats.org/officeDocument/2006/relationships" r:embed="rId909"/>
        <a:stretch>
          <a:fillRect/>
        </a:stretch>
      </xdr:blipFill>
      <xdr:spPr>
        <a:xfrm>
          <a:off x="7264400" y="1196851175"/>
          <a:ext cx="878840" cy="1183640"/>
        </a:xfrm>
        <a:prstGeom prst="rect">
          <a:avLst/>
        </a:prstGeom>
      </xdr:spPr>
    </xdr:pic>
    <xdr:clientData/>
  </xdr:twoCellAnchor>
  <xdr:twoCellAnchor>
    <xdr:from>
      <xdr:col>8</xdr:col>
      <xdr:colOff>6350</xdr:colOff>
      <xdr:row>1240</xdr:row>
      <xdr:rowOff>25400</xdr:rowOff>
    </xdr:from>
    <xdr:to>
      <xdr:col>8</xdr:col>
      <xdr:colOff>885190</xdr:colOff>
      <xdr:row>1240</xdr:row>
      <xdr:rowOff>1209040</xdr:rowOff>
    </xdr:to>
    <xdr:pic>
      <xdr:nvPicPr>
        <xdr:cNvPr id="5148" name="Изображение 5147" descr="resizeПП-00246248"/>
        <xdr:cNvPicPr>
          <a:picLocks noChangeAspect="1"/>
        </xdr:cNvPicPr>
      </xdr:nvPicPr>
      <xdr:blipFill>
        <a:blip xmlns:r="http://schemas.openxmlformats.org/officeDocument/2006/relationships" r:embed="rId910"/>
        <a:stretch>
          <a:fillRect/>
        </a:stretch>
      </xdr:blipFill>
      <xdr:spPr>
        <a:xfrm>
          <a:off x="7264400" y="1198073550"/>
          <a:ext cx="878840" cy="1183640"/>
        </a:xfrm>
        <a:prstGeom prst="rect">
          <a:avLst/>
        </a:prstGeom>
      </xdr:spPr>
    </xdr:pic>
    <xdr:clientData/>
  </xdr:twoCellAnchor>
  <xdr:twoCellAnchor>
    <xdr:from>
      <xdr:col>8</xdr:col>
      <xdr:colOff>6350</xdr:colOff>
      <xdr:row>1242</xdr:row>
      <xdr:rowOff>25400</xdr:rowOff>
    </xdr:from>
    <xdr:to>
      <xdr:col>8</xdr:col>
      <xdr:colOff>885190</xdr:colOff>
      <xdr:row>1242</xdr:row>
      <xdr:rowOff>1209040</xdr:rowOff>
    </xdr:to>
    <xdr:pic>
      <xdr:nvPicPr>
        <xdr:cNvPr id="5149" name="Изображение 5148" descr="resizeПП-00227665"/>
        <xdr:cNvPicPr>
          <a:picLocks noChangeAspect="1"/>
        </xdr:cNvPicPr>
      </xdr:nvPicPr>
      <xdr:blipFill>
        <a:blip xmlns:r="http://schemas.openxmlformats.org/officeDocument/2006/relationships" r:embed="rId911"/>
        <a:stretch>
          <a:fillRect/>
        </a:stretch>
      </xdr:blipFill>
      <xdr:spPr>
        <a:xfrm>
          <a:off x="7264400" y="1199448325"/>
          <a:ext cx="878840" cy="1183640"/>
        </a:xfrm>
        <a:prstGeom prst="rect">
          <a:avLst/>
        </a:prstGeom>
      </xdr:spPr>
    </xdr:pic>
    <xdr:clientData/>
  </xdr:twoCellAnchor>
  <xdr:twoCellAnchor>
    <xdr:from>
      <xdr:col>8</xdr:col>
      <xdr:colOff>6350</xdr:colOff>
      <xdr:row>1243</xdr:row>
      <xdr:rowOff>25400</xdr:rowOff>
    </xdr:from>
    <xdr:to>
      <xdr:col>8</xdr:col>
      <xdr:colOff>885190</xdr:colOff>
      <xdr:row>1243</xdr:row>
      <xdr:rowOff>1209040</xdr:rowOff>
    </xdr:to>
    <xdr:pic>
      <xdr:nvPicPr>
        <xdr:cNvPr id="5150" name="Изображение 5149" descr="resizeПП-00227666"/>
        <xdr:cNvPicPr>
          <a:picLocks noChangeAspect="1"/>
        </xdr:cNvPicPr>
      </xdr:nvPicPr>
      <xdr:blipFill>
        <a:blip xmlns:r="http://schemas.openxmlformats.org/officeDocument/2006/relationships" r:embed="rId912"/>
        <a:stretch>
          <a:fillRect/>
        </a:stretch>
      </xdr:blipFill>
      <xdr:spPr>
        <a:xfrm>
          <a:off x="7264400" y="1200670700"/>
          <a:ext cx="878840" cy="1183640"/>
        </a:xfrm>
        <a:prstGeom prst="rect">
          <a:avLst/>
        </a:prstGeom>
      </xdr:spPr>
    </xdr:pic>
    <xdr:clientData/>
  </xdr:twoCellAnchor>
  <xdr:twoCellAnchor>
    <xdr:from>
      <xdr:col>8</xdr:col>
      <xdr:colOff>6350</xdr:colOff>
      <xdr:row>1244</xdr:row>
      <xdr:rowOff>25400</xdr:rowOff>
    </xdr:from>
    <xdr:to>
      <xdr:col>8</xdr:col>
      <xdr:colOff>885190</xdr:colOff>
      <xdr:row>1244</xdr:row>
      <xdr:rowOff>1209040</xdr:rowOff>
    </xdr:to>
    <xdr:pic>
      <xdr:nvPicPr>
        <xdr:cNvPr id="5151" name="Изображение 5150" descr="resizeПП-00227668"/>
        <xdr:cNvPicPr>
          <a:picLocks noChangeAspect="1"/>
        </xdr:cNvPicPr>
      </xdr:nvPicPr>
      <xdr:blipFill>
        <a:blip xmlns:r="http://schemas.openxmlformats.org/officeDocument/2006/relationships" r:embed="rId913"/>
        <a:stretch>
          <a:fillRect/>
        </a:stretch>
      </xdr:blipFill>
      <xdr:spPr>
        <a:xfrm>
          <a:off x="7264400" y="1201893075"/>
          <a:ext cx="878840" cy="1183640"/>
        </a:xfrm>
        <a:prstGeom prst="rect">
          <a:avLst/>
        </a:prstGeom>
      </xdr:spPr>
    </xdr:pic>
    <xdr:clientData/>
  </xdr:twoCellAnchor>
  <xdr:twoCellAnchor>
    <xdr:from>
      <xdr:col>8</xdr:col>
      <xdr:colOff>6350</xdr:colOff>
      <xdr:row>1245</xdr:row>
      <xdr:rowOff>25400</xdr:rowOff>
    </xdr:from>
    <xdr:to>
      <xdr:col>8</xdr:col>
      <xdr:colOff>885190</xdr:colOff>
      <xdr:row>1245</xdr:row>
      <xdr:rowOff>1209040</xdr:rowOff>
    </xdr:to>
    <xdr:pic>
      <xdr:nvPicPr>
        <xdr:cNvPr id="5152" name="Изображение 5151" descr="resizeПП-00227667"/>
        <xdr:cNvPicPr>
          <a:picLocks noChangeAspect="1"/>
        </xdr:cNvPicPr>
      </xdr:nvPicPr>
      <xdr:blipFill>
        <a:blip xmlns:r="http://schemas.openxmlformats.org/officeDocument/2006/relationships" r:embed="rId914"/>
        <a:stretch>
          <a:fillRect/>
        </a:stretch>
      </xdr:blipFill>
      <xdr:spPr>
        <a:xfrm>
          <a:off x="7264400" y="1203115450"/>
          <a:ext cx="878840" cy="1183640"/>
        </a:xfrm>
        <a:prstGeom prst="rect">
          <a:avLst/>
        </a:prstGeom>
      </xdr:spPr>
    </xdr:pic>
    <xdr:clientData/>
  </xdr:twoCellAnchor>
  <xdr:twoCellAnchor>
    <xdr:from>
      <xdr:col>8</xdr:col>
      <xdr:colOff>6350</xdr:colOff>
      <xdr:row>1246</xdr:row>
      <xdr:rowOff>25400</xdr:rowOff>
    </xdr:from>
    <xdr:to>
      <xdr:col>8</xdr:col>
      <xdr:colOff>885190</xdr:colOff>
      <xdr:row>1246</xdr:row>
      <xdr:rowOff>1209040</xdr:rowOff>
    </xdr:to>
    <xdr:pic>
      <xdr:nvPicPr>
        <xdr:cNvPr id="5153" name="Изображение 5152" descr="resizeПП-00246247"/>
        <xdr:cNvPicPr>
          <a:picLocks noChangeAspect="1"/>
        </xdr:cNvPicPr>
      </xdr:nvPicPr>
      <xdr:blipFill>
        <a:blip xmlns:r="http://schemas.openxmlformats.org/officeDocument/2006/relationships" r:embed="rId915"/>
        <a:stretch>
          <a:fillRect/>
        </a:stretch>
      </xdr:blipFill>
      <xdr:spPr>
        <a:xfrm>
          <a:off x="7264400" y="1204337825"/>
          <a:ext cx="878840" cy="1183640"/>
        </a:xfrm>
        <a:prstGeom prst="rect">
          <a:avLst/>
        </a:prstGeom>
      </xdr:spPr>
    </xdr:pic>
    <xdr:clientData/>
  </xdr:twoCellAnchor>
  <xdr:twoCellAnchor>
    <xdr:from>
      <xdr:col>8</xdr:col>
      <xdr:colOff>6350</xdr:colOff>
      <xdr:row>1248</xdr:row>
      <xdr:rowOff>25400</xdr:rowOff>
    </xdr:from>
    <xdr:to>
      <xdr:col>8</xdr:col>
      <xdr:colOff>885190</xdr:colOff>
      <xdr:row>1248</xdr:row>
      <xdr:rowOff>1209040</xdr:rowOff>
    </xdr:to>
    <xdr:pic>
      <xdr:nvPicPr>
        <xdr:cNvPr id="5154" name="Изображение 5153" descr="resizeПП-00204221"/>
        <xdr:cNvPicPr>
          <a:picLocks noChangeAspect="1"/>
        </xdr:cNvPicPr>
      </xdr:nvPicPr>
      <xdr:blipFill>
        <a:blip xmlns:r="http://schemas.openxmlformats.org/officeDocument/2006/relationships" r:embed="rId916"/>
        <a:stretch>
          <a:fillRect/>
        </a:stretch>
      </xdr:blipFill>
      <xdr:spPr>
        <a:xfrm>
          <a:off x="7264400" y="1205712600"/>
          <a:ext cx="878840" cy="1183640"/>
        </a:xfrm>
        <a:prstGeom prst="rect">
          <a:avLst/>
        </a:prstGeom>
      </xdr:spPr>
    </xdr:pic>
    <xdr:clientData/>
  </xdr:twoCellAnchor>
  <xdr:twoCellAnchor>
    <xdr:from>
      <xdr:col>8</xdr:col>
      <xdr:colOff>6350</xdr:colOff>
      <xdr:row>1250</xdr:row>
      <xdr:rowOff>25400</xdr:rowOff>
    </xdr:from>
    <xdr:to>
      <xdr:col>8</xdr:col>
      <xdr:colOff>885190</xdr:colOff>
      <xdr:row>1250</xdr:row>
      <xdr:rowOff>1209040</xdr:rowOff>
    </xdr:to>
    <xdr:pic>
      <xdr:nvPicPr>
        <xdr:cNvPr id="5155" name="Изображение 5154" descr="resizeПП-00204258"/>
        <xdr:cNvPicPr>
          <a:picLocks noChangeAspect="1"/>
        </xdr:cNvPicPr>
      </xdr:nvPicPr>
      <xdr:blipFill>
        <a:blip xmlns:r="http://schemas.openxmlformats.org/officeDocument/2006/relationships" r:embed="rId917"/>
        <a:stretch>
          <a:fillRect/>
        </a:stretch>
      </xdr:blipFill>
      <xdr:spPr>
        <a:xfrm>
          <a:off x="7264400" y="1207087375"/>
          <a:ext cx="878840" cy="1183640"/>
        </a:xfrm>
        <a:prstGeom prst="rect">
          <a:avLst/>
        </a:prstGeom>
      </xdr:spPr>
    </xdr:pic>
    <xdr:clientData/>
  </xdr:twoCellAnchor>
  <xdr:twoCellAnchor>
    <xdr:from>
      <xdr:col>8</xdr:col>
      <xdr:colOff>6350</xdr:colOff>
      <xdr:row>1251</xdr:row>
      <xdr:rowOff>25400</xdr:rowOff>
    </xdr:from>
    <xdr:to>
      <xdr:col>8</xdr:col>
      <xdr:colOff>885190</xdr:colOff>
      <xdr:row>1251</xdr:row>
      <xdr:rowOff>1209040</xdr:rowOff>
    </xdr:to>
    <xdr:pic>
      <xdr:nvPicPr>
        <xdr:cNvPr id="5156" name="Изображение 5155" descr="resizeПП-00204255"/>
        <xdr:cNvPicPr>
          <a:picLocks noChangeAspect="1"/>
        </xdr:cNvPicPr>
      </xdr:nvPicPr>
      <xdr:blipFill>
        <a:blip xmlns:r="http://schemas.openxmlformats.org/officeDocument/2006/relationships" r:embed="rId918"/>
        <a:stretch>
          <a:fillRect/>
        </a:stretch>
      </xdr:blipFill>
      <xdr:spPr>
        <a:xfrm>
          <a:off x="7264400" y="1208309750"/>
          <a:ext cx="878840" cy="1183640"/>
        </a:xfrm>
        <a:prstGeom prst="rect">
          <a:avLst/>
        </a:prstGeom>
      </xdr:spPr>
    </xdr:pic>
    <xdr:clientData/>
  </xdr:twoCellAnchor>
  <xdr:twoCellAnchor>
    <xdr:from>
      <xdr:col>8</xdr:col>
      <xdr:colOff>6350</xdr:colOff>
      <xdr:row>1252</xdr:row>
      <xdr:rowOff>25400</xdr:rowOff>
    </xdr:from>
    <xdr:to>
      <xdr:col>8</xdr:col>
      <xdr:colOff>885190</xdr:colOff>
      <xdr:row>1252</xdr:row>
      <xdr:rowOff>1209040</xdr:rowOff>
    </xdr:to>
    <xdr:pic>
      <xdr:nvPicPr>
        <xdr:cNvPr id="5157" name="Изображение 5156" descr="resizeПП-00204256"/>
        <xdr:cNvPicPr>
          <a:picLocks noChangeAspect="1"/>
        </xdr:cNvPicPr>
      </xdr:nvPicPr>
      <xdr:blipFill>
        <a:blip xmlns:r="http://schemas.openxmlformats.org/officeDocument/2006/relationships" r:embed="rId919"/>
        <a:stretch>
          <a:fillRect/>
        </a:stretch>
      </xdr:blipFill>
      <xdr:spPr>
        <a:xfrm>
          <a:off x="7264400" y="1209532125"/>
          <a:ext cx="878840" cy="1183640"/>
        </a:xfrm>
        <a:prstGeom prst="rect">
          <a:avLst/>
        </a:prstGeom>
      </xdr:spPr>
    </xdr:pic>
    <xdr:clientData/>
  </xdr:twoCellAnchor>
  <xdr:twoCellAnchor>
    <xdr:from>
      <xdr:col>8</xdr:col>
      <xdr:colOff>6350</xdr:colOff>
      <xdr:row>1253</xdr:row>
      <xdr:rowOff>25400</xdr:rowOff>
    </xdr:from>
    <xdr:to>
      <xdr:col>8</xdr:col>
      <xdr:colOff>885190</xdr:colOff>
      <xdr:row>1253</xdr:row>
      <xdr:rowOff>1209040</xdr:rowOff>
    </xdr:to>
    <xdr:pic>
      <xdr:nvPicPr>
        <xdr:cNvPr id="5158" name="Изображение 5157" descr="resizeПП-00204231"/>
        <xdr:cNvPicPr>
          <a:picLocks noChangeAspect="1"/>
        </xdr:cNvPicPr>
      </xdr:nvPicPr>
      <xdr:blipFill>
        <a:blip xmlns:r="http://schemas.openxmlformats.org/officeDocument/2006/relationships" r:embed="rId920"/>
        <a:stretch>
          <a:fillRect/>
        </a:stretch>
      </xdr:blipFill>
      <xdr:spPr>
        <a:xfrm>
          <a:off x="7264400" y="1210754500"/>
          <a:ext cx="878840" cy="1183640"/>
        </a:xfrm>
        <a:prstGeom prst="rect">
          <a:avLst/>
        </a:prstGeom>
      </xdr:spPr>
    </xdr:pic>
    <xdr:clientData/>
  </xdr:twoCellAnchor>
  <xdr:twoCellAnchor>
    <xdr:from>
      <xdr:col>8</xdr:col>
      <xdr:colOff>6350</xdr:colOff>
      <xdr:row>1255</xdr:row>
      <xdr:rowOff>25400</xdr:rowOff>
    </xdr:from>
    <xdr:to>
      <xdr:col>8</xdr:col>
      <xdr:colOff>885190</xdr:colOff>
      <xdr:row>1255</xdr:row>
      <xdr:rowOff>1209040</xdr:rowOff>
    </xdr:to>
    <xdr:pic>
      <xdr:nvPicPr>
        <xdr:cNvPr id="5159" name="Изображение 5158" descr="resizeПП-00270353"/>
        <xdr:cNvPicPr>
          <a:picLocks noChangeAspect="1"/>
        </xdr:cNvPicPr>
      </xdr:nvPicPr>
      <xdr:blipFill>
        <a:blip xmlns:r="http://schemas.openxmlformats.org/officeDocument/2006/relationships" r:embed="rId921"/>
        <a:stretch>
          <a:fillRect/>
        </a:stretch>
      </xdr:blipFill>
      <xdr:spPr>
        <a:xfrm>
          <a:off x="7264400" y="1212129275"/>
          <a:ext cx="878840" cy="1183640"/>
        </a:xfrm>
        <a:prstGeom prst="rect">
          <a:avLst/>
        </a:prstGeom>
      </xdr:spPr>
    </xdr:pic>
    <xdr:clientData/>
  </xdr:twoCellAnchor>
  <xdr:twoCellAnchor>
    <xdr:from>
      <xdr:col>8</xdr:col>
      <xdr:colOff>6350</xdr:colOff>
      <xdr:row>1256</xdr:row>
      <xdr:rowOff>25400</xdr:rowOff>
    </xdr:from>
    <xdr:to>
      <xdr:col>8</xdr:col>
      <xdr:colOff>885190</xdr:colOff>
      <xdr:row>1256</xdr:row>
      <xdr:rowOff>1209040</xdr:rowOff>
    </xdr:to>
    <xdr:pic>
      <xdr:nvPicPr>
        <xdr:cNvPr id="5160" name="Изображение 5159" descr="resizeПП-00270358"/>
        <xdr:cNvPicPr>
          <a:picLocks noChangeAspect="1"/>
        </xdr:cNvPicPr>
      </xdr:nvPicPr>
      <xdr:blipFill>
        <a:blip xmlns:r="http://schemas.openxmlformats.org/officeDocument/2006/relationships" r:embed="rId922"/>
        <a:stretch>
          <a:fillRect/>
        </a:stretch>
      </xdr:blipFill>
      <xdr:spPr>
        <a:xfrm>
          <a:off x="7264400" y="1213351650"/>
          <a:ext cx="878840" cy="1183640"/>
        </a:xfrm>
        <a:prstGeom prst="rect">
          <a:avLst/>
        </a:prstGeom>
      </xdr:spPr>
    </xdr:pic>
    <xdr:clientData/>
  </xdr:twoCellAnchor>
  <xdr:twoCellAnchor>
    <xdr:from>
      <xdr:col>8</xdr:col>
      <xdr:colOff>6350</xdr:colOff>
      <xdr:row>1258</xdr:row>
      <xdr:rowOff>25400</xdr:rowOff>
    </xdr:from>
    <xdr:to>
      <xdr:col>8</xdr:col>
      <xdr:colOff>885190</xdr:colOff>
      <xdr:row>1258</xdr:row>
      <xdr:rowOff>1209040</xdr:rowOff>
    </xdr:to>
    <xdr:pic>
      <xdr:nvPicPr>
        <xdr:cNvPr id="5161" name="Изображение 5160" descr="resizeПП-00270371"/>
        <xdr:cNvPicPr>
          <a:picLocks noChangeAspect="1"/>
        </xdr:cNvPicPr>
      </xdr:nvPicPr>
      <xdr:blipFill>
        <a:blip xmlns:r="http://schemas.openxmlformats.org/officeDocument/2006/relationships" r:embed="rId923"/>
        <a:stretch>
          <a:fillRect/>
        </a:stretch>
      </xdr:blipFill>
      <xdr:spPr>
        <a:xfrm>
          <a:off x="7264400" y="1214726425"/>
          <a:ext cx="878840" cy="1183640"/>
        </a:xfrm>
        <a:prstGeom prst="rect">
          <a:avLst/>
        </a:prstGeom>
      </xdr:spPr>
    </xdr:pic>
    <xdr:clientData/>
  </xdr:twoCellAnchor>
  <xdr:twoCellAnchor>
    <xdr:from>
      <xdr:col>8</xdr:col>
      <xdr:colOff>6350</xdr:colOff>
      <xdr:row>1260</xdr:row>
      <xdr:rowOff>25400</xdr:rowOff>
    </xdr:from>
    <xdr:to>
      <xdr:col>8</xdr:col>
      <xdr:colOff>885190</xdr:colOff>
      <xdr:row>1260</xdr:row>
      <xdr:rowOff>1209040</xdr:rowOff>
    </xdr:to>
    <xdr:pic>
      <xdr:nvPicPr>
        <xdr:cNvPr id="5162" name="Изображение 5161" descr="resizeПП-00227709"/>
        <xdr:cNvPicPr>
          <a:picLocks noChangeAspect="1"/>
        </xdr:cNvPicPr>
      </xdr:nvPicPr>
      <xdr:blipFill>
        <a:blip xmlns:r="http://schemas.openxmlformats.org/officeDocument/2006/relationships" r:embed="rId924"/>
        <a:stretch>
          <a:fillRect/>
        </a:stretch>
      </xdr:blipFill>
      <xdr:spPr>
        <a:xfrm>
          <a:off x="7264400" y="1216101200"/>
          <a:ext cx="878840" cy="1183640"/>
        </a:xfrm>
        <a:prstGeom prst="rect">
          <a:avLst/>
        </a:prstGeom>
      </xdr:spPr>
    </xdr:pic>
    <xdr:clientData/>
  </xdr:twoCellAnchor>
  <xdr:twoCellAnchor>
    <xdr:from>
      <xdr:col>8</xdr:col>
      <xdr:colOff>6350</xdr:colOff>
      <xdr:row>1261</xdr:row>
      <xdr:rowOff>25400</xdr:rowOff>
    </xdr:from>
    <xdr:to>
      <xdr:col>8</xdr:col>
      <xdr:colOff>885190</xdr:colOff>
      <xdr:row>1261</xdr:row>
      <xdr:rowOff>1209040</xdr:rowOff>
    </xdr:to>
    <xdr:pic>
      <xdr:nvPicPr>
        <xdr:cNvPr id="5163" name="Изображение 5162" descr="resizeПП-00227706"/>
        <xdr:cNvPicPr>
          <a:picLocks noChangeAspect="1"/>
        </xdr:cNvPicPr>
      </xdr:nvPicPr>
      <xdr:blipFill>
        <a:blip xmlns:r="http://schemas.openxmlformats.org/officeDocument/2006/relationships" r:embed="rId925"/>
        <a:stretch>
          <a:fillRect/>
        </a:stretch>
      </xdr:blipFill>
      <xdr:spPr>
        <a:xfrm>
          <a:off x="7264400" y="1217323575"/>
          <a:ext cx="878840" cy="1183640"/>
        </a:xfrm>
        <a:prstGeom prst="rect">
          <a:avLst/>
        </a:prstGeom>
      </xdr:spPr>
    </xdr:pic>
    <xdr:clientData/>
  </xdr:twoCellAnchor>
  <xdr:twoCellAnchor>
    <xdr:from>
      <xdr:col>8</xdr:col>
      <xdr:colOff>6350</xdr:colOff>
      <xdr:row>1262</xdr:row>
      <xdr:rowOff>25400</xdr:rowOff>
    </xdr:from>
    <xdr:to>
      <xdr:col>8</xdr:col>
      <xdr:colOff>885190</xdr:colOff>
      <xdr:row>1262</xdr:row>
      <xdr:rowOff>1209040</xdr:rowOff>
    </xdr:to>
    <xdr:pic>
      <xdr:nvPicPr>
        <xdr:cNvPr id="5164" name="Изображение 5163" descr="resizeПП-00227708"/>
        <xdr:cNvPicPr>
          <a:picLocks noChangeAspect="1"/>
        </xdr:cNvPicPr>
      </xdr:nvPicPr>
      <xdr:blipFill>
        <a:blip xmlns:r="http://schemas.openxmlformats.org/officeDocument/2006/relationships" r:embed="rId926"/>
        <a:stretch>
          <a:fillRect/>
        </a:stretch>
      </xdr:blipFill>
      <xdr:spPr>
        <a:xfrm>
          <a:off x="7264400" y="1218545950"/>
          <a:ext cx="878840" cy="1183640"/>
        </a:xfrm>
        <a:prstGeom prst="rect">
          <a:avLst/>
        </a:prstGeom>
      </xdr:spPr>
    </xdr:pic>
    <xdr:clientData/>
  </xdr:twoCellAnchor>
  <xdr:twoCellAnchor>
    <xdr:from>
      <xdr:col>8</xdr:col>
      <xdr:colOff>6350</xdr:colOff>
      <xdr:row>1264</xdr:row>
      <xdr:rowOff>25400</xdr:rowOff>
    </xdr:from>
    <xdr:to>
      <xdr:col>8</xdr:col>
      <xdr:colOff>885190</xdr:colOff>
      <xdr:row>1264</xdr:row>
      <xdr:rowOff>1209040</xdr:rowOff>
    </xdr:to>
    <xdr:pic>
      <xdr:nvPicPr>
        <xdr:cNvPr id="5165" name="Изображение 5164" descr="resizeПП-00270350"/>
        <xdr:cNvPicPr>
          <a:picLocks noChangeAspect="1"/>
        </xdr:cNvPicPr>
      </xdr:nvPicPr>
      <xdr:blipFill>
        <a:blip xmlns:r="http://schemas.openxmlformats.org/officeDocument/2006/relationships" r:embed="rId927"/>
        <a:stretch>
          <a:fillRect/>
        </a:stretch>
      </xdr:blipFill>
      <xdr:spPr>
        <a:xfrm>
          <a:off x="7264400" y="1219920725"/>
          <a:ext cx="878840" cy="1183640"/>
        </a:xfrm>
        <a:prstGeom prst="rect">
          <a:avLst/>
        </a:prstGeom>
      </xdr:spPr>
    </xdr:pic>
    <xdr:clientData/>
  </xdr:twoCellAnchor>
  <xdr:twoCellAnchor>
    <xdr:from>
      <xdr:col>8</xdr:col>
      <xdr:colOff>6350</xdr:colOff>
      <xdr:row>1265</xdr:row>
      <xdr:rowOff>25400</xdr:rowOff>
    </xdr:from>
    <xdr:to>
      <xdr:col>8</xdr:col>
      <xdr:colOff>885190</xdr:colOff>
      <xdr:row>1265</xdr:row>
      <xdr:rowOff>1209040</xdr:rowOff>
    </xdr:to>
    <xdr:pic>
      <xdr:nvPicPr>
        <xdr:cNvPr id="5166" name="Изображение 5165" descr="resizeПП-00270349"/>
        <xdr:cNvPicPr>
          <a:picLocks noChangeAspect="1"/>
        </xdr:cNvPicPr>
      </xdr:nvPicPr>
      <xdr:blipFill>
        <a:blip xmlns:r="http://schemas.openxmlformats.org/officeDocument/2006/relationships" r:embed="rId928"/>
        <a:stretch>
          <a:fillRect/>
        </a:stretch>
      </xdr:blipFill>
      <xdr:spPr>
        <a:xfrm>
          <a:off x="7264400" y="1221143100"/>
          <a:ext cx="878840" cy="1183640"/>
        </a:xfrm>
        <a:prstGeom prst="rect">
          <a:avLst/>
        </a:prstGeom>
      </xdr:spPr>
    </xdr:pic>
    <xdr:clientData/>
  </xdr:twoCellAnchor>
  <xdr:twoCellAnchor>
    <xdr:from>
      <xdr:col>8</xdr:col>
      <xdr:colOff>6350</xdr:colOff>
      <xdr:row>1266</xdr:row>
      <xdr:rowOff>25400</xdr:rowOff>
    </xdr:from>
    <xdr:to>
      <xdr:col>8</xdr:col>
      <xdr:colOff>885190</xdr:colOff>
      <xdr:row>1266</xdr:row>
      <xdr:rowOff>1209040</xdr:rowOff>
    </xdr:to>
    <xdr:pic>
      <xdr:nvPicPr>
        <xdr:cNvPr id="5167" name="Изображение 5166" descr="resizeПП-00270351"/>
        <xdr:cNvPicPr>
          <a:picLocks noChangeAspect="1"/>
        </xdr:cNvPicPr>
      </xdr:nvPicPr>
      <xdr:blipFill>
        <a:blip xmlns:r="http://schemas.openxmlformats.org/officeDocument/2006/relationships" r:embed="rId929"/>
        <a:stretch>
          <a:fillRect/>
        </a:stretch>
      </xdr:blipFill>
      <xdr:spPr>
        <a:xfrm>
          <a:off x="7264400" y="1222365475"/>
          <a:ext cx="878840" cy="1183640"/>
        </a:xfrm>
        <a:prstGeom prst="rect">
          <a:avLst/>
        </a:prstGeom>
      </xdr:spPr>
    </xdr:pic>
    <xdr:clientData/>
  </xdr:twoCellAnchor>
  <xdr:twoCellAnchor>
    <xdr:from>
      <xdr:col>8</xdr:col>
      <xdr:colOff>6350</xdr:colOff>
      <xdr:row>1267</xdr:row>
      <xdr:rowOff>25400</xdr:rowOff>
    </xdr:from>
    <xdr:to>
      <xdr:col>8</xdr:col>
      <xdr:colOff>885190</xdr:colOff>
      <xdr:row>1267</xdr:row>
      <xdr:rowOff>1209040</xdr:rowOff>
    </xdr:to>
    <xdr:pic>
      <xdr:nvPicPr>
        <xdr:cNvPr id="5168" name="Изображение 5167" descr="resizeПП-00270348"/>
        <xdr:cNvPicPr>
          <a:picLocks noChangeAspect="1"/>
        </xdr:cNvPicPr>
      </xdr:nvPicPr>
      <xdr:blipFill>
        <a:blip xmlns:r="http://schemas.openxmlformats.org/officeDocument/2006/relationships" r:embed="rId930"/>
        <a:stretch>
          <a:fillRect/>
        </a:stretch>
      </xdr:blipFill>
      <xdr:spPr>
        <a:xfrm>
          <a:off x="7264400" y="1223587850"/>
          <a:ext cx="878840" cy="1183640"/>
        </a:xfrm>
        <a:prstGeom prst="rect">
          <a:avLst/>
        </a:prstGeom>
      </xdr:spPr>
    </xdr:pic>
    <xdr:clientData/>
  </xdr:twoCellAnchor>
  <xdr:twoCellAnchor>
    <xdr:from>
      <xdr:col>8</xdr:col>
      <xdr:colOff>6350</xdr:colOff>
      <xdr:row>1269</xdr:row>
      <xdr:rowOff>25400</xdr:rowOff>
    </xdr:from>
    <xdr:to>
      <xdr:col>8</xdr:col>
      <xdr:colOff>885190</xdr:colOff>
      <xdr:row>1269</xdr:row>
      <xdr:rowOff>1209040</xdr:rowOff>
    </xdr:to>
    <xdr:pic>
      <xdr:nvPicPr>
        <xdr:cNvPr id="5169" name="Изображение 5168" descr="resizeПП-00227628"/>
        <xdr:cNvPicPr>
          <a:picLocks noChangeAspect="1"/>
        </xdr:cNvPicPr>
      </xdr:nvPicPr>
      <xdr:blipFill>
        <a:blip xmlns:r="http://schemas.openxmlformats.org/officeDocument/2006/relationships" r:embed="rId931"/>
        <a:stretch>
          <a:fillRect/>
        </a:stretch>
      </xdr:blipFill>
      <xdr:spPr>
        <a:xfrm>
          <a:off x="7264400" y="1224962625"/>
          <a:ext cx="878840" cy="1183640"/>
        </a:xfrm>
        <a:prstGeom prst="rect">
          <a:avLst/>
        </a:prstGeom>
      </xdr:spPr>
    </xdr:pic>
    <xdr:clientData/>
  </xdr:twoCellAnchor>
  <xdr:twoCellAnchor>
    <xdr:from>
      <xdr:col>8</xdr:col>
      <xdr:colOff>6350</xdr:colOff>
      <xdr:row>1270</xdr:row>
      <xdr:rowOff>25400</xdr:rowOff>
    </xdr:from>
    <xdr:to>
      <xdr:col>8</xdr:col>
      <xdr:colOff>885190</xdr:colOff>
      <xdr:row>1270</xdr:row>
      <xdr:rowOff>1209040</xdr:rowOff>
    </xdr:to>
    <xdr:pic>
      <xdr:nvPicPr>
        <xdr:cNvPr id="5170" name="Изображение 5169" descr="resizeПП-00227631"/>
        <xdr:cNvPicPr>
          <a:picLocks noChangeAspect="1"/>
        </xdr:cNvPicPr>
      </xdr:nvPicPr>
      <xdr:blipFill>
        <a:blip xmlns:r="http://schemas.openxmlformats.org/officeDocument/2006/relationships" r:embed="rId932"/>
        <a:stretch>
          <a:fillRect/>
        </a:stretch>
      </xdr:blipFill>
      <xdr:spPr>
        <a:xfrm>
          <a:off x="7264400" y="1226185000"/>
          <a:ext cx="878840" cy="1183640"/>
        </a:xfrm>
        <a:prstGeom prst="rect">
          <a:avLst/>
        </a:prstGeom>
      </xdr:spPr>
    </xdr:pic>
    <xdr:clientData/>
  </xdr:twoCellAnchor>
  <xdr:twoCellAnchor>
    <xdr:from>
      <xdr:col>8</xdr:col>
      <xdr:colOff>6350</xdr:colOff>
      <xdr:row>1271</xdr:row>
      <xdr:rowOff>25400</xdr:rowOff>
    </xdr:from>
    <xdr:to>
      <xdr:col>8</xdr:col>
      <xdr:colOff>885190</xdr:colOff>
      <xdr:row>1271</xdr:row>
      <xdr:rowOff>1209040</xdr:rowOff>
    </xdr:to>
    <xdr:pic>
      <xdr:nvPicPr>
        <xdr:cNvPr id="5171" name="Изображение 5170" descr="resizeПП-00227630"/>
        <xdr:cNvPicPr>
          <a:picLocks noChangeAspect="1"/>
        </xdr:cNvPicPr>
      </xdr:nvPicPr>
      <xdr:blipFill>
        <a:blip xmlns:r="http://schemas.openxmlformats.org/officeDocument/2006/relationships" r:embed="rId933"/>
        <a:stretch>
          <a:fillRect/>
        </a:stretch>
      </xdr:blipFill>
      <xdr:spPr>
        <a:xfrm>
          <a:off x="7264400" y="1227407375"/>
          <a:ext cx="878840" cy="1183640"/>
        </a:xfrm>
        <a:prstGeom prst="rect">
          <a:avLst/>
        </a:prstGeom>
      </xdr:spPr>
    </xdr:pic>
    <xdr:clientData/>
  </xdr:twoCellAnchor>
  <xdr:twoCellAnchor>
    <xdr:from>
      <xdr:col>8</xdr:col>
      <xdr:colOff>6350</xdr:colOff>
      <xdr:row>1272</xdr:row>
      <xdr:rowOff>25400</xdr:rowOff>
    </xdr:from>
    <xdr:to>
      <xdr:col>8</xdr:col>
      <xdr:colOff>885190</xdr:colOff>
      <xdr:row>1272</xdr:row>
      <xdr:rowOff>1209040</xdr:rowOff>
    </xdr:to>
    <xdr:pic>
      <xdr:nvPicPr>
        <xdr:cNvPr id="5172" name="Изображение 5171" descr="resizeПП-00227629"/>
        <xdr:cNvPicPr>
          <a:picLocks noChangeAspect="1"/>
        </xdr:cNvPicPr>
      </xdr:nvPicPr>
      <xdr:blipFill>
        <a:blip xmlns:r="http://schemas.openxmlformats.org/officeDocument/2006/relationships" r:embed="rId934"/>
        <a:stretch>
          <a:fillRect/>
        </a:stretch>
      </xdr:blipFill>
      <xdr:spPr>
        <a:xfrm>
          <a:off x="7264400" y="1228629750"/>
          <a:ext cx="878840" cy="1183640"/>
        </a:xfrm>
        <a:prstGeom prst="rect">
          <a:avLst/>
        </a:prstGeom>
      </xdr:spPr>
    </xdr:pic>
    <xdr:clientData/>
  </xdr:twoCellAnchor>
  <xdr:twoCellAnchor>
    <xdr:from>
      <xdr:col>8</xdr:col>
      <xdr:colOff>6350</xdr:colOff>
      <xdr:row>1273</xdr:row>
      <xdr:rowOff>25400</xdr:rowOff>
    </xdr:from>
    <xdr:to>
      <xdr:col>8</xdr:col>
      <xdr:colOff>885190</xdr:colOff>
      <xdr:row>1273</xdr:row>
      <xdr:rowOff>1209040</xdr:rowOff>
    </xdr:to>
    <xdr:pic>
      <xdr:nvPicPr>
        <xdr:cNvPr id="5173" name="Изображение 5172" descr="resizeПП-00246244"/>
        <xdr:cNvPicPr>
          <a:picLocks noChangeAspect="1"/>
        </xdr:cNvPicPr>
      </xdr:nvPicPr>
      <xdr:blipFill>
        <a:blip xmlns:r="http://schemas.openxmlformats.org/officeDocument/2006/relationships" r:embed="rId935"/>
        <a:stretch>
          <a:fillRect/>
        </a:stretch>
      </xdr:blipFill>
      <xdr:spPr>
        <a:xfrm>
          <a:off x="7264400" y="1229852125"/>
          <a:ext cx="878840" cy="1183640"/>
        </a:xfrm>
        <a:prstGeom prst="rect">
          <a:avLst/>
        </a:prstGeom>
      </xdr:spPr>
    </xdr:pic>
    <xdr:clientData/>
  </xdr:twoCellAnchor>
  <xdr:twoCellAnchor>
    <xdr:from>
      <xdr:col>8</xdr:col>
      <xdr:colOff>6350</xdr:colOff>
      <xdr:row>1275</xdr:row>
      <xdr:rowOff>25400</xdr:rowOff>
    </xdr:from>
    <xdr:to>
      <xdr:col>8</xdr:col>
      <xdr:colOff>885190</xdr:colOff>
      <xdr:row>1275</xdr:row>
      <xdr:rowOff>1209040</xdr:rowOff>
    </xdr:to>
    <xdr:pic>
      <xdr:nvPicPr>
        <xdr:cNvPr id="5174" name="Изображение 5173" descr="resizeПП-00227634"/>
        <xdr:cNvPicPr>
          <a:picLocks noChangeAspect="1"/>
        </xdr:cNvPicPr>
      </xdr:nvPicPr>
      <xdr:blipFill>
        <a:blip xmlns:r="http://schemas.openxmlformats.org/officeDocument/2006/relationships" r:embed="rId936"/>
        <a:stretch>
          <a:fillRect/>
        </a:stretch>
      </xdr:blipFill>
      <xdr:spPr>
        <a:xfrm>
          <a:off x="7264400" y="1231226900"/>
          <a:ext cx="878840" cy="1183640"/>
        </a:xfrm>
        <a:prstGeom prst="rect">
          <a:avLst/>
        </a:prstGeom>
      </xdr:spPr>
    </xdr:pic>
    <xdr:clientData/>
  </xdr:twoCellAnchor>
  <xdr:twoCellAnchor>
    <xdr:from>
      <xdr:col>8</xdr:col>
      <xdr:colOff>6350</xdr:colOff>
      <xdr:row>1276</xdr:row>
      <xdr:rowOff>25400</xdr:rowOff>
    </xdr:from>
    <xdr:to>
      <xdr:col>8</xdr:col>
      <xdr:colOff>885190</xdr:colOff>
      <xdr:row>1276</xdr:row>
      <xdr:rowOff>1209040</xdr:rowOff>
    </xdr:to>
    <xdr:pic>
      <xdr:nvPicPr>
        <xdr:cNvPr id="5175" name="Изображение 5174" descr="resizeПП-00227635"/>
        <xdr:cNvPicPr>
          <a:picLocks noChangeAspect="1"/>
        </xdr:cNvPicPr>
      </xdr:nvPicPr>
      <xdr:blipFill>
        <a:blip xmlns:r="http://schemas.openxmlformats.org/officeDocument/2006/relationships" r:embed="rId937"/>
        <a:stretch>
          <a:fillRect/>
        </a:stretch>
      </xdr:blipFill>
      <xdr:spPr>
        <a:xfrm>
          <a:off x="7264400" y="1232449275"/>
          <a:ext cx="878840" cy="1183640"/>
        </a:xfrm>
        <a:prstGeom prst="rect">
          <a:avLst/>
        </a:prstGeom>
      </xdr:spPr>
    </xdr:pic>
    <xdr:clientData/>
  </xdr:twoCellAnchor>
  <xdr:twoCellAnchor>
    <xdr:from>
      <xdr:col>8</xdr:col>
      <xdr:colOff>6350</xdr:colOff>
      <xdr:row>1277</xdr:row>
      <xdr:rowOff>25400</xdr:rowOff>
    </xdr:from>
    <xdr:to>
      <xdr:col>8</xdr:col>
      <xdr:colOff>885190</xdr:colOff>
      <xdr:row>1277</xdr:row>
      <xdr:rowOff>1209040</xdr:rowOff>
    </xdr:to>
    <xdr:pic>
      <xdr:nvPicPr>
        <xdr:cNvPr id="5176" name="Изображение 5175" descr="resizeПП-00227633"/>
        <xdr:cNvPicPr>
          <a:picLocks noChangeAspect="1"/>
        </xdr:cNvPicPr>
      </xdr:nvPicPr>
      <xdr:blipFill>
        <a:blip xmlns:r="http://schemas.openxmlformats.org/officeDocument/2006/relationships" r:embed="rId938"/>
        <a:stretch>
          <a:fillRect/>
        </a:stretch>
      </xdr:blipFill>
      <xdr:spPr>
        <a:xfrm>
          <a:off x="7264400" y="1233671650"/>
          <a:ext cx="878840" cy="1183640"/>
        </a:xfrm>
        <a:prstGeom prst="rect">
          <a:avLst/>
        </a:prstGeom>
      </xdr:spPr>
    </xdr:pic>
    <xdr:clientData/>
  </xdr:twoCellAnchor>
  <xdr:twoCellAnchor>
    <xdr:from>
      <xdr:col>8</xdr:col>
      <xdr:colOff>6350</xdr:colOff>
      <xdr:row>1278</xdr:row>
      <xdr:rowOff>25400</xdr:rowOff>
    </xdr:from>
    <xdr:to>
      <xdr:col>8</xdr:col>
      <xdr:colOff>885190</xdr:colOff>
      <xdr:row>1278</xdr:row>
      <xdr:rowOff>1209040</xdr:rowOff>
    </xdr:to>
    <xdr:pic>
      <xdr:nvPicPr>
        <xdr:cNvPr id="5177" name="Изображение 5176" descr="resizeПП-00227636"/>
        <xdr:cNvPicPr>
          <a:picLocks noChangeAspect="1"/>
        </xdr:cNvPicPr>
      </xdr:nvPicPr>
      <xdr:blipFill>
        <a:blip xmlns:r="http://schemas.openxmlformats.org/officeDocument/2006/relationships" r:embed="rId939"/>
        <a:stretch>
          <a:fillRect/>
        </a:stretch>
      </xdr:blipFill>
      <xdr:spPr>
        <a:xfrm>
          <a:off x="7264400" y="1234894025"/>
          <a:ext cx="878840" cy="1183640"/>
        </a:xfrm>
        <a:prstGeom prst="rect">
          <a:avLst/>
        </a:prstGeom>
      </xdr:spPr>
    </xdr:pic>
    <xdr:clientData/>
  </xdr:twoCellAnchor>
  <xdr:twoCellAnchor>
    <xdr:from>
      <xdr:col>8</xdr:col>
      <xdr:colOff>6350</xdr:colOff>
      <xdr:row>1279</xdr:row>
      <xdr:rowOff>25400</xdr:rowOff>
    </xdr:from>
    <xdr:to>
      <xdr:col>8</xdr:col>
      <xdr:colOff>885190</xdr:colOff>
      <xdr:row>1279</xdr:row>
      <xdr:rowOff>1209040</xdr:rowOff>
    </xdr:to>
    <xdr:pic>
      <xdr:nvPicPr>
        <xdr:cNvPr id="5178" name="Изображение 5177" descr="resizeПП-00246242"/>
        <xdr:cNvPicPr>
          <a:picLocks noChangeAspect="1"/>
        </xdr:cNvPicPr>
      </xdr:nvPicPr>
      <xdr:blipFill>
        <a:blip xmlns:r="http://schemas.openxmlformats.org/officeDocument/2006/relationships" r:embed="rId940"/>
        <a:stretch>
          <a:fillRect/>
        </a:stretch>
      </xdr:blipFill>
      <xdr:spPr>
        <a:xfrm>
          <a:off x="7264400" y="1236116400"/>
          <a:ext cx="878840" cy="1183640"/>
        </a:xfrm>
        <a:prstGeom prst="rect">
          <a:avLst/>
        </a:prstGeom>
      </xdr:spPr>
    </xdr:pic>
    <xdr:clientData/>
  </xdr:twoCellAnchor>
  <xdr:twoCellAnchor>
    <xdr:from>
      <xdr:col>8</xdr:col>
      <xdr:colOff>6350</xdr:colOff>
      <xdr:row>1281</xdr:row>
      <xdr:rowOff>25400</xdr:rowOff>
    </xdr:from>
    <xdr:to>
      <xdr:col>8</xdr:col>
      <xdr:colOff>885190</xdr:colOff>
      <xdr:row>1281</xdr:row>
      <xdr:rowOff>1209040</xdr:rowOff>
    </xdr:to>
    <xdr:pic>
      <xdr:nvPicPr>
        <xdr:cNvPr id="5179" name="Изображение 5178" descr="resizeПП-00227657"/>
        <xdr:cNvPicPr>
          <a:picLocks noChangeAspect="1"/>
        </xdr:cNvPicPr>
      </xdr:nvPicPr>
      <xdr:blipFill>
        <a:blip xmlns:r="http://schemas.openxmlformats.org/officeDocument/2006/relationships" r:embed="rId941"/>
        <a:stretch>
          <a:fillRect/>
        </a:stretch>
      </xdr:blipFill>
      <xdr:spPr>
        <a:xfrm>
          <a:off x="7264400" y="1237491175"/>
          <a:ext cx="878840" cy="1183640"/>
        </a:xfrm>
        <a:prstGeom prst="rect">
          <a:avLst/>
        </a:prstGeom>
      </xdr:spPr>
    </xdr:pic>
    <xdr:clientData/>
  </xdr:twoCellAnchor>
  <xdr:twoCellAnchor>
    <xdr:from>
      <xdr:col>8</xdr:col>
      <xdr:colOff>6350</xdr:colOff>
      <xdr:row>1282</xdr:row>
      <xdr:rowOff>25400</xdr:rowOff>
    </xdr:from>
    <xdr:to>
      <xdr:col>8</xdr:col>
      <xdr:colOff>885190</xdr:colOff>
      <xdr:row>1282</xdr:row>
      <xdr:rowOff>1209040</xdr:rowOff>
    </xdr:to>
    <xdr:pic>
      <xdr:nvPicPr>
        <xdr:cNvPr id="5180" name="Изображение 5179" descr="resizeПП-00227654"/>
        <xdr:cNvPicPr>
          <a:picLocks noChangeAspect="1"/>
        </xdr:cNvPicPr>
      </xdr:nvPicPr>
      <xdr:blipFill>
        <a:blip xmlns:r="http://schemas.openxmlformats.org/officeDocument/2006/relationships" r:embed="rId942"/>
        <a:stretch>
          <a:fillRect/>
        </a:stretch>
      </xdr:blipFill>
      <xdr:spPr>
        <a:xfrm>
          <a:off x="7264400" y="1238713550"/>
          <a:ext cx="878840" cy="1183640"/>
        </a:xfrm>
        <a:prstGeom prst="rect">
          <a:avLst/>
        </a:prstGeom>
      </xdr:spPr>
    </xdr:pic>
    <xdr:clientData/>
  </xdr:twoCellAnchor>
  <xdr:twoCellAnchor>
    <xdr:from>
      <xdr:col>8</xdr:col>
      <xdr:colOff>6350</xdr:colOff>
      <xdr:row>1283</xdr:row>
      <xdr:rowOff>25400</xdr:rowOff>
    </xdr:from>
    <xdr:to>
      <xdr:col>8</xdr:col>
      <xdr:colOff>885190</xdr:colOff>
      <xdr:row>1283</xdr:row>
      <xdr:rowOff>1209040</xdr:rowOff>
    </xdr:to>
    <xdr:pic>
      <xdr:nvPicPr>
        <xdr:cNvPr id="5181" name="Изображение 5180" descr="resizeПП-00227656"/>
        <xdr:cNvPicPr>
          <a:picLocks noChangeAspect="1"/>
        </xdr:cNvPicPr>
      </xdr:nvPicPr>
      <xdr:blipFill>
        <a:blip xmlns:r="http://schemas.openxmlformats.org/officeDocument/2006/relationships" r:embed="rId943"/>
        <a:stretch>
          <a:fillRect/>
        </a:stretch>
      </xdr:blipFill>
      <xdr:spPr>
        <a:xfrm>
          <a:off x="7264400" y="1239935925"/>
          <a:ext cx="878840" cy="1183640"/>
        </a:xfrm>
        <a:prstGeom prst="rect">
          <a:avLst/>
        </a:prstGeom>
      </xdr:spPr>
    </xdr:pic>
    <xdr:clientData/>
  </xdr:twoCellAnchor>
  <xdr:twoCellAnchor>
    <xdr:from>
      <xdr:col>8</xdr:col>
      <xdr:colOff>6350</xdr:colOff>
      <xdr:row>1284</xdr:row>
      <xdr:rowOff>25400</xdr:rowOff>
    </xdr:from>
    <xdr:to>
      <xdr:col>8</xdr:col>
      <xdr:colOff>885190</xdr:colOff>
      <xdr:row>1284</xdr:row>
      <xdr:rowOff>1209040</xdr:rowOff>
    </xdr:to>
    <xdr:pic>
      <xdr:nvPicPr>
        <xdr:cNvPr id="5182" name="Изображение 5181" descr="resizeПП-00227658"/>
        <xdr:cNvPicPr>
          <a:picLocks noChangeAspect="1"/>
        </xdr:cNvPicPr>
      </xdr:nvPicPr>
      <xdr:blipFill>
        <a:blip xmlns:r="http://schemas.openxmlformats.org/officeDocument/2006/relationships" r:embed="rId944"/>
        <a:stretch>
          <a:fillRect/>
        </a:stretch>
      </xdr:blipFill>
      <xdr:spPr>
        <a:xfrm>
          <a:off x="7264400" y="1241158300"/>
          <a:ext cx="878840" cy="1183640"/>
        </a:xfrm>
        <a:prstGeom prst="rect">
          <a:avLst/>
        </a:prstGeom>
      </xdr:spPr>
    </xdr:pic>
    <xdr:clientData/>
  </xdr:twoCellAnchor>
  <xdr:twoCellAnchor>
    <xdr:from>
      <xdr:col>8</xdr:col>
      <xdr:colOff>6350</xdr:colOff>
      <xdr:row>1285</xdr:row>
      <xdr:rowOff>25400</xdr:rowOff>
    </xdr:from>
    <xdr:to>
      <xdr:col>8</xdr:col>
      <xdr:colOff>885190</xdr:colOff>
      <xdr:row>1285</xdr:row>
      <xdr:rowOff>1209040</xdr:rowOff>
    </xdr:to>
    <xdr:pic>
      <xdr:nvPicPr>
        <xdr:cNvPr id="5183" name="Изображение 5182" descr="resizeПП-00246241"/>
        <xdr:cNvPicPr>
          <a:picLocks noChangeAspect="1"/>
        </xdr:cNvPicPr>
      </xdr:nvPicPr>
      <xdr:blipFill>
        <a:blip xmlns:r="http://schemas.openxmlformats.org/officeDocument/2006/relationships" r:embed="rId945"/>
        <a:stretch>
          <a:fillRect/>
        </a:stretch>
      </xdr:blipFill>
      <xdr:spPr>
        <a:xfrm>
          <a:off x="7264400" y="1242380675"/>
          <a:ext cx="878840" cy="1183640"/>
        </a:xfrm>
        <a:prstGeom prst="rect">
          <a:avLst/>
        </a:prstGeom>
      </xdr:spPr>
    </xdr:pic>
    <xdr:clientData/>
  </xdr:twoCellAnchor>
  <xdr:twoCellAnchor>
    <xdr:from>
      <xdr:col>8</xdr:col>
      <xdr:colOff>6350</xdr:colOff>
      <xdr:row>1287</xdr:row>
      <xdr:rowOff>25400</xdr:rowOff>
    </xdr:from>
    <xdr:to>
      <xdr:col>8</xdr:col>
      <xdr:colOff>885190</xdr:colOff>
      <xdr:row>1287</xdr:row>
      <xdr:rowOff>1209040</xdr:rowOff>
    </xdr:to>
    <xdr:pic>
      <xdr:nvPicPr>
        <xdr:cNvPr id="5184" name="Изображение 5183" descr="resizeПП-00227702"/>
        <xdr:cNvPicPr>
          <a:picLocks noChangeAspect="1"/>
        </xdr:cNvPicPr>
      </xdr:nvPicPr>
      <xdr:blipFill>
        <a:blip xmlns:r="http://schemas.openxmlformats.org/officeDocument/2006/relationships" r:embed="rId946"/>
        <a:stretch>
          <a:fillRect/>
        </a:stretch>
      </xdr:blipFill>
      <xdr:spPr>
        <a:xfrm>
          <a:off x="7264400" y="1243755450"/>
          <a:ext cx="878840" cy="1183640"/>
        </a:xfrm>
        <a:prstGeom prst="rect">
          <a:avLst/>
        </a:prstGeom>
      </xdr:spPr>
    </xdr:pic>
    <xdr:clientData/>
  </xdr:twoCellAnchor>
  <xdr:twoCellAnchor>
    <xdr:from>
      <xdr:col>8</xdr:col>
      <xdr:colOff>6350</xdr:colOff>
      <xdr:row>1288</xdr:row>
      <xdr:rowOff>25400</xdr:rowOff>
    </xdr:from>
    <xdr:to>
      <xdr:col>8</xdr:col>
      <xdr:colOff>885190</xdr:colOff>
      <xdr:row>1288</xdr:row>
      <xdr:rowOff>1209040</xdr:rowOff>
    </xdr:to>
    <xdr:pic>
      <xdr:nvPicPr>
        <xdr:cNvPr id="5185" name="Изображение 5184" descr="resizeПП-00227700"/>
        <xdr:cNvPicPr>
          <a:picLocks noChangeAspect="1"/>
        </xdr:cNvPicPr>
      </xdr:nvPicPr>
      <xdr:blipFill>
        <a:blip xmlns:r="http://schemas.openxmlformats.org/officeDocument/2006/relationships" r:embed="rId947"/>
        <a:stretch>
          <a:fillRect/>
        </a:stretch>
      </xdr:blipFill>
      <xdr:spPr>
        <a:xfrm>
          <a:off x="7264400" y="1244977825"/>
          <a:ext cx="878840" cy="1183640"/>
        </a:xfrm>
        <a:prstGeom prst="rect">
          <a:avLst/>
        </a:prstGeom>
      </xdr:spPr>
    </xdr:pic>
    <xdr:clientData/>
  </xdr:twoCellAnchor>
  <xdr:twoCellAnchor>
    <xdr:from>
      <xdr:col>8</xdr:col>
      <xdr:colOff>6350</xdr:colOff>
      <xdr:row>1289</xdr:row>
      <xdr:rowOff>25400</xdr:rowOff>
    </xdr:from>
    <xdr:to>
      <xdr:col>8</xdr:col>
      <xdr:colOff>885190</xdr:colOff>
      <xdr:row>1289</xdr:row>
      <xdr:rowOff>1209040</xdr:rowOff>
    </xdr:to>
    <xdr:pic>
      <xdr:nvPicPr>
        <xdr:cNvPr id="5186" name="Изображение 5185" descr="resizeПП-00227701"/>
        <xdr:cNvPicPr>
          <a:picLocks noChangeAspect="1"/>
        </xdr:cNvPicPr>
      </xdr:nvPicPr>
      <xdr:blipFill>
        <a:blip xmlns:r="http://schemas.openxmlformats.org/officeDocument/2006/relationships" r:embed="rId948"/>
        <a:stretch>
          <a:fillRect/>
        </a:stretch>
      </xdr:blipFill>
      <xdr:spPr>
        <a:xfrm>
          <a:off x="7264400" y="1246200200"/>
          <a:ext cx="878840" cy="1183640"/>
        </a:xfrm>
        <a:prstGeom prst="rect">
          <a:avLst/>
        </a:prstGeom>
      </xdr:spPr>
    </xdr:pic>
    <xdr:clientData/>
  </xdr:twoCellAnchor>
  <xdr:twoCellAnchor>
    <xdr:from>
      <xdr:col>8</xdr:col>
      <xdr:colOff>6350</xdr:colOff>
      <xdr:row>1290</xdr:row>
      <xdr:rowOff>25400</xdr:rowOff>
    </xdr:from>
    <xdr:to>
      <xdr:col>8</xdr:col>
      <xdr:colOff>885190</xdr:colOff>
      <xdr:row>1290</xdr:row>
      <xdr:rowOff>1209040</xdr:rowOff>
    </xdr:to>
    <xdr:pic>
      <xdr:nvPicPr>
        <xdr:cNvPr id="5187" name="Изображение 5186" descr="resizeПП-00227698"/>
        <xdr:cNvPicPr>
          <a:picLocks noChangeAspect="1"/>
        </xdr:cNvPicPr>
      </xdr:nvPicPr>
      <xdr:blipFill>
        <a:blip xmlns:r="http://schemas.openxmlformats.org/officeDocument/2006/relationships" r:embed="rId949"/>
        <a:stretch>
          <a:fillRect/>
        </a:stretch>
      </xdr:blipFill>
      <xdr:spPr>
        <a:xfrm>
          <a:off x="7264400" y="1247422575"/>
          <a:ext cx="878840" cy="1183640"/>
        </a:xfrm>
        <a:prstGeom prst="rect">
          <a:avLst/>
        </a:prstGeom>
      </xdr:spPr>
    </xdr:pic>
    <xdr:clientData/>
  </xdr:twoCellAnchor>
  <xdr:twoCellAnchor>
    <xdr:from>
      <xdr:col>8</xdr:col>
      <xdr:colOff>6350</xdr:colOff>
      <xdr:row>1292</xdr:row>
      <xdr:rowOff>25400</xdr:rowOff>
    </xdr:from>
    <xdr:to>
      <xdr:col>8</xdr:col>
      <xdr:colOff>885190</xdr:colOff>
      <xdr:row>1292</xdr:row>
      <xdr:rowOff>1209040</xdr:rowOff>
    </xdr:to>
    <xdr:pic>
      <xdr:nvPicPr>
        <xdr:cNvPr id="5188" name="Изображение 5187" descr="resizeПП-00232279"/>
        <xdr:cNvPicPr>
          <a:picLocks noChangeAspect="1"/>
        </xdr:cNvPicPr>
      </xdr:nvPicPr>
      <xdr:blipFill>
        <a:blip xmlns:r="http://schemas.openxmlformats.org/officeDocument/2006/relationships" r:embed="rId950"/>
        <a:stretch>
          <a:fillRect/>
        </a:stretch>
      </xdr:blipFill>
      <xdr:spPr>
        <a:xfrm>
          <a:off x="7264400" y="1248797350"/>
          <a:ext cx="878840" cy="1183640"/>
        </a:xfrm>
        <a:prstGeom prst="rect">
          <a:avLst/>
        </a:prstGeom>
      </xdr:spPr>
    </xdr:pic>
    <xdr:clientData/>
  </xdr:twoCellAnchor>
  <xdr:twoCellAnchor>
    <xdr:from>
      <xdr:col>8</xdr:col>
      <xdr:colOff>6350</xdr:colOff>
      <xdr:row>1293</xdr:row>
      <xdr:rowOff>25400</xdr:rowOff>
    </xdr:from>
    <xdr:to>
      <xdr:col>8</xdr:col>
      <xdr:colOff>885190</xdr:colOff>
      <xdr:row>1293</xdr:row>
      <xdr:rowOff>1209040</xdr:rowOff>
    </xdr:to>
    <xdr:pic>
      <xdr:nvPicPr>
        <xdr:cNvPr id="5189" name="Изображение 5188" descr="resizeПП-00232282"/>
        <xdr:cNvPicPr>
          <a:picLocks noChangeAspect="1"/>
        </xdr:cNvPicPr>
      </xdr:nvPicPr>
      <xdr:blipFill>
        <a:blip xmlns:r="http://schemas.openxmlformats.org/officeDocument/2006/relationships" r:embed="rId951"/>
        <a:stretch>
          <a:fillRect/>
        </a:stretch>
      </xdr:blipFill>
      <xdr:spPr>
        <a:xfrm>
          <a:off x="7264400" y="1250019725"/>
          <a:ext cx="878840" cy="1183640"/>
        </a:xfrm>
        <a:prstGeom prst="rect">
          <a:avLst/>
        </a:prstGeom>
      </xdr:spPr>
    </xdr:pic>
    <xdr:clientData/>
  </xdr:twoCellAnchor>
  <xdr:twoCellAnchor>
    <xdr:from>
      <xdr:col>8</xdr:col>
      <xdr:colOff>6350</xdr:colOff>
      <xdr:row>1294</xdr:row>
      <xdr:rowOff>25400</xdr:rowOff>
    </xdr:from>
    <xdr:to>
      <xdr:col>8</xdr:col>
      <xdr:colOff>885190</xdr:colOff>
      <xdr:row>1294</xdr:row>
      <xdr:rowOff>1209040</xdr:rowOff>
    </xdr:to>
    <xdr:pic>
      <xdr:nvPicPr>
        <xdr:cNvPr id="5190" name="Изображение 5189" descr="resizeПП-00232281"/>
        <xdr:cNvPicPr>
          <a:picLocks noChangeAspect="1"/>
        </xdr:cNvPicPr>
      </xdr:nvPicPr>
      <xdr:blipFill>
        <a:blip xmlns:r="http://schemas.openxmlformats.org/officeDocument/2006/relationships" r:embed="rId952"/>
        <a:stretch>
          <a:fillRect/>
        </a:stretch>
      </xdr:blipFill>
      <xdr:spPr>
        <a:xfrm>
          <a:off x="7264400" y="1251242100"/>
          <a:ext cx="878840" cy="1183640"/>
        </a:xfrm>
        <a:prstGeom prst="rect">
          <a:avLst/>
        </a:prstGeom>
      </xdr:spPr>
    </xdr:pic>
    <xdr:clientData/>
  </xdr:twoCellAnchor>
  <xdr:twoCellAnchor>
    <xdr:from>
      <xdr:col>8</xdr:col>
      <xdr:colOff>6350</xdr:colOff>
      <xdr:row>1295</xdr:row>
      <xdr:rowOff>25400</xdr:rowOff>
    </xdr:from>
    <xdr:to>
      <xdr:col>8</xdr:col>
      <xdr:colOff>885190</xdr:colOff>
      <xdr:row>1295</xdr:row>
      <xdr:rowOff>1209040</xdr:rowOff>
    </xdr:to>
    <xdr:pic>
      <xdr:nvPicPr>
        <xdr:cNvPr id="5191" name="Изображение 5190" descr="resizeПП-00232280"/>
        <xdr:cNvPicPr>
          <a:picLocks noChangeAspect="1"/>
        </xdr:cNvPicPr>
      </xdr:nvPicPr>
      <xdr:blipFill>
        <a:blip xmlns:r="http://schemas.openxmlformats.org/officeDocument/2006/relationships" r:embed="rId953"/>
        <a:stretch>
          <a:fillRect/>
        </a:stretch>
      </xdr:blipFill>
      <xdr:spPr>
        <a:xfrm>
          <a:off x="7264400" y="1252464475"/>
          <a:ext cx="878840" cy="1183640"/>
        </a:xfrm>
        <a:prstGeom prst="rect">
          <a:avLst/>
        </a:prstGeom>
      </xdr:spPr>
    </xdr:pic>
    <xdr:clientData/>
  </xdr:twoCellAnchor>
  <xdr:twoCellAnchor>
    <xdr:from>
      <xdr:col>8</xdr:col>
      <xdr:colOff>6350</xdr:colOff>
      <xdr:row>1298</xdr:row>
      <xdr:rowOff>25400</xdr:rowOff>
    </xdr:from>
    <xdr:to>
      <xdr:col>8</xdr:col>
      <xdr:colOff>885190</xdr:colOff>
      <xdr:row>1298</xdr:row>
      <xdr:rowOff>1209040</xdr:rowOff>
    </xdr:to>
    <xdr:pic>
      <xdr:nvPicPr>
        <xdr:cNvPr id="5192" name="Изображение 5191" descr="resizeПП-00187064"/>
        <xdr:cNvPicPr>
          <a:picLocks noChangeAspect="1"/>
        </xdr:cNvPicPr>
      </xdr:nvPicPr>
      <xdr:blipFill>
        <a:blip xmlns:r="http://schemas.openxmlformats.org/officeDocument/2006/relationships" r:embed="rId954"/>
        <a:stretch>
          <a:fillRect/>
        </a:stretch>
      </xdr:blipFill>
      <xdr:spPr>
        <a:xfrm>
          <a:off x="7264400" y="1253991650"/>
          <a:ext cx="878840" cy="1183640"/>
        </a:xfrm>
        <a:prstGeom prst="rect">
          <a:avLst/>
        </a:prstGeom>
      </xdr:spPr>
    </xdr:pic>
    <xdr:clientData/>
  </xdr:twoCellAnchor>
  <xdr:twoCellAnchor>
    <xdr:from>
      <xdr:col>8</xdr:col>
      <xdr:colOff>6350</xdr:colOff>
      <xdr:row>1299</xdr:row>
      <xdr:rowOff>25400</xdr:rowOff>
    </xdr:from>
    <xdr:to>
      <xdr:col>8</xdr:col>
      <xdr:colOff>885190</xdr:colOff>
      <xdr:row>1299</xdr:row>
      <xdr:rowOff>1209040</xdr:rowOff>
    </xdr:to>
    <xdr:pic>
      <xdr:nvPicPr>
        <xdr:cNvPr id="5193" name="Изображение 5192" descr="resizeПП-00187061"/>
        <xdr:cNvPicPr>
          <a:picLocks noChangeAspect="1"/>
        </xdr:cNvPicPr>
      </xdr:nvPicPr>
      <xdr:blipFill>
        <a:blip xmlns:r="http://schemas.openxmlformats.org/officeDocument/2006/relationships" r:embed="rId955"/>
        <a:stretch>
          <a:fillRect/>
        </a:stretch>
      </xdr:blipFill>
      <xdr:spPr>
        <a:xfrm>
          <a:off x="7264400" y="1255214025"/>
          <a:ext cx="878840" cy="1183640"/>
        </a:xfrm>
        <a:prstGeom prst="rect">
          <a:avLst/>
        </a:prstGeom>
      </xdr:spPr>
    </xdr:pic>
    <xdr:clientData/>
  </xdr:twoCellAnchor>
  <xdr:twoCellAnchor>
    <xdr:from>
      <xdr:col>8</xdr:col>
      <xdr:colOff>6350</xdr:colOff>
      <xdr:row>1300</xdr:row>
      <xdr:rowOff>25400</xdr:rowOff>
    </xdr:from>
    <xdr:to>
      <xdr:col>8</xdr:col>
      <xdr:colOff>885190</xdr:colOff>
      <xdr:row>1300</xdr:row>
      <xdr:rowOff>1209040</xdr:rowOff>
    </xdr:to>
    <xdr:pic>
      <xdr:nvPicPr>
        <xdr:cNvPr id="5194" name="Изображение 5193" descr="resizeПП-00187059"/>
        <xdr:cNvPicPr>
          <a:picLocks noChangeAspect="1"/>
        </xdr:cNvPicPr>
      </xdr:nvPicPr>
      <xdr:blipFill>
        <a:blip xmlns:r="http://schemas.openxmlformats.org/officeDocument/2006/relationships" r:embed="rId956"/>
        <a:stretch>
          <a:fillRect/>
        </a:stretch>
      </xdr:blipFill>
      <xdr:spPr>
        <a:xfrm>
          <a:off x="7264400" y="1256436400"/>
          <a:ext cx="878840" cy="1183640"/>
        </a:xfrm>
        <a:prstGeom prst="rect">
          <a:avLst/>
        </a:prstGeom>
      </xdr:spPr>
    </xdr:pic>
    <xdr:clientData/>
  </xdr:twoCellAnchor>
  <xdr:twoCellAnchor>
    <xdr:from>
      <xdr:col>8</xdr:col>
      <xdr:colOff>6350</xdr:colOff>
      <xdr:row>1301</xdr:row>
      <xdr:rowOff>25400</xdr:rowOff>
    </xdr:from>
    <xdr:to>
      <xdr:col>8</xdr:col>
      <xdr:colOff>885190</xdr:colOff>
      <xdr:row>1301</xdr:row>
      <xdr:rowOff>1209040</xdr:rowOff>
    </xdr:to>
    <xdr:pic>
      <xdr:nvPicPr>
        <xdr:cNvPr id="5195" name="Изображение 5194" descr="resizeПП-00187058"/>
        <xdr:cNvPicPr>
          <a:picLocks noChangeAspect="1"/>
        </xdr:cNvPicPr>
      </xdr:nvPicPr>
      <xdr:blipFill>
        <a:blip xmlns:r="http://schemas.openxmlformats.org/officeDocument/2006/relationships" r:embed="rId957"/>
        <a:stretch>
          <a:fillRect/>
        </a:stretch>
      </xdr:blipFill>
      <xdr:spPr>
        <a:xfrm>
          <a:off x="7264400" y="1257658775"/>
          <a:ext cx="878840" cy="1183640"/>
        </a:xfrm>
        <a:prstGeom prst="rect">
          <a:avLst/>
        </a:prstGeom>
      </xdr:spPr>
    </xdr:pic>
    <xdr:clientData/>
  </xdr:twoCellAnchor>
  <xdr:twoCellAnchor>
    <xdr:from>
      <xdr:col>8</xdr:col>
      <xdr:colOff>6350</xdr:colOff>
      <xdr:row>1302</xdr:row>
      <xdr:rowOff>25400</xdr:rowOff>
    </xdr:from>
    <xdr:to>
      <xdr:col>8</xdr:col>
      <xdr:colOff>885190</xdr:colOff>
      <xdr:row>1302</xdr:row>
      <xdr:rowOff>1209040</xdr:rowOff>
    </xdr:to>
    <xdr:pic>
      <xdr:nvPicPr>
        <xdr:cNvPr id="5196" name="Изображение 5195" descr="resizeПП-00187055"/>
        <xdr:cNvPicPr>
          <a:picLocks noChangeAspect="1"/>
        </xdr:cNvPicPr>
      </xdr:nvPicPr>
      <xdr:blipFill>
        <a:blip xmlns:r="http://schemas.openxmlformats.org/officeDocument/2006/relationships" r:embed="rId958"/>
        <a:stretch>
          <a:fillRect/>
        </a:stretch>
      </xdr:blipFill>
      <xdr:spPr>
        <a:xfrm>
          <a:off x="7264400" y="1258881150"/>
          <a:ext cx="878840" cy="1183640"/>
        </a:xfrm>
        <a:prstGeom prst="rect">
          <a:avLst/>
        </a:prstGeom>
      </xdr:spPr>
    </xdr:pic>
    <xdr:clientData/>
  </xdr:twoCellAnchor>
  <xdr:twoCellAnchor>
    <xdr:from>
      <xdr:col>8</xdr:col>
      <xdr:colOff>6350</xdr:colOff>
      <xdr:row>1303</xdr:row>
      <xdr:rowOff>25400</xdr:rowOff>
    </xdr:from>
    <xdr:to>
      <xdr:col>8</xdr:col>
      <xdr:colOff>885190</xdr:colOff>
      <xdr:row>1303</xdr:row>
      <xdr:rowOff>1209040</xdr:rowOff>
    </xdr:to>
    <xdr:pic>
      <xdr:nvPicPr>
        <xdr:cNvPr id="5197" name="Изображение 5196" descr="resizeПП-00187054"/>
        <xdr:cNvPicPr>
          <a:picLocks noChangeAspect="1"/>
        </xdr:cNvPicPr>
      </xdr:nvPicPr>
      <xdr:blipFill>
        <a:blip xmlns:r="http://schemas.openxmlformats.org/officeDocument/2006/relationships" r:embed="rId959"/>
        <a:stretch>
          <a:fillRect/>
        </a:stretch>
      </xdr:blipFill>
      <xdr:spPr>
        <a:xfrm>
          <a:off x="7264400" y="1260103525"/>
          <a:ext cx="878840" cy="1183640"/>
        </a:xfrm>
        <a:prstGeom prst="rect">
          <a:avLst/>
        </a:prstGeom>
      </xdr:spPr>
    </xdr:pic>
    <xdr:clientData/>
  </xdr:twoCellAnchor>
  <xdr:twoCellAnchor>
    <xdr:from>
      <xdr:col>8</xdr:col>
      <xdr:colOff>6350</xdr:colOff>
      <xdr:row>1304</xdr:row>
      <xdr:rowOff>25400</xdr:rowOff>
    </xdr:from>
    <xdr:to>
      <xdr:col>8</xdr:col>
      <xdr:colOff>885190</xdr:colOff>
      <xdr:row>1304</xdr:row>
      <xdr:rowOff>1209040</xdr:rowOff>
    </xdr:to>
    <xdr:pic>
      <xdr:nvPicPr>
        <xdr:cNvPr id="5198" name="Изображение 5197" descr="resizeПП-00082759"/>
        <xdr:cNvPicPr>
          <a:picLocks noChangeAspect="1"/>
        </xdr:cNvPicPr>
      </xdr:nvPicPr>
      <xdr:blipFill>
        <a:blip xmlns:r="http://schemas.openxmlformats.org/officeDocument/2006/relationships" r:embed="rId960"/>
        <a:stretch>
          <a:fillRect/>
        </a:stretch>
      </xdr:blipFill>
      <xdr:spPr>
        <a:xfrm>
          <a:off x="7264400" y="1261325900"/>
          <a:ext cx="878840" cy="1183640"/>
        </a:xfrm>
        <a:prstGeom prst="rect">
          <a:avLst/>
        </a:prstGeom>
      </xdr:spPr>
    </xdr:pic>
    <xdr:clientData/>
  </xdr:twoCellAnchor>
  <xdr:twoCellAnchor>
    <xdr:from>
      <xdr:col>8</xdr:col>
      <xdr:colOff>6350</xdr:colOff>
      <xdr:row>1305</xdr:row>
      <xdr:rowOff>25400</xdr:rowOff>
    </xdr:from>
    <xdr:to>
      <xdr:col>8</xdr:col>
      <xdr:colOff>885190</xdr:colOff>
      <xdr:row>1305</xdr:row>
      <xdr:rowOff>1209040</xdr:rowOff>
    </xdr:to>
    <xdr:pic>
      <xdr:nvPicPr>
        <xdr:cNvPr id="5199" name="Изображение 5198" descr="resizeПП-00082757"/>
        <xdr:cNvPicPr>
          <a:picLocks noChangeAspect="1"/>
        </xdr:cNvPicPr>
      </xdr:nvPicPr>
      <xdr:blipFill>
        <a:blip xmlns:r="http://schemas.openxmlformats.org/officeDocument/2006/relationships" r:embed="rId961"/>
        <a:stretch>
          <a:fillRect/>
        </a:stretch>
      </xdr:blipFill>
      <xdr:spPr>
        <a:xfrm>
          <a:off x="7264400" y="1262548275"/>
          <a:ext cx="878840" cy="1183640"/>
        </a:xfrm>
        <a:prstGeom prst="rect">
          <a:avLst/>
        </a:prstGeom>
      </xdr:spPr>
    </xdr:pic>
    <xdr:clientData/>
  </xdr:twoCellAnchor>
  <xdr:twoCellAnchor>
    <xdr:from>
      <xdr:col>8</xdr:col>
      <xdr:colOff>6350</xdr:colOff>
      <xdr:row>1306</xdr:row>
      <xdr:rowOff>25400</xdr:rowOff>
    </xdr:from>
    <xdr:to>
      <xdr:col>8</xdr:col>
      <xdr:colOff>885190</xdr:colOff>
      <xdr:row>1306</xdr:row>
      <xdr:rowOff>1209040</xdr:rowOff>
    </xdr:to>
    <xdr:pic>
      <xdr:nvPicPr>
        <xdr:cNvPr id="5200" name="Изображение 5199" descr="resizeПП-00163919"/>
        <xdr:cNvPicPr>
          <a:picLocks noChangeAspect="1"/>
        </xdr:cNvPicPr>
      </xdr:nvPicPr>
      <xdr:blipFill>
        <a:blip xmlns:r="http://schemas.openxmlformats.org/officeDocument/2006/relationships" r:embed="rId962"/>
        <a:stretch>
          <a:fillRect/>
        </a:stretch>
      </xdr:blipFill>
      <xdr:spPr>
        <a:xfrm>
          <a:off x="7264400" y="1263770650"/>
          <a:ext cx="878840" cy="1183640"/>
        </a:xfrm>
        <a:prstGeom prst="rect">
          <a:avLst/>
        </a:prstGeom>
      </xdr:spPr>
    </xdr:pic>
    <xdr:clientData/>
  </xdr:twoCellAnchor>
  <xdr:twoCellAnchor>
    <xdr:from>
      <xdr:col>8</xdr:col>
      <xdr:colOff>6350</xdr:colOff>
      <xdr:row>1307</xdr:row>
      <xdr:rowOff>25400</xdr:rowOff>
    </xdr:from>
    <xdr:to>
      <xdr:col>8</xdr:col>
      <xdr:colOff>885190</xdr:colOff>
      <xdr:row>1307</xdr:row>
      <xdr:rowOff>1209040</xdr:rowOff>
    </xdr:to>
    <xdr:pic>
      <xdr:nvPicPr>
        <xdr:cNvPr id="5201" name="Изображение 5200" descr="resizeПП-00163916"/>
        <xdr:cNvPicPr>
          <a:picLocks noChangeAspect="1"/>
        </xdr:cNvPicPr>
      </xdr:nvPicPr>
      <xdr:blipFill>
        <a:blip xmlns:r="http://schemas.openxmlformats.org/officeDocument/2006/relationships" r:embed="rId963"/>
        <a:stretch>
          <a:fillRect/>
        </a:stretch>
      </xdr:blipFill>
      <xdr:spPr>
        <a:xfrm>
          <a:off x="7264400" y="1264993025"/>
          <a:ext cx="878840" cy="1183640"/>
        </a:xfrm>
        <a:prstGeom prst="rect">
          <a:avLst/>
        </a:prstGeom>
      </xdr:spPr>
    </xdr:pic>
    <xdr:clientData/>
  </xdr:twoCellAnchor>
  <xdr:twoCellAnchor>
    <xdr:from>
      <xdr:col>8</xdr:col>
      <xdr:colOff>6350</xdr:colOff>
      <xdr:row>1310</xdr:row>
      <xdr:rowOff>25400</xdr:rowOff>
    </xdr:from>
    <xdr:to>
      <xdr:col>8</xdr:col>
      <xdr:colOff>885190</xdr:colOff>
      <xdr:row>1310</xdr:row>
      <xdr:rowOff>1209040</xdr:rowOff>
    </xdr:to>
    <xdr:pic>
      <xdr:nvPicPr>
        <xdr:cNvPr id="5202" name="Изображение 5201" descr="resizeПП-00103692"/>
        <xdr:cNvPicPr>
          <a:picLocks noChangeAspect="1"/>
        </xdr:cNvPicPr>
      </xdr:nvPicPr>
      <xdr:blipFill>
        <a:blip xmlns:r="http://schemas.openxmlformats.org/officeDocument/2006/relationships" r:embed="rId964"/>
        <a:stretch>
          <a:fillRect/>
        </a:stretch>
      </xdr:blipFill>
      <xdr:spPr>
        <a:xfrm>
          <a:off x="7264400" y="1266520200"/>
          <a:ext cx="878840" cy="1183640"/>
        </a:xfrm>
        <a:prstGeom prst="rect">
          <a:avLst/>
        </a:prstGeom>
      </xdr:spPr>
    </xdr:pic>
    <xdr:clientData/>
  </xdr:twoCellAnchor>
  <xdr:twoCellAnchor>
    <xdr:from>
      <xdr:col>8</xdr:col>
      <xdr:colOff>6350</xdr:colOff>
      <xdr:row>1311</xdr:row>
      <xdr:rowOff>25400</xdr:rowOff>
    </xdr:from>
    <xdr:to>
      <xdr:col>8</xdr:col>
      <xdr:colOff>885190</xdr:colOff>
      <xdr:row>1311</xdr:row>
      <xdr:rowOff>1209040</xdr:rowOff>
    </xdr:to>
    <xdr:pic>
      <xdr:nvPicPr>
        <xdr:cNvPr id="5203" name="Изображение 5202" descr="resizeПП-00103695"/>
        <xdr:cNvPicPr>
          <a:picLocks noChangeAspect="1"/>
        </xdr:cNvPicPr>
      </xdr:nvPicPr>
      <xdr:blipFill>
        <a:blip xmlns:r="http://schemas.openxmlformats.org/officeDocument/2006/relationships" r:embed="rId965"/>
        <a:stretch>
          <a:fillRect/>
        </a:stretch>
      </xdr:blipFill>
      <xdr:spPr>
        <a:xfrm>
          <a:off x="7264400" y="1267742575"/>
          <a:ext cx="878840" cy="1183640"/>
        </a:xfrm>
        <a:prstGeom prst="rect">
          <a:avLst/>
        </a:prstGeom>
      </xdr:spPr>
    </xdr:pic>
    <xdr:clientData/>
  </xdr:twoCellAnchor>
  <xdr:twoCellAnchor>
    <xdr:from>
      <xdr:col>8</xdr:col>
      <xdr:colOff>6350</xdr:colOff>
      <xdr:row>1312</xdr:row>
      <xdr:rowOff>25400</xdr:rowOff>
    </xdr:from>
    <xdr:to>
      <xdr:col>8</xdr:col>
      <xdr:colOff>885190</xdr:colOff>
      <xdr:row>1312</xdr:row>
      <xdr:rowOff>1209040</xdr:rowOff>
    </xdr:to>
    <xdr:pic>
      <xdr:nvPicPr>
        <xdr:cNvPr id="5204" name="Изображение 5203" descr="resizeПП-00187105"/>
        <xdr:cNvPicPr>
          <a:picLocks noChangeAspect="1"/>
        </xdr:cNvPicPr>
      </xdr:nvPicPr>
      <xdr:blipFill>
        <a:blip xmlns:r="http://schemas.openxmlformats.org/officeDocument/2006/relationships" r:embed="rId966"/>
        <a:stretch>
          <a:fillRect/>
        </a:stretch>
      </xdr:blipFill>
      <xdr:spPr>
        <a:xfrm>
          <a:off x="7264400" y="1268964950"/>
          <a:ext cx="878840" cy="1183640"/>
        </a:xfrm>
        <a:prstGeom prst="rect">
          <a:avLst/>
        </a:prstGeom>
      </xdr:spPr>
    </xdr:pic>
    <xdr:clientData/>
  </xdr:twoCellAnchor>
  <xdr:twoCellAnchor>
    <xdr:from>
      <xdr:col>8</xdr:col>
      <xdr:colOff>6350</xdr:colOff>
      <xdr:row>1313</xdr:row>
      <xdr:rowOff>25400</xdr:rowOff>
    </xdr:from>
    <xdr:to>
      <xdr:col>8</xdr:col>
      <xdr:colOff>885190</xdr:colOff>
      <xdr:row>1313</xdr:row>
      <xdr:rowOff>1209040</xdr:rowOff>
    </xdr:to>
    <xdr:pic>
      <xdr:nvPicPr>
        <xdr:cNvPr id="5205" name="Изображение 5204" descr="resizeПП-00187075"/>
        <xdr:cNvPicPr>
          <a:picLocks noChangeAspect="1"/>
        </xdr:cNvPicPr>
      </xdr:nvPicPr>
      <xdr:blipFill>
        <a:blip xmlns:r="http://schemas.openxmlformats.org/officeDocument/2006/relationships" r:embed="rId967"/>
        <a:stretch>
          <a:fillRect/>
        </a:stretch>
      </xdr:blipFill>
      <xdr:spPr>
        <a:xfrm>
          <a:off x="7264400" y="1270187325"/>
          <a:ext cx="878840" cy="1183640"/>
        </a:xfrm>
        <a:prstGeom prst="rect">
          <a:avLst/>
        </a:prstGeom>
      </xdr:spPr>
    </xdr:pic>
    <xdr:clientData/>
  </xdr:twoCellAnchor>
  <xdr:twoCellAnchor>
    <xdr:from>
      <xdr:col>8</xdr:col>
      <xdr:colOff>6350</xdr:colOff>
      <xdr:row>1314</xdr:row>
      <xdr:rowOff>25400</xdr:rowOff>
    </xdr:from>
    <xdr:to>
      <xdr:col>8</xdr:col>
      <xdr:colOff>885190</xdr:colOff>
      <xdr:row>1314</xdr:row>
      <xdr:rowOff>1209040</xdr:rowOff>
    </xdr:to>
    <xdr:pic>
      <xdr:nvPicPr>
        <xdr:cNvPr id="5206" name="Изображение 5205" descr="resizeПП-00187102"/>
        <xdr:cNvPicPr>
          <a:picLocks noChangeAspect="1"/>
        </xdr:cNvPicPr>
      </xdr:nvPicPr>
      <xdr:blipFill>
        <a:blip xmlns:r="http://schemas.openxmlformats.org/officeDocument/2006/relationships" r:embed="rId968"/>
        <a:stretch>
          <a:fillRect/>
        </a:stretch>
      </xdr:blipFill>
      <xdr:spPr>
        <a:xfrm>
          <a:off x="7264400" y="1271409700"/>
          <a:ext cx="878840" cy="1183640"/>
        </a:xfrm>
        <a:prstGeom prst="rect">
          <a:avLst/>
        </a:prstGeom>
      </xdr:spPr>
    </xdr:pic>
    <xdr:clientData/>
  </xdr:twoCellAnchor>
  <xdr:twoCellAnchor>
    <xdr:from>
      <xdr:col>8</xdr:col>
      <xdr:colOff>6350</xdr:colOff>
      <xdr:row>1315</xdr:row>
      <xdr:rowOff>25400</xdr:rowOff>
    </xdr:from>
    <xdr:to>
      <xdr:col>8</xdr:col>
      <xdr:colOff>885190</xdr:colOff>
      <xdr:row>1315</xdr:row>
      <xdr:rowOff>1209040</xdr:rowOff>
    </xdr:to>
    <xdr:pic>
      <xdr:nvPicPr>
        <xdr:cNvPr id="5207" name="Изображение 5206" descr="resizeПП-00187082"/>
        <xdr:cNvPicPr>
          <a:picLocks noChangeAspect="1"/>
        </xdr:cNvPicPr>
      </xdr:nvPicPr>
      <xdr:blipFill>
        <a:blip xmlns:r="http://schemas.openxmlformats.org/officeDocument/2006/relationships" r:embed="rId969"/>
        <a:stretch>
          <a:fillRect/>
        </a:stretch>
      </xdr:blipFill>
      <xdr:spPr>
        <a:xfrm>
          <a:off x="7264400" y="1272632075"/>
          <a:ext cx="878840" cy="1183640"/>
        </a:xfrm>
        <a:prstGeom prst="rect">
          <a:avLst/>
        </a:prstGeom>
      </xdr:spPr>
    </xdr:pic>
    <xdr:clientData/>
  </xdr:twoCellAnchor>
  <xdr:twoCellAnchor>
    <xdr:from>
      <xdr:col>8</xdr:col>
      <xdr:colOff>6350</xdr:colOff>
      <xdr:row>1316</xdr:row>
      <xdr:rowOff>25400</xdr:rowOff>
    </xdr:from>
    <xdr:to>
      <xdr:col>8</xdr:col>
      <xdr:colOff>885190</xdr:colOff>
      <xdr:row>1316</xdr:row>
      <xdr:rowOff>1209040</xdr:rowOff>
    </xdr:to>
    <xdr:pic>
      <xdr:nvPicPr>
        <xdr:cNvPr id="5208" name="Изображение 5207" descr="resizeПП-00187093"/>
        <xdr:cNvPicPr>
          <a:picLocks noChangeAspect="1"/>
        </xdr:cNvPicPr>
      </xdr:nvPicPr>
      <xdr:blipFill>
        <a:blip xmlns:r="http://schemas.openxmlformats.org/officeDocument/2006/relationships" r:embed="rId970"/>
        <a:stretch>
          <a:fillRect/>
        </a:stretch>
      </xdr:blipFill>
      <xdr:spPr>
        <a:xfrm>
          <a:off x="7264400" y="1273854450"/>
          <a:ext cx="878840" cy="1183640"/>
        </a:xfrm>
        <a:prstGeom prst="rect">
          <a:avLst/>
        </a:prstGeom>
      </xdr:spPr>
    </xdr:pic>
    <xdr:clientData/>
  </xdr:twoCellAnchor>
  <xdr:twoCellAnchor>
    <xdr:from>
      <xdr:col>8</xdr:col>
      <xdr:colOff>6350</xdr:colOff>
      <xdr:row>1317</xdr:row>
      <xdr:rowOff>25400</xdr:rowOff>
    </xdr:from>
    <xdr:to>
      <xdr:col>8</xdr:col>
      <xdr:colOff>885190</xdr:colOff>
      <xdr:row>1317</xdr:row>
      <xdr:rowOff>1209040</xdr:rowOff>
    </xdr:to>
    <xdr:pic>
      <xdr:nvPicPr>
        <xdr:cNvPr id="5209" name="Изображение 5208" descr="resizeПП-00203583"/>
        <xdr:cNvPicPr>
          <a:picLocks noChangeAspect="1"/>
        </xdr:cNvPicPr>
      </xdr:nvPicPr>
      <xdr:blipFill>
        <a:blip xmlns:r="http://schemas.openxmlformats.org/officeDocument/2006/relationships" r:embed="rId971"/>
        <a:stretch>
          <a:fillRect/>
        </a:stretch>
      </xdr:blipFill>
      <xdr:spPr>
        <a:xfrm>
          <a:off x="7264400" y="1275076825"/>
          <a:ext cx="878840" cy="1183640"/>
        </a:xfrm>
        <a:prstGeom prst="rect">
          <a:avLst/>
        </a:prstGeom>
      </xdr:spPr>
    </xdr:pic>
    <xdr:clientData/>
  </xdr:twoCellAnchor>
  <xdr:twoCellAnchor>
    <xdr:from>
      <xdr:col>8</xdr:col>
      <xdr:colOff>6350</xdr:colOff>
      <xdr:row>1318</xdr:row>
      <xdr:rowOff>25400</xdr:rowOff>
    </xdr:from>
    <xdr:to>
      <xdr:col>8</xdr:col>
      <xdr:colOff>885190</xdr:colOff>
      <xdr:row>1318</xdr:row>
      <xdr:rowOff>1209040</xdr:rowOff>
    </xdr:to>
    <xdr:pic>
      <xdr:nvPicPr>
        <xdr:cNvPr id="5210" name="Изображение 5209" descr="resizeПП-00163922"/>
        <xdr:cNvPicPr>
          <a:picLocks noChangeAspect="1"/>
        </xdr:cNvPicPr>
      </xdr:nvPicPr>
      <xdr:blipFill>
        <a:blip xmlns:r="http://schemas.openxmlformats.org/officeDocument/2006/relationships" r:embed="rId972"/>
        <a:stretch>
          <a:fillRect/>
        </a:stretch>
      </xdr:blipFill>
      <xdr:spPr>
        <a:xfrm>
          <a:off x="7264400" y="1276299200"/>
          <a:ext cx="878840" cy="1183640"/>
        </a:xfrm>
        <a:prstGeom prst="rect">
          <a:avLst/>
        </a:prstGeom>
      </xdr:spPr>
    </xdr:pic>
    <xdr:clientData/>
  </xdr:twoCellAnchor>
  <xdr:twoCellAnchor>
    <xdr:from>
      <xdr:col>8</xdr:col>
      <xdr:colOff>6350</xdr:colOff>
      <xdr:row>1320</xdr:row>
      <xdr:rowOff>25400</xdr:rowOff>
    </xdr:from>
    <xdr:to>
      <xdr:col>8</xdr:col>
      <xdr:colOff>885190</xdr:colOff>
      <xdr:row>1320</xdr:row>
      <xdr:rowOff>1209040</xdr:rowOff>
    </xdr:to>
    <xdr:pic>
      <xdr:nvPicPr>
        <xdr:cNvPr id="5211" name="Изображение 5210" descr="resizeПП-00103698"/>
        <xdr:cNvPicPr>
          <a:picLocks noChangeAspect="1"/>
        </xdr:cNvPicPr>
      </xdr:nvPicPr>
      <xdr:blipFill>
        <a:blip xmlns:r="http://schemas.openxmlformats.org/officeDocument/2006/relationships" r:embed="rId973"/>
        <a:stretch>
          <a:fillRect/>
        </a:stretch>
      </xdr:blipFill>
      <xdr:spPr>
        <a:xfrm>
          <a:off x="7264400" y="1277673975"/>
          <a:ext cx="878840" cy="1183640"/>
        </a:xfrm>
        <a:prstGeom prst="rect">
          <a:avLst/>
        </a:prstGeom>
      </xdr:spPr>
    </xdr:pic>
    <xdr:clientData/>
  </xdr:twoCellAnchor>
  <xdr:twoCellAnchor>
    <xdr:from>
      <xdr:col>8</xdr:col>
      <xdr:colOff>6350</xdr:colOff>
      <xdr:row>1321</xdr:row>
      <xdr:rowOff>25400</xdr:rowOff>
    </xdr:from>
    <xdr:to>
      <xdr:col>8</xdr:col>
      <xdr:colOff>885190</xdr:colOff>
      <xdr:row>1321</xdr:row>
      <xdr:rowOff>1209040</xdr:rowOff>
    </xdr:to>
    <xdr:pic>
      <xdr:nvPicPr>
        <xdr:cNvPr id="5212" name="Изображение 5211" descr="resizeПП-00103697"/>
        <xdr:cNvPicPr>
          <a:picLocks noChangeAspect="1"/>
        </xdr:cNvPicPr>
      </xdr:nvPicPr>
      <xdr:blipFill>
        <a:blip xmlns:r="http://schemas.openxmlformats.org/officeDocument/2006/relationships" r:embed="rId974"/>
        <a:stretch>
          <a:fillRect/>
        </a:stretch>
      </xdr:blipFill>
      <xdr:spPr>
        <a:xfrm>
          <a:off x="7264400" y="1278896350"/>
          <a:ext cx="878840" cy="1183640"/>
        </a:xfrm>
        <a:prstGeom prst="rect">
          <a:avLst/>
        </a:prstGeom>
      </xdr:spPr>
    </xdr:pic>
    <xdr:clientData/>
  </xdr:twoCellAnchor>
  <xdr:twoCellAnchor>
    <xdr:from>
      <xdr:col>8</xdr:col>
      <xdr:colOff>6350</xdr:colOff>
      <xdr:row>1322</xdr:row>
      <xdr:rowOff>25400</xdr:rowOff>
    </xdr:from>
    <xdr:to>
      <xdr:col>8</xdr:col>
      <xdr:colOff>885190</xdr:colOff>
      <xdr:row>1322</xdr:row>
      <xdr:rowOff>1209040</xdr:rowOff>
    </xdr:to>
    <xdr:pic>
      <xdr:nvPicPr>
        <xdr:cNvPr id="5213" name="Изображение 5212" descr="resizeПП-00103699"/>
        <xdr:cNvPicPr>
          <a:picLocks noChangeAspect="1"/>
        </xdr:cNvPicPr>
      </xdr:nvPicPr>
      <xdr:blipFill>
        <a:blip xmlns:r="http://schemas.openxmlformats.org/officeDocument/2006/relationships" r:embed="rId975"/>
        <a:stretch>
          <a:fillRect/>
        </a:stretch>
      </xdr:blipFill>
      <xdr:spPr>
        <a:xfrm>
          <a:off x="7264400" y="1280118725"/>
          <a:ext cx="878840" cy="1183640"/>
        </a:xfrm>
        <a:prstGeom prst="rect">
          <a:avLst/>
        </a:prstGeom>
      </xdr:spPr>
    </xdr:pic>
    <xdr:clientData/>
  </xdr:twoCellAnchor>
  <xdr:twoCellAnchor>
    <xdr:from>
      <xdr:col>8</xdr:col>
      <xdr:colOff>6350</xdr:colOff>
      <xdr:row>1323</xdr:row>
      <xdr:rowOff>25400</xdr:rowOff>
    </xdr:from>
    <xdr:to>
      <xdr:col>8</xdr:col>
      <xdr:colOff>885190</xdr:colOff>
      <xdr:row>1323</xdr:row>
      <xdr:rowOff>1209040</xdr:rowOff>
    </xdr:to>
    <xdr:pic>
      <xdr:nvPicPr>
        <xdr:cNvPr id="5214" name="Изображение 5213" descr="resizeПП-00103700"/>
        <xdr:cNvPicPr>
          <a:picLocks noChangeAspect="1"/>
        </xdr:cNvPicPr>
      </xdr:nvPicPr>
      <xdr:blipFill>
        <a:blip xmlns:r="http://schemas.openxmlformats.org/officeDocument/2006/relationships" r:embed="rId976"/>
        <a:stretch>
          <a:fillRect/>
        </a:stretch>
      </xdr:blipFill>
      <xdr:spPr>
        <a:xfrm>
          <a:off x="7264400" y="1281341100"/>
          <a:ext cx="878840" cy="1183640"/>
        </a:xfrm>
        <a:prstGeom prst="rect">
          <a:avLst/>
        </a:prstGeom>
      </xdr:spPr>
    </xdr:pic>
    <xdr:clientData/>
  </xdr:twoCellAnchor>
  <xdr:twoCellAnchor>
    <xdr:from>
      <xdr:col>8</xdr:col>
      <xdr:colOff>6350</xdr:colOff>
      <xdr:row>1325</xdr:row>
      <xdr:rowOff>25400</xdr:rowOff>
    </xdr:from>
    <xdr:to>
      <xdr:col>8</xdr:col>
      <xdr:colOff>885190</xdr:colOff>
      <xdr:row>1325</xdr:row>
      <xdr:rowOff>1209040</xdr:rowOff>
    </xdr:to>
    <xdr:pic>
      <xdr:nvPicPr>
        <xdr:cNvPr id="5215" name="Изображение 5214" descr="resizeПП-00203523"/>
        <xdr:cNvPicPr>
          <a:picLocks noChangeAspect="1"/>
        </xdr:cNvPicPr>
      </xdr:nvPicPr>
      <xdr:blipFill>
        <a:blip xmlns:r="http://schemas.openxmlformats.org/officeDocument/2006/relationships" r:embed="rId977"/>
        <a:stretch>
          <a:fillRect/>
        </a:stretch>
      </xdr:blipFill>
      <xdr:spPr>
        <a:xfrm>
          <a:off x="7264400" y="1282715875"/>
          <a:ext cx="878840" cy="1183640"/>
        </a:xfrm>
        <a:prstGeom prst="rect">
          <a:avLst/>
        </a:prstGeom>
      </xdr:spPr>
    </xdr:pic>
    <xdr:clientData/>
  </xdr:twoCellAnchor>
  <xdr:twoCellAnchor>
    <xdr:from>
      <xdr:col>8</xdr:col>
      <xdr:colOff>6350</xdr:colOff>
      <xdr:row>1326</xdr:row>
      <xdr:rowOff>25400</xdr:rowOff>
    </xdr:from>
    <xdr:to>
      <xdr:col>8</xdr:col>
      <xdr:colOff>885190</xdr:colOff>
      <xdr:row>1326</xdr:row>
      <xdr:rowOff>1209040</xdr:rowOff>
    </xdr:to>
    <xdr:pic>
      <xdr:nvPicPr>
        <xdr:cNvPr id="5216" name="Изображение 5215" descr="resizeПП-00187072"/>
        <xdr:cNvPicPr>
          <a:picLocks noChangeAspect="1"/>
        </xdr:cNvPicPr>
      </xdr:nvPicPr>
      <xdr:blipFill>
        <a:blip xmlns:r="http://schemas.openxmlformats.org/officeDocument/2006/relationships" r:embed="rId978"/>
        <a:stretch>
          <a:fillRect/>
        </a:stretch>
      </xdr:blipFill>
      <xdr:spPr>
        <a:xfrm>
          <a:off x="7264400" y="1283938250"/>
          <a:ext cx="878840" cy="1183640"/>
        </a:xfrm>
        <a:prstGeom prst="rect">
          <a:avLst/>
        </a:prstGeom>
      </xdr:spPr>
    </xdr:pic>
    <xdr:clientData/>
  </xdr:twoCellAnchor>
  <xdr:twoCellAnchor>
    <xdr:from>
      <xdr:col>8</xdr:col>
      <xdr:colOff>6350</xdr:colOff>
      <xdr:row>1327</xdr:row>
      <xdr:rowOff>25400</xdr:rowOff>
    </xdr:from>
    <xdr:to>
      <xdr:col>8</xdr:col>
      <xdr:colOff>885190</xdr:colOff>
      <xdr:row>1327</xdr:row>
      <xdr:rowOff>1209040</xdr:rowOff>
    </xdr:to>
    <xdr:pic>
      <xdr:nvPicPr>
        <xdr:cNvPr id="5217" name="Изображение 5216" descr="resizeПП-00203527"/>
        <xdr:cNvPicPr>
          <a:picLocks noChangeAspect="1"/>
        </xdr:cNvPicPr>
      </xdr:nvPicPr>
      <xdr:blipFill>
        <a:blip xmlns:r="http://schemas.openxmlformats.org/officeDocument/2006/relationships" r:embed="rId979"/>
        <a:stretch>
          <a:fillRect/>
        </a:stretch>
      </xdr:blipFill>
      <xdr:spPr>
        <a:xfrm>
          <a:off x="7264400" y="1285160625"/>
          <a:ext cx="878840" cy="1183640"/>
        </a:xfrm>
        <a:prstGeom prst="rect">
          <a:avLst/>
        </a:prstGeom>
      </xdr:spPr>
    </xdr:pic>
    <xdr:clientData/>
  </xdr:twoCellAnchor>
  <xdr:twoCellAnchor>
    <xdr:from>
      <xdr:col>8</xdr:col>
      <xdr:colOff>6350</xdr:colOff>
      <xdr:row>1328</xdr:row>
      <xdr:rowOff>25400</xdr:rowOff>
    </xdr:from>
    <xdr:to>
      <xdr:col>8</xdr:col>
      <xdr:colOff>885190</xdr:colOff>
      <xdr:row>1328</xdr:row>
      <xdr:rowOff>1209040</xdr:rowOff>
    </xdr:to>
    <xdr:pic>
      <xdr:nvPicPr>
        <xdr:cNvPr id="5218" name="Изображение 5217" descr="resizeПП-00203539"/>
        <xdr:cNvPicPr>
          <a:picLocks noChangeAspect="1"/>
        </xdr:cNvPicPr>
      </xdr:nvPicPr>
      <xdr:blipFill>
        <a:blip xmlns:r="http://schemas.openxmlformats.org/officeDocument/2006/relationships" r:embed="rId980"/>
        <a:stretch>
          <a:fillRect/>
        </a:stretch>
      </xdr:blipFill>
      <xdr:spPr>
        <a:xfrm>
          <a:off x="7264400" y="1286383000"/>
          <a:ext cx="878840" cy="1183640"/>
        </a:xfrm>
        <a:prstGeom prst="rect">
          <a:avLst/>
        </a:prstGeom>
      </xdr:spPr>
    </xdr:pic>
    <xdr:clientData/>
  </xdr:twoCellAnchor>
  <xdr:twoCellAnchor>
    <xdr:from>
      <xdr:col>8</xdr:col>
      <xdr:colOff>6350</xdr:colOff>
      <xdr:row>1331</xdr:row>
      <xdr:rowOff>25400</xdr:rowOff>
    </xdr:from>
    <xdr:to>
      <xdr:col>8</xdr:col>
      <xdr:colOff>885190</xdr:colOff>
      <xdr:row>1331</xdr:row>
      <xdr:rowOff>1209040</xdr:rowOff>
    </xdr:to>
    <xdr:pic>
      <xdr:nvPicPr>
        <xdr:cNvPr id="5219" name="Изображение 5218" descr="resizeПП-00187133"/>
        <xdr:cNvPicPr>
          <a:picLocks noChangeAspect="1"/>
        </xdr:cNvPicPr>
      </xdr:nvPicPr>
      <xdr:blipFill>
        <a:blip xmlns:r="http://schemas.openxmlformats.org/officeDocument/2006/relationships" r:embed="rId981"/>
        <a:stretch>
          <a:fillRect/>
        </a:stretch>
      </xdr:blipFill>
      <xdr:spPr>
        <a:xfrm>
          <a:off x="7264400" y="1287910175"/>
          <a:ext cx="878840" cy="1183640"/>
        </a:xfrm>
        <a:prstGeom prst="rect">
          <a:avLst/>
        </a:prstGeom>
      </xdr:spPr>
    </xdr:pic>
    <xdr:clientData/>
  </xdr:twoCellAnchor>
  <xdr:twoCellAnchor>
    <xdr:from>
      <xdr:col>8</xdr:col>
      <xdr:colOff>6350</xdr:colOff>
      <xdr:row>1332</xdr:row>
      <xdr:rowOff>25400</xdr:rowOff>
    </xdr:from>
    <xdr:to>
      <xdr:col>8</xdr:col>
      <xdr:colOff>885190</xdr:colOff>
      <xdr:row>1332</xdr:row>
      <xdr:rowOff>1209040</xdr:rowOff>
    </xdr:to>
    <xdr:pic>
      <xdr:nvPicPr>
        <xdr:cNvPr id="5220" name="Изображение 5219" descr="resizeПП-00203542"/>
        <xdr:cNvPicPr>
          <a:picLocks noChangeAspect="1"/>
        </xdr:cNvPicPr>
      </xdr:nvPicPr>
      <xdr:blipFill>
        <a:blip xmlns:r="http://schemas.openxmlformats.org/officeDocument/2006/relationships" r:embed="rId982"/>
        <a:stretch>
          <a:fillRect/>
        </a:stretch>
      </xdr:blipFill>
      <xdr:spPr>
        <a:xfrm>
          <a:off x="7264400" y="1289132550"/>
          <a:ext cx="878840" cy="1183640"/>
        </a:xfrm>
        <a:prstGeom prst="rect">
          <a:avLst/>
        </a:prstGeom>
      </xdr:spPr>
    </xdr:pic>
    <xdr:clientData/>
  </xdr:twoCellAnchor>
  <xdr:twoCellAnchor>
    <xdr:from>
      <xdr:col>8</xdr:col>
      <xdr:colOff>6350</xdr:colOff>
      <xdr:row>1333</xdr:row>
      <xdr:rowOff>25400</xdr:rowOff>
    </xdr:from>
    <xdr:to>
      <xdr:col>8</xdr:col>
      <xdr:colOff>885190</xdr:colOff>
      <xdr:row>1333</xdr:row>
      <xdr:rowOff>1209040</xdr:rowOff>
    </xdr:to>
    <xdr:pic>
      <xdr:nvPicPr>
        <xdr:cNvPr id="5221" name="Изображение 5220" descr="resizeПП-00187110"/>
        <xdr:cNvPicPr>
          <a:picLocks noChangeAspect="1"/>
        </xdr:cNvPicPr>
      </xdr:nvPicPr>
      <xdr:blipFill>
        <a:blip xmlns:r="http://schemas.openxmlformats.org/officeDocument/2006/relationships" r:embed="rId983"/>
        <a:stretch>
          <a:fillRect/>
        </a:stretch>
      </xdr:blipFill>
      <xdr:spPr>
        <a:xfrm>
          <a:off x="7264400" y="1290354925"/>
          <a:ext cx="878840" cy="1183640"/>
        </a:xfrm>
        <a:prstGeom prst="rect">
          <a:avLst/>
        </a:prstGeom>
      </xdr:spPr>
    </xdr:pic>
    <xdr:clientData/>
  </xdr:twoCellAnchor>
  <xdr:twoCellAnchor>
    <xdr:from>
      <xdr:col>8</xdr:col>
      <xdr:colOff>6350</xdr:colOff>
      <xdr:row>1334</xdr:row>
      <xdr:rowOff>25400</xdr:rowOff>
    </xdr:from>
    <xdr:to>
      <xdr:col>8</xdr:col>
      <xdr:colOff>885190</xdr:colOff>
      <xdr:row>1334</xdr:row>
      <xdr:rowOff>1209040</xdr:rowOff>
    </xdr:to>
    <xdr:pic>
      <xdr:nvPicPr>
        <xdr:cNvPr id="5222" name="Изображение 5221" descr="resizeПП-00187130"/>
        <xdr:cNvPicPr>
          <a:picLocks noChangeAspect="1"/>
        </xdr:cNvPicPr>
      </xdr:nvPicPr>
      <xdr:blipFill>
        <a:blip xmlns:r="http://schemas.openxmlformats.org/officeDocument/2006/relationships" r:embed="rId984"/>
        <a:stretch>
          <a:fillRect/>
        </a:stretch>
      </xdr:blipFill>
      <xdr:spPr>
        <a:xfrm>
          <a:off x="7264400" y="1291577300"/>
          <a:ext cx="878840" cy="1183640"/>
        </a:xfrm>
        <a:prstGeom prst="rect">
          <a:avLst/>
        </a:prstGeom>
      </xdr:spPr>
    </xdr:pic>
    <xdr:clientData/>
  </xdr:twoCellAnchor>
  <xdr:twoCellAnchor>
    <xdr:from>
      <xdr:col>8</xdr:col>
      <xdr:colOff>6350</xdr:colOff>
      <xdr:row>1336</xdr:row>
      <xdr:rowOff>25400</xdr:rowOff>
    </xdr:from>
    <xdr:to>
      <xdr:col>8</xdr:col>
      <xdr:colOff>885190</xdr:colOff>
      <xdr:row>1336</xdr:row>
      <xdr:rowOff>1209040</xdr:rowOff>
    </xdr:to>
    <xdr:pic>
      <xdr:nvPicPr>
        <xdr:cNvPr id="5223" name="Изображение 5222" descr="resizeПП-00186960"/>
        <xdr:cNvPicPr>
          <a:picLocks noChangeAspect="1"/>
        </xdr:cNvPicPr>
      </xdr:nvPicPr>
      <xdr:blipFill>
        <a:blip xmlns:r="http://schemas.openxmlformats.org/officeDocument/2006/relationships" r:embed="rId985"/>
        <a:stretch>
          <a:fillRect/>
        </a:stretch>
      </xdr:blipFill>
      <xdr:spPr>
        <a:xfrm>
          <a:off x="7264400" y="1292952075"/>
          <a:ext cx="878840" cy="1183640"/>
        </a:xfrm>
        <a:prstGeom prst="rect">
          <a:avLst/>
        </a:prstGeom>
      </xdr:spPr>
    </xdr:pic>
    <xdr:clientData/>
  </xdr:twoCellAnchor>
  <xdr:twoCellAnchor>
    <xdr:from>
      <xdr:col>8</xdr:col>
      <xdr:colOff>6350</xdr:colOff>
      <xdr:row>1339</xdr:row>
      <xdr:rowOff>25400</xdr:rowOff>
    </xdr:from>
    <xdr:to>
      <xdr:col>8</xdr:col>
      <xdr:colOff>885190</xdr:colOff>
      <xdr:row>1339</xdr:row>
      <xdr:rowOff>1209040</xdr:rowOff>
    </xdr:to>
    <xdr:pic>
      <xdr:nvPicPr>
        <xdr:cNvPr id="5224" name="Изображение 5223" descr="resizeПП-00046765"/>
        <xdr:cNvPicPr>
          <a:picLocks noChangeAspect="1"/>
        </xdr:cNvPicPr>
      </xdr:nvPicPr>
      <xdr:blipFill>
        <a:blip xmlns:r="http://schemas.openxmlformats.org/officeDocument/2006/relationships" r:embed="rId986"/>
        <a:stretch>
          <a:fillRect/>
        </a:stretch>
      </xdr:blipFill>
      <xdr:spPr>
        <a:xfrm>
          <a:off x="7264400" y="1294479250"/>
          <a:ext cx="878840" cy="1183640"/>
        </a:xfrm>
        <a:prstGeom prst="rect">
          <a:avLst/>
        </a:prstGeom>
      </xdr:spPr>
    </xdr:pic>
    <xdr:clientData/>
  </xdr:twoCellAnchor>
  <xdr:twoCellAnchor>
    <xdr:from>
      <xdr:col>8</xdr:col>
      <xdr:colOff>6350</xdr:colOff>
      <xdr:row>1340</xdr:row>
      <xdr:rowOff>25400</xdr:rowOff>
    </xdr:from>
    <xdr:to>
      <xdr:col>8</xdr:col>
      <xdr:colOff>885190</xdr:colOff>
      <xdr:row>1340</xdr:row>
      <xdr:rowOff>1209040</xdr:rowOff>
    </xdr:to>
    <xdr:pic>
      <xdr:nvPicPr>
        <xdr:cNvPr id="5225" name="Изображение 5224" descr="resizeПП-00275576"/>
        <xdr:cNvPicPr>
          <a:picLocks noChangeAspect="1"/>
        </xdr:cNvPicPr>
      </xdr:nvPicPr>
      <xdr:blipFill>
        <a:blip xmlns:r="http://schemas.openxmlformats.org/officeDocument/2006/relationships" r:embed="rId987"/>
        <a:stretch>
          <a:fillRect/>
        </a:stretch>
      </xdr:blipFill>
      <xdr:spPr>
        <a:xfrm>
          <a:off x="7264400" y="1295701625"/>
          <a:ext cx="878840" cy="1183640"/>
        </a:xfrm>
        <a:prstGeom prst="rect">
          <a:avLst/>
        </a:prstGeom>
      </xdr:spPr>
    </xdr:pic>
    <xdr:clientData/>
  </xdr:twoCellAnchor>
  <xdr:twoCellAnchor>
    <xdr:from>
      <xdr:col>8</xdr:col>
      <xdr:colOff>6350</xdr:colOff>
      <xdr:row>1341</xdr:row>
      <xdr:rowOff>25400</xdr:rowOff>
    </xdr:from>
    <xdr:to>
      <xdr:col>8</xdr:col>
      <xdr:colOff>885190</xdr:colOff>
      <xdr:row>1341</xdr:row>
      <xdr:rowOff>1209040</xdr:rowOff>
    </xdr:to>
    <xdr:pic>
      <xdr:nvPicPr>
        <xdr:cNvPr id="5226" name="Изображение 5225" descr="resizeПП-00275573"/>
        <xdr:cNvPicPr>
          <a:picLocks noChangeAspect="1"/>
        </xdr:cNvPicPr>
      </xdr:nvPicPr>
      <xdr:blipFill>
        <a:blip xmlns:r="http://schemas.openxmlformats.org/officeDocument/2006/relationships" r:embed="rId988"/>
        <a:stretch>
          <a:fillRect/>
        </a:stretch>
      </xdr:blipFill>
      <xdr:spPr>
        <a:xfrm>
          <a:off x="7264400" y="1296924000"/>
          <a:ext cx="878840" cy="1183640"/>
        </a:xfrm>
        <a:prstGeom prst="rect">
          <a:avLst/>
        </a:prstGeom>
      </xdr:spPr>
    </xdr:pic>
    <xdr:clientData/>
  </xdr:twoCellAnchor>
  <xdr:twoCellAnchor>
    <xdr:from>
      <xdr:col>8</xdr:col>
      <xdr:colOff>6350</xdr:colOff>
      <xdr:row>1342</xdr:row>
      <xdr:rowOff>25400</xdr:rowOff>
    </xdr:from>
    <xdr:to>
      <xdr:col>8</xdr:col>
      <xdr:colOff>885190</xdr:colOff>
      <xdr:row>1342</xdr:row>
      <xdr:rowOff>1209040</xdr:rowOff>
    </xdr:to>
    <xdr:pic>
      <xdr:nvPicPr>
        <xdr:cNvPr id="5227" name="Изображение 5226" descr="resizeПП-00275582"/>
        <xdr:cNvPicPr>
          <a:picLocks noChangeAspect="1"/>
        </xdr:cNvPicPr>
      </xdr:nvPicPr>
      <xdr:blipFill>
        <a:blip xmlns:r="http://schemas.openxmlformats.org/officeDocument/2006/relationships" r:embed="rId989"/>
        <a:stretch>
          <a:fillRect/>
        </a:stretch>
      </xdr:blipFill>
      <xdr:spPr>
        <a:xfrm>
          <a:off x="7264400" y="1298146375"/>
          <a:ext cx="878840" cy="1183640"/>
        </a:xfrm>
        <a:prstGeom prst="rect">
          <a:avLst/>
        </a:prstGeom>
      </xdr:spPr>
    </xdr:pic>
    <xdr:clientData/>
  </xdr:twoCellAnchor>
  <xdr:twoCellAnchor>
    <xdr:from>
      <xdr:col>8</xdr:col>
      <xdr:colOff>6350</xdr:colOff>
      <xdr:row>1343</xdr:row>
      <xdr:rowOff>25400</xdr:rowOff>
    </xdr:from>
    <xdr:to>
      <xdr:col>8</xdr:col>
      <xdr:colOff>885190</xdr:colOff>
      <xdr:row>1343</xdr:row>
      <xdr:rowOff>1209040</xdr:rowOff>
    </xdr:to>
    <xdr:pic>
      <xdr:nvPicPr>
        <xdr:cNvPr id="5228" name="Изображение 5227" descr="resizeПП-00251465"/>
        <xdr:cNvPicPr>
          <a:picLocks noChangeAspect="1"/>
        </xdr:cNvPicPr>
      </xdr:nvPicPr>
      <xdr:blipFill>
        <a:blip xmlns:r="http://schemas.openxmlformats.org/officeDocument/2006/relationships" r:embed="rId990"/>
        <a:stretch>
          <a:fillRect/>
        </a:stretch>
      </xdr:blipFill>
      <xdr:spPr>
        <a:xfrm>
          <a:off x="7264400" y="1299368750"/>
          <a:ext cx="878840" cy="1183640"/>
        </a:xfrm>
        <a:prstGeom prst="rect">
          <a:avLst/>
        </a:prstGeom>
      </xdr:spPr>
    </xdr:pic>
    <xdr:clientData/>
  </xdr:twoCellAnchor>
  <xdr:twoCellAnchor>
    <xdr:from>
      <xdr:col>8</xdr:col>
      <xdr:colOff>6350</xdr:colOff>
      <xdr:row>1344</xdr:row>
      <xdr:rowOff>25400</xdr:rowOff>
    </xdr:from>
    <xdr:to>
      <xdr:col>8</xdr:col>
      <xdr:colOff>885190</xdr:colOff>
      <xdr:row>1344</xdr:row>
      <xdr:rowOff>1209040</xdr:rowOff>
    </xdr:to>
    <xdr:pic>
      <xdr:nvPicPr>
        <xdr:cNvPr id="5229" name="Изображение 5228" descr="resizeПП-00046803"/>
        <xdr:cNvPicPr>
          <a:picLocks noChangeAspect="1"/>
        </xdr:cNvPicPr>
      </xdr:nvPicPr>
      <xdr:blipFill>
        <a:blip xmlns:r="http://schemas.openxmlformats.org/officeDocument/2006/relationships" r:embed="rId991"/>
        <a:stretch>
          <a:fillRect/>
        </a:stretch>
      </xdr:blipFill>
      <xdr:spPr>
        <a:xfrm>
          <a:off x="7264400" y="1300591125"/>
          <a:ext cx="878840" cy="1183640"/>
        </a:xfrm>
        <a:prstGeom prst="rect">
          <a:avLst/>
        </a:prstGeom>
      </xdr:spPr>
    </xdr:pic>
    <xdr:clientData/>
  </xdr:twoCellAnchor>
  <xdr:twoCellAnchor>
    <xdr:from>
      <xdr:col>8</xdr:col>
      <xdr:colOff>6350</xdr:colOff>
      <xdr:row>1345</xdr:row>
      <xdr:rowOff>25400</xdr:rowOff>
    </xdr:from>
    <xdr:to>
      <xdr:col>8</xdr:col>
      <xdr:colOff>885190</xdr:colOff>
      <xdr:row>1345</xdr:row>
      <xdr:rowOff>1209040</xdr:rowOff>
    </xdr:to>
    <xdr:pic>
      <xdr:nvPicPr>
        <xdr:cNvPr id="5230" name="Изображение 5229" descr="resizeПП-00046792"/>
        <xdr:cNvPicPr>
          <a:picLocks noChangeAspect="1"/>
        </xdr:cNvPicPr>
      </xdr:nvPicPr>
      <xdr:blipFill>
        <a:blip xmlns:r="http://schemas.openxmlformats.org/officeDocument/2006/relationships" r:embed="rId992"/>
        <a:stretch>
          <a:fillRect/>
        </a:stretch>
      </xdr:blipFill>
      <xdr:spPr>
        <a:xfrm>
          <a:off x="7264400" y="1301813500"/>
          <a:ext cx="878840" cy="1183640"/>
        </a:xfrm>
        <a:prstGeom prst="rect">
          <a:avLst/>
        </a:prstGeom>
      </xdr:spPr>
    </xdr:pic>
    <xdr:clientData/>
  </xdr:twoCellAnchor>
  <xdr:twoCellAnchor>
    <xdr:from>
      <xdr:col>8</xdr:col>
      <xdr:colOff>6350</xdr:colOff>
      <xdr:row>1346</xdr:row>
      <xdr:rowOff>25400</xdr:rowOff>
    </xdr:from>
    <xdr:to>
      <xdr:col>8</xdr:col>
      <xdr:colOff>885190</xdr:colOff>
      <xdr:row>1346</xdr:row>
      <xdr:rowOff>1209040</xdr:rowOff>
    </xdr:to>
    <xdr:pic>
      <xdr:nvPicPr>
        <xdr:cNvPr id="5231" name="Изображение 5230" descr="resizeПП-00046755"/>
        <xdr:cNvPicPr>
          <a:picLocks noChangeAspect="1"/>
        </xdr:cNvPicPr>
      </xdr:nvPicPr>
      <xdr:blipFill>
        <a:blip xmlns:r="http://schemas.openxmlformats.org/officeDocument/2006/relationships" r:embed="rId993"/>
        <a:stretch>
          <a:fillRect/>
        </a:stretch>
      </xdr:blipFill>
      <xdr:spPr>
        <a:xfrm>
          <a:off x="7264400" y="1303035875"/>
          <a:ext cx="878840" cy="1183640"/>
        </a:xfrm>
        <a:prstGeom prst="rect">
          <a:avLst/>
        </a:prstGeom>
      </xdr:spPr>
    </xdr:pic>
    <xdr:clientData/>
  </xdr:twoCellAnchor>
  <xdr:twoCellAnchor>
    <xdr:from>
      <xdr:col>8</xdr:col>
      <xdr:colOff>6350</xdr:colOff>
      <xdr:row>1347</xdr:row>
      <xdr:rowOff>25400</xdr:rowOff>
    </xdr:from>
    <xdr:to>
      <xdr:col>8</xdr:col>
      <xdr:colOff>885190</xdr:colOff>
      <xdr:row>1347</xdr:row>
      <xdr:rowOff>1209040</xdr:rowOff>
    </xdr:to>
    <xdr:pic>
      <xdr:nvPicPr>
        <xdr:cNvPr id="5232" name="Изображение 5231" descr="resizeПП-00046799"/>
        <xdr:cNvPicPr>
          <a:picLocks noChangeAspect="1"/>
        </xdr:cNvPicPr>
      </xdr:nvPicPr>
      <xdr:blipFill>
        <a:blip xmlns:r="http://schemas.openxmlformats.org/officeDocument/2006/relationships" r:embed="rId994"/>
        <a:stretch>
          <a:fillRect/>
        </a:stretch>
      </xdr:blipFill>
      <xdr:spPr>
        <a:xfrm>
          <a:off x="7264400" y="1304258250"/>
          <a:ext cx="878840" cy="1183640"/>
        </a:xfrm>
        <a:prstGeom prst="rect">
          <a:avLst/>
        </a:prstGeom>
      </xdr:spPr>
    </xdr:pic>
    <xdr:clientData/>
  </xdr:twoCellAnchor>
  <xdr:twoCellAnchor>
    <xdr:from>
      <xdr:col>8</xdr:col>
      <xdr:colOff>6350</xdr:colOff>
      <xdr:row>1348</xdr:row>
      <xdr:rowOff>25400</xdr:rowOff>
    </xdr:from>
    <xdr:to>
      <xdr:col>8</xdr:col>
      <xdr:colOff>885190</xdr:colOff>
      <xdr:row>1348</xdr:row>
      <xdr:rowOff>1209040</xdr:rowOff>
    </xdr:to>
    <xdr:pic>
      <xdr:nvPicPr>
        <xdr:cNvPr id="5233" name="Изображение 5232" descr="resizeПП-00046814"/>
        <xdr:cNvPicPr>
          <a:picLocks noChangeAspect="1"/>
        </xdr:cNvPicPr>
      </xdr:nvPicPr>
      <xdr:blipFill>
        <a:blip xmlns:r="http://schemas.openxmlformats.org/officeDocument/2006/relationships" r:embed="rId995"/>
        <a:stretch>
          <a:fillRect/>
        </a:stretch>
      </xdr:blipFill>
      <xdr:spPr>
        <a:xfrm>
          <a:off x="7264400" y="1305480625"/>
          <a:ext cx="878840" cy="1183640"/>
        </a:xfrm>
        <a:prstGeom prst="rect">
          <a:avLst/>
        </a:prstGeom>
      </xdr:spPr>
    </xdr:pic>
    <xdr:clientData/>
  </xdr:twoCellAnchor>
  <xdr:twoCellAnchor>
    <xdr:from>
      <xdr:col>8</xdr:col>
      <xdr:colOff>6350</xdr:colOff>
      <xdr:row>1349</xdr:row>
      <xdr:rowOff>25400</xdr:rowOff>
    </xdr:from>
    <xdr:to>
      <xdr:col>8</xdr:col>
      <xdr:colOff>885190</xdr:colOff>
      <xdr:row>1349</xdr:row>
      <xdr:rowOff>1209040</xdr:rowOff>
    </xdr:to>
    <xdr:pic>
      <xdr:nvPicPr>
        <xdr:cNvPr id="5234" name="Изображение 5233" descr="resizeПП-00046796"/>
        <xdr:cNvPicPr>
          <a:picLocks noChangeAspect="1"/>
        </xdr:cNvPicPr>
      </xdr:nvPicPr>
      <xdr:blipFill>
        <a:blip xmlns:r="http://schemas.openxmlformats.org/officeDocument/2006/relationships" r:embed="rId996"/>
        <a:stretch>
          <a:fillRect/>
        </a:stretch>
      </xdr:blipFill>
      <xdr:spPr>
        <a:xfrm>
          <a:off x="7264400" y="1306703000"/>
          <a:ext cx="878840" cy="1183640"/>
        </a:xfrm>
        <a:prstGeom prst="rect">
          <a:avLst/>
        </a:prstGeom>
      </xdr:spPr>
    </xdr:pic>
    <xdr:clientData/>
  </xdr:twoCellAnchor>
  <xdr:twoCellAnchor>
    <xdr:from>
      <xdr:col>8</xdr:col>
      <xdr:colOff>6350</xdr:colOff>
      <xdr:row>1350</xdr:row>
      <xdr:rowOff>25400</xdr:rowOff>
    </xdr:from>
    <xdr:to>
      <xdr:col>8</xdr:col>
      <xdr:colOff>885190</xdr:colOff>
      <xdr:row>1350</xdr:row>
      <xdr:rowOff>1209040</xdr:rowOff>
    </xdr:to>
    <xdr:pic>
      <xdr:nvPicPr>
        <xdr:cNvPr id="5235" name="Изображение 5234" descr="resizeПП-00200524"/>
        <xdr:cNvPicPr>
          <a:picLocks noChangeAspect="1"/>
        </xdr:cNvPicPr>
      </xdr:nvPicPr>
      <xdr:blipFill>
        <a:blip xmlns:r="http://schemas.openxmlformats.org/officeDocument/2006/relationships" r:embed="rId997"/>
        <a:stretch>
          <a:fillRect/>
        </a:stretch>
      </xdr:blipFill>
      <xdr:spPr>
        <a:xfrm>
          <a:off x="7264400" y="1307925375"/>
          <a:ext cx="878840" cy="1183640"/>
        </a:xfrm>
        <a:prstGeom prst="rect">
          <a:avLst/>
        </a:prstGeom>
      </xdr:spPr>
    </xdr:pic>
    <xdr:clientData/>
  </xdr:twoCellAnchor>
  <xdr:twoCellAnchor>
    <xdr:from>
      <xdr:col>8</xdr:col>
      <xdr:colOff>6350</xdr:colOff>
      <xdr:row>1351</xdr:row>
      <xdr:rowOff>25400</xdr:rowOff>
    </xdr:from>
    <xdr:to>
      <xdr:col>8</xdr:col>
      <xdr:colOff>885190</xdr:colOff>
      <xdr:row>1351</xdr:row>
      <xdr:rowOff>1209040</xdr:rowOff>
    </xdr:to>
    <xdr:pic>
      <xdr:nvPicPr>
        <xdr:cNvPr id="5236" name="Изображение 5235" descr="resizeПП-00163945"/>
        <xdr:cNvPicPr>
          <a:picLocks noChangeAspect="1"/>
        </xdr:cNvPicPr>
      </xdr:nvPicPr>
      <xdr:blipFill>
        <a:blip xmlns:r="http://schemas.openxmlformats.org/officeDocument/2006/relationships" r:embed="rId998"/>
        <a:stretch>
          <a:fillRect/>
        </a:stretch>
      </xdr:blipFill>
      <xdr:spPr>
        <a:xfrm>
          <a:off x="7264400" y="1309147750"/>
          <a:ext cx="878840" cy="1183640"/>
        </a:xfrm>
        <a:prstGeom prst="rect">
          <a:avLst/>
        </a:prstGeom>
      </xdr:spPr>
    </xdr:pic>
    <xdr:clientData/>
  </xdr:twoCellAnchor>
  <xdr:twoCellAnchor>
    <xdr:from>
      <xdr:col>8</xdr:col>
      <xdr:colOff>6350</xdr:colOff>
      <xdr:row>1352</xdr:row>
      <xdr:rowOff>25400</xdr:rowOff>
    </xdr:from>
    <xdr:to>
      <xdr:col>8</xdr:col>
      <xdr:colOff>885190</xdr:colOff>
      <xdr:row>1352</xdr:row>
      <xdr:rowOff>1209040</xdr:rowOff>
    </xdr:to>
    <xdr:pic>
      <xdr:nvPicPr>
        <xdr:cNvPr id="5237" name="Изображение 5236" descr="resizeПП-00163936"/>
        <xdr:cNvPicPr>
          <a:picLocks noChangeAspect="1"/>
        </xdr:cNvPicPr>
      </xdr:nvPicPr>
      <xdr:blipFill>
        <a:blip xmlns:r="http://schemas.openxmlformats.org/officeDocument/2006/relationships" r:embed="rId999"/>
        <a:stretch>
          <a:fillRect/>
        </a:stretch>
      </xdr:blipFill>
      <xdr:spPr>
        <a:xfrm>
          <a:off x="7264400" y="1310370125"/>
          <a:ext cx="878840" cy="1183640"/>
        </a:xfrm>
        <a:prstGeom prst="rect">
          <a:avLst/>
        </a:prstGeom>
      </xdr:spPr>
    </xdr:pic>
    <xdr:clientData/>
  </xdr:twoCellAnchor>
  <xdr:twoCellAnchor>
    <xdr:from>
      <xdr:col>8</xdr:col>
      <xdr:colOff>6350</xdr:colOff>
      <xdr:row>1353</xdr:row>
      <xdr:rowOff>25400</xdr:rowOff>
    </xdr:from>
    <xdr:to>
      <xdr:col>8</xdr:col>
      <xdr:colOff>885190</xdr:colOff>
      <xdr:row>1353</xdr:row>
      <xdr:rowOff>1209040</xdr:rowOff>
    </xdr:to>
    <xdr:pic>
      <xdr:nvPicPr>
        <xdr:cNvPr id="5238" name="Изображение 5237" descr="resizeПП-00200464"/>
        <xdr:cNvPicPr>
          <a:picLocks noChangeAspect="1"/>
        </xdr:cNvPicPr>
      </xdr:nvPicPr>
      <xdr:blipFill>
        <a:blip xmlns:r="http://schemas.openxmlformats.org/officeDocument/2006/relationships" r:embed="rId1000"/>
        <a:stretch>
          <a:fillRect/>
        </a:stretch>
      </xdr:blipFill>
      <xdr:spPr>
        <a:xfrm>
          <a:off x="7264400" y="1311592500"/>
          <a:ext cx="878840" cy="1183640"/>
        </a:xfrm>
        <a:prstGeom prst="rect">
          <a:avLst/>
        </a:prstGeom>
      </xdr:spPr>
    </xdr:pic>
    <xdr:clientData/>
  </xdr:twoCellAnchor>
  <xdr:twoCellAnchor>
    <xdr:from>
      <xdr:col>8</xdr:col>
      <xdr:colOff>6350</xdr:colOff>
      <xdr:row>1355</xdr:row>
      <xdr:rowOff>25400</xdr:rowOff>
    </xdr:from>
    <xdr:to>
      <xdr:col>8</xdr:col>
      <xdr:colOff>885190</xdr:colOff>
      <xdr:row>1355</xdr:row>
      <xdr:rowOff>1209040</xdr:rowOff>
    </xdr:to>
    <xdr:pic>
      <xdr:nvPicPr>
        <xdr:cNvPr id="5239" name="Изображение 5238" descr="resizeПП-00258181"/>
        <xdr:cNvPicPr>
          <a:picLocks noChangeAspect="1"/>
        </xdr:cNvPicPr>
      </xdr:nvPicPr>
      <xdr:blipFill>
        <a:blip xmlns:r="http://schemas.openxmlformats.org/officeDocument/2006/relationships" r:embed="rId1001"/>
        <a:stretch>
          <a:fillRect/>
        </a:stretch>
      </xdr:blipFill>
      <xdr:spPr>
        <a:xfrm>
          <a:off x="7264400" y="1312967275"/>
          <a:ext cx="878840" cy="1183640"/>
        </a:xfrm>
        <a:prstGeom prst="rect">
          <a:avLst/>
        </a:prstGeom>
      </xdr:spPr>
    </xdr:pic>
    <xdr:clientData/>
  </xdr:twoCellAnchor>
  <xdr:twoCellAnchor>
    <xdr:from>
      <xdr:col>8</xdr:col>
      <xdr:colOff>6350</xdr:colOff>
      <xdr:row>1356</xdr:row>
      <xdr:rowOff>25400</xdr:rowOff>
    </xdr:from>
    <xdr:to>
      <xdr:col>8</xdr:col>
      <xdr:colOff>885190</xdr:colOff>
      <xdr:row>1356</xdr:row>
      <xdr:rowOff>1209040</xdr:rowOff>
    </xdr:to>
    <xdr:pic>
      <xdr:nvPicPr>
        <xdr:cNvPr id="5240" name="Изображение 5239" descr="resizeПП-00187148"/>
        <xdr:cNvPicPr>
          <a:picLocks noChangeAspect="1"/>
        </xdr:cNvPicPr>
      </xdr:nvPicPr>
      <xdr:blipFill>
        <a:blip xmlns:r="http://schemas.openxmlformats.org/officeDocument/2006/relationships" r:embed="rId1002"/>
        <a:stretch>
          <a:fillRect/>
        </a:stretch>
      </xdr:blipFill>
      <xdr:spPr>
        <a:xfrm>
          <a:off x="7264400" y="1314189650"/>
          <a:ext cx="878840" cy="1183640"/>
        </a:xfrm>
        <a:prstGeom prst="rect">
          <a:avLst/>
        </a:prstGeom>
      </xdr:spPr>
    </xdr:pic>
    <xdr:clientData/>
  </xdr:twoCellAnchor>
  <xdr:twoCellAnchor>
    <xdr:from>
      <xdr:col>8</xdr:col>
      <xdr:colOff>6350</xdr:colOff>
      <xdr:row>1357</xdr:row>
      <xdr:rowOff>25400</xdr:rowOff>
    </xdr:from>
    <xdr:to>
      <xdr:col>8</xdr:col>
      <xdr:colOff>885190</xdr:colOff>
      <xdr:row>1357</xdr:row>
      <xdr:rowOff>1209040</xdr:rowOff>
    </xdr:to>
    <xdr:pic>
      <xdr:nvPicPr>
        <xdr:cNvPr id="5241" name="Изображение 5240" descr="resizeПП-00082746"/>
        <xdr:cNvPicPr>
          <a:picLocks noChangeAspect="1"/>
        </xdr:cNvPicPr>
      </xdr:nvPicPr>
      <xdr:blipFill>
        <a:blip xmlns:r="http://schemas.openxmlformats.org/officeDocument/2006/relationships" r:embed="rId1003"/>
        <a:stretch>
          <a:fillRect/>
        </a:stretch>
      </xdr:blipFill>
      <xdr:spPr>
        <a:xfrm>
          <a:off x="7264400" y="1315412025"/>
          <a:ext cx="878840" cy="1183640"/>
        </a:xfrm>
        <a:prstGeom prst="rect">
          <a:avLst/>
        </a:prstGeom>
      </xdr:spPr>
    </xdr:pic>
    <xdr:clientData/>
  </xdr:twoCellAnchor>
  <xdr:twoCellAnchor>
    <xdr:from>
      <xdr:col>8</xdr:col>
      <xdr:colOff>6350</xdr:colOff>
      <xdr:row>1358</xdr:row>
      <xdr:rowOff>25400</xdr:rowOff>
    </xdr:from>
    <xdr:to>
      <xdr:col>8</xdr:col>
      <xdr:colOff>885190</xdr:colOff>
      <xdr:row>1358</xdr:row>
      <xdr:rowOff>1209040</xdr:rowOff>
    </xdr:to>
    <xdr:pic>
      <xdr:nvPicPr>
        <xdr:cNvPr id="5242" name="Изображение 5241" descr="resizeПП-00200398"/>
        <xdr:cNvPicPr>
          <a:picLocks noChangeAspect="1"/>
        </xdr:cNvPicPr>
      </xdr:nvPicPr>
      <xdr:blipFill>
        <a:blip xmlns:r="http://schemas.openxmlformats.org/officeDocument/2006/relationships" r:embed="rId1004"/>
        <a:stretch>
          <a:fillRect/>
        </a:stretch>
      </xdr:blipFill>
      <xdr:spPr>
        <a:xfrm>
          <a:off x="7264400" y="1316634400"/>
          <a:ext cx="878840" cy="1183640"/>
        </a:xfrm>
        <a:prstGeom prst="rect">
          <a:avLst/>
        </a:prstGeom>
      </xdr:spPr>
    </xdr:pic>
    <xdr:clientData/>
  </xdr:twoCellAnchor>
  <xdr:twoCellAnchor>
    <xdr:from>
      <xdr:col>8</xdr:col>
      <xdr:colOff>6350</xdr:colOff>
      <xdr:row>1359</xdr:row>
      <xdr:rowOff>25400</xdr:rowOff>
    </xdr:from>
    <xdr:to>
      <xdr:col>8</xdr:col>
      <xdr:colOff>885190</xdr:colOff>
      <xdr:row>1359</xdr:row>
      <xdr:rowOff>1209040</xdr:rowOff>
    </xdr:to>
    <xdr:pic>
      <xdr:nvPicPr>
        <xdr:cNvPr id="5243" name="Изображение 5242" descr="resizeПП-00200399"/>
        <xdr:cNvPicPr>
          <a:picLocks noChangeAspect="1"/>
        </xdr:cNvPicPr>
      </xdr:nvPicPr>
      <xdr:blipFill>
        <a:blip xmlns:r="http://schemas.openxmlformats.org/officeDocument/2006/relationships" r:embed="rId1005"/>
        <a:stretch>
          <a:fillRect/>
        </a:stretch>
      </xdr:blipFill>
      <xdr:spPr>
        <a:xfrm>
          <a:off x="7264400" y="1317856775"/>
          <a:ext cx="878840" cy="1183640"/>
        </a:xfrm>
        <a:prstGeom prst="rect">
          <a:avLst/>
        </a:prstGeom>
      </xdr:spPr>
    </xdr:pic>
    <xdr:clientData/>
  </xdr:twoCellAnchor>
  <xdr:twoCellAnchor>
    <xdr:from>
      <xdr:col>8</xdr:col>
      <xdr:colOff>6350</xdr:colOff>
      <xdr:row>1360</xdr:row>
      <xdr:rowOff>25400</xdr:rowOff>
    </xdr:from>
    <xdr:to>
      <xdr:col>8</xdr:col>
      <xdr:colOff>885190</xdr:colOff>
      <xdr:row>1360</xdr:row>
      <xdr:rowOff>1209040</xdr:rowOff>
    </xdr:to>
    <xdr:pic>
      <xdr:nvPicPr>
        <xdr:cNvPr id="5244" name="Изображение 5243" descr="resizeПП-00200396"/>
        <xdr:cNvPicPr>
          <a:picLocks noChangeAspect="1"/>
        </xdr:cNvPicPr>
      </xdr:nvPicPr>
      <xdr:blipFill>
        <a:blip xmlns:r="http://schemas.openxmlformats.org/officeDocument/2006/relationships" r:embed="rId1006"/>
        <a:stretch>
          <a:fillRect/>
        </a:stretch>
      </xdr:blipFill>
      <xdr:spPr>
        <a:xfrm>
          <a:off x="7264400" y="1319079150"/>
          <a:ext cx="878840" cy="1183640"/>
        </a:xfrm>
        <a:prstGeom prst="rect">
          <a:avLst/>
        </a:prstGeom>
      </xdr:spPr>
    </xdr:pic>
    <xdr:clientData/>
  </xdr:twoCellAnchor>
  <xdr:twoCellAnchor>
    <xdr:from>
      <xdr:col>8</xdr:col>
      <xdr:colOff>6350</xdr:colOff>
      <xdr:row>1361</xdr:row>
      <xdr:rowOff>25400</xdr:rowOff>
    </xdr:from>
    <xdr:to>
      <xdr:col>8</xdr:col>
      <xdr:colOff>885190</xdr:colOff>
      <xdr:row>1361</xdr:row>
      <xdr:rowOff>1209040</xdr:rowOff>
    </xdr:to>
    <xdr:pic>
      <xdr:nvPicPr>
        <xdr:cNvPr id="5245" name="Изображение 5244" descr="resizeПП-00200393"/>
        <xdr:cNvPicPr>
          <a:picLocks noChangeAspect="1"/>
        </xdr:cNvPicPr>
      </xdr:nvPicPr>
      <xdr:blipFill>
        <a:blip xmlns:r="http://schemas.openxmlformats.org/officeDocument/2006/relationships" r:embed="rId1007"/>
        <a:stretch>
          <a:fillRect/>
        </a:stretch>
      </xdr:blipFill>
      <xdr:spPr>
        <a:xfrm>
          <a:off x="7264400" y="1320301525"/>
          <a:ext cx="878840" cy="1183640"/>
        </a:xfrm>
        <a:prstGeom prst="rect">
          <a:avLst/>
        </a:prstGeom>
      </xdr:spPr>
    </xdr:pic>
    <xdr:clientData/>
  </xdr:twoCellAnchor>
  <xdr:twoCellAnchor>
    <xdr:from>
      <xdr:col>8</xdr:col>
      <xdr:colOff>6350</xdr:colOff>
      <xdr:row>1362</xdr:row>
      <xdr:rowOff>25400</xdr:rowOff>
    </xdr:from>
    <xdr:to>
      <xdr:col>8</xdr:col>
      <xdr:colOff>885190</xdr:colOff>
      <xdr:row>1362</xdr:row>
      <xdr:rowOff>1209040</xdr:rowOff>
    </xdr:to>
    <xdr:pic>
      <xdr:nvPicPr>
        <xdr:cNvPr id="5246" name="Изображение 5245" descr="resizeПП-00200391"/>
        <xdr:cNvPicPr>
          <a:picLocks noChangeAspect="1"/>
        </xdr:cNvPicPr>
      </xdr:nvPicPr>
      <xdr:blipFill>
        <a:blip xmlns:r="http://schemas.openxmlformats.org/officeDocument/2006/relationships" r:embed="rId1008"/>
        <a:stretch>
          <a:fillRect/>
        </a:stretch>
      </xdr:blipFill>
      <xdr:spPr>
        <a:xfrm>
          <a:off x="7264400" y="1321523900"/>
          <a:ext cx="878840" cy="1183640"/>
        </a:xfrm>
        <a:prstGeom prst="rect">
          <a:avLst/>
        </a:prstGeom>
      </xdr:spPr>
    </xdr:pic>
    <xdr:clientData/>
  </xdr:twoCellAnchor>
  <xdr:twoCellAnchor>
    <xdr:from>
      <xdr:col>8</xdr:col>
      <xdr:colOff>6350</xdr:colOff>
      <xdr:row>1363</xdr:row>
      <xdr:rowOff>25400</xdr:rowOff>
    </xdr:from>
    <xdr:to>
      <xdr:col>8</xdr:col>
      <xdr:colOff>885190</xdr:colOff>
      <xdr:row>1363</xdr:row>
      <xdr:rowOff>1209040</xdr:rowOff>
    </xdr:to>
    <xdr:pic>
      <xdr:nvPicPr>
        <xdr:cNvPr id="5247" name="Изображение 5246" descr="resizeПП-00200390"/>
        <xdr:cNvPicPr>
          <a:picLocks noChangeAspect="1"/>
        </xdr:cNvPicPr>
      </xdr:nvPicPr>
      <xdr:blipFill>
        <a:blip xmlns:r="http://schemas.openxmlformats.org/officeDocument/2006/relationships" r:embed="rId1009"/>
        <a:stretch>
          <a:fillRect/>
        </a:stretch>
      </xdr:blipFill>
      <xdr:spPr>
        <a:xfrm>
          <a:off x="7264400" y="1322746275"/>
          <a:ext cx="878840" cy="1183640"/>
        </a:xfrm>
        <a:prstGeom prst="rect">
          <a:avLst/>
        </a:prstGeom>
      </xdr:spPr>
    </xdr:pic>
    <xdr:clientData/>
  </xdr:twoCellAnchor>
  <xdr:twoCellAnchor>
    <xdr:from>
      <xdr:col>8</xdr:col>
      <xdr:colOff>6350</xdr:colOff>
      <xdr:row>1364</xdr:row>
      <xdr:rowOff>25400</xdr:rowOff>
    </xdr:from>
    <xdr:to>
      <xdr:col>8</xdr:col>
      <xdr:colOff>885190</xdr:colOff>
      <xdr:row>1364</xdr:row>
      <xdr:rowOff>1209040</xdr:rowOff>
    </xdr:to>
    <xdr:pic>
      <xdr:nvPicPr>
        <xdr:cNvPr id="5248" name="Изображение 5247" descr="resizeПП-00200392"/>
        <xdr:cNvPicPr>
          <a:picLocks noChangeAspect="1"/>
        </xdr:cNvPicPr>
      </xdr:nvPicPr>
      <xdr:blipFill>
        <a:blip xmlns:r="http://schemas.openxmlformats.org/officeDocument/2006/relationships" r:embed="rId1010"/>
        <a:stretch>
          <a:fillRect/>
        </a:stretch>
      </xdr:blipFill>
      <xdr:spPr>
        <a:xfrm>
          <a:off x="7264400" y="1323968650"/>
          <a:ext cx="878840" cy="1183640"/>
        </a:xfrm>
        <a:prstGeom prst="rect">
          <a:avLst/>
        </a:prstGeom>
      </xdr:spPr>
    </xdr:pic>
    <xdr:clientData/>
  </xdr:twoCellAnchor>
  <xdr:twoCellAnchor>
    <xdr:from>
      <xdr:col>8</xdr:col>
      <xdr:colOff>6350</xdr:colOff>
      <xdr:row>1365</xdr:row>
      <xdr:rowOff>25400</xdr:rowOff>
    </xdr:from>
    <xdr:to>
      <xdr:col>8</xdr:col>
      <xdr:colOff>885190</xdr:colOff>
      <xdr:row>1365</xdr:row>
      <xdr:rowOff>1209040</xdr:rowOff>
    </xdr:to>
    <xdr:pic>
      <xdr:nvPicPr>
        <xdr:cNvPr id="5249" name="Изображение 5248" descr="resizeПП-00200394"/>
        <xdr:cNvPicPr>
          <a:picLocks noChangeAspect="1"/>
        </xdr:cNvPicPr>
      </xdr:nvPicPr>
      <xdr:blipFill>
        <a:blip xmlns:r="http://schemas.openxmlformats.org/officeDocument/2006/relationships" r:embed="rId1011"/>
        <a:stretch>
          <a:fillRect/>
        </a:stretch>
      </xdr:blipFill>
      <xdr:spPr>
        <a:xfrm>
          <a:off x="7264400" y="1325191025"/>
          <a:ext cx="878840" cy="1183640"/>
        </a:xfrm>
        <a:prstGeom prst="rect">
          <a:avLst/>
        </a:prstGeom>
      </xdr:spPr>
    </xdr:pic>
    <xdr:clientData/>
  </xdr:twoCellAnchor>
  <xdr:twoCellAnchor>
    <xdr:from>
      <xdr:col>8</xdr:col>
      <xdr:colOff>6350</xdr:colOff>
      <xdr:row>1366</xdr:row>
      <xdr:rowOff>25400</xdr:rowOff>
    </xdr:from>
    <xdr:to>
      <xdr:col>8</xdr:col>
      <xdr:colOff>885190</xdr:colOff>
      <xdr:row>1366</xdr:row>
      <xdr:rowOff>1209040</xdr:rowOff>
    </xdr:to>
    <xdr:pic>
      <xdr:nvPicPr>
        <xdr:cNvPr id="5250" name="Изображение 5249" descr="resizeПП-00213544"/>
        <xdr:cNvPicPr>
          <a:picLocks noChangeAspect="1"/>
        </xdr:cNvPicPr>
      </xdr:nvPicPr>
      <xdr:blipFill>
        <a:blip xmlns:r="http://schemas.openxmlformats.org/officeDocument/2006/relationships" r:embed="rId1012"/>
        <a:stretch>
          <a:fillRect/>
        </a:stretch>
      </xdr:blipFill>
      <xdr:spPr>
        <a:xfrm>
          <a:off x="7264400" y="1326413400"/>
          <a:ext cx="878840" cy="1183640"/>
        </a:xfrm>
        <a:prstGeom prst="rect">
          <a:avLst/>
        </a:prstGeom>
      </xdr:spPr>
    </xdr:pic>
    <xdr:clientData/>
  </xdr:twoCellAnchor>
  <xdr:twoCellAnchor>
    <xdr:from>
      <xdr:col>8</xdr:col>
      <xdr:colOff>6350</xdr:colOff>
      <xdr:row>1368</xdr:row>
      <xdr:rowOff>25400</xdr:rowOff>
    </xdr:from>
    <xdr:to>
      <xdr:col>8</xdr:col>
      <xdr:colOff>885190</xdr:colOff>
      <xdr:row>1368</xdr:row>
      <xdr:rowOff>1209040</xdr:rowOff>
    </xdr:to>
    <xdr:pic>
      <xdr:nvPicPr>
        <xdr:cNvPr id="5251" name="Изображение 5250" descr="resizeПП-00200371"/>
        <xdr:cNvPicPr>
          <a:picLocks noChangeAspect="1"/>
        </xdr:cNvPicPr>
      </xdr:nvPicPr>
      <xdr:blipFill>
        <a:blip xmlns:r="http://schemas.openxmlformats.org/officeDocument/2006/relationships" r:embed="rId1013"/>
        <a:stretch>
          <a:fillRect/>
        </a:stretch>
      </xdr:blipFill>
      <xdr:spPr>
        <a:xfrm>
          <a:off x="7264400" y="1327788175"/>
          <a:ext cx="878840" cy="1183640"/>
        </a:xfrm>
        <a:prstGeom prst="rect">
          <a:avLst/>
        </a:prstGeom>
      </xdr:spPr>
    </xdr:pic>
    <xdr:clientData/>
  </xdr:twoCellAnchor>
  <xdr:twoCellAnchor>
    <xdr:from>
      <xdr:col>8</xdr:col>
      <xdr:colOff>6350</xdr:colOff>
      <xdr:row>1369</xdr:row>
      <xdr:rowOff>25400</xdr:rowOff>
    </xdr:from>
    <xdr:to>
      <xdr:col>8</xdr:col>
      <xdr:colOff>885190</xdr:colOff>
      <xdr:row>1369</xdr:row>
      <xdr:rowOff>1209040</xdr:rowOff>
    </xdr:to>
    <xdr:pic>
      <xdr:nvPicPr>
        <xdr:cNvPr id="5252" name="Изображение 5251" descr="resizeПП-00200373"/>
        <xdr:cNvPicPr>
          <a:picLocks noChangeAspect="1"/>
        </xdr:cNvPicPr>
      </xdr:nvPicPr>
      <xdr:blipFill>
        <a:blip xmlns:r="http://schemas.openxmlformats.org/officeDocument/2006/relationships" r:embed="rId1014"/>
        <a:stretch>
          <a:fillRect/>
        </a:stretch>
      </xdr:blipFill>
      <xdr:spPr>
        <a:xfrm>
          <a:off x="7264400" y="1329010550"/>
          <a:ext cx="878840" cy="1183640"/>
        </a:xfrm>
        <a:prstGeom prst="rect">
          <a:avLst/>
        </a:prstGeom>
      </xdr:spPr>
    </xdr:pic>
    <xdr:clientData/>
  </xdr:twoCellAnchor>
  <xdr:twoCellAnchor>
    <xdr:from>
      <xdr:col>8</xdr:col>
      <xdr:colOff>6350</xdr:colOff>
      <xdr:row>1370</xdr:row>
      <xdr:rowOff>25400</xdr:rowOff>
    </xdr:from>
    <xdr:to>
      <xdr:col>8</xdr:col>
      <xdr:colOff>885190</xdr:colOff>
      <xdr:row>1370</xdr:row>
      <xdr:rowOff>1209040</xdr:rowOff>
    </xdr:to>
    <xdr:pic>
      <xdr:nvPicPr>
        <xdr:cNvPr id="5253" name="Изображение 5252" descr="resizeПП-00274908"/>
        <xdr:cNvPicPr>
          <a:picLocks noChangeAspect="1"/>
        </xdr:cNvPicPr>
      </xdr:nvPicPr>
      <xdr:blipFill>
        <a:blip xmlns:r="http://schemas.openxmlformats.org/officeDocument/2006/relationships" r:embed="rId1015"/>
        <a:stretch>
          <a:fillRect/>
        </a:stretch>
      </xdr:blipFill>
      <xdr:spPr>
        <a:xfrm>
          <a:off x="7264400" y="1330232925"/>
          <a:ext cx="878840" cy="1183640"/>
        </a:xfrm>
        <a:prstGeom prst="rect">
          <a:avLst/>
        </a:prstGeom>
      </xdr:spPr>
    </xdr:pic>
    <xdr:clientData/>
  </xdr:twoCellAnchor>
  <xdr:twoCellAnchor>
    <xdr:from>
      <xdr:col>8</xdr:col>
      <xdr:colOff>6350</xdr:colOff>
      <xdr:row>1372</xdr:row>
      <xdr:rowOff>25400</xdr:rowOff>
    </xdr:from>
    <xdr:to>
      <xdr:col>8</xdr:col>
      <xdr:colOff>885190</xdr:colOff>
      <xdr:row>1372</xdr:row>
      <xdr:rowOff>1209040</xdr:rowOff>
    </xdr:to>
    <xdr:pic>
      <xdr:nvPicPr>
        <xdr:cNvPr id="5254" name="Изображение 5253" descr="resizeПП-00187155"/>
        <xdr:cNvPicPr>
          <a:picLocks noChangeAspect="1"/>
        </xdr:cNvPicPr>
      </xdr:nvPicPr>
      <xdr:blipFill>
        <a:blip xmlns:r="http://schemas.openxmlformats.org/officeDocument/2006/relationships" r:embed="rId1016"/>
        <a:stretch>
          <a:fillRect/>
        </a:stretch>
      </xdr:blipFill>
      <xdr:spPr>
        <a:xfrm>
          <a:off x="7264400" y="1331607700"/>
          <a:ext cx="878840" cy="1183640"/>
        </a:xfrm>
        <a:prstGeom prst="rect">
          <a:avLst/>
        </a:prstGeom>
      </xdr:spPr>
    </xdr:pic>
    <xdr:clientData/>
  </xdr:twoCellAnchor>
  <xdr:twoCellAnchor>
    <xdr:from>
      <xdr:col>8</xdr:col>
      <xdr:colOff>6350</xdr:colOff>
      <xdr:row>1373</xdr:row>
      <xdr:rowOff>25400</xdr:rowOff>
    </xdr:from>
    <xdr:to>
      <xdr:col>8</xdr:col>
      <xdr:colOff>885190</xdr:colOff>
      <xdr:row>1373</xdr:row>
      <xdr:rowOff>1209040</xdr:rowOff>
    </xdr:to>
    <xdr:pic>
      <xdr:nvPicPr>
        <xdr:cNvPr id="5255" name="Изображение 5254" descr="resizeПП-00274914"/>
        <xdr:cNvPicPr>
          <a:picLocks noChangeAspect="1"/>
        </xdr:cNvPicPr>
      </xdr:nvPicPr>
      <xdr:blipFill>
        <a:blip xmlns:r="http://schemas.openxmlformats.org/officeDocument/2006/relationships" r:embed="rId1017"/>
        <a:stretch>
          <a:fillRect/>
        </a:stretch>
      </xdr:blipFill>
      <xdr:spPr>
        <a:xfrm>
          <a:off x="7264400" y="1332830075"/>
          <a:ext cx="878840" cy="1183640"/>
        </a:xfrm>
        <a:prstGeom prst="rect">
          <a:avLst/>
        </a:prstGeom>
      </xdr:spPr>
    </xdr:pic>
    <xdr:clientData/>
  </xdr:twoCellAnchor>
  <xdr:twoCellAnchor>
    <xdr:from>
      <xdr:col>8</xdr:col>
      <xdr:colOff>6350</xdr:colOff>
      <xdr:row>1375</xdr:row>
      <xdr:rowOff>25400</xdr:rowOff>
    </xdr:from>
    <xdr:to>
      <xdr:col>8</xdr:col>
      <xdr:colOff>885190</xdr:colOff>
      <xdr:row>1375</xdr:row>
      <xdr:rowOff>1209040</xdr:rowOff>
    </xdr:to>
    <xdr:pic>
      <xdr:nvPicPr>
        <xdr:cNvPr id="5256" name="Изображение 5255" descr="resizeПП-00187346"/>
        <xdr:cNvPicPr>
          <a:picLocks noChangeAspect="1"/>
        </xdr:cNvPicPr>
      </xdr:nvPicPr>
      <xdr:blipFill>
        <a:blip xmlns:r="http://schemas.openxmlformats.org/officeDocument/2006/relationships" r:embed="rId1018"/>
        <a:stretch>
          <a:fillRect/>
        </a:stretch>
      </xdr:blipFill>
      <xdr:spPr>
        <a:xfrm>
          <a:off x="7264400" y="1334204850"/>
          <a:ext cx="878840" cy="1183640"/>
        </a:xfrm>
        <a:prstGeom prst="rect">
          <a:avLst/>
        </a:prstGeom>
      </xdr:spPr>
    </xdr:pic>
    <xdr:clientData/>
  </xdr:twoCellAnchor>
  <xdr:twoCellAnchor>
    <xdr:from>
      <xdr:col>8</xdr:col>
      <xdr:colOff>6350</xdr:colOff>
      <xdr:row>1376</xdr:row>
      <xdr:rowOff>25400</xdr:rowOff>
    </xdr:from>
    <xdr:to>
      <xdr:col>8</xdr:col>
      <xdr:colOff>885190</xdr:colOff>
      <xdr:row>1376</xdr:row>
      <xdr:rowOff>1209040</xdr:rowOff>
    </xdr:to>
    <xdr:pic>
      <xdr:nvPicPr>
        <xdr:cNvPr id="5257" name="Изображение 5256" descr="resizeПП-00187339"/>
        <xdr:cNvPicPr>
          <a:picLocks noChangeAspect="1"/>
        </xdr:cNvPicPr>
      </xdr:nvPicPr>
      <xdr:blipFill>
        <a:blip xmlns:r="http://schemas.openxmlformats.org/officeDocument/2006/relationships" r:embed="rId1019"/>
        <a:stretch>
          <a:fillRect/>
        </a:stretch>
      </xdr:blipFill>
      <xdr:spPr>
        <a:xfrm>
          <a:off x="7264400" y="1335427225"/>
          <a:ext cx="878840" cy="1183640"/>
        </a:xfrm>
        <a:prstGeom prst="rect">
          <a:avLst/>
        </a:prstGeom>
      </xdr:spPr>
    </xdr:pic>
    <xdr:clientData/>
  </xdr:twoCellAnchor>
  <xdr:twoCellAnchor>
    <xdr:from>
      <xdr:col>8</xdr:col>
      <xdr:colOff>6350</xdr:colOff>
      <xdr:row>1378</xdr:row>
      <xdr:rowOff>25400</xdr:rowOff>
    </xdr:from>
    <xdr:to>
      <xdr:col>8</xdr:col>
      <xdr:colOff>885190</xdr:colOff>
      <xdr:row>1378</xdr:row>
      <xdr:rowOff>1209040</xdr:rowOff>
    </xdr:to>
    <xdr:pic>
      <xdr:nvPicPr>
        <xdr:cNvPr id="5258" name="Изображение 5257" descr="resizeПП-00187169"/>
        <xdr:cNvPicPr>
          <a:picLocks noChangeAspect="1"/>
        </xdr:cNvPicPr>
      </xdr:nvPicPr>
      <xdr:blipFill>
        <a:blip xmlns:r="http://schemas.openxmlformats.org/officeDocument/2006/relationships" r:embed="rId1020"/>
        <a:stretch>
          <a:fillRect/>
        </a:stretch>
      </xdr:blipFill>
      <xdr:spPr>
        <a:xfrm>
          <a:off x="7264400" y="1336802000"/>
          <a:ext cx="878840" cy="1183640"/>
        </a:xfrm>
        <a:prstGeom prst="rect">
          <a:avLst/>
        </a:prstGeom>
      </xdr:spPr>
    </xdr:pic>
    <xdr:clientData/>
  </xdr:twoCellAnchor>
  <xdr:twoCellAnchor>
    <xdr:from>
      <xdr:col>8</xdr:col>
      <xdr:colOff>6350</xdr:colOff>
      <xdr:row>1380</xdr:row>
      <xdr:rowOff>25400</xdr:rowOff>
    </xdr:from>
    <xdr:to>
      <xdr:col>8</xdr:col>
      <xdr:colOff>885190</xdr:colOff>
      <xdr:row>1380</xdr:row>
      <xdr:rowOff>1209040</xdr:rowOff>
    </xdr:to>
    <xdr:pic>
      <xdr:nvPicPr>
        <xdr:cNvPr id="5259" name="Изображение 5258" descr="resizeПП-00200374"/>
        <xdr:cNvPicPr>
          <a:picLocks noChangeAspect="1"/>
        </xdr:cNvPicPr>
      </xdr:nvPicPr>
      <xdr:blipFill>
        <a:blip xmlns:r="http://schemas.openxmlformats.org/officeDocument/2006/relationships" r:embed="rId1021"/>
        <a:stretch>
          <a:fillRect/>
        </a:stretch>
      </xdr:blipFill>
      <xdr:spPr>
        <a:xfrm>
          <a:off x="7264400" y="1338176775"/>
          <a:ext cx="878840" cy="1183640"/>
        </a:xfrm>
        <a:prstGeom prst="rect">
          <a:avLst/>
        </a:prstGeom>
      </xdr:spPr>
    </xdr:pic>
    <xdr:clientData/>
  </xdr:twoCellAnchor>
  <xdr:twoCellAnchor>
    <xdr:from>
      <xdr:col>8</xdr:col>
      <xdr:colOff>6350</xdr:colOff>
      <xdr:row>1381</xdr:row>
      <xdr:rowOff>25400</xdr:rowOff>
    </xdr:from>
    <xdr:to>
      <xdr:col>8</xdr:col>
      <xdr:colOff>885190</xdr:colOff>
      <xdr:row>1381</xdr:row>
      <xdr:rowOff>1209040</xdr:rowOff>
    </xdr:to>
    <xdr:pic>
      <xdr:nvPicPr>
        <xdr:cNvPr id="5260" name="Изображение 5259" descr="resizeПП-00200376"/>
        <xdr:cNvPicPr>
          <a:picLocks noChangeAspect="1"/>
        </xdr:cNvPicPr>
      </xdr:nvPicPr>
      <xdr:blipFill>
        <a:blip xmlns:r="http://schemas.openxmlformats.org/officeDocument/2006/relationships" r:embed="rId1022"/>
        <a:stretch>
          <a:fillRect/>
        </a:stretch>
      </xdr:blipFill>
      <xdr:spPr>
        <a:xfrm>
          <a:off x="7264400" y="1339399150"/>
          <a:ext cx="878840" cy="1183640"/>
        </a:xfrm>
        <a:prstGeom prst="rect">
          <a:avLst/>
        </a:prstGeom>
      </xdr:spPr>
    </xdr:pic>
    <xdr:clientData/>
  </xdr:twoCellAnchor>
  <xdr:twoCellAnchor>
    <xdr:from>
      <xdr:col>8</xdr:col>
      <xdr:colOff>6350</xdr:colOff>
      <xdr:row>1382</xdr:row>
      <xdr:rowOff>25400</xdr:rowOff>
    </xdr:from>
    <xdr:to>
      <xdr:col>8</xdr:col>
      <xdr:colOff>885190</xdr:colOff>
      <xdr:row>1382</xdr:row>
      <xdr:rowOff>1209040</xdr:rowOff>
    </xdr:to>
    <xdr:pic>
      <xdr:nvPicPr>
        <xdr:cNvPr id="5261" name="Изображение 5260" descr="resizeПП-00200375"/>
        <xdr:cNvPicPr>
          <a:picLocks noChangeAspect="1"/>
        </xdr:cNvPicPr>
      </xdr:nvPicPr>
      <xdr:blipFill>
        <a:blip xmlns:r="http://schemas.openxmlformats.org/officeDocument/2006/relationships" r:embed="rId1023"/>
        <a:stretch>
          <a:fillRect/>
        </a:stretch>
      </xdr:blipFill>
      <xdr:spPr>
        <a:xfrm>
          <a:off x="7264400" y="1340621525"/>
          <a:ext cx="878840" cy="1183640"/>
        </a:xfrm>
        <a:prstGeom prst="rect">
          <a:avLst/>
        </a:prstGeom>
      </xdr:spPr>
    </xdr:pic>
    <xdr:clientData/>
  </xdr:twoCellAnchor>
  <xdr:twoCellAnchor>
    <xdr:from>
      <xdr:col>8</xdr:col>
      <xdr:colOff>6350</xdr:colOff>
      <xdr:row>1383</xdr:row>
      <xdr:rowOff>25400</xdr:rowOff>
    </xdr:from>
    <xdr:to>
      <xdr:col>8</xdr:col>
      <xdr:colOff>885190</xdr:colOff>
      <xdr:row>1383</xdr:row>
      <xdr:rowOff>1209040</xdr:rowOff>
    </xdr:to>
    <xdr:pic>
      <xdr:nvPicPr>
        <xdr:cNvPr id="5262" name="Изображение 5261" descr="resizeПП-00200377"/>
        <xdr:cNvPicPr>
          <a:picLocks noChangeAspect="1"/>
        </xdr:cNvPicPr>
      </xdr:nvPicPr>
      <xdr:blipFill>
        <a:blip xmlns:r="http://schemas.openxmlformats.org/officeDocument/2006/relationships" r:embed="rId1024"/>
        <a:stretch>
          <a:fillRect/>
        </a:stretch>
      </xdr:blipFill>
      <xdr:spPr>
        <a:xfrm>
          <a:off x="7264400" y="1341843900"/>
          <a:ext cx="878840" cy="1183640"/>
        </a:xfrm>
        <a:prstGeom prst="rect">
          <a:avLst/>
        </a:prstGeom>
      </xdr:spPr>
    </xdr:pic>
    <xdr:clientData/>
  </xdr:twoCellAnchor>
  <xdr:twoCellAnchor>
    <xdr:from>
      <xdr:col>8</xdr:col>
      <xdr:colOff>6350</xdr:colOff>
      <xdr:row>1386</xdr:row>
      <xdr:rowOff>25400</xdr:rowOff>
    </xdr:from>
    <xdr:to>
      <xdr:col>8</xdr:col>
      <xdr:colOff>885190</xdr:colOff>
      <xdr:row>1386</xdr:row>
      <xdr:rowOff>1209040</xdr:rowOff>
    </xdr:to>
    <xdr:pic>
      <xdr:nvPicPr>
        <xdr:cNvPr id="5263" name="Изображение 5262" descr="resizeПП-00274936"/>
        <xdr:cNvPicPr>
          <a:picLocks noChangeAspect="1"/>
        </xdr:cNvPicPr>
      </xdr:nvPicPr>
      <xdr:blipFill>
        <a:blip xmlns:r="http://schemas.openxmlformats.org/officeDocument/2006/relationships" r:embed="rId1025"/>
        <a:stretch>
          <a:fillRect/>
        </a:stretch>
      </xdr:blipFill>
      <xdr:spPr>
        <a:xfrm>
          <a:off x="7264400" y="1343371075"/>
          <a:ext cx="878840" cy="1183640"/>
        </a:xfrm>
        <a:prstGeom prst="rect">
          <a:avLst/>
        </a:prstGeom>
      </xdr:spPr>
    </xdr:pic>
    <xdr:clientData/>
  </xdr:twoCellAnchor>
  <xdr:twoCellAnchor>
    <xdr:from>
      <xdr:col>8</xdr:col>
      <xdr:colOff>6350</xdr:colOff>
      <xdr:row>1388</xdr:row>
      <xdr:rowOff>25400</xdr:rowOff>
    </xdr:from>
    <xdr:to>
      <xdr:col>8</xdr:col>
      <xdr:colOff>885190</xdr:colOff>
      <xdr:row>1388</xdr:row>
      <xdr:rowOff>1209040</xdr:rowOff>
    </xdr:to>
    <xdr:pic>
      <xdr:nvPicPr>
        <xdr:cNvPr id="5264" name="Изображение 5263" descr="resizeПП-00187177"/>
        <xdr:cNvPicPr>
          <a:picLocks noChangeAspect="1"/>
        </xdr:cNvPicPr>
      </xdr:nvPicPr>
      <xdr:blipFill>
        <a:blip xmlns:r="http://schemas.openxmlformats.org/officeDocument/2006/relationships" r:embed="rId1026"/>
        <a:stretch>
          <a:fillRect/>
        </a:stretch>
      </xdr:blipFill>
      <xdr:spPr>
        <a:xfrm>
          <a:off x="7264400" y="1344745850"/>
          <a:ext cx="878840" cy="1183640"/>
        </a:xfrm>
        <a:prstGeom prst="rect">
          <a:avLst/>
        </a:prstGeom>
      </xdr:spPr>
    </xdr:pic>
    <xdr:clientData/>
  </xdr:twoCellAnchor>
  <xdr:twoCellAnchor>
    <xdr:from>
      <xdr:col>8</xdr:col>
      <xdr:colOff>6350</xdr:colOff>
      <xdr:row>1389</xdr:row>
      <xdr:rowOff>25400</xdr:rowOff>
    </xdr:from>
    <xdr:to>
      <xdr:col>8</xdr:col>
      <xdr:colOff>885190</xdr:colOff>
      <xdr:row>1389</xdr:row>
      <xdr:rowOff>1209040</xdr:rowOff>
    </xdr:to>
    <xdr:pic>
      <xdr:nvPicPr>
        <xdr:cNvPr id="5265" name="Изображение 5264" descr="resizeПП-00251503"/>
        <xdr:cNvPicPr>
          <a:picLocks noChangeAspect="1"/>
        </xdr:cNvPicPr>
      </xdr:nvPicPr>
      <xdr:blipFill>
        <a:blip xmlns:r="http://schemas.openxmlformats.org/officeDocument/2006/relationships" r:embed="rId1027"/>
        <a:stretch>
          <a:fillRect/>
        </a:stretch>
      </xdr:blipFill>
      <xdr:spPr>
        <a:xfrm>
          <a:off x="7264400" y="1345968225"/>
          <a:ext cx="878840" cy="1183640"/>
        </a:xfrm>
        <a:prstGeom prst="rect">
          <a:avLst/>
        </a:prstGeom>
      </xdr:spPr>
    </xdr:pic>
    <xdr:clientData/>
  </xdr:twoCellAnchor>
  <xdr:twoCellAnchor>
    <xdr:from>
      <xdr:col>8</xdr:col>
      <xdr:colOff>6350</xdr:colOff>
      <xdr:row>1390</xdr:row>
      <xdr:rowOff>25400</xdr:rowOff>
    </xdr:from>
    <xdr:to>
      <xdr:col>8</xdr:col>
      <xdr:colOff>885190</xdr:colOff>
      <xdr:row>1390</xdr:row>
      <xdr:rowOff>1209040</xdr:rowOff>
    </xdr:to>
    <xdr:pic>
      <xdr:nvPicPr>
        <xdr:cNvPr id="5266" name="Изображение 5265" descr="resizeПП-00046781"/>
        <xdr:cNvPicPr>
          <a:picLocks noChangeAspect="1"/>
        </xdr:cNvPicPr>
      </xdr:nvPicPr>
      <xdr:blipFill>
        <a:blip xmlns:r="http://schemas.openxmlformats.org/officeDocument/2006/relationships" r:embed="rId1028"/>
        <a:stretch>
          <a:fillRect/>
        </a:stretch>
      </xdr:blipFill>
      <xdr:spPr>
        <a:xfrm>
          <a:off x="7264400" y="1347190600"/>
          <a:ext cx="878840" cy="1183640"/>
        </a:xfrm>
        <a:prstGeom prst="rect">
          <a:avLst/>
        </a:prstGeom>
      </xdr:spPr>
    </xdr:pic>
    <xdr:clientData/>
  </xdr:twoCellAnchor>
  <xdr:twoCellAnchor>
    <xdr:from>
      <xdr:col>8</xdr:col>
      <xdr:colOff>6350</xdr:colOff>
      <xdr:row>1392</xdr:row>
      <xdr:rowOff>25400</xdr:rowOff>
    </xdr:from>
    <xdr:to>
      <xdr:col>8</xdr:col>
      <xdr:colOff>885190</xdr:colOff>
      <xdr:row>1392</xdr:row>
      <xdr:rowOff>1209040</xdr:rowOff>
    </xdr:to>
    <xdr:pic>
      <xdr:nvPicPr>
        <xdr:cNvPr id="5267" name="Изображение 5266" descr="resizeПП-00251505"/>
        <xdr:cNvPicPr>
          <a:picLocks noChangeAspect="1"/>
        </xdr:cNvPicPr>
      </xdr:nvPicPr>
      <xdr:blipFill>
        <a:blip xmlns:r="http://schemas.openxmlformats.org/officeDocument/2006/relationships" r:embed="rId1029"/>
        <a:stretch>
          <a:fillRect/>
        </a:stretch>
      </xdr:blipFill>
      <xdr:spPr>
        <a:xfrm>
          <a:off x="7264400" y="1348565375"/>
          <a:ext cx="878840" cy="1183640"/>
        </a:xfrm>
        <a:prstGeom prst="rect">
          <a:avLst/>
        </a:prstGeom>
      </xdr:spPr>
    </xdr:pic>
    <xdr:clientData/>
  </xdr:twoCellAnchor>
  <xdr:twoCellAnchor>
    <xdr:from>
      <xdr:col>8</xdr:col>
      <xdr:colOff>6350</xdr:colOff>
      <xdr:row>1393</xdr:row>
      <xdr:rowOff>25400</xdr:rowOff>
    </xdr:from>
    <xdr:to>
      <xdr:col>8</xdr:col>
      <xdr:colOff>885190</xdr:colOff>
      <xdr:row>1393</xdr:row>
      <xdr:rowOff>1209040</xdr:rowOff>
    </xdr:to>
    <xdr:pic>
      <xdr:nvPicPr>
        <xdr:cNvPr id="5268" name="Изображение 5267" descr="resizeПП-00251504"/>
        <xdr:cNvPicPr>
          <a:picLocks noChangeAspect="1"/>
        </xdr:cNvPicPr>
      </xdr:nvPicPr>
      <xdr:blipFill>
        <a:blip xmlns:r="http://schemas.openxmlformats.org/officeDocument/2006/relationships" r:embed="rId1030"/>
        <a:stretch>
          <a:fillRect/>
        </a:stretch>
      </xdr:blipFill>
      <xdr:spPr>
        <a:xfrm>
          <a:off x="7264400" y="1349787750"/>
          <a:ext cx="878840" cy="1183640"/>
        </a:xfrm>
        <a:prstGeom prst="rect">
          <a:avLst/>
        </a:prstGeom>
      </xdr:spPr>
    </xdr:pic>
    <xdr:clientData/>
  </xdr:twoCellAnchor>
  <xdr:twoCellAnchor>
    <xdr:from>
      <xdr:col>8</xdr:col>
      <xdr:colOff>6350</xdr:colOff>
      <xdr:row>1394</xdr:row>
      <xdr:rowOff>25400</xdr:rowOff>
    </xdr:from>
    <xdr:to>
      <xdr:col>8</xdr:col>
      <xdr:colOff>885190</xdr:colOff>
      <xdr:row>1394</xdr:row>
      <xdr:rowOff>1209040</xdr:rowOff>
    </xdr:to>
    <xdr:pic>
      <xdr:nvPicPr>
        <xdr:cNvPr id="5269" name="Изображение 5268" descr="resizeПП-00275568"/>
        <xdr:cNvPicPr>
          <a:picLocks noChangeAspect="1"/>
        </xdr:cNvPicPr>
      </xdr:nvPicPr>
      <xdr:blipFill>
        <a:blip xmlns:r="http://schemas.openxmlformats.org/officeDocument/2006/relationships" r:embed="rId1031"/>
        <a:stretch>
          <a:fillRect/>
        </a:stretch>
      </xdr:blipFill>
      <xdr:spPr>
        <a:xfrm>
          <a:off x="7264400" y="1351010125"/>
          <a:ext cx="878840" cy="1183640"/>
        </a:xfrm>
        <a:prstGeom prst="rect">
          <a:avLst/>
        </a:prstGeom>
      </xdr:spPr>
    </xdr:pic>
    <xdr:clientData/>
  </xdr:twoCellAnchor>
  <xdr:twoCellAnchor>
    <xdr:from>
      <xdr:col>8</xdr:col>
      <xdr:colOff>6350</xdr:colOff>
      <xdr:row>1395</xdr:row>
      <xdr:rowOff>25400</xdr:rowOff>
    </xdr:from>
    <xdr:to>
      <xdr:col>8</xdr:col>
      <xdr:colOff>885190</xdr:colOff>
      <xdr:row>1395</xdr:row>
      <xdr:rowOff>1209040</xdr:rowOff>
    </xdr:to>
    <xdr:pic>
      <xdr:nvPicPr>
        <xdr:cNvPr id="5270" name="Изображение 5269" descr="resizeПП-00251474"/>
        <xdr:cNvPicPr>
          <a:picLocks noChangeAspect="1"/>
        </xdr:cNvPicPr>
      </xdr:nvPicPr>
      <xdr:blipFill>
        <a:blip xmlns:r="http://schemas.openxmlformats.org/officeDocument/2006/relationships" r:embed="rId1032"/>
        <a:stretch>
          <a:fillRect/>
        </a:stretch>
      </xdr:blipFill>
      <xdr:spPr>
        <a:xfrm>
          <a:off x="7264400" y="1352232500"/>
          <a:ext cx="878840" cy="1183640"/>
        </a:xfrm>
        <a:prstGeom prst="rect">
          <a:avLst/>
        </a:prstGeom>
      </xdr:spPr>
    </xdr:pic>
    <xdr:clientData/>
  </xdr:twoCellAnchor>
  <xdr:twoCellAnchor>
    <xdr:from>
      <xdr:col>8</xdr:col>
      <xdr:colOff>6350</xdr:colOff>
      <xdr:row>1396</xdr:row>
      <xdr:rowOff>25400</xdr:rowOff>
    </xdr:from>
    <xdr:to>
      <xdr:col>8</xdr:col>
      <xdr:colOff>885190</xdr:colOff>
      <xdr:row>1396</xdr:row>
      <xdr:rowOff>1209040</xdr:rowOff>
    </xdr:to>
    <xdr:pic>
      <xdr:nvPicPr>
        <xdr:cNvPr id="5271" name="Изображение 5270" descr="resizeПП-00251506"/>
        <xdr:cNvPicPr>
          <a:picLocks noChangeAspect="1"/>
        </xdr:cNvPicPr>
      </xdr:nvPicPr>
      <xdr:blipFill>
        <a:blip xmlns:r="http://schemas.openxmlformats.org/officeDocument/2006/relationships" r:embed="rId1033"/>
        <a:stretch>
          <a:fillRect/>
        </a:stretch>
      </xdr:blipFill>
      <xdr:spPr>
        <a:xfrm>
          <a:off x="7264400" y="1353454875"/>
          <a:ext cx="878840" cy="1183640"/>
        </a:xfrm>
        <a:prstGeom prst="rect">
          <a:avLst/>
        </a:prstGeom>
      </xdr:spPr>
    </xdr:pic>
    <xdr:clientData/>
  </xdr:twoCellAnchor>
  <xdr:twoCellAnchor>
    <xdr:from>
      <xdr:col>8</xdr:col>
      <xdr:colOff>6350</xdr:colOff>
      <xdr:row>1397</xdr:row>
      <xdr:rowOff>25400</xdr:rowOff>
    </xdr:from>
    <xdr:to>
      <xdr:col>8</xdr:col>
      <xdr:colOff>885190</xdr:colOff>
      <xdr:row>1397</xdr:row>
      <xdr:rowOff>1209040</xdr:rowOff>
    </xdr:to>
    <xdr:pic>
      <xdr:nvPicPr>
        <xdr:cNvPr id="5272" name="Изображение 5271" descr="resizeПП-00275563"/>
        <xdr:cNvPicPr>
          <a:picLocks noChangeAspect="1"/>
        </xdr:cNvPicPr>
      </xdr:nvPicPr>
      <xdr:blipFill>
        <a:blip xmlns:r="http://schemas.openxmlformats.org/officeDocument/2006/relationships" r:embed="rId1034"/>
        <a:stretch>
          <a:fillRect/>
        </a:stretch>
      </xdr:blipFill>
      <xdr:spPr>
        <a:xfrm>
          <a:off x="7264400" y="1354677250"/>
          <a:ext cx="878840" cy="1183640"/>
        </a:xfrm>
        <a:prstGeom prst="rect">
          <a:avLst/>
        </a:prstGeom>
      </xdr:spPr>
    </xdr:pic>
    <xdr:clientData/>
  </xdr:twoCellAnchor>
  <xdr:twoCellAnchor>
    <xdr:from>
      <xdr:col>8</xdr:col>
      <xdr:colOff>6350</xdr:colOff>
      <xdr:row>1398</xdr:row>
      <xdr:rowOff>25400</xdr:rowOff>
    </xdr:from>
    <xdr:to>
      <xdr:col>8</xdr:col>
      <xdr:colOff>885190</xdr:colOff>
      <xdr:row>1398</xdr:row>
      <xdr:rowOff>1209040</xdr:rowOff>
    </xdr:to>
    <xdr:pic>
      <xdr:nvPicPr>
        <xdr:cNvPr id="5273" name="Изображение 5272" descr="resizeПП-00275562"/>
        <xdr:cNvPicPr>
          <a:picLocks noChangeAspect="1"/>
        </xdr:cNvPicPr>
      </xdr:nvPicPr>
      <xdr:blipFill>
        <a:blip xmlns:r="http://schemas.openxmlformats.org/officeDocument/2006/relationships" r:embed="rId1035"/>
        <a:stretch>
          <a:fillRect/>
        </a:stretch>
      </xdr:blipFill>
      <xdr:spPr>
        <a:xfrm>
          <a:off x="7264400" y="1355899625"/>
          <a:ext cx="878840" cy="1183640"/>
        </a:xfrm>
        <a:prstGeom prst="rect">
          <a:avLst/>
        </a:prstGeom>
      </xdr:spPr>
    </xdr:pic>
    <xdr:clientData/>
  </xdr:twoCellAnchor>
  <xdr:twoCellAnchor>
    <xdr:from>
      <xdr:col>8</xdr:col>
      <xdr:colOff>6350</xdr:colOff>
      <xdr:row>1399</xdr:row>
      <xdr:rowOff>25400</xdr:rowOff>
    </xdr:from>
    <xdr:to>
      <xdr:col>8</xdr:col>
      <xdr:colOff>885190</xdr:colOff>
      <xdr:row>1399</xdr:row>
      <xdr:rowOff>1209040</xdr:rowOff>
    </xdr:to>
    <xdr:pic>
      <xdr:nvPicPr>
        <xdr:cNvPr id="5274" name="Изображение 5273" descr="resizeПП-00275572"/>
        <xdr:cNvPicPr>
          <a:picLocks noChangeAspect="1"/>
        </xdr:cNvPicPr>
      </xdr:nvPicPr>
      <xdr:blipFill>
        <a:blip xmlns:r="http://schemas.openxmlformats.org/officeDocument/2006/relationships" r:embed="rId1036"/>
        <a:stretch>
          <a:fillRect/>
        </a:stretch>
      </xdr:blipFill>
      <xdr:spPr>
        <a:xfrm>
          <a:off x="7264400" y="1357122000"/>
          <a:ext cx="878840" cy="1183640"/>
        </a:xfrm>
        <a:prstGeom prst="rect">
          <a:avLst/>
        </a:prstGeom>
      </xdr:spPr>
    </xdr:pic>
    <xdr:clientData/>
  </xdr:twoCellAnchor>
  <xdr:twoCellAnchor>
    <xdr:from>
      <xdr:col>8</xdr:col>
      <xdr:colOff>6350</xdr:colOff>
      <xdr:row>1400</xdr:row>
      <xdr:rowOff>25400</xdr:rowOff>
    </xdr:from>
    <xdr:to>
      <xdr:col>8</xdr:col>
      <xdr:colOff>885190</xdr:colOff>
      <xdr:row>1400</xdr:row>
      <xdr:rowOff>1209040</xdr:rowOff>
    </xdr:to>
    <xdr:pic>
      <xdr:nvPicPr>
        <xdr:cNvPr id="5275" name="Изображение 5274" descr="resizeПП-00275571"/>
        <xdr:cNvPicPr>
          <a:picLocks noChangeAspect="1"/>
        </xdr:cNvPicPr>
      </xdr:nvPicPr>
      <xdr:blipFill>
        <a:blip xmlns:r="http://schemas.openxmlformats.org/officeDocument/2006/relationships" r:embed="rId1037"/>
        <a:stretch>
          <a:fillRect/>
        </a:stretch>
      </xdr:blipFill>
      <xdr:spPr>
        <a:xfrm>
          <a:off x="7264400" y="1358344375"/>
          <a:ext cx="878840" cy="1183640"/>
        </a:xfrm>
        <a:prstGeom prst="rect">
          <a:avLst/>
        </a:prstGeom>
      </xdr:spPr>
    </xdr:pic>
    <xdr:clientData/>
  </xdr:twoCellAnchor>
  <xdr:twoCellAnchor>
    <xdr:from>
      <xdr:col>8</xdr:col>
      <xdr:colOff>6350</xdr:colOff>
      <xdr:row>1401</xdr:row>
      <xdr:rowOff>25400</xdr:rowOff>
    </xdr:from>
    <xdr:to>
      <xdr:col>8</xdr:col>
      <xdr:colOff>885190</xdr:colOff>
      <xdr:row>1401</xdr:row>
      <xdr:rowOff>1209040</xdr:rowOff>
    </xdr:to>
    <xdr:pic>
      <xdr:nvPicPr>
        <xdr:cNvPr id="5276" name="Изображение 5275" descr="resizeПП-00275564"/>
        <xdr:cNvPicPr>
          <a:picLocks noChangeAspect="1"/>
        </xdr:cNvPicPr>
      </xdr:nvPicPr>
      <xdr:blipFill>
        <a:blip xmlns:r="http://schemas.openxmlformats.org/officeDocument/2006/relationships" r:embed="rId1038"/>
        <a:stretch>
          <a:fillRect/>
        </a:stretch>
      </xdr:blipFill>
      <xdr:spPr>
        <a:xfrm>
          <a:off x="7264400" y="1359566750"/>
          <a:ext cx="878840" cy="1183640"/>
        </a:xfrm>
        <a:prstGeom prst="rect">
          <a:avLst/>
        </a:prstGeom>
      </xdr:spPr>
    </xdr:pic>
    <xdr:clientData/>
  </xdr:twoCellAnchor>
  <xdr:twoCellAnchor>
    <xdr:from>
      <xdr:col>8</xdr:col>
      <xdr:colOff>6350</xdr:colOff>
      <xdr:row>1402</xdr:row>
      <xdr:rowOff>25400</xdr:rowOff>
    </xdr:from>
    <xdr:to>
      <xdr:col>8</xdr:col>
      <xdr:colOff>885190</xdr:colOff>
      <xdr:row>1402</xdr:row>
      <xdr:rowOff>1209040</xdr:rowOff>
    </xdr:to>
    <xdr:pic>
      <xdr:nvPicPr>
        <xdr:cNvPr id="5277" name="Изображение 5276" descr="resizeПП-00275565"/>
        <xdr:cNvPicPr>
          <a:picLocks noChangeAspect="1"/>
        </xdr:cNvPicPr>
      </xdr:nvPicPr>
      <xdr:blipFill>
        <a:blip xmlns:r="http://schemas.openxmlformats.org/officeDocument/2006/relationships" r:embed="rId1039"/>
        <a:stretch>
          <a:fillRect/>
        </a:stretch>
      </xdr:blipFill>
      <xdr:spPr>
        <a:xfrm>
          <a:off x="7264400" y="1360789125"/>
          <a:ext cx="878840" cy="1183640"/>
        </a:xfrm>
        <a:prstGeom prst="rect">
          <a:avLst/>
        </a:prstGeom>
      </xdr:spPr>
    </xdr:pic>
    <xdr:clientData/>
  </xdr:twoCellAnchor>
  <xdr:twoCellAnchor>
    <xdr:from>
      <xdr:col>8</xdr:col>
      <xdr:colOff>6350</xdr:colOff>
      <xdr:row>1403</xdr:row>
      <xdr:rowOff>25400</xdr:rowOff>
    </xdr:from>
    <xdr:to>
      <xdr:col>8</xdr:col>
      <xdr:colOff>885190</xdr:colOff>
      <xdr:row>1403</xdr:row>
      <xdr:rowOff>1209040</xdr:rowOff>
    </xdr:to>
    <xdr:pic>
      <xdr:nvPicPr>
        <xdr:cNvPr id="5278" name="Изображение 5277" descr="resizeПП-00046812"/>
        <xdr:cNvPicPr>
          <a:picLocks noChangeAspect="1"/>
        </xdr:cNvPicPr>
      </xdr:nvPicPr>
      <xdr:blipFill>
        <a:blip xmlns:r="http://schemas.openxmlformats.org/officeDocument/2006/relationships" r:embed="rId1040"/>
        <a:stretch>
          <a:fillRect/>
        </a:stretch>
      </xdr:blipFill>
      <xdr:spPr>
        <a:xfrm>
          <a:off x="7264400" y="1362011500"/>
          <a:ext cx="878840" cy="1183640"/>
        </a:xfrm>
        <a:prstGeom prst="rect">
          <a:avLst/>
        </a:prstGeom>
      </xdr:spPr>
    </xdr:pic>
    <xdr:clientData/>
  </xdr:twoCellAnchor>
  <xdr:twoCellAnchor>
    <xdr:from>
      <xdr:col>8</xdr:col>
      <xdr:colOff>6350</xdr:colOff>
      <xdr:row>1404</xdr:row>
      <xdr:rowOff>25400</xdr:rowOff>
    </xdr:from>
    <xdr:to>
      <xdr:col>8</xdr:col>
      <xdr:colOff>885190</xdr:colOff>
      <xdr:row>1404</xdr:row>
      <xdr:rowOff>1209040</xdr:rowOff>
    </xdr:to>
    <xdr:pic>
      <xdr:nvPicPr>
        <xdr:cNvPr id="5279" name="Изображение 5278" descr="resizeПП-00046772"/>
        <xdr:cNvPicPr>
          <a:picLocks noChangeAspect="1"/>
        </xdr:cNvPicPr>
      </xdr:nvPicPr>
      <xdr:blipFill>
        <a:blip xmlns:r="http://schemas.openxmlformats.org/officeDocument/2006/relationships" r:embed="rId1041"/>
        <a:stretch>
          <a:fillRect/>
        </a:stretch>
      </xdr:blipFill>
      <xdr:spPr>
        <a:xfrm>
          <a:off x="7264400" y="1363233875"/>
          <a:ext cx="878840" cy="1183640"/>
        </a:xfrm>
        <a:prstGeom prst="rect">
          <a:avLst/>
        </a:prstGeom>
      </xdr:spPr>
    </xdr:pic>
    <xdr:clientData/>
  </xdr:twoCellAnchor>
  <xdr:twoCellAnchor>
    <xdr:from>
      <xdr:col>8</xdr:col>
      <xdr:colOff>6350</xdr:colOff>
      <xdr:row>1405</xdr:row>
      <xdr:rowOff>25400</xdr:rowOff>
    </xdr:from>
    <xdr:to>
      <xdr:col>8</xdr:col>
      <xdr:colOff>885190</xdr:colOff>
      <xdr:row>1405</xdr:row>
      <xdr:rowOff>1209040</xdr:rowOff>
    </xdr:to>
    <xdr:pic>
      <xdr:nvPicPr>
        <xdr:cNvPr id="5280" name="Изображение 5279" descr="resizeПП-00046819"/>
        <xdr:cNvPicPr>
          <a:picLocks noChangeAspect="1"/>
        </xdr:cNvPicPr>
      </xdr:nvPicPr>
      <xdr:blipFill>
        <a:blip xmlns:r="http://schemas.openxmlformats.org/officeDocument/2006/relationships" r:embed="rId1042"/>
        <a:stretch>
          <a:fillRect/>
        </a:stretch>
      </xdr:blipFill>
      <xdr:spPr>
        <a:xfrm>
          <a:off x="7264400" y="1364456250"/>
          <a:ext cx="878840" cy="1183640"/>
        </a:xfrm>
        <a:prstGeom prst="rect">
          <a:avLst/>
        </a:prstGeom>
      </xdr:spPr>
    </xdr:pic>
    <xdr:clientData/>
  </xdr:twoCellAnchor>
  <xdr:twoCellAnchor>
    <xdr:from>
      <xdr:col>8</xdr:col>
      <xdr:colOff>6350</xdr:colOff>
      <xdr:row>1406</xdr:row>
      <xdr:rowOff>25400</xdr:rowOff>
    </xdr:from>
    <xdr:to>
      <xdr:col>8</xdr:col>
      <xdr:colOff>885190</xdr:colOff>
      <xdr:row>1406</xdr:row>
      <xdr:rowOff>1209040</xdr:rowOff>
    </xdr:to>
    <xdr:pic>
      <xdr:nvPicPr>
        <xdr:cNvPr id="5281" name="Изображение 5280" descr="resizeПП-00200525"/>
        <xdr:cNvPicPr>
          <a:picLocks noChangeAspect="1"/>
        </xdr:cNvPicPr>
      </xdr:nvPicPr>
      <xdr:blipFill>
        <a:blip xmlns:r="http://schemas.openxmlformats.org/officeDocument/2006/relationships" r:embed="rId1043"/>
        <a:stretch>
          <a:fillRect/>
        </a:stretch>
      </xdr:blipFill>
      <xdr:spPr>
        <a:xfrm>
          <a:off x="7264400" y="1365678625"/>
          <a:ext cx="878840" cy="1183640"/>
        </a:xfrm>
        <a:prstGeom prst="rect">
          <a:avLst/>
        </a:prstGeom>
      </xdr:spPr>
    </xdr:pic>
    <xdr:clientData/>
  </xdr:twoCellAnchor>
  <xdr:twoCellAnchor>
    <xdr:from>
      <xdr:col>8</xdr:col>
      <xdr:colOff>6350</xdr:colOff>
      <xdr:row>1407</xdr:row>
      <xdr:rowOff>25400</xdr:rowOff>
    </xdr:from>
    <xdr:to>
      <xdr:col>8</xdr:col>
      <xdr:colOff>885190</xdr:colOff>
      <xdr:row>1407</xdr:row>
      <xdr:rowOff>1209040</xdr:rowOff>
    </xdr:to>
    <xdr:pic>
      <xdr:nvPicPr>
        <xdr:cNvPr id="5282" name="Изображение 5281" descr="resizeПП-00274910"/>
        <xdr:cNvPicPr>
          <a:picLocks noChangeAspect="1"/>
        </xdr:cNvPicPr>
      </xdr:nvPicPr>
      <xdr:blipFill>
        <a:blip xmlns:r="http://schemas.openxmlformats.org/officeDocument/2006/relationships" r:embed="rId1044"/>
        <a:stretch>
          <a:fillRect/>
        </a:stretch>
      </xdr:blipFill>
      <xdr:spPr>
        <a:xfrm>
          <a:off x="7264400" y="1366901000"/>
          <a:ext cx="878840" cy="1183640"/>
        </a:xfrm>
        <a:prstGeom prst="rect">
          <a:avLst/>
        </a:prstGeom>
      </xdr:spPr>
    </xdr:pic>
    <xdr:clientData/>
  </xdr:twoCellAnchor>
  <xdr:twoCellAnchor>
    <xdr:from>
      <xdr:col>8</xdr:col>
      <xdr:colOff>6350</xdr:colOff>
      <xdr:row>1408</xdr:row>
      <xdr:rowOff>25400</xdr:rowOff>
    </xdr:from>
    <xdr:to>
      <xdr:col>8</xdr:col>
      <xdr:colOff>885190</xdr:colOff>
      <xdr:row>1408</xdr:row>
      <xdr:rowOff>1209040</xdr:rowOff>
    </xdr:to>
    <xdr:pic>
      <xdr:nvPicPr>
        <xdr:cNvPr id="5283" name="Изображение 5282" descr="resizeПП-00274940"/>
        <xdr:cNvPicPr>
          <a:picLocks noChangeAspect="1"/>
        </xdr:cNvPicPr>
      </xdr:nvPicPr>
      <xdr:blipFill>
        <a:blip xmlns:r="http://schemas.openxmlformats.org/officeDocument/2006/relationships" r:embed="rId1045"/>
        <a:stretch>
          <a:fillRect/>
        </a:stretch>
      </xdr:blipFill>
      <xdr:spPr>
        <a:xfrm>
          <a:off x="7264400" y="1368123375"/>
          <a:ext cx="878840" cy="1183640"/>
        </a:xfrm>
        <a:prstGeom prst="rect">
          <a:avLst/>
        </a:prstGeom>
      </xdr:spPr>
    </xdr:pic>
    <xdr:clientData/>
  </xdr:twoCellAnchor>
  <xdr:twoCellAnchor>
    <xdr:from>
      <xdr:col>8</xdr:col>
      <xdr:colOff>6350</xdr:colOff>
      <xdr:row>1409</xdr:row>
      <xdr:rowOff>25400</xdr:rowOff>
    </xdr:from>
    <xdr:to>
      <xdr:col>8</xdr:col>
      <xdr:colOff>885190</xdr:colOff>
      <xdr:row>1409</xdr:row>
      <xdr:rowOff>1209040</xdr:rowOff>
    </xdr:to>
    <xdr:pic>
      <xdr:nvPicPr>
        <xdr:cNvPr id="5284" name="Изображение 5283" descr="resizeПП-00274920"/>
        <xdr:cNvPicPr>
          <a:picLocks noChangeAspect="1"/>
        </xdr:cNvPicPr>
      </xdr:nvPicPr>
      <xdr:blipFill>
        <a:blip xmlns:r="http://schemas.openxmlformats.org/officeDocument/2006/relationships" r:embed="rId1046"/>
        <a:stretch>
          <a:fillRect/>
        </a:stretch>
      </xdr:blipFill>
      <xdr:spPr>
        <a:xfrm>
          <a:off x="7264400" y="1369345750"/>
          <a:ext cx="878840" cy="1183640"/>
        </a:xfrm>
        <a:prstGeom prst="rect">
          <a:avLst/>
        </a:prstGeom>
      </xdr:spPr>
    </xdr:pic>
    <xdr:clientData/>
  </xdr:twoCellAnchor>
  <xdr:twoCellAnchor>
    <xdr:from>
      <xdr:col>8</xdr:col>
      <xdr:colOff>6350</xdr:colOff>
      <xdr:row>1410</xdr:row>
      <xdr:rowOff>25400</xdr:rowOff>
    </xdr:from>
    <xdr:to>
      <xdr:col>8</xdr:col>
      <xdr:colOff>885190</xdr:colOff>
      <xdr:row>1410</xdr:row>
      <xdr:rowOff>1209040</xdr:rowOff>
    </xdr:to>
    <xdr:pic>
      <xdr:nvPicPr>
        <xdr:cNvPr id="5285" name="Изображение 5284" descr="resizeПП-00163989"/>
        <xdr:cNvPicPr>
          <a:picLocks noChangeAspect="1"/>
        </xdr:cNvPicPr>
      </xdr:nvPicPr>
      <xdr:blipFill>
        <a:blip xmlns:r="http://schemas.openxmlformats.org/officeDocument/2006/relationships" r:embed="rId1047"/>
        <a:stretch>
          <a:fillRect/>
        </a:stretch>
      </xdr:blipFill>
      <xdr:spPr>
        <a:xfrm>
          <a:off x="7264400" y="1370568125"/>
          <a:ext cx="878840" cy="1183640"/>
        </a:xfrm>
        <a:prstGeom prst="rect">
          <a:avLst/>
        </a:prstGeom>
      </xdr:spPr>
    </xdr:pic>
    <xdr:clientData/>
  </xdr:twoCellAnchor>
  <xdr:twoCellAnchor>
    <xdr:from>
      <xdr:col>8</xdr:col>
      <xdr:colOff>6350</xdr:colOff>
      <xdr:row>1412</xdr:row>
      <xdr:rowOff>25400</xdr:rowOff>
    </xdr:from>
    <xdr:to>
      <xdr:col>8</xdr:col>
      <xdr:colOff>885190</xdr:colOff>
      <xdr:row>1412</xdr:row>
      <xdr:rowOff>1209040</xdr:rowOff>
    </xdr:to>
    <xdr:pic>
      <xdr:nvPicPr>
        <xdr:cNvPr id="5286" name="Изображение 5285" descr="resizeПП-00251467"/>
        <xdr:cNvPicPr>
          <a:picLocks noChangeAspect="1"/>
        </xdr:cNvPicPr>
      </xdr:nvPicPr>
      <xdr:blipFill>
        <a:blip xmlns:r="http://schemas.openxmlformats.org/officeDocument/2006/relationships" r:embed="rId1048"/>
        <a:stretch>
          <a:fillRect/>
        </a:stretch>
      </xdr:blipFill>
      <xdr:spPr>
        <a:xfrm>
          <a:off x="7264400" y="1371942900"/>
          <a:ext cx="878840" cy="1183640"/>
        </a:xfrm>
        <a:prstGeom prst="rect">
          <a:avLst/>
        </a:prstGeom>
      </xdr:spPr>
    </xdr:pic>
    <xdr:clientData/>
  </xdr:twoCellAnchor>
  <xdr:twoCellAnchor>
    <xdr:from>
      <xdr:col>8</xdr:col>
      <xdr:colOff>6350</xdr:colOff>
      <xdr:row>1414</xdr:row>
      <xdr:rowOff>25400</xdr:rowOff>
    </xdr:from>
    <xdr:to>
      <xdr:col>8</xdr:col>
      <xdr:colOff>885190</xdr:colOff>
      <xdr:row>1414</xdr:row>
      <xdr:rowOff>1209040</xdr:rowOff>
    </xdr:to>
    <xdr:pic>
      <xdr:nvPicPr>
        <xdr:cNvPr id="5287" name="Изображение 5286" descr="resizeПП-00203557"/>
        <xdr:cNvPicPr>
          <a:picLocks noChangeAspect="1"/>
        </xdr:cNvPicPr>
      </xdr:nvPicPr>
      <xdr:blipFill>
        <a:blip xmlns:r="http://schemas.openxmlformats.org/officeDocument/2006/relationships" r:embed="rId1049"/>
        <a:stretch>
          <a:fillRect/>
        </a:stretch>
      </xdr:blipFill>
      <xdr:spPr>
        <a:xfrm>
          <a:off x="7264400" y="1373317675"/>
          <a:ext cx="878840" cy="1183640"/>
        </a:xfrm>
        <a:prstGeom prst="rect">
          <a:avLst/>
        </a:prstGeom>
      </xdr:spPr>
    </xdr:pic>
    <xdr:clientData/>
  </xdr:twoCellAnchor>
  <xdr:twoCellAnchor>
    <xdr:from>
      <xdr:col>8</xdr:col>
      <xdr:colOff>6350</xdr:colOff>
      <xdr:row>1415</xdr:row>
      <xdr:rowOff>25400</xdr:rowOff>
    </xdr:from>
    <xdr:to>
      <xdr:col>8</xdr:col>
      <xdr:colOff>885190</xdr:colOff>
      <xdr:row>1415</xdr:row>
      <xdr:rowOff>1209040</xdr:rowOff>
    </xdr:to>
    <xdr:pic>
      <xdr:nvPicPr>
        <xdr:cNvPr id="5288" name="Изображение 5287" descr="resizeПП-00203563"/>
        <xdr:cNvPicPr>
          <a:picLocks noChangeAspect="1"/>
        </xdr:cNvPicPr>
      </xdr:nvPicPr>
      <xdr:blipFill>
        <a:blip xmlns:r="http://schemas.openxmlformats.org/officeDocument/2006/relationships" r:embed="rId1050"/>
        <a:stretch>
          <a:fillRect/>
        </a:stretch>
      </xdr:blipFill>
      <xdr:spPr>
        <a:xfrm>
          <a:off x="7264400" y="1374540050"/>
          <a:ext cx="878840" cy="1183640"/>
        </a:xfrm>
        <a:prstGeom prst="rect">
          <a:avLst/>
        </a:prstGeom>
      </xdr:spPr>
    </xdr:pic>
    <xdr:clientData/>
  </xdr:twoCellAnchor>
  <xdr:twoCellAnchor>
    <xdr:from>
      <xdr:col>8</xdr:col>
      <xdr:colOff>6350</xdr:colOff>
      <xdr:row>1416</xdr:row>
      <xdr:rowOff>25400</xdr:rowOff>
    </xdr:from>
    <xdr:to>
      <xdr:col>8</xdr:col>
      <xdr:colOff>885190</xdr:colOff>
      <xdr:row>1416</xdr:row>
      <xdr:rowOff>1209040</xdr:rowOff>
    </xdr:to>
    <xdr:pic>
      <xdr:nvPicPr>
        <xdr:cNvPr id="5289" name="Изображение 5288" descr="resizeПП-00203567"/>
        <xdr:cNvPicPr>
          <a:picLocks noChangeAspect="1"/>
        </xdr:cNvPicPr>
      </xdr:nvPicPr>
      <xdr:blipFill>
        <a:blip xmlns:r="http://schemas.openxmlformats.org/officeDocument/2006/relationships" r:embed="rId1051"/>
        <a:stretch>
          <a:fillRect/>
        </a:stretch>
      </xdr:blipFill>
      <xdr:spPr>
        <a:xfrm>
          <a:off x="7264400" y="1375762425"/>
          <a:ext cx="878840" cy="1183640"/>
        </a:xfrm>
        <a:prstGeom prst="rect">
          <a:avLst/>
        </a:prstGeom>
      </xdr:spPr>
    </xdr:pic>
    <xdr:clientData/>
  </xdr:twoCellAnchor>
  <xdr:twoCellAnchor>
    <xdr:from>
      <xdr:col>8</xdr:col>
      <xdr:colOff>6350</xdr:colOff>
      <xdr:row>1417</xdr:row>
      <xdr:rowOff>25400</xdr:rowOff>
    </xdr:from>
    <xdr:to>
      <xdr:col>8</xdr:col>
      <xdr:colOff>885190</xdr:colOff>
      <xdr:row>1417</xdr:row>
      <xdr:rowOff>1209040</xdr:rowOff>
    </xdr:to>
    <xdr:pic>
      <xdr:nvPicPr>
        <xdr:cNvPr id="5290" name="Изображение 5289" descr="resizeПП-00203561"/>
        <xdr:cNvPicPr>
          <a:picLocks noChangeAspect="1"/>
        </xdr:cNvPicPr>
      </xdr:nvPicPr>
      <xdr:blipFill>
        <a:blip xmlns:r="http://schemas.openxmlformats.org/officeDocument/2006/relationships" r:embed="rId1052"/>
        <a:stretch>
          <a:fillRect/>
        </a:stretch>
      </xdr:blipFill>
      <xdr:spPr>
        <a:xfrm>
          <a:off x="7264400" y="1376984800"/>
          <a:ext cx="878840" cy="1183640"/>
        </a:xfrm>
        <a:prstGeom prst="rect">
          <a:avLst/>
        </a:prstGeom>
      </xdr:spPr>
    </xdr:pic>
    <xdr:clientData/>
  </xdr:twoCellAnchor>
  <xdr:twoCellAnchor>
    <xdr:from>
      <xdr:col>8</xdr:col>
      <xdr:colOff>6350</xdr:colOff>
      <xdr:row>1418</xdr:row>
      <xdr:rowOff>25400</xdr:rowOff>
    </xdr:from>
    <xdr:to>
      <xdr:col>8</xdr:col>
      <xdr:colOff>885190</xdr:colOff>
      <xdr:row>1418</xdr:row>
      <xdr:rowOff>1209040</xdr:rowOff>
    </xdr:to>
    <xdr:pic>
      <xdr:nvPicPr>
        <xdr:cNvPr id="5291" name="Изображение 5290" descr="resizeПП-00203562"/>
        <xdr:cNvPicPr>
          <a:picLocks noChangeAspect="1"/>
        </xdr:cNvPicPr>
      </xdr:nvPicPr>
      <xdr:blipFill>
        <a:blip xmlns:r="http://schemas.openxmlformats.org/officeDocument/2006/relationships" r:embed="rId1053"/>
        <a:stretch>
          <a:fillRect/>
        </a:stretch>
      </xdr:blipFill>
      <xdr:spPr>
        <a:xfrm>
          <a:off x="7264400" y="1378207175"/>
          <a:ext cx="878840" cy="1183640"/>
        </a:xfrm>
        <a:prstGeom prst="rect">
          <a:avLst/>
        </a:prstGeom>
      </xdr:spPr>
    </xdr:pic>
    <xdr:clientData/>
  </xdr:twoCellAnchor>
  <xdr:twoCellAnchor>
    <xdr:from>
      <xdr:col>8</xdr:col>
      <xdr:colOff>6350</xdr:colOff>
      <xdr:row>1419</xdr:row>
      <xdr:rowOff>25400</xdr:rowOff>
    </xdr:from>
    <xdr:to>
      <xdr:col>8</xdr:col>
      <xdr:colOff>885190</xdr:colOff>
      <xdr:row>1419</xdr:row>
      <xdr:rowOff>1209040</xdr:rowOff>
    </xdr:to>
    <xdr:pic>
      <xdr:nvPicPr>
        <xdr:cNvPr id="5292" name="Изображение 5291" descr="resizeПП-00203580"/>
        <xdr:cNvPicPr>
          <a:picLocks noChangeAspect="1"/>
        </xdr:cNvPicPr>
      </xdr:nvPicPr>
      <xdr:blipFill>
        <a:blip xmlns:r="http://schemas.openxmlformats.org/officeDocument/2006/relationships" r:embed="rId1054"/>
        <a:stretch>
          <a:fillRect/>
        </a:stretch>
      </xdr:blipFill>
      <xdr:spPr>
        <a:xfrm>
          <a:off x="7264400" y="1379429550"/>
          <a:ext cx="878840" cy="1183640"/>
        </a:xfrm>
        <a:prstGeom prst="rect">
          <a:avLst/>
        </a:prstGeom>
      </xdr:spPr>
    </xdr:pic>
    <xdr:clientData/>
  </xdr:twoCellAnchor>
  <xdr:twoCellAnchor>
    <xdr:from>
      <xdr:col>8</xdr:col>
      <xdr:colOff>6350</xdr:colOff>
      <xdr:row>1422</xdr:row>
      <xdr:rowOff>25400</xdr:rowOff>
    </xdr:from>
    <xdr:to>
      <xdr:col>8</xdr:col>
      <xdr:colOff>885190</xdr:colOff>
      <xdr:row>1422</xdr:row>
      <xdr:rowOff>1209040</xdr:rowOff>
    </xdr:to>
    <xdr:pic>
      <xdr:nvPicPr>
        <xdr:cNvPr id="5293" name="Изображение 5292" descr="resizeПП-00103728"/>
        <xdr:cNvPicPr>
          <a:picLocks noChangeAspect="1"/>
        </xdr:cNvPicPr>
      </xdr:nvPicPr>
      <xdr:blipFill>
        <a:blip xmlns:r="http://schemas.openxmlformats.org/officeDocument/2006/relationships" r:embed="rId1055"/>
        <a:stretch>
          <a:fillRect/>
        </a:stretch>
      </xdr:blipFill>
      <xdr:spPr>
        <a:xfrm>
          <a:off x="7264400" y="1380956725"/>
          <a:ext cx="878840" cy="1183640"/>
        </a:xfrm>
        <a:prstGeom prst="rect">
          <a:avLst/>
        </a:prstGeom>
      </xdr:spPr>
    </xdr:pic>
    <xdr:clientData/>
  </xdr:twoCellAnchor>
  <xdr:twoCellAnchor>
    <xdr:from>
      <xdr:col>8</xdr:col>
      <xdr:colOff>6350</xdr:colOff>
      <xdr:row>1423</xdr:row>
      <xdr:rowOff>25400</xdr:rowOff>
    </xdr:from>
    <xdr:to>
      <xdr:col>8</xdr:col>
      <xdr:colOff>885190</xdr:colOff>
      <xdr:row>1423</xdr:row>
      <xdr:rowOff>1209040</xdr:rowOff>
    </xdr:to>
    <xdr:pic>
      <xdr:nvPicPr>
        <xdr:cNvPr id="5294" name="Изображение 5293" descr="resizeПП-00103730"/>
        <xdr:cNvPicPr>
          <a:picLocks noChangeAspect="1"/>
        </xdr:cNvPicPr>
      </xdr:nvPicPr>
      <xdr:blipFill>
        <a:blip xmlns:r="http://schemas.openxmlformats.org/officeDocument/2006/relationships" r:embed="rId1056"/>
        <a:stretch>
          <a:fillRect/>
        </a:stretch>
      </xdr:blipFill>
      <xdr:spPr>
        <a:xfrm>
          <a:off x="7264400" y="1382179100"/>
          <a:ext cx="878840" cy="1183640"/>
        </a:xfrm>
        <a:prstGeom prst="rect">
          <a:avLst/>
        </a:prstGeom>
      </xdr:spPr>
    </xdr:pic>
    <xdr:clientData/>
  </xdr:twoCellAnchor>
  <xdr:twoCellAnchor>
    <xdr:from>
      <xdr:col>8</xdr:col>
      <xdr:colOff>6350</xdr:colOff>
      <xdr:row>1424</xdr:row>
      <xdr:rowOff>25400</xdr:rowOff>
    </xdr:from>
    <xdr:to>
      <xdr:col>8</xdr:col>
      <xdr:colOff>885190</xdr:colOff>
      <xdr:row>1424</xdr:row>
      <xdr:rowOff>1209040</xdr:rowOff>
    </xdr:to>
    <xdr:pic>
      <xdr:nvPicPr>
        <xdr:cNvPr id="5295" name="Изображение 5294" descr="resizeПП-00103732"/>
        <xdr:cNvPicPr>
          <a:picLocks noChangeAspect="1"/>
        </xdr:cNvPicPr>
      </xdr:nvPicPr>
      <xdr:blipFill>
        <a:blip xmlns:r="http://schemas.openxmlformats.org/officeDocument/2006/relationships" r:embed="rId1057"/>
        <a:stretch>
          <a:fillRect/>
        </a:stretch>
      </xdr:blipFill>
      <xdr:spPr>
        <a:xfrm>
          <a:off x="7264400" y="1383401475"/>
          <a:ext cx="878840" cy="1183640"/>
        </a:xfrm>
        <a:prstGeom prst="rect">
          <a:avLst/>
        </a:prstGeom>
      </xdr:spPr>
    </xdr:pic>
    <xdr:clientData/>
  </xdr:twoCellAnchor>
  <xdr:twoCellAnchor>
    <xdr:from>
      <xdr:col>8</xdr:col>
      <xdr:colOff>6350</xdr:colOff>
      <xdr:row>1425</xdr:row>
      <xdr:rowOff>25400</xdr:rowOff>
    </xdr:from>
    <xdr:to>
      <xdr:col>8</xdr:col>
      <xdr:colOff>885190</xdr:colOff>
      <xdr:row>1425</xdr:row>
      <xdr:rowOff>1209040</xdr:rowOff>
    </xdr:to>
    <xdr:pic>
      <xdr:nvPicPr>
        <xdr:cNvPr id="5296" name="Изображение 5295" descr="resizeПП-00187315"/>
        <xdr:cNvPicPr>
          <a:picLocks noChangeAspect="1"/>
        </xdr:cNvPicPr>
      </xdr:nvPicPr>
      <xdr:blipFill>
        <a:blip xmlns:r="http://schemas.openxmlformats.org/officeDocument/2006/relationships" r:embed="rId1058"/>
        <a:stretch>
          <a:fillRect/>
        </a:stretch>
      </xdr:blipFill>
      <xdr:spPr>
        <a:xfrm>
          <a:off x="7264400" y="1384623850"/>
          <a:ext cx="878840" cy="1183640"/>
        </a:xfrm>
        <a:prstGeom prst="rect">
          <a:avLst/>
        </a:prstGeom>
      </xdr:spPr>
    </xdr:pic>
    <xdr:clientData/>
  </xdr:twoCellAnchor>
  <xdr:twoCellAnchor>
    <xdr:from>
      <xdr:col>8</xdr:col>
      <xdr:colOff>6350</xdr:colOff>
      <xdr:row>1426</xdr:row>
      <xdr:rowOff>25400</xdr:rowOff>
    </xdr:from>
    <xdr:to>
      <xdr:col>8</xdr:col>
      <xdr:colOff>885190</xdr:colOff>
      <xdr:row>1426</xdr:row>
      <xdr:rowOff>1209040</xdr:rowOff>
    </xdr:to>
    <xdr:pic>
      <xdr:nvPicPr>
        <xdr:cNvPr id="5297" name="Изображение 5296" descr="resizeПП-00103725"/>
        <xdr:cNvPicPr>
          <a:picLocks noChangeAspect="1"/>
        </xdr:cNvPicPr>
      </xdr:nvPicPr>
      <xdr:blipFill>
        <a:blip xmlns:r="http://schemas.openxmlformats.org/officeDocument/2006/relationships" r:embed="rId1059"/>
        <a:stretch>
          <a:fillRect/>
        </a:stretch>
      </xdr:blipFill>
      <xdr:spPr>
        <a:xfrm>
          <a:off x="7264400" y="1385846225"/>
          <a:ext cx="878840" cy="1183640"/>
        </a:xfrm>
        <a:prstGeom prst="rect">
          <a:avLst/>
        </a:prstGeom>
      </xdr:spPr>
    </xdr:pic>
    <xdr:clientData/>
  </xdr:twoCellAnchor>
  <xdr:twoCellAnchor>
    <xdr:from>
      <xdr:col>8</xdr:col>
      <xdr:colOff>6350</xdr:colOff>
      <xdr:row>1427</xdr:row>
      <xdr:rowOff>25400</xdr:rowOff>
    </xdr:from>
    <xdr:to>
      <xdr:col>8</xdr:col>
      <xdr:colOff>885190</xdr:colOff>
      <xdr:row>1427</xdr:row>
      <xdr:rowOff>1209040</xdr:rowOff>
    </xdr:to>
    <xdr:pic>
      <xdr:nvPicPr>
        <xdr:cNvPr id="5298" name="Изображение 5297" descr="resizeПП-00187317"/>
        <xdr:cNvPicPr>
          <a:picLocks noChangeAspect="1"/>
        </xdr:cNvPicPr>
      </xdr:nvPicPr>
      <xdr:blipFill>
        <a:blip xmlns:r="http://schemas.openxmlformats.org/officeDocument/2006/relationships" r:embed="rId1060"/>
        <a:stretch>
          <a:fillRect/>
        </a:stretch>
      </xdr:blipFill>
      <xdr:spPr>
        <a:xfrm>
          <a:off x="7264400" y="1387068600"/>
          <a:ext cx="878840" cy="1183640"/>
        </a:xfrm>
        <a:prstGeom prst="rect">
          <a:avLst/>
        </a:prstGeom>
      </xdr:spPr>
    </xdr:pic>
    <xdr:clientData/>
  </xdr:twoCellAnchor>
  <xdr:twoCellAnchor>
    <xdr:from>
      <xdr:col>8</xdr:col>
      <xdr:colOff>6350</xdr:colOff>
      <xdr:row>1429</xdr:row>
      <xdr:rowOff>25400</xdr:rowOff>
    </xdr:from>
    <xdr:to>
      <xdr:col>8</xdr:col>
      <xdr:colOff>885190</xdr:colOff>
      <xdr:row>1429</xdr:row>
      <xdr:rowOff>1209040</xdr:rowOff>
    </xdr:to>
    <xdr:pic>
      <xdr:nvPicPr>
        <xdr:cNvPr id="5299" name="Изображение 5298" descr="resizeПП-00275597"/>
        <xdr:cNvPicPr>
          <a:picLocks noChangeAspect="1"/>
        </xdr:cNvPicPr>
      </xdr:nvPicPr>
      <xdr:blipFill>
        <a:blip xmlns:r="http://schemas.openxmlformats.org/officeDocument/2006/relationships" r:embed="rId1061"/>
        <a:stretch>
          <a:fillRect/>
        </a:stretch>
      </xdr:blipFill>
      <xdr:spPr>
        <a:xfrm>
          <a:off x="7264400" y="1388443375"/>
          <a:ext cx="878840" cy="1183640"/>
        </a:xfrm>
        <a:prstGeom prst="rect">
          <a:avLst/>
        </a:prstGeom>
      </xdr:spPr>
    </xdr:pic>
    <xdr:clientData/>
  </xdr:twoCellAnchor>
  <xdr:twoCellAnchor>
    <xdr:from>
      <xdr:col>8</xdr:col>
      <xdr:colOff>6350</xdr:colOff>
      <xdr:row>1430</xdr:row>
      <xdr:rowOff>25400</xdr:rowOff>
    </xdr:from>
    <xdr:to>
      <xdr:col>8</xdr:col>
      <xdr:colOff>885190</xdr:colOff>
      <xdr:row>1430</xdr:row>
      <xdr:rowOff>1209040</xdr:rowOff>
    </xdr:to>
    <xdr:pic>
      <xdr:nvPicPr>
        <xdr:cNvPr id="5300" name="Изображение 5299" descr="resizeПП-00275585"/>
        <xdr:cNvPicPr>
          <a:picLocks noChangeAspect="1"/>
        </xdr:cNvPicPr>
      </xdr:nvPicPr>
      <xdr:blipFill>
        <a:blip xmlns:r="http://schemas.openxmlformats.org/officeDocument/2006/relationships" r:embed="rId1062"/>
        <a:stretch>
          <a:fillRect/>
        </a:stretch>
      </xdr:blipFill>
      <xdr:spPr>
        <a:xfrm>
          <a:off x="7264400" y="1389665750"/>
          <a:ext cx="878840" cy="1183640"/>
        </a:xfrm>
        <a:prstGeom prst="rect">
          <a:avLst/>
        </a:prstGeom>
      </xdr:spPr>
    </xdr:pic>
    <xdr:clientData/>
  </xdr:twoCellAnchor>
  <xdr:twoCellAnchor>
    <xdr:from>
      <xdr:col>8</xdr:col>
      <xdr:colOff>6350</xdr:colOff>
      <xdr:row>1431</xdr:row>
      <xdr:rowOff>25400</xdr:rowOff>
    </xdr:from>
    <xdr:to>
      <xdr:col>8</xdr:col>
      <xdr:colOff>885190</xdr:colOff>
      <xdr:row>1431</xdr:row>
      <xdr:rowOff>1209040</xdr:rowOff>
    </xdr:to>
    <xdr:pic>
      <xdr:nvPicPr>
        <xdr:cNvPr id="5301" name="Изображение 5300" descr="resizeПП-00275589"/>
        <xdr:cNvPicPr>
          <a:picLocks noChangeAspect="1"/>
        </xdr:cNvPicPr>
      </xdr:nvPicPr>
      <xdr:blipFill>
        <a:blip xmlns:r="http://schemas.openxmlformats.org/officeDocument/2006/relationships" r:embed="rId1063"/>
        <a:stretch>
          <a:fillRect/>
        </a:stretch>
      </xdr:blipFill>
      <xdr:spPr>
        <a:xfrm>
          <a:off x="7264400" y="1390888125"/>
          <a:ext cx="878840" cy="1183640"/>
        </a:xfrm>
        <a:prstGeom prst="rect">
          <a:avLst/>
        </a:prstGeom>
      </xdr:spPr>
    </xdr:pic>
    <xdr:clientData/>
  </xdr:twoCellAnchor>
  <xdr:twoCellAnchor>
    <xdr:from>
      <xdr:col>8</xdr:col>
      <xdr:colOff>6350</xdr:colOff>
      <xdr:row>1432</xdr:row>
      <xdr:rowOff>25400</xdr:rowOff>
    </xdr:from>
    <xdr:to>
      <xdr:col>8</xdr:col>
      <xdr:colOff>885190</xdr:colOff>
      <xdr:row>1432</xdr:row>
      <xdr:rowOff>1209040</xdr:rowOff>
    </xdr:to>
    <xdr:pic>
      <xdr:nvPicPr>
        <xdr:cNvPr id="5302" name="Изображение 5301" descr="resizeПП-00275588"/>
        <xdr:cNvPicPr>
          <a:picLocks noChangeAspect="1"/>
        </xdr:cNvPicPr>
      </xdr:nvPicPr>
      <xdr:blipFill>
        <a:blip xmlns:r="http://schemas.openxmlformats.org/officeDocument/2006/relationships" r:embed="rId1064"/>
        <a:stretch>
          <a:fillRect/>
        </a:stretch>
      </xdr:blipFill>
      <xdr:spPr>
        <a:xfrm>
          <a:off x="7264400" y="1392110500"/>
          <a:ext cx="878840" cy="1183640"/>
        </a:xfrm>
        <a:prstGeom prst="rect">
          <a:avLst/>
        </a:prstGeom>
      </xdr:spPr>
    </xdr:pic>
    <xdr:clientData/>
  </xdr:twoCellAnchor>
  <xdr:twoCellAnchor>
    <xdr:from>
      <xdr:col>8</xdr:col>
      <xdr:colOff>6350</xdr:colOff>
      <xdr:row>1433</xdr:row>
      <xdr:rowOff>25400</xdr:rowOff>
    </xdr:from>
    <xdr:to>
      <xdr:col>8</xdr:col>
      <xdr:colOff>885190</xdr:colOff>
      <xdr:row>1433</xdr:row>
      <xdr:rowOff>1209040</xdr:rowOff>
    </xdr:to>
    <xdr:pic>
      <xdr:nvPicPr>
        <xdr:cNvPr id="5303" name="Изображение 5302" descr="resizeПП-00274943"/>
        <xdr:cNvPicPr>
          <a:picLocks noChangeAspect="1"/>
        </xdr:cNvPicPr>
      </xdr:nvPicPr>
      <xdr:blipFill>
        <a:blip xmlns:r="http://schemas.openxmlformats.org/officeDocument/2006/relationships" r:embed="rId1065"/>
        <a:stretch>
          <a:fillRect/>
        </a:stretch>
      </xdr:blipFill>
      <xdr:spPr>
        <a:xfrm>
          <a:off x="7264400" y="1393332875"/>
          <a:ext cx="878840" cy="1183640"/>
        </a:xfrm>
        <a:prstGeom prst="rect">
          <a:avLst/>
        </a:prstGeom>
      </xdr:spPr>
    </xdr:pic>
    <xdr:clientData/>
  </xdr:twoCellAnchor>
  <xdr:twoCellAnchor>
    <xdr:from>
      <xdr:col>8</xdr:col>
      <xdr:colOff>6350</xdr:colOff>
      <xdr:row>1435</xdr:row>
      <xdr:rowOff>25400</xdr:rowOff>
    </xdr:from>
    <xdr:to>
      <xdr:col>8</xdr:col>
      <xdr:colOff>885190</xdr:colOff>
      <xdr:row>1435</xdr:row>
      <xdr:rowOff>1209040</xdr:rowOff>
    </xdr:to>
    <xdr:pic>
      <xdr:nvPicPr>
        <xdr:cNvPr id="5304" name="Изображение 5303" descr="resizeПП-00275450"/>
        <xdr:cNvPicPr>
          <a:picLocks noChangeAspect="1"/>
        </xdr:cNvPicPr>
      </xdr:nvPicPr>
      <xdr:blipFill>
        <a:blip xmlns:r="http://schemas.openxmlformats.org/officeDocument/2006/relationships" r:embed="rId1066"/>
        <a:stretch>
          <a:fillRect/>
        </a:stretch>
      </xdr:blipFill>
      <xdr:spPr>
        <a:xfrm>
          <a:off x="7264400" y="1394707650"/>
          <a:ext cx="878840" cy="1183640"/>
        </a:xfrm>
        <a:prstGeom prst="rect">
          <a:avLst/>
        </a:prstGeom>
      </xdr:spPr>
    </xdr:pic>
    <xdr:clientData/>
  </xdr:twoCellAnchor>
  <xdr:twoCellAnchor>
    <xdr:from>
      <xdr:col>8</xdr:col>
      <xdr:colOff>6350</xdr:colOff>
      <xdr:row>1436</xdr:row>
      <xdr:rowOff>25400</xdr:rowOff>
    </xdr:from>
    <xdr:to>
      <xdr:col>8</xdr:col>
      <xdr:colOff>885190</xdr:colOff>
      <xdr:row>1436</xdr:row>
      <xdr:rowOff>1209040</xdr:rowOff>
    </xdr:to>
    <xdr:pic>
      <xdr:nvPicPr>
        <xdr:cNvPr id="5305" name="Изображение 5304" descr="resizeПП-00275449"/>
        <xdr:cNvPicPr>
          <a:picLocks noChangeAspect="1"/>
        </xdr:cNvPicPr>
      </xdr:nvPicPr>
      <xdr:blipFill>
        <a:blip xmlns:r="http://schemas.openxmlformats.org/officeDocument/2006/relationships" r:embed="rId1067"/>
        <a:stretch>
          <a:fillRect/>
        </a:stretch>
      </xdr:blipFill>
      <xdr:spPr>
        <a:xfrm>
          <a:off x="7264400" y="1395930025"/>
          <a:ext cx="878840" cy="1183640"/>
        </a:xfrm>
        <a:prstGeom prst="rect">
          <a:avLst/>
        </a:prstGeom>
      </xdr:spPr>
    </xdr:pic>
    <xdr:clientData/>
  </xdr:twoCellAnchor>
  <xdr:twoCellAnchor>
    <xdr:from>
      <xdr:col>8</xdr:col>
      <xdr:colOff>6350</xdr:colOff>
      <xdr:row>1437</xdr:row>
      <xdr:rowOff>25400</xdr:rowOff>
    </xdr:from>
    <xdr:to>
      <xdr:col>8</xdr:col>
      <xdr:colOff>885190</xdr:colOff>
      <xdr:row>1437</xdr:row>
      <xdr:rowOff>1209040</xdr:rowOff>
    </xdr:to>
    <xdr:pic>
      <xdr:nvPicPr>
        <xdr:cNvPr id="5306" name="Изображение 5305" descr="resizeПП-00275448"/>
        <xdr:cNvPicPr>
          <a:picLocks noChangeAspect="1"/>
        </xdr:cNvPicPr>
      </xdr:nvPicPr>
      <xdr:blipFill>
        <a:blip xmlns:r="http://schemas.openxmlformats.org/officeDocument/2006/relationships" r:embed="rId1068"/>
        <a:stretch>
          <a:fillRect/>
        </a:stretch>
      </xdr:blipFill>
      <xdr:spPr>
        <a:xfrm>
          <a:off x="7264400" y="1397152400"/>
          <a:ext cx="878840" cy="1183640"/>
        </a:xfrm>
        <a:prstGeom prst="rect">
          <a:avLst/>
        </a:prstGeom>
      </xdr:spPr>
    </xdr:pic>
    <xdr:clientData/>
  </xdr:twoCellAnchor>
  <xdr:twoCellAnchor>
    <xdr:from>
      <xdr:col>8</xdr:col>
      <xdr:colOff>6350</xdr:colOff>
      <xdr:row>1438</xdr:row>
      <xdr:rowOff>25400</xdr:rowOff>
    </xdr:from>
    <xdr:to>
      <xdr:col>8</xdr:col>
      <xdr:colOff>885190</xdr:colOff>
      <xdr:row>1438</xdr:row>
      <xdr:rowOff>1209040</xdr:rowOff>
    </xdr:to>
    <xdr:pic>
      <xdr:nvPicPr>
        <xdr:cNvPr id="5307" name="Изображение 5306" descr="resizeПП-00269843"/>
        <xdr:cNvPicPr>
          <a:picLocks noChangeAspect="1"/>
        </xdr:cNvPicPr>
      </xdr:nvPicPr>
      <xdr:blipFill>
        <a:blip xmlns:r="http://schemas.openxmlformats.org/officeDocument/2006/relationships" r:embed="rId1069"/>
        <a:stretch>
          <a:fillRect/>
        </a:stretch>
      </xdr:blipFill>
      <xdr:spPr>
        <a:xfrm>
          <a:off x="7264400" y="1398374775"/>
          <a:ext cx="878840" cy="1183640"/>
        </a:xfrm>
        <a:prstGeom prst="rect">
          <a:avLst/>
        </a:prstGeom>
      </xdr:spPr>
    </xdr:pic>
    <xdr:clientData/>
  </xdr:twoCellAnchor>
  <xdr:twoCellAnchor>
    <xdr:from>
      <xdr:col>8</xdr:col>
      <xdr:colOff>6350</xdr:colOff>
      <xdr:row>1439</xdr:row>
      <xdr:rowOff>25400</xdr:rowOff>
    </xdr:from>
    <xdr:to>
      <xdr:col>8</xdr:col>
      <xdr:colOff>885190</xdr:colOff>
      <xdr:row>1439</xdr:row>
      <xdr:rowOff>1209040</xdr:rowOff>
    </xdr:to>
    <xdr:pic>
      <xdr:nvPicPr>
        <xdr:cNvPr id="5308" name="Изображение 5307" descr="resizeПП-00269836"/>
        <xdr:cNvPicPr>
          <a:picLocks noChangeAspect="1"/>
        </xdr:cNvPicPr>
      </xdr:nvPicPr>
      <xdr:blipFill>
        <a:blip xmlns:r="http://schemas.openxmlformats.org/officeDocument/2006/relationships" r:embed="rId1070"/>
        <a:stretch>
          <a:fillRect/>
        </a:stretch>
      </xdr:blipFill>
      <xdr:spPr>
        <a:xfrm>
          <a:off x="7264400" y="1399597150"/>
          <a:ext cx="878840" cy="1183640"/>
        </a:xfrm>
        <a:prstGeom prst="rect">
          <a:avLst/>
        </a:prstGeom>
      </xdr:spPr>
    </xdr:pic>
    <xdr:clientData/>
  </xdr:twoCellAnchor>
  <xdr:twoCellAnchor>
    <xdr:from>
      <xdr:col>8</xdr:col>
      <xdr:colOff>6350</xdr:colOff>
      <xdr:row>1440</xdr:row>
      <xdr:rowOff>25400</xdr:rowOff>
    </xdr:from>
    <xdr:to>
      <xdr:col>8</xdr:col>
      <xdr:colOff>885190</xdr:colOff>
      <xdr:row>1440</xdr:row>
      <xdr:rowOff>1209040</xdr:rowOff>
    </xdr:to>
    <xdr:pic>
      <xdr:nvPicPr>
        <xdr:cNvPr id="5309" name="Изображение 5308" descr="resizeПП-00269838"/>
        <xdr:cNvPicPr>
          <a:picLocks noChangeAspect="1"/>
        </xdr:cNvPicPr>
      </xdr:nvPicPr>
      <xdr:blipFill>
        <a:blip xmlns:r="http://schemas.openxmlformats.org/officeDocument/2006/relationships" r:embed="rId1071"/>
        <a:stretch>
          <a:fillRect/>
        </a:stretch>
      </xdr:blipFill>
      <xdr:spPr>
        <a:xfrm>
          <a:off x="7264400" y="1400819525"/>
          <a:ext cx="878840" cy="1183640"/>
        </a:xfrm>
        <a:prstGeom prst="rect">
          <a:avLst/>
        </a:prstGeom>
      </xdr:spPr>
    </xdr:pic>
    <xdr:clientData/>
  </xdr:twoCellAnchor>
  <xdr:twoCellAnchor>
    <xdr:from>
      <xdr:col>8</xdr:col>
      <xdr:colOff>6350</xdr:colOff>
      <xdr:row>1441</xdr:row>
      <xdr:rowOff>25400</xdr:rowOff>
    </xdr:from>
    <xdr:to>
      <xdr:col>8</xdr:col>
      <xdr:colOff>885190</xdr:colOff>
      <xdr:row>1441</xdr:row>
      <xdr:rowOff>1209040</xdr:rowOff>
    </xdr:to>
    <xdr:pic>
      <xdr:nvPicPr>
        <xdr:cNvPr id="5310" name="Изображение 5309" descr="resizeПП-00269835"/>
        <xdr:cNvPicPr>
          <a:picLocks noChangeAspect="1"/>
        </xdr:cNvPicPr>
      </xdr:nvPicPr>
      <xdr:blipFill>
        <a:blip xmlns:r="http://schemas.openxmlformats.org/officeDocument/2006/relationships" r:embed="rId1072"/>
        <a:stretch>
          <a:fillRect/>
        </a:stretch>
      </xdr:blipFill>
      <xdr:spPr>
        <a:xfrm>
          <a:off x="7264400" y="1402041900"/>
          <a:ext cx="878840" cy="1183640"/>
        </a:xfrm>
        <a:prstGeom prst="rect">
          <a:avLst/>
        </a:prstGeom>
      </xdr:spPr>
    </xdr:pic>
    <xdr:clientData/>
  </xdr:twoCellAnchor>
  <xdr:twoCellAnchor>
    <xdr:from>
      <xdr:col>8</xdr:col>
      <xdr:colOff>6350</xdr:colOff>
      <xdr:row>1442</xdr:row>
      <xdr:rowOff>25400</xdr:rowOff>
    </xdr:from>
    <xdr:to>
      <xdr:col>8</xdr:col>
      <xdr:colOff>885190</xdr:colOff>
      <xdr:row>1442</xdr:row>
      <xdr:rowOff>1209040</xdr:rowOff>
    </xdr:to>
    <xdr:pic>
      <xdr:nvPicPr>
        <xdr:cNvPr id="5311" name="Изображение 5310" descr="resizeПП-00269840"/>
        <xdr:cNvPicPr>
          <a:picLocks noChangeAspect="1"/>
        </xdr:cNvPicPr>
      </xdr:nvPicPr>
      <xdr:blipFill>
        <a:blip xmlns:r="http://schemas.openxmlformats.org/officeDocument/2006/relationships" r:embed="rId1073"/>
        <a:stretch>
          <a:fillRect/>
        </a:stretch>
      </xdr:blipFill>
      <xdr:spPr>
        <a:xfrm>
          <a:off x="7264400" y="1403264275"/>
          <a:ext cx="878840" cy="1183640"/>
        </a:xfrm>
        <a:prstGeom prst="rect">
          <a:avLst/>
        </a:prstGeom>
      </xdr:spPr>
    </xdr:pic>
    <xdr:clientData/>
  </xdr:twoCellAnchor>
  <xdr:twoCellAnchor>
    <xdr:from>
      <xdr:col>8</xdr:col>
      <xdr:colOff>6350</xdr:colOff>
      <xdr:row>1443</xdr:row>
      <xdr:rowOff>25400</xdr:rowOff>
    </xdr:from>
    <xdr:to>
      <xdr:col>8</xdr:col>
      <xdr:colOff>885190</xdr:colOff>
      <xdr:row>1443</xdr:row>
      <xdr:rowOff>1209040</xdr:rowOff>
    </xdr:to>
    <xdr:pic>
      <xdr:nvPicPr>
        <xdr:cNvPr id="5312" name="Изображение 5311" descr="resizeПП-00269842"/>
        <xdr:cNvPicPr>
          <a:picLocks noChangeAspect="1"/>
        </xdr:cNvPicPr>
      </xdr:nvPicPr>
      <xdr:blipFill>
        <a:blip xmlns:r="http://schemas.openxmlformats.org/officeDocument/2006/relationships" r:embed="rId1074"/>
        <a:stretch>
          <a:fillRect/>
        </a:stretch>
      </xdr:blipFill>
      <xdr:spPr>
        <a:xfrm>
          <a:off x="7264400" y="1404486650"/>
          <a:ext cx="878840" cy="1183640"/>
        </a:xfrm>
        <a:prstGeom prst="rect">
          <a:avLst/>
        </a:prstGeom>
      </xdr:spPr>
    </xdr:pic>
    <xdr:clientData/>
  </xdr:twoCellAnchor>
  <xdr:twoCellAnchor>
    <xdr:from>
      <xdr:col>8</xdr:col>
      <xdr:colOff>6350</xdr:colOff>
      <xdr:row>1444</xdr:row>
      <xdr:rowOff>25400</xdr:rowOff>
    </xdr:from>
    <xdr:to>
      <xdr:col>8</xdr:col>
      <xdr:colOff>885190</xdr:colOff>
      <xdr:row>1444</xdr:row>
      <xdr:rowOff>1209040</xdr:rowOff>
    </xdr:to>
    <xdr:pic>
      <xdr:nvPicPr>
        <xdr:cNvPr id="5313" name="Изображение 5312" descr="resizeПП-00269832"/>
        <xdr:cNvPicPr>
          <a:picLocks noChangeAspect="1"/>
        </xdr:cNvPicPr>
      </xdr:nvPicPr>
      <xdr:blipFill>
        <a:blip xmlns:r="http://schemas.openxmlformats.org/officeDocument/2006/relationships" r:embed="rId1075"/>
        <a:stretch>
          <a:fillRect/>
        </a:stretch>
      </xdr:blipFill>
      <xdr:spPr>
        <a:xfrm>
          <a:off x="7264400" y="1405709025"/>
          <a:ext cx="878840" cy="1183640"/>
        </a:xfrm>
        <a:prstGeom prst="rect">
          <a:avLst/>
        </a:prstGeom>
      </xdr:spPr>
    </xdr:pic>
    <xdr:clientData/>
  </xdr:twoCellAnchor>
  <xdr:twoCellAnchor>
    <xdr:from>
      <xdr:col>8</xdr:col>
      <xdr:colOff>6350</xdr:colOff>
      <xdr:row>1445</xdr:row>
      <xdr:rowOff>25400</xdr:rowOff>
    </xdr:from>
    <xdr:to>
      <xdr:col>8</xdr:col>
      <xdr:colOff>885190</xdr:colOff>
      <xdr:row>1445</xdr:row>
      <xdr:rowOff>1209040</xdr:rowOff>
    </xdr:to>
    <xdr:pic>
      <xdr:nvPicPr>
        <xdr:cNvPr id="5314" name="Изображение 5313" descr="resizeПП-00269833"/>
        <xdr:cNvPicPr>
          <a:picLocks noChangeAspect="1"/>
        </xdr:cNvPicPr>
      </xdr:nvPicPr>
      <xdr:blipFill>
        <a:blip xmlns:r="http://schemas.openxmlformats.org/officeDocument/2006/relationships" r:embed="rId1076"/>
        <a:stretch>
          <a:fillRect/>
        </a:stretch>
      </xdr:blipFill>
      <xdr:spPr>
        <a:xfrm>
          <a:off x="7264400" y="1406931400"/>
          <a:ext cx="878840" cy="1183640"/>
        </a:xfrm>
        <a:prstGeom prst="rect">
          <a:avLst/>
        </a:prstGeom>
      </xdr:spPr>
    </xdr:pic>
    <xdr:clientData/>
  </xdr:twoCellAnchor>
  <xdr:twoCellAnchor>
    <xdr:from>
      <xdr:col>8</xdr:col>
      <xdr:colOff>6350</xdr:colOff>
      <xdr:row>1446</xdr:row>
      <xdr:rowOff>25400</xdr:rowOff>
    </xdr:from>
    <xdr:to>
      <xdr:col>8</xdr:col>
      <xdr:colOff>885190</xdr:colOff>
      <xdr:row>1446</xdr:row>
      <xdr:rowOff>1209040</xdr:rowOff>
    </xdr:to>
    <xdr:pic>
      <xdr:nvPicPr>
        <xdr:cNvPr id="5315" name="Изображение 5314" descr="resizeПП-00269841"/>
        <xdr:cNvPicPr>
          <a:picLocks noChangeAspect="1"/>
        </xdr:cNvPicPr>
      </xdr:nvPicPr>
      <xdr:blipFill>
        <a:blip xmlns:r="http://schemas.openxmlformats.org/officeDocument/2006/relationships" r:embed="rId1077"/>
        <a:stretch>
          <a:fillRect/>
        </a:stretch>
      </xdr:blipFill>
      <xdr:spPr>
        <a:xfrm>
          <a:off x="7264400" y="1408153775"/>
          <a:ext cx="878840" cy="1183640"/>
        </a:xfrm>
        <a:prstGeom prst="rect">
          <a:avLst/>
        </a:prstGeom>
      </xdr:spPr>
    </xdr:pic>
    <xdr:clientData/>
  </xdr:twoCellAnchor>
  <xdr:twoCellAnchor>
    <xdr:from>
      <xdr:col>8</xdr:col>
      <xdr:colOff>6350</xdr:colOff>
      <xdr:row>1447</xdr:row>
      <xdr:rowOff>25400</xdr:rowOff>
    </xdr:from>
    <xdr:to>
      <xdr:col>8</xdr:col>
      <xdr:colOff>885190</xdr:colOff>
      <xdr:row>1447</xdr:row>
      <xdr:rowOff>1209040</xdr:rowOff>
    </xdr:to>
    <xdr:pic>
      <xdr:nvPicPr>
        <xdr:cNvPr id="5316" name="Изображение 5315" descr="resizeПП-00269844"/>
        <xdr:cNvPicPr>
          <a:picLocks noChangeAspect="1"/>
        </xdr:cNvPicPr>
      </xdr:nvPicPr>
      <xdr:blipFill>
        <a:blip xmlns:r="http://schemas.openxmlformats.org/officeDocument/2006/relationships" r:embed="rId1078"/>
        <a:stretch>
          <a:fillRect/>
        </a:stretch>
      </xdr:blipFill>
      <xdr:spPr>
        <a:xfrm>
          <a:off x="7264400" y="1409376150"/>
          <a:ext cx="878840" cy="1183640"/>
        </a:xfrm>
        <a:prstGeom prst="rect">
          <a:avLst/>
        </a:prstGeom>
      </xdr:spPr>
    </xdr:pic>
    <xdr:clientData/>
  </xdr:twoCellAnchor>
  <xdr:twoCellAnchor>
    <xdr:from>
      <xdr:col>8</xdr:col>
      <xdr:colOff>6350</xdr:colOff>
      <xdr:row>1450</xdr:row>
      <xdr:rowOff>25400</xdr:rowOff>
    </xdr:from>
    <xdr:to>
      <xdr:col>8</xdr:col>
      <xdr:colOff>885190</xdr:colOff>
      <xdr:row>1450</xdr:row>
      <xdr:rowOff>1209040</xdr:rowOff>
    </xdr:to>
    <xdr:pic>
      <xdr:nvPicPr>
        <xdr:cNvPr id="5317" name="Изображение 5316" descr="resizeПП-00251469"/>
        <xdr:cNvPicPr>
          <a:picLocks noChangeAspect="1"/>
        </xdr:cNvPicPr>
      </xdr:nvPicPr>
      <xdr:blipFill>
        <a:blip xmlns:r="http://schemas.openxmlformats.org/officeDocument/2006/relationships" r:embed="rId1079"/>
        <a:stretch>
          <a:fillRect/>
        </a:stretch>
      </xdr:blipFill>
      <xdr:spPr>
        <a:xfrm>
          <a:off x="7264400" y="1410903325"/>
          <a:ext cx="878840" cy="1183640"/>
        </a:xfrm>
        <a:prstGeom prst="rect">
          <a:avLst/>
        </a:prstGeom>
      </xdr:spPr>
    </xdr:pic>
    <xdr:clientData/>
  </xdr:twoCellAnchor>
  <xdr:twoCellAnchor>
    <xdr:from>
      <xdr:col>8</xdr:col>
      <xdr:colOff>6350</xdr:colOff>
      <xdr:row>1451</xdr:row>
      <xdr:rowOff>25400</xdr:rowOff>
    </xdr:from>
    <xdr:to>
      <xdr:col>8</xdr:col>
      <xdr:colOff>885190</xdr:colOff>
      <xdr:row>1451</xdr:row>
      <xdr:rowOff>1209040</xdr:rowOff>
    </xdr:to>
    <xdr:pic>
      <xdr:nvPicPr>
        <xdr:cNvPr id="5318" name="Изображение 5317" descr="resizeПП-00251468"/>
        <xdr:cNvPicPr>
          <a:picLocks noChangeAspect="1"/>
        </xdr:cNvPicPr>
      </xdr:nvPicPr>
      <xdr:blipFill>
        <a:blip xmlns:r="http://schemas.openxmlformats.org/officeDocument/2006/relationships" r:embed="rId1080"/>
        <a:stretch>
          <a:fillRect/>
        </a:stretch>
      </xdr:blipFill>
      <xdr:spPr>
        <a:xfrm>
          <a:off x="7264400" y="1412125700"/>
          <a:ext cx="878840" cy="1183640"/>
        </a:xfrm>
        <a:prstGeom prst="rect">
          <a:avLst/>
        </a:prstGeom>
      </xdr:spPr>
    </xdr:pic>
    <xdr:clientData/>
  </xdr:twoCellAnchor>
  <xdr:twoCellAnchor>
    <xdr:from>
      <xdr:col>8</xdr:col>
      <xdr:colOff>6350</xdr:colOff>
      <xdr:row>1452</xdr:row>
      <xdr:rowOff>25400</xdr:rowOff>
    </xdr:from>
    <xdr:to>
      <xdr:col>8</xdr:col>
      <xdr:colOff>885190</xdr:colOff>
      <xdr:row>1452</xdr:row>
      <xdr:rowOff>1209040</xdr:rowOff>
    </xdr:to>
    <xdr:pic>
      <xdr:nvPicPr>
        <xdr:cNvPr id="5319" name="Изображение 5318" descr="resizeПП-00251471"/>
        <xdr:cNvPicPr>
          <a:picLocks noChangeAspect="1"/>
        </xdr:cNvPicPr>
      </xdr:nvPicPr>
      <xdr:blipFill>
        <a:blip xmlns:r="http://schemas.openxmlformats.org/officeDocument/2006/relationships" r:embed="rId1081"/>
        <a:stretch>
          <a:fillRect/>
        </a:stretch>
      </xdr:blipFill>
      <xdr:spPr>
        <a:xfrm>
          <a:off x="7264400" y="1413348075"/>
          <a:ext cx="878840" cy="1183640"/>
        </a:xfrm>
        <a:prstGeom prst="rect">
          <a:avLst/>
        </a:prstGeom>
      </xdr:spPr>
    </xdr:pic>
    <xdr:clientData/>
  </xdr:twoCellAnchor>
  <xdr:twoCellAnchor>
    <xdr:from>
      <xdr:col>8</xdr:col>
      <xdr:colOff>6350</xdr:colOff>
      <xdr:row>1453</xdr:row>
      <xdr:rowOff>25400</xdr:rowOff>
    </xdr:from>
    <xdr:to>
      <xdr:col>8</xdr:col>
      <xdr:colOff>885190</xdr:colOff>
      <xdr:row>1453</xdr:row>
      <xdr:rowOff>1209040</xdr:rowOff>
    </xdr:to>
    <xdr:pic>
      <xdr:nvPicPr>
        <xdr:cNvPr id="5320" name="Изображение 5319" descr="resizeПП-00251470"/>
        <xdr:cNvPicPr>
          <a:picLocks noChangeAspect="1"/>
        </xdr:cNvPicPr>
      </xdr:nvPicPr>
      <xdr:blipFill>
        <a:blip xmlns:r="http://schemas.openxmlformats.org/officeDocument/2006/relationships" r:embed="rId1082"/>
        <a:stretch>
          <a:fillRect/>
        </a:stretch>
      </xdr:blipFill>
      <xdr:spPr>
        <a:xfrm>
          <a:off x="7264400" y="1414570450"/>
          <a:ext cx="878840" cy="1183640"/>
        </a:xfrm>
        <a:prstGeom prst="rect">
          <a:avLst/>
        </a:prstGeom>
      </xdr:spPr>
    </xdr:pic>
    <xdr:clientData/>
  </xdr:twoCellAnchor>
  <xdr:twoCellAnchor>
    <xdr:from>
      <xdr:col>8</xdr:col>
      <xdr:colOff>6350</xdr:colOff>
      <xdr:row>1454</xdr:row>
      <xdr:rowOff>25400</xdr:rowOff>
    </xdr:from>
    <xdr:to>
      <xdr:col>8</xdr:col>
      <xdr:colOff>885190</xdr:colOff>
      <xdr:row>1454</xdr:row>
      <xdr:rowOff>1209040</xdr:rowOff>
    </xdr:to>
    <xdr:pic>
      <xdr:nvPicPr>
        <xdr:cNvPr id="5321" name="Изображение 5320" descr="resizeПП-00251472"/>
        <xdr:cNvPicPr>
          <a:picLocks noChangeAspect="1"/>
        </xdr:cNvPicPr>
      </xdr:nvPicPr>
      <xdr:blipFill>
        <a:blip xmlns:r="http://schemas.openxmlformats.org/officeDocument/2006/relationships" r:embed="rId1083"/>
        <a:stretch>
          <a:fillRect/>
        </a:stretch>
      </xdr:blipFill>
      <xdr:spPr>
        <a:xfrm>
          <a:off x="7264400" y="1415792825"/>
          <a:ext cx="878840" cy="1183640"/>
        </a:xfrm>
        <a:prstGeom prst="rect">
          <a:avLst/>
        </a:prstGeom>
      </xdr:spPr>
    </xdr:pic>
    <xdr:clientData/>
  </xdr:twoCellAnchor>
  <xdr:twoCellAnchor>
    <xdr:from>
      <xdr:col>8</xdr:col>
      <xdr:colOff>6350</xdr:colOff>
      <xdr:row>1456</xdr:row>
      <xdr:rowOff>25400</xdr:rowOff>
    </xdr:from>
    <xdr:to>
      <xdr:col>8</xdr:col>
      <xdr:colOff>885190</xdr:colOff>
      <xdr:row>1456</xdr:row>
      <xdr:rowOff>1209040</xdr:rowOff>
    </xdr:to>
    <xdr:pic>
      <xdr:nvPicPr>
        <xdr:cNvPr id="5322" name="Изображение 5321" descr="resizeПП-00275546"/>
        <xdr:cNvPicPr>
          <a:picLocks noChangeAspect="1"/>
        </xdr:cNvPicPr>
      </xdr:nvPicPr>
      <xdr:blipFill>
        <a:blip xmlns:r="http://schemas.openxmlformats.org/officeDocument/2006/relationships" r:embed="rId1084"/>
        <a:stretch>
          <a:fillRect/>
        </a:stretch>
      </xdr:blipFill>
      <xdr:spPr>
        <a:xfrm>
          <a:off x="7264400" y="1417167600"/>
          <a:ext cx="878840" cy="1183640"/>
        </a:xfrm>
        <a:prstGeom prst="rect">
          <a:avLst/>
        </a:prstGeom>
      </xdr:spPr>
    </xdr:pic>
    <xdr:clientData/>
  </xdr:twoCellAnchor>
  <xdr:twoCellAnchor>
    <xdr:from>
      <xdr:col>8</xdr:col>
      <xdr:colOff>6350</xdr:colOff>
      <xdr:row>1457</xdr:row>
      <xdr:rowOff>25400</xdr:rowOff>
    </xdr:from>
    <xdr:to>
      <xdr:col>8</xdr:col>
      <xdr:colOff>885190</xdr:colOff>
      <xdr:row>1457</xdr:row>
      <xdr:rowOff>1209040</xdr:rowOff>
    </xdr:to>
    <xdr:pic>
      <xdr:nvPicPr>
        <xdr:cNvPr id="5323" name="Изображение 5322" descr="resizeПП-00275553"/>
        <xdr:cNvPicPr>
          <a:picLocks noChangeAspect="1"/>
        </xdr:cNvPicPr>
      </xdr:nvPicPr>
      <xdr:blipFill>
        <a:blip xmlns:r="http://schemas.openxmlformats.org/officeDocument/2006/relationships" r:embed="rId1085"/>
        <a:stretch>
          <a:fillRect/>
        </a:stretch>
      </xdr:blipFill>
      <xdr:spPr>
        <a:xfrm>
          <a:off x="7264400" y="1418389975"/>
          <a:ext cx="878840" cy="1183640"/>
        </a:xfrm>
        <a:prstGeom prst="rect">
          <a:avLst/>
        </a:prstGeom>
      </xdr:spPr>
    </xdr:pic>
    <xdr:clientData/>
  </xdr:twoCellAnchor>
  <xdr:twoCellAnchor>
    <xdr:from>
      <xdr:col>8</xdr:col>
      <xdr:colOff>6350</xdr:colOff>
      <xdr:row>1458</xdr:row>
      <xdr:rowOff>25400</xdr:rowOff>
    </xdr:from>
    <xdr:to>
      <xdr:col>8</xdr:col>
      <xdr:colOff>885190</xdr:colOff>
      <xdr:row>1458</xdr:row>
      <xdr:rowOff>1209040</xdr:rowOff>
    </xdr:to>
    <xdr:pic>
      <xdr:nvPicPr>
        <xdr:cNvPr id="5324" name="Изображение 5323" descr="resizeПП-00187323"/>
        <xdr:cNvPicPr>
          <a:picLocks noChangeAspect="1"/>
        </xdr:cNvPicPr>
      </xdr:nvPicPr>
      <xdr:blipFill>
        <a:blip xmlns:r="http://schemas.openxmlformats.org/officeDocument/2006/relationships" r:embed="rId1086"/>
        <a:stretch>
          <a:fillRect/>
        </a:stretch>
      </xdr:blipFill>
      <xdr:spPr>
        <a:xfrm>
          <a:off x="7264400" y="1419612350"/>
          <a:ext cx="878840" cy="1183640"/>
        </a:xfrm>
        <a:prstGeom prst="rect">
          <a:avLst/>
        </a:prstGeom>
      </xdr:spPr>
    </xdr:pic>
    <xdr:clientData/>
  </xdr:twoCellAnchor>
  <xdr:twoCellAnchor>
    <xdr:from>
      <xdr:col>8</xdr:col>
      <xdr:colOff>6350</xdr:colOff>
      <xdr:row>1459</xdr:row>
      <xdr:rowOff>25400</xdr:rowOff>
    </xdr:from>
    <xdr:to>
      <xdr:col>8</xdr:col>
      <xdr:colOff>885190</xdr:colOff>
      <xdr:row>1459</xdr:row>
      <xdr:rowOff>1209040</xdr:rowOff>
    </xdr:to>
    <xdr:pic>
      <xdr:nvPicPr>
        <xdr:cNvPr id="5325" name="Изображение 5324" descr="resizeПП-00275544"/>
        <xdr:cNvPicPr>
          <a:picLocks noChangeAspect="1"/>
        </xdr:cNvPicPr>
      </xdr:nvPicPr>
      <xdr:blipFill>
        <a:blip xmlns:r="http://schemas.openxmlformats.org/officeDocument/2006/relationships" r:embed="rId1087"/>
        <a:stretch>
          <a:fillRect/>
        </a:stretch>
      </xdr:blipFill>
      <xdr:spPr>
        <a:xfrm>
          <a:off x="7264400" y="1420834725"/>
          <a:ext cx="878840" cy="1183640"/>
        </a:xfrm>
        <a:prstGeom prst="rect">
          <a:avLst/>
        </a:prstGeom>
      </xdr:spPr>
    </xdr:pic>
    <xdr:clientData/>
  </xdr:twoCellAnchor>
  <xdr:twoCellAnchor>
    <xdr:from>
      <xdr:col>8</xdr:col>
      <xdr:colOff>6350</xdr:colOff>
      <xdr:row>1460</xdr:row>
      <xdr:rowOff>25400</xdr:rowOff>
    </xdr:from>
    <xdr:to>
      <xdr:col>8</xdr:col>
      <xdr:colOff>885190</xdr:colOff>
      <xdr:row>1460</xdr:row>
      <xdr:rowOff>1209040</xdr:rowOff>
    </xdr:to>
    <xdr:pic>
      <xdr:nvPicPr>
        <xdr:cNvPr id="5326" name="Изображение 5325" descr="resizeПП-00275547"/>
        <xdr:cNvPicPr>
          <a:picLocks noChangeAspect="1"/>
        </xdr:cNvPicPr>
      </xdr:nvPicPr>
      <xdr:blipFill>
        <a:blip xmlns:r="http://schemas.openxmlformats.org/officeDocument/2006/relationships" r:embed="rId1088"/>
        <a:stretch>
          <a:fillRect/>
        </a:stretch>
      </xdr:blipFill>
      <xdr:spPr>
        <a:xfrm>
          <a:off x="7264400" y="1422057100"/>
          <a:ext cx="878840" cy="1183640"/>
        </a:xfrm>
        <a:prstGeom prst="rect">
          <a:avLst/>
        </a:prstGeom>
      </xdr:spPr>
    </xdr:pic>
    <xdr:clientData/>
  </xdr:twoCellAnchor>
  <xdr:twoCellAnchor>
    <xdr:from>
      <xdr:col>8</xdr:col>
      <xdr:colOff>6350</xdr:colOff>
      <xdr:row>1461</xdr:row>
      <xdr:rowOff>25400</xdr:rowOff>
    </xdr:from>
    <xdr:to>
      <xdr:col>8</xdr:col>
      <xdr:colOff>885190</xdr:colOff>
      <xdr:row>1461</xdr:row>
      <xdr:rowOff>1209040</xdr:rowOff>
    </xdr:to>
    <xdr:pic>
      <xdr:nvPicPr>
        <xdr:cNvPr id="5327" name="Изображение 5326" descr="resizeПП-00275555"/>
        <xdr:cNvPicPr>
          <a:picLocks noChangeAspect="1"/>
        </xdr:cNvPicPr>
      </xdr:nvPicPr>
      <xdr:blipFill>
        <a:blip xmlns:r="http://schemas.openxmlformats.org/officeDocument/2006/relationships" r:embed="rId1089"/>
        <a:stretch>
          <a:fillRect/>
        </a:stretch>
      </xdr:blipFill>
      <xdr:spPr>
        <a:xfrm>
          <a:off x="7264400" y="1423279475"/>
          <a:ext cx="878840" cy="1183640"/>
        </a:xfrm>
        <a:prstGeom prst="rect">
          <a:avLst/>
        </a:prstGeom>
      </xdr:spPr>
    </xdr:pic>
    <xdr:clientData/>
  </xdr:twoCellAnchor>
  <xdr:twoCellAnchor>
    <xdr:from>
      <xdr:col>8</xdr:col>
      <xdr:colOff>6350</xdr:colOff>
      <xdr:row>1462</xdr:row>
      <xdr:rowOff>25400</xdr:rowOff>
    </xdr:from>
    <xdr:to>
      <xdr:col>8</xdr:col>
      <xdr:colOff>885190</xdr:colOff>
      <xdr:row>1462</xdr:row>
      <xdr:rowOff>1209040</xdr:rowOff>
    </xdr:to>
    <xdr:pic>
      <xdr:nvPicPr>
        <xdr:cNvPr id="5328" name="Изображение 5327" descr="resizeПП-00187322"/>
        <xdr:cNvPicPr>
          <a:picLocks noChangeAspect="1"/>
        </xdr:cNvPicPr>
      </xdr:nvPicPr>
      <xdr:blipFill>
        <a:blip xmlns:r="http://schemas.openxmlformats.org/officeDocument/2006/relationships" r:embed="rId1090"/>
        <a:stretch>
          <a:fillRect/>
        </a:stretch>
      </xdr:blipFill>
      <xdr:spPr>
        <a:xfrm>
          <a:off x="7264400" y="1424501850"/>
          <a:ext cx="878840" cy="1183640"/>
        </a:xfrm>
        <a:prstGeom prst="rect">
          <a:avLst/>
        </a:prstGeom>
      </xdr:spPr>
    </xdr:pic>
    <xdr:clientData/>
  </xdr:twoCellAnchor>
  <xdr:twoCellAnchor>
    <xdr:from>
      <xdr:col>8</xdr:col>
      <xdr:colOff>6350</xdr:colOff>
      <xdr:row>1463</xdr:row>
      <xdr:rowOff>25400</xdr:rowOff>
    </xdr:from>
    <xdr:to>
      <xdr:col>8</xdr:col>
      <xdr:colOff>885190</xdr:colOff>
      <xdr:row>1463</xdr:row>
      <xdr:rowOff>1209040</xdr:rowOff>
    </xdr:to>
    <xdr:pic>
      <xdr:nvPicPr>
        <xdr:cNvPr id="5329" name="Изображение 5328" descr="resizeПП-00275526"/>
        <xdr:cNvPicPr>
          <a:picLocks noChangeAspect="1"/>
        </xdr:cNvPicPr>
      </xdr:nvPicPr>
      <xdr:blipFill>
        <a:blip xmlns:r="http://schemas.openxmlformats.org/officeDocument/2006/relationships" r:embed="rId1091"/>
        <a:stretch>
          <a:fillRect/>
        </a:stretch>
      </xdr:blipFill>
      <xdr:spPr>
        <a:xfrm>
          <a:off x="7264400" y="1425724225"/>
          <a:ext cx="878840" cy="1183640"/>
        </a:xfrm>
        <a:prstGeom prst="rect">
          <a:avLst/>
        </a:prstGeom>
      </xdr:spPr>
    </xdr:pic>
    <xdr:clientData/>
  </xdr:twoCellAnchor>
  <xdr:twoCellAnchor>
    <xdr:from>
      <xdr:col>8</xdr:col>
      <xdr:colOff>6350</xdr:colOff>
      <xdr:row>1464</xdr:row>
      <xdr:rowOff>25400</xdr:rowOff>
    </xdr:from>
    <xdr:to>
      <xdr:col>8</xdr:col>
      <xdr:colOff>885190</xdr:colOff>
      <xdr:row>1464</xdr:row>
      <xdr:rowOff>1209040</xdr:rowOff>
    </xdr:to>
    <xdr:pic>
      <xdr:nvPicPr>
        <xdr:cNvPr id="5330" name="Изображение 5329" descr="resizeПП-00275537"/>
        <xdr:cNvPicPr>
          <a:picLocks noChangeAspect="1"/>
        </xdr:cNvPicPr>
      </xdr:nvPicPr>
      <xdr:blipFill>
        <a:blip xmlns:r="http://schemas.openxmlformats.org/officeDocument/2006/relationships" r:embed="rId1092"/>
        <a:stretch>
          <a:fillRect/>
        </a:stretch>
      </xdr:blipFill>
      <xdr:spPr>
        <a:xfrm>
          <a:off x="7264400" y="1426946600"/>
          <a:ext cx="878840" cy="1183640"/>
        </a:xfrm>
        <a:prstGeom prst="rect">
          <a:avLst/>
        </a:prstGeom>
      </xdr:spPr>
    </xdr:pic>
    <xdr:clientData/>
  </xdr:twoCellAnchor>
  <xdr:twoCellAnchor>
    <xdr:from>
      <xdr:col>8</xdr:col>
      <xdr:colOff>6350</xdr:colOff>
      <xdr:row>1465</xdr:row>
      <xdr:rowOff>25400</xdr:rowOff>
    </xdr:from>
    <xdr:to>
      <xdr:col>8</xdr:col>
      <xdr:colOff>885190</xdr:colOff>
      <xdr:row>1465</xdr:row>
      <xdr:rowOff>1209040</xdr:rowOff>
    </xdr:to>
    <xdr:pic>
      <xdr:nvPicPr>
        <xdr:cNvPr id="5331" name="Изображение 5330" descr="resizeПП-00275535"/>
        <xdr:cNvPicPr>
          <a:picLocks noChangeAspect="1"/>
        </xdr:cNvPicPr>
      </xdr:nvPicPr>
      <xdr:blipFill>
        <a:blip xmlns:r="http://schemas.openxmlformats.org/officeDocument/2006/relationships" r:embed="rId1093"/>
        <a:stretch>
          <a:fillRect/>
        </a:stretch>
      </xdr:blipFill>
      <xdr:spPr>
        <a:xfrm>
          <a:off x="7264400" y="1428168975"/>
          <a:ext cx="878840" cy="1183640"/>
        </a:xfrm>
        <a:prstGeom prst="rect">
          <a:avLst/>
        </a:prstGeom>
      </xdr:spPr>
    </xdr:pic>
    <xdr:clientData/>
  </xdr:twoCellAnchor>
  <xdr:twoCellAnchor>
    <xdr:from>
      <xdr:col>8</xdr:col>
      <xdr:colOff>6350</xdr:colOff>
      <xdr:row>1466</xdr:row>
      <xdr:rowOff>25400</xdr:rowOff>
    </xdr:from>
    <xdr:to>
      <xdr:col>8</xdr:col>
      <xdr:colOff>885190</xdr:colOff>
      <xdr:row>1466</xdr:row>
      <xdr:rowOff>1209040</xdr:rowOff>
    </xdr:to>
    <xdr:pic>
      <xdr:nvPicPr>
        <xdr:cNvPr id="5332" name="Изображение 5331" descr="resizeПП-00275540"/>
        <xdr:cNvPicPr>
          <a:picLocks noChangeAspect="1"/>
        </xdr:cNvPicPr>
      </xdr:nvPicPr>
      <xdr:blipFill>
        <a:blip xmlns:r="http://schemas.openxmlformats.org/officeDocument/2006/relationships" r:embed="rId1094"/>
        <a:stretch>
          <a:fillRect/>
        </a:stretch>
      </xdr:blipFill>
      <xdr:spPr>
        <a:xfrm>
          <a:off x="7264400" y="1429391350"/>
          <a:ext cx="878840" cy="1183640"/>
        </a:xfrm>
        <a:prstGeom prst="rect">
          <a:avLst/>
        </a:prstGeom>
      </xdr:spPr>
    </xdr:pic>
    <xdr:clientData/>
  </xdr:twoCellAnchor>
  <xdr:twoCellAnchor>
    <xdr:from>
      <xdr:col>8</xdr:col>
      <xdr:colOff>6350</xdr:colOff>
      <xdr:row>1467</xdr:row>
      <xdr:rowOff>25400</xdr:rowOff>
    </xdr:from>
    <xdr:to>
      <xdr:col>8</xdr:col>
      <xdr:colOff>885190</xdr:colOff>
      <xdr:row>1467</xdr:row>
      <xdr:rowOff>1209040</xdr:rowOff>
    </xdr:to>
    <xdr:pic>
      <xdr:nvPicPr>
        <xdr:cNvPr id="5333" name="Изображение 5332" descr="resizeПП-00103736"/>
        <xdr:cNvPicPr>
          <a:picLocks noChangeAspect="1"/>
        </xdr:cNvPicPr>
      </xdr:nvPicPr>
      <xdr:blipFill>
        <a:blip xmlns:r="http://schemas.openxmlformats.org/officeDocument/2006/relationships" r:embed="rId1095"/>
        <a:stretch>
          <a:fillRect/>
        </a:stretch>
      </xdr:blipFill>
      <xdr:spPr>
        <a:xfrm>
          <a:off x="7264400" y="1430613725"/>
          <a:ext cx="878840" cy="1183640"/>
        </a:xfrm>
        <a:prstGeom prst="rect">
          <a:avLst/>
        </a:prstGeom>
      </xdr:spPr>
    </xdr:pic>
    <xdr:clientData/>
  </xdr:twoCellAnchor>
  <xdr:twoCellAnchor>
    <xdr:from>
      <xdr:col>8</xdr:col>
      <xdr:colOff>6350</xdr:colOff>
      <xdr:row>1468</xdr:row>
      <xdr:rowOff>25400</xdr:rowOff>
    </xdr:from>
    <xdr:to>
      <xdr:col>8</xdr:col>
      <xdr:colOff>885190</xdr:colOff>
      <xdr:row>1468</xdr:row>
      <xdr:rowOff>1209040</xdr:rowOff>
    </xdr:to>
    <xdr:pic>
      <xdr:nvPicPr>
        <xdr:cNvPr id="5334" name="Изображение 5333" descr="resizeПП-00187330"/>
        <xdr:cNvPicPr>
          <a:picLocks noChangeAspect="1"/>
        </xdr:cNvPicPr>
      </xdr:nvPicPr>
      <xdr:blipFill>
        <a:blip xmlns:r="http://schemas.openxmlformats.org/officeDocument/2006/relationships" r:embed="rId1096"/>
        <a:stretch>
          <a:fillRect/>
        </a:stretch>
      </xdr:blipFill>
      <xdr:spPr>
        <a:xfrm>
          <a:off x="7264400" y="1431836100"/>
          <a:ext cx="878840" cy="1183640"/>
        </a:xfrm>
        <a:prstGeom prst="rect">
          <a:avLst/>
        </a:prstGeom>
      </xdr:spPr>
    </xdr:pic>
    <xdr:clientData/>
  </xdr:twoCellAnchor>
  <xdr:twoCellAnchor>
    <xdr:from>
      <xdr:col>8</xdr:col>
      <xdr:colOff>6350</xdr:colOff>
      <xdr:row>1469</xdr:row>
      <xdr:rowOff>25400</xdr:rowOff>
    </xdr:from>
    <xdr:to>
      <xdr:col>8</xdr:col>
      <xdr:colOff>885190</xdr:colOff>
      <xdr:row>1469</xdr:row>
      <xdr:rowOff>1209040</xdr:rowOff>
    </xdr:to>
    <xdr:pic>
      <xdr:nvPicPr>
        <xdr:cNvPr id="5335" name="Изображение 5334" descr="resizeПП-00103738"/>
        <xdr:cNvPicPr>
          <a:picLocks noChangeAspect="1"/>
        </xdr:cNvPicPr>
      </xdr:nvPicPr>
      <xdr:blipFill>
        <a:blip xmlns:r="http://schemas.openxmlformats.org/officeDocument/2006/relationships" r:embed="rId1097"/>
        <a:stretch>
          <a:fillRect/>
        </a:stretch>
      </xdr:blipFill>
      <xdr:spPr>
        <a:xfrm>
          <a:off x="7264400" y="1433058475"/>
          <a:ext cx="878840" cy="1183640"/>
        </a:xfrm>
        <a:prstGeom prst="rect">
          <a:avLst/>
        </a:prstGeom>
      </xdr:spPr>
    </xdr:pic>
    <xdr:clientData/>
  </xdr:twoCellAnchor>
  <xdr:twoCellAnchor>
    <xdr:from>
      <xdr:col>8</xdr:col>
      <xdr:colOff>6350</xdr:colOff>
      <xdr:row>1470</xdr:row>
      <xdr:rowOff>25400</xdr:rowOff>
    </xdr:from>
    <xdr:to>
      <xdr:col>8</xdr:col>
      <xdr:colOff>885190</xdr:colOff>
      <xdr:row>1470</xdr:row>
      <xdr:rowOff>1209040</xdr:rowOff>
    </xdr:to>
    <xdr:pic>
      <xdr:nvPicPr>
        <xdr:cNvPr id="5336" name="Изображение 5335" descr="resizeПП-00275532"/>
        <xdr:cNvPicPr>
          <a:picLocks noChangeAspect="1"/>
        </xdr:cNvPicPr>
      </xdr:nvPicPr>
      <xdr:blipFill>
        <a:blip xmlns:r="http://schemas.openxmlformats.org/officeDocument/2006/relationships" r:embed="rId1098"/>
        <a:stretch>
          <a:fillRect/>
        </a:stretch>
      </xdr:blipFill>
      <xdr:spPr>
        <a:xfrm>
          <a:off x="7264400" y="1434280850"/>
          <a:ext cx="878840" cy="1183640"/>
        </a:xfrm>
        <a:prstGeom prst="rect">
          <a:avLst/>
        </a:prstGeom>
      </xdr:spPr>
    </xdr:pic>
    <xdr:clientData/>
  </xdr:twoCellAnchor>
  <xdr:twoCellAnchor>
    <xdr:from>
      <xdr:col>8</xdr:col>
      <xdr:colOff>6350</xdr:colOff>
      <xdr:row>1471</xdr:row>
      <xdr:rowOff>25400</xdr:rowOff>
    </xdr:from>
    <xdr:to>
      <xdr:col>8</xdr:col>
      <xdr:colOff>885190</xdr:colOff>
      <xdr:row>1471</xdr:row>
      <xdr:rowOff>1209040</xdr:rowOff>
    </xdr:to>
    <xdr:pic>
      <xdr:nvPicPr>
        <xdr:cNvPr id="5337" name="Изображение 5336" descr="resizeПП-00275529"/>
        <xdr:cNvPicPr>
          <a:picLocks noChangeAspect="1"/>
        </xdr:cNvPicPr>
      </xdr:nvPicPr>
      <xdr:blipFill>
        <a:blip xmlns:r="http://schemas.openxmlformats.org/officeDocument/2006/relationships" r:embed="rId1099"/>
        <a:stretch>
          <a:fillRect/>
        </a:stretch>
      </xdr:blipFill>
      <xdr:spPr>
        <a:xfrm>
          <a:off x="7264400" y="1435503225"/>
          <a:ext cx="878840" cy="1183640"/>
        </a:xfrm>
        <a:prstGeom prst="rect">
          <a:avLst/>
        </a:prstGeom>
      </xdr:spPr>
    </xdr:pic>
    <xdr:clientData/>
  </xdr:twoCellAnchor>
  <xdr:twoCellAnchor>
    <xdr:from>
      <xdr:col>8</xdr:col>
      <xdr:colOff>6350</xdr:colOff>
      <xdr:row>1472</xdr:row>
      <xdr:rowOff>25400</xdr:rowOff>
    </xdr:from>
    <xdr:to>
      <xdr:col>8</xdr:col>
      <xdr:colOff>885190</xdr:colOff>
      <xdr:row>1472</xdr:row>
      <xdr:rowOff>1209040</xdr:rowOff>
    </xdr:to>
    <xdr:pic>
      <xdr:nvPicPr>
        <xdr:cNvPr id="5338" name="Изображение 5337" descr="resizeПП-00275536"/>
        <xdr:cNvPicPr>
          <a:picLocks noChangeAspect="1"/>
        </xdr:cNvPicPr>
      </xdr:nvPicPr>
      <xdr:blipFill>
        <a:blip xmlns:r="http://schemas.openxmlformats.org/officeDocument/2006/relationships" r:embed="rId1100"/>
        <a:stretch>
          <a:fillRect/>
        </a:stretch>
      </xdr:blipFill>
      <xdr:spPr>
        <a:xfrm>
          <a:off x="7264400" y="1436725600"/>
          <a:ext cx="878840" cy="1183640"/>
        </a:xfrm>
        <a:prstGeom prst="rect">
          <a:avLst/>
        </a:prstGeom>
      </xdr:spPr>
    </xdr:pic>
    <xdr:clientData/>
  </xdr:twoCellAnchor>
  <xdr:twoCellAnchor>
    <xdr:from>
      <xdr:col>8</xdr:col>
      <xdr:colOff>6350</xdr:colOff>
      <xdr:row>1473</xdr:row>
      <xdr:rowOff>25400</xdr:rowOff>
    </xdr:from>
    <xdr:to>
      <xdr:col>8</xdr:col>
      <xdr:colOff>885190</xdr:colOff>
      <xdr:row>1473</xdr:row>
      <xdr:rowOff>1209040</xdr:rowOff>
    </xdr:to>
    <xdr:pic>
      <xdr:nvPicPr>
        <xdr:cNvPr id="5339" name="Изображение 5338" descr="resizeПП-00200504"/>
        <xdr:cNvPicPr>
          <a:picLocks noChangeAspect="1"/>
        </xdr:cNvPicPr>
      </xdr:nvPicPr>
      <xdr:blipFill>
        <a:blip xmlns:r="http://schemas.openxmlformats.org/officeDocument/2006/relationships" r:embed="rId1101"/>
        <a:stretch>
          <a:fillRect/>
        </a:stretch>
      </xdr:blipFill>
      <xdr:spPr>
        <a:xfrm>
          <a:off x="7264400" y="1437947975"/>
          <a:ext cx="878840" cy="1183640"/>
        </a:xfrm>
        <a:prstGeom prst="rect">
          <a:avLst/>
        </a:prstGeom>
      </xdr:spPr>
    </xdr:pic>
    <xdr:clientData/>
  </xdr:twoCellAnchor>
  <xdr:twoCellAnchor>
    <xdr:from>
      <xdr:col>8</xdr:col>
      <xdr:colOff>6350</xdr:colOff>
      <xdr:row>1474</xdr:row>
      <xdr:rowOff>25400</xdr:rowOff>
    </xdr:from>
    <xdr:to>
      <xdr:col>8</xdr:col>
      <xdr:colOff>885190</xdr:colOff>
      <xdr:row>1474</xdr:row>
      <xdr:rowOff>1209040</xdr:rowOff>
    </xdr:to>
    <xdr:pic>
      <xdr:nvPicPr>
        <xdr:cNvPr id="5340" name="Изображение 5339" descr="resizeПП-00200508"/>
        <xdr:cNvPicPr>
          <a:picLocks noChangeAspect="1"/>
        </xdr:cNvPicPr>
      </xdr:nvPicPr>
      <xdr:blipFill>
        <a:blip xmlns:r="http://schemas.openxmlformats.org/officeDocument/2006/relationships" r:embed="rId1102"/>
        <a:stretch>
          <a:fillRect/>
        </a:stretch>
      </xdr:blipFill>
      <xdr:spPr>
        <a:xfrm>
          <a:off x="7264400" y="1439170350"/>
          <a:ext cx="878840" cy="1183640"/>
        </a:xfrm>
        <a:prstGeom prst="rect">
          <a:avLst/>
        </a:prstGeom>
      </xdr:spPr>
    </xdr:pic>
    <xdr:clientData/>
  </xdr:twoCellAnchor>
  <xdr:twoCellAnchor>
    <xdr:from>
      <xdr:col>8</xdr:col>
      <xdr:colOff>6350</xdr:colOff>
      <xdr:row>1475</xdr:row>
      <xdr:rowOff>25400</xdr:rowOff>
    </xdr:from>
    <xdr:to>
      <xdr:col>8</xdr:col>
      <xdr:colOff>885190</xdr:colOff>
      <xdr:row>1475</xdr:row>
      <xdr:rowOff>1209040</xdr:rowOff>
    </xdr:to>
    <xdr:pic>
      <xdr:nvPicPr>
        <xdr:cNvPr id="5341" name="Изображение 5340" descr="resizeПП-00200516"/>
        <xdr:cNvPicPr>
          <a:picLocks noChangeAspect="1"/>
        </xdr:cNvPicPr>
      </xdr:nvPicPr>
      <xdr:blipFill>
        <a:blip xmlns:r="http://schemas.openxmlformats.org/officeDocument/2006/relationships" r:embed="rId1103"/>
        <a:stretch>
          <a:fillRect/>
        </a:stretch>
      </xdr:blipFill>
      <xdr:spPr>
        <a:xfrm>
          <a:off x="7264400" y="1440392725"/>
          <a:ext cx="878840" cy="1183640"/>
        </a:xfrm>
        <a:prstGeom prst="rect">
          <a:avLst/>
        </a:prstGeom>
      </xdr:spPr>
    </xdr:pic>
    <xdr:clientData/>
  </xdr:twoCellAnchor>
  <xdr:twoCellAnchor>
    <xdr:from>
      <xdr:col>8</xdr:col>
      <xdr:colOff>6350</xdr:colOff>
      <xdr:row>1476</xdr:row>
      <xdr:rowOff>25400</xdr:rowOff>
    </xdr:from>
    <xdr:to>
      <xdr:col>8</xdr:col>
      <xdr:colOff>885190</xdr:colOff>
      <xdr:row>1476</xdr:row>
      <xdr:rowOff>1209040</xdr:rowOff>
    </xdr:to>
    <xdr:pic>
      <xdr:nvPicPr>
        <xdr:cNvPr id="5342" name="Изображение 5341" descr="resizeПП-00200519"/>
        <xdr:cNvPicPr>
          <a:picLocks noChangeAspect="1"/>
        </xdr:cNvPicPr>
      </xdr:nvPicPr>
      <xdr:blipFill>
        <a:blip xmlns:r="http://schemas.openxmlformats.org/officeDocument/2006/relationships" r:embed="rId1104"/>
        <a:stretch>
          <a:fillRect/>
        </a:stretch>
      </xdr:blipFill>
      <xdr:spPr>
        <a:xfrm>
          <a:off x="7264400" y="1441615100"/>
          <a:ext cx="878840" cy="1183640"/>
        </a:xfrm>
        <a:prstGeom prst="rect">
          <a:avLst/>
        </a:prstGeom>
      </xdr:spPr>
    </xdr:pic>
    <xdr:clientData/>
  </xdr:twoCellAnchor>
  <xdr:twoCellAnchor>
    <xdr:from>
      <xdr:col>8</xdr:col>
      <xdr:colOff>6350</xdr:colOff>
      <xdr:row>1478</xdr:row>
      <xdr:rowOff>25400</xdr:rowOff>
    </xdr:from>
    <xdr:to>
      <xdr:col>8</xdr:col>
      <xdr:colOff>885190</xdr:colOff>
      <xdr:row>1478</xdr:row>
      <xdr:rowOff>1209040</xdr:rowOff>
    </xdr:to>
    <xdr:pic>
      <xdr:nvPicPr>
        <xdr:cNvPr id="5343" name="Изображение 5342" descr="resizeПП-00251509"/>
        <xdr:cNvPicPr>
          <a:picLocks noChangeAspect="1"/>
        </xdr:cNvPicPr>
      </xdr:nvPicPr>
      <xdr:blipFill>
        <a:blip xmlns:r="http://schemas.openxmlformats.org/officeDocument/2006/relationships" r:embed="rId1105"/>
        <a:stretch>
          <a:fillRect/>
        </a:stretch>
      </xdr:blipFill>
      <xdr:spPr>
        <a:xfrm>
          <a:off x="7264400" y="1442989875"/>
          <a:ext cx="878840" cy="1183640"/>
        </a:xfrm>
        <a:prstGeom prst="rect">
          <a:avLst/>
        </a:prstGeom>
      </xdr:spPr>
    </xdr:pic>
    <xdr:clientData/>
  </xdr:twoCellAnchor>
  <xdr:twoCellAnchor>
    <xdr:from>
      <xdr:col>8</xdr:col>
      <xdr:colOff>6350</xdr:colOff>
      <xdr:row>1479</xdr:row>
      <xdr:rowOff>25400</xdr:rowOff>
    </xdr:from>
    <xdr:to>
      <xdr:col>8</xdr:col>
      <xdr:colOff>885190</xdr:colOff>
      <xdr:row>1479</xdr:row>
      <xdr:rowOff>1209040</xdr:rowOff>
    </xdr:to>
    <xdr:pic>
      <xdr:nvPicPr>
        <xdr:cNvPr id="5344" name="Изображение 5343" descr="resizeПП-00200380"/>
        <xdr:cNvPicPr>
          <a:picLocks noChangeAspect="1"/>
        </xdr:cNvPicPr>
      </xdr:nvPicPr>
      <xdr:blipFill>
        <a:blip xmlns:r="http://schemas.openxmlformats.org/officeDocument/2006/relationships" r:embed="rId1106"/>
        <a:stretch>
          <a:fillRect/>
        </a:stretch>
      </xdr:blipFill>
      <xdr:spPr>
        <a:xfrm>
          <a:off x="7264400" y="1444212250"/>
          <a:ext cx="878840" cy="1183640"/>
        </a:xfrm>
        <a:prstGeom prst="rect">
          <a:avLst/>
        </a:prstGeom>
      </xdr:spPr>
    </xdr:pic>
    <xdr:clientData/>
  </xdr:twoCellAnchor>
  <xdr:twoCellAnchor>
    <xdr:from>
      <xdr:col>8</xdr:col>
      <xdr:colOff>6350</xdr:colOff>
      <xdr:row>1480</xdr:row>
      <xdr:rowOff>25400</xdr:rowOff>
    </xdr:from>
    <xdr:to>
      <xdr:col>8</xdr:col>
      <xdr:colOff>885190</xdr:colOff>
      <xdr:row>1480</xdr:row>
      <xdr:rowOff>1209040</xdr:rowOff>
    </xdr:to>
    <xdr:pic>
      <xdr:nvPicPr>
        <xdr:cNvPr id="5345" name="Изображение 5344" descr="resizeПП-00200383"/>
        <xdr:cNvPicPr>
          <a:picLocks noChangeAspect="1"/>
        </xdr:cNvPicPr>
      </xdr:nvPicPr>
      <xdr:blipFill>
        <a:blip xmlns:r="http://schemas.openxmlformats.org/officeDocument/2006/relationships" r:embed="rId1107"/>
        <a:stretch>
          <a:fillRect/>
        </a:stretch>
      </xdr:blipFill>
      <xdr:spPr>
        <a:xfrm>
          <a:off x="7264400" y="1445434625"/>
          <a:ext cx="878840" cy="1183640"/>
        </a:xfrm>
        <a:prstGeom prst="rect">
          <a:avLst/>
        </a:prstGeom>
      </xdr:spPr>
    </xdr:pic>
    <xdr:clientData/>
  </xdr:twoCellAnchor>
  <xdr:twoCellAnchor>
    <xdr:from>
      <xdr:col>8</xdr:col>
      <xdr:colOff>6350</xdr:colOff>
      <xdr:row>1481</xdr:row>
      <xdr:rowOff>25400</xdr:rowOff>
    </xdr:from>
    <xdr:to>
      <xdr:col>8</xdr:col>
      <xdr:colOff>885190</xdr:colOff>
      <xdr:row>1481</xdr:row>
      <xdr:rowOff>1209040</xdr:rowOff>
    </xdr:to>
    <xdr:pic>
      <xdr:nvPicPr>
        <xdr:cNvPr id="5346" name="Изображение 5345" descr="resizeПП-00200382"/>
        <xdr:cNvPicPr>
          <a:picLocks noChangeAspect="1"/>
        </xdr:cNvPicPr>
      </xdr:nvPicPr>
      <xdr:blipFill>
        <a:blip xmlns:r="http://schemas.openxmlformats.org/officeDocument/2006/relationships" r:embed="rId1108"/>
        <a:stretch>
          <a:fillRect/>
        </a:stretch>
      </xdr:blipFill>
      <xdr:spPr>
        <a:xfrm>
          <a:off x="7264400" y="1446657000"/>
          <a:ext cx="878840" cy="1183640"/>
        </a:xfrm>
        <a:prstGeom prst="rect">
          <a:avLst/>
        </a:prstGeom>
      </xdr:spPr>
    </xdr:pic>
    <xdr:clientData/>
  </xdr:twoCellAnchor>
  <xdr:twoCellAnchor>
    <xdr:from>
      <xdr:col>8</xdr:col>
      <xdr:colOff>6350</xdr:colOff>
      <xdr:row>1482</xdr:row>
      <xdr:rowOff>25400</xdr:rowOff>
    </xdr:from>
    <xdr:to>
      <xdr:col>8</xdr:col>
      <xdr:colOff>885190</xdr:colOff>
      <xdr:row>1482</xdr:row>
      <xdr:rowOff>1209040</xdr:rowOff>
    </xdr:to>
    <xdr:pic>
      <xdr:nvPicPr>
        <xdr:cNvPr id="5347" name="Изображение 5346" descr="resizeПП-00203586"/>
        <xdr:cNvPicPr>
          <a:picLocks noChangeAspect="1"/>
        </xdr:cNvPicPr>
      </xdr:nvPicPr>
      <xdr:blipFill>
        <a:blip xmlns:r="http://schemas.openxmlformats.org/officeDocument/2006/relationships" r:embed="rId1109"/>
        <a:stretch>
          <a:fillRect/>
        </a:stretch>
      </xdr:blipFill>
      <xdr:spPr>
        <a:xfrm>
          <a:off x="7264400" y="1447879375"/>
          <a:ext cx="878840" cy="1183640"/>
        </a:xfrm>
        <a:prstGeom prst="rect">
          <a:avLst/>
        </a:prstGeom>
      </xdr:spPr>
    </xdr:pic>
    <xdr:clientData/>
  </xdr:twoCellAnchor>
  <xdr:twoCellAnchor>
    <xdr:from>
      <xdr:col>8</xdr:col>
      <xdr:colOff>6350</xdr:colOff>
      <xdr:row>1483</xdr:row>
      <xdr:rowOff>25400</xdr:rowOff>
    </xdr:from>
    <xdr:to>
      <xdr:col>8</xdr:col>
      <xdr:colOff>885190</xdr:colOff>
      <xdr:row>1483</xdr:row>
      <xdr:rowOff>1209040</xdr:rowOff>
    </xdr:to>
    <xdr:pic>
      <xdr:nvPicPr>
        <xdr:cNvPr id="5348" name="Изображение 5347" descr="resizeПП-00203585"/>
        <xdr:cNvPicPr>
          <a:picLocks noChangeAspect="1"/>
        </xdr:cNvPicPr>
      </xdr:nvPicPr>
      <xdr:blipFill>
        <a:blip xmlns:r="http://schemas.openxmlformats.org/officeDocument/2006/relationships" r:embed="rId1110"/>
        <a:stretch>
          <a:fillRect/>
        </a:stretch>
      </xdr:blipFill>
      <xdr:spPr>
        <a:xfrm>
          <a:off x="7264400" y="1449101750"/>
          <a:ext cx="878840" cy="1183640"/>
        </a:xfrm>
        <a:prstGeom prst="rect">
          <a:avLst/>
        </a:prstGeom>
      </xdr:spPr>
    </xdr:pic>
    <xdr:clientData/>
  </xdr:twoCellAnchor>
  <xdr:twoCellAnchor>
    <xdr:from>
      <xdr:col>8</xdr:col>
      <xdr:colOff>6350</xdr:colOff>
      <xdr:row>1484</xdr:row>
      <xdr:rowOff>25400</xdr:rowOff>
    </xdr:from>
    <xdr:to>
      <xdr:col>8</xdr:col>
      <xdr:colOff>885190</xdr:colOff>
      <xdr:row>1484</xdr:row>
      <xdr:rowOff>1209040</xdr:rowOff>
    </xdr:to>
    <xdr:pic>
      <xdr:nvPicPr>
        <xdr:cNvPr id="5349" name="Изображение 5348" descr="resizeПП-00203584"/>
        <xdr:cNvPicPr>
          <a:picLocks noChangeAspect="1"/>
        </xdr:cNvPicPr>
      </xdr:nvPicPr>
      <xdr:blipFill>
        <a:blip xmlns:r="http://schemas.openxmlformats.org/officeDocument/2006/relationships" r:embed="rId1111"/>
        <a:stretch>
          <a:fillRect/>
        </a:stretch>
      </xdr:blipFill>
      <xdr:spPr>
        <a:xfrm>
          <a:off x="7264400" y="1450324125"/>
          <a:ext cx="878840" cy="1183640"/>
        </a:xfrm>
        <a:prstGeom prst="rect">
          <a:avLst/>
        </a:prstGeom>
      </xdr:spPr>
    </xdr:pic>
    <xdr:clientData/>
  </xdr:twoCellAnchor>
  <xdr:twoCellAnchor>
    <xdr:from>
      <xdr:col>8</xdr:col>
      <xdr:colOff>6350</xdr:colOff>
      <xdr:row>1486</xdr:row>
      <xdr:rowOff>25400</xdr:rowOff>
    </xdr:from>
    <xdr:to>
      <xdr:col>8</xdr:col>
      <xdr:colOff>885190</xdr:colOff>
      <xdr:row>1486</xdr:row>
      <xdr:rowOff>1209040</xdr:rowOff>
    </xdr:to>
    <xdr:pic>
      <xdr:nvPicPr>
        <xdr:cNvPr id="5350" name="Изображение 5349" descr="resizeПП-00275600"/>
        <xdr:cNvPicPr>
          <a:picLocks noChangeAspect="1"/>
        </xdr:cNvPicPr>
      </xdr:nvPicPr>
      <xdr:blipFill>
        <a:blip xmlns:r="http://schemas.openxmlformats.org/officeDocument/2006/relationships" r:embed="rId1112"/>
        <a:stretch>
          <a:fillRect/>
        </a:stretch>
      </xdr:blipFill>
      <xdr:spPr>
        <a:xfrm>
          <a:off x="7264400" y="1451698900"/>
          <a:ext cx="878840" cy="1183640"/>
        </a:xfrm>
        <a:prstGeom prst="rect">
          <a:avLst/>
        </a:prstGeom>
      </xdr:spPr>
    </xdr:pic>
    <xdr:clientData/>
  </xdr:twoCellAnchor>
  <xdr:twoCellAnchor>
    <xdr:from>
      <xdr:col>8</xdr:col>
      <xdr:colOff>6350</xdr:colOff>
      <xdr:row>1487</xdr:row>
      <xdr:rowOff>25400</xdr:rowOff>
    </xdr:from>
    <xdr:to>
      <xdr:col>8</xdr:col>
      <xdr:colOff>885190</xdr:colOff>
      <xdr:row>1487</xdr:row>
      <xdr:rowOff>1209040</xdr:rowOff>
    </xdr:to>
    <xdr:pic>
      <xdr:nvPicPr>
        <xdr:cNvPr id="5351" name="Изображение 5350" descr="resizeПП-00275557"/>
        <xdr:cNvPicPr>
          <a:picLocks noChangeAspect="1"/>
        </xdr:cNvPicPr>
      </xdr:nvPicPr>
      <xdr:blipFill>
        <a:blip xmlns:r="http://schemas.openxmlformats.org/officeDocument/2006/relationships" r:embed="rId1113"/>
        <a:stretch>
          <a:fillRect/>
        </a:stretch>
      </xdr:blipFill>
      <xdr:spPr>
        <a:xfrm>
          <a:off x="7264400" y="1452921275"/>
          <a:ext cx="878840" cy="1183640"/>
        </a:xfrm>
        <a:prstGeom prst="rect">
          <a:avLst/>
        </a:prstGeom>
      </xdr:spPr>
    </xdr:pic>
    <xdr:clientData/>
  </xdr:twoCellAnchor>
  <xdr:twoCellAnchor>
    <xdr:from>
      <xdr:col>8</xdr:col>
      <xdr:colOff>6350</xdr:colOff>
      <xdr:row>1488</xdr:row>
      <xdr:rowOff>25400</xdr:rowOff>
    </xdr:from>
    <xdr:to>
      <xdr:col>8</xdr:col>
      <xdr:colOff>885190</xdr:colOff>
      <xdr:row>1488</xdr:row>
      <xdr:rowOff>1209040</xdr:rowOff>
    </xdr:to>
    <xdr:pic>
      <xdr:nvPicPr>
        <xdr:cNvPr id="5352" name="Изображение 5351" descr="resizeПП-00275598"/>
        <xdr:cNvPicPr>
          <a:picLocks noChangeAspect="1"/>
        </xdr:cNvPicPr>
      </xdr:nvPicPr>
      <xdr:blipFill>
        <a:blip xmlns:r="http://schemas.openxmlformats.org/officeDocument/2006/relationships" r:embed="rId1114"/>
        <a:stretch>
          <a:fillRect/>
        </a:stretch>
      </xdr:blipFill>
      <xdr:spPr>
        <a:xfrm>
          <a:off x="7264400" y="1454143650"/>
          <a:ext cx="878840" cy="1183640"/>
        </a:xfrm>
        <a:prstGeom prst="rect">
          <a:avLst/>
        </a:prstGeom>
      </xdr:spPr>
    </xdr:pic>
    <xdr:clientData/>
  </xdr:twoCellAnchor>
  <xdr:twoCellAnchor>
    <xdr:from>
      <xdr:col>8</xdr:col>
      <xdr:colOff>6350</xdr:colOff>
      <xdr:row>1489</xdr:row>
      <xdr:rowOff>25400</xdr:rowOff>
    </xdr:from>
    <xdr:to>
      <xdr:col>8</xdr:col>
      <xdr:colOff>885190</xdr:colOff>
      <xdr:row>1489</xdr:row>
      <xdr:rowOff>1209040</xdr:rowOff>
    </xdr:to>
    <xdr:pic>
      <xdr:nvPicPr>
        <xdr:cNvPr id="5353" name="Изображение 5352" descr="resizeПП-00275599"/>
        <xdr:cNvPicPr>
          <a:picLocks noChangeAspect="1"/>
        </xdr:cNvPicPr>
      </xdr:nvPicPr>
      <xdr:blipFill>
        <a:blip xmlns:r="http://schemas.openxmlformats.org/officeDocument/2006/relationships" r:embed="rId1115"/>
        <a:stretch>
          <a:fillRect/>
        </a:stretch>
      </xdr:blipFill>
      <xdr:spPr>
        <a:xfrm>
          <a:off x="7264400" y="1455366025"/>
          <a:ext cx="878840" cy="1183640"/>
        </a:xfrm>
        <a:prstGeom prst="rect">
          <a:avLst/>
        </a:prstGeom>
      </xdr:spPr>
    </xdr:pic>
    <xdr:clientData/>
  </xdr:twoCellAnchor>
  <xdr:twoCellAnchor>
    <xdr:from>
      <xdr:col>8</xdr:col>
      <xdr:colOff>6350</xdr:colOff>
      <xdr:row>1491</xdr:row>
      <xdr:rowOff>25400</xdr:rowOff>
    </xdr:from>
    <xdr:to>
      <xdr:col>8</xdr:col>
      <xdr:colOff>885190</xdr:colOff>
      <xdr:row>1491</xdr:row>
      <xdr:rowOff>1209040</xdr:rowOff>
    </xdr:to>
    <xdr:pic>
      <xdr:nvPicPr>
        <xdr:cNvPr id="5354" name="Изображение 5353" descr="resizeПП-00236552"/>
        <xdr:cNvPicPr>
          <a:picLocks noChangeAspect="1"/>
        </xdr:cNvPicPr>
      </xdr:nvPicPr>
      <xdr:blipFill>
        <a:blip xmlns:r="http://schemas.openxmlformats.org/officeDocument/2006/relationships" r:embed="rId1116"/>
        <a:stretch>
          <a:fillRect/>
        </a:stretch>
      </xdr:blipFill>
      <xdr:spPr>
        <a:xfrm>
          <a:off x="7264400" y="1456740800"/>
          <a:ext cx="878840" cy="1183640"/>
        </a:xfrm>
        <a:prstGeom prst="rect">
          <a:avLst/>
        </a:prstGeom>
      </xdr:spPr>
    </xdr:pic>
    <xdr:clientData/>
  </xdr:twoCellAnchor>
  <xdr:twoCellAnchor>
    <xdr:from>
      <xdr:col>8</xdr:col>
      <xdr:colOff>6350</xdr:colOff>
      <xdr:row>1492</xdr:row>
      <xdr:rowOff>25400</xdr:rowOff>
    </xdr:from>
    <xdr:to>
      <xdr:col>8</xdr:col>
      <xdr:colOff>885190</xdr:colOff>
      <xdr:row>1492</xdr:row>
      <xdr:rowOff>1209040</xdr:rowOff>
    </xdr:to>
    <xdr:pic>
      <xdr:nvPicPr>
        <xdr:cNvPr id="5355" name="Изображение 5354" descr="resizeПП-00202536"/>
        <xdr:cNvPicPr>
          <a:picLocks noChangeAspect="1"/>
        </xdr:cNvPicPr>
      </xdr:nvPicPr>
      <xdr:blipFill>
        <a:blip xmlns:r="http://schemas.openxmlformats.org/officeDocument/2006/relationships" r:embed="rId1117"/>
        <a:stretch>
          <a:fillRect/>
        </a:stretch>
      </xdr:blipFill>
      <xdr:spPr>
        <a:xfrm>
          <a:off x="7264400" y="1457963175"/>
          <a:ext cx="878840" cy="1183640"/>
        </a:xfrm>
        <a:prstGeom prst="rect">
          <a:avLst/>
        </a:prstGeom>
      </xdr:spPr>
    </xdr:pic>
    <xdr:clientData/>
  </xdr:twoCellAnchor>
  <xdr:twoCellAnchor>
    <xdr:from>
      <xdr:col>8</xdr:col>
      <xdr:colOff>6350</xdr:colOff>
      <xdr:row>1493</xdr:row>
      <xdr:rowOff>25400</xdr:rowOff>
    </xdr:from>
    <xdr:to>
      <xdr:col>8</xdr:col>
      <xdr:colOff>885190</xdr:colOff>
      <xdr:row>1493</xdr:row>
      <xdr:rowOff>1209040</xdr:rowOff>
    </xdr:to>
    <xdr:pic>
      <xdr:nvPicPr>
        <xdr:cNvPr id="5356" name="Изображение 5355" descr="resizeПП-00202538"/>
        <xdr:cNvPicPr>
          <a:picLocks noChangeAspect="1"/>
        </xdr:cNvPicPr>
      </xdr:nvPicPr>
      <xdr:blipFill>
        <a:blip xmlns:r="http://schemas.openxmlformats.org/officeDocument/2006/relationships" r:embed="rId1118"/>
        <a:stretch>
          <a:fillRect/>
        </a:stretch>
      </xdr:blipFill>
      <xdr:spPr>
        <a:xfrm>
          <a:off x="7264400" y="1459185550"/>
          <a:ext cx="878840" cy="1183640"/>
        </a:xfrm>
        <a:prstGeom prst="rect">
          <a:avLst/>
        </a:prstGeom>
      </xdr:spPr>
    </xdr:pic>
    <xdr:clientData/>
  </xdr:twoCellAnchor>
  <xdr:twoCellAnchor>
    <xdr:from>
      <xdr:col>8</xdr:col>
      <xdr:colOff>6350</xdr:colOff>
      <xdr:row>1494</xdr:row>
      <xdr:rowOff>25400</xdr:rowOff>
    </xdr:from>
    <xdr:to>
      <xdr:col>8</xdr:col>
      <xdr:colOff>885190</xdr:colOff>
      <xdr:row>1494</xdr:row>
      <xdr:rowOff>1209040</xdr:rowOff>
    </xdr:to>
    <xdr:pic>
      <xdr:nvPicPr>
        <xdr:cNvPr id="5357" name="Изображение 5356" descr="resizeПП-00202537"/>
        <xdr:cNvPicPr>
          <a:picLocks noChangeAspect="1"/>
        </xdr:cNvPicPr>
      </xdr:nvPicPr>
      <xdr:blipFill>
        <a:blip xmlns:r="http://schemas.openxmlformats.org/officeDocument/2006/relationships" r:embed="rId1119"/>
        <a:stretch>
          <a:fillRect/>
        </a:stretch>
      </xdr:blipFill>
      <xdr:spPr>
        <a:xfrm>
          <a:off x="7264400" y="1460407925"/>
          <a:ext cx="878840" cy="1183640"/>
        </a:xfrm>
        <a:prstGeom prst="rect">
          <a:avLst/>
        </a:prstGeom>
      </xdr:spPr>
    </xdr:pic>
    <xdr:clientData/>
  </xdr:twoCellAnchor>
  <xdr:twoCellAnchor>
    <xdr:from>
      <xdr:col>8</xdr:col>
      <xdr:colOff>6350</xdr:colOff>
      <xdr:row>1495</xdr:row>
      <xdr:rowOff>25400</xdr:rowOff>
    </xdr:from>
    <xdr:to>
      <xdr:col>8</xdr:col>
      <xdr:colOff>885190</xdr:colOff>
      <xdr:row>1495</xdr:row>
      <xdr:rowOff>1209040</xdr:rowOff>
    </xdr:to>
    <xdr:pic>
      <xdr:nvPicPr>
        <xdr:cNvPr id="5358" name="Изображение 5357" descr="resizeПП-00187190"/>
        <xdr:cNvPicPr>
          <a:picLocks noChangeAspect="1"/>
        </xdr:cNvPicPr>
      </xdr:nvPicPr>
      <xdr:blipFill>
        <a:blip xmlns:r="http://schemas.openxmlformats.org/officeDocument/2006/relationships" r:embed="rId1120"/>
        <a:stretch>
          <a:fillRect/>
        </a:stretch>
      </xdr:blipFill>
      <xdr:spPr>
        <a:xfrm>
          <a:off x="7264400" y="1461630300"/>
          <a:ext cx="878840" cy="1183640"/>
        </a:xfrm>
        <a:prstGeom prst="rect">
          <a:avLst/>
        </a:prstGeom>
      </xdr:spPr>
    </xdr:pic>
    <xdr:clientData/>
  </xdr:twoCellAnchor>
  <xdr:twoCellAnchor>
    <xdr:from>
      <xdr:col>8</xdr:col>
      <xdr:colOff>6350</xdr:colOff>
      <xdr:row>1496</xdr:row>
      <xdr:rowOff>25400</xdr:rowOff>
    </xdr:from>
    <xdr:to>
      <xdr:col>8</xdr:col>
      <xdr:colOff>885190</xdr:colOff>
      <xdr:row>1496</xdr:row>
      <xdr:rowOff>1209040</xdr:rowOff>
    </xdr:to>
    <xdr:pic>
      <xdr:nvPicPr>
        <xdr:cNvPr id="5359" name="Изображение 5358" descr="resizeПП-00187361"/>
        <xdr:cNvPicPr>
          <a:picLocks noChangeAspect="1"/>
        </xdr:cNvPicPr>
      </xdr:nvPicPr>
      <xdr:blipFill>
        <a:blip xmlns:r="http://schemas.openxmlformats.org/officeDocument/2006/relationships" r:embed="rId1121"/>
        <a:stretch>
          <a:fillRect/>
        </a:stretch>
      </xdr:blipFill>
      <xdr:spPr>
        <a:xfrm>
          <a:off x="7264400" y="1462852675"/>
          <a:ext cx="878840" cy="1183640"/>
        </a:xfrm>
        <a:prstGeom prst="rect">
          <a:avLst/>
        </a:prstGeom>
      </xdr:spPr>
    </xdr:pic>
    <xdr:clientData/>
  </xdr:twoCellAnchor>
  <xdr:twoCellAnchor>
    <xdr:from>
      <xdr:col>8</xdr:col>
      <xdr:colOff>6350</xdr:colOff>
      <xdr:row>1497</xdr:row>
      <xdr:rowOff>25400</xdr:rowOff>
    </xdr:from>
    <xdr:to>
      <xdr:col>8</xdr:col>
      <xdr:colOff>885190</xdr:colOff>
      <xdr:row>1497</xdr:row>
      <xdr:rowOff>1209040</xdr:rowOff>
    </xdr:to>
    <xdr:pic>
      <xdr:nvPicPr>
        <xdr:cNvPr id="5360" name="Изображение 5359" descr="resizeПП-00203572"/>
        <xdr:cNvPicPr>
          <a:picLocks noChangeAspect="1"/>
        </xdr:cNvPicPr>
      </xdr:nvPicPr>
      <xdr:blipFill>
        <a:blip xmlns:r="http://schemas.openxmlformats.org/officeDocument/2006/relationships" r:embed="rId1122"/>
        <a:stretch>
          <a:fillRect/>
        </a:stretch>
      </xdr:blipFill>
      <xdr:spPr>
        <a:xfrm>
          <a:off x="7264400" y="1464075050"/>
          <a:ext cx="878840" cy="1183640"/>
        </a:xfrm>
        <a:prstGeom prst="rect">
          <a:avLst/>
        </a:prstGeom>
      </xdr:spPr>
    </xdr:pic>
    <xdr:clientData/>
  </xdr:twoCellAnchor>
  <xdr:twoCellAnchor>
    <xdr:from>
      <xdr:col>8</xdr:col>
      <xdr:colOff>6350</xdr:colOff>
      <xdr:row>1498</xdr:row>
      <xdr:rowOff>25400</xdr:rowOff>
    </xdr:from>
    <xdr:to>
      <xdr:col>8</xdr:col>
      <xdr:colOff>885190</xdr:colOff>
      <xdr:row>1498</xdr:row>
      <xdr:rowOff>1209040</xdr:rowOff>
    </xdr:to>
    <xdr:pic>
      <xdr:nvPicPr>
        <xdr:cNvPr id="5361" name="Изображение 5360" descr="resizeПП-00203578"/>
        <xdr:cNvPicPr>
          <a:picLocks noChangeAspect="1"/>
        </xdr:cNvPicPr>
      </xdr:nvPicPr>
      <xdr:blipFill>
        <a:blip xmlns:r="http://schemas.openxmlformats.org/officeDocument/2006/relationships" r:embed="rId1123"/>
        <a:stretch>
          <a:fillRect/>
        </a:stretch>
      </xdr:blipFill>
      <xdr:spPr>
        <a:xfrm>
          <a:off x="7264400" y="1465297425"/>
          <a:ext cx="878840" cy="1183640"/>
        </a:xfrm>
        <a:prstGeom prst="rect">
          <a:avLst/>
        </a:prstGeom>
      </xdr:spPr>
    </xdr:pic>
    <xdr:clientData/>
  </xdr:twoCellAnchor>
  <xdr:twoCellAnchor>
    <xdr:from>
      <xdr:col>8</xdr:col>
      <xdr:colOff>6350</xdr:colOff>
      <xdr:row>1499</xdr:row>
      <xdr:rowOff>25400</xdr:rowOff>
    </xdr:from>
    <xdr:to>
      <xdr:col>8</xdr:col>
      <xdr:colOff>885190</xdr:colOff>
      <xdr:row>1499</xdr:row>
      <xdr:rowOff>1209040</xdr:rowOff>
    </xdr:to>
    <xdr:pic>
      <xdr:nvPicPr>
        <xdr:cNvPr id="5362" name="Изображение 5361" descr="resizeПП-00203571"/>
        <xdr:cNvPicPr>
          <a:picLocks noChangeAspect="1"/>
        </xdr:cNvPicPr>
      </xdr:nvPicPr>
      <xdr:blipFill>
        <a:blip xmlns:r="http://schemas.openxmlformats.org/officeDocument/2006/relationships" r:embed="rId1124"/>
        <a:stretch>
          <a:fillRect/>
        </a:stretch>
      </xdr:blipFill>
      <xdr:spPr>
        <a:xfrm>
          <a:off x="7264400" y="1466519800"/>
          <a:ext cx="878840" cy="1183640"/>
        </a:xfrm>
        <a:prstGeom prst="rect">
          <a:avLst/>
        </a:prstGeom>
      </xdr:spPr>
    </xdr:pic>
    <xdr:clientData/>
  </xdr:twoCellAnchor>
  <xdr:twoCellAnchor>
    <xdr:from>
      <xdr:col>8</xdr:col>
      <xdr:colOff>6350</xdr:colOff>
      <xdr:row>1502</xdr:row>
      <xdr:rowOff>25400</xdr:rowOff>
    </xdr:from>
    <xdr:to>
      <xdr:col>8</xdr:col>
      <xdr:colOff>885190</xdr:colOff>
      <xdr:row>1502</xdr:row>
      <xdr:rowOff>1209040</xdr:rowOff>
    </xdr:to>
    <xdr:pic>
      <xdr:nvPicPr>
        <xdr:cNvPr id="5363" name="Изображение 5362" descr="resizeПП-00274374"/>
        <xdr:cNvPicPr>
          <a:picLocks noChangeAspect="1"/>
        </xdr:cNvPicPr>
      </xdr:nvPicPr>
      <xdr:blipFill>
        <a:blip xmlns:r="http://schemas.openxmlformats.org/officeDocument/2006/relationships" r:embed="rId1125"/>
        <a:stretch>
          <a:fillRect/>
        </a:stretch>
      </xdr:blipFill>
      <xdr:spPr>
        <a:xfrm>
          <a:off x="7264400" y="1468046975"/>
          <a:ext cx="878840" cy="1183640"/>
        </a:xfrm>
        <a:prstGeom prst="rect">
          <a:avLst/>
        </a:prstGeom>
      </xdr:spPr>
    </xdr:pic>
    <xdr:clientData/>
  </xdr:twoCellAnchor>
  <xdr:twoCellAnchor>
    <xdr:from>
      <xdr:col>8</xdr:col>
      <xdr:colOff>6350</xdr:colOff>
      <xdr:row>1503</xdr:row>
      <xdr:rowOff>25400</xdr:rowOff>
    </xdr:from>
    <xdr:to>
      <xdr:col>8</xdr:col>
      <xdr:colOff>885190</xdr:colOff>
      <xdr:row>1503</xdr:row>
      <xdr:rowOff>1209040</xdr:rowOff>
    </xdr:to>
    <xdr:pic>
      <xdr:nvPicPr>
        <xdr:cNvPr id="5364" name="Изображение 5363" descr="resizeПП-00274376"/>
        <xdr:cNvPicPr>
          <a:picLocks noChangeAspect="1"/>
        </xdr:cNvPicPr>
      </xdr:nvPicPr>
      <xdr:blipFill>
        <a:blip xmlns:r="http://schemas.openxmlformats.org/officeDocument/2006/relationships" r:embed="rId1126"/>
        <a:stretch>
          <a:fillRect/>
        </a:stretch>
      </xdr:blipFill>
      <xdr:spPr>
        <a:xfrm>
          <a:off x="7264400" y="1469269350"/>
          <a:ext cx="878840" cy="1183640"/>
        </a:xfrm>
        <a:prstGeom prst="rect">
          <a:avLst/>
        </a:prstGeom>
      </xdr:spPr>
    </xdr:pic>
    <xdr:clientData/>
  </xdr:twoCellAnchor>
  <xdr:twoCellAnchor>
    <xdr:from>
      <xdr:col>8</xdr:col>
      <xdr:colOff>6350</xdr:colOff>
      <xdr:row>1506</xdr:row>
      <xdr:rowOff>25400</xdr:rowOff>
    </xdr:from>
    <xdr:to>
      <xdr:col>8</xdr:col>
      <xdr:colOff>885190</xdr:colOff>
      <xdr:row>1506</xdr:row>
      <xdr:rowOff>1209040</xdr:rowOff>
    </xdr:to>
    <xdr:pic>
      <xdr:nvPicPr>
        <xdr:cNvPr id="5365" name="Изображение 5364" descr="resizeПП-00257919"/>
        <xdr:cNvPicPr>
          <a:picLocks noChangeAspect="1"/>
        </xdr:cNvPicPr>
      </xdr:nvPicPr>
      <xdr:blipFill>
        <a:blip xmlns:r="http://schemas.openxmlformats.org/officeDocument/2006/relationships" r:embed="rId1127"/>
        <a:stretch>
          <a:fillRect/>
        </a:stretch>
      </xdr:blipFill>
      <xdr:spPr>
        <a:xfrm>
          <a:off x="7264400" y="1470796525"/>
          <a:ext cx="878840" cy="1183640"/>
        </a:xfrm>
        <a:prstGeom prst="rect">
          <a:avLst/>
        </a:prstGeom>
      </xdr:spPr>
    </xdr:pic>
    <xdr:clientData/>
  </xdr:twoCellAnchor>
  <xdr:twoCellAnchor>
    <xdr:from>
      <xdr:col>8</xdr:col>
      <xdr:colOff>6350</xdr:colOff>
      <xdr:row>1507</xdr:row>
      <xdr:rowOff>25400</xdr:rowOff>
    </xdr:from>
    <xdr:to>
      <xdr:col>8</xdr:col>
      <xdr:colOff>885190</xdr:colOff>
      <xdr:row>1507</xdr:row>
      <xdr:rowOff>1209040</xdr:rowOff>
    </xdr:to>
    <xdr:pic>
      <xdr:nvPicPr>
        <xdr:cNvPr id="5366" name="Изображение 5365" descr="resizeПП-00257921"/>
        <xdr:cNvPicPr>
          <a:picLocks noChangeAspect="1"/>
        </xdr:cNvPicPr>
      </xdr:nvPicPr>
      <xdr:blipFill>
        <a:blip xmlns:r="http://schemas.openxmlformats.org/officeDocument/2006/relationships" r:embed="rId1128"/>
        <a:stretch>
          <a:fillRect/>
        </a:stretch>
      </xdr:blipFill>
      <xdr:spPr>
        <a:xfrm>
          <a:off x="7264400" y="1472018900"/>
          <a:ext cx="878840" cy="1183640"/>
        </a:xfrm>
        <a:prstGeom prst="rect">
          <a:avLst/>
        </a:prstGeom>
      </xdr:spPr>
    </xdr:pic>
    <xdr:clientData/>
  </xdr:twoCellAnchor>
  <xdr:twoCellAnchor>
    <xdr:from>
      <xdr:col>8</xdr:col>
      <xdr:colOff>6350</xdr:colOff>
      <xdr:row>1508</xdr:row>
      <xdr:rowOff>25400</xdr:rowOff>
    </xdr:from>
    <xdr:to>
      <xdr:col>8</xdr:col>
      <xdr:colOff>885190</xdr:colOff>
      <xdr:row>1508</xdr:row>
      <xdr:rowOff>1209040</xdr:rowOff>
    </xdr:to>
    <xdr:pic>
      <xdr:nvPicPr>
        <xdr:cNvPr id="5367" name="Изображение 5366" descr="resizeПП-00257920"/>
        <xdr:cNvPicPr>
          <a:picLocks noChangeAspect="1"/>
        </xdr:cNvPicPr>
      </xdr:nvPicPr>
      <xdr:blipFill>
        <a:blip xmlns:r="http://schemas.openxmlformats.org/officeDocument/2006/relationships" r:embed="rId1129"/>
        <a:stretch>
          <a:fillRect/>
        </a:stretch>
      </xdr:blipFill>
      <xdr:spPr>
        <a:xfrm>
          <a:off x="7264400" y="1473241275"/>
          <a:ext cx="878840" cy="1183640"/>
        </a:xfrm>
        <a:prstGeom prst="rect">
          <a:avLst/>
        </a:prstGeom>
      </xdr:spPr>
    </xdr:pic>
    <xdr:clientData/>
  </xdr:twoCellAnchor>
  <xdr:twoCellAnchor>
    <xdr:from>
      <xdr:col>8</xdr:col>
      <xdr:colOff>6350</xdr:colOff>
      <xdr:row>1511</xdr:row>
      <xdr:rowOff>25400</xdr:rowOff>
    </xdr:from>
    <xdr:to>
      <xdr:col>8</xdr:col>
      <xdr:colOff>885190</xdr:colOff>
      <xdr:row>1511</xdr:row>
      <xdr:rowOff>1209040</xdr:rowOff>
    </xdr:to>
    <xdr:pic>
      <xdr:nvPicPr>
        <xdr:cNvPr id="5368" name="Изображение 5367" descr="resizeПП-00259280"/>
        <xdr:cNvPicPr>
          <a:picLocks noChangeAspect="1"/>
        </xdr:cNvPicPr>
      </xdr:nvPicPr>
      <xdr:blipFill>
        <a:blip xmlns:r="http://schemas.openxmlformats.org/officeDocument/2006/relationships" r:embed="rId1130"/>
        <a:stretch>
          <a:fillRect/>
        </a:stretch>
      </xdr:blipFill>
      <xdr:spPr>
        <a:xfrm>
          <a:off x="7264400" y="1474768450"/>
          <a:ext cx="878840" cy="1183640"/>
        </a:xfrm>
        <a:prstGeom prst="rect">
          <a:avLst/>
        </a:prstGeom>
      </xdr:spPr>
    </xdr:pic>
    <xdr:clientData/>
  </xdr:twoCellAnchor>
  <xdr:twoCellAnchor>
    <xdr:from>
      <xdr:col>8</xdr:col>
      <xdr:colOff>6350</xdr:colOff>
      <xdr:row>1512</xdr:row>
      <xdr:rowOff>25400</xdr:rowOff>
    </xdr:from>
    <xdr:to>
      <xdr:col>8</xdr:col>
      <xdr:colOff>885190</xdr:colOff>
      <xdr:row>1512</xdr:row>
      <xdr:rowOff>1209040</xdr:rowOff>
    </xdr:to>
    <xdr:pic>
      <xdr:nvPicPr>
        <xdr:cNvPr id="5369" name="Изображение 5368" descr="resizeПП-00259281"/>
        <xdr:cNvPicPr>
          <a:picLocks noChangeAspect="1"/>
        </xdr:cNvPicPr>
      </xdr:nvPicPr>
      <xdr:blipFill>
        <a:blip xmlns:r="http://schemas.openxmlformats.org/officeDocument/2006/relationships" r:embed="rId1131"/>
        <a:stretch>
          <a:fillRect/>
        </a:stretch>
      </xdr:blipFill>
      <xdr:spPr>
        <a:xfrm>
          <a:off x="7264400" y="1475990825"/>
          <a:ext cx="878840" cy="1183640"/>
        </a:xfrm>
        <a:prstGeom prst="rect">
          <a:avLst/>
        </a:prstGeom>
      </xdr:spPr>
    </xdr:pic>
    <xdr:clientData/>
  </xdr:twoCellAnchor>
  <xdr:twoCellAnchor>
    <xdr:from>
      <xdr:col>8</xdr:col>
      <xdr:colOff>6350</xdr:colOff>
      <xdr:row>1514</xdr:row>
      <xdr:rowOff>25400</xdr:rowOff>
    </xdr:from>
    <xdr:to>
      <xdr:col>8</xdr:col>
      <xdr:colOff>885190</xdr:colOff>
      <xdr:row>1514</xdr:row>
      <xdr:rowOff>1209040</xdr:rowOff>
    </xdr:to>
    <xdr:pic>
      <xdr:nvPicPr>
        <xdr:cNvPr id="5370" name="Изображение 5369" descr="resizeПП-00231801"/>
        <xdr:cNvPicPr>
          <a:picLocks noChangeAspect="1"/>
        </xdr:cNvPicPr>
      </xdr:nvPicPr>
      <xdr:blipFill>
        <a:blip xmlns:r="http://schemas.openxmlformats.org/officeDocument/2006/relationships" r:embed="rId1132"/>
        <a:stretch>
          <a:fillRect/>
        </a:stretch>
      </xdr:blipFill>
      <xdr:spPr>
        <a:xfrm>
          <a:off x="7264400" y="1477365600"/>
          <a:ext cx="878840" cy="1183640"/>
        </a:xfrm>
        <a:prstGeom prst="rect">
          <a:avLst/>
        </a:prstGeom>
      </xdr:spPr>
    </xdr:pic>
    <xdr:clientData/>
  </xdr:twoCellAnchor>
  <xdr:twoCellAnchor>
    <xdr:from>
      <xdr:col>8</xdr:col>
      <xdr:colOff>6350</xdr:colOff>
      <xdr:row>1515</xdr:row>
      <xdr:rowOff>25400</xdr:rowOff>
    </xdr:from>
    <xdr:to>
      <xdr:col>8</xdr:col>
      <xdr:colOff>885190</xdr:colOff>
      <xdr:row>1515</xdr:row>
      <xdr:rowOff>1209040</xdr:rowOff>
    </xdr:to>
    <xdr:pic>
      <xdr:nvPicPr>
        <xdr:cNvPr id="5371" name="Изображение 5370" descr="resizeПП-00231802"/>
        <xdr:cNvPicPr>
          <a:picLocks noChangeAspect="1"/>
        </xdr:cNvPicPr>
      </xdr:nvPicPr>
      <xdr:blipFill>
        <a:blip xmlns:r="http://schemas.openxmlformats.org/officeDocument/2006/relationships" r:embed="rId1133"/>
        <a:stretch>
          <a:fillRect/>
        </a:stretch>
      </xdr:blipFill>
      <xdr:spPr>
        <a:xfrm>
          <a:off x="7264400" y="1478587975"/>
          <a:ext cx="878840" cy="1183640"/>
        </a:xfrm>
        <a:prstGeom prst="rect">
          <a:avLst/>
        </a:prstGeom>
      </xdr:spPr>
    </xdr:pic>
    <xdr:clientData/>
  </xdr:twoCellAnchor>
  <xdr:twoCellAnchor>
    <xdr:from>
      <xdr:col>8</xdr:col>
      <xdr:colOff>6350</xdr:colOff>
      <xdr:row>1516</xdr:row>
      <xdr:rowOff>25400</xdr:rowOff>
    </xdr:from>
    <xdr:to>
      <xdr:col>8</xdr:col>
      <xdr:colOff>885190</xdr:colOff>
      <xdr:row>1516</xdr:row>
      <xdr:rowOff>1209040</xdr:rowOff>
    </xdr:to>
    <xdr:pic>
      <xdr:nvPicPr>
        <xdr:cNvPr id="5372" name="Изображение 5371" descr="resizeПП-00231804"/>
        <xdr:cNvPicPr>
          <a:picLocks noChangeAspect="1"/>
        </xdr:cNvPicPr>
      </xdr:nvPicPr>
      <xdr:blipFill>
        <a:blip xmlns:r="http://schemas.openxmlformats.org/officeDocument/2006/relationships" r:embed="rId1134"/>
        <a:stretch>
          <a:fillRect/>
        </a:stretch>
      </xdr:blipFill>
      <xdr:spPr>
        <a:xfrm>
          <a:off x="7264400" y="1479810350"/>
          <a:ext cx="878840" cy="1183640"/>
        </a:xfrm>
        <a:prstGeom prst="rect">
          <a:avLst/>
        </a:prstGeom>
      </xdr:spPr>
    </xdr:pic>
    <xdr:clientData/>
  </xdr:twoCellAnchor>
  <xdr:twoCellAnchor>
    <xdr:from>
      <xdr:col>8</xdr:col>
      <xdr:colOff>6350</xdr:colOff>
      <xdr:row>1517</xdr:row>
      <xdr:rowOff>25400</xdr:rowOff>
    </xdr:from>
    <xdr:to>
      <xdr:col>8</xdr:col>
      <xdr:colOff>885190</xdr:colOff>
      <xdr:row>1517</xdr:row>
      <xdr:rowOff>1209040</xdr:rowOff>
    </xdr:to>
    <xdr:pic>
      <xdr:nvPicPr>
        <xdr:cNvPr id="5373" name="Изображение 5372" descr="resizeПП-00231805"/>
        <xdr:cNvPicPr>
          <a:picLocks noChangeAspect="1"/>
        </xdr:cNvPicPr>
      </xdr:nvPicPr>
      <xdr:blipFill>
        <a:blip xmlns:r="http://schemas.openxmlformats.org/officeDocument/2006/relationships" r:embed="rId1135"/>
        <a:stretch>
          <a:fillRect/>
        </a:stretch>
      </xdr:blipFill>
      <xdr:spPr>
        <a:xfrm>
          <a:off x="7264400" y="1481032725"/>
          <a:ext cx="878840" cy="1183640"/>
        </a:xfrm>
        <a:prstGeom prst="rect">
          <a:avLst/>
        </a:prstGeom>
      </xdr:spPr>
    </xdr:pic>
    <xdr:clientData/>
  </xdr:twoCellAnchor>
  <xdr:twoCellAnchor>
    <xdr:from>
      <xdr:col>8</xdr:col>
      <xdr:colOff>6350</xdr:colOff>
      <xdr:row>1518</xdr:row>
      <xdr:rowOff>25400</xdr:rowOff>
    </xdr:from>
    <xdr:to>
      <xdr:col>8</xdr:col>
      <xdr:colOff>885190</xdr:colOff>
      <xdr:row>1518</xdr:row>
      <xdr:rowOff>1209040</xdr:rowOff>
    </xdr:to>
    <xdr:pic>
      <xdr:nvPicPr>
        <xdr:cNvPr id="5374" name="Изображение 5373" descr="resizeПП-00231806"/>
        <xdr:cNvPicPr>
          <a:picLocks noChangeAspect="1"/>
        </xdr:cNvPicPr>
      </xdr:nvPicPr>
      <xdr:blipFill>
        <a:blip xmlns:r="http://schemas.openxmlformats.org/officeDocument/2006/relationships" r:embed="rId1136"/>
        <a:stretch>
          <a:fillRect/>
        </a:stretch>
      </xdr:blipFill>
      <xdr:spPr>
        <a:xfrm>
          <a:off x="7264400" y="1482255100"/>
          <a:ext cx="878840" cy="1183640"/>
        </a:xfrm>
        <a:prstGeom prst="rect">
          <a:avLst/>
        </a:prstGeom>
      </xdr:spPr>
    </xdr:pic>
    <xdr:clientData/>
  </xdr:twoCellAnchor>
  <xdr:twoCellAnchor>
    <xdr:from>
      <xdr:col>8</xdr:col>
      <xdr:colOff>6350</xdr:colOff>
      <xdr:row>1519</xdr:row>
      <xdr:rowOff>25400</xdr:rowOff>
    </xdr:from>
    <xdr:to>
      <xdr:col>8</xdr:col>
      <xdr:colOff>885190</xdr:colOff>
      <xdr:row>1519</xdr:row>
      <xdr:rowOff>1209040</xdr:rowOff>
    </xdr:to>
    <xdr:pic>
      <xdr:nvPicPr>
        <xdr:cNvPr id="5375" name="Изображение 5374" descr="resizeПП-00231817"/>
        <xdr:cNvPicPr>
          <a:picLocks noChangeAspect="1"/>
        </xdr:cNvPicPr>
      </xdr:nvPicPr>
      <xdr:blipFill>
        <a:blip xmlns:r="http://schemas.openxmlformats.org/officeDocument/2006/relationships" r:embed="rId1137"/>
        <a:stretch>
          <a:fillRect/>
        </a:stretch>
      </xdr:blipFill>
      <xdr:spPr>
        <a:xfrm>
          <a:off x="7264400" y="1483477475"/>
          <a:ext cx="878840" cy="1183640"/>
        </a:xfrm>
        <a:prstGeom prst="rect">
          <a:avLst/>
        </a:prstGeom>
      </xdr:spPr>
    </xdr:pic>
    <xdr:clientData/>
  </xdr:twoCellAnchor>
  <xdr:twoCellAnchor>
    <xdr:from>
      <xdr:col>8</xdr:col>
      <xdr:colOff>6350</xdr:colOff>
      <xdr:row>1520</xdr:row>
      <xdr:rowOff>25400</xdr:rowOff>
    </xdr:from>
    <xdr:to>
      <xdr:col>8</xdr:col>
      <xdr:colOff>885190</xdr:colOff>
      <xdr:row>1520</xdr:row>
      <xdr:rowOff>1209040</xdr:rowOff>
    </xdr:to>
    <xdr:pic>
      <xdr:nvPicPr>
        <xdr:cNvPr id="5376" name="Изображение 5375" descr="resizeПП-00231818"/>
        <xdr:cNvPicPr>
          <a:picLocks noChangeAspect="1"/>
        </xdr:cNvPicPr>
      </xdr:nvPicPr>
      <xdr:blipFill>
        <a:blip xmlns:r="http://schemas.openxmlformats.org/officeDocument/2006/relationships" r:embed="rId1138"/>
        <a:stretch>
          <a:fillRect/>
        </a:stretch>
      </xdr:blipFill>
      <xdr:spPr>
        <a:xfrm>
          <a:off x="7264400" y="1484699850"/>
          <a:ext cx="878840" cy="1183640"/>
        </a:xfrm>
        <a:prstGeom prst="rect">
          <a:avLst/>
        </a:prstGeom>
      </xdr:spPr>
    </xdr:pic>
    <xdr:clientData/>
  </xdr:twoCellAnchor>
  <xdr:twoCellAnchor>
    <xdr:from>
      <xdr:col>8</xdr:col>
      <xdr:colOff>6350</xdr:colOff>
      <xdr:row>1521</xdr:row>
      <xdr:rowOff>25400</xdr:rowOff>
    </xdr:from>
    <xdr:to>
      <xdr:col>8</xdr:col>
      <xdr:colOff>885190</xdr:colOff>
      <xdr:row>1521</xdr:row>
      <xdr:rowOff>1209040</xdr:rowOff>
    </xdr:to>
    <xdr:pic>
      <xdr:nvPicPr>
        <xdr:cNvPr id="5377" name="Изображение 5376" descr="resizeПП-00231820"/>
        <xdr:cNvPicPr>
          <a:picLocks noChangeAspect="1"/>
        </xdr:cNvPicPr>
      </xdr:nvPicPr>
      <xdr:blipFill>
        <a:blip xmlns:r="http://schemas.openxmlformats.org/officeDocument/2006/relationships" r:embed="rId1139"/>
        <a:stretch>
          <a:fillRect/>
        </a:stretch>
      </xdr:blipFill>
      <xdr:spPr>
        <a:xfrm>
          <a:off x="7264400" y="1485922225"/>
          <a:ext cx="878840" cy="1183640"/>
        </a:xfrm>
        <a:prstGeom prst="rect">
          <a:avLst/>
        </a:prstGeom>
      </xdr:spPr>
    </xdr:pic>
    <xdr:clientData/>
  </xdr:twoCellAnchor>
  <xdr:twoCellAnchor>
    <xdr:from>
      <xdr:col>8</xdr:col>
      <xdr:colOff>6350</xdr:colOff>
      <xdr:row>1522</xdr:row>
      <xdr:rowOff>25400</xdr:rowOff>
    </xdr:from>
    <xdr:to>
      <xdr:col>8</xdr:col>
      <xdr:colOff>885190</xdr:colOff>
      <xdr:row>1522</xdr:row>
      <xdr:rowOff>1209040</xdr:rowOff>
    </xdr:to>
    <xdr:pic>
      <xdr:nvPicPr>
        <xdr:cNvPr id="5378" name="Изображение 5377" descr="resizeПП-00231816"/>
        <xdr:cNvPicPr>
          <a:picLocks noChangeAspect="1"/>
        </xdr:cNvPicPr>
      </xdr:nvPicPr>
      <xdr:blipFill>
        <a:blip xmlns:r="http://schemas.openxmlformats.org/officeDocument/2006/relationships" r:embed="rId1140"/>
        <a:stretch>
          <a:fillRect/>
        </a:stretch>
      </xdr:blipFill>
      <xdr:spPr>
        <a:xfrm>
          <a:off x="7264400" y="1487144600"/>
          <a:ext cx="878840" cy="1183640"/>
        </a:xfrm>
        <a:prstGeom prst="rect">
          <a:avLst/>
        </a:prstGeom>
      </xdr:spPr>
    </xdr:pic>
    <xdr:clientData/>
  </xdr:twoCellAnchor>
  <xdr:twoCellAnchor>
    <xdr:from>
      <xdr:col>8</xdr:col>
      <xdr:colOff>6350</xdr:colOff>
      <xdr:row>1523</xdr:row>
      <xdr:rowOff>25400</xdr:rowOff>
    </xdr:from>
    <xdr:to>
      <xdr:col>8</xdr:col>
      <xdr:colOff>885190</xdr:colOff>
      <xdr:row>1523</xdr:row>
      <xdr:rowOff>1209040</xdr:rowOff>
    </xdr:to>
    <xdr:pic>
      <xdr:nvPicPr>
        <xdr:cNvPr id="5379" name="Изображение 5378" descr="resizeПП-00231819"/>
        <xdr:cNvPicPr>
          <a:picLocks noChangeAspect="1"/>
        </xdr:cNvPicPr>
      </xdr:nvPicPr>
      <xdr:blipFill>
        <a:blip xmlns:r="http://schemas.openxmlformats.org/officeDocument/2006/relationships" r:embed="rId1141"/>
        <a:stretch>
          <a:fillRect/>
        </a:stretch>
      </xdr:blipFill>
      <xdr:spPr>
        <a:xfrm>
          <a:off x="7264400" y="1488366975"/>
          <a:ext cx="878840" cy="1183640"/>
        </a:xfrm>
        <a:prstGeom prst="rect">
          <a:avLst/>
        </a:prstGeom>
      </xdr:spPr>
    </xdr:pic>
    <xdr:clientData/>
  </xdr:twoCellAnchor>
  <xdr:twoCellAnchor>
    <xdr:from>
      <xdr:col>8</xdr:col>
      <xdr:colOff>6350</xdr:colOff>
      <xdr:row>1526</xdr:row>
      <xdr:rowOff>25400</xdr:rowOff>
    </xdr:from>
    <xdr:to>
      <xdr:col>8</xdr:col>
      <xdr:colOff>885190</xdr:colOff>
      <xdr:row>1526</xdr:row>
      <xdr:rowOff>1209040</xdr:rowOff>
    </xdr:to>
    <xdr:pic>
      <xdr:nvPicPr>
        <xdr:cNvPr id="5380" name="Изображение 5379" descr="resizeПП-00231807"/>
        <xdr:cNvPicPr>
          <a:picLocks noChangeAspect="1"/>
        </xdr:cNvPicPr>
      </xdr:nvPicPr>
      <xdr:blipFill>
        <a:blip xmlns:r="http://schemas.openxmlformats.org/officeDocument/2006/relationships" r:embed="rId1142"/>
        <a:stretch>
          <a:fillRect/>
        </a:stretch>
      </xdr:blipFill>
      <xdr:spPr>
        <a:xfrm>
          <a:off x="7264400" y="1489894150"/>
          <a:ext cx="878840" cy="1183640"/>
        </a:xfrm>
        <a:prstGeom prst="rect">
          <a:avLst/>
        </a:prstGeom>
      </xdr:spPr>
    </xdr:pic>
    <xdr:clientData/>
  </xdr:twoCellAnchor>
  <xdr:twoCellAnchor>
    <xdr:from>
      <xdr:col>8</xdr:col>
      <xdr:colOff>6350</xdr:colOff>
      <xdr:row>1527</xdr:row>
      <xdr:rowOff>25400</xdr:rowOff>
    </xdr:from>
    <xdr:to>
      <xdr:col>8</xdr:col>
      <xdr:colOff>885190</xdr:colOff>
      <xdr:row>1527</xdr:row>
      <xdr:rowOff>1209040</xdr:rowOff>
    </xdr:to>
    <xdr:pic>
      <xdr:nvPicPr>
        <xdr:cNvPr id="5381" name="Изображение 5380" descr="resizeПП-00231808"/>
        <xdr:cNvPicPr>
          <a:picLocks noChangeAspect="1"/>
        </xdr:cNvPicPr>
      </xdr:nvPicPr>
      <xdr:blipFill>
        <a:blip xmlns:r="http://schemas.openxmlformats.org/officeDocument/2006/relationships" r:embed="rId1143"/>
        <a:stretch>
          <a:fillRect/>
        </a:stretch>
      </xdr:blipFill>
      <xdr:spPr>
        <a:xfrm>
          <a:off x="7264400" y="1491116525"/>
          <a:ext cx="878840" cy="1183640"/>
        </a:xfrm>
        <a:prstGeom prst="rect">
          <a:avLst/>
        </a:prstGeom>
      </xdr:spPr>
    </xdr:pic>
    <xdr:clientData/>
  </xdr:twoCellAnchor>
  <xdr:twoCellAnchor>
    <xdr:from>
      <xdr:col>8</xdr:col>
      <xdr:colOff>6350</xdr:colOff>
      <xdr:row>1528</xdr:row>
      <xdr:rowOff>25400</xdr:rowOff>
    </xdr:from>
    <xdr:to>
      <xdr:col>8</xdr:col>
      <xdr:colOff>885190</xdr:colOff>
      <xdr:row>1528</xdr:row>
      <xdr:rowOff>1209040</xdr:rowOff>
    </xdr:to>
    <xdr:pic>
      <xdr:nvPicPr>
        <xdr:cNvPr id="5382" name="Изображение 5381" descr="resizeПП-00231809"/>
        <xdr:cNvPicPr>
          <a:picLocks noChangeAspect="1"/>
        </xdr:cNvPicPr>
      </xdr:nvPicPr>
      <xdr:blipFill>
        <a:blip xmlns:r="http://schemas.openxmlformats.org/officeDocument/2006/relationships" r:embed="rId1144"/>
        <a:stretch>
          <a:fillRect/>
        </a:stretch>
      </xdr:blipFill>
      <xdr:spPr>
        <a:xfrm>
          <a:off x="7264400" y="1492338900"/>
          <a:ext cx="878840" cy="1183640"/>
        </a:xfrm>
        <a:prstGeom prst="rect">
          <a:avLst/>
        </a:prstGeom>
      </xdr:spPr>
    </xdr:pic>
    <xdr:clientData/>
  </xdr:twoCellAnchor>
  <xdr:twoCellAnchor>
    <xdr:from>
      <xdr:col>8</xdr:col>
      <xdr:colOff>6350</xdr:colOff>
      <xdr:row>1529</xdr:row>
      <xdr:rowOff>25400</xdr:rowOff>
    </xdr:from>
    <xdr:to>
      <xdr:col>8</xdr:col>
      <xdr:colOff>885190</xdr:colOff>
      <xdr:row>1529</xdr:row>
      <xdr:rowOff>1209040</xdr:rowOff>
    </xdr:to>
    <xdr:pic>
      <xdr:nvPicPr>
        <xdr:cNvPr id="5383" name="Изображение 5382" descr="resizeПП-00231815"/>
        <xdr:cNvPicPr>
          <a:picLocks noChangeAspect="1"/>
        </xdr:cNvPicPr>
      </xdr:nvPicPr>
      <xdr:blipFill>
        <a:blip xmlns:r="http://schemas.openxmlformats.org/officeDocument/2006/relationships" r:embed="rId1145"/>
        <a:stretch>
          <a:fillRect/>
        </a:stretch>
      </xdr:blipFill>
      <xdr:spPr>
        <a:xfrm>
          <a:off x="7264400" y="1493561275"/>
          <a:ext cx="878840" cy="1183640"/>
        </a:xfrm>
        <a:prstGeom prst="rect">
          <a:avLst/>
        </a:prstGeom>
      </xdr:spPr>
    </xdr:pic>
    <xdr:clientData/>
  </xdr:twoCellAnchor>
  <xdr:twoCellAnchor>
    <xdr:from>
      <xdr:col>8</xdr:col>
      <xdr:colOff>6350</xdr:colOff>
      <xdr:row>1530</xdr:row>
      <xdr:rowOff>25400</xdr:rowOff>
    </xdr:from>
    <xdr:to>
      <xdr:col>8</xdr:col>
      <xdr:colOff>885190</xdr:colOff>
      <xdr:row>1530</xdr:row>
      <xdr:rowOff>1209040</xdr:rowOff>
    </xdr:to>
    <xdr:pic>
      <xdr:nvPicPr>
        <xdr:cNvPr id="5384" name="Изображение 5383" descr="resizeПП-00231813"/>
        <xdr:cNvPicPr>
          <a:picLocks noChangeAspect="1"/>
        </xdr:cNvPicPr>
      </xdr:nvPicPr>
      <xdr:blipFill>
        <a:blip xmlns:r="http://schemas.openxmlformats.org/officeDocument/2006/relationships" r:embed="rId1146"/>
        <a:stretch>
          <a:fillRect/>
        </a:stretch>
      </xdr:blipFill>
      <xdr:spPr>
        <a:xfrm>
          <a:off x="7264400" y="1494783650"/>
          <a:ext cx="878840" cy="1183640"/>
        </a:xfrm>
        <a:prstGeom prst="rect">
          <a:avLst/>
        </a:prstGeom>
      </xdr:spPr>
    </xdr:pic>
    <xdr:clientData/>
  </xdr:twoCellAnchor>
  <xdr:twoCellAnchor>
    <xdr:from>
      <xdr:col>8</xdr:col>
      <xdr:colOff>6350</xdr:colOff>
      <xdr:row>1532</xdr:row>
      <xdr:rowOff>25400</xdr:rowOff>
    </xdr:from>
    <xdr:to>
      <xdr:col>8</xdr:col>
      <xdr:colOff>885190</xdr:colOff>
      <xdr:row>1532</xdr:row>
      <xdr:rowOff>1209040</xdr:rowOff>
    </xdr:to>
    <xdr:pic>
      <xdr:nvPicPr>
        <xdr:cNvPr id="5385" name="Изображение 5384" descr="resizeПП-00202433"/>
        <xdr:cNvPicPr>
          <a:picLocks noChangeAspect="1"/>
        </xdr:cNvPicPr>
      </xdr:nvPicPr>
      <xdr:blipFill>
        <a:blip xmlns:r="http://schemas.openxmlformats.org/officeDocument/2006/relationships" r:embed="rId1147"/>
        <a:stretch>
          <a:fillRect/>
        </a:stretch>
      </xdr:blipFill>
      <xdr:spPr>
        <a:xfrm>
          <a:off x="7264400" y="1496158425"/>
          <a:ext cx="878840" cy="1183640"/>
        </a:xfrm>
        <a:prstGeom prst="rect">
          <a:avLst/>
        </a:prstGeom>
      </xdr:spPr>
    </xdr:pic>
    <xdr:clientData/>
  </xdr:twoCellAnchor>
  <xdr:twoCellAnchor>
    <xdr:from>
      <xdr:col>8</xdr:col>
      <xdr:colOff>6350</xdr:colOff>
      <xdr:row>1533</xdr:row>
      <xdr:rowOff>25400</xdr:rowOff>
    </xdr:from>
    <xdr:to>
      <xdr:col>8</xdr:col>
      <xdr:colOff>885190</xdr:colOff>
      <xdr:row>1533</xdr:row>
      <xdr:rowOff>1209040</xdr:rowOff>
    </xdr:to>
    <xdr:pic>
      <xdr:nvPicPr>
        <xdr:cNvPr id="5386" name="Изображение 5385" descr="resizeПП-00202436"/>
        <xdr:cNvPicPr>
          <a:picLocks noChangeAspect="1"/>
        </xdr:cNvPicPr>
      </xdr:nvPicPr>
      <xdr:blipFill>
        <a:blip xmlns:r="http://schemas.openxmlformats.org/officeDocument/2006/relationships" r:embed="rId1148"/>
        <a:stretch>
          <a:fillRect/>
        </a:stretch>
      </xdr:blipFill>
      <xdr:spPr>
        <a:xfrm>
          <a:off x="7264400" y="1497380800"/>
          <a:ext cx="878840" cy="1183640"/>
        </a:xfrm>
        <a:prstGeom prst="rect">
          <a:avLst/>
        </a:prstGeom>
      </xdr:spPr>
    </xdr:pic>
    <xdr:clientData/>
  </xdr:twoCellAnchor>
  <xdr:twoCellAnchor>
    <xdr:from>
      <xdr:col>8</xdr:col>
      <xdr:colOff>6350</xdr:colOff>
      <xdr:row>1534</xdr:row>
      <xdr:rowOff>25400</xdr:rowOff>
    </xdr:from>
    <xdr:to>
      <xdr:col>8</xdr:col>
      <xdr:colOff>885190</xdr:colOff>
      <xdr:row>1534</xdr:row>
      <xdr:rowOff>1209040</xdr:rowOff>
    </xdr:to>
    <xdr:pic>
      <xdr:nvPicPr>
        <xdr:cNvPr id="5387" name="Изображение 5386" descr="resizeПП-00202443"/>
        <xdr:cNvPicPr>
          <a:picLocks noChangeAspect="1"/>
        </xdr:cNvPicPr>
      </xdr:nvPicPr>
      <xdr:blipFill>
        <a:blip xmlns:r="http://schemas.openxmlformats.org/officeDocument/2006/relationships" r:embed="rId1149"/>
        <a:stretch>
          <a:fillRect/>
        </a:stretch>
      </xdr:blipFill>
      <xdr:spPr>
        <a:xfrm>
          <a:off x="7264400" y="1498603175"/>
          <a:ext cx="878840" cy="1183640"/>
        </a:xfrm>
        <a:prstGeom prst="rect">
          <a:avLst/>
        </a:prstGeom>
      </xdr:spPr>
    </xdr:pic>
    <xdr:clientData/>
  </xdr:twoCellAnchor>
  <xdr:twoCellAnchor>
    <xdr:from>
      <xdr:col>8</xdr:col>
      <xdr:colOff>6350</xdr:colOff>
      <xdr:row>1535</xdr:row>
      <xdr:rowOff>25400</xdr:rowOff>
    </xdr:from>
    <xdr:to>
      <xdr:col>8</xdr:col>
      <xdr:colOff>885190</xdr:colOff>
      <xdr:row>1535</xdr:row>
      <xdr:rowOff>1209040</xdr:rowOff>
    </xdr:to>
    <xdr:pic>
      <xdr:nvPicPr>
        <xdr:cNvPr id="5388" name="Изображение 5387" descr="resizeПП-00186903"/>
        <xdr:cNvPicPr>
          <a:picLocks noChangeAspect="1"/>
        </xdr:cNvPicPr>
      </xdr:nvPicPr>
      <xdr:blipFill>
        <a:blip xmlns:r="http://schemas.openxmlformats.org/officeDocument/2006/relationships" r:embed="rId1150"/>
        <a:stretch>
          <a:fillRect/>
        </a:stretch>
      </xdr:blipFill>
      <xdr:spPr>
        <a:xfrm>
          <a:off x="7264400" y="1499825550"/>
          <a:ext cx="878840" cy="1183640"/>
        </a:xfrm>
        <a:prstGeom prst="rect">
          <a:avLst/>
        </a:prstGeom>
      </xdr:spPr>
    </xdr:pic>
    <xdr:clientData/>
  </xdr:twoCellAnchor>
  <xdr:twoCellAnchor>
    <xdr:from>
      <xdr:col>8</xdr:col>
      <xdr:colOff>6350</xdr:colOff>
      <xdr:row>1536</xdr:row>
      <xdr:rowOff>25400</xdr:rowOff>
    </xdr:from>
    <xdr:to>
      <xdr:col>8</xdr:col>
      <xdr:colOff>885190</xdr:colOff>
      <xdr:row>1536</xdr:row>
      <xdr:rowOff>1209040</xdr:rowOff>
    </xdr:to>
    <xdr:pic>
      <xdr:nvPicPr>
        <xdr:cNvPr id="5389" name="Изображение 5388" descr="resizeПП-00186904"/>
        <xdr:cNvPicPr>
          <a:picLocks noChangeAspect="1"/>
        </xdr:cNvPicPr>
      </xdr:nvPicPr>
      <xdr:blipFill>
        <a:blip xmlns:r="http://schemas.openxmlformats.org/officeDocument/2006/relationships" r:embed="rId1151"/>
        <a:stretch>
          <a:fillRect/>
        </a:stretch>
      </xdr:blipFill>
      <xdr:spPr>
        <a:xfrm>
          <a:off x="7264400" y="1501047925"/>
          <a:ext cx="878840" cy="1183640"/>
        </a:xfrm>
        <a:prstGeom prst="rect">
          <a:avLst/>
        </a:prstGeom>
      </xdr:spPr>
    </xdr:pic>
    <xdr:clientData/>
  </xdr:twoCellAnchor>
  <xdr:twoCellAnchor>
    <xdr:from>
      <xdr:col>8</xdr:col>
      <xdr:colOff>6350</xdr:colOff>
      <xdr:row>1537</xdr:row>
      <xdr:rowOff>25400</xdr:rowOff>
    </xdr:from>
    <xdr:to>
      <xdr:col>8</xdr:col>
      <xdr:colOff>885190</xdr:colOff>
      <xdr:row>1537</xdr:row>
      <xdr:rowOff>1209040</xdr:rowOff>
    </xdr:to>
    <xdr:pic>
      <xdr:nvPicPr>
        <xdr:cNvPr id="5390" name="Изображение 5389" descr="resizeПП-00186905"/>
        <xdr:cNvPicPr>
          <a:picLocks noChangeAspect="1"/>
        </xdr:cNvPicPr>
      </xdr:nvPicPr>
      <xdr:blipFill>
        <a:blip xmlns:r="http://schemas.openxmlformats.org/officeDocument/2006/relationships" r:embed="rId1152"/>
        <a:stretch>
          <a:fillRect/>
        </a:stretch>
      </xdr:blipFill>
      <xdr:spPr>
        <a:xfrm>
          <a:off x="7264400" y="1502270300"/>
          <a:ext cx="878840" cy="1183640"/>
        </a:xfrm>
        <a:prstGeom prst="rect">
          <a:avLst/>
        </a:prstGeom>
      </xdr:spPr>
    </xdr:pic>
    <xdr:clientData/>
  </xdr:twoCellAnchor>
  <xdr:twoCellAnchor>
    <xdr:from>
      <xdr:col>8</xdr:col>
      <xdr:colOff>6350</xdr:colOff>
      <xdr:row>1538</xdr:row>
      <xdr:rowOff>25400</xdr:rowOff>
    </xdr:from>
    <xdr:to>
      <xdr:col>8</xdr:col>
      <xdr:colOff>885190</xdr:colOff>
      <xdr:row>1538</xdr:row>
      <xdr:rowOff>1209040</xdr:rowOff>
    </xdr:to>
    <xdr:pic>
      <xdr:nvPicPr>
        <xdr:cNvPr id="5391" name="Изображение 5390" descr="resizeПП-00186906"/>
        <xdr:cNvPicPr>
          <a:picLocks noChangeAspect="1"/>
        </xdr:cNvPicPr>
      </xdr:nvPicPr>
      <xdr:blipFill>
        <a:blip xmlns:r="http://schemas.openxmlformats.org/officeDocument/2006/relationships" r:embed="rId1153"/>
        <a:stretch>
          <a:fillRect/>
        </a:stretch>
      </xdr:blipFill>
      <xdr:spPr>
        <a:xfrm>
          <a:off x="7264400" y="1503492675"/>
          <a:ext cx="878840" cy="1183640"/>
        </a:xfrm>
        <a:prstGeom prst="rect">
          <a:avLst/>
        </a:prstGeom>
      </xdr:spPr>
    </xdr:pic>
    <xdr:clientData/>
  </xdr:twoCellAnchor>
  <xdr:twoCellAnchor>
    <xdr:from>
      <xdr:col>8</xdr:col>
      <xdr:colOff>6350</xdr:colOff>
      <xdr:row>1539</xdr:row>
      <xdr:rowOff>25400</xdr:rowOff>
    </xdr:from>
    <xdr:to>
      <xdr:col>8</xdr:col>
      <xdr:colOff>885190</xdr:colOff>
      <xdr:row>1539</xdr:row>
      <xdr:rowOff>1209040</xdr:rowOff>
    </xdr:to>
    <xdr:pic>
      <xdr:nvPicPr>
        <xdr:cNvPr id="5392" name="Изображение 5391" descr="resizeПП-00186909"/>
        <xdr:cNvPicPr>
          <a:picLocks noChangeAspect="1"/>
        </xdr:cNvPicPr>
      </xdr:nvPicPr>
      <xdr:blipFill>
        <a:blip xmlns:r="http://schemas.openxmlformats.org/officeDocument/2006/relationships" r:embed="rId1154"/>
        <a:stretch>
          <a:fillRect/>
        </a:stretch>
      </xdr:blipFill>
      <xdr:spPr>
        <a:xfrm>
          <a:off x="7264400" y="1504715050"/>
          <a:ext cx="878840" cy="1183640"/>
        </a:xfrm>
        <a:prstGeom prst="rect">
          <a:avLst/>
        </a:prstGeom>
      </xdr:spPr>
    </xdr:pic>
    <xdr:clientData/>
  </xdr:twoCellAnchor>
  <xdr:twoCellAnchor>
    <xdr:from>
      <xdr:col>8</xdr:col>
      <xdr:colOff>6350</xdr:colOff>
      <xdr:row>1540</xdr:row>
      <xdr:rowOff>25400</xdr:rowOff>
    </xdr:from>
    <xdr:to>
      <xdr:col>8</xdr:col>
      <xdr:colOff>885190</xdr:colOff>
      <xdr:row>1540</xdr:row>
      <xdr:rowOff>1209040</xdr:rowOff>
    </xdr:to>
    <xdr:pic>
      <xdr:nvPicPr>
        <xdr:cNvPr id="5393" name="Изображение 5392" descr="resizeПП-00186911"/>
        <xdr:cNvPicPr>
          <a:picLocks noChangeAspect="1"/>
        </xdr:cNvPicPr>
      </xdr:nvPicPr>
      <xdr:blipFill>
        <a:blip xmlns:r="http://schemas.openxmlformats.org/officeDocument/2006/relationships" r:embed="rId1155"/>
        <a:stretch>
          <a:fillRect/>
        </a:stretch>
      </xdr:blipFill>
      <xdr:spPr>
        <a:xfrm>
          <a:off x="7264400" y="1505937425"/>
          <a:ext cx="878840" cy="1183640"/>
        </a:xfrm>
        <a:prstGeom prst="rect">
          <a:avLst/>
        </a:prstGeom>
      </xdr:spPr>
    </xdr:pic>
    <xdr:clientData/>
  </xdr:twoCellAnchor>
  <xdr:twoCellAnchor>
    <xdr:from>
      <xdr:col>8</xdr:col>
      <xdr:colOff>6350</xdr:colOff>
      <xdr:row>1542</xdr:row>
      <xdr:rowOff>25400</xdr:rowOff>
    </xdr:from>
    <xdr:to>
      <xdr:col>8</xdr:col>
      <xdr:colOff>885190</xdr:colOff>
      <xdr:row>1542</xdr:row>
      <xdr:rowOff>1209040</xdr:rowOff>
    </xdr:to>
    <xdr:pic>
      <xdr:nvPicPr>
        <xdr:cNvPr id="5394" name="Изображение 5393" descr="resizeПП-00103708"/>
        <xdr:cNvPicPr>
          <a:picLocks noChangeAspect="1"/>
        </xdr:cNvPicPr>
      </xdr:nvPicPr>
      <xdr:blipFill>
        <a:blip xmlns:r="http://schemas.openxmlformats.org/officeDocument/2006/relationships" r:embed="rId1156"/>
        <a:stretch>
          <a:fillRect/>
        </a:stretch>
      </xdr:blipFill>
      <xdr:spPr>
        <a:xfrm>
          <a:off x="7264400" y="1507312200"/>
          <a:ext cx="878840" cy="1183640"/>
        </a:xfrm>
        <a:prstGeom prst="rect">
          <a:avLst/>
        </a:prstGeom>
      </xdr:spPr>
    </xdr:pic>
    <xdr:clientData/>
  </xdr:twoCellAnchor>
  <xdr:twoCellAnchor>
    <xdr:from>
      <xdr:col>8</xdr:col>
      <xdr:colOff>6350</xdr:colOff>
      <xdr:row>1543</xdr:row>
      <xdr:rowOff>25400</xdr:rowOff>
    </xdr:from>
    <xdr:to>
      <xdr:col>8</xdr:col>
      <xdr:colOff>885190</xdr:colOff>
      <xdr:row>1543</xdr:row>
      <xdr:rowOff>1209040</xdr:rowOff>
    </xdr:to>
    <xdr:pic>
      <xdr:nvPicPr>
        <xdr:cNvPr id="5395" name="Изображение 5394" descr="resizeПП-00103706"/>
        <xdr:cNvPicPr>
          <a:picLocks noChangeAspect="1"/>
        </xdr:cNvPicPr>
      </xdr:nvPicPr>
      <xdr:blipFill>
        <a:blip xmlns:r="http://schemas.openxmlformats.org/officeDocument/2006/relationships" r:embed="rId1157"/>
        <a:stretch>
          <a:fillRect/>
        </a:stretch>
      </xdr:blipFill>
      <xdr:spPr>
        <a:xfrm>
          <a:off x="7264400" y="1508534575"/>
          <a:ext cx="878840" cy="1183640"/>
        </a:xfrm>
        <a:prstGeom prst="rect">
          <a:avLst/>
        </a:prstGeom>
      </xdr:spPr>
    </xdr:pic>
    <xdr:clientData/>
  </xdr:twoCellAnchor>
  <xdr:twoCellAnchor>
    <xdr:from>
      <xdr:col>8</xdr:col>
      <xdr:colOff>6350</xdr:colOff>
      <xdr:row>1544</xdr:row>
      <xdr:rowOff>25400</xdr:rowOff>
    </xdr:from>
    <xdr:to>
      <xdr:col>8</xdr:col>
      <xdr:colOff>885190</xdr:colOff>
      <xdr:row>1544</xdr:row>
      <xdr:rowOff>1209040</xdr:rowOff>
    </xdr:to>
    <xdr:pic>
      <xdr:nvPicPr>
        <xdr:cNvPr id="5396" name="Изображение 5395" descr="resizeПП-00103711"/>
        <xdr:cNvPicPr>
          <a:picLocks noChangeAspect="1"/>
        </xdr:cNvPicPr>
      </xdr:nvPicPr>
      <xdr:blipFill>
        <a:blip xmlns:r="http://schemas.openxmlformats.org/officeDocument/2006/relationships" r:embed="rId1158"/>
        <a:stretch>
          <a:fillRect/>
        </a:stretch>
      </xdr:blipFill>
      <xdr:spPr>
        <a:xfrm>
          <a:off x="7264400" y="1509756950"/>
          <a:ext cx="878840" cy="1183640"/>
        </a:xfrm>
        <a:prstGeom prst="rect">
          <a:avLst/>
        </a:prstGeom>
      </xdr:spPr>
    </xdr:pic>
    <xdr:clientData/>
  </xdr:twoCellAnchor>
  <xdr:twoCellAnchor>
    <xdr:from>
      <xdr:col>8</xdr:col>
      <xdr:colOff>6350</xdr:colOff>
      <xdr:row>1545</xdr:row>
      <xdr:rowOff>25400</xdr:rowOff>
    </xdr:from>
    <xdr:to>
      <xdr:col>8</xdr:col>
      <xdr:colOff>885190</xdr:colOff>
      <xdr:row>1545</xdr:row>
      <xdr:rowOff>1209040</xdr:rowOff>
    </xdr:to>
    <xdr:pic>
      <xdr:nvPicPr>
        <xdr:cNvPr id="5397" name="Изображение 5396" descr="resizeПП-00064850"/>
        <xdr:cNvPicPr>
          <a:picLocks noChangeAspect="1"/>
        </xdr:cNvPicPr>
      </xdr:nvPicPr>
      <xdr:blipFill>
        <a:blip xmlns:r="http://schemas.openxmlformats.org/officeDocument/2006/relationships" r:embed="rId1159"/>
        <a:stretch>
          <a:fillRect/>
        </a:stretch>
      </xdr:blipFill>
      <xdr:spPr>
        <a:xfrm>
          <a:off x="7264400" y="1510979325"/>
          <a:ext cx="878840" cy="1183640"/>
        </a:xfrm>
        <a:prstGeom prst="rect">
          <a:avLst/>
        </a:prstGeom>
      </xdr:spPr>
    </xdr:pic>
    <xdr:clientData/>
  </xdr:twoCellAnchor>
  <xdr:twoCellAnchor>
    <xdr:from>
      <xdr:col>8</xdr:col>
      <xdr:colOff>6350</xdr:colOff>
      <xdr:row>1546</xdr:row>
      <xdr:rowOff>25400</xdr:rowOff>
    </xdr:from>
    <xdr:to>
      <xdr:col>8</xdr:col>
      <xdr:colOff>885190</xdr:colOff>
      <xdr:row>1546</xdr:row>
      <xdr:rowOff>1209040</xdr:rowOff>
    </xdr:to>
    <xdr:pic>
      <xdr:nvPicPr>
        <xdr:cNvPr id="5398" name="Изображение 5397" descr="resizeПП-00103710"/>
        <xdr:cNvPicPr>
          <a:picLocks noChangeAspect="1"/>
        </xdr:cNvPicPr>
      </xdr:nvPicPr>
      <xdr:blipFill>
        <a:blip xmlns:r="http://schemas.openxmlformats.org/officeDocument/2006/relationships" r:embed="rId1160"/>
        <a:stretch>
          <a:fillRect/>
        </a:stretch>
      </xdr:blipFill>
      <xdr:spPr>
        <a:xfrm>
          <a:off x="7264400" y="1512201700"/>
          <a:ext cx="878840" cy="1183640"/>
        </a:xfrm>
        <a:prstGeom prst="rect">
          <a:avLst/>
        </a:prstGeom>
      </xdr:spPr>
    </xdr:pic>
    <xdr:clientData/>
  </xdr:twoCellAnchor>
  <xdr:twoCellAnchor>
    <xdr:from>
      <xdr:col>8</xdr:col>
      <xdr:colOff>6350</xdr:colOff>
      <xdr:row>1547</xdr:row>
      <xdr:rowOff>25400</xdr:rowOff>
    </xdr:from>
    <xdr:to>
      <xdr:col>8</xdr:col>
      <xdr:colOff>885190</xdr:colOff>
      <xdr:row>1547</xdr:row>
      <xdr:rowOff>1209040</xdr:rowOff>
    </xdr:to>
    <xdr:pic>
      <xdr:nvPicPr>
        <xdr:cNvPr id="5399" name="Изображение 5398" descr="resizeПП-00082736"/>
        <xdr:cNvPicPr>
          <a:picLocks noChangeAspect="1"/>
        </xdr:cNvPicPr>
      </xdr:nvPicPr>
      <xdr:blipFill>
        <a:blip xmlns:r="http://schemas.openxmlformats.org/officeDocument/2006/relationships" r:embed="rId1161"/>
        <a:stretch>
          <a:fillRect/>
        </a:stretch>
      </xdr:blipFill>
      <xdr:spPr>
        <a:xfrm>
          <a:off x="7264400" y="1513424075"/>
          <a:ext cx="878840" cy="1183640"/>
        </a:xfrm>
        <a:prstGeom prst="rect">
          <a:avLst/>
        </a:prstGeom>
      </xdr:spPr>
    </xdr:pic>
    <xdr:clientData/>
  </xdr:twoCellAnchor>
  <xdr:twoCellAnchor>
    <xdr:from>
      <xdr:col>8</xdr:col>
      <xdr:colOff>6350</xdr:colOff>
      <xdr:row>1548</xdr:row>
      <xdr:rowOff>25400</xdr:rowOff>
    </xdr:from>
    <xdr:to>
      <xdr:col>8</xdr:col>
      <xdr:colOff>885190</xdr:colOff>
      <xdr:row>1548</xdr:row>
      <xdr:rowOff>1209040</xdr:rowOff>
    </xdr:to>
    <xdr:pic>
      <xdr:nvPicPr>
        <xdr:cNvPr id="5400" name="Изображение 5399" descr="resizeПП-00082738"/>
        <xdr:cNvPicPr>
          <a:picLocks noChangeAspect="1"/>
        </xdr:cNvPicPr>
      </xdr:nvPicPr>
      <xdr:blipFill>
        <a:blip xmlns:r="http://schemas.openxmlformats.org/officeDocument/2006/relationships" r:embed="rId1162"/>
        <a:stretch>
          <a:fillRect/>
        </a:stretch>
      </xdr:blipFill>
      <xdr:spPr>
        <a:xfrm>
          <a:off x="7264400" y="1514646450"/>
          <a:ext cx="878840" cy="1183640"/>
        </a:xfrm>
        <a:prstGeom prst="rect">
          <a:avLst/>
        </a:prstGeom>
      </xdr:spPr>
    </xdr:pic>
    <xdr:clientData/>
  </xdr:twoCellAnchor>
  <xdr:twoCellAnchor>
    <xdr:from>
      <xdr:col>8</xdr:col>
      <xdr:colOff>6350</xdr:colOff>
      <xdr:row>1549</xdr:row>
      <xdr:rowOff>25400</xdr:rowOff>
    </xdr:from>
    <xdr:to>
      <xdr:col>8</xdr:col>
      <xdr:colOff>885190</xdr:colOff>
      <xdr:row>1549</xdr:row>
      <xdr:rowOff>1209040</xdr:rowOff>
    </xdr:to>
    <xdr:pic>
      <xdr:nvPicPr>
        <xdr:cNvPr id="5401" name="Изображение 5400" descr="resizeПП-00082737"/>
        <xdr:cNvPicPr>
          <a:picLocks noChangeAspect="1"/>
        </xdr:cNvPicPr>
      </xdr:nvPicPr>
      <xdr:blipFill>
        <a:blip xmlns:r="http://schemas.openxmlformats.org/officeDocument/2006/relationships" r:embed="rId1163"/>
        <a:stretch>
          <a:fillRect/>
        </a:stretch>
      </xdr:blipFill>
      <xdr:spPr>
        <a:xfrm>
          <a:off x="7264400" y="1515868825"/>
          <a:ext cx="878840" cy="1183640"/>
        </a:xfrm>
        <a:prstGeom prst="rect">
          <a:avLst/>
        </a:prstGeom>
      </xdr:spPr>
    </xdr:pic>
    <xdr:clientData/>
  </xdr:twoCellAnchor>
  <xdr:twoCellAnchor>
    <xdr:from>
      <xdr:col>8</xdr:col>
      <xdr:colOff>6350</xdr:colOff>
      <xdr:row>1550</xdr:row>
      <xdr:rowOff>25400</xdr:rowOff>
    </xdr:from>
    <xdr:to>
      <xdr:col>8</xdr:col>
      <xdr:colOff>885190</xdr:colOff>
      <xdr:row>1550</xdr:row>
      <xdr:rowOff>1209040</xdr:rowOff>
    </xdr:to>
    <xdr:pic>
      <xdr:nvPicPr>
        <xdr:cNvPr id="5402" name="Изображение 5401" descr="resizeПП-00082735"/>
        <xdr:cNvPicPr>
          <a:picLocks noChangeAspect="1"/>
        </xdr:cNvPicPr>
      </xdr:nvPicPr>
      <xdr:blipFill>
        <a:blip xmlns:r="http://schemas.openxmlformats.org/officeDocument/2006/relationships" r:embed="rId1164"/>
        <a:stretch>
          <a:fillRect/>
        </a:stretch>
      </xdr:blipFill>
      <xdr:spPr>
        <a:xfrm>
          <a:off x="7264400" y="1517091200"/>
          <a:ext cx="878840" cy="1183640"/>
        </a:xfrm>
        <a:prstGeom prst="rect">
          <a:avLst/>
        </a:prstGeom>
      </xdr:spPr>
    </xdr:pic>
    <xdr:clientData/>
  </xdr:twoCellAnchor>
  <xdr:twoCellAnchor>
    <xdr:from>
      <xdr:col>8</xdr:col>
      <xdr:colOff>6350</xdr:colOff>
      <xdr:row>1551</xdr:row>
      <xdr:rowOff>25400</xdr:rowOff>
    </xdr:from>
    <xdr:to>
      <xdr:col>8</xdr:col>
      <xdr:colOff>885190</xdr:colOff>
      <xdr:row>1551</xdr:row>
      <xdr:rowOff>1209040</xdr:rowOff>
    </xdr:to>
    <xdr:pic>
      <xdr:nvPicPr>
        <xdr:cNvPr id="5403" name="Изображение 5402" descr="resizeПП-00163322"/>
        <xdr:cNvPicPr>
          <a:picLocks noChangeAspect="1"/>
        </xdr:cNvPicPr>
      </xdr:nvPicPr>
      <xdr:blipFill>
        <a:blip xmlns:r="http://schemas.openxmlformats.org/officeDocument/2006/relationships" r:embed="rId1165"/>
        <a:stretch>
          <a:fillRect/>
        </a:stretch>
      </xdr:blipFill>
      <xdr:spPr>
        <a:xfrm>
          <a:off x="7264400" y="1518313575"/>
          <a:ext cx="878840" cy="1183640"/>
        </a:xfrm>
        <a:prstGeom prst="rect">
          <a:avLst/>
        </a:prstGeom>
      </xdr:spPr>
    </xdr:pic>
    <xdr:clientData/>
  </xdr:twoCellAnchor>
  <xdr:twoCellAnchor>
    <xdr:from>
      <xdr:col>8</xdr:col>
      <xdr:colOff>6350</xdr:colOff>
      <xdr:row>1552</xdr:row>
      <xdr:rowOff>25400</xdr:rowOff>
    </xdr:from>
    <xdr:to>
      <xdr:col>8</xdr:col>
      <xdr:colOff>885190</xdr:colOff>
      <xdr:row>1552</xdr:row>
      <xdr:rowOff>1209040</xdr:rowOff>
    </xdr:to>
    <xdr:pic>
      <xdr:nvPicPr>
        <xdr:cNvPr id="5404" name="Изображение 5403" descr="resizeПП-00163320"/>
        <xdr:cNvPicPr>
          <a:picLocks noChangeAspect="1"/>
        </xdr:cNvPicPr>
      </xdr:nvPicPr>
      <xdr:blipFill>
        <a:blip xmlns:r="http://schemas.openxmlformats.org/officeDocument/2006/relationships" r:embed="rId1166"/>
        <a:stretch>
          <a:fillRect/>
        </a:stretch>
      </xdr:blipFill>
      <xdr:spPr>
        <a:xfrm>
          <a:off x="7264400" y="1519535950"/>
          <a:ext cx="878840" cy="1183640"/>
        </a:xfrm>
        <a:prstGeom prst="rect">
          <a:avLst/>
        </a:prstGeom>
      </xdr:spPr>
    </xdr:pic>
    <xdr:clientData/>
  </xdr:twoCellAnchor>
  <xdr:twoCellAnchor>
    <xdr:from>
      <xdr:col>8</xdr:col>
      <xdr:colOff>6350</xdr:colOff>
      <xdr:row>1554</xdr:row>
      <xdr:rowOff>25400</xdr:rowOff>
    </xdr:from>
    <xdr:to>
      <xdr:col>8</xdr:col>
      <xdr:colOff>885190</xdr:colOff>
      <xdr:row>1554</xdr:row>
      <xdr:rowOff>1209040</xdr:rowOff>
    </xdr:to>
    <xdr:pic>
      <xdr:nvPicPr>
        <xdr:cNvPr id="5405" name="Изображение 5404" descr="resizeПП-00186891"/>
        <xdr:cNvPicPr>
          <a:picLocks noChangeAspect="1"/>
        </xdr:cNvPicPr>
      </xdr:nvPicPr>
      <xdr:blipFill>
        <a:blip xmlns:r="http://schemas.openxmlformats.org/officeDocument/2006/relationships" r:embed="rId1167"/>
        <a:stretch>
          <a:fillRect/>
        </a:stretch>
      </xdr:blipFill>
      <xdr:spPr>
        <a:xfrm>
          <a:off x="7264400" y="1520910725"/>
          <a:ext cx="878840" cy="1183640"/>
        </a:xfrm>
        <a:prstGeom prst="rect">
          <a:avLst/>
        </a:prstGeom>
      </xdr:spPr>
    </xdr:pic>
    <xdr:clientData/>
  </xdr:twoCellAnchor>
  <xdr:twoCellAnchor>
    <xdr:from>
      <xdr:col>8</xdr:col>
      <xdr:colOff>6350</xdr:colOff>
      <xdr:row>1555</xdr:row>
      <xdr:rowOff>25400</xdr:rowOff>
    </xdr:from>
    <xdr:to>
      <xdr:col>8</xdr:col>
      <xdr:colOff>885190</xdr:colOff>
      <xdr:row>1555</xdr:row>
      <xdr:rowOff>1209040</xdr:rowOff>
    </xdr:to>
    <xdr:pic>
      <xdr:nvPicPr>
        <xdr:cNvPr id="5406" name="Изображение 5405" descr="resizeПП-00186888"/>
        <xdr:cNvPicPr>
          <a:picLocks noChangeAspect="1"/>
        </xdr:cNvPicPr>
      </xdr:nvPicPr>
      <xdr:blipFill>
        <a:blip xmlns:r="http://schemas.openxmlformats.org/officeDocument/2006/relationships" r:embed="rId1168"/>
        <a:stretch>
          <a:fillRect/>
        </a:stretch>
      </xdr:blipFill>
      <xdr:spPr>
        <a:xfrm>
          <a:off x="7264400" y="1522133100"/>
          <a:ext cx="878840" cy="1183640"/>
        </a:xfrm>
        <a:prstGeom prst="rect">
          <a:avLst/>
        </a:prstGeom>
      </xdr:spPr>
    </xdr:pic>
    <xdr:clientData/>
  </xdr:twoCellAnchor>
  <xdr:twoCellAnchor>
    <xdr:from>
      <xdr:col>8</xdr:col>
      <xdr:colOff>6350</xdr:colOff>
      <xdr:row>1556</xdr:row>
      <xdr:rowOff>25400</xdr:rowOff>
    </xdr:from>
    <xdr:to>
      <xdr:col>8</xdr:col>
      <xdr:colOff>885190</xdr:colOff>
      <xdr:row>1556</xdr:row>
      <xdr:rowOff>1209040</xdr:rowOff>
    </xdr:to>
    <xdr:pic>
      <xdr:nvPicPr>
        <xdr:cNvPr id="5407" name="Изображение 5406" descr="resizeПП-00186892"/>
        <xdr:cNvPicPr>
          <a:picLocks noChangeAspect="1"/>
        </xdr:cNvPicPr>
      </xdr:nvPicPr>
      <xdr:blipFill>
        <a:blip xmlns:r="http://schemas.openxmlformats.org/officeDocument/2006/relationships" r:embed="rId1169"/>
        <a:stretch>
          <a:fillRect/>
        </a:stretch>
      </xdr:blipFill>
      <xdr:spPr>
        <a:xfrm>
          <a:off x="7264400" y="1523355475"/>
          <a:ext cx="878840" cy="1183640"/>
        </a:xfrm>
        <a:prstGeom prst="rect">
          <a:avLst/>
        </a:prstGeom>
      </xdr:spPr>
    </xdr:pic>
    <xdr:clientData/>
  </xdr:twoCellAnchor>
  <xdr:twoCellAnchor>
    <xdr:from>
      <xdr:col>8</xdr:col>
      <xdr:colOff>6350</xdr:colOff>
      <xdr:row>1557</xdr:row>
      <xdr:rowOff>25400</xdr:rowOff>
    </xdr:from>
    <xdr:to>
      <xdr:col>8</xdr:col>
      <xdr:colOff>885190</xdr:colOff>
      <xdr:row>1557</xdr:row>
      <xdr:rowOff>1209040</xdr:rowOff>
    </xdr:to>
    <xdr:pic>
      <xdr:nvPicPr>
        <xdr:cNvPr id="5408" name="Изображение 5407" descr="resizeПП-00186889"/>
        <xdr:cNvPicPr>
          <a:picLocks noChangeAspect="1"/>
        </xdr:cNvPicPr>
      </xdr:nvPicPr>
      <xdr:blipFill>
        <a:blip xmlns:r="http://schemas.openxmlformats.org/officeDocument/2006/relationships" r:embed="rId1170"/>
        <a:stretch>
          <a:fillRect/>
        </a:stretch>
      </xdr:blipFill>
      <xdr:spPr>
        <a:xfrm>
          <a:off x="7264400" y="1524577850"/>
          <a:ext cx="878840" cy="1183640"/>
        </a:xfrm>
        <a:prstGeom prst="rect">
          <a:avLst/>
        </a:prstGeom>
      </xdr:spPr>
    </xdr:pic>
    <xdr:clientData/>
  </xdr:twoCellAnchor>
  <xdr:twoCellAnchor>
    <xdr:from>
      <xdr:col>8</xdr:col>
      <xdr:colOff>6350</xdr:colOff>
      <xdr:row>1558</xdr:row>
      <xdr:rowOff>25400</xdr:rowOff>
    </xdr:from>
    <xdr:to>
      <xdr:col>8</xdr:col>
      <xdr:colOff>885190</xdr:colOff>
      <xdr:row>1558</xdr:row>
      <xdr:rowOff>1209040</xdr:rowOff>
    </xdr:to>
    <xdr:pic>
      <xdr:nvPicPr>
        <xdr:cNvPr id="5409" name="Изображение 5408" descr="resizeПП-00186887"/>
        <xdr:cNvPicPr>
          <a:picLocks noChangeAspect="1"/>
        </xdr:cNvPicPr>
      </xdr:nvPicPr>
      <xdr:blipFill>
        <a:blip xmlns:r="http://schemas.openxmlformats.org/officeDocument/2006/relationships" r:embed="rId1171"/>
        <a:stretch>
          <a:fillRect/>
        </a:stretch>
      </xdr:blipFill>
      <xdr:spPr>
        <a:xfrm>
          <a:off x="7264400" y="1525800225"/>
          <a:ext cx="878840" cy="1183640"/>
        </a:xfrm>
        <a:prstGeom prst="rect">
          <a:avLst/>
        </a:prstGeom>
      </xdr:spPr>
    </xdr:pic>
    <xdr:clientData/>
  </xdr:twoCellAnchor>
  <xdr:twoCellAnchor>
    <xdr:from>
      <xdr:col>8</xdr:col>
      <xdr:colOff>6350</xdr:colOff>
      <xdr:row>1559</xdr:row>
      <xdr:rowOff>25400</xdr:rowOff>
    </xdr:from>
    <xdr:to>
      <xdr:col>8</xdr:col>
      <xdr:colOff>885190</xdr:colOff>
      <xdr:row>1559</xdr:row>
      <xdr:rowOff>1209040</xdr:rowOff>
    </xdr:to>
    <xdr:pic>
      <xdr:nvPicPr>
        <xdr:cNvPr id="5410" name="Изображение 5409" descr="resizeПП-00186890"/>
        <xdr:cNvPicPr>
          <a:picLocks noChangeAspect="1"/>
        </xdr:cNvPicPr>
      </xdr:nvPicPr>
      <xdr:blipFill>
        <a:blip xmlns:r="http://schemas.openxmlformats.org/officeDocument/2006/relationships" r:embed="rId1172"/>
        <a:stretch>
          <a:fillRect/>
        </a:stretch>
      </xdr:blipFill>
      <xdr:spPr>
        <a:xfrm>
          <a:off x="7264400" y="1527022600"/>
          <a:ext cx="878840" cy="1183640"/>
        </a:xfrm>
        <a:prstGeom prst="rect">
          <a:avLst/>
        </a:prstGeom>
      </xdr:spPr>
    </xdr:pic>
    <xdr:clientData/>
  </xdr:twoCellAnchor>
  <xdr:twoCellAnchor>
    <xdr:from>
      <xdr:col>8</xdr:col>
      <xdr:colOff>6350</xdr:colOff>
      <xdr:row>1561</xdr:row>
      <xdr:rowOff>25400</xdr:rowOff>
    </xdr:from>
    <xdr:to>
      <xdr:col>8</xdr:col>
      <xdr:colOff>885190</xdr:colOff>
      <xdr:row>1561</xdr:row>
      <xdr:rowOff>1209040</xdr:rowOff>
    </xdr:to>
    <xdr:pic>
      <xdr:nvPicPr>
        <xdr:cNvPr id="5411" name="Изображение 5410" descr="resizeПП-00186865"/>
        <xdr:cNvPicPr>
          <a:picLocks noChangeAspect="1"/>
        </xdr:cNvPicPr>
      </xdr:nvPicPr>
      <xdr:blipFill>
        <a:blip xmlns:r="http://schemas.openxmlformats.org/officeDocument/2006/relationships" r:embed="rId1173"/>
        <a:stretch>
          <a:fillRect/>
        </a:stretch>
      </xdr:blipFill>
      <xdr:spPr>
        <a:xfrm>
          <a:off x="7264400" y="1528397375"/>
          <a:ext cx="878840" cy="1183640"/>
        </a:xfrm>
        <a:prstGeom prst="rect">
          <a:avLst/>
        </a:prstGeom>
      </xdr:spPr>
    </xdr:pic>
    <xdr:clientData/>
  </xdr:twoCellAnchor>
  <xdr:twoCellAnchor>
    <xdr:from>
      <xdr:col>8</xdr:col>
      <xdr:colOff>6350</xdr:colOff>
      <xdr:row>1562</xdr:row>
      <xdr:rowOff>25400</xdr:rowOff>
    </xdr:from>
    <xdr:to>
      <xdr:col>8</xdr:col>
      <xdr:colOff>885190</xdr:colOff>
      <xdr:row>1562</xdr:row>
      <xdr:rowOff>1209040</xdr:rowOff>
    </xdr:to>
    <xdr:pic>
      <xdr:nvPicPr>
        <xdr:cNvPr id="5412" name="Изображение 5411" descr="resizeПП-00186850"/>
        <xdr:cNvPicPr>
          <a:picLocks noChangeAspect="1"/>
        </xdr:cNvPicPr>
      </xdr:nvPicPr>
      <xdr:blipFill>
        <a:blip xmlns:r="http://schemas.openxmlformats.org/officeDocument/2006/relationships" r:embed="rId1174"/>
        <a:stretch>
          <a:fillRect/>
        </a:stretch>
      </xdr:blipFill>
      <xdr:spPr>
        <a:xfrm>
          <a:off x="7264400" y="1529619750"/>
          <a:ext cx="878840" cy="1183640"/>
        </a:xfrm>
        <a:prstGeom prst="rect">
          <a:avLst/>
        </a:prstGeom>
      </xdr:spPr>
    </xdr:pic>
    <xdr:clientData/>
  </xdr:twoCellAnchor>
  <xdr:twoCellAnchor>
    <xdr:from>
      <xdr:col>8</xdr:col>
      <xdr:colOff>6350</xdr:colOff>
      <xdr:row>1563</xdr:row>
      <xdr:rowOff>25400</xdr:rowOff>
    </xdr:from>
    <xdr:to>
      <xdr:col>8</xdr:col>
      <xdr:colOff>885190</xdr:colOff>
      <xdr:row>1563</xdr:row>
      <xdr:rowOff>1209040</xdr:rowOff>
    </xdr:to>
    <xdr:pic>
      <xdr:nvPicPr>
        <xdr:cNvPr id="5413" name="Изображение 5412" descr="resizeПП-00186771"/>
        <xdr:cNvPicPr>
          <a:picLocks noChangeAspect="1"/>
        </xdr:cNvPicPr>
      </xdr:nvPicPr>
      <xdr:blipFill>
        <a:blip xmlns:r="http://schemas.openxmlformats.org/officeDocument/2006/relationships" r:embed="rId1175"/>
        <a:stretch>
          <a:fillRect/>
        </a:stretch>
      </xdr:blipFill>
      <xdr:spPr>
        <a:xfrm>
          <a:off x="7264400" y="1530842125"/>
          <a:ext cx="878840" cy="1183640"/>
        </a:xfrm>
        <a:prstGeom prst="rect">
          <a:avLst/>
        </a:prstGeom>
      </xdr:spPr>
    </xdr:pic>
    <xdr:clientData/>
  </xdr:twoCellAnchor>
  <xdr:twoCellAnchor>
    <xdr:from>
      <xdr:col>8</xdr:col>
      <xdr:colOff>6350</xdr:colOff>
      <xdr:row>1564</xdr:row>
      <xdr:rowOff>25400</xdr:rowOff>
    </xdr:from>
    <xdr:to>
      <xdr:col>8</xdr:col>
      <xdr:colOff>885190</xdr:colOff>
      <xdr:row>1564</xdr:row>
      <xdr:rowOff>1209040</xdr:rowOff>
    </xdr:to>
    <xdr:pic>
      <xdr:nvPicPr>
        <xdr:cNvPr id="5414" name="Изображение 5413" descr="resizeПП-00186769"/>
        <xdr:cNvPicPr>
          <a:picLocks noChangeAspect="1"/>
        </xdr:cNvPicPr>
      </xdr:nvPicPr>
      <xdr:blipFill>
        <a:blip xmlns:r="http://schemas.openxmlformats.org/officeDocument/2006/relationships" r:embed="rId1175"/>
        <a:stretch>
          <a:fillRect/>
        </a:stretch>
      </xdr:blipFill>
      <xdr:spPr>
        <a:xfrm>
          <a:off x="7264400" y="1532064500"/>
          <a:ext cx="878840" cy="1183640"/>
        </a:xfrm>
        <a:prstGeom prst="rect">
          <a:avLst/>
        </a:prstGeom>
      </xdr:spPr>
    </xdr:pic>
    <xdr:clientData/>
  </xdr:twoCellAnchor>
  <xdr:twoCellAnchor>
    <xdr:from>
      <xdr:col>8</xdr:col>
      <xdr:colOff>6350</xdr:colOff>
      <xdr:row>1565</xdr:row>
      <xdr:rowOff>25400</xdr:rowOff>
    </xdr:from>
    <xdr:to>
      <xdr:col>8</xdr:col>
      <xdr:colOff>885190</xdr:colOff>
      <xdr:row>1565</xdr:row>
      <xdr:rowOff>1209040</xdr:rowOff>
    </xdr:to>
    <xdr:pic>
      <xdr:nvPicPr>
        <xdr:cNvPr id="5415" name="Изображение 5414" descr="resizeПП-00186869"/>
        <xdr:cNvPicPr>
          <a:picLocks noChangeAspect="1"/>
        </xdr:cNvPicPr>
      </xdr:nvPicPr>
      <xdr:blipFill>
        <a:blip xmlns:r="http://schemas.openxmlformats.org/officeDocument/2006/relationships" r:embed="rId1176"/>
        <a:stretch>
          <a:fillRect/>
        </a:stretch>
      </xdr:blipFill>
      <xdr:spPr>
        <a:xfrm>
          <a:off x="7264400" y="1533286875"/>
          <a:ext cx="878840" cy="1183640"/>
        </a:xfrm>
        <a:prstGeom prst="rect">
          <a:avLst/>
        </a:prstGeom>
      </xdr:spPr>
    </xdr:pic>
    <xdr:clientData/>
  </xdr:twoCellAnchor>
  <xdr:twoCellAnchor>
    <xdr:from>
      <xdr:col>8</xdr:col>
      <xdr:colOff>6350</xdr:colOff>
      <xdr:row>1566</xdr:row>
      <xdr:rowOff>25400</xdr:rowOff>
    </xdr:from>
    <xdr:to>
      <xdr:col>8</xdr:col>
      <xdr:colOff>885190</xdr:colOff>
      <xdr:row>1566</xdr:row>
      <xdr:rowOff>1209040</xdr:rowOff>
    </xdr:to>
    <xdr:pic>
      <xdr:nvPicPr>
        <xdr:cNvPr id="5416" name="Изображение 5415" descr="resizeПП-00186868"/>
        <xdr:cNvPicPr>
          <a:picLocks noChangeAspect="1"/>
        </xdr:cNvPicPr>
      </xdr:nvPicPr>
      <xdr:blipFill>
        <a:blip xmlns:r="http://schemas.openxmlformats.org/officeDocument/2006/relationships" r:embed="rId1176"/>
        <a:stretch>
          <a:fillRect/>
        </a:stretch>
      </xdr:blipFill>
      <xdr:spPr>
        <a:xfrm>
          <a:off x="7264400" y="1534509250"/>
          <a:ext cx="878840" cy="1183640"/>
        </a:xfrm>
        <a:prstGeom prst="rect">
          <a:avLst/>
        </a:prstGeom>
      </xdr:spPr>
    </xdr:pic>
    <xdr:clientData/>
  </xdr:twoCellAnchor>
  <xdr:twoCellAnchor>
    <xdr:from>
      <xdr:col>8</xdr:col>
      <xdr:colOff>6350</xdr:colOff>
      <xdr:row>1567</xdr:row>
      <xdr:rowOff>25400</xdr:rowOff>
    </xdr:from>
    <xdr:to>
      <xdr:col>8</xdr:col>
      <xdr:colOff>885190</xdr:colOff>
      <xdr:row>1567</xdr:row>
      <xdr:rowOff>1209040</xdr:rowOff>
    </xdr:to>
    <xdr:pic>
      <xdr:nvPicPr>
        <xdr:cNvPr id="5417" name="Изображение 5416" descr="resizeПП-00186798"/>
        <xdr:cNvPicPr>
          <a:picLocks noChangeAspect="1"/>
        </xdr:cNvPicPr>
      </xdr:nvPicPr>
      <xdr:blipFill>
        <a:blip xmlns:r="http://schemas.openxmlformats.org/officeDocument/2006/relationships" r:embed="rId1177"/>
        <a:stretch>
          <a:fillRect/>
        </a:stretch>
      </xdr:blipFill>
      <xdr:spPr>
        <a:xfrm>
          <a:off x="7264400" y="1535731625"/>
          <a:ext cx="878840" cy="1183640"/>
        </a:xfrm>
        <a:prstGeom prst="rect">
          <a:avLst/>
        </a:prstGeom>
      </xdr:spPr>
    </xdr:pic>
    <xdr:clientData/>
  </xdr:twoCellAnchor>
  <xdr:twoCellAnchor>
    <xdr:from>
      <xdr:col>8</xdr:col>
      <xdr:colOff>6350</xdr:colOff>
      <xdr:row>1568</xdr:row>
      <xdr:rowOff>25400</xdr:rowOff>
    </xdr:from>
    <xdr:to>
      <xdr:col>8</xdr:col>
      <xdr:colOff>885190</xdr:colOff>
      <xdr:row>1568</xdr:row>
      <xdr:rowOff>1209040</xdr:rowOff>
    </xdr:to>
    <xdr:pic>
      <xdr:nvPicPr>
        <xdr:cNvPr id="5418" name="Изображение 5417" descr="resizeПП-00186796"/>
        <xdr:cNvPicPr>
          <a:picLocks noChangeAspect="1"/>
        </xdr:cNvPicPr>
      </xdr:nvPicPr>
      <xdr:blipFill>
        <a:blip xmlns:r="http://schemas.openxmlformats.org/officeDocument/2006/relationships" r:embed="rId1178"/>
        <a:stretch>
          <a:fillRect/>
        </a:stretch>
      </xdr:blipFill>
      <xdr:spPr>
        <a:xfrm>
          <a:off x="7264400" y="1536954000"/>
          <a:ext cx="878840" cy="1183640"/>
        </a:xfrm>
        <a:prstGeom prst="rect">
          <a:avLst/>
        </a:prstGeom>
      </xdr:spPr>
    </xdr:pic>
    <xdr:clientData/>
  </xdr:twoCellAnchor>
  <xdr:twoCellAnchor>
    <xdr:from>
      <xdr:col>8</xdr:col>
      <xdr:colOff>6350</xdr:colOff>
      <xdr:row>1569</xdr:row>
      <xdr:rowOff>25400</xdr:rowOff>
    </xdr:from>
    <xdr:to>
      <xdr:col>8</xdr:col>
      <xdr:colOff>885190</xdr:colOff>
      <xdr:row>1569</xdr:row>
      <xdr:rowOff>1209040</xdr:rowOff>
    </xdr:to>
    <xdr:pic>
      <xdr:nvPicPr>
        <xdr:cNvPr id="5419" name="Изображение 5418" descr="resizeПП-00186797"/>
        <xdr:cNvPicPr>
          <a:picLocks noChangeAspect="1"/>
        </xdr:cNvPicPr>
      </xdr:nvPicPr>
      <xdr:blipFill>
        <a:blip xmlns:r="http://schemas.openxmlformats.org/officeDocument/2006/relationships" r:embed="rId1179"/>
        <a:stretch>
          <a:fillRect/>
        </a:stretch>
      </xdr:blipFill>
      <xdr:spPr>
        <a:xfrm>
          <a:off x="7264400" y="1538176375"/>
          <a:ext cx="878840" cy="1183640"/>
        </a:xfrm>
        <a:prstGeom prst="rect">
          <a:avLst/>
        </a:prstGeom>
      </xdr:spPr>
    </xdr:pic>
    <xdr:clientData/>
  </xdr:twoCellAnchor>
  <xdr:twoCellAnchor>
    <xdr:from>
      <xdr:col>8</xdr:col>
      <xdr:colOff>6350</xdr:colOff>
      <xdr:row>1570</xdr:row>
      <xdr:rowOff>25400</xdr:rowOff>
    </xdr:from>
    <xdr:to>
      <xdr:col>8</xdr:col>
      <xdr:colOff>885190</xdr:colOff>
      <xdr:row>1570</xdr:row>
      <xdr:rowOff>1209040</xdr:rowOff>
    </xdr:to>
    <xdr:pic>
      <xdr:nvPicPr>
        <xdr:cNvPr id="5420" name="Изображение 5419" descr="resizeПП-00186781"/>
        <xdr:cNvPicPr>
          <a:picLocks noChangeAspect="1"/>
        </xdr:cNvPicPr>
      </xdr:nvPicPr>
      <xdr:blipFill>
        <a:blip xmlns:r="http://schemas.openxmlformats.org/officeDocument/2006/relationships" r:embed="rId1180"/>
        <a:stretch>
          <a:fillRect/>
        </a:stretch>
      </xdr:blipFill>
      <xdr:spPr>
        <a:xfrm>
          <a:off x="7264400" y="1539398750"/>
          <a:ext cx="878840" cy="1183640"/>
        </a:xfrm>
        <a:prstGeom prst="rect">
          <a:avLst/>
        </a:prstGeom>
      </xdr:spPr>
    </xdr:pic>
    <xdr:clientData/>
  </xdr:twoCellAnchor>
  <xdr:twoCellAnchor>
    <xdr:from>
      <xdr:col>8</xdr:col>
      <xdr:colOff>6350</xdr:colOff>
      <xdr:row>1571</xdr:row>
      <xdr:rowOff>25400</xdr:rowOff>
    </xdr:from>
    <xdr:to>
      <xdr:col>8</xdr:col>
      <xdr:colOff>885190</xdr:colOff>
      <xdr:row>1571</xdr:row>
      <xdr:rowOff>1209040</xdr:rowOff>
    </xdr:to>
    <xdr:pic>
      <xdr:nvPicPr>
        <xdr:cNvPr id="5421" name="Изображение 5420" descr="resizeПП-00186779"/>
        <xdr:cNvPicPr>
          <a:picLocks noChangeAspect="1"/>
        </xdr:cNvPicPr>
      </xdr:nvPicPr>
      <xdr:blipFill>
        <a:blip xmlns:r="http://schemas.openxmlformats.org/officeDocument/2006/relationships" r:embed="rId1180"/>
        <a:stretch>
          <a:fillRect/>
        </a:stretch>
      </xdr:blipFill>
      <xdr:spPr>
        <a:xfrm>
          <a:off x="7264400" y="1540621125"/>
          <a:ext cx="878840" cy="1183640"/>
        </a:xfrm>
        <a:prstGeom prst="rect">
          <a:avLst/>
        </a:prstGeom>
      </xdr:spPr>
    </xdr:pic>
    <xdr:clientData/>
  </xdr:twoCellAnchor>
  <xdr:twoCellAnchor>
    <xdr:from>
      <xdr:col>8</xdr:col>
      <xdr:colOff>6350</xdr:colOff>
      <xdr:row>1572</xdr:row>
      <xdr:rowOff>25400</xdr:rowOff>
    </xdr:from>
    <xdr:to>
      <xdr:col>8</xdr:col>
      <xdr:colOff>885190</xdr:colOff>
      <xdr:row>1572</xdr:row>
      <xdr:rowOff>1209040</xdr:rowOff>
    </xdr:to>
    <xdr:pic>
      <xdr:nvPicPr>
        <xdr:cNvPr id="5422" name="Изображение 5421" descr="resizeПП-00186793"/>
        <xdr:cNvPicPr>
          <a:picLocks noChangeAspect="1"/>
        </xdr:cNvPicPr>
      </xdr:nvPicPr>
      <xdr:blipFill>
        <a:blip xmlns:r="http://schemas.openxmlformats.org/officeDocument/2006/relationships" r:embed="rId1181"/>
        <a:stretch>
          <a:fillRect/>
        </a:stretch>
      </xdr:blipFill>
      <xdr:spPr>
        <a:xfrm>
          <a:off x="7264400" y="1541843500"/>
          <a:ext cx="878840" cy="1183640"/>
        </a:xfrm>
        <a:prstGeom prst="rect">
          <a:avLst/>
        </a:prstGeom>
      </xdr:spPr>
    </xdr:pic>
    <xdr:clientData/>
  </xdr:twoCellAnchor>
  <xdr:twoCellAnchor>
    <xdr:from>
      <xdr:col>8</xdr:col>
      <xdr:colOff>6350</xdr:colOff>
      <xdr:row>1573</xdr:row>
      <xdr:rowOff>25400</xdr:rowOff>
    </xdr:from>
    <xdr:to>
      <xdr:col>8</xdr:col>
      <xdr:colOff>885190</xdr:colOff>
      <xdr:row>1573</xdr:row>
      <xdr:rowOff>1209040</xdr:rowOff>
    </xdr:to>
    <xdr:pic>
      <xdr:nvPicPr>
        <xdr:cNvPr id="5423" name="Изображение 5422" descr="resizeПП-00186840"/>
        <xdr:cNvPicPr>
          <a:picLocks noChangeAspect="1"/>
        </xdr:cNvPicPr>
      </xdr:nvPicPr>
      <xdr:blipFill>
        <a:blip xmlns:r="http://schemas.openxmlformats.org/officeDocument/2006/relationships" r:embed="rId1182"/>
        <a:stretch>
          <a:fillRect/>
        </a:stretch>
      </xdr:blipFill>
      <xdr:spPr>
        <a:xfrm>
          <a:off x="7264400" y="1543065875"/>
          <a:ext cx="878840" cy="1183640"/>
        </a:xfrm>
        <a:prstGeom prst="rect">
          <a:avLst/>
        </a:prstGeom>
      </xdr:spPr>
    </xdr:pic>
    <xdr:clientData/>
  </xdr:twoCellAnchor>
  <xdr:twoCellAnchor>
    <xdr:from>
      <xdr:col>8</xdr:col>
      <xdr:colOff>6350</xdr:colOff>
      <xdr:row>1574</xdr:row>
      <xdr:rowOff>25400</xdr:rowOff>
    </xdr:from>
    <xdr:to>
      <xdr:col>8</xdr:col>
      <xdr:colOff>885190</xdr:colOff>
      <xdr:row>1574</xdr:row>
      <xdr:rowOff>1209040</xdr:rowOff>
    </xdr:to>
    <xdr:pic>
      <xdr:nvPicPr>
        <xdr:cNvPr id="5424" name="Изображение 5423" descr="resizeПП-00186836"/>
        <xdr:cNvPicPr>
          <a:picLocks noChangeAspect="1"/>
        </xdr:cNvPicPr>
      </xdr:nvPicPr>
      <xdr:blipFill>
        <a:blip xmlns:r="http://schemas.openxmlformats.org/officeDocument/2006/relationships" r:embed="rId1183"/>
        <a:stretch>
          <a:fillRect/>
        </a:stretch>
      </xdr:blipFill>
      <xdr:spPr>
        <a:xfrm>
          <a:off x="7264400" y="1544288250"/>
          <a:ext cx="878840" cy="1183640"/>
        </a:xfrm>
        <a:prstGeom prst="rect">
          <a:avLst/>
        </a:prstGeom>
      </xdr:spPr>
    </xdr:pic>
    <xdr:clientData/>
  </xdr:twoCellAnchor>
  <xdr:twoCellAnchor>
    <xdr:from>
      <xdr:col>8</xdr:col>
      <xdr:colOff>6350</xdr:colOff>
      <xdr:row>1575</xdr:row>
      <xdr:rowOff>25400</xdr:rowOff>
    </xdr:from>
    <xdr:to>
      <xdr:col>8</xdr:col>
      <xdr:colOff>885190</xdr:colOff>
      <xdr:row>1575</xdr:row>
      <xdr:rowOff>1209040</xdr:rowOff>
    </xdr:to>
    <xdr:pic>
      <xdr:nvPicPr>
        <xdr:cNvPr id="5425" name="Изображение 5424" descr="resizeПП-00213526"/>
        <xdr:cNvPicPr>
          <a:picLocks noChangeAspect="1"/>
        </xdr:cNvPicPr>
      </xdr:nvPicPr>
      <xdr:blipFill>
        <a:blip xmlns:r="http://schemas.openxmlformats.org/officeDocument/2006/relationships" r:embed="rId1184"/>
        <a:stretch>
          <a:fillRect/>
        </a:stretch>
      </xdr:blipFill>
      <xdr:spPr>
        <a:xfrm>
          <a:off x="7264400" y="1545510625"/>
          <a:ext cx="878840" cy="1183640"/>
        </a:xfrm>
        <a:prstGeom prst="rect">
          <a:avLst/>
        </a:prstGeom>
      </xdr:spPr>
    </xdr:pic>
    <xdr:clientData/>
  </xdr:twoCellAnchor>
  <xdr:twoCellAnchor>
    <xdr:from>
      <xdr:col>8</xdr:col>
      <xdr:colOff>6350</xdr:colOff>
      <xdr:row>1576</xdr:row>
      <xdr:rowOff>25400</xdr:rowOff>
    </xdr:from>
    <xdr:to>
      <xdr:col>8</xdr:col>
      <xdr:colOff>885190</xdr:colOff>
      <xdr:row>1576</xdr:row>
      <xdr:rowOff>1209040</xdr:rowOff>
    </xdr:to>
    <xdr:pic>
      <xdr:nvPicPr>
        <xdr:cNvPr id="5426" name="Изображение 5425" descr="resizeПП-00186852"/>
        <xdr:cNvPicPr>
          <a:picLocks noChangeAspect="1"/>
        </xdr:cNvPicPr>
      </xdr:nvPicPr>
      <xdr:blipFill>
        <a:blip xmlns:r="http://schemas.openxmlformats.org/officeDocument/2006/relationships" r:embed="rId1173"/>
        <a:stretch>
          <a:fillRect/>
        </a:stretch>
      </xdr:blipFill>
      <xdr:spPr>
        <a:xfrm>
          <a:off x="7264400" y="1546733000"/>
          <a:ext cx="878840" cy="1183640"/>
        </a:xfrm>
        <a:prstGeom prst="rect">
          <a:avLst/>
        </a:prstGeom>
      </xdr:spPr>
    </xdr:pic>
    <xdr:clientData/>
  </xdr:twoCellAnchor>
  <xdr:twoCellAnchor>
    <xdr:from>
      <xdr:col>8</xdr:col>
      <xdr:colOff>6350</xdr:colOff>
      <xdr:row>1577</xdr:row>
      <xdr:rowOff>25400</xdr:rowOff>
    </xdr:from>
    <xdr:to>
      <xdr:col>8</xdr:col>
      <xdr:colOff>885190</xdr:colOff>
      <xdr:row>1577</xdr:row>
      <xdr:rowOff>1209040</xdr:rowOff>
    </xdr:to>
    <xdr:pic>
      <xdr:nvPicPr>
        <xdr:cNvPr id="5427" name="Изображение 5426" descr="resizeПП-00186846"/>
        <xdr:cNvPicPr>
          <a:picLocks noChangeAspect="1"/>
        </xdr:cNvPicPr>
      </xdr:nvPicPr>
      <xdr:blipFill>
        <a:blip xmlns:r="http://schemas.openxmlformats.org/officeDocument/2006/relationships" r:embed="rId1185"/>
        <a:stretch>
          <a:fillRect/>
        </a:stretch>
      </xdr:blipFill>
      <xdr:spPr>
        <a:xfrm>
          <a:off x="7264400" y="1547955375"/>
          <a:ext cx="878840" cy="1183640"/>
        </a:xfrm>
        <a:prstGeom prst="rect">
          <a:avLst/>
        </a:prstGeom>
      </xdr:spPr>
    </xdr:pic>
    <xdr:clientData/>
  </xdr:twoCellAnchor>
  <xdr:twoCellAnchor>
    <xdr:from>
      <xdr:col>8</xdr:col>
      <xdr:colOff>6350</xdr:colOff>
      <xdr:row>1578</xdr:row>
      <xdr:rowOff>25400</xdr:rowOff>
    </xdr:from>
    <xdr:to>
      <xdr:col>8</xdr:col>
      <xdr:colOff>885190</xdr:colOff>
      <xdr:row>1578</xdr:row>
      <xdr:rowOff>1209040</xdr:rowOff>
    </xdr:to>
    <xdr:pic>
      <xdr:nvPicPr>
        <xdr:cNvPr id="5428" name="Изображение 5427" descr="resizeПП-00186862"/>
        <xdr:cNvPicPr>
          <a:picLocks noChangeAspect="1"/>
        </xdr:cNvPicPr>
      </xdr:nvPicPr>
      <xdr:blipFill>
        <a:blip xmlns:r="http://schemas.openxmlformats.org/officeDocument/2006/relationships" r:embed="rId1186"/>
        <a:stretch>
          <a:fillRect/>
        </a:stretch>
      </xdr:blipFill>
      <xdr:spPr>
        <a:xfrm>
          <a:off x="7264400" y="1549177750"/>
          <a:ext cx="878840" cy="1183640"/>
        </a:xfrm>
        <a:prstGeom prst="rect">
          <a:avLst/>
        </a:prstGeom>
      </xdr:spPr>
    </xdr:pic>
    <xdr:clientData/>
  </xdr:twoCellAnchor>
  <xdr:twoCellAnchor>
    <xdr:from>
      <xdr:col>8</xdr:col>
      <xdr:colOff>6350</xdr:colOff>
      <xdr:row>1579</xdr:row>
      <xdr:rowOff>25400</xdr:rowOff>
    </xdr:from>
    <xdr:to>
      <xdr:col>8</xdr:col>
      <xdr:colOff>885190</xdr:colOff>
      <xdr:row>1579</xdr:row>
      <xdr:rowOff>1209040</xdr:rowOff>
    </xdr:to>
    <xdr:pic>
      <xdr:nvPicPr>
        <xdr:cNvPr id="5429" name="Изображение 5428" descr="resizeПП-00186860"/>
        <xdr:cNvPicPr>
          <a:picLocks noChangeAspect="1"/>
        </xdr:cNvPicPr>
      </xdr:nvPicPr>
      <xdr:blipFill>
        <a:blip xmlns:r="http://schemas.openxmlformats.org/officeDocument/2006/relationships" r:embed="rId1187"/>
        <a:stretch>
          <a:fillRect/>
        </a:stretch>
      </xdr:blipFill>
      <xdr:spPr>
        <a:xfrm>
          <a:off x="7264400" y="1550400125"/>
          <a:ext cx="878840" cy="1183640"/>
        </a:xfrm>
        <a:prstGeom prst="rect">
          <a:avLst/>
        </a:prstGeom>
      </xdr:spPr>
    </xdr:pic>
    <xdr:clientData/>
  </xdr:twoCellAnchor>
  <xdr:twoCellAnchor>
    <xdr:from>
      <xdr:col>8</xdr:col>
      <xdr:colOff>6350</xdr:colOff>
      <xdr:row>1580</xdr:row>
      <xdr:rowOff>25400</xdr:rowOff>
    </xdr:from>
    <xdr:to>
      <xdr:col>8</xdr:col>
      <xdr:colOff>885190</xdr:colOff>
      <xdr:row>1580</xdr:row>
      <xdr:rowOff>1209040</xdr:rowOff>
    </xdr:to>
    <xdr:pic>
      <xdr:nvPicPr>
        <xdr:cNvPr id="5430" name="Изображение 5429" descr="resizeПП-00186855"/>
        <xdr:cNvPicPr>
          <a:picLocks noChangeAspect="1"/>
        </xdr:cNvPicPr>
      </xdr:nvPicPr>
      <xdr:blipFill>
        <a:blip xmlns:r="http://schemas.openxmlformats.org/officeDocument/2006/relationships" r:embed="rId1188"/>
        <a:stretch>
          <a:fillRect/>
        </a:stretch>
      </xdr:blipFill>
      <xdr:spPr>
        <a:xfrm>
          <a:off x="7264400" y="1551622500"/>
          <a:ext cx="878840" cy="1183640"/>
        </a:xfrm>
        <a:prstGeom prst="rect">
          <a:avLst/>
        </a:prstGeom>
      </xdr:spPr>
    </xdr:pic>
    <xdr:clientData/>
  </xdr:twoCellAnchor>
  <xdr:twoCellAnchor>
    <xdr:from>
      <xdr:col>8</xdr:col>
      <xdr:colOff>6350</xdr:colOff>
      <xdr:row>1581</xdr:row>
      <xdr:rowOff>25400</xdr:rowOff>
    </xdr:from>
    <xdr:to>
      <xdr:col>8</xdr:col>
      <xdr:colOff>885190</xdr:colOff>
      <xdr:row>1581</xdr:row>
      <xdr:rowOff>1209040</xdr:rowOff>
    </xdr:to>
    <xdr:pic>
      <xdr:nvPicPr>
        <xdr:cNvPr id="5431" name="Изображение 5430" descr="resizeПП-00186856"/>
        <xdr:cNvPicPr>
          <a:picLocks noChangeAspect="1"/>
        </xdr:cNvPicPr>
      </xdr:nvPicPr>
      <xdr:blipFill>
        <a:blip xmlns:r="http://schemas.openxmlformats.org/officeDocument/2006/relationships" r:embed="rId1189"/>
        <a:stretch>
          <a:fillRect/>
        </a:stretch>
      </xdr:blipFill>
      <xdr:spPr>
        <a:xfrm>
          <a:off x="7264400" y="1552844875"/>
          <a:ext cx="878840" cy="1183640"/>
        </a:xfrm>
        <a:prstGeom prst="rect">
          <a:avLst/>
        </a:prstGeom>
      </xdr:spPr>
    </xdr:pic>
    <xdr:clientData/>
  </xdr:twoCellAnchor>
  <xdr:twoCellAnchor>
    <xdr:from>
      <xdr:col>8</xdr:col>
      <xdr:colOff>6350</xdr:colOff>
      <xdr:row>1582</xdr:row>
      <xdr:rowOff>25400</xdr:rowOff>
    </xdr:from>
    <xdr:to>
      <xdr:col>8</xdr:col>
      <xdr:colOff>885190</xdr:colOff>
      <xdr:row>1582</xdr:row>
      <xdr:rowOff>1209040</xdr:rowOff>
    </xdr:to>
    <xdr:pic>
      <xdr:nvPicPr>
        <xdr:cNvPr id="5432" name="Изображение 5431" descr="resizeПП-00186857"/>
        <xdr:cNvPicPr>
          <a:picLocks noChangeAspect="1"/>
        </xdr:cNvPicPr>
      </xdr:nvPicPr>
      <xdr:blipFill>
        <a:blip xmlns:r="http://schemas.openxmlformats.org/officeDocument/2006/relationships" r:embed="rId1187"/>
        <a:stretch>
          <a:fillRect/>
        </a:stretch>
      </xdr:blipFill>
      <xdr:spPr>
        <a:xfrm>
          <a:off x="7264400" y="1554067250"/>
          <a:ext cx="878840" cy="1183640"/>
        </a:xfrm>
        <a:prstGeom prst="rect">
          <a:avLst/>
        </a:prstGeom>
      </xdr:spPr>
    </xdr:pic>
    <xdr:clientData/>
  </xdr:twoCellAnchor>
  <xdr:twoCellAnchor>
    <xdr:from>
      <xdr:col>8</xdr:col>
      <xdr:colOff>6350</xdr:colOff>
      <xdr:row>1583</xdr:row>
      <xdr:rowOff>25400</xdr:rowOff>
    </xdr:from>
    <xdr:to>
      <xdr:col>8</xdr:col>
      <xdr:colOff>885190</xdr:colOff>
      <xdr:row>1583</xdr:row>
      <xdr:rowOff>1209040</xdr:rowOff>
    </xdr:to>
    <xdr:pic>
      <xdr:nvPicPr>
        <xdr:cNvPr id="5433" name="Изображение 5432" descr="resizeПП-00186863"/>
        <xdr:cNvPicPr>
          <a:picLocks noChangeAspect="1"/>
        </xdr:cNvPicPr>
      </xdr:nvPicPr>
      <xdr:blipFill>
        <a:blip xmlns:r="http://schemas.openxmlformats.org/officeDocument/2006/relationships" r:embed="rId1190"/>
        <a:stretch>
          <a:fillRect/>
        </a:stretch>
      </xdr:blipFill>
      <xdr:spPr>
        <a:xfrm>
          <a:off x="7264400" y="1555289625"/>
          <a:ext cx="878840" cy="1183640"/>
        </a:xfrm>
        <a:prstGeom prst="rect">
          <a:avLst/>
        </a:prstGeom>
      </xdr:spPr>
    </xdr:pic>
    <xdr:clientData/>
  </xdr:twoCellAnchor>
  <xdr:twoCellAnchor>
    <xdr:from>
      <xdr:col>8</xdr:col>
      <xdr:colOff>6350</xdr:colOff>
      <xdr:row>1584</xdr:row>
      <xdr:rowOff>25400</xdr:rowOff>
    </xdr:from>
    <xdr:to>
      <xdr:col>8</xdr:col>
      <xdr:colOff>885190</xdr:colOff>
      <xdr:row>1584</xdr:row>
      <xdr:rowOff>1209040</xdr:rowOff>
    </xdr:to>
    <xdr:pic>
      <xdr:nvPicPr>
        <xdr:cNvPr id="5434" name="Изображение 5433" descr="resizeПП-00186864"/>
        <xdr:cNvPicPr>
          <a:picLocks noChangeAspect="1"/>
        </xdr:cNvPicPr>
      </xdr:nvPicPr>
      <xdr:blipFill>
        <a:blip xmlns:r="http://schemas.openxmlformats.org/officeDocument/2006/relationships" r:embed="rId1191"/>
        <a:stretch>
          <a:fillRect/>
        </a:stretch>
      </xdr:blipFill>
      <xdr:spPr>
        <a:xfrm>
          <a:off x="7264400" y="1556512000"/>
          <a:ext cx="878840" cy="1183640"/>
        </a:xfrm>
        <a:prstGeom prst="rect">
          <a:avLst/>
        </a:prstGeom>
      </xdr:spPr>
    </xdr:pic>
    <xdr:clientData/>
  </xdr:twoCellAnchor>
  <xdr:twoCellAnchor>
    <xdr:from>
      <xdr:col>8</xdr:col>
      <xdr:colOff>6350</xdr:colOff>
      <xdr:row>1587</xdr:row>
      <xdr:rowOff>25400</xdr:rowOff>
    </xdr:from>
    <xdr:to>
      <xdr:col>8</xdr:col>
      <xdr:colOff>885190</xdr:colOff>
      <xdr:row>1587</xdr:row>
      <xdr:rowOff>1209040</xdr:rowOff>
    </xdr:to>
    <xdr:pic>
      <xdr:nvPicPr>
        <xdr:cNvPr id="5435" name="Изображение 5434" descr="resizeПП-00104519"/>
        <xdr:cNvPicPr>
          <a:picLocks noChangeAspect="1"/>
        </xdr:cNvPicPr>
      </xdr:nvPicPr>
      <xdr:blipFill>
        <a:blip xmlns:r="http://schemas.openxmlformats.org/officeDocument/2006/relationships" r:embed="rId1192"/>
        <a:stretch>
          <a:fillRect/>
        </a:stretch>
      </xdr:blipFill>
      <xdr:spPr>
        <a:xfrm>
          <a:off x="7264400" y="1558039175"/>
          <a:ext cx="878840" cy="1183640"/>
        </a:xfrm>
        <a:prstGeom prst="rect">
          <a:avLst/>
        </a:prstGeom>
      </xdr:spPr>
    </xdr:pic>
    <xdr:clientData/>
  </xdr:twoCellAnchor>
  <xdr:twoCellAnchor>
    <xdr:from>
      <xdr:col>8</xdr:col>
      <xdr:colOff>6350</xdr:colOff>
      <xdr:row>1588</xdr:row>
      <xdr:rowOff>25400</xdr:rowOff>
    </xdr:from>
    <xdr:to>
      <xdr:col>8</xdr:col>
      <xdr:colOff>885190</xdr:colOff>
      <xdr:row>1588</xdr:row>
      <xdr:rowOff>1209040</xdr:rowOff>
    </xdr:to>
    <xdr:pic>
      <xdr:nvPicPr>
        <xdr:cNvPr id="5436" name="Изображение 5435" descr="resizeПП-00104507"/>
        <xdr:cNvPicPr>
          <a:picLocks noChangeAspect="1"/>
        </xdr:cNvPicPr>
      </xdr:nvPicPr>
      <xdr:blipFill>
        <a:blip xmlns:r="http://schemas.openxmlformats.org/officeDocument/2006/relationships" r:embed="rId1193"/>
        <a:stretch>
          <a:fillRect/>
        </a:stretch>
      </xdr:blipFill>
      <xdr:spPr>
        <a:xfrm>
          <a:off x="7264400" y="1559261550"/>
          <a:ext cx="878840" cy="1183640"/>
        </a:xfrm>
        <a:prstGeom prst="rect">
          <a:avLst/>
        </a:prstGeom>
      </xdr:spPr>
    </xdr:pic>
    <xdr:clientData/>
  </xdr:twoCellAnchor>
  <xdr:twoCellAnchor>
    <xdr:from>
      <xdr:col>8</xdr:col>
      <xdr:colOff>6350</xdr:colOff>
      <xdr:row>1589</xdr:row>
      <xdr:rowOff>25400</xdr:rowOff>
    </xdr:from>
    <xdr:to>
      <xdr:col>8</xdr:col>
      <xdr:colOff>885190</xdr:colOff>
      <xdr:row>1589</xdr:row>
      <xdr:rowOff>1209040</xdr:rowOff>
    </xdr:to>
    <xdr:pic>
      <xdr:nvPicPr>
        <xdr:cNvPr id="5437" name="Изображение 5436" descr="resizeПП-00104516"/>
        <xdr:cNvPicPr>
          <a:picLocks noChangeAspect="1"/>
        </xdr:cNvPicPr>
      </xdr:nvPicPr>
      <xdr:blipFill>
        <a:blip xmlns:r="http://schemas.openxmlformats.org/officeDocument/2006/relationships" r:embed="rId1194"/>
        <a:stretch>
          <a:fillRect/>
        </a:stretch>
      </xdr:blipFill>
      <xdr:spPr>
        <a:xfrm>
          <a:off x="7264400" y="1560483925"/>
          <a:ext cx="878840" cy="1183640"/>
        </a:xfrm>
        <a:prstGeom prst="rect">
          <a:avLst/>
        </a:prstGeom>
      </xdr:spPr>
    </xdr:pic>
    <xdr:clientData/>
  </xdr:twoCellAnchor>
  <xdr:twoCellAnchor>
    <xdr:from>
      <xdr:col>8</xdr:col>
      <xdr:colOff>6350</xdr:colOff>
      <xdr:row>1590</xdr:row>
      <xdr:rowOff>25400</xdr:rowOff>
    </xdr:from>
    <xdr:to>
      <xdr:col>8</xdr:col>
      <xdr:colOff>885190</xdr:colOff>
      <xdr:row>1590</xdr:row>
      <xdr:rowOff>1209040</xdr:rowOff>
    </xdr:to>
    <xdr:pic>
      <xdr:nvPicPr>
        <xdr:cNvPr id="5438" name="Изображение 5437" descr="resizeПП-00187375"/>
        <xdr:cNvPicPr>
          <a:picLocks noChangeAspect="1"/>
        </xdr:cNvPicPr>
      </xdr:nvPicPr>
      <xdr:blipFill>
        <a:blip xmlns:r="http://schemas.openxmlformats.org/officeDocument/2006/relationships" r:embed="rId1195"/>
        <a:stretch>
          <a:fillRect/>
        </a:stretch>
      </xdr:blipFill>
      <xdr:spPr>
        <a:xfrm>
          <a:off x="7264400" y="1561706300"/>
          <a:ext cx="878840" cy="1183640"/>
        </a:xfrm>
        <a:prstGeom prst="rect">
          <a:avLst/>
        </a:prstGeom>
      </xdr:spPr>
    </xdr:pic>
    <xdr:clientData/>
  </xdr:twoCellAnchor>
  <xdr:twoCellAnchor>
    <xdr:from>
      <xdr:col>8</xdr:col>
      <xdr:colOff>6350</xdr:colOff>
      <xdr:row>1591</xdr:row>
      <xdr:rowOff>25400</xdr:rowOff>
    </xdr:from>
    <xdr:to>
      <xdr:col>8</xdr:col>
      <xdr:colOff>885190</xdr:colOff>
      <xdr:row>1591</xdr:row>
      <xdr:rowOff>1209040</xdr:rowOff>
    </xdr:to>
    <xdr:pic>
      <xdr:nvPicPr>
        <xdr:cNvPr id="5439" name="Изображение 5438" descr="resizeПП-00104494"/>
        <xdr:cNvPicPr>
          <a:picLocks noChangeAspect="1"/>
        </xdr:cNvPicPr>
      </xdr:nvPicPr>
      <xdr:blipFill>
        <a:blip xmlns:r="http://schemas.openxmlformats.org/officeDocument/2006/relationships" r:embed="rId1196"/>
        <a:stretch>
          <a:fillRect/>
        </a:stretch>
      </xdr:blipFill>
      <xdr:spPr>
        <a:xfrm>
          <a:off x="7264400" y="1562928675"/>
          <a:ext cx="878840" cy="1183640"/>
        </a:xfrm>
        <a:prstGeom prst="rect">
          <a:avLst/>
        </a:prstGeom>
      </xdr:spPr>
    </xdr:pic>
    <xdr:clientData/>
  </xdr:twoCellAnchor>
  <xdr:twoCellAnchor>
    <xdr:from>
      <xdr:col>8</xdr:col>
      <xdr:colOff>6350</xdr:colOff>
      <xdr:row>1592</xdr:row>
      <xdr:rowOff>25400</xdr:rowOff>
    </xdr:from>
    <xdr:to>
      <xdr:col>8</xdr:col>
      <xdr:colOff>885190</xdr:colOff>
      <xdr:row>1592</xdr:row>
      <xdr:rowOff>1209040</xdr:rowOff>
    </xdr:to>
    <xdr:pic>
      <xdr:nvPicPr>
        <xdr:cNvPr id="5440" name="Изображение 5439" descr="resizeПП-00104502"/>
        <xdr:cNvPicPr>
          <a:picLocks noChangeAspect="1"/>
        </xdr:cNvPicPr>
      </xdr:nvPicPr>
      <xdr:blipFill>
        <a:blip xmlns:r="http://schemas.openxmlformats.org/officeDocument/2006/relationships" r:embed="rId1197"/>
        <a:stretch>
          <a:fillRect/>
        </a:stretch>
      </xdr:blipFill>
      <xdr:spPr>
        <a:xfrm>
          <a:off x="7264400" y="1564151050"/>
          <a:ext cx="878840" cy="1183640"/>
        </a:xfrm>
        <a:prstGeom prst="rect">
          <a:avLst/>
        </a:prstGeom>
      </xdr:spPr>
    </xdr:pic>
    <xdr:clientData/>
  </xdr:twoCellAnchor>
  <xdr:twoCellAnchor>
    <xdr:from>
      <xdr:col>8</xdr:col>
      <xdr:colOff>6350</xdr:colOff>
      <xdr:row>1593</xdr:row>
      <xdr:rowOff>25400</xdr:rowOff>
    </xdr:from>
    <xdr:to>
      <xdr:col>8</xdr:col>
      <xdr:colOff>885190</xdr:colOff>
      <xdr:row>1593</xdr:row>
      <xdr:rowOff>1209040</xdr:rowOff>
    </xdr:to>
    <xdr:pic>
      <xdr:nvPicPr>
        <xdr:cNvPr id="5441" name="Изображение 5440" descr="resizeПП-00104491"/>
        <xdr:cNvPicPr>
          <a:picLocks noChangeAspect="1"/>
        </xdr:cNvPicPr>
      </xdr:nvPicPr>
      <xdr:blipFill>
        <a:blip xmlns:r="http://schemas.openxmlformats.org/officeDocument/2006/relationships" r:embed="rId1198"/>
        <a:stretch>
          <a:fillRect/>
        </a:stretch>
      </xdr:blipFill>
      <xdr:spPr>
        <a:xfrm>
          <a:off x="7264400" y="1565373425"/>
          <a:ext cx="878840" cy="1183640"/>
        </a:xfrm>
        <a:prstGeom prst="rect">
          <a:avLst/>
        </a:prstGeom>
      </xdr:spPr>
    </xdr:pic>
    <xdr:clientData/>
  </xdr:twoCellAnchor>
  <xdr:twoCellAnchor>
    <xdr:from>
      <xdr:col>8</xdr:col>
      <xdr:colOff>6350</xdr:colOff>
      <xdr:row>1594</xdr:row>
      <xdr:rowOff>25400</xdr:rowOff>
    </xdr:from>
    <xdr:to>
      <xdr:col>8</xdr:col>
      <xdr:colOff>885190</xdr:colOff>
      <xdr:row>1594</xdr:row>
      <xdr:rowOff>1209040</xdr:rowOff>
    </xdr:to>
    <xdr:pic>
      <xdr:nvPicPr>
        <xdr:cNvPr id="5442" name="Изображение 5441" descr="resizeПП-00104487"/>
        <xdr:cNvPicPr>
          <a:picLocks noChangeAspect="1"/>
        </xdr:cNvPicPr>
      </xdr:nvPicPr>
      <xdr:blipFill>
        <a:blip xmlns:r="http://schemas.openxmlformats.org/officeDocument/2006/relationships" r:embed="rId1199"/>
        <a:stretch>
          <a:fillRect/>
        </a:stretch>
      </xdr:blipFill>
      <xdr:spPr>
        <a:xfrm>
          <a:off x="7264400" y="1566595800"/>
          <a:ext cx="878840" cy="1183640"/>
        </a:xfrm>
        <a:prstGeom prst="rect">
          <a:avLst/>
        </a:prstGeom>
      </xdr:spPr>
    </xdr:pic>
    <xdr:clientData/>
  </xdr:twoCellAnchor>
  <xdr:twoCellAnchor>
    <xdr:from>
      <xdr:col>8</xdr:col>
      <xdr:colOff>6350</xdr:colOff>
      <xdr:row>1595</xdr:row>
      <xdr:rowOff>25400</xdr:rowOff>
    </xdr:from>
    <xdr:to>
      <xdr:col>8</xdr:col>
      <xdr:colOff>885190</xdr:colOff>
      <xdr:row>1595</xdr:row>
      <xdr:rowOff>1209040</xdr:rowOff>
    </xdr:to>
    <xdr:pic>
      <xdr:nvPicPr>
        <xdr:cNvPr id="5443" name="Изображение 5442" descr="resizeПП-00104499"/>
        <xdr:cNvPicPr>
          <a:picLocks noChangeAspect="1"/>
        </xdr:cNvPicPr>
      </xdr:nvPicPr>
      <xdr:blipFill>
        <a:blip xmlns:r="http://schemas.openxmlformats.org/officeDocument/2006/relationships" r:embed="rId1200"/>
        <a:stretch>
          <a:fillRect/>
        </a:stretch>
      </xdr:blipFill>
      <xdr:spPr>
        <a:xfrm>
          <a:off x="7264400" y="1567818175"/>
          <a:ext cx="878840" cy="1183640"/>
        </a:xfrm>
        <a:prstGeom prst="rect">
          <a:avLst/>
        </a:prstGeom>
      </xdr:spPr>
    </xdr:pic>
    <xdr:clientData/>
  </xdr:twoCellAnchor>
  <xdr:twoCellAnchor>
    <xdr:from>
      <xdr:col>8</xdr:col>
      <xdr:colOff>6350</xdr:colOff>
      <xdr:row>1596</xdr:row>
      <xdr:rowOff>25400</xdr:rowOff>
    </xdr:from>
    <xdr:to>
      <xdr:col>8</xdr:col>
      <xdr:colOff>885190</xdr:colOff>
      <xdr:row>1596</xdr:row>
      <xdr:rowOff>1209040</xdr:rowOff>
    </xdr:to>
    <xdr:pic>
      <xdr:nvPicPr>
        <xdr:cNvPr id="5444" name="Изображение 5443" descr="resizeПП-00104498"/>
        <xdr:cNvPicPr>
          <a:picLocks noChangeAspect="1"/>
        </xdr:cNvPicPr>
      </xdr:nvPicPr>
      <xdr:blipFill>
        <a:blip xmlns:r="http://schemas.openxmlformats.org/officeDocument/2006/relationships" r:embed="rId1201"/>
        <a:stretch>
          <a:fillRect/>
        </a:stretch>
      </xdr:blipFill>
      <xdr:spPr>
        <a:xfrm>
          <a:off x="7264400" y="1569040550"/>
          <a:ext cx="878840" cy="1183640"/>
        </a:xfrm>
        <a:prstGeom prst="rect">
          <a:avLst/>
        </a:prstGeom>
      </xdr:spPr>
    </xdr:pic>
    <xdr:clientData/>
  </xdr:twoCellAnchor>
  <xdr:twoCellAnchor>
    <xdr:from>
      <xdr:col>8</xdr:col>
      <xdr:colOff>6350</xdr:colOff>
      <xdr:row>1597</xdr:row>
      <xdr:rowOff>25400</xdr:rowOff>
    </xdr:from>
    <xdr:to>
      <xdr:col>8</xdr:col>
      <xdr:colOff>885190</xdr:colOff>
      <xdr:row>1597</xdr:row>
      <xdr:rowOff>1209040</xdr:rowOff>
    </xdr:to>
    <xdr:pic>
      <xdr:nvPicPr>
        <xdr:cNvPr id="5445" name="Изображение 5444" descr="resizeПП-00187380"/>
        <xdr:cNvPicPr>
          <a:picLocks noChangeAspect="1"/>
        </xdr:cNvPicPr>
      </xdr:nvPicPr>
      <xdr:blipFill>
        <a:blip xmlns:r="http://schemas.openxmlformats.org/officeDocument/2006/relationships" r:embed="rId1202"/>
        <a:stretch>
          <a:fillRect/>
        </a:stretch>
      </xdr:blipFill>
      <xdr:spPr>
        <a:xfrm>
          <a:off x="7264400" y="1570262925"/>
          <a:ext cx="878840" cy="1183640"/>
        </a:xfrm>
        <a:prstGeom prst="rect">
          <a:avLst/>
        </a:prstGeom>
      </xdr:spPr>
    </xdr:pic>
    <xdr:clientData/>
  </xdr:twoCellAnchor>
  <xdr:twoCellAnchor>
    <xdr:from>
      <xdr:col>8</xdr:col>
      <xdr:colOff>6350</xdr:colOff>
      <xdr:row>1598</xdr:row>
      <xdr:rowOff>25400</xdr:rowOff>
    </xdr:from>
    <xdr:to>
      <xdr:col>8</xdr:col>
      <xdr:colOff>885190</xdr:colOff>
      <xdr:row>1598</xdr:row>
      <xdr:rowOff>1209040</xdr:rowOff>
    </xdr:to>
    <xdr:pic>
      <xdr:nvPicPr>
        <xdr:cNvPr id="5446" name="Изображение 5445" descr="resizeПП-00187378"/>
        <xdr:cNvPicPr>
          <a:picLocks noChangeAspect="1"/>
        </xdr:cNvPicPr>
      </xdr:nvPicPr>
      <xdr:blipFill>
        <a:blip xmlns:r="http://schemas.openxmlformats.org/officeDocument/2006/relationships" r:embed="rId1203"/>
        <a:stretch>
          <a:fillRect/>
        </a:stretch>
      </xdr:blipFill>
      <xdr:spPr>
        <a:xfrm>
          <a:off x="7264400" y="1571485300"/>
          <a:ext cx="878840" cy="1183640"/>
        </a:xfrm>
        <a:prstGeom prst="rect">
          <a:avLst/>
        </a:prstGeom>
      </xdr:spPr>
    </xdr:pic>
    <xdr:clientData/>
  </xdr:twoCellAnchor>
  <xdr:twoCellAnchor>
    <xdr:from>
      <xdr:col>8</xdr:col>
      <xdr:colOff>6350</xdr:colOff>
      <xdr:row>1599</xdr:row>
      <xdr:rowOff>25400</xdr:rowOff>
    </xdr:from>
    <xdr:to>
      <xdr:col>8</xdr:col>
      <xdr:colOff>885190</xdr:colOff>
      <xdr:row>1599</xdr:row>
      <xdr:rowOff>1209040</xdr:rowOff>
    </xdr:to>
    <xdr:pic>
      <xdr:nvPicPr>
        <xdr:cNvPr id="5447" name="Изображение 5446" descr="resizeПП-00187379"/>
        <xdr:cNvPicPr>
          <a:picLocks noChangeAspect="1"/>
        </xdr:cNvPicPr>
      </xdr:nvPicPr>
      <xdr:blipFill>
        <a:blip xmlns:r="http://schemas.openxmlformats.org/officeDocument/2006/relationships" r:embed="rId1204"/>
        <a:stretch>
          <a:fillRect/>
        </a:stretch>
      </xdr:blipFill>
      <xdr:spPr>
        <a:xfrm>
          <a:off x="7264400" y="1572707675"/>
          <a:ext cx="878840" cy="1183640"/>
        </a:xfrm>
        <a:prstGeom prst="rect">
          <a:avLst/>
        </a:prstGeom>
      </xdr:spPr>
    </xdr:pic>
    <xdr:clientData/>
  </xdr:twoCellAnchor>
  <xdr:twoCellAnchor>
    <xdr:from>
      <xdr:col>8</xdr:col>
      <xdr:colOff>6350</xdr:colOff>
      <xdr:row>1600</xdr:row>
      <xdr:rowOff>25400</xdr:rowOff>
    </xdr:from>
    <xdr:to>
      <xdr:col>8</xdr:col>
      <xdr:colOff>885190</xdr:colOff>
      <xdr:row>1600</xdr:row>
      <xdr:rowOff>1209040</xdr:rowOff>
    </xdr:to>
    <xdr:pic>
      <xdr:nvPicPr>
        <xdr:cNvPr id="5448" name="Изображение 5447" descr="resizeПП-00046674"/>
        <xdr:cNvPicPr>
          <a:picLocks noChangeAspect="1"/>
        </xdr:cNvPicPr>
      </xdr:nvPicPr>
      <xdr:blipFill>
        <a:blip xmlns:r="http://schemas.openxmlformats.org/officeDocument/2006/relationships" r:embed="rId1205"/>
        <a:stretch>
          <a:fillRect/>
        </a:stretch>
      </xdr:blipFill>
      <xdr:spPr>
        <a:xfrm>
          <a:off x="7264400" y="1573930050"/>
          <a:ext cx="878840" cy="1183640"/>
        </a:xfrm>
        <a:prstGeom prst="rect">
          <a:avLst/>
        </a:prstGeom>
      </xdr:spPr>
    </xdr:pic>
    <xdr:clientData/>
  </xdr:twoCellAnchor>
  <xdr:twoCellAnchor>
    <xdr:from>
      <xdr:col>8</xdr:col>
      <xdr:colOff>6350</xdr:colOff>
      <xdr:row>1601</xdr:row>
      <xdr:rowOff>25400</xdr:rowOff>
    </xdr:from>
    <xdr:to>
      <xdr:col>8</xdr:col>
      <xdr:colOff>885190</xdr:colOff>
      <xdr:row>1601</xdr:row>
      <xdr:rowOff>1209040</xdr:rowOff>
    </xdr:to>
    <xdr:pic>
      <xdr:nvPicPr>
        <xdr:cNvPr id="5449" name="Изображение 5448" descr="resizeПП-00046666"/>
        <xdr:cNvPicPr>
          <a:picLocks noChangeAspect="1"/>
        </xdr:cNvPicPr>
      </xdr:nvPicPr>
      <xdr:blipFill>
        <a:blip xmlns:r="http://schemas.openxmlformats.org/officeDocument/2006/relationships" r:embed="rId1206"/>
        <a:stretch>
          <a:fillRect/>
        </a:stretch>
      </xdr:blipFill>
      <xdr:spPr>
        <a:xfrm>
          <a:off x="7264400" y="1575152425"/>
          <a:ext cx="878840" cy="1183640"/>
        </a:xfrm>
        <a:prstGeom prst="rect">
          <a:avLst/>
        </a:prstGeom>
      </xdr:spPr>
    </xdr:pic>
    <xdr:clientData/>
  </xdr:twoCellAnchor>
  <xdr:twoCellAnchor>
    <xdr:from>
      <xdr:col>8</xdr:col>
      <xdr:colOff>6350</xdr:colOff>
      <xdr:row>1602</xdr:row>
      <xdr:rowOff>25400</xdr:rowOff>
    </xdr:from>
    <xdr:to>
      <xdr:col>8</xdr:col>
      <xdr:colOff>885190</xdr:colOff>
      <xdr:row>1602</xdr:row>
      <xdr:rowOff>1209040</xdr:rowOff>
    </xdr:to>
    <xdr:pic>
      <xdr:nvPicPr>
        <xdr:cNvPr id="5450" name="Изображение 5449" descr="resizeПП-00046665"/>
        <xdr:cNvPicPr>
          <a:picLocks noChangeAspect="1"/>
        </xdr:cNvPicPr>
      </xdr:nvPicPr>
      <xdr:blipFill>
        <a:blip xmlns:r="http://schemas.openxmlformats.org/officeDocument/2006/relationships" r:embed="rId1207"/>
        <a:stretch>
          <a:fillRect/>
        </a:stretch>
      </xdr:blipFill>
      <xdr:spPr>
        <a:xfrm>
          <a:off x="7264400" y="1576374800"/>
          <a:ext cx="878840" cy="1183640"/>
        </a:xfrm>
        <a:prstGeom prst="rect">
          <a:avLst/>
        </a:prstGeom>
      </xdr:spPr>
    </xdr:pic>
    <xdr:clientData/>
  </xdr:twoCellAnchor>
  <xdr:twoCellAnchor>
    <xdr:from>
      <xdr:col>8</xdr:col>
      <xdr:colOff>6350</xdr:colOff>
      <xdr:row>1603</xdr:row>
      <xdr:rowOff>25400</xdr:rowOff>
    </xdr:from>
    <xdr:to>
      <xdr:col>8</xdr:col>
      <xdr:colOff>885190</xdr:colOff>
      <xdr:row>1603</xdr:row>
      <xdr:rowOff>1209040</xdr:rowOff>
    </xdr:to>
    <xdr:pic>
      <xdr:nvPicPr>
        <xdr:cNvPr id="5451" name="Изображение 5450" descr="resizeПП-00046660"/>
        <xdr:cNvPicPr>
          <a:picLocks noChangeAspect="1"/>
        </xdr:cNvPicPr>
      </xdr:nvPicPr>
      <xdr:blipFill>
        <a:blip xmlns:r="http://schemas.openxmlformats.org/officeDocument/2006/relationships" r:embed="rId1208"/>
        <a:stretch>
          <a:fillRect/>
        </a:stretch>
      </xdr:blipFill>
      <xdr:spPr>
        <a:xfrm>
          <a:off x="7264400" y="1577597175"/>
          <a:ext cx="878840" cy="1183640"/>
        </a:xfrm>
        <a:prstGeom prst="rect">
          <a:avLst/>
        </a:prstGeom>
      </xdr:spPr>
    </xdr:pic>
    <xdr:clientData/>
  </xdr:twoCellAnchor>
  <xdr:twoCellAnchor>
    <xdr:from>
      <xdr:col>8</xdr:col>
      <xdr:colOff>6350</xdr:colOff>
      <xdr:row>1604</xdr:row>
      <xdr:rowOff>25400</xdr:rowOff>
    </xdr:from>
    <xdr:to>
      <xdr:col>8</xdr:col>
      <xdr:colOff>885190</xdr:colOff>
      <xdr:row>1604</xdr:row>
      <xdr:rowOff>1209040</xdr:rowOff>
    </xdr:to>
    <xdr:pic>
      <xdr:nvPicPr>
        <xdr:cNvPr id="5452" name="Изображение 5451" descr="resizeПП-00046664"/>
        <xdr:cNvPicPr>
          <a:picLocks noChangeAspect="1"/>
        </xdr:cNvPicPr>
      </xdr:nvPicPr>
      <xdr:blipFill>
        <a:blip xmlns:r="http://schemas.openxmlformats.org/officeDocument/2006/relationships" r:embed="rId1209"/>
        <a:stretch>
          <a:fillRect/>
        </a:stretch>
      </xdr:blipFill>
      <xdr:spPr>
        <a:xfrm>
          <a:off x="7264400" y="1578819550"/>
          <a:ext cx="878840" cy="1183640"/>
        </a:xfrm>
        <a:prstGeom prst="rect">
          <a:avLst/>
        </a:prstGeom>
      </xdr:spPr>
    </xdr:pic>
    <xdr:clientData/>
  </xdr:twoCellAnchor>
  <xdr:twoCellAnchor>
    <xdr:from>
      <xdr:col>8</xdr:col>
      <xdr:colOff>6350</xdr:colOff>
      <xdr:row>1605</xdr:row>
      <xdr:rowOff>25400</xdr:rowOff>
    </xdr:from>
    <xdr:to>
      <xdr:col>8</xdr:col>
      <xdr:colOff>1189990</xdr:colOff>
      <xdr:row>1605</xdr:row>
      <xdr:rowOff>904240</xdr:rowOff>
    </xdr:to>
    <xdr:pic>
      <xdr:nvPicPr>
        <xdr:cNvPr id="5453" name="Изображение 5452" descr="resizeПП-00046658"/>
        <xdr:cNvPicPr>
          <a:picLocks noChangeAspect="1"/>
        </xdr:cNvPicPr>
      </xdr:nvPicPr>
      <xdr:blipFill>
        <a:blip xmlns:r="http://schemas.openxmlformats.org/officeDocument/2006/relationships" r:embed="rId1210"/>
        <a:stretch>
          <a:fillRect/>
        </a:stretch>
      </xdr:blipFill>
      <xdr:spPr>
        <a:xfrm>
          <a:off x="7264400" y="1580041925"/>
          <a:ext cx="1183640" cy="878840"/>
        </a:xfrm>
        <a:prstGeom prst="rect">
          <a:avLst/>
        </a:prstGeom>
      </xdr:spPr>
    </xdr:pic>
    <xdr:clientData/>
  </xdr:twoCellAnchor>
  <xdr:twoCellAnchor>
    <xdr:from>
      <xdr:col>8</xdr:col>
      <xdr:colOff>6350</xdr:colOff>
      <xdr:row>1606</xdr:row>
      <xdr:rowOff>25400</xdr:rowOff>
    </xdr:from>
    <xdr:to>
      <xdr:col>8</xdr:col>
      <xdr:colOff>885190</xdr:colOff>
      <xdr:row>1606</xdr:row>
      <xdr:rowOff>1209040</xdr:rowOff>
    </xdr:to>
    <xdr:pic>
      <xdr:nvPicPr>
        <xdr:cNvPr id="5454" name="Изображение 5453" descr="resizeПП-00046667"/>
        <xdr:cNvPicPr>
          <a:picLocks noChangeAspect="1"/>
        </xdr:cNvPicPr>
      </xdr:nvPicPr>
      <xdr:blipFill>
        <a:blip xmlns:r="http://schemas.openxmlformats.org/officeDocument/2006/relationships" r:embed="rId1211"/>
        <a:stretch>
          <a:fillRect/>
        </a:stretch>
      </xdr:blipFill>
      <xdr:spPr>
        <a:xfrm>
          <a:off x="7264400" y="1581264300"/>
          <a:ext cx="878840" cy="1183640"/>
        </a:xfrm>
        <a:prstGeom prst="rect">
          <a:avLst/>
        </a:prstGeom>
      </xdr:spPr>
    </xdr:pic>
    <xdr:clientData/>
  </xdr:twoCellAnchor>
  <xdr:twoCellAnchor>
    <xdr:from>
      <xdr:col>8</xdr:col>
      <xdr:colOff>6350</xdr:colOff>
      <xdr:row>1607</xdr:row>
      <xdr:rowOff>25400</xdr:rowOff>
    </xdr:from>
    <xdr:to>
      <xdr:col>8</xdr:col>
      <xdr:colOff>885190</xdr:colOff>
      <xdr:row>1607</xdr:row>
      <xdr:rowOff>1209040</xdr:rowOff>
    </xdr:to>
    <xdr:pic>
      <xdr:nvPicPr>
        <xdr:cNvPr id="5455" name="Изображение 5454" descr="resizeПП-00046661"/>
        <xdr:cNvPicPr>
          <a:picLocks noChangeAspect="1"/>
        </xdr:cNvPicPr>
      </xdr:nvPicPr>
      <xdr:blipFill>
        <a:blip xmlns:r="http://schemas.openxmlformats.org/officeDocument/2006/relationships" r:embed="rId1212"/>
        <a:stretch>
          <a:fillRect/>
        </a:stretch>
      </xdr:blipFill>
      <xdr:spPr>
        <a:xfrm>
          <a:off x="7264400" y="1582486675"/>
          <a:ext cx="878840" cy="1183640"/>
        </a:xfrm>
        <a:prstGeom prst="rect">
          <a:avLst/>
        </a:prstGeom>
      </xdr:spPr>
    </xdr:pic>
    <xdr:clientData/>
  </xdr:twoCellAnchor>
  <xdr:twoCellAnchor>
    <xdr:from>
      <xdr:col>8</xdr:col>
      <xdr:colOff>6350</xdr:colOff>
      <xdr:row>1608</xdr:row>
      <xdr:rowOff>25400</xdr:rowOff>
    </xdr:from>
    <xdr:to>
      <xdr:col>8</xdr:col>
      <xdr:colOff>1189990</xdr:colOff>
      <xdr:row>1608</xdr:row>
      <xdr:rowOff>904240</xdr:rowOff>
    </xdr:to>
    <xdr:pic>
      <xdr:nvPicPr>
        <xdr:cNvPr id="5456" name="Изображение 5455" descr="resizeПП-00046675"/>
        <xdr:cNvPicPr>
          <a:picLocks noChangeAspect="1"/>
        </xdr:cNvPicPr>
      </xdr:nvPicPr>
      <xdr:blipFill>
        <a:blip xmlns:r="http://schemas.openxmlformats.org/officeDocument/2006/relationships" r:embed="rId1213"/>
        <a:stretch>
          <a:fillRect/>
        </a:stretch>
      </xdr:blipFill>
      <xdr:spPr>
        <a:xfrm>
          <a:off x="7264400" y="1583709050"/>
          <a:ext cx="1183640" cy="878840"/>
        </a:xfrm>
        <a:prstGeom prst="rect">
          <a:avLst/>
        </a:prstGeom>
      </xdr:spPr>
    </xdr:pic>
    <xdr:clientData/>
  </xdr:twoCellAnchor>
  <xdr:twoCellAnchor>
    <xdr:from>
      <xdr:col>8</xdr:col>
      <xdr:colOff>6350</xdr:colOff>
      <xdr:row>1609</xdr:row>
      <xdr:rowOff>25400</xdr:rowOff>
    </xdr:from>
    <xdr:to>
      <xdr:col>8</xdr:col>
      <xdr:colOff>885190</xdr:colOff>
      <xdr:row>1609</xdr:row>
      <xdr:rowOff>1209040</xdr:rowOff>
    </xdr:to>
    <xdr:pic>
      <xdr:nvPicPr>
        <xdr:cNvPr id="5457" name="Изображение 5456" descr="resizeПП-00046668"/>
        <xdr:cNvPicPr>
          <a:picLocks noChangeAspect="1"/>
        </xdr:cNvPicPr>
      </xdr:nvPicPr>
      <xdr:blipFill>
        <a:blip xmlns:r="http://schemas.openxmlformats.org/officeDocument/2006/relationships" r:embed="rId1214"/>
        <a:stretch>
          <a:fillRect/>
        </a:stretch>
      </xdr:blipFill>
      <xdr:spPr>
        <a:xfrm>
          <a:off x="7264400" y="1584931425"/>
          <a:ext cx="878840" cy="1183640"/>
        </a:xfrm>
        <a:prstGeom prst="rect">
          <a:avLst/>
        </a:prstGeom>
      </xdr:spPr>
    </xdr:pic>
    <xdr:clientData/>
  </xdr:twoCellAnchor>
  <xdr:twoCellAnchor>
    <xdr:from>
      <xdr:col>8</xdr:col>
      <xdr:colOff>6350</xdr:colOff>
      <xdr:row>1611</xdr:row>
      <xdr:rowOff>25400</xdr:rowOff>
    </xdr:from>
    <xdr:to>
      <xdr:col>8</xdr:col>
      <xdr:colOff>885190</xdr:colOff>
      <xdr:row>1611</xdr:row>
      <xdr:rowOff>1209040</xdr:rowOff>
    </xdr:to>
    <xdr:pic>
      <xdr:nvPicPr>
        <xdr:cNvPr id="5458" name="Изображение 5457" descr="resizeПП-00203239"/>
        <xdr:cNvPicPr>
          <a:picLocks noChangeAspect="1"/>
        </xdr:cNvPicPr>
      </xdr:nvPicPr>
      <xdr:blipFill>
        <a:blip xmlns:r="http://schemas.openxmlformats.org/officeDocument/2006/relationships" r:embed="rId1215"/>
        <a:stretch>
          <a:fillRect/>
        </a:stretch>
      </xdr:blipFill>
      <xdr:spPr>
        <a:xfrm>
          <a:off x="7264400" y="1586306200"/>
          <a:ext cx="878840" cy="1183640"/>
        </a:xfrm>
        <a:prstGeom prst="rect">
          <a:avLst/>
        </a:prstGeom>
      </xdr:spPr>
    </xdr:pic>
    <xdr:clientData/>
  </xdr:twoCellAnchor>
  <xdr:twoCellAnchor>
    <xdr:from>
      <xdr:col>8</xdr:col>
      <xdr:colOff>6350</xdr:colOff>
      <xdr:row>1612</xdr:row>
      <xdr:rowOff>25400</xdr:rowOff>
    </xdr:from>
    <xdr:to>
      <xdr:col>8</xdr:col>
      <xdr:colOff>885190</xdr:colOff>
      <xdr:row>1612</xdr:row>
      <xdr:rowOff>1209040</xdr:rowOff>
    </xdr:to>
    <xdr:pic>
      <xdr:nvPicPr>
        <xdr:cNvPr id="5459" name="Изображение 5458" descr="resizeПП-00203225"/>
        <xdr:cNvPicPr>
          <a:picLocks noChangeAspect="1"/>
        </xdr:cNvPicPr>
      </xdr:nvPicPr>
      <xdr:blipFill>
        <a:blip xmlns:r="http://schemas.openxmlformats.org/officeDocument/2006/relationships" r:embed="rId1216"/>
        <a:stretch>
          <a:fillRect/>
        </a:stretch>
      </xdr:blipFill>
      <xdr:spPr>
        <a:xfrm>
          <a:off x="7264400" y="1587528575"/>
          <a:ext cx="878840" cy="1183640"/>
        </a:xfrm>
        <a:prstGeom prst="rect">
          <a:avLst/>
        </a:prstGeom>
      </xdr:spPr>
    </xdr:pic>
    <xdr:clientData/>
  </xdr:twoCellAnchor>
  <xdr:twoCellAnchor>
    <xdr:from>
      <xdr:col>8</xdr:col>
      <xdr:colOff>6350</xdr:colOff>
      <xdr:row>1613</xdr:row>
      <xdr:rowOff>25400</xdr:rowOff>
    </xdr:from>
    <xdr:to>
      <xdr:col>8</xdr:col>
      <xdr:colOff>885190</xdr:colOff>
      <xdr:row>1613</xdr:row>
      <xdr:rowOff>1209040</xdr:rowOff>
    </xdr:to>
    <xdr:pic>
      <xdr:nvPicPr>
        <xdr:cNvPr id="5460" name="Изображение 5459" descr="resizeПП-00203233"/>
        <xdr:cNvPicPr>
          <a:picLocks noChangeAspect="1"/>
        </xdr:cNvPicPr>
      </xdr:nvPicPr>
      <xdr:blipFill>
        <a:blip xmlns:r="http://schemas.openxmlformats.org/officeDocument/2006/relationships" r:embed="rId1217"/>
        <a:stretch>
          <a:fillRect/>
        </a:stretch>
      </xdr:blipFill>
      <xdr:spPr>
        <a:xfrm>
          <a:off x="7264400" y="1588750950"/>
          <a:ext cx="878840" cy="1183640"/>
        </a:xfrm>
        <a:prstGeom prst="rect">
          <a:avLst/>
        </a:prstGeom>
      </xdr:spPr>
    </xdr:pic>
    <xdr:clientData/>
  </xdr:twoCellAnchor>
  <xdr:twoCellAnchor>
    <xdr:from>
      <xdr:col>8</xdr:col>
      <xdr:colOff>6350</xdr:colOff>
      <xdr:row>1614</xdr:row>
      <xdr:rowOff>25400</xdr:rowOff>
    </xdr:from>
    <xdr:to>
      <xdr:col>8</xdr:col>
      <xdr:colOff>885190</xdr:colOff>
      <xdr:row>1614</xdr:row>
      <xdr:rowOff>1209040</xdr:rowOff>
    </xdr:to>
    <xdr:pic>
      <xdr:nvPicPr>
        <xdr:cNvPr id="5461" name="Изображение 5460" descr="resizeПП-00203237"/>
        <xdr:cNvPicPr>
          <a:picLocks noChangeAspect="1"/>
        </xdr:cNvPicPr>
      </xdr:nvPicPr>
      <xdr:blipFill>
        <a:blip xmlns:r="http://schemas.openxmlformats.org/officeDocument/2006/relationships" r:embed="rId1218"/>
        <a:stretch>
          <a:fillRect/>
        </a:stretch>
      </xdr:blipFill>
      <xdr:spPr>
        <a:xfrm>
          <a:off x="7264400" y="1589973325"/>
          <a:ext cx="878840" cy="1183640"/>
        </a:xfrm>
        <a:prstGeom prst="rect">
          <a:avLst/>
        </a:prstGeom>
      </xdr:spPr>
    </xdr:pic>
    <xdr:clientData/>
  </xdr:twoCellAnchor>
  <xdr:twoCellAnchor>
    <xdr:from>
      <xdr:col>8</xdr:col>
      <xdr:colOff>6350</xdr:colOff>
      <xdr:row>1615</xdr:row>
      <xdr:rowOff>25400</xdr:rowOff>
    </xdr:from>
    <xdr:to>
      <xdr:col>8</xdr:col>
      <xdr:colOff>885190</xdr:colOff>
      <xdr:row>1615</xdr:row>
      <xdr:rowOff>1209040</xdr:rowOff>
    </xdr:to>
    <xdr:pic>
      <xdr:nvPicPr>
        <xdr:cNvPr id="5462" name="Изображение 5461" descr="resizeПП-00203221"/>
        <xdr:cNvPicPr>
          <a:picLocks noChangeAspect="1"/>
        </xdr:cNvPicPr>
      </xdr:nvPicPr>
      <xdr:blipFill>
        <a:blip xmlns:r="http://schemas.openxmlformats.org/officeDocument/2006/relationships" r:embed="rId1219"/>
        <a:stretch>
          <a:fillRect/>
        </a:stretch>
      </xdr:blipFill>
      <xdr:spPr>
        <a:xfrm>
          <a:off x="7264400" y="1591195700"/>
          <a:ext cx="878840" cy="1183640"/>
        </a:xfrm>
        <a:prstGeom prst="rect">
          <a:avLst/>
        </a:prstGeom>
      </xdr:spPr>
    </xdr:pic>
    <xdr:clientData/>
  </xdr:twoCellAnchor>
  <xdr:twoCellAnchor>
    <xdr:from>
      <xdr:col>8</xdr:col>
      <xdr:colOff>6350</xdr:colOff>
      <xdr:row>1616</xdr:row>
      <xdr:rowOff>25400</xdr:rowOff>
    </xdr:from>
    <xdr:to>
      <xdr:col>8</xdr:col>
      <xdr:colOff>885190</xdr:colOff>
      <xdr:row>1616</xdr:row>
      <xdr:rowOff>1209040</xdr:rowOff>
    </xdr:to>
    <xdr:pic>
      <xdr:nvPicPr>
        <xdr:cNvPr id="5463" name="Изображение 5462" descr="resizeПП-00203217"/>
        <xdr:cNvPicPr>
          <a:picLocks noChangeAspect="1"/>
        </xdr:cNvPicPr>
      </xdr:nvPicPr>
      <xdr:blipFill>
        <a:blip xmlns:r="http://schemas.openxmlformats.org/officeDocument/2006/relationships" r:embed="rId1220"/>
        <a:stretch>
          <a:fillRect/>
        </a:stretch>
      </xdr:blipFill>
      <xdr:spPr>
        <a:xfrm>
          <a:off x="7264400" y="1592418075"/>
          <a:ext cx="878840" cy="1183640"/>
        </a:xfrm>
        <a:prstGeom prst="rect">
          <a:avLst/>
        </a:prstGeom>
      </xdr:spPr>
    </xdr:pic>
    <xdr:clientData/>
  </xdr:twoCellAnchor>
  <xdr:twoCellAnchor>
    <xdr:from>
      <xdr:col>8</xdr:col>
      <xdr:colOff>6350</xdr:colOff>
      <xdr:row>1617</xdr:row>
      <xdr:rowOff>25400</xdr:rowOff>
    </xdr:from>
    <xdr:to>
      <xdr:col>8</xdr:col>
      <xdr:colOff>885190</xdr:colOff>
      <xdr:row>1617</xdr:row>
      <xdr:rowOff>1209040</xdr:rowOff>
    </xdr:to>
    <xdr:pic>
      <xdr:nvPicPr>
        <xdr:cNvPr id="5464" name="Изображение 5463" descr="resizeПП-00203229"/>
        <xdr:cNvPicPr>
          <a:picLocks noChangeAspect="1"/>
        </xdr:cNvPicPr>
      </xdr:nvPicPr>
      <xdr:blipFill>
        <a:blip xmlns:r="http://schemas.openxmlformats.org/officeDocument/2006/relationships" r:embed="rId1221"/>
        <a:stretch>
          <a:fillRect/>
        </a:stretch>
      </xdr:blipFill>
      <xdr:spPr>
        <a:xfrm>
          <a:off x="7264400" y="1593640450"/>
          <a:ext cx="878840" cy="1183640"/>
        </a:xfrm>
        <a:prstGeom prst="rect">
          <a:avLst/>
        </a:prstGeom>
      </xdr:spPr>
    </xdr:pic>
    <xdr:clientData/>
  </xdr:twoCellAnchor>
  <xdr:twoCellAnchor>
    <xdr:from>
      <xdr:col>8</xdr:col>
      <xdr:colOff>6350</xdr:colOff>
      <xdr:row>1618</xdr:row>
      <xdr:rowOff>25400</xdr:rowOff>
    </xdr:from>
    <xdr:to>
      <xdr:col>8</xdr:col>
      <xdr:colOff>885190</xdr:colOff>
      <xdr:row>1618</xdr:row>
      <xdr:rowOff>1209040</xdr:rowOff>
    </xdr:to>
    <xdr:pic>
      <xdr:nvPicPr>
        <xdr:cNvPr id="5465" name="Изображение 5464" descr="resizeПП-00203218"/>
        <xdr:cNvPicPr>
          <a:picLocks noChangeAspect="1"/>
        </xdr:cNvPicPr>
      </xdr:nvPicPr>
      <xdr:blipFill>
        <a:blip xmlns:r="http://schemas.openxmlformats.org/officeDocument/2006/relationships" r:embed="rId1222"/>
        <a:stretch>
          <a:fillRect/>
        </a:stretch>
      </xdr:blipFill>
      <xdr:spPr>
        <a:xfrm>
          <a:off x="7264400" y="1594862825"/>
          <a:ext cx="878840" cy="1183640"/>
        </a:xfrm>
        <a:prstGeom prst="rect">
          <a:avLst/>
        </a:prstGeom>
      </xdr:spPr>
    </xdr:pic>
    <xdr:clientData/>
  </xdr:twoCellAnchor>
  <xdr:twoCellAnchor>
    <xdr:from>
      <xdr:col>8</xdr:col>
      <xdr:colOff>6350</xdr:colOff>
      <xdr:row>1619</xdr:row>
      <xdr:rowOff>25400</xdr:rowOff>
    </xdr:from>
    <xdr:to>
      <xdr:col>8</xdr:col>
      <xdr:colOff>885190</xdr:colOff>
      <xdr:row>1619</xdr:row>
      <xdr:rowOff>1209040</xdr:rowOff>
    </xdr:to>
    <xdr:pic>
      <xdr:nvPicPr>
        <xdr:cNvPr id="5466" name="Изображение 5465" descr="resizeПП-00203234"/>
        <xdr:cNvPicPr>
          <a:picLocks noChangeAspect="1"/>
        </xdr:cNvPicPr>
      </xdr:nvPicPr>
      <xdr:blipFill>
        <a:blip xmlns:r="http://schemas.openxmlformats.org/officeDocument/2006/relationships" r:embed="rId1223"/>
        <a:stretch>
          <a:fillRect/>
        </a:stretch>
      </xdr:blipFill>
      <xdr:spPr>
        <a:xfrm>
          <a:off x="7264400" y="1596085200"/>
          <a:ext cx="878840" cy="1183640"/>
        </a:xfrm>
        <a:prstGeom prst="rect">
          <a:avLst/>
        </a:prstGeom>
      </xdr:spPr>
    </xdr:pic>
    <xdr:clientData/>
  </xdr:twoCellAnchor>
  <xdr:twoCellAnchor>
    <xdr:from>
      <xdr:col>8</xdr:col>
      <xdr:colOff>6350</xdr:colOff>
      <xdr:row>1620</xdr:row>
      <xdr:rowOff>25400</xdr:rowOff>
    </xdr:from>
    <xdr:to>
      <xdr:col>8</xdr:col>
      <xdr:colOff>885190</xdr:colOff>
      <xdr:row>1620</xdr:row>
      <xdr:rowOff>1209040</xdr:rowOff>
    </xdr:to>
    <xdr:pic>
      <xdr:nvPicPr>
        <xdr:cNvPr id="5467" name="Изображение 5466" descr="resizeПП-00203222"/>
        <xdr:cNvPicPr>
          <a:picLocks noChangeAspect="1"/>
        </xdr:cNvPicPr>
      </xdr:nvPicPr>
      <xdr:blipFill>
        <a:blip xmlns:r="http://schemas.openxmlformats.org/officeDocument/2006/relationships" r:embed="rId1224"/>
        <a:stretch>
          <a:fillRect/>
        </a:stretch>
      </xdr:blipFill>
      <xdr:spPr>
        <a:xfrm>
          <a:off x="7264400" y="1597307575"/>
          <a:ext cx="878840" cy="1183640"/>
        </a:xfrm>
        <a:prstGeom prst="rect">
          <a:avLst/>
        </a:prstGeom>
      </xdr:spPr>
    </xdr:pic>
    <xdr:clientData/>
  </xdr:twoCellAnchor>
  <xdr:twoCellAnchor>
    <xdr:from>
      <xdr:col>8</xdr:col>
      <xdr:colOff>6350</xdr:colOff>
      <xdr:row>1621</xdr:row>
      <xdr:rowOff>25400</xdr:rowOff>
    </xdr:from>
    <xdr:to>
      <xdr:col>8</xdr:col>
      <xdr:colOff>885190</xdr:colOff>
      <xdr:row>1621</xdr:row>
      <xdr:rowOff>1209040</xdr:rowOff>
    </xdr:to>
    <xdr:pic>
      <xdr:nvPicPr>
        <xdr:cNvPr id="5468" name="Изображение 5467" descr="resizeПП-00203226"/>
        <xdr:cNvPicPr>
          <a:picLocks noChangeAspect="1"/>
        </xdr:cNvPicPr>
      </xdr:nvPicPr>
      <xdr:blipFill>
        <a:blip xmlns:r="http://schemas.openxmlformats.org/officeDocument/2006/relationships" r:embed="rId1225"/>
        <a:stretch>
          <a:fillRect/>
        </a:stretch>
      </xdr:blipFill>
      <xdr:spPr>
        <a:xfrm>
          <a:off x="7264400" y="1598529950"/>
          <a:ext cx="878840" cy="1183640"/>
        </a:xfrm>
        <a:prstGeom prst="rect">
          <a:avLst/>
        </a:prstGeom>
      </xdr:spPr>
    </xdr:pic>
    <xdr:clientData/>
  </xdr:twoCellAnchor>
  <xdr:twoCellAnchor>
    <xdr:from>
      <xdr:col>8</xdr:col>
      <xdr:colOff>6350</xdr:colOff>
      <xdr:row>1622</xdr:row>
      <xdr:rowOff>25400</xdr:rowOff>
    </xdr:from>
    <xdr:to>
      <xdr:col>8</xdr:col>
      <xdr:colOff>885190</xdr:colOff>
      <xdr:row>1622</xdr:row>
      <xdr:rowOff>1209040</xdr:rowOff>
    </xdr:to>
    <xdr:pic>
      <xdr:nvPicPr>
        <xdr:cNvPr id="5469" name="Изображение 5468" descr="resizeПП-00203230"/>
        <xdr:cNvPicPr>
          <a:picLocks noChangeAspect="1"/>
        </xdr:cNvPicPr>
      </xdr:nvPicPr>
      <xdr:blipFill>
        <a:blip xmlns:r="http://schemas.openxmlformats.org/officeDocument/2006/relationships" r:embed="rId1226"/>
        <a:stretch>
          <a:fillRect/>
        </a:stretch>
      </xdr:blipFill>
      <xdr:spPr>
        <a:xfrm>
          <a:off x="7264400" y="1599752325"/>
          <a:ext cx="878840" cy="1183640"/>
        </a:xfrm>
        <a:prstGeom prst="rect">
          <a:avLst/>
        </a:prstGeom>
      </xdr:spPr>
    </xdr:pic>
    <xdr:clientData/>
  </xdr:twoCellAnchor>
  <xdr:twoCellAnchor>
    <xdr:from>
      <xdr:col>8</xdr:col>
      <xdr:colOff>6350</xdr:colOff>
      <xdr:row>1623</xdr:row>
      <xdr:rowOff>25400</xdr:rowOff>
    </xdr:from>
    <xdr:to>
      <xdr:col>8</xdr:col>
      <xdr:colOff>885190</xdr:colOff>
      <xdr:row>1623</xdr:row>
      <xdr:rowOff>1209040</xdr:rowOff>
    </xdr:to>
    <xdr:pic>
      <xdr:nvPicPr>
        <xdr:cNvPr id="5470" name="Изображение 5469" descr="resizeПП-00203235"/>
        <xdr:cNvPicPr>
          <a:picLocks noChangeAspect="1"/>
        </xdr:cNvPicPr>
      </xdr:nvPicPr>
      <xdr:blipFill>
        <a:blip xmlns:r="http://schemas.openxmlformats.org/officeDocument/2006/relationships" r:embed="rId1227"/>
        <a:stretch>
          <a:fillRect/>
        </a:stretch>
      </xdr:blipFill>
      <xdr:spPr>
        <a:xfrm>
          <a:off x="7264400" y="1600974700"/>
          <a:ext cx="878840" cy="1183640"/>
        </a:xfrm>
        <a:prstGeom prst="rect">
          <a:avLst/>
        </a:prstGeom>
      </xdr:spPr>
    </xdr:pic>
    <xdr:clientData/>
  </xdr:twoCellAnchor>
  <xdr:twoCellAnchor>
    <xdr:from>
      <xdr:col>8</xdr:col>
      <xdr:colOff>6350</xdr:colOff>
      <xdr:row>1624</xdr:row>
      <xdr:rowOff>25400</xdr:rowOff>
    </xdr:from>
    <xdr:to>
      <xdr:col>8</xdr:col>
      <xdr:colOff>885190</xdr:colOff>
      <xdr:row>1624</xdr:row>
      <xdr:rowOff>1209040</xdr:rowOff>
    </xdr:to>
    <xdr:pic>
      <xdr:nvPicPr>
        <xdr:cNvPr id="5471" name="Изображение 5470" descr="resizeПП-00203238"/>
        <xdr:cNvPicPr>
          <a:picLocks noChangeAspect="1"/>
        </xdr:cNvPicPr>
      </xdr:nvPicPr>
      <xdr:blipFill>
        <a:blip xmlns:r="http://schemas.openxmlformats.org/officeDocument/2006/relationships" r:embed="rId1228"/>
        <a:stretch>
          <a:fillRect/>
        </a:stretch>
      </xdr:blipFill>
      <xdr:spPr>
        <a:xfrm>
          <a:off x="7264400" y="1602197075"/>
          <a:ext cx="878840" cy="1183640"/>
        </a:xfrm>
        <a:prstGeom prst="rect">
          <a:avLst/>
        </a:prstGeom>
      </xdr:spPr>
    </xdr:pic>
    <xdr:clientData/>
  </xdr:twoCellAnchor>
  <xdr:twoCellAnchor>
    <xdr:from>
      <xdr:col>8</xdr:col>
      <xdr:colOff>6350</xdr:colOff>
      <xdr:row>1625</xdr:row>
      <xdr:rowOff>25400</xdr:rowOff>
    </xdr:from>
    <xdr:to>
      <xdr:col>8</xdr:col>
      <xdr:colOff>885190</xdr:colOff>
      <xdr:row>1625</xdr:row>
      <xdr:rowOff>1209040</xdr:rowOff>
    </xdr:to>
    <xdr:pic>
      <xdr:nvPicPr>
        <xdr:cNvPr id="5472" name="Изображение 5471" descr="resizeПП-00203223"/>
        <xdr:cNvPicPr>
          <a:picLocks noChangeAspect="1"/>
        </xdr:cNvPicPr>
      </xdr:nvPicPr>
      <xdr:blipFill>
        <a:blip xmlns:r="http://schemas.openxmlformats.org/officeDocument/2006/relationships" r:embed="rId1229"/>
        <a:stretch>
          <a:fillRect/>
        </a:stretch>
      </xdr:blipFill>
      <xdr:spPr>
        <a:xfrm>
          <a:off x="7264400" y="1603419450"/>
          <a:ext cx="878840" cy="1183640"/>
        </a:xfrm>
        <a:prstGeom prst="rect">
          <a:avLst/>
        </a:prstGeom>
      </xdr:spPr>
    </xdr:pic>
    <xdr:clientData/>
  </xdr:twoCellAnchor>
  <xdr:twoCellAnchor>
    <xdr:from>
      <xdr:col>8</xdr:col>
      <xdr:colOff>6350</xdr:colOff>
      <xdr:row>1626</xdr:row>
      <xdr:rowOff>25400</xdr:rowOff>
    </xdr:from>
    <xdr:to>
      <xdr:col>8</xdr:col>
      <xdr:colOff>885190</xdr:colOff>
      <xdr:row>1626</xdr:row>
      <xdr:rowOff>1209040</xdr:rowOff>
    </xdr:to>
    <xdr:pic>
      <xdr:nvPicPr>
        <xdr:cNvPr id="5473" name="Изображение 5472" descr="resizeПП-00203227"/>
        <xdr:cNvPicPr>
          <a:picLocks noChangeAspect="1"/>
        </xdr:cNvPicPr>
      </xdr:nvPicPr>
      <xdr:blipFill>
        <a:blip xmlns:r="http://schemas.openxmlformats.org/officeDocument/2006/relationships" r:embed="rId1230"/>
        <a:stretch>
          <a:fillRect/>
        </a:stretch>
      </xdr:blipFill>
      <xdr:spPr>
        <a:xfrm>
          <a:off x="7264400" y="1604641825"/>
          <a:ext cx="878840" cy="1183640"/>
        </a:xfrm>
        <a:prstGeom prst="rect">
          <a:avLst/>
        </a:prstGeom>
      </xdr:spPr>
    </xdr:pic>
    <xdr:clientData/>
  </xdr:twoCellAnchor>
  <xdr:twoCellAnchor>
    <xdr:from>
      <xdr:col>8</xdr:col>
      <xdr:colOff>6350</xdr:colOff>
      <xdr:row>1627</xdr:row>
      <xdr:rowOff>25400</xdr:rowOff>
    </xdr:from>
    <xdr:to>
      <xdr:col>8</xdr:col>
      <xdr:colOff>885190</xdr:colOff>
      <xdr:row>1627</xdr:row>
      <xdr:rowOff>1209040</xdr:rowOff>
    </xdr:to>
    <xdr:pic>
      <xdr:nvPicPr>
        <xdr:cNvPr id="5474" name="Изображение 5473" descr="resizeПП-00203231"/>
        <xdr:cNvPicPr>
          <a:picLocks noChangeAspect="1"/>
        </xdr:cNvPicPr>
      </xdr:nvPicPr>
      <xdr:blipFill>
        <a:blip xmlns:r="http://schemas.openxmlformats.org/officeDocument/2006/relationships" r:embed="rId1231"/>
        <a:stretch>
          <a:fillRect/>
        </a:stretch>
      </xdr:blipFill>
      <xdr:spPr>
        <a:xfrm>
          <a:off x="7264400" y="1605864200"/>
          <a:ext cx="878840" cy="1183640"/>
        </a:xfrm>
        <a:prstGeom prst="rect">
          <a:avLst/>
        </a:prstGeom>
      </xdr:spPr>
    </xdr:pic>
    <xdr:clientData/>
  </xdr:twoCellAnchor>
  <xdr:twoCellAnchor>
    <xdr:from>
      <xdr:col>8</xdr:col>
      <xdr:colOff>6350</xdr:colOff>
      <xdr:row>1628</xdr:row>
      <xdr:rowOff>25400</xdr:rowOff>
    </xdr:from>
    <xdr:to>
      <xdr:col>8</xdr:col>
      <xdr:colOff>885190</xdr:colOff>
      <xdr:row>1628</xdr:row>
      <xdr:rowOff>1209040</xdr:rowOff>
    </xdr:to>
    <xdr:pic>
      <xdr:nvPicPr>
        <xdr:cNvPr id="5475" name="Изображение 5474" descr="resizeПП-00203219"/>
        <xdr:cNvPicPr>
          <a:picLocks noChangeAspect="1"/>
        </xdr:cNvPicPr>
      </xdr:nvPicPr>
      <xdr:blipFill>
        <a:blip xmlns:r="http://schemas.openxmlformats.org/officeDocument/2006/relationships" r:embed="rId1232"/>
        <a:stretch>
          <a:fillRect/>
        </a:stretch>
      </xdr:blipFill>
      <xdr:spPr>
        <a:xfrm>
          <a:off x="7264400" y="1607086575"/>
          <a:ext cx="878840" cy="1183640"/>
        </a:xfrm>
        <a:prstGeom prst="rect">
          <a:avLst/>
        </a:prstGeom>
      </xdr:spPr>
    </xdr:pic>
    <xdr:clientData/>
  </xdr:twoCellAnchor>
  <xdr:twoCellAnchor>
    <xdr:from>
      <xdr:col>8</xdr:col>
      <xdr:colOff>6350</xdr:colOff>
      <xdr:row>1629</xdr:row>
      <xdr:rowOff>25400</xdr:rowOff>
    </xdr:from>
    <xdr:to>
      <xdr:col>8</xdr:col>
      <xdr:colOff>885190</xdr:colOff>
      <xdr:row>1629</xdr:row>
      <xdr:rowOff>1209040</xdr:rowOff>
    </xdr:to>
    <xdr:pic>
      <xdr:nvPicPr>
        <xdr:cNvPr id="5476" name="Изображение 5475" descr="resizeПП-00203236"/>
        <xdr:cNvPicPr>
          <a:picLocks noChangeAspect="1"/>
        </xdr:cNvPicPr>
      </xdr:nvPicPr>
      <xdr:blipFill>
        <a:blip xmlns:r="http://schemas.openxmlformats.org/officeDocument/2006/relationships" r:embed="rId1233"/>
        <a:stretch>
          <a:fillRect/>
        </a:stretch>
      </xdr:blipFill>
      <xdr:spPr>
        <a:xfrm>
          <a:off x="7264400" y="1608308950"/>
          <a:ext cx="878840" cy="1183640"/>
        </a:xfrm>
        <a:prstGeom prst="rect">
          <a:avLst/>
        </a:prstGeom>
      </xdr:spPr>
    </xdr:pic>
    <xdr:clientData/>
  </xdr:twoCellAnchor>
  <xdr:twoCellAnchor>
    <xdr:from>
      <xdr:col>8</xdr:col>
      <xdr:colOff>6350</xdr:colOff>
      <xdr:row>1630</xdr:row>
      <xdr:rowOff>25400</xdr:rowOff>
    </xdr:from>
    <xdr:to>
      <xdr:col>8</xdr:col>
      <xdr:colOff>885190</xdr:colOff>
      <xdr:row>1630</xdr:row>
      <xdr:rowOff>1209040</xdr:rowOff>
    </xdr:to>
    <xdr:pic>
      <xdr:nvPicPr>
        <xdr:cNvPr id="5477" name="Изображение 5476" descr="resizeПП-00203224"/>
        <xdr:cNvPicPr>
          <a:picLocks noChangeAspect="1"/>
        </xdr:cNvPicPr>
      </xdr:nvPicPr>
      <xdr:blipFill>
        <a:blip xmlns:r="http://schemas.openxmlformats.org/officeDocument/2006/relationships" r:embed="rId1234"/>
        <a:stretch>
          <a:fillRect/>
        </a:stretch>
      </xdr:blipFill>
      <xdr:spPr>
        <a:xfrm>
          <a:off x="7264400" y="1609531325"/>
          <a:ext cx="878840" cy="1183640"/>
        </a:xfrm>
        <a:prstGeom prst="rect">
          <a:avLst/>
        </a:prstGeom>
      </xdr:spPr>
    </xdr:pic>
    <xdr:clientData/>
  </xdr:twoCellAnchor>
  <xdr:twoCellAnchor>
    <xdr:from>
      <xdr:col>8</xdr:col>
      <xdr:colOff>6350</xdr:colOff>
      <xdr:row>1631</xdr:row>
      <xdr:rowOff>25400</xdr:rowOff>
    </xdr:from>
    <xdr:to>
      <xdr:col>8</xdr:col>
      <xdr:colOff>885190</xdr:colOff>
      <xdr:row>1631</xdr:row>
      <xdr:rowOff>1209040</xdr:rowOff>
    </xdr:to>
    <xdr:pic>
      <xdr:nvPicPr>
        <xdr:cNvPr id="5478" name="Изображение 5477" descr="resizeПП-00203228"/>
        <xdr:cNvPicPr>
          <a:picLocks noChangeAspect="1"/>
        </xdr:cNvPicPr>
      </xdr:nvPicPr>
      <xdr:blipFill>
        <a:blip xmlns:r="http://schemas.openxmlformats.org/officeDocument/2006/relationships" r:embed="rId1235"/>
        <a:stretch>
          <a:fillRect/>
        </a:stretch>
      </xdr:blipFill>
      <xdr:spPr>
        <a:xfrm>
          <a:off x="7264400" y="1610753700"/>
          <a:ext cx="878840" cy="1183640"/>
        </a:xfrm>
        <a:prstGeom prst="rect">
          <a:avLst/>
        </a:prstGeom>
      </xdr:spPr>
    </xdr:pic>
    <xdr:clientData/>
  </xdr:twoCellAnchor>
  <xdr:twoCellAnchor>
    <xdr:from>
      <xdr:col>8</xdr:col>
      <xdr:colOff>6350</xdr:colOff>
      <xdr:row>1632</xdr:row>
      <xdr:rowOff>25400</xdr:rowOff>
    </xdr:from>
    <xdr:to>
      <xdr:col>8</xdr:col>
      <xdr:colOff>885190</xdr:colOff>
      <xdr:row>1632</xdr:row>
      <xdr:rowOff>1209040</xdr:rowOff>
    </xdr:to>
    <xdr:pic>
      <xdr:nvPicPr>
        <xdr:cNvPr id="5479" name="Изображение 5478" descr="resizeПП-00203220"/>
        <xdr:cNvPicPr>
          <a:picLocks noChangeAspect="1"/>
        </xdr:cNvPicPr>
      </xdr:nvPicPr>
      <xdr:blipFill>
        <a:blip xmlns:r="http://schemas.openxmlformats.org/officeDocument/2006/relationships" r:embed="rId1236"/>
        <a:stretch>
          <a:fillRect/>
        </a:stretch>
      </xdr:blipFill>
      <xdr:spPr>
        <a:xfrm>
          <a:off x="7264400" y="1611976075"/>
          <a:ext cx="878840" cy="1183640"/>
        </a:xfrm>
        <a:prstGeom prst="rect">
          <a:avLst/>
        </a:prstGeom>
      </xdr:spPr>
    </xdr:pic>
    <xdr:clientData/>
  </xdr:twoCellAnchor>
  <xdr:twoCellAnchor>
    <xdr:from>
      <xdr:col>8</xdr:col>
      <xdr:colOff>6350</xdr:colOff>
      <xdr:row>1633</xdr:row>
      <xdr:rowOff>25400</xdr:rowOff>
    </xdr:from>
    <xdr:to>
      <xdr:col>8</xdr:col>
      <xdr:colOff>885190</xdr:colOff>
      <xdr:row>1633</xdr:row>
      <xdr:rowOff>1209040</xdr:rowOff>
    </xdr:to>
    <xdr:pic>
      <xdr:nvPicPr>
        <xdr:cNvPr id="5480" name="Изображение 5479" descr="resizeПП-00203232"/>
        <xdr:cNvPicPr>
          <a:picLocks noChangeAspect="1"/>
        </xdr:cNvPicPr>
      </xdr:nvPicPr>
      <xdr:blipFill>
        <a:blip xmlns:r="http://schemas.openxmlformats.org/officeDocument/2006/relationships" r:embed="rId1237"/>
        <a:stretch>
          <a:fillRect/>
        </a:stretch>
      </xdr:blipFill>
      <xdr:spPr>
        <a:xfrm>
          <a:off x="7264400" y="1613198450"/>
          <a:ext cx="878840" cy="1183640"/>
        </a:xfrm>
        <a:prstGeom prst="rect">
          <a:avLst/>
        </a:prstGeom>
      </xdr:spPr>
    </xdr:pic>
    <xdr:clientData/>
  </xdr:twoCellAnchor>
  <xdr:twoCellAnchor>
    <xdr:from>
      <xdr:col>8</xdr:col>
      <xdr:colOff>6350</xdr:colOff>
      <xdr:row>1635</xdr:row>
      <xdr:rowOff>25400</xdr:rowOff>
    </xdr:from>
    <xdr:to>
      <xdr:col>8</xdr:col>
      <xdr:colOff>885190</xdr:colOff>
      <xdr:row>1635</xdr:row>
      <xdr:rowOff>1209040</xdr:rowOff>
    </xdr:to>
    <xdr:pic>
      <xdr:nvPicPr>
        <xdr:cNvPr id="5481" name="Изображение 5480" descr="resizeПП-00163364"/>
        <xdr:cNvPicPr>
          <a:picLocks noChangeAspect="1"/>
        </xdr:cNvPicPr>
      </xdr:nvPicPr>
      <xdr:blipFill>
        <a:blip xmlns:r="http://schemas.openxmlformats.org/officeDocument/2006/relationships" r:embed="rId1238"/>
        <a:stretch>
          <a:fillRect/>
        </a:stretch>
      </xdr:blipFill>
      <xdr:spPr>
        <a:xfrm>
          <a:off x="7264400" y="1614573225"/>
          <a:ext cx="878840" cy="1183640"/>
        </a:xfrm>
        <a:prstGeom prst="rect">
          <a:avLst/>
        </a:prstGeom>
      </xdr:spPr>
    </xdr:pic>
    <xdr:clientData/>
  </xdr:twoCellAnchor>
  <xdr:twoCellAnchor>
    <xdr:from>
      <xdr:col>8</xdr:col>
      <xdr:colOff>6350</xdr:colOff>
      <xdr:row>1636</xdr:row>
      <xdr:rowOff>25400</xdr:rowOff>
    </xdr:from>
    <xdr:to>
      <xdr:col>8</xdr:col>
      <xdr:colOff>885190</xdr:colOff>
      <xdr:row>1636</xdr:row>
      <xdr:rowOff>1209040</xdr:rowOff>
    </xdr:to>
    <xdr:pic>
      <xdr:nvPicPr>
        <xdr:cNvPr id="5482" name="Изображение 5481" descr="resizeПП-00163387"/>
        <xdr:cNvPicPr>
          <a:picLocks noChangeAspect="1"/>
        </xdr:cNvPicPr>
      </xdr:nvPicPr>
      <xdr:blipFill>
        <a:blip xmlns:r="http://schemas.openxmlformats.org/officeDocument/2006/relationships" r:embed="rId1239"/>
        <a:stretch>
          <a:fillRect/>
        </a:stretch>
      </xdr:blipFill>
      <xdr:spPr>
        <a:xfrm>
          <a:off x="7264400" y="1615795600"/>
          <a:ext cx="878840" cy="1183640"/>
        </a:xfrm>
        <a:prstGeom prst="rect">
          <a:avLst/>
        </a:prstGeom>
      </xdr:spPr>
    </xdr:pic>
    <xdr:clientData/>
  </xdr:twoCellAnchor>
  <xdr:twoCellAnchor>
    <xdr:from>
      <xdr:col>8</xdr:col>
      <xdr:colOff>6350</xdr:colOff>
      <xdr:row>1637</xdr:row>
      <xdr:rowOff>25400</xdr:rowOff>
    </xdr:from>
    <xdr:to>
      <xdr:col>8</xdr:col>
      <xdr:colOff>885190</xdr:colOff>
      <xdr:row>1637</xdr:row>
      <xdr:rowOff>1209040</xdr:rowOff>
    </xdr:to>
    <xdr:pic>
      <xdr:nvPicPr>
        <xdr:cNvPr id="5483" name="Изображение 5482" descr="resizeПП-00206402"/>
        <xdr:cNvPicPr>
          <a:picLocks noChangeAspect="1"/>
        </xdr:cNvPicPr>
      </xdr:nvPicPr>
      <xdr:blipFill>
        <a:blip xmlns:r="http://schemas.openxmlformats.org/officeDocument/2006/relationships" r:embed="rId1240"/>
        <a:stretch>
          <a:fillRect/>
        </a:stretch>
      </xdr:blipFill>
      <xdr:spPr>
        <a:xfrm>
          <a:off x="7264400" y="1617017975"/>
          <a:ext cx="878840" cy="1183640"/>
        </a:xfrm>
        <a:prstGeom prst="rect">
          <a:avLst/>
        </a:prstGeom>
      </xdr:spPr>
    </xdr:pic>
    <xdr:clientData/>
  </xdr:twoCellAnchor>
  <xdr:twoCellAnchor>
    <xdr:from>
      <xdr:col>8</xdr:col>
      <xdr:colOff>6350</xdr:colOff>
      <xdr:row>1638</xdr:row>
      <xdr:rowOff>25400</xdr:rowOff>
    </xdr:from>
    <xdr:to>
      <xdr:col>8</xdr:col>
      <xdr:colOff>885190</xdr:colOff>
      <xdr:row>1638</xdr:row>
      <xdr:rowOff>1209040</xdr:rowOff>
    </xdr:to>
    <xdr:pic>
      <xdr:nvPicPr>
        <xdr:cNvPr id="5484" name="Изображение 5483" descr="resizeПП-00206398"/>
        <xdr:cNvPicPr>
          <a:picLocks noChangeAspect="1"/>
        </xdr:cNvPicPr>
      </xdr:nvPicPr>
      <xdr:blipFill>
        <a:blip xmlns:r="http://schemas.openxmlformats.org/officeDocument/2006/relationships" r:embed="rId1241"/>
        <a:stretch>
          <a:fillRect/>
        </a:stretch>
      </xdr:blipFill>
      <xdr:spPr>
        <a:xfrm>
          <a:off x="7264400" y="1618240350"/>
          <a:ext cx="878840" cy="1183640"/>
        </a:xfrm>
        <a:prstGeom prst="rect">
          <a:avLst/>
        </a:prstGeom>
      </xdr:spPr>
    </xdr:pic>
    <xdr:clientData/>
  </xdr:twoCellAnchor>
  <xdr:twoCellAnchor>
    <xdr:from>
      <xdr:col>8</xdr:col>
      <xdr:colOff>6350</xdr:colOff>
      <xdr:row>1639</xdr:row>
      <xdr:rowOff>25400</xdr:rowOff>
    </xdr:from>
    <xdr:to>
      <xdr:col>8</xdr:col>
      <xdr:colOff>885190</xdr:colOff>
      <xdr:row>1639</xdr:row>
      <xdr:rowOff>1209040</xdr:rowOff>
    </xdr:to>
    <xdr:pic>
      <xdr:nvPicPr>
        <xdr:cNvPr id="5485" name="Изображение 5484" descr="resizeПП-00206400"/>
        <xdr:cNvPicPr>
          <a:picLocks noChangeAspect="1"/>
        </xdr:cNvPicPr>
      </xdr:nvPicPr>
      <xdr:blipFill>
        <a:blip xmlns:r="http://schemas.openxmlformats.org/officeDocument/2006/relationships" r:embed="rId1242"/>
        <a:stretch>
          <a:fillRect/>
        </a:stretch>
      </xdr:blipFill>
      <xdr:spPr>
        <a:xfrm>
          <a:off x="7264400" y="1619462725"/>
          <a:ext cx="878840" cy="1183640"/>
        </a:xfrm>
        <a:prstGeom prst="rect">
          <a:avLst/>
        </a:prstGeom>
      </xdr:spPr>
    </xdr:pic>
    <xdr:clientData/>
  </xdr:twoCellAnchor>
  <xdr:twoCellAnchor>
    <xdr:from>
      <xdr:col>8</xdr:col>
      <xdr:colOff>6350</xdr:colOff>
      <xdr:row>1640</xdr:row>
      <xdr:rowOff>25400</xdr:rowOff>
    </xdr:from>
    <xdr:to>
      <xdr:col>8</xdr:col>
      <xdr:colOff>885190</xdr:colOff>
      <xdr:row>1640</xdr:row>
      <xdr:rowOff>1209040</xdr:rowOff>
    </xdr:to>
    <xdr:pic>
      <xdr:nvPicPr>
        <xdr:cNvPr id="5486" name="Изображение 5485" descr="resizeПП-00206403"/>
        <xdr:cNvPicPr>
          <a:picLocks noChangeAspect="1"/>
        </xdr:cNvPicPr>
      </xdr:nvPicPr>
      <xdr:blipFill>
        <a:blip xmlns:r="http://schemas.openxmlformats.org/officeDocument/2006/relationships" r:embed="rId1243"/>
        <a:stretch>
          <a:fillRect/>
        </a:stretch>
      </xdr:blipFill>
      <xdr:spPr>
        <a:xfrm>
          <a:off x="7264400" y="1620685100"/>
          <a:ext cx="878840" cy="1183640"/>
        </a:xfrm>
        <a:prstGeom prst="rect">
          <a:avLst/>
        </a:prstGeom>
      </xdr:spPr>
    </xdr:pic>
    <xdr:clientData/>
  </xdr:twoCellAnchor>
  <xdr:twoCellAnchor>
    <xdr:from>
      <xdr:col>8</xdr:col>
      <xdr:colOff>6350</xdr:colOff>
      <xdr:row>1641</xdr:row>
      <xdr:rowOff>25400</xdr:rowOff>
    </xdr:from>
    <xdr:to>
      <xdr:col>8</xdr:col>
      <xdr:colOff>885190</xdr:colOff>
      <xdr:row>1641</xdr:row>
      <xdr:rowOff>1209040</xdr:rowOff>
    </xdr:to>
    <xdr:pic>
      <xdr:nvPicPr>
        <xdr:cNvPr id="5487" name="Изображение 5486" descr="resizeПП-00206405"/>
        <xdr:cNvPicPr>
          <a:picLocks noChangeAspect="1"/>
        </xdr:cNvPicPr>
      </xdr:nvPicPr>
      <xdr:blipFill>
        <a:blip xmlns:r="http://schemas.openxmlformats.org/officeDocument/2006/relationships" r:embed="rId1244"/>
        <a:stretch>
          <a:fillRect/>
        </a:stretch>
      </xdr:blipFill>
      <xdr:spPr>
        <a:xfrm>
          <a:off x="7264400" y="1621907475"/>
          <a:ext cx="878840" cy="1183640"/>
        </a:xfrm>
        <a:prstGeom prst="rect">
          <a:avLst/>
        </a:prstGeom>
      </xdr:spPr>
    </xdr:pic>
    <xdr:clientData/>
  </xdr:twoCellAnchor>
  <xdr:twoCellAnchor>
    <xdr:from>
      <xdr:col>8</xdr:col>
      <xdr:colOff>6350</xdr:colOff>
      <xdr:row>1642</xdr:row>
      <xdr:rowOff>25400</xdr:rowOff>
    </xdr:from>
    <xdr:to>
      <xdr:col>8</xdr:col>
      <xdr:colOff>885190</xdr:colOff>
      <xdr:row>1642</xdr:row>
      <xdr:rowOff>1209040</xdr:rowOff>
    </xdr:to>
    <xdr:pic>
      <xdr:nvPicPr>
        <xdr:cNvPr id="5488" name="Изображение 5487" descr="resizeПП-00206406"/>
        <xdr:cNvPicPr>
          <a:picLocks noChangeAspect="1"/>
        </xdr:cNvPicPr>
      </xdr:nvPicPr>
      <xdr:blipFill>
        <a:blip xmlns:r="http://schemas.openxmlformats.org/officeDocument/2006/relationships" r:embed="rId1245"/>
        <a:stretch>
          <a:fillRect/>
        </a:stretch>
      </xdr:blipFill>
      <xdr:spPr>
        <a:xfrm>
          <a:off x="7264400" y="1623129850"/>
          <a:ext cx="878840" cy="1183640"/>
        </a:xfrm>
        <a:prstGeom prst="rect">
          <a:avLst/>
        </a:prstGeom>
      </xdr:spPr>
    </xdr:pic>
    <xdr:clientData/>
  </xdr:twoCellAnchor>
  <xdr:twoCellAnchor>
    <xdr:from>
      <xdr:col>8</xdr:col>
      <xdr:colOff>6350</xdr:colOff>
      <xdr:row>1643</xdr:row>
      <xdr:rowOff>25400</xdr:rowOff>
    </xdr:from>
    <xdr:to>
      <xdr:col>8</xdr:col>
      <xdr:colOff>885190</xdr:colOff>
      <xdr:row>1643</xdr:row>
      <xdr:rowOff>1209040</xdr:rowOff>
    </xdr:to>
    <xdr:pic>
      <xdr:nvPicPr>
        <xdr:cNvPr id="5489" name="Изображение 5488" descr="resizeПП-00206408"/>
        <xdr:cNvPicPr>
          <a:picLocks noChangeAspect="1"/>
        </xdr:cNvPicPr>
      </xdr:nvPicPr>
      <xdr:blipFill>
        <a:blip xmlns:r="http://schemas.openxmlformats.org/officeDocument/2006/relationships" r:embed="rId1246"/>
        <a:stretch>
          <a:fillRect/>
        </a:stretch>
      </xdr:blipFill>
      <xdr:spPr>
        <a:xfrm>
          <a:off x="7264400" y="1624352225"/>
          <a:ext cx="878840" cy="1183640"/>
        </a:xfrm>
        <a:prstGeom prst="rect">
          <a:avLst/>
        </a:prstGeom>
      </xdr:spPr>
    </xdr:pic>
    <xdr:clientData/>
  </xdr:twoCellAnchor>
  <xdr:twoCellAnchor>
    <xdr:from>
      <xdr:col>8</xdr:col>
      <xdr:colOff>6350</xdr:colOff>
      <xdr:row>1644</xdr:row>
      <xdr:rowOff>25400</xdr:rowOff>
    </xdr:from>
    <xdr:to>
      <xdr:col>8</xdr:col>
      <xdr:colOff>885190</xdr:colOff>
      <xdr:row>1644</xdr:row>
      <xdr:rowOff>1209040</xdr:rowOff>
    </xdr:to>
    <xdr:pic>
      <xdr:nvPicPr>
        <xdr:cNvPr id="5490" name="Изображение 5489" descr="resizeПП-00206401"/>
        <xdr:cNvPicPr>
          <a:picLocks noChangeAspect="1"/>
        </xdr:cNvPicPr>
      </xdr:nvPicPr>
      <xdr:blipFill>
        <a:blip xmlns:r="http://schemas.openxmlformats.org/officeDocument/2006/relationships" r:embed="rId1247"/>
        <a:stretch>
          <a:fillRect/>
        </a:stretch>
      </xdr:blipFill>
      <xdr:spPr>
        <a:xfrm>
          <a:off x="7264400" y="1625574600"/>
          <a:ext cx="878840" cy="1183640"/>
        </a:xfrm>
        <a:prstGeom prst="rect">
          <a:avLst/>
        </a:prstGeom>
      </xdr:spPr>
    </xdr:pic>
    <xdr:clientData/>
  </xdr:twoCellAnchor>
  <xdr:twoCellAnchor>
    <xdr:from>
      <xdr:col>8</xdr:col>
      <xdr:colOff>6350</xdr:colOff>
      <xdr:row>1647</xdr:row>
      <xdr:rowOff>25400</xdr:rowOff>
    </xdr:from>
    <xdr:to>
      <xdr:col>8</xdr:col>
      <xdr:colOff>885190</xdr:colOff>
      <xdr:row>1647</xdr:row>
      <xdr:rowOff>1209040</xdr:rowOff>
    </xdr:to>
    <xdr:pic>
      <xdr:nvPicPr>
        <xdr:cNvPr id="5491" name="Изображение 5490" descr="resizeПП-00279558"/>
        <xdr:cNvPicPr>
          <a:picLocks noChangeAspect="1"/>
        </xdr:cNvPicPr>
      </xdr:nvPicPr>
      <xdr:blipFill>
        <a:blip xmlns:r="http://schemas.openxmlformats.org/officeDocument/2006/relationships" r:embed="rId1248"/>
        <a:stretch>
          <a:fillRect/>
        </a:stretch>
      </xdr:blipFill>
      <xdr:spPr>
        <a:xfrm>
          <a:off x="7264400" y="1627101775"/>
          <a:ext cx="878840" cy="1183640"/>
        </a:xfrm>
        <a:prstGeom prst="rect">
          <a:avLst/>
        </a:prstGeom>
      </xdr:spPr>
    </xdr:pic>
    <xdr:clientData/>
  </xdr:twoCellAnchor>
  <xdr:twoCellAnchor>
    <xdr:from>
      <xdr:col>8</xdr:col>
      <xdr:colOff>6350</xdr:colOff>
      <xdr:row>1648</xdr:row>
      <xdr:rowOff>25400</xdr:rowOff>
    </xdr:from>
    <xdr:to>
      <xdr:col>8</xdr:col>
      <xdr:colOff>885190</xdr:colOff>
      <xdr:row>1648</xdr:row>
      <xdr:rowOff>1209040</xdr:rowOff>
    </xdr:to>
    <xdr:pic>
      <xdr:nvPicPr>
        <xdr:cNvPr id="5492" name="Изображение 5491" descr="resizeПП-00163888"/>
        <xdr:cNvPicPr>
          <a:picLocks noChangeAspect="1"/>
        </xdr:cNvPicPr>
      </xdr:nvPicPr>
      <xdr:blipFill>
        <a:blip xmlns:r="http://schemas.openxmlformats.org/officeDocument/2006/relationships" r:embed="rId1249"/>
        <a:stretch>
          <a:fillRect/>
        </a:stretch>
      </xdr:blipFill>
      <xdr:spPr>
        <a:xfrm>
          <a:off x="7264400" y="1628324150"/>
          <a:ext cx="878840" cy="1183640"/>
        </a:xfrm>
        <a:prstGeom prst="rect">
          <a:avLst/>
        </a:prstGeom>
      </xdr:spPr>
    </xdr:pic>
    <xdr:clientData/>
  </xdr:twoCellAnchor>
  <xdr:twoCellAnchor>
    <xdr:from>
      <xdr:col>8</xdr:col>
      <xdr:colOff>6350</xdr:colOff>
      <xdr:row>1649</xdr:row>
      <xdr:rowOff>25400</xdr:rowOff>
    </xdr:from>
    <xdr:to>
      <xdr:col>8</xdr:col>
      <xdr:colOff>885190</xdr:colOff>
      <xdr:row>1649</xdr:row>
      <xdr:rowOff>1209040</xdr:rowOff>
    </xdr:to>
    <xdr:pic>
      <xdr:nvPicPr>
        <xdr:cNvPr id="5493" name="Изображение 5492" descr="resizeПП-00163884"/>
        <xdr:cNvPicPr>
          <a:picLocks noChangeAspect="1"/>
        </xdr:cNvPicPr>
      </xdr:nvPicPr>
      <xdr:blipFill>
        <a:blip xmlns:r="http://schemas.openxmlformats.org/officeDocument/2006/relationships" r:embed="rId1250"/>
        <a:stretch>
          <a:fillRect/>
        </a:stretch>
      </xdr:blipFill>
      <xdr:spPr>
        <a:xfrm>
          <a:off x="7264400" y="1629546525"/>
          <a:ext cx="878840" cy="1183640"/>
        </a:xfrm>
        <a:prstGeom prst="rect">
          <a:avLst/>
        </a:prstGeom>
      </xdr:spPr>
    </xdr:pic>
    <xdr:clientData/>
  </xdr:twoCellAnchor>
  <xdr:twoCellAnchor>
    <xdr:from>
      <xdr:col>8</xdr:col>
      <xdr:colOff>6350</xdr:colOff>
      <xdr:row>1650</xdr:row>
      <xdr:rowOff>25400</xdr:rowOff>
    </xdr:from>
    <xdr:to>
      <xdr:col>8</xdr:col>
      <xdr:colOff>885190</xdr:colOff>
      <xdr:row>1650</xdr:row>
      <xdr:rowOff>1209040</xdr:rowOff>
    </xdr:to>
    <xdr:pic>
      <xdr:nvPicPr>
        <xdr:cNvPr id="5494" name="Изображение 5493" descr="resizeПП-00163885"/>
        <xdr:cNvPicPr>
          <a:picLocks noChangeAspect="1"/>
        </xdr:cNvPicPr>
      </xdr:nvPicPr>
      <xdr:blipFill>
        <a:blip xmlns:r="http://schemas.openxmlformats.org/officeDocument/2006/relationships" r:embed="rId1251"/>
        <a:stretch>
          <a:fillRect/>
        </a:stretch>
      </xdr:blipFill>
      <xdr:spPr>
        <a:xfrm>
          <a:off x="7264400" y="1630768900"/>
          <a:ext cx="878840" cy="1183640"/>
        </a:xfrm>
        <a:prstGeom prst="rect">
          <a:avLst/>
        </a:prstGeom>
      </xdr:spPr>
    </xdr:pic>
    <xdr:clientData/>
  </xdr:twoCellAnchor>
  <xdr:twoCellAnchor>
    <xdr:from>
      <xdr:col>8</xdr:col>
      <xdr:colOff>6350</xdr:colOff>
      <xdr:row>1651</xdr:row>
      <xdr:rowOff>25400</xdr:rowOff>
    </xdr:from>
    <xdr:to>
      <xdr:col>8</xdr:col>
      <xdr:colOff>885190</xdr:colOff>
      <xdr:row>1651</xdr:row>
      <xdr:rowOff>1209040</xdr:rowOff>
    </xdr:to>
    <xdr:pic>
      <xdr:nvPicPr>
        <xdr:cNvPr id="5495" name="Изображение 5494" descr="resizeПП-00163880"/>
        <xdr:cNvPicPr>
          <a:picLocks noChangeAspect="1"/>
        </xdr:cNvPicPr>
      </xdr:nvPicPr>
      <xdr:blipFill>
        <a:blip xmlns:r="http://schemas.openxmlformats.org/officeDocument/2006/relationships" r:embed="rId1252"/>
        <a:stretch>
          <a:fillRect/>
        </a:stretch>
      </xdr:blipFill>
      <xdr:spPr>
        <a:xfrm>
          <a:off x="7264400" y="1631991275"/>
          <a:ext cx="878840" cy="1183640"/>
        </a:xfrm>
        <a:prstGeom prst="rect">
          <a:avLst/>
        </a:prstGeom>
      </xdr:spPr>
    </xdr:pic>
    <xdr:clientData/>
  </xdr:twoCellAnchor>
  <xdr:twoCellAnchor>
    <xdr:from>
      <xdr:col>8</xdr:col>
      <xdr:colOff>6350</xdr:colOff>
      <xdr:row>1652</xdr:row>
      <xdr:rowOff>25400</xdr:rowOff>
    </xdr:from>
    <xdr:to>
      <xdr:col>8</xdr:col>
      <xdr:colOff>885190</xdr:colOff>
      <xdr:row>1652</xdr:row>
      <xdr:rowOff>1209040</xdr:rowOff>
    </xdr:to>
    <xdr:pic>
      <xdr:nvPicPr>
        <xdr:cNvPr id="5496" name="Изображение 5495" descr="resizeПП-00279557"/>
        <xdr:cNvPicPr>
          <a:picLocks noChangeAspect="1"/>
        </xdr:cNvPicPr>
      </xdr:nvPicPr>
      <xdr:blipFill>
        <a:blip xmlns:r="http://schemas.openxmlformats.org/officeDocument/2006/relationships" r:embed="rId1253"/>
        <a:stretch>
          <a:fillRect/>
        </a:stretch>
      </xdr:blipFill>
      <xdr:spPr>
        <a:xfrm>
          <a:off x="7264400" y="1633213650"/>
          <a:ext cx="878840" cy="1183640"/>
        </a:xfrm>
        <a:prstGeom prst="rect">
          <a:avLst/>
        </a:prstGeom>
      </xdr:spPr>
    </xdr:pic>
    <xdr:clientData/>
  </xdr:twoCellAnchor>
  <xdr:twoCellAnchor>
    <xdr:from>
      <xdr:col>8</xdr:col>
      <xdr:colOff>6350</xdr:colOff>
      <xdr:row>1653</xdr:row>
      <xdr:rowOff>25400</xdr:rowOff>
    </xdr:from>
    <xdr:to>
      <xdr:col>8</xdr:col>
      <xdr:colOff>885190</xdr:colOff>
      <xdr:row>1653</xdr:row>
      <xdr:rowOff>1209040</xdr:rowOff>
    </xdr:to>
    <xdr:pic>
      <xdr:nvPicPr>
        <xdr:cNvPr id="5497" name="Изображение 5496" descr="resizeПП-00163896"/>
        <xdr:cNvPicPr>
          <a:picLocks noChangeAspect="1"/>
        </xdr:cNvPicPr>
      </xdr:nvPicPr>
      <xdr:blipFill>
        <a:blip xmlns:r="http://schemas.openxmlformats.org/officeDocument/2006/relationships" r:embed="rId1254"/>
        <a:stretch>
          <a:fillRect/>
        </a:stretch>
      </xdr:blipFill>
      <xdr:spPr>
        <a:xfrm>
          <a:off x="7264400" y="1634436025"/>
          <a:ext cx="878840" cy="1183640"/>
        </a:xfrm>
        <a:prstGeom prst="rect">
          <a:avLst/>
        </a:prstGeom>
      </xdr:spPr>
    </xdr:pic>
    <xdr:clientData/>
  </xdr:twoCellAnchor>
  <xdr:twoCellAnchor>
    <xdr:from>
      <xdr:col>8</xdr:col>
      <xdr:colOff>6350</xdr:colOff>
      <xdr:row>1654</xdr:row>
      <xdr:rowOff>25400</xdr:rowOff>
    </xdr:from>
    <xdr:to>
      <xdr:col>8</xdr:col>
      <xdr:colOff>885190</xdr:colOff>
      <xdr:row>1654</xdr:row>
      <xdr:rowOff>1209040</xdr:rowOff>
    </xdr:to>
    <xdr:pic>
      <xdr:nvPicPr>
        <xdr:cNvPr id="5498" name="Изображение 5497" descr="resizeПП-00163895"/>
        <xdr:cNvPicPr>
          <a:picLocks noChangeAspect="1"/>
        </xdr:cNvPicPr>
      </xdr:nvPicPr>
      <xdr:blipFill>
        <a:blip xmlns:r="http://schemas.openxmlformats.org/officeDocument/2006/relationships" r:embed="rId1255"/>
        <a:stretch>
          <a:fillRect/>
        </a:stretch>
      </xdr:blipFill>
      <xdr:spPr>
        <a:xfrm>
          <a:off x="7264400" y="1635658400"/>
          <a:ext cx="878840" cy="1183640"/>
        </a:xfrm>
        <a:prstGeom prst="rect">
          <a:avLst/>
        </a:prstGeom>
      </xdr:spPr>
    </xdr:pic>
    <xdr:clientData/>
  </xdr:twoCellAnchor>
  <xdr:twoCellAnchor>
    <xdr:from>
      <xdr:col>8</xdr:col>
      <xdr:colOff>6350</xdr:colOff>
      <xdr:row>1655</xdr:row>
      <xdr:rowOff>25400</xdr:rowOff>
    </xdr:from>
    <xdr:to>
      <xdr:col>8</xdr:col>
      <xdr:colOff>885190</xdr:colOff>
      <xdr:row>1655</xdr:row>
      <xdr:rowOff>1209040</xdr:rowOff>
    </xdr:to>
    <xdr:pic>
      <xdr:nvPicPr>
        <xdr:cNvPr id="5499" name="Изображение 5498" descr="resizeПП-00279556"/>
        <xdr:cNvPicPr>
          <a:picLocks noChangeAspect="1"/>
        </xdr:cNvPicPr>
      </xdr:nvPicPr>
      <xdr:blipFill>
        <a:blip xmlns:r="http://schemas.openxmlformats.org/officeDocument/2006/relationships" r:embed="rId1256"/>
        <a:stretch>
          <a:fillRect/>
        </a:stretch>
      </xdr:blipFill>
      <xdr:spPr>
        <a:xfrm>
          <a:off x="7264400" y="1636880775"/>
          <a:ext cx="878840" cy="1183640"/>
        </a:xfrm>
        <a:prstGeom prst="rect">
          <a:avLst/>
        </a:prstGeom>
      </xdr:spPr>
    </xdr:pic>
    <xdr:clientData/>
  </xdr:twoCellAnchor>
  <xdr:twoCellAnchor>
    <xdr:from>
      <xdr:col>8</xdr:col>
      <xdr:colOff>6350</xdr:colOff>
      <xdr:row>1657</xdr:row>
      <xdr:rowOff>25400</xdr:rowOff>
    </xdr:from>
    <xdr:to>
      <xdr:col>8</xdr:col>
      <xdr:colOff>885190</xdr:colOff>
      <xdr:row>1657</xdr:row>
      <xdr:rowOff>1209040</xdr:rowOff>
    </xdr:to>
    <xdr:pic>
      <xdr:nvPicPr>
        <xdr:cNvPr id="5500" name="Изображение 5499" descr="resizeПП-00201313"/>
        <xdr:cNvPicPr>
          <a:picLocks noChangeAspect="1"/>
        </xdr:cNvPicPr>
      </xdr:nvPicPr>
      <xdr:blipFill>
        <a:blip xmlns:r="http://schemas.openxmlformats.org/officeDocument/2006/relationships" r:embed="rId1257"/>
        <a:stretch>
          <a:fillRect/>
        </a:stretch>
      </xdr:blipFill>
      <xdr:spPr>
        <a:xfrm>
          <a:off x="7264400" y="1638255550"/>
          <a:ext cx="878840" cy="1183640"/>
        </a:xfrm>
        <a:prstGeom prst="rect">
          <a:avLst/>
        </a:prstGeom>
      </xdr:spPr>
    </xdr:pic>
    <xdr:clientData/>
  </xdr:twoCellAnchor>
  <xdr:twoCellAnchor>
    <xdr:from>
      <xdr:col>8</xdr:col>
      <xdr:colOff>6350</xdr:colOff>
      <xdr:row>1658</xdr:row>
      <xdr:rowOff>25400</xdr:rowOff>
    </xdr:from>
    <xdr:to>
      <xdr:col>8</xdr:col>
      <xdr:colOff>885190</xdr:colOff>
      <xdr:row>1658</xdr:row>
      <xdr:rowOff>1209040</xdr:rowOff>
    </xdr:to>
    <xdr:pic>
      <xdr:nvPicPr>
        <xdr:cNvPr id="5501" name="Изображение 5500" descr="resizeПП-00064849"/>
        <xdr:cNvPicPr>
          <a:picLocks noChangeAspect="1"/>
        </xdr:cNvPicPr>
      </xdr:nvPicPr>
      <xdr:blipFill>
        <a:blip xmlns:r="http://schemas.openxmlformats.org/officeDocument/2006/relationships" r:embed="rId1258"/>
        <a:stretch>
          <a:fillRect/>
        </a:stretch>
      </xdr:blipFill>
      <xdr:spPr>
        <a:xfrm>
          <a:off x="7264400" y="1639477925"/>
          <a:ext cx="878840" cy="1183640"/>
        </a:xfrm>
        <a:prstGeom prst="rect">
          <a:avLst/>
        </a:prstGeom>
      </xdr:spPr>
    </xdr:pic>
    <xdr:clientData/>
  </xdr:twoCellAnchor>
  <xdr:twoCellAnchor>
    <xdr:from>
      <xdr:col>8</xdr:col>
      <xdr:colOff>6350</xdr:colOff>
      <xdr:row>1659</xdr:row>
      <xdr:rowOff>25400</xdr:rowOff>
    </xdr:from>
    <xdr:to>
      <xdr:col>8</xdr:col>
      <xdr:colOff>885190</xdr:colOff>
      <xdr:row>1659</xdr:row>
      <xdr:rowOff>1209040</xdr:rowOff>
    </xdr:to>
    <xdr:pic>
      <xdr:nvPicPr>
        <xdr:cNvPr id="5502" name="Изображение 5501" descr="resizeПП-00064848"/>
        <xdr:cNvPicPr>
          <a:picLocks noChangeAspect="1"/>
        </xdr:cNvPicPr>
      </xdr:nvPicPr>
      <xdr:blipFill>
        <a:blip xmlns:r="http://schemas.openxmlformats.org/officeDocument/2006/relationships" r:embed="rId1259"/>
        <a:stretch>
          <a:fillRect/>
        </a:stretch>
      </xdr:blipFill>
      <xdr:spPr>
        <a:xfrm>
          <a:off x="7264400" y="1640700300"/>
          <a:ext cx="878840" cy="1183640"/>
        </a:xfrm>
        <a:prstGeom prst="rect">
          <a:avLst/>
        </a:prstGeom>
      </xdr:spPr>
    </xdr:pic>
    <xdr:clientData/>
  </xdr:twoCellAnchor>
  <xdr:twoCellAnchor>
    <xdr:from>
      <xdr:col>8</xdr:col>
      <xdr:colOff>6350</xdr:colOff>
      <xdr:row>1660</xdr:row>
      <xdr:rowOff>25400</xdr:rowOff>
    </xdr:from>
    <xdr:to>
      <xdr:col>8</xdr:col>
      <xdr:colOff>885190</xdr:colOff>
      <xdr:row>1660</xdr:row>
      <xdr:rowOff>1209040</xdr:rowOff>
    </xdr:to>
    <xdr:pic>
      <xdr:nvPicPr>
        <xdr:cNvPr id="5503" name="Изображение 5502" descr="resizeПП-00201318"/>
        <xdr:cNvPicPr>
          <a:picLocks noChangeAspect="1"/>
        </xdr:cNvPicPr>
      </xdr:nvPicPr>
      <xdr:blipFill>
        <a:blip xmlns:r="http://schemas.openxmlformats.org/officeDocument/2006/relationships" r:embed="rId1260"/>
        <a:stretch>
          <a:fillRect/>
        </a:stretch>
      </xdr:blipFill>
      <xdr:spPr>
        <a:xfrm>
          <a:off x="7264400" y="1641922675"/>
          <a:ext cx="878840" cy="1183640"/>
        </a:xfrm>
        <a:prstGeom prst="rect">
          <a:avLst/>
        </a:prstGeom>
      </xdr:spPr>
    </xdr:pic>
    <xdr:clientData/>
  </xdr:twoCellAnchor>
  <xdr:twoCellAnchor>
    <xdr:from>
      <xdr:col>8</xdr:col>
      <xdr:colOff>6350</xdr:colOff>
      <xdr:row>1661</xdr:row>
      <xdr:rowOff>25400</xdr:rowOff>
    </xdr:from>
    <xdr:to>
      <xdr:col>8</xdr:col>
      <xdr:colOff>885190</xdr:colOff>
      <xdr:row>1661</xdr:row>
      <xdr:rowOff>1209040</xdr:rowOff>
    </xdr:to>
    <xdr:pic>
      <xdr:nvPicPr>
        <xdr:cNvPr id="5504" name="Изображение 5503" descr="resizeПП-00201317"/>
        <xdr:cNvPicPr>
          <a:picLocks noChangeAspect="1"/>
        </xdr:cNvPicPr>
      </xdr:nvPicPr>
      <xdr:blipFill>
        <a:blip xmlns:r="http://schemas.openxmlformats.org/officeDocument/2006/relationships" r:embed="rId1261"/>
        <a:stretch>
          <a:fillRect/>
        </a:stretch>
      </xdr:blipFill>
      <xdr:spPr>
        <a:xfrm>
          <a:off x="7264400" y="1643145050"/>
          <a:ext cx="878840" cy="1183640"/>
        </a:xfrm>
        <a:prstGeom prst="rect">
          <a:avLst/>
        </a:prstGeom>
      </xdr:spPr>
    </xdr:pic>
    <xdr:clientData/>
  </xdr:twoCellAnchor>
  <xdr:twoCellAnchor>
    <xdr:from>
      <xdr:col>8</xdr:col>
      <xdr:colOff>6350</xdr:colOff>
      <xdr:row>1662</xdr:row>
      <xdr:rowOff>25400</xdr:rowOff>
    </xdr:from>
    <xdr:to>
      <xdr:col>8</xdr:col>
      <xdr:colOff>885190</xdr:colOff>
      <xdr:row>1662</xdr:row>
      <xdr:rowOff>1209040</xdr:rowOff>
    </xdr:to>
    <xdr:pic>
      <xdr:nvPicPr>
        <xdr:cNvPr id="5505" name="Изображение 5504" descr="resizeПП-00201316"/>
        <xdr:cNvPicPr>
          <a:picLocks noChangeAspect="1"/>
        </xdr:cNvPicPr>
      </xdr:nvPicPr>
      <xdr:blipFill>
        <a:blip xmlns:r="http://schemas.openxmlformats.org/officeDocument/2006/relationships" r:embed="rId1262"/>
        <a:stretch>
          <a:fillRect/>
        </a:stretch>
      </xdr:blipFill>
      <xdr:spPr>
        <a:xfrm>
          <a:off x="7264400" y="1644367425"/>
          <a:ext cx="878840" cy="1183640"/>
        </a:xfrm>
        <a:prstGeom prst="rect">
          <a:avLst/>
        </a:prstGeom>
      </xdr:spPr>
    </xdr:pic>
    <xdr:clientData/>
  </xdr:twoCellAnchor>
  <xdr:twoCellAnchor>
    <xdr:from>
      <xdr:col>8</xdr:col>
      <xdr:colOff>6350</xdr:colOff>
      <xdr:row>1663</xdr:row>
      <xdr:rowOff>25400</xdr:rowOff>
    </xdr:from>
    <xdr:to>
      <xdr:col>8</xdr:col>
      <xdr:colOff>885190</xdr:colOff>
      <xdr:row>1663</xdr:row>
      <xdr:rowOff>1209040</xdr:rowOff>
    </xdr:to>
    <xdr:pic>
      <xdr:nvPicPr>
        <xdr:cNvPr id="5506" name="Изображение 5505" descr="resizeПП-00201315"/>
        <xdr:cNvPicPr>
          <a:picLocks noChangeAspect="1"/>
        </xdr:cNvPicPr>
      </xdr:nvPicPr>
      <xdr:blipFill>
        <a:blip xmlns:r="http://schemas.openxmlformats.org/officeDocument/2006/relationships" r:embed="rId1263"/>
        <a:stretch>
          <a:fillRect/>
        </a:stretch>
      </xdr:blipFill>
      <xdr:spPr>
        <a:xfrm>
          <a:off x="7264400" y="1645589800"/>
          <a:ext cx="878840" cy="1183640"/>
        </a:xfrm>
        <a:prstGeom prst="rect">
          <a:avLst/>
        </a:prstGeom>
      </xdr:spPr>
    </xdr:pic>
    <xdr:clientData/>
  </xdr:twoCellAnchor>
  <xdr:twoCellAnchor>
    <xdr:from>
      <xdr:col>8</xdr:col>
      <xdr:colOff>6350</xdr:colOff>
      <xdr:row>1664</xdr:row>
      <xdr:rowOff>25400</xdr:rowOff>
    </xdr:from>
    <xdr:to>
      <xdr:col>8</xdr:col>
      <xdr:colOff>885190</xdr:colOff>
      <xdr:row>1664</xdr:row>
      <xdr:rowOff>1209040</xdr:rowOff>
    </xdr:to>
    <xdr:pic>
      <xdr:nvPicPr>
        <xdr:cNvPr id="5507" name="Изображение 5506" descr="resizeПП-00226261"/>
        <xdr:cNvPicPr>
          <a:picLocks noChangeAspect="1"/>
        </xdr:cNvPicPr>
      </xdr:nvPicPr>
      <xdr:blipFill>
        <a:blip xmlns:r="http://schemas.openxmlformats.org/officeDocument/2006/relationships" r:embed="rId1264"/>
        <a:stretch>
          <a:fillRect/>
        </a:stretch>
      </xdr:blipFill>
      <xdr:spPr>
        <a:xfrm>
          <a:off x="7264400" y="1646812175"/>
          <a:ext cx="878840" cy="1183640"/>
        </a:xfrm>
        <a:prstGeom prst="rect">
          <a:avLst/>
        </a:prstGeom>
      </xdr:spPr>
    </xdr:pic>
    <xdr:clientData/>
  </xdr:twoCellAnchor>
  <xdr:twoCellAnchor>
    <xdr:from>
      <xdr:col>8</xdr:col>
      <xdr:colOff>6350</xdr:colOff>
      <xdr:row>1665</xdr:row>
      <xdr:rowOff>25400</xdr:rowOff>
    </xdr:from>
    <xdr:to>
      <xdr:col>8</xdr:col>
      <xdr:colOff>885190</xdr:colOff>
      <xdr:row>1665</xdr:row>
      <xdr:rowOff>1209040</xdr:rowOff>
    </xdr:to>
    <xdr:pic>
      <xdr:nvPicPr>
        <xdr:cNvPr id="5508" name="Изображение 5507" descr="resizeПП-00284820"/>
        <xdr:cNvPicPr>
          <a:picLocks noChangeAspect="1"/>
        </xdr:cNvPicPr>
      </xdr:nvPicPr>
      <xdr:blipFill>
        <a:blip xmlns:r="http://schemas.openxmlformats.org/officeDocument/2006/relationships" r:embed="rId1265"/>
        <a:stretch>
          <a:fillRect/>
        </a:stretch>
      </xdr:blipFill>
      <xdr:spPr>
        <a:xfrm>
          <a:off x="7264400" y="1648034550"/>
          <a:ext cx="878840" cy="1183640"/>
        </a:xfrm>
        <a:prstGeom prst="rect">
          <a:avLst/>
        </a:prstGeom>
      </xdr:spPr>
    </xdr:pic>
    <xdr:clientData/>
  </xdr:twoCellAnchor>
  <xdr:twoCellAnchor>
    <xdr:from>
      <xdr:col>8</xdr:col>
      <xdr:colOff>6350</xdr:colOff>
      <xdr:row>1666</xdr:row>
      <xdr:rowOff>25400</xdr:rowOff>
    </xdr:from>
    <xdr:to>
      <xdr:col>8</xdr:col>
      <xdr:colOff>885190</xdr:colOff>
      <xdr:row>1666</xdr:row>
      <xdr:rowOff>1209040</xdr:rowOff>
    </xdr:to>
    <xdr:pic>
      <xdr:nvPicPr>
        <xdr:cNvPr id="5509" name="Изображение 5508" descr="resizeПП-00284796"/>
        <xdr:cNvPicPr>
          <a:picLocks noChangeAspect="1"/>
        </xdr:cNvPicPr>
      </xdr:nvPicPr>
      <xdr:blipFill>
        <a:blip xmlns:r="http://schemas.openxmlformats.org/officeDocument/2006/relationships" r:embed="rId1266"/>
        <a:stretch>
          <a:fillRect/>
        </a:stretch>
      </xdr:blipFill>
      <xdr:spPr>
        <a:xfrm>
          <a:off x="7264400" y="1649256925"/>
          <a:ext cx="878840" cy="1183640"/>
        </a:xfrm>
        <a:prstGeom prst="rect">
          <a:avLst/>
        </a:prstGeom>
      </xdr:spPr>
    </xdr:pic>
    <xdr:clientData/>
  </xdr:twoCellAnchor>
  <xdr:twoCellAnchor>
    <xdr:from>
      <xdr:col>8</xdr:col>
      <xdr:colOff>6350</xdr:colOff>
      <xdr:row>1667</xdr:row>
      <xdr:rowOff>25400</xdr:rowOff>
    </xdr:from>
    <xdr:to>
      <xdr:col>8</xdr:col>
      <xdr:colOff>885190</xdr:colOff>
      <xdr:row>1667</xdr:row>
      <xdr:rowOff>1209040</xdr:rowOff>
    </xdr:to>
    <xdr:pic>
      <xdr:nvPicPr>
        <xdr:cNvPr id="5510" name="Изображение 5509" descr="resizeПП-00201322"/>
        <xdr:cNvPicPr>
          <a:picLocks noChangeAspect="1"/>
        </xdr:cNvPicPr>
      </xdr:nvPicPr>
      <xdr:blipFill>
        <a:blip xmlns:r="http://schemas.openxmlformats.org/officeDocument/2006/relationships" r:embed="rId1267"/>
        <a:stretch>
          <a:fillRect/>
        </a:stretch>
      </xdr:blipFill>
      <xdr:spPr>
        <a:xfrm>
          <a:off x="7264400" y="1650479300"/>
          <a:ext cx="878840" cy="1183640"/>
        </a:xfrm>
        <a:prstGeom prst="rect">
          <a:avLst/>
        </a:prstGeom>
      </xdr:spPr>
    </xdr:pic>
    <xdr:clientData/>
  </xdr:twoCellAnchor>
  <xdr:twoCellAnchor>
    <xdr:from>
      <xdr:col>8</xdr:col>
      <xdr:colOff>6350</xdr:colOff>
      <xdr:row>1668</xdr:row>
      <xdr:rowOff>25400</xdr:rowOff>
    </xdr:from>
    <xdr:to>
      <xdr:col>8</xdr:col>
      <xdr:colOff>885190</xdr:colOff>
      <xdr:row>1668</xdr:row>
      <xdr:rowOff>1209040</xdr:rowOff>
    </xdr:to>
    <xdr:pic>
      <xdr:nvPicPr>
        <xdr:cNvPr id="5511" name="Изображение 5510" descr="resizeПП-00201309"/>
        <xdr:cNvPicPr>
          <a:picLocks noChangeAspect="1"/>
        </xdr:cNvPicPr>
      </xdr:nvPicPr>
      <xdr:blipFill>
        <a:blip xmlns:r="http://schemas.openxmlformats.org/officeDocument/2006/relationships" r:embed="rId1268"/>
        <a:stretch>
          <a:fillRect/>
        </a:stretch>
      </xdr:blipFill>
      <xdr:spPr>
        <a:xfrm>
          <a:off x="7264400" y="1651701675"/>
          <a:ext cx="878840" cy="1183640"/>
        </a:xfrm>
        <a:prstGeom prst="rect">
          <a:avLst/>
        </a:prstGeom>
      </xdr:spPr>
    </xdr:pic>
    <xdr:clientData/>
  </xdr:twoCellAnchor>
  <xdr:twoCellAnchor>
    <xdr:from>
      <xdr:col>8</xdr:col>
      <xdr:colOff>6350</xdr:colOff>
      <xdr:row>1669</xdr:row>
      <xdr:rowOff>25400</xdr:rowOff>
    </xdr:from>
    <xdr:to>
      <xdr:col>8</xdr:col>
      <xdr:colOff>885190</xdr:colOff>
      <xdr:row>1669</xdr:row>
      <xdr:rowOff>1209040</xdr:rowOff>
    </xdr:to>
    <xdr:pic>
      <xdr:nvPicPr>
        <xdr:cNvPr id="5512" name="Изображение 5511" descr="resizeПП-00201314"/>
        <xdr:cNvPicPr>
          <a:picLocks noChangeAspect="1"/>
        </xdr:cNvPicPr>
      </xdr:nvPicPr>
      <xdr:blipFill>
        <a:blip xmlns:r="http://schemas.openxmlformats.org/officeDocument/2006/relationships" r:embed="rId1269"/>
        <a:stretch>
          <a:fillRect/>
        </a:stretch>
      </xdr:blipFill>
      <xdr:spPr>
        <a:xfrm>
          <a:off x="7264400" y="1652924050"/>
          <a:ext cx="878840" cy="1183640"/>
        </a:xfrm>
        <a:prstGeom prst="rect">
          <a:avLst/>
        </a:prstGeom>
      </xdr:spPr>
    </xdr:pic>
    <xdr:clientData/>
  </xdr:twoCellAnchor>
  <xdr:twoCellAnchor>
    <xdr:from>
      <xdr:col>8</xdr:col>
      <xdr:colOff>6350</xdr:colOff>
      <xdr:row>1670</xdr:row>
      <xdr:rowOff>25400</xdr:rowOff>
    </xdr:from>
    <xdr:to>
      <xdr:col>8</xdr:col>
      <xdr:colOff>885190</xdr:colOff>
      <xdr:row>1670</xdr:row>
      <xdr:rowOff>1209040</xdr:rowOff>
    </xdr:to>
    <xdr:pic>
      <xdr:nvPicPr>
        <xdr:cNvPr id="5513" name="Изображение 5512" descr="resizeПП-00201321"/>
        <xdr:cNvPicPr>
          <a:picLocks noChangeAspect="1"/>
        </xdr:cNvPicPr>
      </xdr:nvPicPr>
      <xdr:blipFill>
        <a:blip xmlns:r="http://schemas.openxmlformats.org/officeDocument/2006/relationships" r:embed="rId1270"/>
        <a:stretch>
          <a:fillRect/>
        </a:stretch>
      </xdr:blipFill>
      <xdr:spPr>
        <a:xfrm>
          <a:off x="7264400" y="1654146425"/>
          <a:ext cx="878840" cy="1183640"/>
        </a:xfrm>
        <a:prstGeom prst="rect">
          <a:avLst/>
        </a:prstGeom>
      </xdr:spPr>
    </xdr:pic>
    <xdr:clientData/>
  </xdr:twoCellAnchor>
  <xdr:twoCellAnchor>
    <xdr:from>
      <xdr:col>8</xdr:col>
      <xdr:colOff>6350</xdr:colOff>
      <xdr:row>1671</xdr:row>
      <xdr:rowOff>25400</xdr:rowOff>
    </xdr:from>
    <xdr:to>
      <xdr:col>8</xdr:col>
      <xdr:colOff>885190</xdr:colOff>
      <xdr:row>1671</xdr:row>
      <xdr:rowOff>1209040</xdr:rowOff>
    </xdr:to>
    <xdr:pic>
      <xdr:nvPicPr>
        <xdr:cNvPr id="5514" name="Изображение 5513" descr="resizeПП-00201307"/>
        <xdr:cNvPicPr>
          <a:picLocks noChangeAspect="1"/>
        </xdr:cNvPicPr>
      </xdr:nvPicPr>
      <xdr:blipFill>
        <a:blip xmlns:r="http://schemas.openxmlformats.org/officeDocument/2006/relationships" r:embed="rId1271"/>
        <a:stretch>
          <a:fillRect/>
        </a:stretch>
      </xdr:blipFill>
      <xdr:spPr>
        <a:xfrm>
          <a:off x="7264400" y="1655368800"/>
          <a:ext cx="878840" cy="1183640"/>
        </a:xfrm>
        <a:prstGeom prst="rect">
          <a:avLst/>
        </a:prstGeom>
      </xdr:spPr>
    </xdr:pic>
    <xdr:clientData/>
  </xdr:twoCellAnchor>
  <xdr:twoCellAnchor>
    <xdr:from>
      <xdr:col>8</xdr:col>
      <xdr:colOff>6350</xdr:colOff>
      <xdr:row>1672</xdr:row>
      <xdr:rowOff>25400</xdr:rowOff>
    </xdr:from>
    <xdr:to>
      <xdr:col>8</xdr:col>
      <xdr:colOff>885190</xdr:colOff>
      <xdr:row>1672</xdr:row>
      <xdr:rowOff>1209040</xdr:rowOff>
    </xdr:to>
    <xdr:pic>
      <xdr:nvPicPr>
        <xdr:cNvPr id="5515" name="Изображение 5514" descr="resizeПП-00163899"/>
        <xdr:cNvPicPr>
          <a:picLocks noChangeAspect="1"/>
        </xdr:cNvPicPr>
      </xdr:nvPicPr>
      <xdr:blipFill>
        <a:blip xmlns:r="http://schemas.openxmlformats.org/officeDocument/2006/relationships" r:embed="rId1272"/>
        <a:stretch>
          <a:fillRect/>
        </a:stretch>
      </xdr:blipFill>
      <xdr:spPr>
        <a:xfrm>
          <a:off x="7264400" y="1656591175"/>
          <a:ext cx="878840" cy="1183640"/>
        </a:xfrm>
        <a:prstGeom prst="rect">
          <a:avLst/>
        </a:prstGeom>
      </xdr:spPr>
    </xdr:pic>
    <xdr:clientData/>
  </xdr:twoCellAnchor>
  <xdr:twoCellAnchor>
    <xdr:from>
      <xdr:col>8</xdr:col>
      <xdr:colOff>6350</xdr:colOff>
      <xdr:row>1673</xdr:row>
      <xdr:rowOff>25400</xdr:rowOff>
    </xdr:from>
    <xdr:to>
      <xdr:col>8</xdr:col>
      <xdr:colOff>885190</xdr:colOff>
      <xdr:row>1673</xdr:row>
      <xdr:rowOff>1209040</xdr:rowOff>
    </xdr:to>
    <xdr:pic>
      <xdr:nvPicPr>
        <xdr:cNvPr id="5516" name="Изображение 5515" descr="resizeПП-00226237"/>
        <xdr:cNvPicPr>
          <a:picLocks noChangeAspect="1"/>
        </xdr:cNvPicPr>
      </xdr:nvPicPr>
      <xdr:blipFill>
        <a:blip xmlns:r="http://schemas.openxmlformats.org/officeDocument/2006/relationships" r:embed="rId1273"/>
        <a:stretch>
          <a:fillRect/>
        </a:stretch>
      </xdr:blipFill>
      <xdr:spPr>
        <a:xfrm>
          <a:off x="7264400" y="1657813550"/>
          <a:ext cx="878840" cy="1183640"/>
        </a:xfrm>
        <a:prstGeom prst="rect">
          <a:avLst/>
        </a:prstGeom>
      </xdr:spPr>
    </xdr:pic>
    <xdr:clientData/>
  </xdr:twoCellAnchor>
  <xdr:twoCellAnchor>
    <xdr:from>
      <xdr:col>8</xdr:col>
      <xdr:colOff>6350</xdr:colOff>
      <xdr:row>1674</xdr:row>
      <xdr:rowOff>25400</xdr:rowOff>
    </xdr:from>
    <xdr:to>
      <xdr:col>8</xdr:col>
      <xdr:colOff>885190</xdr:colOff>
      <xdr:row>1674</xdr:row>
      <xdr:rowOff>1209040</xdr:rowOff>
    </xdr:to>
    <xdr:pic>
      <xdr:nvPicPr>
        <xdr:cNvPr id="5517" name="Изображение 5516" descr="resizeПП-00226250"/>
        <xdr:cNvPicPr>
          <a:picLocks noChangeAspect="1"/>
        </xdr:cNvPicPr>
      </xdr:nvPicPr>
      <xdr:blipFill>
        <a:blip xmlns:r="http://schemas.openxmlformats.org/officeDocument/2006/relationships" r:embed="rId1274"/>
        <a:stretch>
          <a:fillRect/>
        </a:stretch>
      </xdr:blipFill>
      <xdr:spPr>
        <a:xfrm>
          <a:off x="7264400" y="1659035925"/>
          <a:ext cx="878840" cy="1183640"/>
        </a:xfrm>
        <a:prstGeom prst="rect">
          <a:avLst/>
        </a:prstGeom>
      </xdr:spPr>
    </xdr:pic>
    <xdr:clientData/>
  </xdr:twoCellAnchor>
  <xdr:twoCellAnchor>
    <xdr:from>
      <xdr:col>8</xdr:col>
      <xdr:colOff>6350</xdr:colOff>
      <xdr:row>1675</xdr:row>
      <xdr:rowOff>25400</xdr:rowOff>
    </xdr:from>
    <xdr:to>
      <xdr:col>8</xdr:col>
      <xdr:colOff>885190</xdr:colOff>
      <xdr:row>1675</xdr:row>
      <xdr:rowOff>1209040</xdr:rowOff>
    </xdr:to>
    <xdr:pic>
      <xdr:nvPicPr>
        <xdr:cNvPr id="5518" name="Изображение 5517" descr="resizeПП-00226249"/>
        <xdr:cNvPicPr>
          <a:picLocks noChangeAspect="1"/>
        </xdr:cNvPicPr>
      </xdr:nvPicPr>
      <xdr:blipFill>
        <a:blip xmlns:r="http://schemas.openxmlformats.org/officeDocument/2006/relationships" r:embed="rId1275"/>
        <a:stretch>
          <a:fillRect/>
        </a:stretch>
      </xdr:blipFill>
      <xdr:spPr>
        <a:xfrm>
          <a:off x="7264400" y="1660258300"/>
          <a:ext cx="878840" cy="1183640"/>
        </a:xfrm>
        <a:prstGeom prst="rect">
          <a:avLst/>
        </a:prstGeom>
      </xdr:spPr>
    </xdr:pic>
    <xdr:clientData/>
  </xdr:twoCellAnchor>
  <xdr:twoCellAnchor>
    <xdr:from>
      <xdr:col>8</xdr:col>
      <xdr:colOff>6350</xdr:colOff>
      <xdr:row>1676</xdr:row>
      <xdr:rowOff>25400</xdr:rowOff>
    </xdr:from>
    <xdr:to>
      <xdr:col>8</xdr:col>
      <xdr:colOff>885190</xdr:colOff>
      <xdr:row>1676</xdr:row>
      <xdr:rowOff>1209040</xdr:rowOff>
    </xdr:to>
    <xdr:pic>
      <xdr:nvPicPr>
        <xdr:cNvPr id="5519" name="Изображение 5518" descr="resizeПП-00163900"/>
        <xdr:cNvPicPr>
          <a:picLocks noChangeAspect="1"/>
        </xdr:cNvPicPr>
      </xdr:nvPicPr>
      <xdr:blipFill>
        <a:blip xmlns:r="http://schemas.openxmlformats.org/officeDocument/2006/relationships" r:embed="rId1276"/>
        <a:stretch>
          <a:fillRect/>
        </a:stretch>
      </xdr:blipFill>
      <xdr:spPr>
        <a:xfrm>
          <a:off x="7264400" y="1661480675"/>
          <a:ext cx="878840" cy="1183640"/>
        </a:xfrm>
        <a:prstGeom prst="rect">
          <a:avLst/>
        </a:prstGeom>
      </xdr:spPr>
    </xdr:pic>
    <xdr:clientData/>
  </xdr:twoCellAnchor>
  <xdr:twoCellAnchor>
    <xdr:from>
      <xdr:col>8</xdr:col>
      <xdr:colOff>6350</xdr:colOff>
      <xdr:row>1677</xdr:row>
      <xdr:rowOff>25400</xdr:rowOff>
    </xdr:from>
    <xdr:to>
      <xdr:col>8</xdr:col>
      <xdr:colOff>885190</xdr:colOff>
      <xdr:row>1677</xdr:row>
      <xdr:rowOff>1209040</xdr:rowOff>
    </xdr:to>
    <xdr:pic>
      <xdr:nvPicPr>
        <xdr:cNvPr id="5520" name="Изображение 5519" descr="resizeПП-00082825"/>
        <xdr:cNvPicPr>
          <a:picLocks noChangeAspect="1"/>
        </xdr:cNvPicPr>
      </xdr:nvPicPr>
      <xdr:blipFill>
        <a:blip xmlns:r="http://schemas.openxmlformats.org/officeDocument/2006/relationships" r:embed="rId1277"/>
        <a:stretch>
          <a:fillRect/>
        </a:stretch>
      </xdr:blipFill>
      <xdr:spPr>
        <a:xfrm>
          <a:off x="7264400" y="1662703050"/>
          <a:ext cx="878840" cy="1183640"/>
        </a:xfrm>
        <a:prstGeom prst="rect">
          <a:avLst/>
        </a:prstGeom>
      </xdr:spPr>
    </xdr:pic>
    <xdr:clientData/>
  </xdr:twoCellAnchor>
  <xdr:twoCellAnchor>
    <xdr:from>
      <xdr:col>8</xdr:col>
      <xdr:colOff>6350</xdr:colOff>
      <xdr:row>1678</xdr:row>
      <xdr:rowOff>25400</xdr:rowOff>
    </xdr:from>
    <xdr:to>
      <xdr:col>8</xdr:col>
      <xdr:colOff>885190</xdr:colOff>
      <xdr:row>1678</xdr:row>
      <xdr:rowOff>1209040</xdr:rowOff>
    </xdr:to>
    <xdr:pic>
      <xdr:nvPicPr>
        <xdr:cNvPr id="5521" name="Изображение 5520" descr="resizeПП-00082833"/>
        <xdr:cNvPicPr>
          <a:picLocks noChangeAspect="1"/>
        </xdr:cNvPicPr>
      </xdr:nvPicPr>
      <xdr:blipFill>
        <a:blip xmlns:r="http://schemas.openxmlformats.org/officeDocument/2006/relationships" r:embed="rId1278"/>
        <a:stretch>
          <a:fillRect/>
        </a:stretch>
      </xdr:blipFill>
      <xdr:spPr>
        <a:xfrm>
          <a:off x="7264400" y="1663925425"/>
          <a:ext cx="878840" cy="1183640"/>
        </a:xfrm>
        <a:prstGeom prst="rect">
          <a:avLst/>
        </a:prstGeom>
      </xdr:spPr>
    </xdr:pic>
    <xdr:clientData/>
  </xdr:twoCellAnchor>
  <xdr:twoCellAnchor>
    <xdr:from>
      <xdr:col>8</xdr:col>
      <xdr:colOff>6350</xdr:colOff>
      <xdr:row>1680</xdr:row>
      <xdr:rowOff>25400</xdr:rowOff>
    </xdr:from>
    <xdr:to>
      <xdr:col>8</xdr:col>
      <xdr:colOff>885190</xdr:colOff>
      <xdr:row>1680</xdr:row>
      <xdr:rowOff>1209040</xdr:rowOff>
    </xdr:to>
    <xdr:pic>
      <xdr:nvPicPr>
        <xdr:cNvPr id="5522" name="Изображение 5521" descr="resizeПП-00234895"/>
        <xdr:cNvPicPr>
          <a:picLocks noChangeAspect="1"/>
        </xdr:cNvPicPr>
      </xdr:nvPicPr>
      <xdr:blipFill>
        <a:blip xmlns:r="http://schemas.openxmlformats.org/officeDocument/2006/relationships" r:embed="rId1279"/>
        <a:stretch>
          <a:fillRect/>
        </a:stretch>
      </xdr:blipFill>
      <xdr:spPr>
        <a:xfrm>
          <a:off x="7264400" y="1665300200"/>
          <a:ext cx="878840" cy="1183640"/>
        </a:xfrm>
        <a:prstGeom prst="rect">
          <a:avLst/>
        </a:prstGeom>
      </xdr:spPr>
    </xdr:pic>
    <xdr:clientData/>
  </xdr:twoCellAnchor>
  <xdr:twoCellAnchor>
    <xdr:from>
      <xdr:col>8</xdr:col>
      <xdr:colOff>6350</xdr:colOff>
      <xdr:row>1681</xdr:row>
      <xdr:rowOff>25400</xdr:rowOff>
    </xdr:from>
    <xdr:to>
      <xdr:col>8</xdr:col>
      <xdr:colOff>885190</xdr:colOff>
      <xdr:row>1681</xdr:row>
      <xdr:rowOff>1209040</xdr:rowOff>
    </xdr:to>
    <xdr:pic>
      <xdr:nvPicPr>
        <xdr:cNvPr id="5523" name="Изображение 5522" descr="resizeПП-00207514"/>
        <xdr:cNvPicPr>
          <a:picLocks noChangeAspect="1"/>
        </xdr:cNvPicPr>
      </xdr:nvPicPr>
      <xdr:blipFill>
        <a:blip xmlns:r="http://schemas.openxmlformats.org/officeDocument/2006/relationships" r:embed="rId1280"/>
        <a:stretch>
          <a:fillRect/>
        </a:stretch>
      </xdr:blipFill>
      <xdr:spPr>
        <a:xfrm>
          <a:off x="7264400" y="1666522575"/>
          <a:ext cx="878840" cy="1183640"/>
        </a:xfrm>
        <a:prstGeom prst="rect">
          <a:avLst/>
        </a:prstGeom>
      </xdr:spPr>
    </xdr:pic>
    <xdr:clientData/>
  </xdr:twoCellAnchor>
  <xdr:twoCellAnchor>
    <xdr:from>
      <xdr:col>8</xdr:col>
      <xdr:colOff>6350</xdr:colOff>
      <xdr:row>1682</xdr:row>
      <xdr:rowOff>25400</xdr:rowOff>
    </xdr:from>
    <xdr:to>
      <xdr:col>8</xdr:col>
      <xdr:colOff>885190</xdr:colOff>
      <xdr:row>1682</xdr:row>
      <xdr:rowOff>1209040</xdr:rowOff>
    </xdr:to>
    <xdr:pic>
      <xdr:nvPicPr>
        <xdr:cNvPr id="5524" name="Изображение 5523" descr="resizeПП-00207510"/>
        <xdr:cNvPicPr>
          <a:picLocks noChangeAspect="1"/>
        </xdr:cNvPicPr>
      </xdr:nvPicPr>
      <xdr:blipFill>
        <a:blip xmlns:r="http://schemas.openxmlformats.org/officeDocument/2006/relationships" r:embed="rId1281"/>
        <a:stretch>
          <a:fillRect/>
        </a:stretch>
      </xdr:blipFill>
      <xdr:spPr>
        <a:xfrm>
          <a:off x="7264400" y="1667744950"/>
          <a:ext cx="878840" cy="1183640"/>
        </a:xfrm>
        <a:prstGeom prst="rect">
          <a:avLst/>
        </a:prstGeom>
      </xdr:spPr>
    </xdr:pic>
    <xdr:clientData/>
  </xdr:twoCellAnchor>
  <xdr:twoCellAnchor>
    <xdr:from>
      <xdr:col>8</xdr:col>
      <xdr:colOff>6350</xdr:colOff>
      <xdr:row>1683</xdr:row>
      <xdr:rowOff>25400</xdr:rowOff>
    </xdr:from>
    <xdr:to>
      <xdr:col>8</xdr:col>
      <xdr:colOff>885190</xdr:colOff>
      <xdr:row>1683</xdr:row>
      <xdr:rowOff>1209040</xdr:rowOff>
    </xdr:to>
    <xdr:pic>
      <xdr:nvPicPr>
        <xdr:cNvPr id="5525" name="Изображение 5524" descr="resizeПП-00207508"/>
        <xdr:cNvPicPr>
          <a:picLocks noChangeAspect="1"/>
        </xdr:cNvPicPr>
      </xdr:nvPicPr>
      <xdr:blipFill>
        <a:blip xmlns:r="http://schemas.openxmlformats.org/officeDocument/2006/relationships" r:embed="rId1282"/>
        <a:stretch>
          <a:fillRect/>
        </a:stretch>
      </xdr:blipFill>
      <xdr:spPr>
        <a:xfrm>
          <a:off x="7264400" y="1668967325"/>
          <a:ext cx="878840" cy="1183640"/>
        </a:xfrm>
        <a:prstGeom prst="rect">
          <a:avLst/>
        </a:prstGeom>
      </xdr:spPr>
    </xdr:pic>
    <xdr:clientData/>
  </xdr:twoCellAnchor>
  <xdr:twoCellAnchor>
    <xdr:from>
      <xdr:col>8</xdr:col>
      <xdr:colOff>6350</xdr:colOff>
      <xdr:row>1684</xdr:row>
      <xdr:rowOff>25400</xdr:rowOff>
    </xdr:from>
    <xdr:to>
      <xdr:col>8</xdr:col>
      <xdr:colOff>885190</xdr:colOff>
      <xdr:row>1684</xdr:row>
      <xdr:rowOff>1209040</xdr:rowOff>
    </xdr:to>
    <xdr:pic>
      <xdr:nvPicPr>
        <xdr:cNvPr id="5526" name="Изображение 5525" descr="resizeПП-00207513"/>
        <xdr:cNvPicPr>
          <a:picLocks noChangeAspect="1"/>
        </xdr:cNvPicPr>
      </xdr:nvPicPr>
      <xdr:blipFill>
        <a:blip xmlns:r="http://schemas.openxmlformats.org/officeDocument/2006/relationships" r:embed="rId1283"/>
        <a:stretch>
          <a:fillRect/>
        </a:stretch>
      </xdr:blipFill>
      <xdr:spPr>
        <a:xfrm>
          <a:off x="7264400" y="1670189700"/>
          <a:ext cx="878840" cy="1183640"/>
        </a:xfrm>
        <a:prstGeom prst="rect">
          <a:avLst/>
        </a:prstGeom>
      </xdr:spPr>
    </xdr:pic>
    <xdr:clientData/>
  </xdr:twoCellAnchor>
  <xdr:twoCellAnchor>
    <xdr:from>
      <xdr:col>8</xdr:col>
      <xdr:colOff>6350</xdr:colOff>
      <xdr:row>1685</xdr:row>
      <xdr:rowOff>25400</xdr:rowOff>
    </xdr:from>
    <xdr:to>
      <xdr:col>8</xdr:col>
      <xdr:colOff>885190</xdr:colOff>
      <xdr:row>1685</xdr:row>
      <xdr:rowOff>1209040</xdr:rowOff>
    </xdr:to>
    <xdr:pic>
      <xdr:nvPicPr>
        <xdr:cNvPr id="5527" name="Изображение 5526" descr="resizeПП-00234890"/>
        <xdr:cNvPicPr>
          <a:picLocks noChangeAspect="1"/>
        </xdr:cNvPicPr>
      </xdr:nvPicPr>
      <xdr:blipFill>
        <a:blip xmlns:r="http://schemas.openxmlformats.org/officeDocument/2006/relationships" r:embed="rId1284"/>
        <a:stretch>
          <a:fillRect/>
        </a:stretch>
      </xdr:blipFill>
      <xdr:spPr>
        <a:xfrm>
          <a:off x="7264400" y="1671412075"/>
          <a:ext cx="878840" cy="1183640"/>
        </a:xfrm>
        <a:prstGeom prst="rect">
          <a:avLst/>
        </a:prstGeom>
      </xdr:spPr>
    </xdr:pic>
    <xdr:clientData/>
  </xdr:twoCellAnchor>
  <xdr:twoCellAnchor>
    <xdr:from>
      <xdr:col>8</xdr:col>
      <xdr:colOff>6350</xdr:colOff>
      <xdr:row>1686</xdr:row>
      <xdr:rowOff>25400</xdr:rowOff>
    </xdr:from>
    <xdr:to>
      <xdr:col>8</xdr:col>
      <xdr:colOff>885190</xdr:colOff>
      <xdr:row>1686</xdr:row>
      <xdr:rowOff>1209040</xdr:rowOff>
    </xdr:to>
    <xdr:pic>
      <xdr:nvPicPr>
        <xdr:cNvPr id="5528" name="Изображение 5527" descr="resizeПП-00234891"/>
        <xdr:cNvPicPr>
          <a:picLocks noChangeAspect="1"/>
        </xdr:cNvPicPr>
      </xdr:nvPicPr>
      <xdr:blipFill>
        <a:blip xmlns:r="http://schemas.openxmlformats.org/officeDocument/2006/relationships" r:embed="rId1285"/>
        <a:stretch>
          <a:fillRect/>
        </a:stretch>
      </xdr:blipFill>
      <xdr:spPr>
        <a:xfrm>
          <a:off x="7264400" y="1672634450"/>
          <a:ext cx="878840" cy="1183640"/>
        </a:xfrm>
        <a:prstGeom prst="rect">
          <a:avLst/>
        </a:prstGeom>
      </xdr:spPr>
    </xdr:pic>
    <xdr:clientData/>
  </xdr:twoCellAnchor>
  <xdr:twoCellAnchor>
    <xdr:from>
      <xdr:col>8</xdr:col>
      <xdr:colOff>6350</xdr:colOff>
      <xdr:row>1687</xdr:row>
      <xdr:rowOff>25400</xdr:rowOff>
    </xdr:from>
    <xdr:to>
      <xdr:col>8</xdr:col>
      <xdr:colOff>885190</xdr:colOff>
      <xdr:row>1687</xdr:row>
      <xdr:rowOff>1209040</xdr:rowOff>
    </xdr:to>
    <xdr:pic>
      <xdr:nvPicPr>
        <xdr:cNvPr id="5529" name="Изображение 5528" descr="resizeПП-00234889"/>
        <xdr:cNvPicPr>
          <a:picLocks noChangeAspect="1"/>
        </xdr:cNvPicPr>
      </xdr:nvPicPr>
      <xdr:blipFill>
        <a:blip xmlns:r="http://schemas.openxmlformats.org/officeDocument/2006/relationships" r:embed="rId1286"/>
        <a:stretch>
          <a:fillRect/>
        </a:stretch>
      </xdr:blipFill>
      <xdr:spPr>
        <a:xfrm>
          <a:off x="7264400" y="1673856825"/>
          <a:ext cx="878840" cy="1183640"/>
        </a:xfrm>
        <a:prstGeom prst="rect">
          <a:avLst/>
        </a:prstGeom>
      </xdr:spPr>
    </xdr:pic>
    <xdr:clientData/>
  </xdr:twoCellAnchor>
  <xdr:twoCellAnchor>
    <xdr:from>
      <xdr:col>8</xdr:col>
      <xdr:colOff>6350</xdr:colOff>
      <xdr:row>1688</xdr:row>
      <xdr:rowOff>25400</xdr:rowOff>
    </xdr:from>
    <xdr:to>
      <xdr:col>8</xdr:col>
      <xdr:colOff>885190</xdr:colOff>
      <xdr:row>1688</xdr:row>
      <xdr:rowOff>1209040</xdr:rowOff>
    </xdr:to>
    <xdr:pic>
      <xdr:nvPicPr>
        <xdr:cNvPr id="5530" name="Изображение 5529" descr="resizeПП-00234893"/>
        <xdr:cNvPicPr>
          <a:picLocks noChangeAspect="1"/>
        </xdr:cNvPicPr>
      </xdr:nvPicPr>
      <xdr:blipFill>
        <a:blip xmlns:r="http://schemas.openxmlformats.org/officeDocument/2006/relationships" r:embed="rId1287"/>
        <a:stretch>
          <a:fillRect/>
        </a:stretch>
      </xdr:blipFill>
      <xdr:spPr>
        <a:xfrm>
          <a:off x="7264400" y="1675079200"/>
          <a:ext cx="878840" cy="1183640"/>
        </a:xfrm>
        <a:prstGeom prst="rect">
          <a:avLst/>
        </a:prstGeom>
      </xdr:spPr>
    </xdr:pic>
    <xdr:clientData/>
  </xdr:twoCellAnchor>
  <xdr:twoCellAnchor>
    <xdr:from>
      <xdr:col>8</xdr:col>
      <xdr:colOff>6350</xdr:colOff>
      <xdr:row>1689</xdr:row>
      <xdr:rowOff>25400</xdr:rowOff>
    </xdr:from>
    <xdr:to>
      <xdr:col>8</xdr:col>
      <xdr:colOff>885190</xdr:colOff>
      <xdr:row>1689</xdr:row>
      <xdr:rowOff>1209040</xdr:rowOff>
    </xdr:to>
    <xdr:pic>
      <xdr:nvPicPr>
        <xdr:cNvPr id="5531" name="Изображение 5530" descr="resizeПП-00234894"/>
        <xdr:cNvPicPr>
          <a:picLocks noChangeAspect="1"/>
        </xdr:cNvPicPr>
      </xdr:nvPicPr>
      <xdr:blipFill>
        <a:blip xmlns:r="http://schemas.openxmlformats.org/officeDocument/2006/relationships" r:embed="rId1288"/>
        <a:stretch>
          <a:fillRect/>
        </a:stretch>
      </xdr:blipFill>
      <xdr:spPr>
        <a:xfrm>
          <a:off x="7264400" y="1676301575"/>
          <a:ext cx="878840" cy="1183640"/>
        </a:xfrm>
        <a:prstGeom prst="rect">
          <a:avLst/>
        </a:prstGeom>
      </xdr:spPr>
    </xdr:pic>
    <xdr:clientData/>
  </xdr:twoCellAnchor>
  <xdr:twoCellAnchor>
    <xdr:from>
      <xdr:col>8</xdr:col>
      <xdr:colOff>6350</xdr:colOff>
      <xdr:row>1690</xdr:row>
      <xdr:rowOff>25400</xdr:rowOff>
    </xdr:from>
    <xdr:to>
      <xdr:col>8</xdr:col>
      <xdr:colOff>885190</xdr:colOff>
      <xdr:row>1690</xdr:row>
      <xdr:rowOff>1209040</xdr:rowOff>
    </xdr:to>
    <xdr:pic>
      <xdr:nvPicPr>
        <xdr:cNvPr id="5532" name="Изображение 5531" descr="resizeПП-00234892"/>
        <xdr:cNvPicPr>
          <a:picLocks noChangeAspect="1"/>
        </xdr:cNvPicPr>
      </xdr:nvPicPr>
      <xdr:blipFill>
        <a:blip xmlns:r="http://schemas.openxmlformats.org/officeDocument/2006/relationships" r:embed="rId1289"/>
        <a:stretch>
          <a:fillRect/>
        </a:stretch>
      </xdr:blipFill>
      <xdr:spPr>
        <a:xfrm>
          <a:off x="7264400" y="1677523950"/>
          <a:ext cx="878840" cy="1183640"/>
        </a:xfrm>
        <a:prstGeom prst="rect">
          <a:avLst/>
        </a:prstGeom>
      </xdr:spPr>
    </xdr:pic>
    <xdr:clientData/>
  </xdr:twoCellAnchor>
  <xdr:twoCellAnchor>
    <xdr:from>
      <xdr:col>8</xdr:col>
      <xdr:colOff>6350</xdr:colOff>
      <xdr:row>1694</xdr:row>
      <xdr:rowOff>25400</xdr:rowOff>
    </xdr:from>
    <xdr:to>
      <xdr:col>8</xdr:col>
      <xdr:colOff>885190</xdr:colOff>
      <xdr:row>1694</xdr:row>
      <xdr:rowOff>1209040</xdr:rowOff>
    </xdr:to>
    <xdr:pic>
      <xdr:nvPicPr>
        <xdr:cNvPr id="5533" name="Изображение 5532" descr="resizeПП-00203353"/>
        <xdr:cNvPicPr>
          <a:picLocks noChangeAspect="1"/>
        </xdr:cNvPicPr>
      </xdr:nvPicPr>
      <xdr:blipFill>
        <a:blip xmlns:r="http://schemas.openxmlformats.org/officeDocument/2006/relationships" r:embed="rId1290"/>
        <a:stretch>
          <a:fillRect/>
        </a:stretch>
      </xdr:blipFill>
      <xdr:spPr>
        <a:xfrm>
          <a:off x="7264400" y="1679203525"/>
          <a:ext cx="878840" cy="1183640"/>
        </a:xfrm>
        <a:prstGeom prst="rect">
          <a:avLst/>
        </a:prstGeom>
      </xdr:spPr>
    </xdr:pic>
    <xdr:clientData/>
  </xdr:twoCellAnchor>
  <xdr:twoCellAnchor>
    <xdr:from>
      <xdr:col>8</xdr:col>
      <xdr:colOff>6350</xdr:colOff>
      <xdr:row>1695</xdr:row>
      <xdr:rowOff>25400</xdr:rowOff>
    </xdr:from>
    <xdr:to>
      <xdr:col>8</xdr:col>
      <xdr:colOff>885190</xdr:colOff>
      <xdr:row>1695</xdr:row>
      <xdr:rowOff>1209040</xdr:rowOff>
    </xdr:to>
    <xdr:pic>
      <xdr:nvPicPr>
        <xdr:cNvPr id="5534" name="Изображение 5533" descr="resizeПП-00227608"/>
        <xdr:cNvPicPr>
          <a:picLocks noChangeAspect="1"/>
        </xdr:cNvPicPr>
      </xdr:nvPicPr>
      <xdr:blipFill>
        <a:blip xmlns:r="http://schemas.openxmlformats.org/officeDocument/2006/relationships" r:embed="rId1291"/>
        <a:stretch>
          <a:fillRect/>
        </a:stretch>
      </xdr:blipFill>
      <xdr:spPr>
        <a:xfrm>
          <a:off x="7264400" y="1680425900"/>
          <a:ext cx="878840" cy="1183640"/>
        </a:xfrm>
        <a:prstGeom prst="rect">
          <a:avLst/>
        </a:prstGeom>
      </xdr:spPr>
    </xdr:pic>
    <xdr:clientData/>
  </xdr:twoCellAnchor>
  <xdr:twoCellAnchor>
    <xdr:from>
      <xdr:col>8</xdr:col>
      <xdr:colOff>6350</xdr:colOff>
      <xdr:row>1696</xdr:row>
      <xdr:rowOff>25400</xdr:rowOff>
    </xdr:from>
    <xdr:to>
      <xdr:col>8</xdr:col>
      <xdr:colOff>885190</xdr:colOff>
      <xdr:row>1696</xdr:row>
      <xdr:rowOff>1209040</xdr:rowOff>
    </xdr:to>
    <xdr:pic>
      <xdr:nvPicPr>
        <xdr:cNvPr id="5535" name="Изображение 5534" descr="resizeПП-00275455"/>
        <xdr:cNvPicPr>
          <a:picLocks noChangeAspect="1"/>
        </xdr:cNvPicPr>
      </xdr:nvPicPr>
      <xdr:blipFill>
        <a:blip xmlns:r="http://schemas.openxmlformats.org/officeDocument/2006/relationships" r:embed="rId1292"/>
        <a:stretch>
          <a:fillRect/>
        </a:stretch>
      </xdr:blipFill>
      <xdr:spPr>
        <a:xfrm>
          <a:off x="7264400" y="1681648275"/>
          <a:ext cx="878840" cy="1183640"/>
        </a:xfrm>
        <a:prstGeom prst="rect">
          <a:avLst/>
        </a:prstGeom>
      </xdr:spPr>
    </xdr:pic>
    <xdr:clientData/>
  </xdr:twoCellAnchor>
  <xdr:twoCellAnchor>
    <xdr:from>
      <xdr:col>8</xdr:col>
      <xdr:colOff>6350</xdr:colOff>
      <xdr:row>1697</xdr:row>
      <xdr:rowOff>25400</xdr:rowOff>
    </xdr:from>
    <xdr:to>
      <xdr:col>8</xdr:col>
      <xdr:colOff>885190</xdr:colOff>
      <xdr:row>1697</xdr:row>
      <xdr:rowOff>1209040</xdr:rowOff>
    </xdr:to>
    <xdr:pic>
      <xdr:nvPicPr>
        <xdr:cNvPr id="5536" name="Изображение 5535" descr="resizeПП-00203364"/>
        <xdr:cNvPicPr>
          <a:picLocks noChangeAspect="1"/>
        </xdr:cNvPicPr>
      </xdr:nvPicPr>
      <xdr:blipFill>
        <a:blip xmlns:r="http://schemas.openxmlformats.org/officeDocument/2006/relationships" r:embed="rId1293"/>
        <a:stretch>
          <a:fillRect/>
        </a:stretch>
      </xdr:blipFill>
      <xdr:spPr>
        <a:xfrm>
          <a:off x="7264400" y="1682870650"/>
          <a:ext cx="878840" cy="1183640"/>
        </a:xfrm>
        <a:prstGeom prst="rect">
          <a:avLst/>
        </a:prstGeom>
      </xdr:spPr>
    </xdr:pic>
    <xdr:clientData/>
  </xdr:twoCellAnchor>
  <xdr:twoCellAnchor>
    <xdr:from>
      <xdr:col>8</xdr:col>
      <xdr:colOff>6350</xdr:colOff>
      <xdr:row>1698</xdr:row>
      <xdr:rowOff>25400</xdr:rowOff>
    </xdr:from>
    <xdr:to>
      <xdr:col>8</xdr:col>
      <xdr:colOff>885190</xdr:colOff>
      <xdr:row>1698</xdr:row>
      <xdr:rowOff>1209040</xdr:rowOff>
    </xdr:to>
    <xdr:pic>
      <xdr:nvPicPr>
        <xdr:cNvPr id="5537" name="Изображение 5536" descr="resizeПП-00227141"/>
        <xdr:cNvPicPr>
          <a:picLocks noChangeAspect="1"/>
        </xdr:cNvPicPr>
      </xdr:nvPicPr>
      <xdr:blipFill>
        <a:blip xmlns:r="http://schemas.openxmlformats.org/officeDocument/2006/relationships" r:embed="rId1294"/>
        <a:stretch>
          <a:fillRect/>
        </a:stretch>
      </xdr:blipFill>
      <xdr:spPr>
        <a:xfrm>
          <a:off x="7264400" y="1684093025"/>
          <a:ext cx="878840" cy="1183640"/>
        </a:xfrm>
        <a:prstGeom prst="rect">
          <a:avLst/>
        </a:prstGeom>
      </xdr:spPr>
    </xdr:pic>
    <xdr:clientData/>
  </xdr:twoCellAnchor>
  <xdr:twoCellAnchor>
    <xdr:from>
      <xdr:col>8</xdr:col>
      <xdr:colOff>6350</xdr:colOff>
      <xdr:row>1699</xdr:row>
      <xdr:rowOff>25400</xdr:rowOff>
    </xdr:from>
    <xdr:to>
      <xdr:col>8</xdr:col>
      <xdr:colOff>885190</xdr:colOff>
      <xdr:row>1699</xdr:row>
      <xdr:rowOff>1209040</xdr:rowOff>
    </xdr:to>
    <xdr:pic>
      <xdr:nvPicPr>
        <xdr:cNvPr id="5538" name="Изображение 5537" descr="resizeПП-00203375"/>
        <xdr:cNvPicPr>
          <a:picLocks noChangeAspect="1"/>
        </xdr:cNvPicPr>
      </xdr:nvPicPr>
      <xdr:blipFill>
        <a:blip xmlns:r="http://schemas.openxmlformats.org/officeDocument/2006/relationships" r:embed="rId1295"/>
        <a:stretch>
          <a:fillRect/>
        </a:stretch>
      </xdr:blipFill>
      <xdr:spPr>
        <a:xfrm>
          <a:off x="7264400" y="1685315400"/>
          <a:ext cx="878840" cy="1183640"/>
        </a:xfrm>
        <a:prstGeom prst="rect">
          <a:avLst/>
        </a:prstGeom>
      </xdr:spPr>
    </xdr:pic>
    <xdr:clientData/>
  </xdr:twoCellAnchor>
  <xdr:twoCellAnchor>
    <xdr:from>
      <xdr:col>8</xdr:col>
      <xdr:colOff>6350</xdr:colOff>
      <xdr:row>1700</xdr:row>
      <xdr:rowOff>25400</xdr:rowOff>
    </xdr:from>
    <xdr:to>
      <xdr:col>8</xdr:col>
      <xdr:colOff>885190</xdr:colOff>
      <xdr:row>1700</xdr:row>
      <xdr:rowOff>1209040</xdr:rowOff>
    </xdr:to>
    <xdr:pic>
      <xdr:nvPicPr>
        <xdr:cNvPr id="5539" name="Изображение 5538" descr="resizeПП-00203367"/>
        <xdr:cNvPicPr>
          <a:picLocks noChangeAspect="1"/>
        </xdr:cNvPicPr>
      </xdr:nvPicPr>
      <xdr:blipFill>
        <a:blip xmlns:r="http://schemas.openxmlformats.org/officeDocument/2006/relationships" r:embed="rId1296"/>
        <a:stretch>
          <a:fillRect/>
        </a:stretch>
      </xdr:blipFill>
      <xdr:spPr>
        <a:xfrm>
          <a:off x="7264400" y="1686537775"/>
          <a:ext cx="878840" cy="1183640"/>
        </a:xfrm>
        <a:prstGeom prst="rect">
          <a:avLst/>
        </a:prstGeom>
      </xdr:spPr>
    </xdr:pic>
    <xdr:clientData/>
  </xdr:twoCellAnchor>
  <xdr:twoCellAnchor>
    <xdr:from>
      <xdr:col>8</xdr:col>
      <xdr:colOff>6350</xdr:colOff>
      <xdr:row>1701</xdr:row>
      <xdr:rowOff>25400</xdr:rowOff>
    </xdr:from>
    <xdr:to>
      <xdr:col>8</xdr:col>
      <xdr:colOff>885190</xdr:colOff>
      <xdr:row>1701</xdr:row>
      <xdr:rowOff>1209040</xdr:rowOff>
    </xdr:to>
    <xdr:pic>
      <xdr:nvPicPr>
        <xdr:cNvPr id="5540" name="Изображение 5539" descr="resizeПП-00203363"/>
        <xdr:cNvPicPr>
          <a:picLocks noChangeAspect="1"/>
        </xdr:cNvPicPr>
      </xdr:nvPicPr>
      <xdr:blipFill>
        <a:blip xmlns:r="http://schemas.openxmlformats.org/officeDocument/2006/relationships" r:embed="rId1297"/>
        <a:stretch>
          <a:fillRect/>
        </a:stretch>
      </xdr:blipFill>
      <xdr:spPr>
        <a:xfrm>
          <a:off x="7264400" y="1687760150"/>
          <a:ext cx="878840" cy="1183640"/>
        </a:xfrm>
        <a:prstGeom prst="rect">
          <a:avLst/>
        </a:prstGeom>
      </xdr:spPr>
    </xdr:pic>
    <xdr:clientData/>
  </xdr:twoCellAnchor>
  <xdr:twoCellAnchor>
    <xdr:from>
      <xdr:col>8</xdr:col>
      <xdr:colOff>6350</xdr:colOff>
      <xdr:row>1702</xdr:row>
      <xdr:rowOff>25400</xdr:rowOff>
    </xdr:from>
    <xdr:to>
      <xdr:col>8</xdr:col>
      <xdr:colOff>885190</xdr:colOff>
      <xdr:row>1702</xdr:row>
      <xdr:rowOff>1209040</xdr:rowOff>
    </xdr:to>
    <xdr:pic>
      <xdr:nvPicPr>
        <xdr:cNvPr id="5541" name="Изображение 5540" descr="resizeПП-00203366"/>
        <xdr:cNvPicPr>
          <a:picLocks noChangeAspect="1"/>
        </xdr:cNvPicPr>
      </xdr:nvPicPr>
      <xdr:blipFill>
        <a:blip xmlns:r="http://schemas.openxmlformats.org/officeDocument/2006/relationships" r:embed="rId1298"/>
        <a:stretch>
          <a:fillRect/>
        </a:stretch>
      </xdr:blipFill>
      <xdr:spPr>
        <a:xfrm>
          <a:off x="7264400" y="1688982525"/>
          <a:ext cx="878840" cy="1183640"/>
        </a:xfrm>
        <a:prstGeom prst="rect">
          <a:avLst/>
        </a:prstGeom>
      </xdr:spPr>
    </xdr:pic>
    <xdr:clientData/>
  </xdr:twoCellAnchor>
  <xdr:twoCellAnchor>
    <xdr:from>
      <xdr:col>8</xdr:col>
      <xdr:colOff>6350</xdr:colOff>
      <xdr:row>1703</xdr:row>
      <xdr:rowOff>25400</xdr:rowOff>
    </xdr:from>
    <xdr:to>
      <xdr:col>8</xdr:col>
      <xdr:colOff>885190</xdr:colOff>
      <xdr:row>1703</xdr:row>
      <xdr:rowOff>1209040</xdr:rowOff>
    </xdr:to>
    <xdr:pic>
      <xdr:nvPicPr>
        <xdr:cNvPr id="5542" name="Изображение 5541" descr="resizeПП-00103678"/>
        <xdr:cNvPicPr>
          <a:picLocks noChangeAspect="1"/>
        </xdr:cNvPicPr>
      </xdr:nvPicPr>
      <xdr:blipFill>
        <a:blip xmlns:r="http://schemas.openxmlformats.org/officeDocument/2006/relationships" r:embed="rId1299"/>
        <a:stretch>
          <a:fillRect/>
        </a:stretch>
      </xdr:blipFill>
      <xdr:spPr>
        <a:xfrm>
          <a:off x="7264400" y="1690204900"/>
          <a:ext cx="878840" cy="1183640"/>
        </a:xfrm>
        <a:prstGeom prst="rect">
          <a:avLst/>
        </a:prstGeom>
      </xdr:spPr>
    </xdr:pic>
    <xdr:clientData/>
  </xdr:twoCellAnchor>
  <xdr:twoCellAnchor>
    <xdr:from>
      <xdr:col>8</xdr:col>
      <xdr:colOff>6350</xdr:colOff>
      <xdr:row>1704</xdr:row>
      <xdr:rowOff>25400</xdr:rowOff>
    </xdr:from>
    <xdr:to>
      <xdr:col>8</xdr:col>
      <xdr:colOff>885190</xdr:colOff>
      <xdr:row>1704</xdr:row>
      <xdr:rowOff>1209040</xdr:rowOff>
    </xdr:to>
    <xdr:pic>
      <xdr:nvPicPr>
        <xdr:cNvPr id="5543" name="Изображение 5542" descr="resizeПП-00187208"/>
        <xdr:cNvPicPr>
          <a:picLocks noChangeAspect="1"/>
        </xdr:cNvPicPr>
      </xdr:nvPicPr>
      <xdr:blipFill>
        <a:blip xmlns:r="http://schemas.openxmlformats.org/officeDocument/2006/relationships" r:embed="rId1300"/>
        <a:stretch>
          <a:fillRect/>
        </a:stretch>
      </xdr:blipFill>
      <xdr:spPr>
        <a:xfrm>
          <a:off x="7264400" y="1691427275"/>
          <a:ext cx="878840" cy="1183640"/>
        </a:xfrm>
        <a:prstGeom prst="rect">
          <a:avLst/>
        </a:prstGeom>
      </xdr:spPr>
    </xdr:pic>
    <xdr:clientData/>
  </xdr:twoCellAnchor>
  <xdr:twoCellAnchor>
    <xdr:from>
      <xdr:col>8</xdr:col>
      <xdr:colOff>6350</xdr:colOff>
      <xdr:row>1705</xdr:row>
      <xdr:rowOff>25400</xdr:rowOff>
    </xdr:from>
    <xdr:to>
      <xdr:col>8</xdr:col>
      <xdr:colOff>885190</xdr:colOff>
      <xdr:row>1705</xdr:row>
      <xdr:rowOff>1209040</xdr:rowOff>
    </xdr:to>
    <xdr:pic>
      <xdr:nvPicPr>
        <xdr:cNvPr id="5544" name="Изображение 5543" descr="resizeПП-00082724"/>
        <xdr:cNvPicPr>
          <a:picLocks noChangeAspect="1"/>
        </xdr:cNvPicPr>
      </xdr:nvPicPr>
      <xdr:blipFill>
        <a:blip xmlns:r="http://schemas.openxmlformats.org/officeDocument/2006/relationships" r:embed="rId1301"/>
        <a:stretch>
          <a:fillRect/>
        </a:stretch>
      </xdr:blipFill>
      <xdr:spPr>
        <a:xfrm>
          <a:off x="7264400" y="1692649650"/>
          <a:ext cx="878840" cy="1183640"/>
        </a:xfrm>
        <a:prstGeom prst="rect">
          <a:avLst/>
        </a:prstGeom>
      </xdr:spPr>
    </xdr:pic>
    <xdr:clientData/>
  </xdr:twoCellAnchor>
  <xdr:twoCellAnchor>
    <xdr:from>
      <xdr:col>8</xdr:col>
      <xdr:colOff>6350</xdr:colOff>
      <xdr:row>1706</xdr:row>
      <xdr:rowOff>25400</xdr:rowOff>
    </xdr:from>
    <xdr:to>
      <xdr:col>8</xdr:col>
      <xdr:colOff>885190</xdr:colOff>
      <xdr:row>1706</xdr:row>
      <xdr:rowOff>1209040</xdr:rowOff>
    </xdr:to>
    <xdr:pic>
      <xdr:nvPicPr>
        <xdr:cNvPr id="5545" name="Изображение 5544" descr="resizeПП-00082721"/>
        <xdr:cNvPicPr>
          <a:picLocks noChangeAspect="1"/>
        </xdr:cNvPicPr>
      </xdr:nvPicPr>
      <xdr:blipFill>
        <a:blip xmlns:r="http://schemas.openxmlformats.org/officeDocument/2006/relationships" r:embed="rId1302"/>
        <a:stretch>
          <a:fillRect/>
        </a:stretch>
      </xdr:blipFill>
      <xdr:spPr>
        <a:xfrm>
          <a:off x="7264400" y="1693872025"/>
          <a:ext cx="878840" cy="1183640"/>
        </a:xfrm>
        <a:prstGeom prst="rect">
          <a:avLst/>
        </a:prstGeom>
      </xdr:spPr>
    </xdr:pic>
    <xdr:clientData/>
  </xdr:twoCellAnchor>
  <xdr:twoCellAnchor>
    <xdr:from>
      <xdr:col>8</xdr:col>
      <xdr:colOff>6350</xdr:colOff>
      <xdr:row>1707</xdr:row>
      <xdr:rowOff>25400</xdr:rowOff>
    </xdr:from>
    <xdr:to>
      <xdr:col>8</xdr:col>
      <xdr:colOff>885190</xdr:colOff>
      <xdr:row>1707</xdr:row>
      <xdr:rowOff>1209040</xdr:rowOff>
    </xdr:to>
    <xdr:pic>
      <xdr:nvPicPr>
        <xdr:cNvPr id="5546" name="Изображение 5545" descr="resizeПП-00233398"/>
        <xdr:cNvPicPr>
          <a:picLocks noChangeAspect="1"/>
        </xdr:cNvPicPr>
      </xdr:nvPicPr>
      <xdr:blipFill>
        <a:blip xmlns:r="http://schemas.openxmlformats.org/officeDocument/2006/relationships" r:embed="rId1303"/>
        <a:stretch>
          <a:fillRect/>
        </a:stretch>
      </xdr:blipFill>
      <xdr:spPr>
        <a:xfrm>
          <a:off x="7264400" y="1695094400"/>
          <a:ext cx="878840" cy="1183640"/>
        </a:xfrm>
        <a:prstGeom prst="rect">
          <a:avLst/>
        </a:prstGeom>
      </xdr:spPr>
    </xdr:pic>
    <xdr:clientData/>
  </xdr:twoCellAnchor>
  <xdr:twoCellAnchor>
    <xdr:from>
      <xdr:col>8</xdr:col>
      <xdr:colOff>6350</xdr:colOff>
      <xdr:row>1708</xdr:row>
      <xdr:rowOff>25400</xdr:rowOff>
    </xdr:from>
    <xdr:to>
      <xdr:col>8</xdr:col>
      <xdr:colOff>885190</xdr:colOff>
      <xdr:row>1708</xdr:row>
      <xdr:rowOff>1209040</xdr:rowOff>
    </xdr:to>
    <xdr:pic>
      <xdr:nvPicPr>
        <xdr:cNvPr id="5547" name="Изображение 5546" descr="resizeПП-00233393"/>
        <xdr:cNvPicPr>
          <a:picLocks noChangeAspect="1"/>
        </xdr:cNvPicPr>
      </xdr:nvPicPr>
      <xdr:blipFill>
        <a:blip xmlns:r="http://schemas.openxmlformats.org/officeDocument/2006/relationships" r:embed="rId1304"/>
        <a:stretch>
          <a:fillRect/>
        </a:stretch>
      </xdr:blipFill>
      <xdr:spPr>
        <a:xfrm>
          <a:off x="7264400" y="1696316775"/>
          <a:ext cx="878840" cy="1183640"/>
        </a:xfrm>
        <a:prstGeom prst="rect">
          <a:avLst/>
        </a:prstGeom>
      </xdr:spPr>
    </xdr:pic>
    <xdr:clientData/>
  </xdr:twoCellAnchor>
  <xdr:twoCellAnchor>
    <xdr:from>
      <xdr:col>8</xdr:col>
      <xdr:colOff>6350</xdr:colOff>
      <xdr:row>1709</xdr:row>
      <xdr:rowOff>25400</xdr:rowOff>
    </xdr:from>
    <xdr:to>
      <xdr:col>8</xdr:col>
      <xdr:colOff>885190</xdr:colOff>
      <xdr:row>1709</xdr:row>
      <xdr:rowOff>1209040</xdr:rowOff>
    </xdr:to>
    <xdr:pic>
      <xdr:nvPicPr>
        <xdr:cNvPr id="5548" name="Изображение 5547" descr="resizeПП-00233394"/>
        <xdr:cNvPicPr>
          <a:picLocks noChangeAspect="1"/>
        </xdr:cNvPicPr>
      </xdr:nvPicPr>
      <xdr:blipFill>
        <a:blip xmlns:r="http://schemas.openxmlformats.org/officeDocument/2006/relationships" r:embed="rId1305"/>
        <a:stretch>
          <a:fillRect/>
        </a:stretch>
      </xdr:blipFill>
      <xdr:spPr>
        <a:xfrm>
          <a:off x="7264400" y="1697539150"/>
          <a:ext cx="878840" cy="1183640"/>
        </a:xfrm>
        <a:prstGeom prst="rect">
          <a:avLst/>
        </a:prstGeom>
      </xdr:spPr>
    </xdr:pic>
    <xdr:clientData/>
  </xdr:twoCellAnchor>
  <xdr:twoCellAnchor>
    <xdr:from>
      <xdr:col>8</xdr:col>
      <xdr:colOff>6350</xdr:colOff>
      <xdr:row>1710</xdr:row>
      <xdr:rowOff>25400</xdr:rowOff>
    </xdr:from>
    <xdr:to>
      <xdr:col>8</xdr:col>
      <xdr:colOff>885190</xdr:colOff>
      <xdr:row>1710</xdr:row>
      <xdr:rowOff>1209040</xdr:rowOff>
    </xdr:to>
    <xdr:pic>
      <xdr:nvPicPr>
        <xdr:cNvPr id="5549" name="Изображение 5548" descr="resizeПП-00233407"/>
        <xdr:cNvPicPr>
          <a:picLocks noChangeAspect="1"/>
        </xdr:cNvPicPr>
      </xdr:nvPicPr>
      <xdr:blipFill>
        <a:blip xmlns:r="http://schemas.openxmlformats.org/officeDocument/2006/relationships" r:embed="rId1306"/>
        <a:stretch>
          <a:fillRect/>
        </a:stretch>
      </xdr:blipFill>
      <xdr:spPr>
        <a:xfrm>
          <a:off x="7264400" y="1698761525"/>
          <a:ext cx="878840" cy="1183640"/>
        </a:xfrm>
        <a:prstGeom prst="rect">
          <a:avLst/>
        </a:prstGeom>
      </xdr:spPr>
    </xdr:pic>
    <xdr:clientData/>
  </xdr:twoCellAnchor>
  <xdr:twoCellAnchor>
    <xdr:from>
      <xdr:col>8</xdr:col>
      <xdr:colOff>6350</xdr:colOff>
      <xdr:row>1711</xdr:row>
      <xdr:rowOff>25400</xdr:rowOff>
    </xdr:from>
    <xdr:to>
      <xdr:col>8</xdr:col>
      <xdr:colOff>885190</xdr:colOff>
      <xdr:row>1711</xdr:row>
      <xdr:rowOff>1209040</xdr:rowOff>
    </xdr:to>
    <xdr:pic>
      <xdr:nvPicPr>
        <xdr:cNvPr id="5550" name="Изображение 5549" descr="resizeПП-00233400"/>
        <xdr:cNvPicPr>
          <a:picLocks noChangeAspect="1"/>
        </xdr:cNvPicPr>
      </xdr:nvPicPr>
      <xdr:blipFill>
        <a:blip xmlns:r="http://schemas.openxmlformats.org/officeDocument/2006/relationships" r:embed="rId1307"/>
        <a:stretch>
          <a:fillRect/>
        </a:stretch>
      </xdr:blipFill>
      <xdr:spPr>
        <a:xfrm>
          <a:off x="7264400" y="1699983900"/>
          <a:ext cx="878840" cy="1183640"/>
        </a:xfrm>
        <a:prstGeom prst="rect">
          <a:avLst/>
        </a:prstGeom>
      </xdr:spPr>
    </xdr:pic>
    <xdr:clientData/>
  </xdr:twoCellAnchor>
  <xdr:twoCellAnchor>
    <xdr:from>
      <xdr:col>8</xdr:col>
      <xdr:colOff>6350</xdr:colOff>
      <xdr:row>1712</xdr:row>
      <xdr:rowOff>25400</xdr:rowOff>
    </xdr:from>
    <xdr:to>
      <xdr:col>8</xdr:col>
      <xdr:colOff>885190</xdr:colOff>
      <xdr:row>1712</xdr:row>
      <xdr:rowOff>1209040</xdr:rowOff>
    </xdr:to>
    <xdr:pic>
      <xdr:nvPicPr>
        <xdr:cNvPr id="5551" name="Изображение 5550" descr="resizeПП-00233405"/>
        <xdr:cNvPicPr>
          <a:picLocks noChangeAspect="1"/>
        </xdr:cNvPicPr>
      </xdr:nvPicPr>
      <xdr:blipFill>
        <a:blip xmlns:r="http://schemas.openxmlformats.org/officeDocument/2006/relationships" r:embed="rId1308"/>
        <a:stretch>
          <a:fillRect/>
        </a:stretch>
      </xdr:blipFill>
      <xdr:spPr>
        <a:xfrm>
          <a:off x="7264400" y="1701206275"/>
          <a:ext cx="878840" cy="1183640"/>
        </a:xfrm>
        <a:prstGeom prst="rect">
          <a:avLst/>
        </a:prstGeom>
      </xdr:spPr>
    </xdr:pic>
    <xdr:clientData/>
  </xdr:twoCellAnchor>
  <xdr:twoCellAnchor>
    <xdr:from>
      <xdr:col>8</xdr:col>
      <xdr:colOff>6350</xdr:colOff>
      <xdr:row>1713</xdr:row>
      <xdr:rowOff>25400</xdr:rowOff>
    </xdr:from>
    <xdr:to>
      <xdr:col>8</xdr:col>
      <xdr:colOff>885190</xdr:colOff>
      <xdr:row>1713</xdr:row>
      <xdr:rowOff>1209040</xdr:rowOff>
    </xdr:to>
    <xdr:pic>
      <xdr:nvPicPr>
        <xdr:cNvPr id="5552" name="Изображение 5551" descr="resizeПП-00233403"/>
        <xdr:cNvPicPr>
          <a:picLocks noChangeAspect="1"/>
        </xdr:cNvPicPr>
      </xdr:nvPicPr>
      <xdr:blipFill>
        <a:blip xmlns:r="http://schemas.openxmlformats.org/officeDocument/2006/relationships" r:embed="rId1305"/>
        <a:stretch>
          <a:fillRect/>
        </a:stretch>
      </xdr:blipFill>
      <xdr:spPr>
        <a:xfrm>
          <a:off x="7264400" y="1702428650"/>
          <a:ext cx="878840" cy="1183640"/>
        </a:xfrm>
        <a:prstGeom prst="rect">
          <a:avLst/>
        </a:prstGeom>
      </xdr:spPr>
    </xdr:pic>
    <xdr:clientData/>
  </xdr:twoCellAnchor>
  <xdr:twoCellAnchor>
    <xdr:from>
      <xdr:col>8</xdr:col>
      <xdr:colOff>6350</xdr:colOff>
      <xdr:row>1714</xdr:row>
      <xdr:rowOff>25400</xdr:rowOff>
    </xdr:from>
    <xdr:to>
      <xdr:col>8</xdr:col>
      <xdr:colOff>885190</xdr:colOff>
      <xdr:row>1714</xdr:row>
      <xdr:rowOff>1209040</xdr:rowOff>
    </xdr:to>
    <xdr:pic>
      <xdr:nvPicPr>
        <xdr:cNvPr id="5553" name="Изображение 5552" descr="resizeПП-00233419"/>
        <xdr:cNvPicPr>
          <a:picLocks noChangeAspect="1"/>
        </xdr:cNvPicPr>
      </xdr:nvPicPr>
      <xdr:blipFill>
        <a:blip xmlns:r="http://schemas.openxmlformats.org/officeDocument/2006/relationships" r:embed="rId1309"/>
        <a:stretch>
          <a:fillRect/>
        </a:stretch>
      </xdr:blipFill>
      <xdr:spPr>
        <a:xfrm>
          <a:off x="7264400" y="1703651025"/>
          <a:ext cx="878840" cy="1183640"/>
        </a:xfrm>
        <a:prstGeom prst="rect">
          <a:avLst/>
        </a:prstGeom>
      </xdr:spPr>
    </xdr:pic>
    <xdr:clientData/>
  </xdr:twoCellAnchor>
  <xdr:twoCellAnchor>
    <xdr:from>
      <xdr:col>8</xdr:col>
      <xdr:colOff>6350</xdr:colOff>
      <xdr:row>1715</xdr:row>
      <xdr:rowOff>25400</xdr:rowOff>
    </xdr:from>
    <xdr:to>
      <xdr:col>8</xdr:col>
      <xdr:colOff>885190</xdr:colOff>
      <xdr:row>1715</xdr:row>
      <xdr:rowOff>1209040</xdr:rowOff>
    </xdr:to>
    <xdr:pic>
      <xdr:nvPicPr>
        <xdr:cNvPr id="5554" name="Изображение 5553" descr="resizeПП-00233409"/>
        <xdr:cNvPicPr>
          <a:picLocks noChangeAspect="1"/>
        </xdr:cNvPicPr>
      </xdr:nvPicPr>
      <xdr:blipFill>
        <a:blip xmlns:r="http://schemas.openxmlformats.org/officeDocument/2006/relationships" r:embed="rId1307"/>
        <a:stretch>
          <a:fillRect/>
        </a:stretch>
      </xdr:blipFill>
      <xdr:spPr>
        <a:xfrm>
          <a:off x="7264400" y="1704873400"/>
          <a:ext cx="878840" cy="1183640"/>
        </a:xfrm>
        <a:prstGeom prst="rect">
          <a:avLst/>
        </a:prstGeom>
      </xdr:spPr>
    </xdr:pic>
    <xdr:clientData/>
  </xdr:twoCellAnchor>
  <xdr:twoCellAnchor>
    <xdr:from>
      <xdr:col>8</xdr:col>
      <xdr:colOff>6350</xdr:colOff>
      <xdr:row>1716</xdr:row>
      <xdr:rowOff>25400</xdr:rowOff>
    </xdr:from>
    <xdr:to>
      <xdr:col>8</xdr:col>
      <xdr:colOff>885190</xdr:colOff>
      <xdr:row>1716</xdr:row>
      <xdr:rowOff>1209040</xdr:rowOff>
    </xdr:to>
    <xdr:pic>
      <xdr:nvPicPr>
        <xdr:cNvPr id="5555" name="Изображение 5554" descr="resizeПП-00233417"/>
        <xdr:cNvPicPr>
          <a:picLocks noChangeAspect="1"/>
        </xdr:cNvPicPr>
      </xdr:nvPicPr>
      <xdr:blipFill>
        <a:blip xmlns:r="http://schemas.openxmlformats.org/officeDocument/2006/relationships" r:embed="rId1310"/>
        <a:stretch>
          <a:fillRect/>
        </a:stretch>
      </xdr:blipFill>
      <xdr:spPr>
        <a:xfrm>
          <a:off x="7264400" y="1706095775"/>
          <a:ext cx="878840" cy="1183640"/>
        </a:xfrm>
        <a:prstGeom prst="rect">
          <a:avLst/>
        </a:prstGeom>
      </xdr:spPr>
    </xdr:pic>
    <xdr:clientData/>
  </xdr:twoCellAnchor>
  <xdr:twoCellAnchor>
    <xdr:from>
      <xdr:col>8</xdr:col>
      <xdr:colOff>6350</xdr:colOff>
      <xdr:row>1717</xdr:row>
      <xdr:rowOff>25400</xdr:rowOff>
    </xdr:from>
    <xdr:to>
      <xdr:col>8</xdr:col>
      <xdr:colOff>885190</xdr:colOff>
      <xdr:row>1717</xdr:row>
      <xdr:rowOff>1209040</xdr:rowOff>
    </xdr:to>
    <xdr:pic>
      <xdr:nvPicPr>
        <xdr:cNvPr id="5556" name="Изображение 5555" descr="resizeПП-00233411"/>
        <xdr:cNvPicPr>
          <a:picLocks noChangeAspect="1"/>
        </xdr:cNvPicPr>
      </xdr:nvPicPr>
      <xdr:blipFill>
        <a:blip xmlns:r="http://schemas.openxmlformats.org/officeDocument/2006/relationships" r:embed="rId1305"/>
        <a:stretch>
          <a:fillRect/>
        </a:stretch>
      </xdr:blipFill>
      <xdr:spPr>
        <a:xfrm>
          <a:off x="7264400" y="1707318150"/>
          <a:ext cx="878840" cy="1183640"/>
        </a:xfrm>
        <a:prstGeom prst="rect">
          <a:avLst/>
        </a:prstGeom>
      </xdr:spPr>
    </xdr:pic>
    <xdr:clientData/>
  </xdr:twoCellAnchor>
  <xdr:twoCellAnchor>
    <xdr:from>
      <xdr:col>8</xdr:col>
      <xdr:colOff>6350</xdr:colOff>
      <xdr:row>1718</xdr:row>
      <xdr:rowOff>25400</xdr:rowOff>
    </xdr:from>
    <xdr:to>
      <xdr:col>8</xdr:col>
      <xdr:colOff>885190</xdr:colOff>
      <xdr:row>1718</xdr:row>
      <xdr:rowOff>1209040</xdr:rowOff>
    </xdr:to>
    <xdr:pic>
      <xdr:nvPicPr>
        <xdr:cNvPr id="5557" name="Изображение 5556" descr="resizeПП-00081809"/>
        <xdr:cNvPicPr>
          <a:picLocks noChangeAspect="1"/>
        </xdr:cNvPicPr>
      </xdr:nvPicPr>
      <xdr:blipFill>
        <a:blip xmlns:r="http://schemas.openxmlformats.org/officeDocument/2006/relationships" r:embed="rId1311"/>
        <a:stretch>
          <a:fillRect/>
        </a:stretch>
      </xdr:blipFill>
      <xdr:spPr>
        <a:xfrm>
          <a:off x="7264400" y="1708540525"/>
          <a:ext cx="878840" cy="1183640"/>
        </a:xfrm>
        <a:prstGeom prst="rect">
          <a:avLst/>
        </a:prstGeom>
      </xdr:spPr>
    </xdr:pic>
    <xdr:clientData/>
  </xdr:twoCellAnchor>
  <xdr:twoCellAnchor>
    <xdr:from>
      <xdr:col>8</xdr:col>
      <xdr:colOff>6350</xdr:colOff>
      <xdr:row>1719</xdr:row>
      <xdr:rowOff>25400</xdr:rowOff>
    </xdr:from>
    <xdr:to>
      <xdr:col>8</xdr:col>
      <xdr:colOff>885190</xdr:colOff>
      <xdr:row>1719</xdr:row>
      <xdr:rowOff>1209040</xdr:rowOff>
    </xdr:to>
    <xdr:pic>
      <xdr:nvPicPr>
        <xdr:cNvPr id="5558" name="Изображение 5557" descr="resizeПП-00081811"/>
        <xdr:cNvPicPr>
          <a:picLocks noChangeAspect="1"/>
        </xdr:cNvPicPr>
      </xdr:nvPicPr>
      <xdr:blipFill>
        <a:blip xmlns:r="http://schemas.openxmlformats.org/officeDocument/2006/relationships" r:embed="rId1312"/>
        <a:stretch>
          <a:fillRect/>
        </a:stretch>
      </xdr:blipFill>
      <xdr:spPr>
        <a:xfrm>
          <a:off x="7264400" y="1709762900"/>
          <a:ext cx="878840" cy="1183640"/>
        </a:xfrm>
        <a:prstGeom prst="rect">
          <a:avLst/>
        </a:prstGeom>
      </xdr:spPr>
    </xdr:pic>
    <xdr:clientData/>
  </xdr:twoCellAnchor>
  <xdr:twoCellAnchor>
    <xdr:from>
      <xdr:col>8</xdr:col>
      <xdr:colOff>6350</xdr:colOff>
      <xdr:row>1721</xdr:row>
      <xdr:rowOff>25400</xdr:rowOff>
    </xdr:from>
    <xdr:to>
      <xdr:col>8</xdr:col>
      <xdr:colOff>885190</xdr:colOff>
      <xdr:row>1721</xdr:row>
      <xdr:rowOff>1209040</xdr:rowOff>
    </xdr:to>
    <xdr:pic>
      <xdr:nvPicPr>
        <xdr:cNvPr id="5559" name="Изображение 5558" descr="resizeПП-00203355"/>
        <xdr:cNvPicPr>
          <a:picLocks noChangeAspect="1"/>
        </xdr:cNvPicPr>
      </xdr:nvPicPr>
      <xdr:blipFill>
        <a:blip xmlns:r="http://schemas.openxmlformats.org/officeDocument/2006/relationships" r:embed="rId1313"/>
        <a:stretch>
          <a:fillRect/>
        </a:stretch>
      </xdr:blipFill>
      <xdr:spPr>
        <a:xfrm>
          <a:off x="7264400" y="1711137675"/>
          <a:ext cx="878840" cy="1183640"/>
        </a:xfrm>
        <a:prstGeom prst="rect">
          <a:avLst/>
        </a:prstGeom>
      </xdr:spPr>
    </xdr:pic>
    <xdr:clientData/>
  </xdr:twoCellAnchor>
  <xdr:twoCellAnchor>
    <xdr:from>
      <xdr:col>8</xdr:col>
      <xdr:colOff>6350</xdr:colOff>
      <xdr:row>1722</xdr:row>
      <xdr:rowOff>25400</xdr:rowOff>
    </xdr:from>
    <xdr:to>
      <xdr:col>8</xdr:col>
      <xdr:colOff>885190</xdr:colOff>
      <xdr:row>1722</xdr:row>
      <xdr:rowOff>1209040</xdr:rowOff>
    </xdr:to>
    <xdr:pic>
      <xdr:nvPicPr>
        <xdr:cNvPr id="5560" name="Изображение 5559" descr="resizeПП-00227143"/>
        <xdr:cNvPicPr>
          <a:picLocks noChangeAspect="1"/>
        </xdr:cNvPicPr>
      </xdr:nvPicPr>
      <xdr:blipFill>
        <a:blip xmlns:r="http://schemas.openxmlformats.org/officeDocument/2006/relationships" r:embed="rId1314"/>
        <a:stretch>
          <a:fillRect/>
        </a:stretch>
      </xdr:blipFill>
      <xdr:spPr>
        <a:xfrm>
          <a:off x="7264400" y="1712360050"/>
          <a:ext cx="878840" cy="1183640"/>
        </a:xfrm>
        <a:prstGeom prst="rect">
          <a:avLst/>
        </a:prstGeom>
      </xdr:spPr>
    </xdr:pic>
    <xdr:clientData/>
  </xdr:twoCellAnchor>
  <xdr:twoCellAnchor>
    <xdr:from>
      <xdr:col>8</xdr:col>
      <xdr:colOff>6350</xdr:colOff>
      <xdr:row>1723</xdr:row>
      <xdr:rowOff>25400</xdr:rowOff>
    </xdr:from>
    <xdr:to>
      <xdr:col>8</xdr:col>
      <xdr:colOff>885190</xdr:colOff>
      <xdr:row>1723</xdr:row>
      <xdr:rowOff>1209040</xdr:rowOff>
    </xdr:to>
    <xdr:pic>
      <xdr:nvPicPr>
        <xdr:cNvPr id="5561" name="Изображение 5560" descr="resizeПП-00203362"/>
        <xdr:cNvPicPr>
          <a:picLocks noChangeAspect="1"/>
        </xdr:cNvPicPr>
      </xdr:nvPicPr>
      <xdr:blipFill>
        <a:blip xmlns:r="http://schemas.openxmlformats.org/officeDocument/2006/relationships" r:embed="rId1315"/>
        <a:stretch>
          <a:fillRect/>
        </a:stretch>
      </xdr:blipFill>
      <xdr:spPr>
        <a:xfrm>
          <a:off x="7264400" y="1713582425"/>
          <a:ext cx="878840" cy="1183640"/>
        </a:xfrm>
        <a:prstGeom prst="rect">
          <a:avLst/>
        </a:prstGeom>
      </xdr:spPr>
    </xdr:pic>
    <xdr:clientData/>
  </xdr:twoCellAnchor>
  <xdr:twoCellAnchor>
    <xdr:from>
      <xdr:col>8</xdr:col>
      <xdr:colOff>6350</xdr:colOff>
      <xdr:row>1724</xdr:row>
      <xdr:rowOff>25400</xdr:rowOff>
    </xdr:from>
    <xdr:to>
      <xdr:col>8</xdr:col>
      <xdr:colOff>885190</xdr:colOff>
      <xdr:row>1724</xdr:row>
      <xdr:rowOff>1209040</xdr:rowOff>
    </xdr:to>
    <xdr:pic>
      <xdr:nvPicPr>
        <xdr:cNvPr id="5562" name="Изображение 5561" descr="resizeПП-00203358"/>
        <xdr:cNvPicPr>
          <a:picLocks noChangeAspect="1"/>
        </xdr:cNvPicPr>
      </xdr:nvPicPr>
      <xdr:blipFill>
        <a:blip xmlns:r="http://schemas.openxmlformats.org/officeDocument/2006/relationships" r:embed="rId1316"/>
        <a:stretch>
          <a:fillRect/>
        </a:stretch>
      </xdr:blipFill>
      <xdr:spPr>
        <a:xfrm>
          <a:off x="7264400" y="1714804800"/>
          <a:ext cx="878840" cy="1183640"/>
        </a:xfrm>
        <a:prstGeom prst="rect">
          <a:avLst/>
        </a:prstGeom>
      </xdr:spPr>
    </xdr:pic>
    <xdr:clientData/>
  </xdr:twoCellAnchor>
  <xdr:twoCellAnchor>
    <xdr:from>
      <xdr:col>8</xdr:col>
      <xdr:colOff>6350</xdr:colOff>
      <xdr:row>1725</xdr:row>
      <xdr:rowOff>25400</xdr:rowOff>
    </xdr:from>
    <xdr:to>
      <xdr:col>8</xdr:col>
      <xdr:colOff>885190</xdr:colOff>
      <xdr:row>1725</xdr:row>
      <xdr:rowOff>1209040</xdr:rowOff>
    </xdr:to>
    <xdr:pic>
      <xdr:nvPicPr>
        <xdr:cNvPr id="5563" name="Изображение 5562" descr="resizeПП-00203361"/>
        <xdr:cNvPicPr>
          <a:picLocks noChangeAspect="1"/>
        </xdr:cNvPicPr>
      </xdr:nvPicPr>
      <xdr:blipFill>
        <a:blip xmlns:r="http://schemas.openxmlformats.org/officeDocument/2006/relationships" r:embed="rId1317"/>
        <a:stretch>
          <a:fillRect/>
        </a:stretch>
      </xdr:blipFill>
      <xdr:spPr>
        <a:xfrm>
          <a:off x="7264400" y="1716027175"/>
          <a:ext cx="878840" cy="1183640"/>
        </a:xfrm>
        <a:prstGeom prst="rect">
          <a:avLst/>
        </a:prstGeom>
      </xdr:spPr>
    </xdr:pic>
    <xdr:clientData/>
  </xdr:twoCellAnchor>
  <xdr:twoCellAnchor>
    <xdr:from>
      <xdr:col>8</xdr:col>
      <xdr:colOff>6350</xdr:colOff>
      <xdr:row>1726</xdr:row>
      <xdr:rowOff>25400</xdr:rowOff>
    </xdr:from>
    <xdr:to>
      <xdr:col>8</xdr:col>
      <xdr:colOff>885190</xdr:colOff>
      <xdr:row>1726</xdr:row>
      <xdr:rowOff>1209040</xdr:rowOff>
    </xdr:to>
    <xdr:pic>
      <xdr:nvPicPr>
        <xdr:cNvPr id="5564" name="Изображение 5563" descr="resizeПП-00257766"/>
        <xdr:cNvPicPr>
          <a:picLocks noChangeAspect="1"/>
        </xdr:cNvPicPr>
      </xdr:nvPicPr>
      <xdr:blipFill>
        <a:blip xmlns:r="http://schemas.openxmlformats.org/officeDocument/2006/relationships" r:embed="rId1318"/>
        <a:stretch>
          <a:fillRect/>
        </a:stretch>
      </xdr:blipFill>
      <xdr:spPr>
        <a:xfrm>
          <a:off x="7264400" y="1717249550"/>
          <a:ext cx="878840" cy="1183640"/>
        </a:xfrm>
        <a:prstGeom prst="rect">
          <a:avLst/>
        </a:prstGeom>
      </xdr:spPr>
    </xdr:pic>
    <xdr:clientData/>
  </xdr:twoCellAnchor>
  <xdr:twoCellAnchor>
    <xdr:from>
      <xdr:col>8</xdr:col>
      <xdr:colOff>6350</xdr:colOff>
      <xdr:row>1728</xdr:row>
      <xdr:rowOff>25400</xdr:rowOff>
    </xdr:from>
    <xdr:to>
      <xdr:col>8</xdr:col>
      <xdr:colOff>885190</xdr:colOff>
      <xdr:row>1728</xdr:row>
      <xdr:rowOff>1209040</xdr:rowOff>
    </xdr:to>
    <xdr:pic>
      <xdr:nvPicPr>
        <xdr:cNvPr id="5565" name="Изображение 5564" descr="resizeПП-00233654"/>
        <xdr:cNvPicPr>
          <a:picLocks noChangeAspect="1"/>
        </xdr:cNvPicPr>
      </xdr:nvPicPr>
      <xdr:blipFill>
        <a:blip xmlns:r="http://schemas.openxmlformats.org/officeDocument/2006/relationships" r:embed="rId1319"/>
        <a:stretch>
          <a:fillRect/>
        </a:stretch>
      </xdr:blipFill>
      <xdr:spPr>
        <a:xfrm>
          <a:off x="7264400" y="1718624325"/>
          <a:ext cx="878840" cy="1183640"/>
        </a:xfrm>
        <a:prstGeom prst="rect">
          <a:avLst/>
        </a:prstGeom>
      </xdr:spPr>
    </xdr:pic>
    <xdr:clientData/>
  </xdr:twoCellAnchor>
  <xdr:twoCellAnchor>
    <xdr:from>
      <xdr:col>8</xdr:col>
      <xdr:colOff>6350</xdr:colOff>
      <xdr:row>1729</xdr:row>
      <xdr:rowOff>25400</xdr:rowOff>
    </xdr:from>
    <xdr:to>
      <xdr:col>8</xdr:col>
      <xdr:colOff>885190</xdr:colOff>
      <xdr:row>1729</xdr:row>
      <xdr:rowOff>1209040</xdr:rowOff>
    </xdr:to>
    <xdr:pic>
      <xdr:nvPicPr>
        <xdr:cNvPr id="5566" name="Изображение 5565" descr="resizeПП-00233655"/>
        <xdr:cNvPicPr>
          <a:picLocks noChangeAspect="1"/>
        </xdr:cNvPicPr>
      </xdr:nvPicPr>
      <xdr:blipFill>
        <a:blip xmlns:r="http://schemas.openxmlformats.org/officeDocument/2006/relationships" r:embed="rId1320"/>
        <a:stretch>
          <a:fillRect/>
        </a:stretch>
      </xdr:blipFill>
      <xdr:spPr>
        <a:xfrm>
          <a:off x="7264400" y="1719846700"/>
          <a:ext cx="878840" cy="1183640"/>
        </a:xfrm>
        <a:prstGeom prst="rect">
          <a:avLst/>
        </a:prstGeom>
      </xdr:spPr>
    </xdr:pic>
    <xdr:clientData/>
  </xdr:twoCellAnchor>
  <xdr:twoCellAnchor>
    <xdr:from>
      <xdr:col>8</xdr:col>
      <xdr:colOff>6350</xdr:colOff>
      <xdr:row>1730</xdr:row>
      <xdr:rowOff>25400</xdr:rowOff>
    </xdr:from>
    <xdr:to>
      <xdr:col>8</xdr:col>
      <xdr:colOff>885190</xdr:colOff>
      <xdr:row>1730</xdr:row>
      <xdr:rowOff>1209040</xdr:rowOff>
    </xdr:to>
    <xdr:pic>
      <xdr:nvPicPr>
        <xdr:cNvPr id="5567" name="Изображение 5566" descr="resizeПП-00233656"/>
        <xdr:cNvPicPr>
          <a:picLocks noChangeAspect="1"/>
        </xdr:cNvPicPr>
      </xdr:nvPicPr>
      <xdr:blipFill>
        <a:blip xmlns:r="http://schemas.openxmlformats.org/officeDocument/2006/relationships" r:embed="rId1321"/>
        <a:stretch>
          <a:fillRect/>
        </a:stretch>
      </xdr:blipFill>
      <xdr:spPr>
        <a:xfrm>
          <a:off x="7264400" y="1721069075"/>
          <a:ext cx="878840" cy="1183640"/>
        </a:xfrm>
        <a:prstGeom prst="rect">
          <a:avLst/>
        </a:prstGeom>
      </xdr:spPr>
    </xdr:pic>
    <xdr:clientData/>
  </xdr:twoCellAnchor>
  <xdr:twoCellAnchor>
    <xdr:from>
      <xdr:col>8</xdr:col>
      <xdr:colOff>6350</xdr:colOff>
      <xdr:row>1731</xdr:row>
      <xdr:rowOff>25400</xdr:rowOff>
    </xdr:from>
    <xdr:to>
      <xdr:col>8</xdr:col>
      <xdr:colOff>885190</xdr:colOff>
      <xdr:row>1731</xdr:row>
      <xdr:rowOff>1209040</xdr:rowOff>
    </xdr:to>
    <xdr:pic>
      <xdr:nvPicPr>
        <xdr:cNvPr id="5568" name="Изображение 5567" descr="resizeПП-00269075"/>
        <xdr:cNvPicPr>
          <a:picLocks noChangeAspect="1"/>
        </xdr:cNvPicPr>
      </xdr:nvPicPr>
      <xdr:blipFill>
        <a:blip xmlns:r="http://schemas.openxmlformats.org/officeDocument/2006/relationships" r:embed="rId1322"/>
        <a:stretch>
          <a:fillRect/>
        </a:stretch>
      </xdr:blipFill>
      <xdr:spPr>
        <a:xfrm>
          <a:off x="7264400" y="1722291450"/>
          <a:ext cx="878840" cy="1183640"/>
        </a:xfrm>
        <a:prstGeom prst="rect">
          <a:avLst/>
        </a:prstGeom>
      </xdr:spPr>
    </xdr:pic>
    <xdr:clientData/>
  </xdr:twoCellAnchor>
  <xdr:twoCellAnchor>
    <xdr:from>
      <xdr:col>8</xdr:col>
      <xdr:colOff>6350</xdr:colOff>
      <xdr:row>1732</xdr:row>
      <xdr:rowOff>25400</xdr:rowOff>
    </xdr:from>
    <xdr:to>
      <xdr:col>8</xdr:col>
      <xdr:colOff>885190</xdr:colOff>
      <xdr:row>1732</xdr:row>
      <xdr:rowOff>1209040</xdr:rowOff>
    </xdr:to>
    <xdr:pic>
      <xdr:nvPicPr>
        <xdr:cNvPr id="5569" name="Изображение 5568" descr="resizeПП-00269071"/>
        <xdr:cNvPicPr>
          <a:picLocks noChangeAspect="1"/>
        </xdr:cNvPicPr>
      </xdr:nvPicPr>
      <xdr:blipFill>
        <a:blip xmlns:r="http://schemas.openxmlformats.org/officeDocument/2006/relationships" r:embed="rId1323"/>
        <a:stretch>
          <a:fillRect/>
        </a:stretch>
      </xdr:blipFill>
      <xdr:spPr>
        <a:xfrm>
          <a:off x="7264400" y="1723513825"/>
          <a:ext cx="878840" cy="1183640"/>
        </a:xfrm>
        <a:prstGeom prst="rect">
          <a:avLst/>
        </a:prstGeom>
      </xdr:spPr>
    </xdr:pic>
    <xdr:clientData/>
  </xdr:twoCellAnchor>
  <xdr:twoCellAnchor>
    <xdr:from>
      <xdr:col>8</xdr:col>
      <xdr:colOff>6350</xdr:colOff>
      <xdr:row>1733</xdr:row>
      <xdr:rowOff>25400</xdr:rowOff>
    </xdr:from>
    <xdr:to>
      <xdr:col>8</xdr:col>
      <xdr:colOff>885190</xdr:colOff>
      <xdr:row>1733</xdr:row>
      <xdr:rowOff>1209040</xdr:rowOff>
    </xdr:to>
    <xdr:pic>
      <xdr:nvPicPr>
        <xdr:cNvPr id="5570" name="Изображение 5569" descr="resizeПП-00269073"/>
        <xdr:cNvPicPr>
          <a:picLocks noChangeAspect="1"/>
        </xdr:cNvPicPr>
      </xdr:nvPicPr>
      <xdr:blipFill>
        <a:blip xmlns:r="http://schemas.openxmlformats.org/officeDocument/2006/relationships" r:embed="rId1324"/>
        <a:stretch>
          <a:fillRect/>
        </a:stretch>
      </xdr:blipFill>
      <xdr:spPr>
        <a:xfrm>
          <a:off x="7264400" y="1724736200"/>
          <a:ext cx="878840" cy="1183640"/>
        </a:xfrm>
        <a:prstGeom prst="rect">
          <a:avLst/>
        </a:prstGeom>
      </xdr:spPr>
    </xdr:pic>
    <xdr:clientData/>
  </xdr:twoCellAnchor>
  <xdr:twoCellAnchor>
    <xdr:from>
      <xdr:col>8</xdr:col>
      <xdr:colOff>6350</xdr:colOff>
      <xdr:row>1735</xdr:row>
      <xdr:rowOff>25400</xdr:rowOff>
    </xdr:from>
    <xdr:to>
      <xdr:col>8</xdr:col>
      <xdr:colOff>885190</xdr:colOff>
      <xdr:row>1735</xdr:row>
      <xdr:rowOff>1209040</xdr:rowOff>
    </xdr:to>
    <xdr:pic>
      <xdr:nvPicPr>
        <xdr:cNvPr id="5571" name="Изображение 5570" descr="resizeПП-00255714"/>
        <xdr:cNvPicPr>
          <a:picLocks noChangeAspect="1"/>
        </xdr:cNvPicPr>
      </xdr:nvPicPr>
      <xdr:blipFill>
        <a:blip xmlns:r="http://schemas.openxmlformats.org/officeDocument/2006/relationships" r:embed="rId1325"/>
        <a:stretch>
          <a:fillRect/>
        </a:stretch>
      </xdr:blipFill>
      <xdr:spPr>
        <a:xfrm>
          <a:off x="7264400" y="1726110975"/>
          <a:ext cx="878840" cy="1183640"/>
        </a:xfrm>
        <a:prstGeom prst="rect">
          <a:avLst/>
        </a:prstGeom>
      </xdr:spPr>
    </xdr:pic>
    <xdr:clientData/>
  </xdr:twoCellAnchor>
  <xdr:twoCellAnchor>
    <xdr:from>
      <xdr:col>8</xdr:col>
      <xdr:colOff>6350</xdr:colOff>
      <xdr:row>1736</xdr:row>
      <xdr:rowOff>25400</xdr:rowOff>
    </xdr:from>
    <xdr:to>
      <xdr:col>8</xdr:col>
      <xdr:colOff>885190</xdr:colOff>
      <xdr:row>1736</xdr:row>
      <xdr:rowOff>1209040</xdr:rowOff>
    </xdr:to>
    <xdr:pic>
      <xdr:nvPicPr>
        <xdr:cNvPr id="5572" name="Изображение 5571" descr="resizeПП-00255715"/>
        <xdr:cNvPicPr>
          <a:picLocks noChangeAspect="1"/>
        </xdr:cNvPicPr>
      </xdr:nvPicPr>
      <xdr:blipFill>
        <a:blip xmlns:r="http://schemas.openxmlformats.org/officeDocument/2006/relationships" r:embed="rId1326"/>
        <a:stretch>
          <a:fillRect/>
        </a:stretch>
      </xdr:blipFill>
      <xdr:spPr>
        <a:xfrm>
          <a:off x="7264400" y="1727333350"/>
          <a:ext cx="878840" cy="1183640"/>
        </a:xfrm>
        <a:prstGeom prst="rect">
          <a:avLst/>
        </a:prstGeom>
      </xdr:spPr>
    </xdr:pic>
    <xdr:clientData/>
  </xdr:twoCellAnchor>
  <xdr:twoCellAnchor>
    <xdr:from>
      <xdr:col>8</xdr:col>
      <xdr:colOff>6350</xdr:colOff>
      <xdr:row>1737</xdr:row>
      <xdr:rowOff>25400</xdr:rowOff>
    </xdr:from>
    <xdr:to>
      <xdr:col>8</xdr:col>
      <xdr:colOff>885190</xdr:colOff>
      <xdr:row>1737</xdr:row>
      <xdr:rowOff>1209040</xdr:rowOff>
    </xdr:to>
    <xdr:pic>
      <xdr:nvPicPr>
        <xdr:cNvPr id="5573" name="Изображение 5572" descr="resizeПП-00255716"/>
        <xdr:cNvPicPr>
          <a:picLocks noChangeAspect="1"/>
        </xdr:cNvPicPr>
      </xdr:nvPicPr>
      <xdr:blipFill>
        <a:blip xmlns:r="http://schemas.openxmlformats.org/officeDocument/2006/relationships" r:embed="rId1327"/>
        <a:stretch>
          <a:fillRect/>
        </a:stretch>
      </xdr:blipFill>
      <xdr:spPr>
        <a:xfrm>
          <a:off x="7264400" y="1728555725"/>
          <a:ext cx="878840" cy="1183640"/>
        </a:xfrm>
        <a:prstGeom prst="rect">
          <a:avLst/>
        </a:prstGeom>
      </xdr:spPr>
    </xdr:pic>
    <xdr:clientData/>
  </xdr:twoCellAnchor>
  <xdr:twoCellAnchor>
    <xdr:from>
      <xdr:col>8</xdr:col>
      <xdr:colOff>6350</xdr:colOff>
      <xdr:row>1739</xdr:row>
      <xdr:rowOff>25400</xdr:rowOff>
    </xdr:from>
    <xdr:to>
      <xdr:col>8</xdr:col>
      <xdr:colOff>885190</xdr:colOff>
      <xdr:row>1739</xdr:row>
      <xdr:rowOff>1209040</xdr:rowOff>
    </xdr:to>
    <xdr:pic>
      <xdr:nvPicPr>
        <xdr:cNvPr id="5574" name="Изображение 5573" descr="resizeПП-00252734"/>
        <xdr:cNvPicPr>
          <a:picLocks noChangeAspect="1"/>
        </xdr:cNvPicPr>
      </xdr:nvPicPr>
      <xdr:blipFill>
        <a:blip xmlns:r="http://schemas.openxmlformats.org/officeDocument/2006/relationships" r:embed="rId1328"/>
        <a:stretch>
          <a:fillRect/>
        </a:stretch>
      </xdr:blipFill>
      <xdr:spPr>
        <a:xfrm>
          <a:off x="7264400" y="1729930500"/>
          <a:ext cx="878840" cy="1183640"/>
        </a:xfrm>
        <a:prstGeom prst="rect">
          <a:avLst/>
        </a:prstGeom>
      </xdr:spPr>
    </xdr:pic>
    <xdr:clientData/>
  </xdr:twoCellAnchor>
  <xdr:twoCellAnchor>
    <xdr:from>
      <xdr:col>8</xdr:col>
      <xdr:colOff>6350</xdr:colOff>
      <xdr:row>1740</xdr:row>
      <xdr:rowOff>25400</xdr:rowOff>
    </xdr:from>
    <xdr:to>
      <xdr:col>8</xdr:col>
      <xdr:colOff>885190</xdr:colOff>
      <xdr:row>1740</xdr:row>
      <xdr:rowOff>1209040</xdr:rowOff>
    </xdr:to>
    <xdr:pic>
      <xdr:nvPicPr>
        <xdr:cNvPr id="5575" name="Изображение 5574" descr="resizeПП-00176425"/>
        <xdr:cNvPicPr>
          <a:picLocks noChangeAspect="1"/>
        </xdr:cNvPicPr>
      </xdr:nvPicPr>
      <xdr:blipFill>
        <a:blip xmlns:r="http://schemas.openxmlformats.org/officeDocument/2006/relationships" r:embed="rId1329"/>
        <a:stretch>
          <a:fillRect/>
        </a:stretch>
      </xdr:blipFill>
      <xdr:spPr>
        <a:xfrm>
          <a:off x="7264400" y="1731152875"/>
          <a:ext cx="878840" cy="1183640"/>
        </a:xfrm>
        <a:prstGeom prst="rect">
          <a:avLst/>
        </a:prstGeom>
      </xdr:spPr>
    </xdr:pic>
    <xdr:clientData/>
  </xdr:twoCellAnchor>
  <xdr:twoCellAnchor>
    <xdr:from>
      <xdr:col>8</xdr:col>
      <xdr:colOff>6350</xdr:colOff>
      <xdr:row>1741</xdr:row>
      <xdr:rowOff>25400</xdr:rowOff>
    </xdr:from>
    <xdr:to>
      <xdr:col>8</xdr:col>
      <xdr:colOff>885190</xdr:colOff>
      <xdr:row>1741</xdr:row>
      <xdr:rowOff>1209040</xdr:rowOff>
    </xdr:to>
    <xdr:pic>
      <xdr:nvPicPr>
        <xdr:cNvPr id="5576" name="Изображение 5575" descr="resizeПП-00187551"/>
        <xdr:cNvPicPr>
          <a:picLocks noChangeAspect="1"/>
        </xdr:cNvPicPr>
      </xdr:nvPicPr>
      <xdr:blipFill>
        <a:blip xmlns:r="http://schemas.openxmlformats.org/officeDocument/2006/relationships" r:embed="rId1330"/>
        <a:stretch>
          <a:fillRect/>
        </a:stretch>
      </xdr:blipFill>
      <xdr:spPr>
        <a:xfrm>
          <a:off x="7264400" y="1732375250"/>
          <a:ext cx="878840" cy="1183640"/>
        </a:xfrm>
        <a:prstGeom prst="rect">
          <a:avLst/>
        </a:prstGeom>
      </xdr:spPr>
    </xdr:pic>
    <xdr:clientData/>
  </xdr:twoCellAnchor>
  <xdr:twoCellAnchor>
    <xdr:from>
      <xdr:col>8</xdr:col>
      <xdr:colOff>6350</xdr:colOff>
      <xdr:row>1742</xdr:row>
      <xdr:rowOff>25400</xdr:rowOff>
    </xdr:from>
    <xdr:to>
      <xdr:col>8</xdr:col>
      <xdr:colOff>885190</xdr:colOff>
      <xdr:row>1742</xdr:row>
      <xdr:rowOff>1209040</xdr:rowOff>
    </xdr:to>
    <xdr:pic>
      <xdr:nvPicPr>
        <xdr:cNvPr id="5577" name="Изображение 5576" descr="resizeПП-00187553"/>
        <xdr:cNvPicPr>
          <a:picLocks noChangeAspect="1"/>
        </xdr:cNvPicPr>
      </xdr:nvPicPr>
      <xdr:blipFill>
        <a:blip xmlns:r="http://schemas.openxmlformats.org/officeDocument/2006/relationships" r:embed="rId1330"/>
        <a:stretch>
          <a:fillRect/>
        </a:stretch>
      </xdr:blipFill>
      <xdr:spPr>
        <a:xfrm>
          <a:off x="7264400" y="1733597625"/>
          <a:ext cx="878840" cy="1183640"/>
        </a:xfrm>
        <a:prstGeom prst="rect">
          <a:avLst/>
        </a:prstGeom>
      </xdr:spPr>
    </xdr:pic>
    <xdr:clientData/>
  </xdr:twoCellAnchor>
  <xdr:twoCellAnchor>
    <xdr:from>
      <xdr:col>8</xdr:col>
      <xdr:colOff>6350</xdr:colOff>
      <xdr:row>1743</xdr:row>
      <xdr:rowOff>25400</xdr:rowOff>
    </xdr:from>
    <xdr:to>
      <xdr:col>8</xdr:col>
      <xdr:colOff>885190</xdr:colOff>
      <xdr:row>1743</xdr:row>
      <xdr:rowOff>1209040</xdr:rowOff>
    </xdr:to>
    <xdr:pic>
      <xdr:nvPicPr>
        <xdr:cNvPr id="5578" name="Изображение 5577" descr="resizeПП-00187637"/>
        <xdr:cNvPicPr>
          <a:picLocks noChangeAspect="1"/>
        </xdr:cNvPicPr>
      </xdr:nvPicPr>
      <xdr:blipFill>
        <a:blip xmlns:r="http://schemas.openxmlformats.org/officeDocument/2006/relationships" r:embed="rId1331"/>
        <a:stretch>
          <a:fillRect/>
        </a:stretch>
      </xdr:blipFill>
      <xdr:spPr>
        <a:xfrm>
          <a:off x="7264400" y="1734820000"/>
          <a:ext cx="878840" cy="1183640"/>
        </a:xfrm>
        <a:prstGeom prst="rect">
          <a:avLst/>
        </a:prstGeom>
      </xdr:spPr>
    </xdr:pic>
    <xdr:clientData/>
  </xdr:twoCellAnchor>
  <xdr:twoCellAnchor>
    <xdr:from>
      <xdr:col>8</xdr:col>
      <xdr:colOff>6350</xdr:colOff>
      <xdr:row>1744</xdr:row>
      <xdr:rowOff>25400</xdr:rowOff>
    </xdr:from>
    <xdr:to>
      <xdr:col>8</xdr:col>
      <xdr:colOff>885190</xdr:colOff>
      <xdr:row>1744</xdr:row>
      <xdr:rowOff>1209040</xdr:rowOff>
    </xdr:to>
    <xdr:pic>
      <xdr:nvPicPr>
        <xdr:cNvPr id="5579" name="Изображение 5578" descr="resizeПП-00155288"/>
        <xdr:cNvPicPr>
          <a:picLocks noChangeAspect="1"/>
        </xdr:cNvPicPr>
      </xdr:nvPicPr>
      <xdr:blipFill>
        <a:blip xmlns:r="http://schemas.openxmlformats.org/officeDocument/2006/relationships" r:embed="rId1332"/>
        <a:stretch>
          <a:fillRect/>
        </a:stretch>
      </xdr:blipFill>
      <xdr:spPr>
        <a:xfrm>
          <a:off x="7264400" y="1736042375"/>
          <a:ext cx="878840" cy="1183640"/>
        </a:xfrm>
        <a:prstGeom prst="rect">
          <a:avLst/>
        </a:prstGeom>
      </xdr:spPr>
    </xdr:pic>
    <xdr:clientData/>
  </xdr:twoCellAnchor>
  <xdr:twoCellAnchor>
    <xdr:from>
      <xdr:col>8</xdr:col>
      <xdr:colOff>6350</xdr:colOff>
      <xdr:row>1746</xdr:row>
      <xdr:rowOff>25400</xdr:rowOff>
    </xdr:from>
    <xdr:to>
      <xdr:col>8</xdr:col>
      <xdr:colOff>885190</xdr:colOff>
      <xdr:row>1746</xdr:row>
      <xdr:rowOff>1209040</xdr:rowOff>
    </xdr:to>
    <xdr:pic>
      <xdr:nvPicPr>
        <xdr:cNvPr id="5580" name="Изображение 5579" descr="resizeПП-00227762"/>
        <xdr:cNvPicPr>
          <a:picLocks noChangeAspect="1"/>
        </xdr:cNvPicPr>
      </xdr:nvPicPr>
      <xdr:blipFill>
        <a:blip xmlns:r="http://schemas.openxmlformats.org/officeDocument/2006/relationships" r:embed="rId1333"/>
        <a:stretch>
          <a:fillRect/>
        </a:stretch>
      </xdr:blipFill>
      <xdr:spPr>
        <a:xfrm>
          <a:off x="7264400" y="1737417150"/>
          <a:ext cx="878840" cy="1183640"/>
        </a:xfrm>
        <a:prstGeom prst="rect">
          <a:avLst/>
        </a:prstGeom>
      </xdr:spPr>
    </xdr:pic>
    <xdr:clientData/>
  </xdr:twoCellAnchor>
  <xdr:twoCellAnchor>
    <xdr:from>
      <xdr:col>8</xdr:col>
      <xdr:colOff>6350</xdr:colOff>
      <xdr:row>1747</xdr:row>
      <xdr:rowOff>25400</xdr:rowOff>
    </xdr:from>
    <xdr:to>
      <xdr:col>8</xdr:col>
      <xdr:colOff>885190</xdr:colOff>
      <xdr:row>1747</xdr:row>
      <xdr:rowOff>1209040</xdr:rowOff>
    </xdr:to>
    <xdr:pic>
      <xdr:nvPicPr>
        <xdr:cNvPr id="5581" name="Изображение 5580" descr="resizeПП-00201229"/>
        <xdr:cNvPicPr>
          <a:picLocks noChangeAspect="1"/>
        </xdr:cNvPicPr>
      </xdr:nvPicPr>
      <xdr:blipFill>
        <a:blip xmlns:r="http://schemas.openxmlformats.org/officeDocument/2006/relationships" r:embed="rId1334"/>
        <a:stretch>
          <a:fillRect/>
        </a:stretch>
      </xdr:blipFill>
      <xdr:spPr>
        <a:xfrm>
          <a:off x="7264400" y="1738639525"/>
          <a:ext cx="878840" cy="1183640"/>
        </a:xfrm>
        <a:prstGeom prst="rect">
          <a:avLst/>
        </a:prstGeom>
      </xdr:spPr>
    </xdr:pic>
    <xdr:clientData/>
  </xdr:twoCellAnchor>
  <xdr:twoCellAnchor>
    <xdr:from>
      <xdr:col>8</xdr:col>
      <xdr:colOff>6350</xdr:colOff>
      <xdr:row>1748</xdr:row>
      <xdr:rowOff>25400</xdr:rowOff>
    </xdr:from>
    <xdr:to>
      <xdr:col>8</xdr:col>
      <xdr:colOff>885190</xdr:colOff>
      <xdr:row>1748</xdr:row>
      <xdr:rowOff>1209040</xdr:rowOff>
    </xdr:to>
    <xdr:pic>
      <xdr:nvPicPr>
        <xdr:cNvPr id="5582" name="Изображение 5581" descr="resizeПП-00227767"/>
        <xdr:cNvPicPr>
          <a:picLocks noChangeAspect="1"/>
        </xdr:cNvPicPr>
      </xdr:nvPicPr>
      <xdr:blipFill>
        <a:blip xmlns:r="http://schemas.openxmlformats.org/officeDocument/2006/relationships" r:embed="rId1335"/>
        <a:stretch>
          <a:fillRect/>
        </a:stretch>
      </xdr:blipFill>
      <xdr:spPr>
        <a:xfrm>
          <a:off x="7264400" y="1739861900"/>
          <a:ext cx="878840" cy="1183640"/>
        </a:xfrm>
        <a:prstGeom prst="rect">
          <a:avLst/>
        </a:prstGeom>
      </xdr:spPr>
    </xdr:pic>
    <xdr:clientData/>
  </xdr:twoCellAnchor>
  <xdr:twoCellAnchor>
    <xdr:from>
      <xdr:col>8</xdr:col>
      <xdr:colOff>6350</xdr:colOff>
      <xdr:row>1749</xdr:row>
      <xdr:rowOff>25400</xdr:rowOff>
    </xdr:from>
    <xdr:to>
      <xdr:col>8</xdr:col>
      <xdr:colOff>885190</xdr:colOff>
      <xdr:row>1749</xdr:row>
      <xdr:rowOff>1209040</xdr:rowOff>
    </xdr:to>
    <xdr:pic>
      <xdr:nvPicPr>
        <xdr:cNvPr id="5583" name="Изображение 5582" descr="resizeПП-00201227"/>
        <xdr:cNvPicPr>
          <a:picLocks noChangeAspect="1"/>
        </xdr:cNvPicPr>
      </xdr:nvPicPr>
      <xdr:blipFill>
        <a:blip xmlns:r="http://schemas.openxmlformats.org/officeDocument/2006/relationships" r:embed="rId1336"/>
        <a:stretch>
          <a:fillRect/>
        </a:stretch>
      </xdr:blipFill>
      <xdr:spPr>
        <a:xfrm>
          <a:off x="7264400" y="1741084275"/>
          <a:ext cx="878840" cy="1183640"/>
        </a:xfrm>
        <a:prstGeom prst="rect">
          <a:avLst/>
        </a:prstGeom>
      </xdr:spPr>
    </xdr:pic>
    <xdr:clientData/>
  </xdr:twoCellAnchor>
  <xdr:twoCellAnchor>
    <xdr:from>
      <xdr:col>8</xdr:col>
      <xdr:colOff>6350</xdr:colOff>
      <xdr:row>1750</xdr:row>
      <xdr:rowOff>25400</xdr:rowOff>
    </xdr:from>
    <xdr:to>
      <xdr:col>8</xdr:col>
      <xdr:colOff>885190</xdr:colOff>
      <xdr:row>1750</xdr:row>
      <xdr:rowOff>1209040</xdr:rowOff>
    </xdr:to>
    <xdr:pic>
      <xdr:nvPicPr>
        <xdr:cNvPr id="5584" name="Изображение 5583" descr="resizeПП-00227760"/>
        <xdr:cNvPicPr>
          <a:picLocks noChangeAspect="1"/>
        </xdr:cNvPicPr>
      </xdr:nvPicPr>
      <xdr:blipFill>
        <a:blip xmlns:r="http://schemas.openxmlformats.org/officeDocument/2006/relationships" r:embed="rId1337"/>
        <a:stretch>
          <a:fillRect/>
        </a:stretch>
      </xdr:blipFill>
      <xdr:spPr>
        <a:xfrm>
          <a:off x="7264400" y="1742306650"/>
          <a:ext cx="878840" cy="1183640"/>
        </a:xfrm>
        <a:prstGeom prst="rect">
          <a:avLst/>
        </a:prstGeom>
      </xdr:spPr>
    </xdr:pic>
    <xdr:clientData/>
  </xdr:twoCellAnchor>
  <xdr:twoCellAnchor>
    <xdr:from>
      <xdr:col>8</xdr:col>
      <xdr:colOff>6350</xdr:colOff>
      <xdr:row>1751</xdr:row>
      <xdr:rowOff>25400</xdr:rowOff>
    </xdr:from>
    <xdr:to>
      <xdr:col>8</xdr:col>
      <xdr:colOff>885190</xdr:colOff>
      <xdr:row>1751</xdr:row>
      <xdr:rowOff>1209040</xdr:rowOff>
    </xdr:to>
    <xdr:pic>
      <xdr:nvPicPr>
        <xdr:cNvPr id="5585" name="Изображение 5584" descr="resizeПП-00201228"/>
        <xdr:cNvPicPr>
          <a:picLocks noChangeAspect="1"/>
        </xdr:cNvPicPr>
      </xdr:nvPicPr>
      <xdr:blipFill>
        <a:blip xmlns:r="http://schemas.openxmlformats.org/officeDocument/2006/relationships" r:embed="rId1338"/>
        <a:stretch>
          <a:fillRect/>
        </a:stretch>
      </xdr:blipFill>
      <xdr:spPr>
        <a:xfrm>
          <a:off x="7264400" y="1743529025"/>
          <a:ext cx="878840" cy="1183640"/>
        </a:xfrm>
        <a:prstGeom prst="rect">
          <a:avLst/>
        </a:prstGeom>
      </xdr:spPr>
    </xdr:pic>
    <xdr:clientData/>
  </xdr:twoCellAnchor>
  <xdr:twoCellAnchor>
    <xdr:from>
      <xdr:col>8</xdr:col>
      <xdr:colOff>6350</xdr:colOff>
      <xdr:row>1752</xdr:row>
      <xdr:rowOff>25400</xdr:rowOff>
    </xdr:from>
    <xdr:to>
      <xdr:col>8</xdr:col>
      <xdr:colOff>885190</xdr:colOff>
      <xdr:row>1752</xdr:row>
      <xdr:rowOff>1209040</xdr:rowOff>
    </xdr:to>
    <xdr:pic>
      <xdr:nvPicPr>
        <xdr:cNvPr id="5586" name="Изображение 5585" descr="resizeПП-00163292"/>
        <xdr:cNvPicPr>
          <a:picLocks noChangeAspect="1"/>
        </xdr:cNvPicPr>
      </xdr:nvPicPr>
      <xdr:blipFill>
        <a:blip xmlns:r="http://schemas.openxmlformats.org/officeDocument/2006/relationships" r:embed="rId1339"/>
        <a:stretch>
          <a:fillRect/>
        </a:stretch>
      </xdr:blipFill>
      <xdr:spPr>
        <a:xfrm>
          <a:off x="7264400" y="1744751400"/>
          <a:ext cx="878840" cy="1183640"/>
        </a:xfrm>
        <a:prstGeom prst="rect">
          <a:avLst/>
        </a:prstGeom>
      </xdr:spPr>
    </xdr:pic>
    <xdr:clientData/>
  </xdr:twoCellAnchor>
  <xdr:twoCellAnchor>
    <xdr:from>
      <xdr:col>8</xdr:col>
      <xdr:colOff>6350</xdr:colOff>
      <xdr:row>1753</xdr:row>
      <xdr:rowOff>25400</xdr:rowOff>
    </xdr:from>
    <xdr:to>
      <xdr:col>8</xdr:col>
      <xdr:colOff>885190</xdr:colOff>
      <xdr:row>1753</xdr:row>
      <xdr:rowOff>1209040</xdr:rowOff>
    </xdr:to>
    <xdr:pic>
      <xdr:nvPicPr>
        <xdr:cNvPr id="5587" name="Изображение 5586" descr="resizeПП-00279552"/>
        <xdr:cNvPicPr>
          <a:picLocks noChangeAspect="1"/>
        </xdr:cNvPicPr>
      </xdr:nvPicPr>
      <xdr:blipFill>
        <a:blip xmlns:r="http://schemas.openxmlformats.org/officeDocument/2006/relationships" r:embed="rId1340"/>
        <a:stretch>
          <a:fillRect/>
        </a:stretch>
      </xdr:blipFill>
      <xdr:spPr>
        <a:xfrm>
          <a:off x="7264400" y="1745973775"/>
          <a:ext cx="878840" cy="1183640"/>
        </a:xfrm>
        <a:prstGeom prst="rect">
          <a:avLst/>
        </a:prstGeom>
      </xdr:spPr>
    </xdr:pic>
    <xdr:clientData/>
  </xdr:twoCellAnchor>
  <xdr:twoCellAnchor>
    <xdr:from>
      <xdr:col>8</xdr:col>
      <xdr:colOff>6350</xdr:colOff>
      <xdr:row>1754</xdr:row>
      <xdr:rowOff>25400</xdr:rowOff>
    </xdr:from>
    <xdr:to>
      <xdr:col>8</xdr:col>
      <xdr:colOff>885190</xdr:colOff>
      <xdr:row>1754</xdr:row>
      <xdr:rowOff>1209040</xdr:rowOff>
    </xdr:to>
    <xdr:pic>
      <xdr:nvPicPr>
        <xdr:cNvPr id="5588" name="Изображение 5587" descr="resizeПП-00279553"/>
        <xdr:cNvPicPr>
          <a:picLocks noChangeAspect="1"/>
        </xdr:cNvPicPr>
      </xdr:nvPicPr>
      <xdr:blipFill>
        <a:blip xmlns:r="http://schemas.openxmlformats.org/officeDocument/2006/relationships" r:embed="rId1341"/>
        <a:stretch>
          <a:fillRect/>
        </a:stretch>
      </xdr:blipFill>
      <xdr:spPr>
        <a:xfrm>
          <a:off x="7264400" y="1747196150"/>
          <a:ext cx="878840" cy="1183640"/>
        </a:xfrm>
        <a:prstGeom prst="rect">
          <a:avLst/>
        </a:prstGeom>
      </xdr:spPr>
    </xdr:pic>
    <xdr:clientData/>
  </xdr:twoCellAnchor>
  <xdr:twoCellAnchor>
    <xdr:from>
      <xdr:col>8</xdr:col>
      <xdr:colOff>6350</xdr:colOff>
      <xdr:row>1756</xdr:row>
      <xdr:rowOff>25400</xdr:rowOff>
    </xdr:from>
    <xdr:to>
      <xdr:col>8</xdr:col>
      <xdr:colOff>885190</xdr:colOff>
      <xdr:row>1756</xdr:row>
      <xdr:rowOff>1209040</xdr:rowOff>
    </xdr:to>
    <xdr:pic>
      <xdr:nvPicPr>
        <xdr:cNvPr id="5589" name="Изображение 5588" descr="resizeПП-00279554"/>
        <xdr:cNvPicPr>
          <a:picLocks noChangeAspect="1"/>
        </xdr:cNvPicPr>
      </xdr:nvPicPr>
      <xdr:blipFill>
        <a:blip xmlns:r="http://schemas.openxmlformats.org/officeDocument/2006/relationships" r:embed="rId1342"/>
        <a:stretch>
          <a:fillRect/>
        </a:stretch>
      </xdr:blipFill>
      <xdr:spPr>
        <a:xfrm>
          <a:off x="7264400" y="1748570925"/>
          <a:ext cx="878840" cy="1183640"/>
        </a:xfrm>
        <a:prstGeom prst="rect">
          <a:avLst/>
        </a:prstGeom>
      </xdr:spPr>
    </xdr:pic>
    <xdr:clientData/>
  </xdr:twoCellAnchor>
  <xdr:twoCellAnchor>
    <xdr:from>
      <xdr:col>8</xdr:col>
      <xdr:colOff>6350</xdr:colOff>
      <xdr:row>1761</xdr:row>
      <xdr:rowOff>25400</xdr:rowOff>
    </xdr:from>
    <xdr:to>
      <xdr:col>8</xdr:col>
      <xdr:colOff>885190</xdr:colOff>
      <xdr:row>1761</xdr:row>
      <xdr:rowOff>1209040</xdr:rowOff>
    </xdr:to>
    <xdr:pic>
      <xdr:nvPicPr>
        <xdr:cNvPr id="5590" name="Изображение 5589" descr="resizeПП-00228012"/>
        <xdr:cNvPicPr>
          <a:picLocks noChangeAspect="1"/>
        </xdr:cNvPicPr>
      </xdr:nvPicPr>
      <xdr:blipFill>
        <a:blip xmlns:r="http://schemas.openxmlformats.org/officeDocument/2006/relationships" r:embed="rId1343"/>
        <a:stretch>
          <a:fillRect/>
        </a:stretch>
      </xdr:blipFill>
      <xdr:spPr>
        <a:xfrm>
          <a:off x="7264400" y="1750402900"/>
          <a:ext cx="878840" cy="1183640"/>
        </a:xfrm>
        <a:prstGeom prst="rect">
          <a:avLst/>
        </a:prstGeom>
      </xdr:spPr>
    </xdr:pic>
    <xdr:clientData/>
  </xdr:twoCellAnchor>
  <xdr:twoCellAnchor>
    <xdr:from>
      <xdr:col>8</xdr:col>
      <xdr:colOff>6350</xdr:colOff>
      <xdr:row>1762</xdr:row>
      <xdr:rowOff>25400</xdr:rowOff>
    </xdr:from>
    <xdr:to>
      <xdr:col>8</xdr:col>
      <xdr:colOff>885190</xdr:colOff>
      <xdr:row>1762</xdr:row>
      <xdr:rowOff>1209040</xdr:rowOff>
    </xdr:to>
    <xdr:pic>
      <xdr:nvPicPr>
        <xdr:cNvPr id="5591" name="Изображение 5590" descr="resizeПП-00275370"/>
        <xdr:cNvPicPr>
          <a:picLocks noChangeAspect="1"/>
        </xdr:cNvPicPr>
      </xdr:nvPicPr>
      <xdr:blipFill>
        <a:blip xmlns:r="http://schemas.openxmlformats.org/officeDocument/2006/relationships" r:embed="rId1344"/>
        <a:stretch>
          <a:fillRect/>
        </a:stretch>
      </xdr:blipFill>
      <xdr:spPr>
        <a:xfrm>
          <a:off x="7264400" y="1751625275"/>
          <a:ext cx="878840" cy="1183640"/>
        </a:xfrm>
        <a:prstGeom prst="rect">
          <a:avLst/>
        </a:prstGeom>
      </xdr:spPr>
    </xdr:pic>
    <xdr:clientData/>
  </xdr:twoCellAnchor>
  <xdr:twoCellAnchor>
    <xdr:from>
      <xdr:col>8</xdr:col>
      <xdr:colOff>6350</xdr:colOff>
      <xdr:row>1763</xdr:row>
      <xdr:rowOff>25400</xdr:rowOff>
    </xdr:from>
    <xdr:to>
      <xdr:col>8</xdr:col>
      <xdr:colOff>885190</xdr:colOff>
      <xdr:row>1763</xdr:row>
      <xdr:rowOff>1209040</xdr:rowOff>
    </xdr:to>
    <xdr:pic>
      <xdr:nvPicPr>
        <xdr:cNvPr id="5592" name="Изображение 5591" descr="resizeПП-00228015"/>
        <xdr:cNvPicPr>
          <a:picLocks noChangeAspect="1"/>
        </xdr:cNvPicPr>
      </xdr:nvPicPr>
      <xdr:blipFill>
        <a:blip xmlns:r="http://schemas.openxmlformats.org/officeDocument/2006/relationships" r:embed="rId1345"/>
        <a:stretch>
          <a:fillRect/>
        </a:stretch>
      </xdr:blipFill>
      <xdr:spPr>
        <a:xfrm>
          <a:off x="7264400" y="1752847650"/>
          <a:ext cx="878840" cy="1183640"/>
        </a:xfrm>
        <a:prstGeom prst="rect">
          <a:avLst/>
        </a:prstGeom>
      </xdr:spPr>
    </xdr:pic>
    <xdr:clientData/>
  </xdr:twoCellAnchor>
  <xdr:twoCellAnchor>
    <xdr:from>
      <xdr:col>8</xdr:col>
      <xdr:colOff>6350</xdr:colOff>
      <xdr:row>1764</xdr:row>
      <xdr:rowOff>25400</xdr:rowOff>
    </xdr:from>
    <xdr:to>
      <xdr:col>8</xdr:col>
      <xdr:colOff>885190</xdr:colOff>
      <xdr:row>1764</xdr:row>
      <xdr:rowOff>1209040</xdr:rowOff>
    </xdr:to>
    <xdr:pic>
      <xdr:nvPicPr>
        <xdr:cNvPr id="5593" name="Изображение 5592" descr="resizeПП-00187293"/>
        <xdr:cNvPicPr>
          <a:picLocks noChangeAspect="1"/>
        </xdr:cNvPicPr>
      </xdr:nvPicPr>
      <xdr:blipFill>
        <a:blip xmlns:r="http://schemas.openxmlformats.org/officeDocument/2006/relationships" r:embed="rId1346"/>
        <a:stretch>
          <a:fillRect/>
        </a:stretch>
      </xdr:blipFill>
      <xdr:spPr>
        <a:xfrm>
          <a:off x="7264400" y="1754070025"/>
          <a:ext cx="878840" cy="1183640"/>
        </a:xfrm>
        <a:prstGeom prst="rect">
          <a:avLst/>
        </a:prstGeom>
      </xdr:spPr>
    </xdr:pic>
    <xdr:clientData/>
  </xdr:twoCellAnchor>
  <xdr:twoCellAnchor>
    <xdr:from>
      <xdr:col>8</xdr:col>
      <xdr:colOff>6350</xdr:colOff>
      <xdr:row>1765</xdr:row>
      <xdr:rowOff>25400</xdr:rowOff>
    </xdr:from>
    <xdr:to>
      <xdr:col>8</xdr:col>
      <xdr:colOff>885190</xdr:colOff>
      <xdr:row>1765</xdr:row>
      <xdr:rowOff>1209040</xdr:rowOff>
    </xdr:to>
    <xdr:pic>
      <xdr:nvPicPr>
        <xdr:cNvPr id="5594" name="Изображение 5593" descr="resizeПП-00275371"/>
        <xdr:cNvPicPr>
          <a:picLocks noChangeAspect="1"/>
        </xdr:cNvPicPr>
      </xdr:nvPicPr>
      <xdr:blipFill>
        <a:blip xmlns:r="http://schemas.openxmlformats.org/officeDocument/2006/relationships" r:embed="rId1347"/>
        <a:stretch>
          <a:fillRect/>
        </a:stretch>
      </xdr:blipFill>
      <xdr:spPr>
        <a:xfrm>
          <a:off x="7264400" y="1755292400"/>
          <a:ext cx="878840" cy="1183640"/>
        </a:xfrm>
        <a:prstGeom prst="rect">
          <a:avLst/>
        </a:prstGeom>
      </xdr:spPr>
    </xdr:pic>
    <xdr:clientData/>
  </xdr:twoCellAnchor>
  <xdr:twoCellAnchor>
    <xdr:from>
      <xdr:col>8</xdr:col>
      <xdr:colOff>6350</xdr:colOff>
      <xdr:row>1766</xdr:row>
      <xdr:rowOff>25400</xdr:rowOff>
    </xdr:from>
    <xdr:to>
      <xdr:col>8</xdr:col>
      <xdr:colOff>885190</xdr:colOff>
      <xdr:row>1766</xdr:row>
      <xdr:rowOff>1209040</xdr:rowOff>
    </xdr:to>
    <xdr:pic>
      <xdr:nvPicPr>
        <xdr:cNvPr id="5595" name="Изображение 5594" descr="resizeПП-00228009"/>
        <xdr:cNvPicPr>
          <a:picLocks noChangeAspect="1"/>
        </xdr:cNvPicPr>
      </xdr:nvPicPr>
      <xdr:blipFill>
        <a:blip xmlns:r="http://schemas.openxmlformats.org/officeDocument/2006/relationships" r:embed="rId1348"/>
        <a:stretch>
          <a:fillRect/>
        </a:stretch>
      </xdr:blipFill>
      <xdr:spPr>
        <a:xfrm>
          <a:off x="7264400" y="1756514775"/>
          <a:ext cx="878840" cy="1183640"/>
        </a:xfrm>
        <a:prstGeom prst="rect">
          <a:avLst/>
        </a:prstGeom>
      </xdr:spPr>
    </xdr:pic>
    <xdr:clientData/>
  </xdr:twoCellAnchor>
  <xdr:twoCellAnchor>
    <xdr:from>
      <xdr:col>8</xdr:col>
      <xdr:colOff>6350</xdr:colOff>
      <xdr:row>1767</xdr:row>
      <xdr:rowOff>25400</xdr:rowOff>
    </xdr:from>
    <xdr:to>
      <xdr:col>8</xdr:col>
      <xdr:colOff>885190</xdr:colOff>
      <xdr:row>1767</xdr:row>
      <xdr:rowOff>1209040</xdr:rowOff>
    </xdr:to>
    <xdr:pic>
      <xdr:nvPicPr>
        <xdr:cNvPr id="5596" name="Изображение 5595" descr="resizeПП-00187287"/>
        <xdr:cNvPicPr>
          <a:picLocks noChangeAspect="1"/>
        </xdr:cNvPicPr>
      </xdr:nvPicPr>
      <xdr:blipFill>
        <a:blip xmlns:r="http://schemas.openxmlformats.org/officeDocument/2006/relationships" r:embed="rId1349"/>
        <a:stretch>
          <a:fillRect/>
        </a:stretch>
      </xdr:blipFill>
      <xdr:spPr>
        <a:xfrm>
          <a:off x="7264400" y="1757737150"/>
          <a:ext cx="878840" cy="1183640"/>
        </a:xfrm>
        <a:prstGeom prst="rect">
          <a:avLst/>
        </a:prstGeom>
      </xdr:spPr>
    </xdr:pic>
    <xdr:clientData/>
  </xdr:twoCellAnchor>
  <xdr:twoCellAnchor>
    <xdr:from>
      <xdr:col>8</xdr:col>
      <xdr:colOff>6350</xdr:colOff>
      <xdr:row>1768</xdr:row>
      <xdr:rowOff>25400</xdr:rowOff>
    </xdr:from>
    <xdr:to>
      <xdr:col>8</xdr:col>
      <xdr:colOff>885190</xdr:colOff>
      <xdr:row>1768</xdr:row>
      <xdr:rowOff>1209040</xdr:rowOff>
    </xdr:to>
    <xdr:pic>
      <xdr:nvPicPr>
        <xdr:cNvPr id="5597" name="Изображение 5596" descr="resizeПП-00187291"/>
        <xdr:cNvPicPr>
          <a:picLocks noChangeAspect="1"/>
        </xdr:cNvPicPr>
      </xdr:nvPicPr>
      <xdr:blipFill>
        <a:blip xmlns:r="http://schemas.openxmlformats.org/officeDocument/2006/relationships" r:embed="rId1350"/>
        <a:stretch>
          <a:fillRect/>
        </a:stretch>
      </xdr:blipFill>
      <xdr:spPr>
        <a:xfrm>
          <a:off x="7264400" y="1758959525"/>
          <a:ext cx="878840" cy="1183640"/>
        </a:xfrm>
        <a:prstGeom prst="rect">
          <a:avLst/>
        </a:prstGeom>
      </xdr:spPr>
    </xdr:pic>
    <xdr:clientData/>
  </xdr:twoCellAnchor>
  <xdr:twoCellAnchor>
    <xdr:from>
      <xdr:col>8</xdr:col>
      <xdr:colOff>6350</xdr:colOff>
      <xdr:row>1769</xdr:row>
      <xdr:rowOff>25400</xdr:rowOff>
    </xdr:from>
    <xdr:to>
      <xdr:col>8</xdr:col>
      <xdr:colOff>885190</xdr:colOff>
      <xdr:row>1769</xdr:row>
      <xdr:rowOff>1209040</xdr:rowOff>
    </xdr:to>
    <xdr:pic>
      <xdr:nvPicPr>
        <xdr:cNvPr id="5598" name="Изображение 5597" descr="resizeПП-00228005"/>
        <xdr:cNvPicPr>
          <a:picLocks noChangeAspect="1"/>
        </xdr:cNvPicPr>
      </xdr:nvPicPr>
      <xdr:blipFill>
        <a:blip xmlns:r="http://schemas.openxmlformats.org/officeDocument/2006/relationships" r:embed="rId1351"/>
        <a:stretch>
          <a:fillRect/>
        </a:stretch>
      </xdr:blipFill>
      <xdr:spPr>
        <a:xfrm>
          <a:off x="7264400" y="1760181900"/>
          <a:ext cx="878840" cy="1183640"/>
        </a:xfrm>
        <a:prstGeom prst="rect">
          <a:avLst/>
        </a:prstGeom>
      </xdr:spPr>
    </xdr:pic>
    <xdr:clientData/>
  </xdr:twoCellAnchor>
  <xdr:twoCellAnchor>
    <xdr:from>
      <xdr:col>8</xdr:col>
      <xdr:colOff>6350</xdr:colOff>
      <xdr:row>1771</xdr:row>
      <xdr:rowOff>25400</xdr:rowOff>
    </xdr:from>
    <xdr:to>
      <xdr:col>8</xdr:col>
      <xdr:colOff>885190</xdr:colOff>
      <xdr:row>1771</xdr:row>
      <xdr:rowOff>1209040</xdr:rowOff>
    </xdr:to>
    <xdr:pic>
      <xdr:nvPicPr>
        <xdr:cNvPr id="5599" name="Изображение 5598" descr="resizeПП-00228013"/>
        <xdr:cNvPicPr>
          <a:picLocks noChangeAspect="1"/>
        </xdr:cNvPicPr>
      </xdr:nvPicPr>
      <xdr:blipFill>
        <a:blip xmlns:r="http://schemas.openxmlformats.org/officeDocument/2006/relationships" r:embed="rId1352"/>
        <a:stretch>
          <a:fillRect/>
        </a:stretch>
      </xdr:blipFill>
      <xdr:spPr>
        <a:xfrm>
          <a:off x="7264400" y="1761556675"/>
          <a:ext cx="878840" cy="1183640"/>
        </a:xfrm>
        <a:prstGeom prst="rect">
          <a:avLst/>
        </a:prstGeom>
      </xdr:spPr>
    </xdr:pic>
    <xdr:clientData/>
  </xdr:twoCellAnchor>
  <xdr:twoCellAnchor>
    <xdr:from>
      <xdr:col>8</xdr:col>
      <xdr:colOff>6350</xdr:colOff>
      <xdr:row>1772</xdr:row>
      <xdr:rowOff>25400</xdr:rowOff>
    </xdr:from>
    <xdr:to>
      <xdr:col>8</xdr:col>
      <xdr:colOff>885190</xdr:colOff>
      <xdr:row>1772</xdr:row>
      <xdr:rowOff>1209040</xdr:rowOff>
    </xdr:to>
    <xdr:pic>
      <xdr:nvPicPr>
        <xdr:cNvPr id="5600" name="Изображение 5599" descr="resizeПП-00275374"/>
        <xdr:cNvPicPr>
          <a:picLocks noChangeAspect="1"/>
        </xdr:cNvPicPr>
      </xdr:nvPicPr>
      <xdr:blipFill>
        <a:blip xmlns:r="http://schemas.openxmlformats.org/officeDocument/2006/relationships" r:embed="rId1353"/>
        <a:stretch>
          <a:fillRect/>
        </a:stretch>
      </xdr:blipFill>
      <xdr:spPr>
        <a:xfrm>
          <a:off x="7264400" y="1762779050"/>
          <a:ext cx="878840" cy="1183640"/>
        </a:xfrm>
        <a:prstGeom prst="rect">
          <a:avLst/>
        </a:prstGeom>
      </xdr:spPr>
    </xdr:pic>
    <xdr:clientData/>
  </xdr:twoCellAnchor>
  <xdr:twoCellAnchor>
    <xdr:from>
      <xdr:col>8</xdr:col>
      <xdr:colOff>6350</xdr:colOff>
      <xdr:row>1773</xdr:row>
      <xdr:rowOff>25400</xdr:rowOff>
    </xdr:from>
    <xdr:to>
      <xdr:col>8</xdr:col>
      <xdr:colOff>885190</xdr:colOff>
      <xdr:row>1773</xdr:row>
      <xdr:rowOff>1209040</xdr:rowOff>
    </xdr:to>
    <xdr:pic>
      <xdr:nvPicPr>
        <xdr:cNvPr id="5601" name="Изображение 5600" descr="resizeПП-00228017"/>
        <xdr:cNvPicPr>
          <a:picLocks noChangeAspect="1"/>
        </xdr:cNvPicPr>
      </xdr:nvPicPr>
      <xdr:blipFill>
        <a:blip xmlns:r="http://schemas.openxmlformats.org/officeDocument/2006/relationships" r:embed="rId1354"/>
        <a:stretch>
          <a:fillRect/>
        </a:stretch>
      </xdr:blipFill>
      <xdr:spPr>
        <a:xfrm>
          <a:off x="7264400" y="1764001425"/>
          <a:ext cx="878840" cy="1183640"/>
        </a:xfrm>
        <a:prstGeom prst="rect">
          <a:avLst/>
        </a:prstGeom>
      </xdr:spPr>
    </xdr:pic>
    <xdr:clientData/>
  </xdr:twoCellAnchor>
  <xdr:twoCellAnchor>
    <xdr:from>
      <xdr:col>8</xdr:col>
      <xdr:colOff>6350</xdr:colOff>
      <xdr:row>1774</xdr:row>
      <xdr:rowOff>25400</xdr:rowOff>
    </xdr:from>
    <xdr:to>
      <xdr:col>8</xdr:col>
      <xdr:colOff>885190</xdr:colOff>
      <xdr:row>1774</xdr:row>
      <xdr:rowOff>1209040</xdr:rowOff>
    </xdr:to>
    <xdr:pic>
      <xdr:nvPicPr>
        <xdr:cNvPr id="5602" name="Изображение 5601" descr="resizeПП-00187292"/>
        <xdr:cNvPicPr>
          <a:picLocks noChangeAspect="1"/>
        </xdr:cNvPicPr>
      </xdr:nvPicPr>
      <xdr:blipFill>
        <a:blip xmlns:r="http://schemas.openxmlformats.org/officeDocument/2006/relationships" r:embed="rId1355"/>
        <a:stretch>
          <a:fillRect/>
        </a:stretch>
      </xdr:blipFill>
      <xdr:spPr>
        <a:xfrm>
          <a:off x="7264400" y="1765223800"/>
          <a:ext cx="878840" cy="1183640"/>
        </a:xfrm>
        <a:prstGeom prst="rect">
          <a:avLst/>
        </a:prstGeom>
      </xdr:spPr>
    </xdr:pic>
    <xdr:clientData/>
  </xdr:twoCellAnchor>
  <xdr:twoCellAnchor>
    <xdr:from>
      <xdr:col>8</xdr:col>
      <xdr:colOff>6350</xdr:colOff>
      <xdr:row>1775</xdr:row>
      <xdr:rowOff>25400</xdr:rowOff>
    </xdr:from>
    <xdr:to>
      <xdr:col>8</xdr:col>
      <xdr:colOff>885190</xdr:colOff>
      <xdr:row>1775</xdr:row>
      <xdr:rowOff>1209040</xdr:rowOff>
    </xdr:to>
    <xdr:pic>
      <xdr:nvPicPr>
        <xdr:cNvPr id="5603" name="Изображение 5602" descr="resizeПП-00275373"/>
        <xdr:cNvPicPr>
          <a:picLocks noChangeAspect="1"/>
        </xdr:cNvPicPr>
      </xdr:nvPicPr>
      <xdr:blipFill>
        <a:blip xmlns:r="http://schemas.openxmlformats.org/officeDocument/2006/relationships" r:embed="rId1356"/>
        <a:stretch>
          <a:fillRect/>
        </a:stretch>
      </xdr:blipFill>
      <xdr:spPr>
        <a:xfrm>
          <a:off x="7264400" y="1766446175"/>
          <a:ext cx="878840" cy="1183640"/>
        </a:xfrm>
        <a:prstGeom prst="rect">
          <a:avLst/>
        </a:prstGeom>
      </xdr:spPr>
    </xdr:pic>
    <xdr:clientData/>
  </xdr:twoCellAnchor>
  <xdr:twoCellAnchor>
    <xdr:from>
      <xdr:col>8</xdr:col>
      <xdr:colOff>6350</xdr:colOff>
      <xdr:row>1776</xdr:row>
      <xdr:rowOff>25400</xdr:rowOff>
    </xdr:from>
    <xdr:to>
      <xdr:col>8</xdr:col>
      <xdr:colOff>885190</xdr:colOff>
      <xdr:row>1776</xdr:row>
      <xdr:rowOff>1209040</xdr:rowOff>
    </xdr:to>
    <xdr:pic>
      <xdr:nvPicPr>
        <xdr:cNvPr id="5604" name="Изображение 5603" descr="resizeПП-00228010"/>
        <xdr:cNvPicPr>
          <a:picLocks noChangeAspect="1"/>
        </xdr:cNvPicPr>
      </xdr:nvPicPr>
      <xdr:blipFill>
        <a:blip xmlns:r="http://schemas.openxmlformats.org/officeDocument/2006/relationships" r:embed="rId1357"/>
        <a:stretch>
          <a:fillRect/>
        </a:stretch>
      </xdr:blipFill>
      <xdr:spPr>
        <a:xfrm>
          <a:off x="7264400" y="1767668550"/>
          <a:ext cx="878840" cy="1183640"/>
        </a:xfrm>
        <a:prstGeom prst="rect">
          <a:avLst/>
        </a:prstGeom>
      </xdr:spPr>
    </xdr:pic>
    <xdr:clientData/>
  </xdr:twoCellAnchor>
  <xdr:twoCellAnchor>
    <xdr:from>
      <xdr:col>8</xdr:col>
      <xdr:colOff>6350</xdr:colOff>
      <xdr:row>1777</xdr:row>
      <xdr:rowOff>25400</xdr:rowOff>
    </xdr:from>
    <xdr:to>
      <xdr:col>8</xdr:col>
      <xdr:colOff>885190</xdr:colOff>
      <xdr:row>1777</xdr:row>
      <xdr:rowOff>1209040</xdr:rowOff>
    </xdr:to>
    <xdr:pic>
      <xdr:nvPicPr>
        <xdr:cNvPr id="5605" name="Изображение 5604" descr="resizeПП-00154266"/>
        <xdr:cNvPicPr>
          <a:picLocks noChangeAspect="1"/>
        </xdr:cNvPicPr>
      </xdr:nvPicPr>
      <xdr:blipFill>
        <a:blip xmlns:r="http://schemas.openxmlformats.org/officeDocument/2006/relationships" r:embed="rId1358"/>
        <a:stretch>
          <a:fillRect/>
        </a:stretch>
      </xdr:blipFill>
      <xdr:spPr>
        <a:xfrm>
          <a:off x="7264400" y="1768890925"/>
          <a:ext cx="878840" cy="1183640"/>
        </a:xfrm>
        <a:prstGeom prst="rect">
          <a:avLst/>
        </a:prstGeom>
      </xdr:spPr>
    </xdr:pic>
    <xdr:clientData/>
  </xdr:twoCellAnchor>
  <xdr:twoCellAnchor>
    <xdr:from>
      <xdr:col>8</xdr:col>
      <xdr:colOff>6350</xdr:colOff>
      <xdr:row>1778</xdr:row>
      <xdr:rowOff>25400</xdr:rowOff>
    </xdr:from>
    <xdr:to>
      <xdr:col>8</xdr:col>
      <xdr:colOff>885190</xdr:colOff>
      <xdr:row>1778</xdr:row>
      <xdr:rowOff>1209040</xdr:rowOff>
    </xdr:to>
    <xdr:pic>
      <xdr:nvPicPr>
        <xdr:cNvPr id="5606" name="Изображение 5605" descr="resizeПП-00187290"/>
        <xdr:cNvPicPr>
          <a:picLocks noChangeAspect="1"/>
        </xdr:cNvPicPr>
      </xdr:nvPicPr>
      <xdr:blipFill>
        <a:blip xmlns:r="http://schemas.openxmlformats.org/officeDocument/2006/relationships" r:embed="rId1359"/>
        <a:stretch>
          <a:fillRect/>
        </a:stretch>
      </xdr:blipFill>
      <xdr:spPr>
        <a:xfrm>
          <a:off x="7264400" y="1770113300"/>
          <a:ext cx="878840" cy="1183640"/>
        </a:xfrm>
        <a:prstGeom prst="rect">
          <a:avLst/>
        </a:prstGeom>
      </xdr:spPr>
    </xdr:pic>
    <xdr:clientData/>
  </xdr:twoCellAnchor>
  <xdr:twoCellAnchor>
    <xdr:from>
      <xdr:col>8</xdr:col>
      <xdr:colOff>6350</xdr:colOff>
      <xdr:row>1779</xdr:row>
      <xdr:rowOff>25400</xdr:rowOff>
    </xdr:from>
    <xdr:to>
      <xdr:col>8</xdr:col>
      <xdr:colOff>885190</xdr:colOff>
      <xdr:row>1779</xdr:row>
      <xdr:rowOff>1209040</xdr:rowOff>
    </xdr:to>
    <xdr:pic>
      <xdr:nvPicPr>
        <xdr:cNvPr id="5607" name="Изображение 5606" descr="resizeПП-00228007"/>
        <xdr:cNvPicPr>
          <a:picLocks noChangeAspect="1"/>
        </xdr:cNvPicPr>
      </xdr:nvPicPr>
      <xdr:blipFill>
        <a:blip xmlns:r="http://schemas.openxmlformats.org/officeDocument/2006/relationships" r:embed="rId1360"/>
        <a:stretch>
          <a:fillRect/>
        </a:stretch>
      </xdr:blipFill>
      <xdr:spPr>
        <a:xfrm>
          <a:off x="7264400" y="1771335675"/>
          <a:ext cx="878840" cy="1183640"/>
        </a:xfrm>
        <a:prstGeom prst="rect">
          <a:avLst/>
        </a:prstGeom>
      </xdr:spPr>
    </xdr:pic>
    <xdr:clientData/>
  </xdr:twoCellAnchor>
  <xdr:twoCellAnchor>
    <xdr:from>
      <xdr:col>8</xdr:col>
      <xdr:colOff>6350</xdr:colOff>
      <xdr:row>1782</xdr:row>
      <xdr:rowOff>25400</xdr:rowOff>
    </xdr:from>
    <xdr:to>
      <xdr:col>8</xdr:col>
      <xdr:colOff>885190</xdr:colOff>
      <xdr:row>1782</xdr:row>
      <xdr:rowOff>1209040</xdr:rowOff>
    </xdr:to>
    <xdr:pic>
      <xdr:nvPicPr>
        <xdr:cNvPr id="5608" name="Изображение 5607" descr="resizeПП-00275384"/>
        <xdr:cNvPicPr>
          <a:picLocks noChangeAspect="1"/>
        </xdr:cNvPicPr>
      </xdr:nvPicPr>
      <xdr:blipFill>
        <a:blip xmlns:r="http://schemas.openxmlformats.org/officeDocument/2006/relationships" r:embed="rId1361"/>
        <a:stretch>
          <a:fillRect/>
        </a:stretch>
      </xdr:blipFill>
      <xdr:spPr>
        <a:xfrm>
          <a:off x="7264400" y="1772862850"/>
          <a:ext cx="878840" cy="1183640"/>
        </a:xfrm>
        <a:prstGeom prst="rect">
          <a:avLst/>
        </a:prstGeom>
      </xdr:spPr>
    </xdr:pic>
    <xdr:clientData/>
  </xdr:twoCellAnchor>
  <xdr:twoCellAnchor>
    <xdr:from>
      <xdr:col>8</xdr:col>
      <xdr:colOff>6350</xdr:colOff>
      <xdr:row>1783</xdr:row>
      <xdr:rowOff>25400</xdr:rowOff>
    </xdr:from>
    <xdr:to>
      <xdr:col>8</xdr:col>
      <xdr:colOff>885190</xdr:colOff>
      <xdr:row>1783</xdr:row>
      <xdr:rowOff>1209040</xdr:rowOff>
    </xdr:to>
    <xdr:pic>
      <xdr:nvPicPr>
        <xdr:cNvPr id="5609" name="Изображение 5608" descr="resizeПП-00228018"/>
        <xdr:cNvPicPr>
          <a:picLocks noChangeAspect="1"/>
        </xdr:cNvPicPr>
      </xdr:nvPicPr>
      <xdr:blipFill>
        <a:blip xmlns:r="http://schemas.openxmlformats.org/officeDocument/2006/relationships" r:embed="rId1362"/>
        <a:stretch>
          <a:fillRect/>
        </a:stretch>
      </xdr:blipFill>
      <xdr:spPr>
        <a:xfrm>
          <a:off x="7264400" y="1774085225"/>
          <a:ext cx="878840" cy="1183640"/>
        </a:xfrm>
        <a:prstGeom prst="rect">
          <a:avLst/>
        </a:prstGeom>
      </xdr:spPr>
    </xdr:pic>
    <xdr:clientData/>
  </xdr:twoCellAnchor>
  <xdr:twoCellAnchor>
    <xdr:from>
      <xdr:col>8</xdr:col>
      <xdr:colOff>6350</xdr:colOff>
      <xdr:row>1784</xdr:row>
      <xdr:rowOff>25400</xdr:rowOff>
    </xdr:from>
    <xdr:to>
      <xdr:col>8</xdr:col>
      <xdr:colOff>885190</xdr:colOff>
      <xdr:row>1784</xdr:row>
      <xdr:rowOff>1209040</xdr:rowOff>
    </xdr:to>
    <xdr:pic>
      <xdr:nvPicPr>
        <xdr:cNvPr id="5610" name="Изображение 5609" descr="resizeПП-00228021"/>
        <xdr:cNvPicPr>
          <a:picLocks noChangeAspect="1"/>
        </xdr:cNvPicPr>
      </xdr:nvPicPr>
      <xdr:blipFill>
        <a:blip xmlns:r="http://schemas.openxmlformats.org/officeDocument/2006/relationships" r:embed="rId1363"/>
        <a:stretch>
          <a:fillRect/>
        </a:stretch>
      </xdr:blipFill>
      <xdr:spPr>
        <a:xfrm>
          <a:off x="7264400" y="1775307600"/>
          <a:ext cx="878840" cy="1183640"/>
        </a:xfrm>
        <a:prstGeom prst="rect">
          <a:avLst/>
        </a:prstGeom>
      </xdr:spPr>
    </xdr:pic>
    <xdr:clientData/>
  </xdr:twoCellAnchor>
  <xdr:twoCellAnchor>
    <xdr:from>
      <xdr:col>8</xdr:col>
      <xdr:colOff>6350</xdr:colOff>
      <xdr:row>1785</xdr:row>
      <xdr:rowOff>25400</xdr:rowOff>
    </xdr:from>
    <xdr:to>
      <xdr:col>8</xdr:col>
      <xdr:colOff>885190</xdr:colOff>
      <xdr:row>1785</xdr:row>
      <xdr:rowOff>1209040</xdr:rowOff>
    </xdr:to>
    <xdr:pic>
      <xdr:nvPicPr>
        <xdr:cNvPr id="5611" name="Изображение 5610" descr="resizeПП-00187286"/>
        <xdr:cNvPicPr>
          <a:picLocks noChangeAspect="1"/>
        </xdr:cNvPicPr>
      </xdr:nvPicPr>
      <xdr:blipFill>
        <a:blip xmlns:r="http://schemas.openxmlformats.org/officeDocument/2006/relationships" r:embed="rId1364"/>
        <a:stretch>
          <a:fillRect/>
        </a:stretch>
      </xdr:blipFill>
      <xdr:spPr>
        <a:xfrm>
          <a:off x="7264400" y="1776529975"/>
          <a:ext cx="878840" cy="1183640"/>
        </a:xfrm>
        <a:prstGeom prst="rect">
          <a:avLst/>
        </a:prstGeom>
      </xdr:spPr>
    </xdr:pic>
    <xdr:clientData/>
  </xdr:twoCellAnchor>
  <xdr:twoCellAnchor>
    <xdr:from>
      <xdr:col>8</xdr:col>
      <xdr:colOff>6350</xdr:colOff>
      <xdr:row>1786</xdr:row>
      <xdr:rowOff>25400</xdr:rowOff>
    </xdr:from>
    <xdr:to>
      <xdr:col>8</xdr:col>
      <xdr:colOff>885190</xdr:colOff>
      <xdr:row>1786</xdr:row>
      <xdr:rowOff>1209040</xdr:rowOff>
    </xdr:to>
    <xdr:pic>
      <xdr:nvPicPr>
        <xdr:cNvPr id="5612" name="Изображение 5611" descr="resizeПП-00203614"/>
        <xdr:cNvPicPr>
          <a:picLocks noChangeAspect="1"/>
        </xdr:cNvPicPr>
      </xdr:nvPicPr>
      <xdr:blipFill>
        <a:blip xmlns:r="http://schemas.openxmlformats.org/officeDocument/2006/relationships" r:embed="rId1365"/>
        <a:stretch>
          <a:fillRect/>
        </a:stretch>
      </xdr:blipFill>
      <xdr:spPr>
        <a:xfrm>
          <a:off x="7264400" y="1777752350"/>
          <a:ext cx="878840" cy="1183640"/>
        </a:xfrm>
        <a:prstGeom prst="rect">
          <a:avLst/>
        </a:prstGeom>
      </xdr:spPr>
    </xdr:pic>
    <xdr:clientData/>
  </xdr:twoCellAnchor>
  <xdr:twoCellAnchor>
    <xdr:from>
      <xdr:col>8</xdr:col>
      <xdr:colOff>6350</xdr:colOff>
      <xdr:row>1787</xdr:row>
      <xdr:rowOff>25400</xdr:rowOff>
    </xdr:from>
    <xdr:to>
      <xdr:col>8</xdr:col>
      <xdr:colOff>885190</xdr:colOff>
      <xdr:row>1787</xdr:row>
      <xdr:rowOff>1209040</xdr:rowOff>
    </xdr:to>
    <xdr:pic>
      <xdr:nvPicPr>
        <xdr:cNvPr id="5613" name="Изображение 5612" descr="resizeПП-00187289"/>
        <xdr:cNvPicPr>
          <a:picLocks noChangeAspect="1"/>
        </xdr:cNvPicPr>
      </xdr:nvPicPr>
      <xdr:blipFill>
        <a:blip xmlns:r="http://schemas.openxmlformats.org/officeDocument/2006/relationships" r:embed="rId1366"/>
        <a:stretch>
          <a:fillRect/>
        </a:stretch>
      </xdr:blipFill>
      <xdr:spPr>
        <a:xfrm>
          <a:off x="7264400" y="1778974725"/>
          <a:ext cx="878840" cy="1183640"/>
        </a:xfrm>
        <a:prstGeom prst="rect">
          <a:avLst/>
        </a:prstGeom>
      </xdr:spPr>
    </xdr:pic>
    <xdr:clientData/>
  </xdr:twoCellAnchor>
  <xdr:twoCellAnchor>
    <xdr:from>
      <xdr:col>8</xdr:col>
      <xdr:colOff>6350</xdr:colOff>
      <xdr:row>1789</xdr:row>
      <xdr:rowOff>25400</xdr:rowOff>
    </xdr:from>
    <xdr:to>
      <xdr:col>8</xdr:col>
      <xdr:colOff>885190</xdr:colOff>
      <xdr:row>1789</xdr:row>
      <xdr:rowOff>1209040</xdr:rowOff>
    </xdr:to>
    <xdr:pic>
      <xdr:nvPicPr>
        <xdr:cNvPr id="5614" name="Изображение 5613" descr="resizeПП-00275386"/>
        <xdr:cNvPicPr>
          <a:picLocks noChangeAspect="1"/>
        </xdr:cNvPicPr>
      </xdr:nvPicPr>
      <xdr:blipFill>
        <a:blip xmlns:r="http://schemas.openxmlformats.org/officeDocument/2006/relationships" r:embed="rId1367"/>
        <a:stretch>
          <a:fillRect/>
        </a:stretch>
      </xdr:blipFill>
      <xdr:spPr>
        <a:xfrm>
          <a:off x="7264400" y="1780349500"/>
          <a:ext cx="878840" cy="1183640"/>
        </a:xfrm>
        <a:prstGeom prst="rect">
          <a:avLst/>
        </a:prstGeom>
      </xdr:spPr>
    </xdr:pic>
    <xdr:clientData/>
  </xdr:twoCellAnchor>
  <xdr:twoCellAnchor>
    <xdr:from>
      <xdr:col>8</xdr:col>
      <xdr:colOff>6350</xdr:colOff>
      <xdr:row>1790</xdr:row>
      <xdr:rowOff>25400</xdr:rowOff>
    </xdr:from>
    <xdr:to>
      <xdr:col>8</xdr:col>
      <xdr:colOff>885190</xdr:colOff>
      <xdr:row>1790</xdr:row>
      <xdr:rowOff>1209040</xdr:rowOff>
    </xdr:to>
    <xdr:pic>
      <xdr:nvPicPr>
        <xdr:cNvPr id="5615" name="Изображение 5614" descr="resizeПП-00275390"/>
        <xdr:cNvPicPr>
          <a:picLocks noChangeAspect="1"/>
        </xdr:cNvPicPr>
      </xdr:nvPicPr>
      <xdr:blipFill>
        <a:blip xmlns:r="http://schemas.openxmlformats.org/officeDocument/2006/relationships" r:embed="rId1368"/>
        <a:stretch>
          <a:fillRect/>
        </a:stretch>
      </xdr:blipFill>
      <xdr:spPr>
        <a:xfrm>
          <a:off x="7264400" y="1781571875"/>
          <a:ext cx="878840" cy="1183640"/>
        </a:xfrm>
        <a:prstGeom prst="rect">
          <a:avLst/>
        </a:prstGeom>
      </xdr:spPr>
    </xdr:pic>
    <xdr:clientData/>
  </xdr:twoCellAnchor>
  <xdr:twoCellAnchor>
    <xdr:from>
      <xdr:col>8</xdr:col>
      <xdr:colOff>6350</xdr:colOff>
      <xdr:row>1791</xdr:row>
      <xdr:rowOff>25400</xdr:rowOff>
    </xdr:from>
    <xdr:to>
      <xdr:col>8</xdr:col>
      <xdr:colOff>885190</xdr:colOff>
      <xdr:row>1791</xdr:row>
      <xdr:rowOff>1209040</xdr:rowOff>
    </xdr:to>
    <xdr:pic>
      <xdr:nvPicPr>
        <xdr:cNvPr id="5616" name="Изображение 5615" descr="resizeПП-00154264"/>
        <xdr:cNvPicPr>
          <a:picLocks noChangeAspect="1"/>
        </xdr:cNvPicPr>
      </xdr:nvPicPr>
      <xdr:blipFill>
        <a:blip xmlns:r="http://schemas.openxmlformats.org/officeDocument/2006/relationships" r:embed="rId1369"/>
        <a:stretch>
          <a:fillRect/>
        </a:stretch>
      </xdr:blipFill>
      <xdr:spPr>
        <a:xfrm>
          <a:off x="7264400" y="1782794250"/>
          <a:ext cx="878840" cy="1183640"/>
        </a:xfrm>
        <a:prstGeom prst="rect">
          <a:avLst/>
        </a:prstGeom>
      </xdr:spPr>
    </xdr:pic>
    <xdr:clientData/>
  </xdr:twoCellAnchor>
  <xdr:twoCellAnchor>
    <xdr:from>
      <xdr:col>8</xdr:col>
      <xdr:colOff>6350</xdr:colOff>
      <xdr:row>1792</xdr:row>
      <xdr:rowOff>25400</xdr:rowOff>
    </xdr:from>
    <xdr:to>
      <xdr:col>8</xdr:col>
      <xdr:colOff>885190</xdr:colOff>
      <xdr:row>1792</xdr:row>
      <xdr:rowOff>1209040</xdr:rowOff>
    </xdr:to>
    <xdr:pic>
      <xdr:nvPicPr>
        <xdr:cNvPr id="5617" name="Изображение 5616" descr="resizeПП-00228019"/>
        <xdr:cNvPicPr>
          <a:picLocks noChangeAspect="1"/>
        </xdr:cNvPicPr>
      </xdr:nvPicPr>
      <xdr:blipFill>
        <a:blip xmlns:r="http://schemas.openxmlformats.org/officeDocument/2006/relationships" r:embed="rId1370"/>
        <a:stretch>
          <a:fillRect/>
        </a:stretch>
      </xdr:blipFill>
      <xdr:spPr>
        <a:xfrm>
          <a:off x="7264400" y="1784016625"/>
          <a:ext cx="878840" cy="1183640"/>
        </a:xfrm>
        <a:prstGeom prst="rect">
          <a:avLst/>
        </a:prstGeom>
      </xdr:spPr>
    </xdr:pic>
    <xdr:clientData/>
  </xdr:twoCellAnchor>
  <xdr:twoCellAnchor>
    <xdr:from>
      <xdr:col>8</xdr:col>
      <xdr:colOff>6350</xdr:colOff>
      <xdr:row>1793</xdr:row>
      <xdr:rowOff>25400</xdr:rowOff>
    </xdr:from>
    <xdr:to>
      <xdr:col>8</xdr:col>
      <xdr:colOff>885190</xdr:colOff>
      <xdr:row>1793</xdr:row>
      <xdr:rowOff>1209040</xdr:rowOff>
    </xdr:to>
    <xdr:pic>
      <xdr:nvPicPr>
        <xdr:cNvPr id="5618" name="Изображение 5617" descr="resizeПП-00228022"/>
        <xdr:cNvPicPr>
          <a:picLocks noChangeAspect="1"/>
        </xdr:cNvPicPr>
      </xdr:nvPicPr>
      <xdr:blipFill>
        <a:blip xmlns:r="http://schemas.openxmlformats.org/officeDocument/2006/relationships" r:embed="rId1371"/>
        <a:stretch>
          <a:fillRect/>
        </a:stretch>
      </xdr:blipFill>
      <xdr:spPr>
        <a:xfrm>
          <a:off x="7264400" y="1785239000"/>
          <a:ext cx="878840" cy="1183640"/>
        </a:xfrm>
        <a:prstGeom prst="rect">
          <a:avLst/>
        </a:prstGeom>
      </xdr:spPr>
    </xdr:pic>
    <xdr:clientData/>
  </xdr:twoCellAnchor>
  <xdr:twoCellAnchor>
    <xdr:from>
      <xdr:col>8</xdr:col>
      <xdr:colOff>6350</xdr:colOff>
      <xdr:row>1794</xdr:row>
      <xdr:rowOff>25400</xdr:rowOff>
    </xdr:from>
    <xdr:to>
      <xdr:col>8</xdr:col>
      <xdr:colOff>885190</xdr:colOff>
      <xdr:row>1794</xdr:row>
      <xdr:rowOff>1209040</xdr:rowOff>
    </xdr:to>
    <xdr:pic>
      <xdr:nvPicPr>
        <xdr:cNvPr id="5619" name="Изображение 5618" descr="resizeПП-00203616"/>
        <xdr:cNvPicPr>
          <a:picLocks noChangeAspect="1"/>
        </xdr:cNvPicPr>
      </xdr:nvPicPr>
      <xdr:blipFill>
        <a:blip xmlns:r="http://schemas.openxmlformats.org/officeDocument/2006/relationships" r:embed="rId1372"/>
        <a:stretch>
          <a:fillRect/>
        </a:stretch>
      </xdr:blipFill>
      <xdr:spPr>
        <a:xfrm>
          <a:off x="7264400" y="1786461375"/>
          <a:ext cx="878840" cy="1183640"/>
        </a:xfrm>
        <a:prstGeom prst="rect">
          <a:avLst/>
        </a:prstGeom>
      </xdr:spPr>
    </xdr:pic>
    <xdr:clientData/>
  </xdr:twoCellAnchor>
  <xdr:twoCellAnchor>
    <xdr:from>
      <xdr:col>8</xdr:col>
      <xdr:colOff>6350</xdr:colOff>
      <xdr:row>1795</xdr:row>
      <xdr:rowOff>25400</xdr:rowOff>
    </xdr:from>
    <xdr:to>
      <xdr:col>8</xdr:col>
      <xdr:colOff>885190</xdr:colOff>
      <xdr:row>1795</xdr:row>
      <xdr:rowOff>1209040</xdr:rowOff>
    </xdr:to>
    <xdr:pic>
      <xdr:nvPicPr>
        <xdr:cNvPr id="5620" name="Изображение 5619" descr="resizeПП-00187288"/>
        <xdr:cNvPicPr>
          <a:picLocks noChangeAspect="1"/>
        </xdr:cNvPicPr>
      </xdr:nvPicPr>
      <xdr:blipFill>
        <a:blip xmlns:r="http://schemas.openxmlformats.org/officeDocument/2006/relationships" r:embed="rId1373"/>
        <a:stretch>
          <a:fillRect/>
        </a:stretch>
      </xdr:blipFill>
      <xdr:spPr>
        <a:xfrm>
          <a:off x="7264400" y="1787683750"/>
          <a:ext cx="878840" cy="1183640"/>
        </a:xfrm>
        <a:prstGeom prst="rect">
          <a:avLst/>
        </a:prstGeom>
      </xdr:spPr>
    </xdr:pic>
    <xdr:clientData/>
  </xdr:twoCellAnchor>
  <xdr:twoCellAnchor>
    <xdr:from>
      <xdr:col>8</xdr:col>
      <xdr:colOff>6350</xdr:colOff>
      <xdr:row>1796</xdr:row>
      <xdr:rowOff>25400</xdr:rowOff>
    </xdr:from>
    <xdr:to>
      <xdr:col>8</xdr:col>
      <xdr:colOff>885190</xdr:colOff>
      <xdr:row>1796</xdr:row>
      <xdr:rowOff>1209040</xdr:rowOff>
    </xdr:to>
    <xdr:pic>
      <xdr:nvPicPr>
        <xdr:cNvPr id="5621" name="Изображение 5620" descr="resizeПП-00154261"/>
        <xdr:cNvPicPr>
          <a:picLocks noChangeAspect="1"/>
        </xdr:cNvPicPr>
      </xdr:nvPicPr>
      <xdr:blipFill>
        <a:blip xmlns:r="http://schemas.openxmlformats.org/officeDocument/2006/relationships" r:embed="rId1374"/>
        <a:stretch>
          <a:fillRect/>
        </a:stretch>
      </xdr:blipFill>
      <xdr:spPr>
        <a:xfrm>
          <a:off x="7264400" y="1788906125"/>
          <a:ext cx="878840" cy="1183640"/>
        </a:xfrm>
        <a:prstGeom prst="rect">
          <a:avLst/>
        </a:prstGeom>
      </xdr:spPr>
    </xdr:pic>
    <xdr:clientData/>
  </xdr:twoCellAnchor>
  <xdr:twoCellAnchor>
    <xdr:from>
      <xdr:col>8</xdr:col>
      <xdr:colOff>6350</xdr:colOff>
      <xdr:row>1798</xdr:row>
      <xdr:rowOff>25400</xdr:rowOff>
    </xdr:from>
    <xdr:to>
      <xdr:col>8</xdr:col>
      <xdr:colOff>885190</xdr:colOff>
      <xdr:row>1798</xdr:row>
      <xdr:rowOff>1209040</xdr:rowOff>
    </xdr:to>
    <xdr:pic>
      <xdr:nvPicPr>
        <xdr:cNvPr id="5622" name="Изображение 5621" descr="resizeПП-00228026"/>
        <xdr:cNvPicPr>
          <a:picLocks noChangeAspect="1"/>
        </xdr:cNvPicPr>
      </xdr:nvPicPr>
      <xdr:blipFill>
        <a:blip xmlns:r="http://schemas.openxmlformats.org/officeDocument/2006/relationships" r:embed="rId1375"/>
        <a:stretch>
          <a:fillRect/>
        </a:stretch>
      </xdr:blipFill>
      <xdr:spPr>
        <a:xfrm>
          <a:off x="7264400" y="1790280900"/>
          <a:ext cx="878840" cy="1183640"/>
        </a:xfrm>
        <a:prstGeom prst="rect">
          <a:avLst/>
        </a:prstGeom>
      </xdr:spPr>
    </xdr:pic>
    <xdr:clientData/>
  </xdr:twoCellAnchor>
  <xdr:twoCellAnchor>
    <xdr:from>
      <xdr:col>8</xdr:col>
      <xdr:colOff>6350</xdr:colOff>
      <xdr:row>1800</xdr:row>
      <xdr:rowOff>25400</xdr:rowOff>
    </xdr:from>
    <xdr:to>
      <xdr:col>8</xdr:col>
      <xdr:colOff>885190</xdr:colOff>
      <xdr:row>1800</xdr:row>
      <xdr:rowOff>1209040</xdr:rowOff>
    </xdr:to>
    <xdr:pic>
      <xdr:nvPicPr>
        <xdr:cNvPr id="5623" name="Изображение 5622" descr="resizeПП-00275395"/>
        <xdr:cNvPicPr>
          <a:picLocks noChangeAspect="1"/>
        </xdr:cNvPicPr>
      </xdr:nvPicPr>
      <xdr:blipFill>
        <a:blip xmlns:r="http://schemas.openxmlformats.org/officeDocument/2006/relationships" r:embed="rId1376"/>
        <a:stretch>
          <a:fillRect/>
        </a:stretch>
      </xdr:blipFill>
      <xdr:spPr>
        <a:xfrm>
          <a:off x="7264400" y="1791655675"/>
          <a:ext cx="878840" cy="1183640"/>
        </a:xfrm>
        <a:prstGeom prst="rect">
          <a:avLst/>
        </a:prstGeom>
      </xdr:spPr>
    </xdr:pic>
    <xdr:clientData/>
  </xdr:twoCellAnchor>
  <xdr:twoCellAnchor>
    <xdr:from>
      <xdr:col>8</xdr:col>
      <xdr:colOff>6350</xdr:colOff>
      <xdr:row>1801</xdr:row>
      <xdr:rowOff>25400</xdr:rowOff>
    </xdr:from>
    <xdr:to>
      <xdr:col>8</xdr:col>
      <xdr:colOff>885190</xdr:colOff>
      <xdr:row>1801</xdr:row>
      <xdr:rowOff>1209040</xdr:rowOff>
    </xdr:to>
    <xdr:pic>
      <xdr:nvPicPr>
        <xdr:cNvPr id="5624" name="Изображение 5623" descr="resizeПП-00275396"/>
        <xdr:cNvPicPr>
          <a:picLocks noChangeAspect="1"/>
        </xdr:cNvPicPr>
      </xdr:nvPicPr>
      <xdr:blipFill>
        <a:blip xmlns:r="http://schemas.openxmlformats.org/officeDocument/2006/relationships" r:embed="rId1377"/>
        <a:stretch>
          <a:fillRect/>
        </a:stretch>
      </xdr:blipFill>
      <xdr:spPr>
        <a:xfrm>
          <a:off x="7264400" y="1792878050"/>
          <a:ext cx="878840" cy="1183640"/>
        </a:xfrm>
        <a:prstGeom prst="rect">
          <a:avLst/>
        </a:prstGeom>
      </xdr:spPr>
    </xdr:pic>
    <xdr:clientData/>
  </xdr:twoCellAnchor>
  <xdr:twoCellAnchor>
    <xdr:from>
      <xdr:col>8</xdr:col>
      <xdr:colOff>6350</xdr:colOff>
      <xdr:row>1802</xdr:row>
      <xdr:rowOff>25400</xdr:rowOff>
    </xdr:from>
    <xdr:to>
      <xdr:col>8</xdr:col>
      <xdr:colOff>885190</xdr:colOff>
      <xdr:row>1802</xdr:row>
      <xdr:rowOff>1209040</xdr:rowOff>
    </xdr:to>
    <xdr:pic>
      <xdr:nvPicPr>
        <xdr:cNvPr id="5625" name="Изображение 5624" descr="resizeПП-00275397"/>
        <xdr:cNvPicPr>
          <a:picLocks noChangeAspect="1"/>
        </xdr:cNvPicPr>
      </xdr:nvPicPr>
      <xdr:blipFill>
        <a:blip xmlns:r="http://schemas.openxmlformats.org/officeDocument/2006/relationships" r:embed="rId1378"/>
        <a:stretch>
          <a:fillRect/>
        </a:stretch>
      </xdr:blipFill>
      <xdr:spPr>
        <a:xfrm>
          <a:off x="7264400" y="1794100425"/>
          <a:ext cx="878840" cy="1183640"/>
        </a:xfrm>
        <a:prstGeom prst="rect">
          <a:avLst/>
        </a:prstGeom>
      </xdr:spPr>
    </xdr:pic>
    <xdr:clientData/>
  </xdr:twoCellAnchor>
  <xdr:twoCellAnchor>
    <xdr:from>
      <xdr:col>8</xdr:col>
      <xdr:colOff>6350</xdr:colOff>
      <xdr:row>1806</xdr:row>
      <xdr:rowOff>25400</xdr:rowOff>
    </xdr:from>
    <xdr:to>
      <xdr:col>8</xdr:col>
      <xdr:colOff>885190</xdr:colOff>
      <xdr:row>1806</xdr:row>
      <xdr:rowOff>1209040</xdr:rowOff>
    </xdr:to>
    <xdr:pic>
      <xdr:nvPicPr>
        <xdr:cNvPr id="5626" name="Изображение 5625" descr="resizeПП-00227222"/>
        <xdr:cNvPicPr>
          <a:picLocks noChangeAspect="1"/>
        </xdr:cNvPicPr>
      </xdr:nvPicPr>
      <xdr:blipFill>
        <a:blip xmlns:r="http://schemas.openxmlformats.org/officeDocument/2006/relationships" r:embed="rId1379"/>
        <a:stretch>
          <a:fillRect/>
        </a:stretch>
      </xdr:blipFill>
      <xdr:spPr>
        <a:xfrm>
          <a:off x="7264400" y="1795780000"/>
          <a:ext cx="878840" cy="1183640"/>
        </a:xfrm>
        <a:prstGeom prst="rect">
          <a:avLst/>
        </a:prstGeom>
      </xdr:spPr>
    </xdr:pic>
    <xdr:clientData/>
  </xdr:twoCellAnchor>
  <xdr:twoCellAnchor>
    <xdr:from>
      <xdr:col>8</xdr:col>
      <xdr:colOff>6350</xdr:colOff>
      <xdr:row>1807</xdr:row>
      <xdr:rowOff>25400</xdr:rowOff>
    </xdr:from>
    <xdr:to>
      <xdr:col>8</xdr:col>
      <xdr:colOff>885190</xdr:colOff>
      <xdr:row>1807</xdr:row>
      <xdr:rowOff>1209040</xdr:rowOff>
    </xdr:to>
    <xdr:pic>
      <xdr:nvPicPr>
        <xdr:cNvPr id="5627" name="Изображение 5626" descr="resizeПП-00227221"/>
        <xdr:cNvPicPr>
          <a:picLocks noChangeAspect="1"/>
        </xdr:cNvPicPr>
      </xdr:nvPicPr>
      <xdr:blipFill>
        <a:blip xmlns:r="http://schemas.openxmlformats.org/officeDocument/2006/relationships" r:embed="rId1380"/>
        <a:stretch>
          <a:fillRect/>
        </a:stretch>
      </xdr:blipFill>
      <xdr:spPr>
        <a:xfrm>
          <a:off x="7264400" y="1797002375"/>
          <a:ext cx="878840" cy="1183640"/>
        </a:xfrm>
        <a:prstGeom prst="rect">
          <a:avLst/>
        </a:prstGeom>
      </xdr:spPr>
    </xdr:pic>
    <xdr:clientData/>
  </xdr:twoCellAnchor>
  <xdr:twoCellAnchor>
    <xdr:from>
      <xdr:col>8</xdr:col>
      <xdr:colOff>6350</xdr:colOff>
      <xdr:row>1808</xdr:row>
      <xdr:rowOff>25400</xdr:rowOff>
    </xdr:from>
    <xdr:to>
      <xdr:col>8</xdr:col>
      <xdr:colOff>885190</xdr:colOff>
      <xdr:row>1808</xdr:row>
      <xdr:rowOff>1209040</xdr:rowOff>
    </xdr:to>
    <xdr:pic>
      <xdr:nvPicPr>
        <xdr:cNvPr id="5628" name="Изображение 5627" descr="resizeПП-00227993"/>
        <xdr:cNvPicPr>
          <a:picLocks noChangeAspect="1"/>
        </xdr:cNvPicPr>
      </xdr:nvPicPr>
      <xdr:blipFill>
        <a:blip xmlns:r="http://schemas.openxmlformats.org/officeDocument/2006/relationships" r:embed="rId1358"/>
        <a:stretch>
          <a:fillRect/>
        </a:stretch>
      </xdr:blipFill>
      <xdr:spPr>
        <a:xfrm>
          <a:off x="7264400" y="1798224750"/>
          <a:ext cx="878840" cy="1183640"/>
        </a:xfrm>
        <a:prstGeom prst="rect">
          <a:avLst/>
        </a:prstGeom>
      </xdr:spPr>
    </xdr:pic>
    <xdr:clientData/>
  </xdr:twoCellAnchor>
  <xdr:twoCellAnchor>
    <xdr:from>
      <xdr:col>8</xdr:col>
      <xdr:colOff>6350</xdr:colOff>
      <xdr:row>1809</xdr:row>
      <xdr:rowOff>25400</xdr:rowOff>
    </xdr:from>
    <xdr:to>
      <xdr:col>8</xdr:col>
      <xdr:colOff>885190</xdr:colOff>
      <xdr:row>1809</xdr:row>
      <xdr:rowOff>1209040</xdr:rowOff>
    </xdr:to>
    <xdr:pic>
      <xdr:nvPicPr>
        <xdr:cNvPr id="5629" name="Изображение 5628" descr="resizeПП-00203638"/>
        <xdr:cNvPicPr>
          <a:picLocks noChangeAspect="1"/>
        </xdr:cNvPicPr>
      </xdr:nvPicPr>
      <xdr:blipFill>
        <a:blip xmlns:r="http://schemas.openxmlformats.org/officeDocument/2006/relationships" r:embed="rId1381"/>
        <a:stretch>
          <a:fillRect/>
        </a:stretch>
      </xdr:blipFill>
      <xdr:spPr>
        <a:xfrm>
          <a:off x="7264400" y="1799447125"/>
          <a:ext cx="878840" cy="1183640"/>
        </a:xfrm>
        <a:prstGeom prst="rect">
          <a:avLst/>
        </a:prstGeom>
      </xdr:spPr>
    </xdr:pic>
    <xdr:clientData/>
  </xdr:twoCellAnchor>
  <xdr:twoCellAnchor>
    <xdr:from>
      <xdr:col>8</xdr:col>
      <xdr:colOff>6350</xdr:colOff>
      <xdr:row>1811</xdr:row>
      <xdr:rowOff>25400</xdr:rowOff>
    </xdr:from>
    <xdr:to>
      <xdr:col>8</xdr:col>
      <xdr:colOff>885190</xdr:colOff>
      <xdr:row>1811</xdr:row>
      <xdr:rowOff>1209040</xdr:rowOff>
    </xdr:to>
    <xdr:pic>
      <xdr:nvPicPr>
        <xdr:cNvPr id="5630" name="Изображение 5629" descr="resizeПП-00227225"/>
        <xdr:cNvPicPr>
          <a:picLocks noChangeAspect="1"/>
        </xdr:cNvPicPr>
      </xdr:nvPicPr>
      <xdr:blipFill>
        <a:blip xmlns:r="http://schemas.openxmlformats.org/officeDocument/2006/relationships" r:embed="rId1382"/>
        <a:stretch>
          <a:fillRect/>
        </a:stretch>
      </xdr:blipFill>
      <xdr:spPr>
        <a:xfrm>
          <a:off x="7264400" y="1800821900"/>
          <a:ext cx="878840" cy="1183640"/>
        </a:xfrm>
        <a:prstGeom prst="rect">
          <a:avLst/>
        </a:prstGeom>
      </xdr:spPr>
    </xdr:pic>
    <xdr:clientData/>
  </xdr:twoCellAnchor>
  <xdr:twoCellAnchor>
    <xdr:from>
      <xdr:col>8</xdr:col>
      <xdr:colOff>6350</xdr:colOff>
      <xdr:row>1812</xdr:row>
      <xdr:rowOff>25400</xdr:rowOff>
    </xdr:from>
    <xdr:to>
      <xdr:col>8</xdr:col>
      <xdr:colOff>885190</xdr:colOff>
      <xdr:row>1812</xdr:row>
      <xdr:rowOff>1209040</xdr:rowOff>
    </xdr:to>
    <xdr:pic>
      <xdr:nvPicPr>
        <xdr:cNvPr id="5631" name="Изображение 5630" descr="resizeПП-00203635"/>
        <xdr:cNvPicPr>
          <a:picLocks noChangeAspect="1"/>
        </xdr:cNvPicPr>
      </xdr:nvPicPr>
      <xdr:blipFill>
        <a:blip xmlns:r="http://schemas.openxmlformats.org/officeDocument/2006/relationships" r:embed="rId1383"/>
        <a:stretch>
          <a:fillRect/>
        </a:stretch>
      </xdr:blipFill>
      <xdr:spPr>
        <a:xfrm>
          <a:off x="7264400" y="1802044275"/>
          <a:ext cx="878840" cy="1183640"/>
        </a:xfrm>
        <a:prstGeom prst="rect">
          <a:avLst/>
        </a:prstGeom>
      </xdr:spPr>
    </xdr:pic>
    <xdr:clientData/>
  </xdr:twoCellAnchor>
  <xdr:twoCellAnchor>
    <xdr:from>
      <xdr:col>8</xdr:col>
      <xdr:colOff>6350</xdr:colOff>
      <xdr:row>1813</xdr:row>
      <xdr:rowOff>25400</xdr:rowOff>
    </xdr:from>
    <xdr:to>
      <xdr:col>8</xdr:col>
      <xdr:colOff>885190</xdr:colOff>
      <xdr:row>1813</xdr:row>
      <xdr:rowOff>1209040</xdr:rowOff>
    </xdr:to>
    <xdr:pic>
      <xdr:nvPicPr>
        <xdr:cNvPr id="5632" name="Изображение 5631" descr="resizeПП-00227224"/>
        <xdr:cNvPicPr>
          <a:picLocks noChangeAspect="1"/>
        </xdr:cNvPicPr>
      </xdr:nvPicPr>
      <xdr:blipFill>
        <a:blip xmlns:r="http://schemas.openxmlformats.org/officeDocument/2006/relationships" r:embed="rId1384"/>
        <a:stretch>
          <a:fillRect/>
        </a:stretch>
      </xdr:blipFill>
      <xdr:spPr>
        <a:xfrm>
          <a:off x="7264400" y="1803266650"/>
          <a:ext cx="878840" cy="1183640"/>
        </a:xfrm>
        <a:prstGeom prst="rect">
          <a:avLst/>
        </a:prstGeom>
      </xdr:spPr>
    </xdr:pic>
    <xdr:clientData/>
  </xdr:twoCellAnchor>
  <xdr:twoCellAnchor>
    <xdr:from>
      <xdr:col>8</xdr:col>
      <xdr:colOff>6350</xdr:colOff>
      <xdr:row>1814</xdr:row>
      <xdr:rowOff>25400</xdr:rowOff>
    </xdr:from>
    <xdr:to>
      <xdr:col>8</xdr:col>
      <xdr:colOff>605790</xdr:colOff>
      <xdr:row>1814</xdr:row>
      <xdr:rowOff>1209040</xdr:rowOff>
    </xdr:to>
    <xdr:pic>
      <xdr:nvPicPr>
        <xdr:cNvPr id="5633" name="Изображение 5632" descr="resizeПП-00203639"/>
        <xdr:cNvPicPr>
          <a:picLocks noChangeAspect="1"/>
        </xdr:cNvPicPr>
      </xdr:nvPicPr>
      <xdr:blipFill>
        <a:blip xmlns:r="http://schemas.openxmlformats.org/officeDocument/2006/relationships" r:embed="rId1385"/>
        <a:stretch>
          <a:fillRect/>
        </a:stretch>
      </xdr:blipFill>
      <xdr:spPr>
        <a:xfrm>
          <a:off x="7264400" y="1804489025"/>
          <a:ext cx="599440" cy="1183640"/>
        </a:xfrm>
        <a:prstGeom prst="rect">
          <a:avLst/>
        </a:prstGeom>
      </xdr:spPr>
    </xdr:pic>
    <xdr:clientData/>
  </xdr:twoCellAnchor>
  <xdr:twoCellAnchor>
    <xdr:from>
      <xdr:col>8</xdr:col>
      <xdr:colOff>6350</xdr:colOff>
      <xdr:row>1816</xdr:row>
      <xdr:rowOff>25400</xdr:rowOff>
    </xdr:from>
    <xdr:to>
      <xdr:col>8</xdr:col>
      <xdr:colOff>885190</xdr:colOff>
      <xdr:row>1816</xdr:row>
      <xdr:rowOff>1209040</xdr:rowOff>
    </xdr:to>
    <xdr:pic>
      <xdr:nvPicPr>
        <xdr:cNvPr id="5634" name="Изображение 5633" descr="resizeПП-00203637"/>
        <xdr:cNvPicPr>
          <a:picLocks noChangeAspect="1"/>
        </xdr:cNvPicPr>
      </xdr:nvPicPr>
      <xdr:blipFill>
        <a:blip xmlns:r="http://schemas.openxmlformats.org/officeDocument/2006/relationships" r:embed="rId1386"/>
        <a:stretch>
          <a:fillRect/>
        </a:stretch>
      </xdr:blipFill>
      <xdr:spPr>
        <a:xfrm>
          <a:off x="7264400" y="1805863800"/>
          <a:ext cx="878840" cy="1183640"/>
        </a:xfrm>
        <a:prstGeom prst="rect">
          <a:avLst/>
        </a:prstGeom>
      </xdr:spPr>
    </xdr:pic>
    <xdr:clientData/>
  </xdr:twoCellAnchor>
  <xdr:twoCellAnchor>
    <xdr:from>
      <xdr:col>8</xdr:col>
      <xdr:colOff>6350</xdr:colOff>
      <xdr:row>1817</xdr:row>
      <xdr:rowOff>25400</xdr:rowOff>
    </xdr:from>
    <xdr:to>
      <xdr:col>8</xdr:col>
      <xdr:colOff>885190</xdr:colOff>
      <xdr:row>1817</xdr:row>
      <xdr:rowOff>1209040</xdr:rowOff>
    </xdr:to>
    <xdr:pic>
      <xdr:nvPicPr>
        <xdr:cNvPr id="5635" name="Изображение 5634" descr="resizeПП-00227227"/>
        <xdr:cNvPicPr>
          <a:picLocks noChangeAspect="1"/>
        </xdr:cNvPicPr>
      </xdr:nvPicPr>
      <xdr:blipFill>
        <a:blip xmlns:r="http://schemas.openxmlformats.org/officeDocument/2006/relationships" r:embed="rId1387"/>
        <a:stretch>
          <a:fillRect/>
        </a:stretch>
      </xdr:blipFill>
      <xdr:spPr>
        <a:xfrm>
          <a:off x="7264400" y="1807086175"/>
          <a:ext cx="878840" cy="1183640"/>
        </a:xfrm>
        <a:prstGeom prst="rect">
          <a:avLst/>
        </a:prstGeom>
      </xdr:spPr>
    </xdr:pic>
    <xdr:clientData/>
  </xdr:twoCellAnchor>
  <xdr:twoCellAnchor>
    <xdr:from>
      <xdr:col>8</xdr:col>
      <xdr:colOff>6350</xdr:colOff>
      <xdr:row>1818</xdr:row>
      <xdr:rowOff>25400</xdr:rowOff>
    </xdr:from>
    <xdr:to>
      <xdr:col>8</xdr:col>
      <xdr:colOff>885190</xdr:colOff>
      <xdr:row>1818</xdr:row>
      <xdr:rowOff>1209040</xdr:rowOff>
    </xdr:to>
    <xdr:pic>
      <xdr:nvPicPr>
        <xdr:cNvPr id="5636" name="Изображение 5635" descr="resizeПП-00203640"/>
        <xdr:cNvPicPr>
          <a:picLocks noChangeAspect="1"/>
        </xdr:cNvPicPr>
      </xdr:nvPicPr>
      <xdr:blipFill>
        <a:blip xmlns:r="http://schemas.openxmlformats.org/officeDocument/2006/relationships" r:embed="rId1388"/>
        <a:stretch>
          <a:fillRect/>
        </a:stretch>
      </xdr:blipFill>
      <xdr:spPr>
        <a:xfrm>
          <a:off x="7264400" y="1808308550"/>
          <a:ext cx="878840" cy="1183640"/>
        </a:xfrm>
        <a:prstGeom prst="rect">
          <a:avLst/>
        </a:prstGeom>
      </xdr:spPr>
    </xdr:pic>
    <xdr:clientData/>
  </xdr:twoCellAnchor>
  <xdr:twoCellAnchor>
    <xdr:from>
      <xdr:col>8</xdr:col>
      <xdr:colOff>6350</xdr:colOff>
      <xdr:row>1820</xdr:row>
      <xdr:rowOff>25400</xdr:rowOff>
    </xdr:from>
    <xdr:to>
      <xdr:col>8</xdr:col>
      <xdr:colOff>885190</xdr:colOff>
      <xdr:row>1820</xdr:row>
      <xdr:rowOff>1209040</xdr:rowOff>
    </xdr:to>
    <xdr:pic>
      <xdr:nvPicPr>
        <xdr:cNvPr id="5637" name="Изображение 5636" descr="resizeПП-00227228"/>
        <xdr:cNvPicPr>
          <a:picLocks noChangeAspect="1"/>
        </xdr:cNvPicPr>
      </xdr:nvPicPr>
      <xdr:blipFill>
        <a:blip xmlns:r="http://schemas.openxmlformats.org/officeDocument/2006/relationships" r:embed="rId1389"/>
        <a:stretch>
          <a:fillRect/>
        </a:stretch>
      </xdr:blipFill>
      <xdr:spPr>
        <a:xfrm>
          <a:off x="7264400" y="1809683325"/>
          <a:ext cx="878840" cy="1183640"/>
        </a:xfrm>
        <a:prstGeom prst="rect">
          <a:avLst/>
        </a:prstGeom>
      </xdr:spPr>
    </xdr:pic>
    <xdr:clientData/>
  </xdr:twoCellAnchor>
  <xdr:twoCellAnchor>
    <xdr:from>
      <xdr:col>8</xdr:col>
      <xdr:colOff>6350</xdr:colOff>
      <xdr:row>1821</xdr:row>
      <xdr:rowOff>25400</xdr:rowOff>
    </xdr:from>
    <xdr:to>
      <xdr:col>8</xdr:col>
      <xdr:colOff>885190</xdr:colOff>
      <xdr:row>1821</xdr:row>
      <xdr:rowOff>1209040</xdr:rowOff>
    </xdr:to>
    <xdr:pic>
      <xdr:nvPicPr>
        <xdr:cNvPr id="5638" name="Изображение 5637" descr="resizeПП-00203641"/>
        <xdr:cNvPicPr>
          <a:picLocks noChangeAspect="1"/>
        </xdr:cNvPicPr>
      </xdr:nvPicPr>
      <xdr:blipFill>
        <a:blip xmlns:r="http://schemas.openxmlformats.org/officeDocument/2006/relationships" r:embed="rId1390"/>
        <a:stretch>
          <a:fillRect/>
        </a:stretch>
      </xdr:blipFill>
      <xdr:spPr>
        <a:xfrm>
          <a:off x="7264400" y="1810905700"/>
          <a:ext cx="878840" cy="1183640"/>
        </a:xfrm>
        <a:prstGeom prst="rect">
          <a:avLst/>
        </a:prstGeom>
      </xdr:spPr>
    </xdr:pic>
    <xdr:clientData/>
  </xdr:twoCellAnchor>
  <xdr:twoCellAnchor>
    <xdr:from>
      <xdr:col>8</xdr:col>
      <xdr:colOff>6350</xdr:colOff>
      <xdr:row>1823</xdr:row>
      <xdr:rowOff>25400</xdr:rowOff>
    </xdr:from>
    <xdr:to>
      <xdr:col>8</xdr:col>
      <xdr:colOff>885190</xdr:colOff>
      <xdr:row>1823</xdr:row>
      <xdr:rowOff>1209040</xdr:rowOff>
    </xdr:to>
    <xdr:pic>
      <xdr:nvPicPr>
        <xdr:cNvPr id="5639" name="Изображение 5638" descr="resizeПП-00228004"/>
        <xdr:cNvPicPr>
          <a:picLocks noChangeAspect="1"/>
        </xdr:cNvPicPr>
      </xdr:nvPicPr>
      <xdr:blipFill>
        <a:blip xmlns:r="http://schemas.openxmlformats.org/officeDocument/2006/relationships" r:embed="rId1391"/>
        <a:stretch>
          <a:fillRect/>
        </a:stretch>
      </xdr:blipFill>
      <xdr:spPr>
        <a:xfrm>
          <a:off x="7264400" y="1812280475"/>
          <a:ext cx="878840" cy="1183640"/>
        </a:xfrm>
        <a:prstGeom prst="rect">
          <a:avLst/>
        </a:prstGeom>
      </xdr:spPr>
    </xdr:pic>
    <xdr:clientData/>
  </xdr:twoCellAnchor>
  <xdr:twoCellAnchor>
    <xdr:from>
      <xdr:col>8</xdr:col>
      <xdr:colOff>6350</xdr:colOff>
      <xdr:row>1826</xdr:row>
      <xdr:rowOff>25400</xdr:rowOff>
    </xdr:from>
    <xdr:to>
      <xdr:col>8</xdr:col>
      <xdr:colOff>885190</xdr:colOff>
      <xdr:row>1826</xdr:row>
      <xdr:rowOff>1209040</xdr:rowOff>
    </xdr:to>
    <xdr:pic>
      <xdr:nvPicPr>
        <xdr:cNvPr id="5640" name="Изображение 5639" descr="resizeПП-00227208"/>
        <xdr:cNvPicPr>
          <a:picLocks noChangeAspect="1"/>
        </xdr:cNvPicPr>
      </xdr:nvPicPr>
      <xdr:blipFill>
        <a:blip xmlns:r="http://schemas.openxmlformats.org/officeDocument/2006/relationships" r:embed="rId1392"/>
        <a:stretch>
          <a:fillRect/>
        </a:stretch>
      </xdr:blipFill>
      <xdr:spPr>
        <a:xfrm>
          <a:off x="7264400" y="1813807650"/>
          <a:ext cx="878840" cy="1183640"/>
        </a:xfrm>
        <a:prstGeom prst="rect">
          <a:avLst/>
        </a:prstGeom>
      </xdr:spPr>
    </xdr:pic>
    <xdr:clientData/>
  </xdr:twoCellAnchor>
  <xdr:twoCellAnchor>
    <xdr:from>
      <xdr:col>8</xdr:col>
      <xdr:colOff>6350</xdr:colOff>
      <xdr:row>1827</xdr:row>
      <xdr:rowOff>25400</xdr:rowOff>
    </xdr:from>
    <xdr:to>
      <xdr:col>8</xdr:col>
      <xdr:colOff>885190</xdr:colOff>
      <xdr:row>1827</xdr:row>
      <xdr:rowOff>1209040</xdr:rowOff>
    </xdr:to>
    <xdr:pic>
      <xdr:nvPicPr>
        <xdr:cNvPr id="5641" name="Изображение 5640" descr="resizeПП-00227206"/>
        <xdr:cNvPicPr>
          <a:picLocks noChangeAspect="1"/>
        </xdr:cNvPicPr>
      </xdr:nvPicPr>
      <xdr:blipFill>
        <a:blip xmlns:r="http://schemas.openxmlformats.org/officeDocument/2006/relationships" r:embed="rId1393"/>
        <a:stretch>
          <a:fillRect/>
        </a:stretch>
      </xdr:blipFill>
      <xdr:spPr>
        <a:xfrm>
          <a:off x="7264400" y="1815030025"/>
          <a:ext cx="878840" cy="1183640"/>
        </a:xfrm>
        <a:prstGeom prst="rect">
          <a:avLst/>
        </a:prstGeom>
      </xdr:spPr>
    </xdr:pic>
    <xdr:clientData/>
  </xdr:twoCellAnchor>
  <xdr:twoCellAnchor>
    <xdr:from>
      <xdr:col>8</xdr:col>
      <xdr:colOff>6350</xdr:colOff>
      <xdr:row>1828</xdr:row>
      <xdr:rowOff>25400</xdr:rowOff>
    </xdr:from>
    <xdr:to>
      <xdr:col>8</xdr:col>
      <xdr:colOff>885190</xdr:colOff>
      <xdr:row>1828</xdr:row>
      <xdr:rowOff>1209040</xdr:rowOff>
    </xdr:to>
    <xdr:pic>
      <xdr:nvPicPr>
        <xdr:cNvPr id="5642" name="Изображение 5641" descr="resizeПП-00186916"/>
        <xdr:cNvPicPr>
          <a:picLocks noChangeAspect="1"/>
        </xdr:cNvPicPr>
      </xdr:nvPicPr>
      <xdr:blipFill>
        <a:blip xmlns:r="http://schemas.openxmlformats.org/officeDocument/2006/relationships" r:embed="rId1394"/>
        <a:stretch>
          <a:fillRect/>
        </a:stretch>
      </xdr:blipFill>
      <xdr:spPr>
        <a:xfrm>
          <a:off x="7264400" y="1816252400"/>
          <a:ext cx="878840" cy="1183640"/>
        </a:xfrm>
        <a:prstGeom prst="rect">
          <a:avLst/>
        </a:prstGeom>
      </xdr:spPr>
    </xdr:pic>
    <xdr:clientData/>
  </xdr:twoCellAnchor>
  <xdr:twoCellAnchor>
    <xdr:from>
      <xdr:col>8</xdr:col>
      <xdr:colOff>6350</xdr:colOff>
      <xdr:row>1829</xdr:row>
      <xdr:rowOff>25400</xdr:rowOff>
    </xdr:from>
    <xdr:to>
      <xdr:col>8</xdr:col>
      <xdr:colOff>885190</xdr:colOff>
      <xdr:row>1829</xdr:row>
      <xdr:rowOff>1209040</xdr:rowOff>
    </xdr:to>
    <xdr:pic>
      <xdr:nvPicPr>
        <xdr:cNvPr id="5643" name="Изображение 5642" descr="resizeПП-00228000"/>
        <xdr:cNvPicPr>
          <a:picLocks noChangeAspect="1"/>
        </xdr:cNvPicPr>
      </xdr:nvPicPr>
      <xdr:blipFill>
        <a:blip xmlns:r="http://schemas.openxmlformats.org/officeDocument/2006/relationships" r:embed="rId1395"/>
        <a:stretch>
          <a:fillRect/>
        </a:stretch>
      </xdr:blipFill>
      <xdr:spPr>
        <a:xfrm>
          <a:off x="7264400" y="1817474775"/>
          <a:ext cx="878840" cy="1183640"/>
        </a:xfrm>
        <a:prstGeom prst="rect">
          <a:avLst/>
        </a:prstGeom>
      </xdr:spPr>
    </xdr:pic>
    <xdr:clientData/>
  </xdr:twoCellAnchor>
  <xdr:twoCellAnchor>
    <xdr:from>
      <xdr:col>8</xdr:col>
      <xdr:colOff>6350</xdr:colOff>
      <xdr:row>1830</xdr:row>
      <xdr:rowOff>25400</xdr:rowOff>
    </xdr:from>
    <xdr:to>
      <xdr:col>8</xdr:col>
      <xdr:colOff>885190</xdr:colOff>
      <xdr:row>1830</xdr:row>
      <xdr:rowOff>1209040</xdr:rowOff>
    </xdr:to>
    <xdr:pic>
      <xdr:nvPicPr>
        <xdr:cNvPr id="5644" name="Изображение 5643" descr="resizeПП-00227997"/>
        <xdr:cNvPicPr>
          <a:picLocks noChangeAspect="1"/>
        </xdr:cNvPicPr>
      </xdr:nvPicPr>
      <xdr:blipFill>
        <a:blip xmlns:r="http://schemas.openxmlformats.org/officeDocument/2006/relationships" r:embed="rId1396"/>
        <a:stretch>
          <a:fillRect/>
        </a:stretch>
      </xdr:blipFill>
      <xdr:spPr>
        <a:xfrm>
          <a:off x="7264400" y="1818697150"/>
          <a:ext cx="878840" cy="1183640"/>
        </a:xfrm>
        <a:prstGeom prst="rect">
          <a:avLst/>
        </a:prstGeom>
      </xdr:spPr>
    </xdr:pic>
    <xdr:clientData/>
  </xdr:twoCellAnchor>
  <xdr:twoCellAnchor>
    <xdr:from>
      <xdr:col>8</xdr:col>
      <xdr:colOff>6350</xdr:colOff>
      <xdr:row>1832</xdr:row>
      <xdr:rowOff>25400</xdr:rowOff>
    </xdr:from>
    <xdr:to>
      <xdr:col>8</xdr:col>
      <xdr:colOff>885190</xdr:colOff>
      <xdr:row>1832</xdr:row>
      <xdr:rowOff>1209040</xdr:rowOff>
    </xdr:to>
    <xdr:pic>
      <xdr:nvPicPr>
        <xdr:cNvPr id="5645" name="Изображение 5644" descr="resizeПП-00228001"/>
        <xdr:cNvPicPr>
          <a:picLocks noChangeAspect="1"/>
        </xdr:cNvPicPr>
      </xdr:nvPicPr>
      <xdr:blipFill>
        <a:blip xmlns:r="http://schemas.openxmlformats.org/officeDocument/2006/relationships" r:embed="rId1397"/>
        <a:stretch>
          <a:fillRect/>
        </a:stretch>
      </xdr:blipFill>
      <xdr:spPr>
        <a:xfrm>
          <a:off x="7264400" y="1820071925"/>
          <a:ext cx="878840" cy="1183640"/>
        </a:xfrm>
        <a:prstGeom prst="rect">
          <a:avLst/>
        </a:prstGeom>
      </xdr:spPr>
    </xdr:pic>
    <xdr:clientData/>
  </xdr:twoCellAnchor>
  <xdr:twoCellAnchor>
    <xdr:from>
      <xdr:col>8</xdr:col>
      <xdr:colOff>6350</xdr:colOff>
      <xdr:row>1834</xdr:row>
      <xdr:rowOff>25400</xdr:rowOff>
    </xdr:from>
    <xdr:to>
      <xdr:col>8</xdr:col>
      <xdr:colOff>885190</xdr:colOff>
      <xdr:row>1834</xdr:row>
      <xdr:rowOff>1209040</xdr:rowOff>
    </xdr:to>
    <xdr:pic>
      <xdr:nvPicPr>
        <xdr:cNvPr id="5646" name="Изображение 5645" descr="resizeПП-00227211"/>
        <xdr:cNvPicPr>
          <a:picLocks noChangeAspect="1"/>
        </xdr:cNvPicPr>
      </xdr:nvPicPr>
      <xdr:blipFill>
        <a:blip xmlns:r="http://schemas.openxmlformats.org/officeDocument/2006/relationships" r:embed="rId1398"/>
        <a:stretch>
          <a:fillRect/>
        </a:stretch>
      </xdr:blipFill>
      <xdr:spPr>
        <a:xfrm>
          <a:off x="7264400" y="1821446700"/>
          <a:ext cx="878840" cy="1183640"/>
        </a:xfrm>
        <a:prstGeom prst="rect">
          <a:avLst/>
        </a:prstGeom>
      </xdr:spPr>
    </xdr:pic>
    <xdr:clientData/>
  </xdr:twoCellAnchor>
  <xdr:twoCellAnchor>
    <xdr:from>
      <xdr:col>8</xdr:col>
      <xdr:colOff>6350</xdr:colOff>
      <xdr:row>1835</xdr:row>
      <xdr:rowOff>25400</xdr:rowOff>
    </xdr:from>
    <xdr:to>
      <xdr:col>8</xdr:col>
      <xdr:colOff>885190</xdr:colOff>
      <xdr:row>1835</xdr:row>
      <xdr:rowOff>1209040</xdr:rowOff>
    </xdr:to>
    <xdr:pic>
      <xdr:nvPicPr>
        <xdr:cNvPr id="5647" name="Изображение 5646" descr="resizeПП-00203642"/>
        <xdr:cNvPicPr>
          <a:picLocks noChangeAspect="1"/>
        </xdr:cNvPicPr>
      </xdr:nvPicPr>
      <xdr:blipFill>
        <a:blip xmlns:r="http://schemas.openxmlformats.org/officeDocument/2006/relationships" r:embed="rId1399"/>
        <a:stretch>
          <a:fillRect/>
        </a:stretch>
      </xdr:blipFill>
      <xdr:spPr>
        <a:xfrm>
          <a:off x="7264400" y="1822669075"/>
          <a:ext cx="878840" cy="1183640"/>
        </a:xfrm>
        <a:prstGeom prst="rect">
          <a:avLst/>
        </a:prstGeom>
      </xdr:spPr>
    </xdr:pic>
    <xdr:clientData/>
  </xdr:twoCellAnchor>
  <xdr:twoCellAnchor>
    <xdr:from>
      <xdr:col>8</xdr:col>
      <xdr:colOff>6350</xdr:colOff>
      <xdr:row>1836</xdr:row>
      <xdr:rowOff>25400</xdr:rowOff>
    </xdr:from>
    <xdr:to>
      <xdr:col>8</xdr:col>
      <xdr:colOff>885190</xdr:colOff>
      <xdr:row>1836</xdr:row>
      <xdr:rowOff>1209040</xdr:rowOff>
    </xdr:to>
    <xdr:pic>
      <xdr:nvPicPr>
        <xdr:cNvPr id="5648" name="Изображение 5647" descr="resizeПП-00227213"/>
        <xdr:cNvPicPr>
          <a:picLocks noChangeAspect="1"/>
        </xdr:cNvPicPr>
      </xdr:nvPicPr>
      <xdr:blipFill>
        <a:blip xmlns:r="http://schemas.openxmlformats.org/officeDocument/2006/relationships" r:embed="rId1400"/>
        <a:stretch>
          <a:fillRect/>
        </a:stretch>
      </xdr:blipFill>
      <xdr:spPr>
        <a:xfrm>
          <a:off x="7264400" y="1823891450"/>
          <a:ext cx="878840" cy="1183640"/>
        </a:xfrm>
        <a:prstGeom prst="rect">
          <a:avLst/>
        </a:prstGeom>
      </xdr:spPr>
    </xdr:pic>
    <xdr:clientData/>
  </xdr:twoCellAnchor>
  <xdr:twoCellAnchor>
    <xdr:from>
      <xdr:col>8</xdr:col>
      <xdr:colOff>6350</xdr:colOff>
      <xdr:row>1838</xdr:row>
      <xdr:rowOff>25400</xdr:rowOff>
    </xdr:from>
    <xdr:to>
      <xdr:col>8</xdr:col>
      <xdr:colOff>885190</xdr:colOff>
      <xdr:row>1838</xdr:row>
      <xdr:rowOff>1209040</xdr:rowOff>
    </xdr:to>
    <xdr:pic>
      <xdr:nvPicPr>
        <xdr:cNvPr id="5649" name="Изображение 5648" descr="resizeПП-00227204"/>
        <xdr:cNvPicPr>
          <a:picLocks noChangeAspect="1"/>
        </xdr:cNvPicPr>
      </xdr:nvPicPr>
      <xdr:blipFill>
        <a:blip xmlns:r="http://schemas.openxmlformats.org/officeDocument/2006/relationships" r:embed="rId1398"/>
        <a:stretch>
          <a:fillRect/>
        </a:stretch>
      </xdr:blipFill>
      <xdr:spPr>
        <a:xfrm>
          <a:off x="7264400" y="1825266225"/>
          <a:ext cx="878840" cy="1183640"/>
        </a:xfrm>
        <a:prstGeom prst="rect">
          <a:avLst/>
        </a:prstGeom>
      </xdr:spPr>
    </xdr:pic>
    <xdr:clientData/>
  </xdr:twoCellAnchor>
  <xdr:twoCellAnchor>
    <xdr:from>
      <xdr:col>8</xdr:col>
      <xdr:colOff>6350</xdr:colOff>
      <xdr:row>1839</xdr:row>
      <xdr:rowOff>25400</xdr:rowOff>
    </xdr:from>
    <xdr:to>
      <xdr:col>8</xdr:col>
      <xdr:colOff>885190</xdr:colOff>
      <xdr:row>1839</xdr:row>
      <xdr:rowOff>1209040</xdr:rowOff>
    </xdr:to>
    <xdr:pic>
      <xdr:nvPicPr>
        <xdr:cNvPr id="5650" name="Изображение 5649" descr="resizeПП-00203643"/>
        <xdr:cNvPicPr>
          <a:picLocks noChangeAspect="1"/>
        </xdr:cNvPicPr>
      </xdr:nvPicPr>
      <xdr:blipFill>
        <a:blip xmlns:r="http://schemas.openxmlformats.org/officeDocument/2006/relationships" r:embed="rId1401"/>
        <a:stretch>
          <a:fillRect/>
        </a:stretch>
      </xdr:blipFill>
      <xdr:spPr>
        <a:xfrm>
          <a:off x="7264400" y="1826488600"/>
          <a:ext cx="878840" cy="1183640"/>
        </a:xfrm>
        <a:prstGeom prst="rect">
          <a:avLst/>
        </a:prstGeom>
      </xdr:spPr>
    </xdr:pic>
    <xdr:clientData/>
  </xdr:twoCellAnchor>
  <xdr:twoCellAnchor>
    <xdr:from>
      <xdr:col>8</xdr:col>
      <xdr:colOff>6350</xdr:colOff>
      <xdr:row>1840</xdr:row>
      <xdr:rowOff>25400</xdr:rowOff>
    </xdr:from>
    <xdr:to>
      <xdr:col>8</xdr:col>
      <xdr:colOff>885190</xdr:colOff>
      <xdr:row>1840</xdr:row>
      <xdr:rowOff>1209040</xdr:rowOff>
    </xdr:to>
    <xdr:pic>
      <xdr:nvPicPr>
        <xdr:cNvPr id="5651" name="Изображение 5650" descr="resizeПП-00186918"/>
        <xdr:cNvPicPr>
          <a:picLocks noChangeAspect="1"/>
        </xdr:cNvPicPr>
      </xdr:nvPicPr>
      <xdr:blipFill>
        <a:blip xmlns:r="http://schemas.openxmlformats.org/officeDocument/2006/relationships" r:embed="rId1402"/>
        <a:stretch>
          <a:fillRect/>
        </a:stretch>
      </xdr:blipFill>
      <xdr:spPr>
        <a:xfrm>
          <a:off x="7264400" y="1827710975"/>
          <a:ext cx="878840" cy="1183640"/>
        </a:xfrm>
        <a:prstGeom prst="rect">
          <a:avLst/>
        </a:prstGeom>
      </xdr:spPr>
    </xdr:pic>
    <xdr:clientData/>
  </xdr:twoCellAnchor>
  <xdr:twoCellAnchor>
    <xdr:from>
      <xdr:col>8</xdr:col>
      <xdr:colOff>6350</xdr:colOff>
      <xdr:row>1841</xdr:row>
      <xdr:rowOff>25400</xdr:rowOff>
    </xdr:from>
    <xdr:to>
      <xdr:col>8</xdr:col>
      <xdr:colOff>885190</xdr:colOff>
      <xdr:row>1841</xdr:row>
      <xdr:rowOff>1209040</xdr:rowOff>
    </xdr:to>
    <xdr:pic>
      <xdr:nvPicPr>
        <xdr:cNvPr id="5652" name="Изображение 5651" descr="resizeПП-00186919"/>
        <xdr:cNvPicPr>
          <a:picLocks noChangeAspect="1"/>
        </xdr:cNvPicPr>
      </xdr:nvPicPr>
      <xdr:blipFill>
        <a:blip xmlns:r="http://schemas.openxmlformats.org/officeDocument/2006/relationships" r:embed="rId1403"/>
        <a:stretch>
          <a:fillRect/>
        </a:stretch>
      </xdr:blipFill>
      <xdr:spPr>
        <a:xfrm>
          <a:off x="7264400" y="1828933350"/>
          <a:ext cx="878840" cy="1183640"/>
        </a:xfrm>
        <a:prstGeom prst="rect">
          <a:avLst/>
        </a:prstGeom>
      </xdr:spPr>
    </xdr:pic>
    <xdr:clientData/>
  </xdr:twoCellAnchor>
  <xdr:twoCellAnchor>
    <xdr:from>
      <xdr:col>8</xdr:col>
      <xdr:colOff>6350</xdr:colOff>
      <xdr:row>1843</xdr:row>
      <xdr:rowOff>25400</xdr:rowOff>
    </xdr:from>
    <xdr:to>
      <xdr:col>8</xdr:col>
      <xdr:colOff>885190</xdr:colOff>
      <xdr:row>1843</xdr:row>
      <xdr:rowOff>1209040</xdr:rowOff>
    </xdr:to>
    <xdr:pic>
      <xdr:nvPicPr>
        <xdr:cNvPr id="5653" name="Изображение 5652" descr="resizeПП-00203644"/>
        <xdr:cNvPicPr>
          <a:picLocks noChangeAspect="1"/>
        </xdr:cNvPicPr>
      </xdr:nvPicPr>
      <xdr:blipFill>
        <a:blip xmlns:r="http://schemas.openxmlformats.org/officeDocument/2006/relationships" r:embed="rId1404"/>
        <a:stretch>
          <a:fillRect/>
        </a:stretch>
      </xdr:blipFill>
      <xdr:spPr>
        <a:xfrm>
          <a:off x="7264400" y="1830308125"/>
          <a:ext cx="878840" cy="1183640"/>
        </a:xfrm>
        <a:prstGeom prst="rect">
          <a:avLst/>
        </a:prstGeom>
      </xdr:spPr>
    </xdr:pic>
    <xdr:clientData/>
  </xdr:twoCellAnchor>
  <xdr:twoCellAnchor>
    <xdr:from>
      <xdr:col>8</xdr:col>
      <xdr:colOff>6350</xdr:colOff>
      <xdr:row>1844</xdr:row>
      <xdr:rowOff>25400</xdr:rowOff>
    </xdr:from>
    <xdr:to>
      <xdr:col>8</xdr:col>
      <xdr:colOff>885190</xdr:colOff>
      <xdr:row>1844</xdr:row>
      <xdr:rowOff>1209040</xdr:rowOff>
    </xdr:to>
    <xdr:pic>
      <xdr:nvPicPr>
        <xdr:cNvPr id="5654" name="Изображение 5653" descr="resizeПП-00186917"/>
        <xdr:cNvPicPr>
          <a:picLocks noChangeAspect="1"/>
        </xdr:cNvPicPr>
      </xdr:nvPicPr>
      <xdr:blipFill>
        <a:blip xmlns:r="http://schemas.openxmlformats.org/officeDocument/2006/relationships" r:embed="rId1405"/>
        <a:stretch>
          <a:fillRect/>
        </a:stretch>
      </xdr:blipFill>
      <xdr:spPr>
        <a:xfrm>
          <a:off x="7264400" y="1831530500"/>
          <a:ext cx="878840" cy="1183640"/>
        </a:xfrm>
        <a:prstGeom prst="rect">
          <a:avLst/>
        </a:prstGeom>
      </xdr:spPr>
    </xdr:pic>
    <xdr:clientData/>
  </xdr:twoCellAnchor>
  <xdr:twoCellAnchor>
    <xdr:from>
      <xdr:col>8</xdr:col>
      <xdr:colOff>6350</xdr:colOff>
      <xdr:row>1845</xdr:row>
      <xdr:rowOff>25400</xdr:rowOff>
    </xdr:from>
    <xdr:to>
      <xdr:col>8</xdr:col>
      <xdr:colOff>885190</xdr:colOff>
      <xdr:row>1845</xdr:row>
      <xdr:rowOff>1209040</xdr:rowOff>
    </xdr:to>
    <xdr:pic>
      <xdr:nvPicPr>
        <xdr:cNvPr id="5655" name="Изображение 5654" descr="resizeПП-00186921"/>
        <xdr:cNvPicPr>
          <a:picLocks noChangeAspect="1"/>
        </xdr:cNvPicPr>
      </xdr:nvPicPr>
      <xdr:blipFill>
        <a:blip xmlns:r="http://schemas.openxmlformats.org/officeDocument/2006/relationships" r:embed="rId1406"/>
        <a:stretch>
          <a:fillRect/>
        </a:stretch>
      </xdr:blipFill>
      <xdr:spPr>
        <a:xfrm>
          <a:off x="7264400" y="1832752875"/>
          <a:ext cx="878840" cy="1183640"/>
        </a:xfrm>
        <a:prstGeom prst="rect">
          <a:avLst/>
        </a:prstGeom>
      </xdr:spPr>
    </xdr:pic>
    <xdr:clientData/>
  </xdr:twoCellAnchor>
  <xdr:twoCellAnchor>
    <xdr:from>
      <xdr:col>8</xdr:col>
      <xdr:colOff>6350</xdr:colOff>
      <xdr:row>1847</xdr:row>
      <xdr:rowOff>25400</xdr:rowOff>
    </xdr:from>
    <xdr:to>
      <xdr:col>8</xdr:col>
      <xdr:colOff>885190</xdr:colOff>
      <xdr:row>1847</xdr:row>
      <xdr:rowOff>1209040</xdr:rowOff>
    </xdr:to>
    <xdr:pic>
      <xdr:nvPicPr>
        <xdr:cNvPr id="5656" name="Изображение 5655" descr="resizeПП-00227216"/>
        <xdr:cNvPicPr>
          <a:picLocks noChangeAspect="1"/>
        </xdr:cNvPicPr>
      </xdr:nvPicPr>
      <xdr:blipFill>
        <a:blip xmlns:r="http://schemas.openxmlformats.org/officeDocument/2006/relationships" r:embed="rId1407"/>
        <a:stretch>
          <a:fillRect/>
        </a:stretch>
      </xdr:blipFill>
      <xdr:spPr>
        <a:xfrm>
          <a:off x="7264400" y="1834127650"/>
          <a:ext cx="878840" cy="1183640"/>
        </a:xfrm>
        <a:prstGeom prst="rect">
          <a:avLst/>
        </a:prstGeom>
      </xdr:spPr>
    </xdr:pic>
    <xdr:clientData/>
  </xdr:twoCellAnchor>
  <xdr:twoCellAnchor>
    <xdr:from>
      <xdr:col>8</xdr:col>
      <xdr:colOff>6350</xdr:colOff>
      <xdr:row>1848</xdr:row>
      <xdr:rowOff>25400</xdr:rowOff>
    </xdr:from>
    <xdr:to>
      <xdr:col>8</xdr:col>
      <xdr:colOff>885190</xdr:colOff>
      <xdr:row>1848</xdr:row>
      <xdr:rowOff>1209040</xdr:rowOff>
    </xdr:to>
    <xdr:pic>
      <xdr:nvPicPr>
        <xdr:cNvPr id="5657" name="Изображение 5656" descr="resizeПП-00203634"/>
        <xdr:cNvPicPr>
          <a:picLocks noChangeAspect="1"/>
        </xdr:cNvPicPr>
      </xdr:nvPicPr>
      <xdr:blipFill>
        <a:blip xmlns:r="http://schemas.openxmlformats.org/officeDocument/2006/relationships" r:embed="rId1408"/>
        <a:stretch>
          <a:fillRect/>
        </a:stretch>
      </xdr:blipFill>
      <xdr:spPr>
        <a:xfrm>
          <a:off x="7264400" y="1835350025"/>
          <a:ext cx="878840" cy="1183640"/>
        </a:xfrm>
        <a:prstGeom prst="rect">
          <a:avLst/>
        </a:prstGeom>
      </xdr:spPr>
    </xdr:pic>
    <xdr:clientData/>
  </xdr:twoCellAnchor>
  <xdr:twoCellAnchor>
    <xdr:from>
      <xdr:col>8</xdr:col>
      <xdr:colOff>6350</xdr:colOff>
      <xdr:row>1849</xdr:row>
      <xdr:rowOff>25400</xdr:rowOff>
    </xdr:from>
    <xdr:to>
      <xdr:col>8</xdr:col>
      <xdr:colOff>885190</xdr:colOff>
      <xdr:row>1849</xdr:row>
      <xdr:rowOff>1209040</xdr:rowOff>
    </xdr:to>
    <xdr:pic>
      <xdr:nvPicPr>
        <xdr:cNvPr id="5658" name="Изображение 5657" descr="resizeПП-00227215"/>
        <xdr:cNvPicPr>
          <a:picLocks noChangeAspect="1"/>
        </xdr:cNvPicPr>
      </xdr:nvPicPr>
      <xdr:blipFill>
        <a:blip xmlns:r="http://schemas.openxmlformats.org/officeDocument/2006/relationships" r:embed="rId1409"/>
        <a:stretch>
          <a:fillRect/>
        </a:stretch>
      </xdr:blipFill>
      <xdr:spPr>
        <a:xfrm>
          <a:off x="7264400" y="1836572400"/>
          <a:ext cx="878840" cy="1183640"/>
        </a:xfrm>
        <a:prstGeom prst="rect">
          <a:avLst/>
        </a:prstGeom>
      </xdr:spPr>
    </xdr:pic>
    <xdr:clientData/>
  </xdr:twoCellAnchor>
  <xdr:twoCellAnchor>
    <xdr:from>
      <xdr:col>8</xdr:col>
      <xdr:colOff>6350</xdr:colOff>
      <xdr:row>1851</xdr:row>
      <xdr:rowOff>25400</xdr:rowOff>
    </xdr:from>
    <xdr:to>
      <xdr:col>8</xdr:col>
      <xdr:colOff>885190</xdr:colOff>
      <xdr:row>1851</xdr:row>
      <xdr:rowOff>1209040</xdr:rowOff>
    </xdr:to>
    <xdr:pic>
      <xdr:nvPicPr>
        <xdr:cNvPr id="5659" name="Изображение 5658" descr="resizeПП-00227219"/>
        <xdr:cNvPicPr>
          <a:picLocks noChangeAspect="1"/>
        </xdr:cNvPicPr>
      </xdr:nvPicPr>
      <xdr:blipFill>
        <a:blip xmlns:r="http://schemas.openxmlformats.org/officeDocument/2006/relationships" r:embed="rId1410"/>
        <a:stretch>
          <a:fillRect/>
        </a:stretch>
      </xdr:blipFill>
      <xdr:spPr>
        <a:xfrm>
          <a:off x="7264400" y="1837947175"/>
          <a:ext cx="878840" cy="1183640"/>
        </a:xfrm>
        <a:prstGeom prst="rect">
          <a:avLst/>
        </a:prstGeom>
      </xdr:spPr>
    </xdr:pic>
    <xdr:clientData/>
  </xdr:twoCellAnchor>
  <xdr:twoCellAnchor>
    <xdr:from>
      <xdr:col>8</xdr:col>
      <xdr:colOff>6350</xdr:colOff>
      <xdr:row>1853</xdr:row>
      <xdr:rowOff>25400</xdr:rowOff>
    </xdr:from>
    <xdr:to>
      <xdr:col>8</xdr:col>
      <xdr:colOff>885190</xdr:colOff>
      <xdr:row>1853</xdr:row>
      <xdr:rowOff>1209040</xdr:rowOff>
    </xdr:to>
    <xdr:pic>
      <xdr:nvPicPr>
        <xdr:cNvPr id="5660" name="Изображение 5659" descr="resizeПП-00227220"/>
        <xdr:cNvPicPr>
          <a:picLocks noChangeAspect="1"/>
        </xdr:cNvPicPr>
      </xdr:nvPicPr>
      <xdr:blipFill>
        <a:blip xmlns:r="http://schemas.openxmlformats.org/officeDocument/2006/relationships" r:embed="rId1411"/>
        <a:stretch>
          <a:fillRect/>
        </a:stretch>
      </xdr:blipFill>
      <xdr:spPr>
        <a:xfrm>
          <a:off x="7264400" y="1839321950"/>
          <a:ext cx="878840" cy="1183640"/>
        </a:xfrm>
        <a:prstGeom prst="rect">
          <a:avLst/>
        </a:prstGeom>
      </xdr:spPr>
    </xdr:pic>
    <xdr:clientData/>
  </xdr:twoCellAnchor>
  <xdr:twoCellAnchor>
    <xdr:from>
      <xdr:col>8</xdr:col>
      <xdr:colOff>6350</xdr:colOff>
      <xdr:row>1855</xdr:row>
      <xdr:rowOff>25400</xdr:rowOff>
    </xdr:from>
    <xdr:to>
      <xdr:col>8</xdr:col>
      <xdr:colOff>885190</xdr:colOff>
      <xdr:row>1855</xdr:row>
      <xdr:rowOff>1209040</xdr:rowOff>
    </xdr:to>
    <xdr:pic>
      <xdr:nvPicPr>
        <xdr:cNvPr id="5661" name="Изображение 5660" descr="resizeПП-00271980"/>
        <xdr:cNvPicPr>
          <a:picLocks noChangeAspect="1"/>
        </xdr:cNvPicPr>
      </xdr:nvPicPr>
      <xdr:blipFill>
        <a:blip xmlns:r="http://schemas.openxmlformats.org/officeDocument/2006/relationships" r:embed="rId1412"/>
        <a:stretch>
          <a:fillRect/>
        </a:stretch>
      </xdr:blipFill>
      <xdr:spPr>
        <a:xfrm>
          <a:off x="7264400" y="1840696725"/>
          <a:ext cx="878840" cy="1183640"/>
        </a:xfrm>
        <a:prstGeom prst="rect">
          <a:avLst/>
        </a:prstGeom>
      </xdr:spPr>
    </xdr:pic>
    <xdr:clientData/>
  </xdr:twoCellAnchor>
  <xdr:twoCellAnchor>
    <xdr:from>
      <xdr:col>8</xdr:col>
      <xdr:colOff>6350</xdr:colOff>
      <xdr:row>1856</xdr:row>
      <xdr:rowOff>25400</xdr:rowOff>
    </xdr:from>
    <xdr:to>
      <xdr:col>8</xdr:col>
      <xdr:colOff>885190</xdr:colOff>
      <xdr:row>1856</xdr:row>
      <xdr:rowOff>1209040</xdr:rowOff>
    </xdr:to>
    <xdr:pic>
      <xdr:nvPicPr>
        <xdr:cNvPr id="5662" name="Изображение 5661" descr="resizeПП-00277858"/>
        <xdr:cNvPicPr>
          <a:picLocks noChangeAspect="1"/>
        </xdr:cNvPicPr>
      </xdr:nvPicPr>
      <xdr:blipFill>
        <a:blip xmlns:r="http://schemas.openxmlformats.org/officeDocument/2006/relationships" r:embed="rId1413"/>
        <a:stretch>
          <a:fillRect/>
        </a:stretch>
      </xdr:blipFill>
      <xdr:spPr>
        <a:xfrm>
          <a:off x="7264400" y="1841919100"/>
          <a:ext cx="878840" cy="1183640"/>
        </a:xfrm>
        <a:prstGeom prst="rect">
          <a:avLst/>
        </a:prstGeom>
      </xdr:spPr>
    </xdr:pic>
    <xdr:clientData/>
  </xdr:twoCellAnchor>
  <xdr:twoCellAnchor>
    <xdr:from>
      <xdr:col>8</xdr:col>
      <xdr:colOff>6350</xdr:colOff>
      <xdr:row>1857</xdr:row>
      <xdr:rowOff>25400</xdr:rowOff>
    </xdr:from>
    <xdr:to>
      <xdr:col>8</xdr:col>
      <xdr:colOff>885190</xdr:colOff>
      <xdr:row>1857</xdr:row>
      <xdr:rowOff>1209040</xdr:rowOff>
    </xdr:to>
    <xdr:pic>
      <xdr:nvPicPr>
        <xdr:cNvPr id="5663" name="Изображение 5662" descr="resizeПП-00277859"/>
        <xdr:cNvPicPr>
          <a:picLocks noChangeAspect="1"/>
        </xdr:cNvPicPr>
      </xdr:nvPicPr>
      <xdr:blipFill>
        <a:blip xmlns:r="http://schemas.openxmlformats.org/officeDocument/2006/relationships" r:embed="rId1414"/>
        <a:stretch>
          <a:fillRect/>
        </a:stretch>
      </xdr:blipFill>
      <xdr:spPr>
        <a:xfrm>
          <a:off x="7264400" y="1843141475"/>
          <a:ext cx="878840" cy="1183640"/>
        </a:xfrm>
        <a:prstGeom prst="rect">
          <a:avLst/>
        </a:prstGeom>
      </xdr:spPr>
    </xdr:pic>
    <xdr:clientData/>
  </xdr:twoCellAnchor>
  <xdr:twoCellAnchor>
    <xdr:from>
      <xdr:col>8</xdr:col>
      <xdr:colOff>6350</xdr:colOff>
      <xdr:row>1858</xdr:row>
      <xdr:rowOff>25400</xdr:rowOff>
    </xdr:from>
    <xdr:to>
      <xdr:col>8</xdr:col>
      <xdr:colOff>885190</xdr:colOff>
      <xdr:row>1858</xdr:row>
      <xdr:rowOff>1209040</xdr:rowOff>
    </xdr:to>
    <xdr:pic>
      <xdr:nvPicPr>
        <xdr:cNvPr id="5664" name="Изображение 5663" descr="resizeПП-00277860"/>
        <xdr:cNvPicPr>
          <a:picLocks noChangeAspect="1"/>
        </xdr:cNvPicPr>
      </xdr:nvPicPr>
      <xdr:blipFill>
        <a:blip xmlns:r="http://schemas.openxmlformats.org/officeDocument/2006/relationships" r:embed="rId1415"/>
        <a:stretch>
          <a:fillRect/>
        </a:stretch>
      </xdr:blipFill>
      <xdr:spPr>
        <a:xfrm>
          <a:off x="7264400" y="1844363850"/>
          <a:ext cx="878840" cy="1183640"/>
        </a:xfrm>
        <a:prstGeom prst="rect">
          <a:avLst/>
        </a:prstGeom>
      </xdr:spPr>
    </xdr:pic>
    <xdr:clientData/>
  </xdr:twoCellAnchor>
  <xdr:twoCellAnchor>
    <xdr:from>
      <xdr:col>8</xdr:col>
      <xdr:colOff>6350</xdr:colOff>
      <xdr:row>1861</xdr:row>
      <xdr:rowOff>25400</xdr:rowOff>
    </xdr:from>
    <xdr:to>
      <xdr:col>8</xdr:col>
      <xdr:colOff>885190</xdr:colOff>
      <xdr:row>1861</xdr:row>
      <xdr:rowOff>1209040</xdr:rowOff>
    </xdr:to>
    <xdr:pic>
      <xdr:nvPicPr>
        <xdr:cNvPr id="5665" name="Изображение 5664" descr="resizeПП-00227061"/>
        <xdr:cNvPicPr>
          <a:picLocks noChangeAspect="1"/>
        </xdr:cNvPicPr>
      </xdr:nvPicPr>
      <xdr:blipFill>
        <a:blip xmlns:r="http://schemas.openxmlformats.org/officeDocument/2006/relationships" r:embed="rId1416"/>
        <a:stretch>
          <a:fillRect/>
        </a:stretch>
      </xdr:blipFill>
      <xdr:spPr>
        <a:xfrm>
          <a:off x="7264400" y="1845891025"/>
          <a:ext cx="878840" cy="1183640"/>
        </a:xfrm>
        <a:prstGeom prst="rect">
          <a:avLst/>
        </a:prstGeom>
      </xdr:spPr>
    </xdr:pic>
    <xdr:clientData/>
  </xdr:twoCellAnchor>
  <xdr:twoCellAnchor>
    <xdr:from>
      <xdr:col>8</xdr:col>
      <xdr:colOff>6350</xdr:colOff>
      <xdr:row>1862</xdr:row>
      <xdr:rowOff>25400</xdr:rowOff>
    </xdr:from>
    <xdr:to>
      <xdr:col>8</xdr:col>
      <xdr:colOff>885190</xdr:colOff>
      <xdr:row>1862</xdr:row>
      <xdr:rowOff>1209040</xdr:rowOff>
    </xdr:to>
    <xdr:pic>
      <xdr:nvPicPr>
        <xdr:cNvPr id="5666" name="Изображение 5665" descr="resizeПП-00227055"/>
        <xdr:cNvPicPr>
          <a:picLocks noChangeAspect="1"/>
        </xdr:cNvPicPr>
      </xdr:nvPicPr>
      <xdr:blipFill>
        <a:blip xmlns:r="http://schemas.openxmlformats.org/officeDocument/2006/relationships" r:embed="rId1417"/>
        <a:stretch>
          <a:fillRect/>
        </a:stretch>
      </xdr:blipFill>
      <xdr:spPr>
        <a:xfrm>
          <a:off x="7264400" y="1847113400"/>
          <a:ext cx="878840" cy="1183640"/>
        </a:xfrm>
        <a:prstGeom prst="rect">
          <a:avLst/>
        </a:prstGeom>
      </xdr:spPr>
    </xdr:pic>
    <xdr:clientData/>
  </xdr:twoCellAnchor>
  <xdr:twoCellAnchor>
    <xdr:from>
      <xdr:col>8</xdr:col>
      <xdr:colOff>6350</xdr:colOff>
      <xdr:row>1863</xdr:row>
      <xdr:rowOff>25400</xdr:rowOff>
    </xdr:from>
    <xdr:to>
      <xdr:col>8</xdr:col>
      <xdr:colOff>885190</xdr:colOff>
      <xdr:row>1863</xdr:row>
      <xdr:rowOff>1209040</xdr:rowOff>
    </xdr:to>
    <xdr:pic>
      <xdr:nvPicPr>
        <xdr:cNvPr id="5667" name="Изображение 5666" descr="resizeПП-00227062"/>
        <xdr:cNvPicPr>
          <a:picLocks noChangeAspect="1"/>
        </xdr:cNvPicPr>
      </xdr:nvPicPr>
      <xdr:blipFill>
        <a:blip xmlns:r="http://schemas.openxmlformats.org/officeDocument/2006/relationships" r:embed="rId1418"/>
        <a:stretch>
          <a:fillRect/>
        </a:stretch>
      </xdr:blipFill>
      <xdr:spPr>
        <a:xfrm>
          <a:off x="7264400" y="1848335775"/>
          <a:ext cx="878840" cy="1183640"/>
        </a:xfrm>
        <a:prstGeom prst="rect">
          <a:avLst/>
        </a:prstGeom>
      </xdr:spPr>
    </xdr:pic>
    <xdr:clientData/>
  </xdr:twoCellAnchor>
  <xdr:twoCellAnchor>
    <xdr:from>
      <xdr:col>8</xdr:col>
      <xdr:colOff>6350</xdr:colOff>
      <xdr:row>1864</xdr:row>
      <xdr:rowOff>25400</xdr:rowOff>
    </xdr:from>
    <xdr:to>
      <xdr:col>8</xdr:col>
      <xdr:colOff>885190</xdr:colOff>
      <xdr:row>1864</xdr:row>
      <xdr:rowOff>1209040</xdr:rowOff>
    </xdr:to>
    <xdr:pic>
      <xdr:nvPicPr>
        <xdr:cNvPr id="5668" name="Изображение 5667" descr="resizeПП-00227057"/>
        <xdr:cNvPicPr>
          <a:picLocks noChangeAspect="1"/>
        </xdr:cNvPicPr>
      </xdr:nvPicPr>
      <xdr:blipFill>
        <a:blip xmlns:r="http://schemas.openxmlformats.org/officeDocument/2006/relationships" r:embed="rId1419"/>
        <a:stretch>
          <a:fillRect/>
        </a:stretch>
      </xdr:blipFill>
      <xdr:spPr>
        <a:xfrm>
          <a:off x="7264400" y="1849558150"/>
          <a:ext cx="878840" cy="1183640"/>
        </a:xfrm>
        <a:prstGeom prst="rect">
          <a:avLst/>
        </a:prstGeom>
      </xdr:spPr>
    </xdr:pic>
    <xdr:clientData/>
  </xdr:twoCellAnchor>
  <xdr:twoCellAnchor>
    <xdr:from>
      <xdr:col>8</xdr:col>
      <xdr:colOff>6350</xdr:colOff>
      <xdr:row>1865</xdr:row>
      <xdr:rowOff>25400</xdr:rowOff>
    </xdr:from>
    <xdr:to>
      <xdr:col>8</xdr:col>
      <xdr:colOff>885190</xdr:colOff>
      <xdr:row>1865</xdr:row>
      <xdr:rowOff>1209040</xdr:rowOff>
    </xdr:to>
    <xdr:pic>
      <xdr:nvPicPr>
        <xdr:cNvPr id="5669" name="Изображение 5668" descr="resizeПП-00186913"/>
        <xdr:cNvPicPr>
          <a:picLocks noChangeAspect="1"/>
        </xdr:cNvPicPr>
      </xdr:nvPicPr>
      <xdr:blipFill>
        <a:blip xmlns:r="http://schemas.openxmlformats.org/officeDocument/2006/relationships" r:embed="rId1420"/>
        <a:stretch>
          <a:fillRect/>
        </a:stretch>
      </xdr:blipFill>
      <xdr:spPr>
        <a:xfrm>
          <a:off x="7264400" y="1850780525"/>
          <a:ext cx="878840" cy="1183640"/>
        </a:xfrm>
        <a:prstGeom prst="rect">
          <a:avLst/>
        </a:prstGeom>
      </xdr:spPr>
    </xdr:pic>
    <xdr:clientData/>
  </xdr:twoCellAnchor>
  <xdr:twoCellAnchor>
    <xdr:from>
      <xdr:col>8</xdr:col>
      <xdr:colOff>6350</xdr:colOff>
      <xdr:row>1866</xdr:row>
      <xdr:rowOff>25400</xdr:rowOff>
    </xdr:from>
    <xdr:to>
      <xdr:col>8</xdr:col>
      <xdr:colOff>885190</xdr:colOff>
      <xdr:row>1866</xdr:row>
      <xdr:rowOff>1209040</xdr:rowOff>
    </xdr:to>
    <xdr:pic>
      <xdr:nvPicPr>
        <xdr:cNvPr id="5670" name="Изображение 5669" descr="resizeПП-00227058"/>
        <xdr:cNvPicPr>
          <a:picLocks noChangeAspect="1"/>
        </xdr:cNvPicPr>
      </xdr:nvPicPr>
      <xdr:blipFill>
        <a:blip xmlns:r="http://schemas.openxmlformats.org/officeDocument/2006/relationships" r:embed="rId1421"/>
        <a:stretch>
          <a:fillRect/>
        </a:stretch>
      </xdr:blipFill>
      <xdr:spPr>
        <a:xfrm>
          <a:off x="7264400" y="1852002900"/>
          <a:ext cx="878840" cy="1183640"/>
        </a:xfrm>
        <a:prstGeom prst="rect">
          <a:avLst/>
        </a:prstGeom>
      </xdr:spPr>
    </xdr:pic>
    <xdr:clientData/>
  </xdr:twoCellAnchor>
  <xdr:twoCellAnchor>
    <xdr:from>
      <xdr:col>8</xdr:col>
      <xdr:colOff>6350</xdr:colOff>
      <xdr:row>1867</xdr:row>
      <xdr:rowOff>25400</xdr:rowOff>
    </xdr:from>
    <xdr:to>
      <xdr:col>8</xdr:col>
      <xdr:colOff>885190</xdr:colOff>
      <xdr:row>1867</xdr:row>
      <xdr:rowOff>1209040</xdr:rowOff>
    </xdr:to>
    <xdr:pic>
      <xdr:nvPicPr>
        <xdr:cNvPr id="5671" name="Изображение 5670" descr="resizeПП-00227060"/>
        <xdr:cNvPicPr>
          <a:picLocks noChangeAspect="1"/>
        </xdr:cNvPicPr>
      </xdr:nvPicPr>
      <xdr:blipFill>
        <a:blip xmlns:r="http://schemas.openxmlformats.org/officeDocument/2006/relationships" r:embed="rId1422"/>
        <a:stretch>
          <a:fillRect/>
        </a:stretch>
      </xdr:blipFill>
      <xdr:spPr>
        <a:xfrm>
          <a:off x="7264400" y="1853225275"/>
          <a:ext cx="878840" cy="1183640"/>
        </a:xfrm>
        <a:prstGeom prst="rect">
          <a:avLst/>
        </a:prstGeom>
      </xdr:spPr>
    </xdr:pic>
    <xdr:clientData/>
  </xdr:twoCellAnchor>
  <xdr:twoCellAnchor>
    <xdr:from>
      <xdr:col>8</xdr:col>
      <xdr:colOff>6350</xdr:colOff>
      <xdr:row>1868</xdr:row>
      <xdr:rowOff>25400</xdr:rowOff>
    </xdr:from>
    <xdr:to>
      <xdr:col>8</xdr:col>
      <xdr:colOff>885190</xdr:colOff>
      <xdr:row>1868</xdr:row>
      <xdr:rowOff>1209040</xdr:rowOff>
    </xdr:to>
    <xdr:pic>
      <xdr:nvPicPr>
        <xdr:cNvPr id="5672" name="Изображение 5671" descr="resizeПП-00227059"/>
        <xdr:cNvPicPr>
          <a:picLocks noChangeAspect="1"/>
        </xdr:cNvPicPr>
      </xdr:nvPicPr>
      <xdr:blipFill>
        <a:blip xmlns:r="http://schemas.openxmlformats.org/officeDocument/2006/relationships" r:embed="rId1423"/>
        <a:stretch>
          <a:fillRect/>
        </a:stretch>
      </xdr:blipFill>
      <xdr:spPr>
        <a:xfrm>
          <a:off x="7264400" y="1854447650"/>
          <a:ext cx="878840" cy="1183640"/>
        </a:xfrm>
        <a:prstGeom prst="rect">
          <a:avLst/>
        </a:prstGeom>
      </xdr:spPr>
    </xdr:pic>
    <xdr:clientData/>
  </xdr:twoCellAnchor>
  <xdr:twoCellAnchor>
    <xdr:from>
      <xdr:col>8</xdr:col>
      <xdr:colOff>6350</xdr:colOff>
      <xdr:row>1870</xdr:row>
      <xdr:rowOff>25400</xdr:rowOff>
    </xdr:from>
    <xdr:to>
      <xdr:col>8</xdr:col>
      <xdr:colOff>885190</xdr:colOff>
      <xdr:row>1870</xdr:row>
      <xdr:rowOff>1209040</xdr:rowOff>
    </xdr:to>
    <xdr:pic>
      <xdr:nvPicPr>
        <xdr:cNvPr id="5673" name="Изображение 5672" descr="resizeПП-00154699"/>
        <xdr:cNvPicPr>
          <a:picLocks noChangeAspect="1"/>
        </xdr:cNvPicPr>
      </xdr:nvPicPr>
      <xdr:blipFill>
        <a:blip xmlns:r="http://schemas.openxmlformats.org/officeDocument/2006/relationships" r:embed="rId1424"/>
        <a:stretch>
          <a:fillRect/>
        </a:stretch>
      </xdr:blipFill>
      <xdr:spPr>
        <a:xfrm>
          <a:off x="7264400" y="1855822425"/>
          <a:ext cx="878840" cy="1183640"/>
        </a:xfrm>
        <a:prstGeom prst="rect">
          <a:avLst/>
        </a:prstGeom>
      </xdr:spPr>
    </xdr:pic>
    <xdr:clientData/>
  </xdr:twoCellAnchor>
  <xdr:twoCellAnchor>
    <xdr:from>
      <xdr:col>8</xdr:col>
      <xdr:colOff>6350</xdr:colOff>
      <xdr:row>1872</xdr:row>
      <xdr:rowOff>25400</xdr:rowOff>
    </xdr:from>
    <xdr:to>
      <xdr:col>8</xdr:col>
      <xdr:colOff>885190</xdr:colOff>
      <xdr:row>1872</xdr:row>
      <xdr:rowOff>1209040</xdr:rowOff>
    </xdr:to>
    <xdr:pic>
      <xdr:nvPicPr>
        <xdr:cNvPr id="5674" name="Изображение 5673" descr="resizeПП-00154701"/>
        <xdr:cNvPicPr>
          <a:picLocks noChangeAspect="1"/>
        </xdr:cNvPicPr>
      </xdr:nvPicPr>
      <xdr:blipFill>
        <a:blip xmlns:r="http://schemas.openxmlformats.org/officeDocument/2006/relationships" r:embed="rId1424"/>
        <a:stretch>
          <a:fillRect/>
        </a:stretch>
      </xdr:blipFill>
      <xdr:spPr>
        <a:xfrm>
          <a:off x="7264400" y="1857197200"/>
          <a:ext cx="878840" cy="1183640"/>
        </a:xfrm>
        <a:prstGeom prst="rect">
          <a:avLst/>
        </a:prstGeom>
      </xdr:spPr>
    </xdr:pic>
    <xdr:clientData/>
  </xdr:twoCellAnchor>
  <xdr:twoCellAnchor>
    <xdr:from>
      <xdr:col>8</xdr:col>
      <xdr:colOff>6350</xdr:colOff>
      <xdr:row>1873</xdr:row>
      <xdr:rowOff>25400</xdr:rowOff>
    </xdr:from>
    <xdr:to>
      <xdr:col>8</xdr:col>
      <xdr:colOff>885190</xdr:colOff>
      <xdr:row>1873</xdr:row>
      <xdr:rowOff>1209040</xdr:rowOff>
    </xdr:to>
    <xdr:pic>
      <xdr:nvPicPr>
        <xdr:cNvPr id="5675" name="Изображение 5674" descr="resizeПП-00186923"/>
        <xdr:cNvPicPr>
          <a:picLocks noChangeAspect="1"/>
        </xdr:cNvPicPr>
      </xdr:nvPicPr>
      <xdr:blipFill>
        <a:blip xmlns:r="http://schemas.openxmlformats.org/officeDocument/2006/relationships" r:embed="rId1425"/>
        <a:stretch>
          <a:fillRect/>
        </a:stretch>
      </xdr:blipFill>
      <xdr:spPr>
        <a:xfrm>
          <a:off x="7264400" y="1858419575"/>
          <a:ext cx="878840" cy="1183640"/>
        </a:xfrm>
        <a:prstGeom prst="rect">
          <a:avLst/>
        </a:prstGeom>
      </xdr:spPr>
    </xdr:pic>
    <xdr:clientData/>
  </xdr:twoCellAnchor>
  <xdr:twoCellAnchor>
    <xdr:from>
      <xdr:col>8</xdr:col>
      <xdr:colOff>6350</xdr:colOff>
      <xdr:row>1874</xdr:row>
      <xdr:rowOff>25400</xdr:rowOff>
    </xdr:from>
    <xdr:to>
      <xdr:col>8</xdr:col>
      <xdr:colOff>885190</xdr:colOff>
      <xdr:row>1874</xdr:row>
      <xdr:rowOff>1209040</xdr:rowOff>
    </xdr:to>
    <xdr:pic>
      <xdr:nvPicPr>
        <xdr:cNvPr id="5676" name="Изображение 5675" descr="resizeПП-00154684"/>
        <xdr:cNvPicPr>
          <a:picLocks noChangeAspect="1"/>
        </xdr:cNvPicPr>
      </xdr:nvPicPr>
      <xdr:blipFill>
        <a:blip xmlns:r="http://schemas.openxmlformats.org/officeDocument/2006/relationships" r:embed="rId1426"/>
        <a:stretch>
          <a:fillRect/>
        </a:stretch>
      </xdr:blipFill>
      <xdr:spPr>
        <a:xfrm>
          <a:off x="7264400" y="1859641950"/>
          <a:ext cx="878840" cy="1183640"/>
        </a:xfrm>
        <a:prstGeom prst="rect">
          <a:avLst/>
        </a:prstGeom>
      </xdr:spPr>
    </xdr:pic>
    <xdr:clientData/>
  </xdr:twoCellAnchor>
  <xdr:twoCellAnchor>
    <xdr:from>
      <xdr:col>8</xdr:col>
      <xdr:colOff>6350</xdr:colOff>
      <xdr:row>1875</xdr:row>
      <xdr:rowOff>25400</xdr:rowOff>
    </xdr:from>
    <xdr:to>
      <xdr:col>8</xdr:col>
      <xdr:colOff>885190</xdr:colOff>
      <xdr:row>1875</xdr:row>
      <xdr:rowOff>1209040</xdr:rowOff>
    </xdr:to>
    <xdr:pic>
      <xdr:nvPicPr>
        <xdr:cNvPr id="5677" name="Изображение 5676" descr="resizeПП-00154697"/>
        <xdr:cNvPicPr>
          <a:picLocks noChangeAspect="1"/>
        </xdr:cNvPicPr>
      </xdr:nvPicPr>
      <xdr:blipFill>
        <a:blip xmlns:r="http://schemas.openxmlformats.org/officeDocument/2006/relationships" r:embed="rId1427"/>
        <a:stretch>
          <a:fillRect/>
        </a:stretch>
      </xdr:blipFill>
      <xdr:spPr>
        <a:xfrm>
          <a:off x="7264400" y="1860864325"/>
          <a:ext cx="878840" cy="1183640"/>
        </a:xfrm>
        <a:prstGeom prst="rect">
          <a:avLst/>
        </a:prstGeom>
      </xdr:spPr>
    </xdr:pic>
    <xdr:clientData/>
  </xdr:twoCellAnchor>
  <xdr:twoCellAnchor>
    <xdr:from>
      <xdr:col>8</xdr:col>
      <xdr:colOff>6350</xdr:colOff>
      <xdr:row>1876</xdr:row>
      <xdr:rowOff>25400</xdr:rowOff>
    </xdr:from>
    <xdr:to>
      <xdr:col>8</xdr:col>
      <xdr:colOff>885190</xdr:colOff>
      <xdr:row>1876</xdr:row>
      <xdr:rowOff>1209040</xdr:rowOff>
    </xdr:to>
    <xdr:pic>
      <xdr:nvPicPr>
        <xdr:cNvPr id="5678" name="Изображение 5677" descr="resizeПП-00186922"/>
        <xdr:cNvPicPr>
          <a:picLocks noChangeAspect="1"/>
        </xdr:cNvPicPr>
      </xdr:nvPicPr>
      <xdr:blipFill>
        <a:blip xmlns:r="http://schemas.openxmlformats.org/officeDocument/2006/relationships" r:embed="rId1428"/>
        <a:stretch>
          <a:fillRect/>
        </a:stretch>
      </xdr:blipFill>
      <xdr:spPr>
        <a:xfrm>
          <a:off x="7264400" y="1862086700"/>
          <a:ext cx="878840" cy="1183640"/>
        </a:xfrm>
        <a:prstGeom prst="rect">
          <a:avLst/>
        </a:prstGeom>
      </xdr:spPr>
    </xdr:pic>
    <xdr:clientData/>
  </xdr:twoCellAnchor>
  <xdr:twoCellAnchor>
    <xdr:from>
      <xdr:col>8</xdr:col>
      <xdr:colOff>6350</xdr:colOff>
      <xdr:row>1877</xdr:row>
      <xdr:rowOff>25400</xdr:rowOff>
    </xdr:from>
    <xdr:to>
      <xdr:col>8</xdr:col>
      <xdr:colOff>885190</xdr:colOff>
      <xdr:row>1877</xdr:row>
      <xdr:rowOff>1209040</xdr:rowOff>
    </xdr:to>
    <xdr:pic>
      <xdr:nvPicPr>
        <xdr:cNvPr id="5679" name="Изображение 5678" descr="resizeПП-00154686"/>
        <xdr:cNvPicPr>
          <a:picLocks noChangeAspect="1"/>
        </xdr:cNvPicPr>
      </xdr:nvPicPr>
      <xdr:blipFill>
        <a:blip xmlns:r="http://schemas.openxmlformats.org/officeDocument/2006/relationships" r:embed="rId1429"/>
        <a:stretch>
          <a:fillRect/>
        </a:stretch>
      </xdr:blipFill>
      <xdr:spPr>
        <a:xfrm>
          <a:off x="7264400" y="1863309075"/>
          <a:ext cx="878840" cy="1183640"/>
        </a:xfrm>
        <a:prstGeom prst="rect">
          <a:avLst/>
        </a:prstGeom>
      </xdr:spPr>
    </xdr:pic>
    <xdr:clientData/>
  </xdr:twoCellAnchor>
  <xdr:twoCellAnchor>
    <xdr:from>
      <xdr:col>8</xdr:col>
      <xdr:colOff>6350</xdr:colOff>
      <xdr:row>1879</xdr:row>
      <xdr:rowOff>25400</xdr:rowOff>
    </xdr:from>
    <xdr:to>
      <xdr:col>8</xdr:col>
      <xdr:colOff>885190</xdr:colOff>
      <xdr:row>1879</xdr:row>
      <xdr:rowOff>1209040</xdr:rowOff>
    </xdr:to>
    <xdr:pic>
      <xdr:nvPicPr>
        <xdr:cNvPr id="5680" name="Изображение 5679" descr="resizeПП-00154702"/>
        <xdr:cNvPicPr>
          <a:picLocks noChangeAspect="1"/>
        </xdr:cNvPicPr>
      </xdr:nvPicPr>
      <xdr:blipFill>
        <a:blip xmlns:r="http://schemas.openxmlformats.org/officeDocument/2006/relationships" r:embed="rId1430"/>
        <a:stretch>
          <a:fillRect/>
        </a:stretch>
      </xdr:blipFill>
      <xdr:spPr>
        <a:xfrm>
          <a:off x="7264400" y="1864683850"/>
          <a:ext cx="878840" cy="1183640"/>
        </a:xfrm>
        <a:prstGeom prst="rect">
          <a:avLst/>
        </a:prstGeom>
      </xdr:spPr>
    </xdr:pic>
    <xdr:clientData/>
  </xdr:twoCellAnchor>
  <xdr:twoCellAnchor>
    <xdr:from>
      <xdr:col>8</xdr:col>
      <xdr:colOff>6350</xdr:colOff>
      <xdr:row>1880</xdr:row>
      <xdr:rowOff>25400</xdr:rowOff>
    </xdr:from>
    <xdr:to>
      <xdr:col>8</xdr:col>
      <xdr:colOff>885190</xdr:colOff>
      <xdr:row>1880</xdr:row>
      <xdr:rowOff>1209040</xdr:rowOff>
    </xdr:to>
    <xdr:pic>
      <xdr:nvPicPr>
        <xdr:cNvPr id="5681" name="Изображение 5680" descr="resizeПП-00154685"/>
        <xdr:cNvPicPr>
          <a:picLocks noChangeAspect="1"/>
        </xdr:cNvPicPr>
      </xdr:nvPicPr>
      <xdr:blipFill>
        <a:blip xmlns:r="http://schemas.openxmlformats.org/officeDocument/2006/relationships" r:embed="rId1431"/>
        <a:stretch>
          <a:fillRect/>
        </a:stretch>
      </xdr:blipFill>
      <xdr:spPr>
        <a:xfrm>
          <a:off x="7264400" y="1865906225"/>
          <a:ext cx="878840" cy="1183640"/>
        </a:xfrm>
        <a:prstGeom prst="rect">
          <a:avLst/>
        </a:prstGeom>
      </xdr:spPr>
    </xdr:pic>
    <xdr:clientData/>
  </xdr:twoCellAnchor>
  <xdr:twoCellAnchor>
    <xdr:from>
      <xdr:col>8</xdr:col>
      <xdr:colOff>6350</xdr:colOff>
      <xdr:row>1881</xdr:row>
      <xdr:rowOff>25400</xdr:rowOff>
    </xdr:from>
    <xdr:to>
      <xdr:col>8</xdr:col>
      <xdr:colOff>885190</xdr:colOff>
      <xdr:row>1881</xdr:row>
      <xdr:rowOff>1209040</xdr:rowOff>
    </xdr:to>
    <xdr:pic>
      <xdr:nvPicPr>
        <xdr:cNvPr id="5682" name="Изображение 5681" descr="resizeПП-00186924"/>
        <xdr:cNvPicPr>
          <a:picLocks noChangeAspect="1"/>
        </xdr:cNvPicPr>
      </xdr:nvPicPr>
      <xdr:blipFill>
        <a:blip xmlns:r="http://schemas.openxmlformats.org/officeDocument/2006/relationships" r:embed="rId1432"/>
        <a:stretch>
          <a:fillRect/>
        </a:stretch>
      </xdr:blipFill>
      <xdr:spPr>
        <a:xfrm>
          <a:off x="7264400" y="1867128600"/>
          <a:ext cx="878840" cy="1183640"/>
        </a:xfrm>
        <a:prstGeom prst="rect">
          <a:avLst/>
        </a:prstGeom>
      </xdr:spPr>
    </xdr:pic>
    <xdr:clientData/>
  </xdr:twoCellAnchor>
  <xdr:twoCellAnchor>
    <xdr:from>
      <xdr:col>8</xdr:col>
      <xdr:colOff>6350</xdr:colOff>
      <xdr:row>1882</xdr:row>
      <xdr:rowOff>25400</xdr:rowOff>
    </xdr:from>
    <xdr:to>
      <xdr:col>8</xdr:col>
      <xdr:colOff>885190</xdr:colOff>
      <xdr:row>1882</xdr:row>
      <xdr:rowOff>1209040</xdr:rowOff>
    </xdr:to>
    <xdr:pic>
      <xdr:nvPicPr>
        <xdr:cNvPr id="5683" name="Изображение 5682" descr="resizeПП-00186915"/>
        <xdr:cNvPicPr>
          <a:picLocks noChangeAspect="1"/>
        </xdr:cNvPicPr>
      </xdr:nvPicPr>
      <xdr:blipFill>
        <a:blip xmlns:r="http://schemas.openxmlformats.org/officeDocument/2006/relationships" r:embed="rId1433"/>
        <a:stretch>
          <a:fillRect/>
        </a:stretch>
      </xdr:blipFill>
      <xdr:spPr>
        <a:xfrm>
          <a:off x="7264400" y="1868350975"/>
          <a:ext cx="878840" cy="1183640"/>
        </a:xfrm>
        <a:prstGeom prst="rect">
          <a:avLst/>
        </a:prstGeom>
      </xdr:spPr>
    </xdr:pic>
    <xdr:clientData/>
  </xdr:twoCellAnchor>
  <xdr:twoCellAnchor>
    <xdr:from>
      <xdr:col>8</xdr:col>
      <xdr:colOff>6350</xdr:colOff>
      <xdr:row>1885</xdr:row>
      <xdr:rowOff>25400</xdr:rowOff>
    </xdr:from>
    <xdr:to>
      <xdr:col>8</xdr:col>
      <xdr:colOff>885190</xdr:colOff>
      <xdr:row>1885</xdr:row>
      <xdr:rowOff>1209040</xdr:rowOff>
    </xdr:to>
    <xdr:pic>
      <xdr:nvPicPr>
        <xdr:cNvPr id="5684" name="Изображение 5683" descr="resizeПП-00256350"/>
        <xdr:cNvPicPr>
          <a:picLocks noChangeAspect="1"/>
        </xdr:cNvPicPr>
      </xdr:nvPicPr>
      <xdr:blipFill>
        <a:blip xmlns:r="http://schemas.openxmlformats.org/officeDocument/2006/relationships" r:embed="rId1434"/>
        <a:stretch>
          <a:fillRect/>
        </a:stretch>
      </xdr:blipFill>
      <xdr:spPr>
        <a:xfrm>
          <a:off x="7264400" y="1869878150"/>
          <a:ext cx="878840" cy="1183640"/>
        </a:xfrm>
        <a:prstGeom prst="rect">
          <a:avLst/>
        </a:prstGeom>
      </xdr:spPr>
    </xdr:pic>
    <xdr:clientData/>
  </xdr:twoCellAnchor>
  <xdr:twoCellAnchor>
    <xdr:from>
      <xdr:col>8</xdr:col>
      <xdr:colOff>6350</xdr:colOff>
      <xdr:row>1886</xdr:row>
      <xdr:rowOff>25400</xdr:rowOff>
    </xdr:from>
    <xdr:to>
      <xdr:col>8</xdr:col>
      <xdr:colOff>885190</xdr:colOff>
      <xdr:row>1886</xdr:row>
      <xdr:rowOff>1209040</xdr:rowOff>
    </xdr:to>
    <xdr:pic>
      <xdr:nvPicPr>
        <xdr:cNvPr id="5685" name="Изображение 5684" descr="resizeПП-00256353"/>
        <xdr:cNvPicPr>
          <a:picLocks noChangeAspect="1"/>
        </xdr:cNvPicPr>
      </xdr:nvPicPr>
      <xdr:blipFill>
        <a:blip xmlns:r="http://schemas.openxmlformats.org/officeDocument/2006/relationships" r:embed="rId1435"/>
        <a:stretch>
          <a:fillRect/>
        </a:stretch>
      </xdr:blipFill>
      <xdr:spPr>
        <a:xfrm>
          <a:off x="7264400" y="1871100525"/>
          <a:ext cx="878840" cy="1183640"/>
        </a:xfrm>
        <a:prstGeom prst="rect">
          <a:avLst/>
        </a:prstGeom>
      </xdr:spPr>
    </xdr:pic>
    <xdr:clientData/>
  </xdr:twoCellAnchor>
  <xdr:twoCellAnchor>
    <xdr:from>
      <xdr:col>8</xdr:col>
      <xdr:colOff>6350</xdr:colOff>
      <xdr:row>1887</xdr:row>
      <xdr:rowOff>25400</xdr:rowOff>
    </xdr:from>
    <xdr:to>
      <xdr:col>8</xdr:col>
      <xdr:colOff>885190</xdr:colOff>
      <xdr:row>1887</xdr:row>
      <xdr:rowOff>1209040</xdr:rowOff>
    </xdr:to>
    <xdr:pic>
      <xdr:nvPicPr>
        <xdr:cNvPr id="5686" name="Изображение 5685" descr="resizeПП-00256354"/>
        <xdr:cNvPicPr>
          <a:picLocks noChangeAspect="1"/>
        </xdr:cNvPicPr>
      </xdr:nvPicPr>
      <xdr:blipFill>
        <a:blip xmlns:r="http://schemas.openxmlformats.org/officeDocument/2006/relationships" r:embed="rId1436"/>
        <a:stretch>
          <a:fillRect/>
        </a:stretch>
      </xdr:blipFill>
      <xdr:spPr>
        <a:xfrm>
          <a:off x="7264400" y="1872322900"/>
          <a:ext cx="878840" cy="1183640"/>
        </a:xfrm>
        <a:prstGeom prst="rect">
          <a:avLst/>
        </a:prstGeom>
      </xdr:spPr>
    </xdr:pic>
    <xdr:clientData/>
  </xdr:twoCellAnchor>
  <xdr:twoCellAnchor>
    <xdr:from>
      <xdr:col>8</xdr:col>
      <xdr:colOff>6350</xdr:colOff>
      <xdr:row>1888</xdr:row>
      <xdr:rowOff>25400</xdr:rowOff>
    </xdr:from>
    <xdr:to>
      <xdr:col>8</xdr:col>
      <xdr:colOff>885190</xdr:colOff>
      <xdr:row>1888</xdr:row>
      <xdr:rowOff>1209040</xdr:rowOff>
    </xdr:to>
    <xdr:pic>
      <xdr:nvPicPr>
        <xdr:cNvPr id="5687" name="Изображение 5686" descr="resizeПП-00256356"/>
        <xdr:cNvPicPr>
          <a:picLocks noChangeAspect="1"/>
        </xdr:cNvPicPr>
      </xdr:nvPicPr>
      <xdr:blipFill>
        <a:blip xmlns:r="http://schemas.openxmlformats.org/officeDocument/2006/relationships" r:embed="rId1437"/>
        <a:stretch>
          <a:fillRect/>
        </a:stretch>
      </xdr:blipFill>
      <xdr:spPr>
        <a:xfrm>
          <a:off x="7264400" y="1873545275"/>
          <a:ext cx="878840" cy="1183640"/>
        </a:xfrm>
        <a:prstGeom prst="rect">
          <a:avLst/>
        </a:prstGeom>
      </xdr:spPr>
    </xdr:pic>
    <xdr:clientData/>
  </xdr:twoCellAnchor>
  <xdr:twoCellAnchor>
    <xdr:from>
      <xdr:col>8</xdr:col>
      <xdr:colOff>6350</xdr:colOff>
      <xdr:row>1890</xdr:row>
      <xdr:rowOff>25400</xdr:rowOff>
    </xdr:from>
    <xdr:to>
      <xdr:col>8</xdr:col>
      <xdr:colOff>885190</xdr:colOff>
      <xdr:row>1890</xdr:row>
      <xdr:rowOff>1209040</xdr:rowOff>
    </xdr:to>
    <xdr:pic>
      <xdr:nvPicPr>
        <xdr:cNvPr id="5688" name="Изображение 5687" descr="resizeПП-00256361"/>
        <xdr:cNvPicPr>
          <a:picLocks noChangeAspect="1"/>
        </xdr:cNvPicPr>
      </xdr:nvPicPr>
      <xdr:blipFill>
        <a:blip xmlns:r="http://schemas.openxmlformats.org/officeDocument/2006/relationships" r:embed="rId1438"/>
        <a:stretch>
          <a:fillRect/>
        </a:stretch>
      </xdr:blipFill>
      <xdr:spPr>
        <a:xfrm>
          <a:off x="7264400" y="1874920050"/>
          <a:ext cx="878840" cy="1183640"/>
        </a:xfrm>
        <a:prstGeom prst="rect">
          <a:avLst/>
        </a:prstGeom>
      </xdr:spPr>
    </xdr:pic>
    <xdr:clientData/>
  </xdr:twoCellAnchor>
  <xdr:twoCellAnchor>
    <xdr:from>
      <xdr:col>8</xdr:col>
      <xdr:colOff>6350</xdr:colOff>
      <xdr:row>1891</xdr:row>
      <xdr:rowOff>25400</xdr:rowOff>
    </xdr:from>
    <xdr:to>
      <xdr:col>8</xdr:col>
      <xdr:colOff>885190</xdr:colOff>
      <xdr:row>1891</xdr:row>
      <xdr:rowOff>1209040</xdr:rowOff>
    </xdr:to>
    <xdr:pic>
      <xdr:nvPicPr>
        <xdr:cNvPr id="5689" name="Изображение 5688" descr="resizeПП-00256360"/>
        <xdr:cNvPicPr>
          <a:picLocks noChangeAspect="1"/>
        </xdr:cNvPicPr>
      </xdr:nvPicPr>
      <xdr:blipFill>
        <a:blip xmlns:r="http://schemas.openxmlformats.org/officeDocument/2006/relationships" r:embed="rId1381"/>
        <a:stretch>
          <a:fillRect/>
        </a:stretch>
      </xdr:blipFill>
      <xdr:spPr>
        <a:xfrm>
          <a:off x="7264400" y="1876142425"/>
          <a:ext cx="878840" cy="1183640"/>
        </a:xfrm>
        <a:prstGeom prst="rect">
          <a:avLst/>
        </a:prstGeom>
      </xdr:spPr>
    </xdr:pic>
    <xdr:clientData/>
  </xdr:twoCellAnchor>
  <xdr:twoCellAnchor>
    <xdr:from>
      <xdr:col>8</xdr:col>
      <xdr:colOff>6350</xdr:colOff>
      <xdr:row>1892</xdr:row>
      <xdr:rowOff>25400</xdr:rowOff>
    </xdr:from>
    <xdr:to>
      <xdr:col>8</xdr:col>
      <xdr:colOff>885190</xdr:colOff>
      <xdr:row>1892</xdr:row>
      <xdr:rowOff>1209040</xdr:rowOff>
    </xdr:to>
    <xdr:pic>
      <xdr:nvPicPr>
        <xdr:cNvPr id="5690" name="Изображение 5689" descr="resizeПП-00256362"/>
        <xdr:cNvPicPr>
          <a:picLocks noChangeAspect="1"/>
        </xdr:cNvPicPr>
      </xdr:nvPicPr>
      <xdr:blipFill>
        <a:blip xmlns:r="http://schemas.openxmlformats.org/officeDocument/2006/relationships" r:embed="rId1439"/>
        <a:stretch>
          <a:fillRect/>
        </a:stretch>
      </xdr:blipFill>
      <xdr:spPr>
        <a:xfrm>
          <a:off x="7264400" y="1877364800"/>
          <a:ext cx="878840" cy="1183640"/>
        </a:xfrm>
        <a:prstGeom prst="rect">
          <a:avLst/>
        </a:prstGeom>
      </xdr:spPr>
    </xdr:pic>
    <xdr:clientData/>
  </xdr:twoCellAnchor>
  <xdr:twoCellAnchor>
    <xdr:from>
      <xdr:col>8</xdr:col>
      <xdr:colOff>6350</xdr:colOff>
      <xdr:row>1893</xdr:row>
      <xdr:rowOff>25400</xdr:rowOff>
    </xdr:from>
    <xdr:to>
      <xdr:col>8</xdr:col>
      <xdr:colOff>885190</xdr:colOff>
      <xdr:row>1893</xdr:row>
      <xdr:rowOff>1209040</xdr:rowOff>
    </xdr:to>
    <xdr:pic>
      <xdr:nvPicPr>
        <xdr:cNvPr id="5691" name="Изображение 5690" descr="resizeПП-00256363"/>
        <xdr:cNvPicPr>
          <a:picLocks noChangeAspect="1"/>
        </xdr:cNvPicPr>
      </xdr:nvPicPr>
      <xdr:blipFill>
        <a:blip xmlns:r="http://schemas.openxmlformats.org/officeDocument/2006/relationships" r:embed="rId1440"/>
        <a:stretch>
          <a:fillRect/>
        </a:stretch>
      </xdr:blipFill>
      <xdr:spPr>
        <a:xfrm>
          <a:off x="7264400" y="1878587175"/>
          <a:ext cx="878840" cy="1183640"/>
        </a:xfrm>
        <a:prstGeom prst="rect">
          <a:avLst/>
        </a:prstGeom>
      </xdr:spPr>
    </xdr:pic>
    <xdr:clientData/>
  </xdr:twoCellAnchor>
  <xdr:twoCellAnchor>
    <xdr:from>
      <xdr:col>8</xdr:col>
      <xdr:colOff>6350</xdr:colOff>
      <xdr:row>1895</xdr:row>
      <xdr:rowOff>25400</xdr:rowOff>
    </xdr:from>
    <xdr:to>
      <xdr:col>8</xdr:col>
      <xdr:colOff>885190</xdr:colOff>
      <xdr:row>1895</xdr:row>
      <xdr:rowOff>1209040</xdr:rowOff>
    </xdr:to>
    <xdr:pic>
      <xdr:nvPicPr>
        <xdr:cNvPr id="5692" name="Изображение 5691" descr="resizeПП-00256357"/>
        <xdr:cNvPicPr>
          <a:picLocks noChangeAspect="1"/>
        </xdr:cNvPicPr>
      </xdr:nvPicPr>
      <xdr:blipFill>
        <a:blip xmlns:r="http://schemas.openxmlformats.org/officeDocument/2006/relationships" r:embed="rId1441"/>
        <a:stretch>
          <a:fillRect/>
        </a:stretch>
      </xdr:blipFill>
      <xdr:spPr>
        <a:xfrm>
          <a:off x="7264400" y="1879961950"/>
          <a:ext cx="878840" cy="1183640"/>
        </a:xfrm>
        <a:prstGeom prst="rect">
          <a:avLst/>
        </a:prstGeom>
      </xdr:spPr>
    </xdr:pic>
    <xdr:clientData/>
  </xdr:twoCellAnchor>
  <xdr:twoCellAnchor>
    <xdr:from>
      <xdr:col>8</xdr:col>
      <xdr:colOff>6350</xdr:colOff>
      <xdr:row>1896</xdr:row>
      <xdr:rowOff>25400</xdr:rowOff>
    </xdr:from>
    <xdr:to>
      <xdr:col>8</xdr:col>
      <xdr:colOff>885190</xdr:colOff>
      <xdr:row>1896</xdr:row>
      <xdr:rowOff>1209040</xdr:rowOff>
    </xdr:to>
    <xdr:pic>
      <xdr:nvPicPr>
        <xdr:cNvPr id="5693" name="Изображение 5692" descr="resizeПП-00256358"/>
        <xdr:cNvPicPr>
          <a:picLocks noChangeAspect="1"/>
        </xdr:cNvPicPr>
      </xdr:nvPicPr>
      <xdr:blipFill>
        <a:blip xmlns:r="http://schemas.openxmlformats.org/officeDocument/2006/relationships" r:embed="rId1442"/>
        <a:stretch>
          <a:fillRect/>
        </a:stretch>
      </xdr:blipFill>
      <xdr:spPr>
        <a:xfrm>
          <a:off x="7264400" y="1881184325"/>
          <a:ext cx="878840" cy="1183640"/>
        </a:xfrm>
        <a:prstGeom prst="rect">
          <a:avLst/>
        </a:prstGeom>
      </xdr:spPr>
    </xdr:pic>
    <xdr:clientData/>
  </xdr:twoCellAnchor>
  <xdr:twoCellAnchor>
    <xdr:from>
      <xdr:col>8</xdr:col>
      <xdr:colOff>6350</xdr:colOff>
      <xdr:row>1898</xdr:row>
      <xdr:rowOff>25400</xdr:rowOff>
    </xdr:from>
    <xdr:to>
      <xdr:col>8</xdr:col>
      <xdr:colOff>885190</xdr:colOff>
      <xdr:row>1898</xdr:row>
      <xdr:rowOff>1209040</xdr:rowOff>
    </xdr:to>
    <xdr:pic>
      <xdr:nvPicPr>
        <xdr:cNvPr id="5694" name="Изображение 5693" descr="resizeПП-00229518"/>
        <xdr:cNvPicPr>
          <a:picLocks noChangeAspect="1"/>
        </xdr:cNvPicPr>
      </xdr:nvPicPr>
      <xdr:blipFill>
        <a:blip xmlns:r="http://schemas.openxmlformats.org/officeDocument/2006/relationships" r:embed="rId1443"/>
        <a:stretch>
          <a:fillRect/>
        </a:stretch>
      </xdr:blipFill>
      <xdr:spPr>
        <a:xfrm>
          <a:off x="7264400" y="1882559100"/>
          <a:ext cx="878840" cy="1183640"/>
        </a:xfrm>
        <a:prstGeom prst="rect">
          <a:avLst/>
        </a:prstGeom>
      </xdr:spPr>
    </xdr:pic>
    <xdr:clientData/>
  </xdr:twoCellAnchor>
  <xdr:twoCellAnchor>
    <xdr:from>
      <xdr:col>8</xdr:col>
      <xdr:colOff>6350</xdr:colOff>
      <xdr:row>1901</xdr:row>
      <xdr:rowOff>25400</xdr:rowOff>
    </xdr:from>
    <xdr:to>
      <xdr:col>8</xdr:col>
      <xdr:colOff>885190</xdr:colOff>
      <xdr:row>1901</xdr:row>
      <xdr:rowOff>1209040</xdr:rowOff>
    </xdr:to>
    <xdr:pic>
      <xdr:nvPicPr>
        <xdr:cNvPr id="5695" name="Изображение 5694" descr="resizeПП-00269095"/>
        <xdr:cNvPicPr>
          <a:picLocks noChangeAspect="1"/>
        </xdr:cNvPicPr>
      </xdr:nvPicPr>
      <xdr:blipFill>
        <a:blip xmlns:r="http://schemas.openxmlformats.org/officeDocument/2006/relationships" r:embed="rId1444"/>
        <a:stretch>
          <a:fillRect/>
        </a:stretch>
      </xdr:blipFill>
      <xdr:spPr>
        <a:xfrm>
          <a:off x="7264400" y="1884086275"/>
          <a:ext cx="878840" cy="1183640"/>
        </a:xfrm>
        <a:prstGeom prst="rect">
          <a:avLst/>
        </a:prstGeom>
      </xdr:spPr>
    </xdr:pic>
    <xdr:clientData/>
  </xdr:twoCellAnchor>
  <xdr:twoCellAnchor>
    <xdr:from>
      <xdr:col>8</xdr:col>
      <xdr:colOff>6350</xdr:colOff>
      <xdr:row>1903</xdr:row>
      <xdr:rowOff>25400</xdr:rowOff>
    </xdr:from>
    <xdr:to>
      <xdr:col>8</xdr:col>
      <xdr:colOff>885190</xdr:colOff>
      <xdr:row>1903</xdr:row>
      <xdr:rowOff>1209040</xdr:rowOff>
    </xdr:to>
    <xdr:pic>
      <xdr:nvPicPr>
        <xdr:cNvPr id="5696" name="Изображение 5695" descr="resizeПП-00277190"/>
        <xdr:cNvPicPr>
          <a:picLocks noChangeAspect="1"/>
        </xdr:cNvPicPr>
      </xdr:nvPicPr>
      <xdr:blipFill>
        <a:blip xmlns:r="http://schemas.openxmlformats.org/officeDocument/2006/relationships" r:embed="rId1445"/>
        <a:stretch>
          <a:fillRect/>
        </a:stretch>
      </xdr:blipFill>
      <xdr:spPr>
        <a:xfrm>
          <a:off x="7264400" y="1885461050"/>
          <a:ext cx="878840" cy="1183640"/>
        </a:xfrm>
        <a:prstGeom prst="rect">
          <a:avLst/>
        </a:prstGeom>
      </xdr:spPr>
    </xdr:pic>
    <xdr:clientData/>
  </xdr:twoCellAnchor>
  <xdr:twoCellAnchor>
    <xdr:from>
      <xdr:col>8</xdr:col>
      <xdr:colOff>6350</xdr:colOff>
      <xdr:row>1904</xdr:row>
      <xdr:rowOff>25400</xdr:rowOff>
    </xdr:from>
    <xdr:to>
      <xdr:col>8</xdr:col>
      <xdr:colOff>885190</xdr:colOff>
      <xdr:row>1904</xdr:row>
      <xdr:rowOff>1209040</xdr:rowOff>
    </xdr:to>
    <xdr:pic>
      <xdr:nvPicPr>
        <xdr:cNvPr id="5697" name="Изображение 5696" descr="resizeПП-00277191"/>
        <xdr:cNvPicPr>
          <a:picLocks noChangeAspect="1"/>
        </xdr:cNvPicPr>
      </xdr:nvPicPr>
      <xdr:blipFill>
        <a:blip xmlns:r="http://schemas.openxmlformats.org/officeDocument/2006/relationships" r:embed="rId1446"/>
        <a:stretch>
          <a:fillRect/>
        </a:stretch>
      </xdr:blipFill>
      <xdr:spPr>
        <a:xfrm>
          <a:off x="7264400" y="1886683425"/>
          <a:ext cx="878840" cy="1183640"/>
        </a:xfrm>
        <a:prstGeom prst="rect">
          <a:avLst/>
        </a:prstGeom>
      </xdr:spPr>
    </xdr:pic>
    <xdr:clientData/>
  </xdr:twoCellAnchor>
  <xdr:twoCellAnchor>
    <xdr:from>
      <xdr:col>8</xdr:col>
      <xdr:colOff>6350</xdr:colOff>
      <xdr:row>1905</xdr:row>
      <xdr:rowOff>25400</xdr:rowOff>
    </xdr:from>
    <xdr:to>
      <xdr:col>8</xdr:col>
      <xdr:colOff>885190</xdr:colOff>
      <xdr:row>1905</xdr:row>
      <xdr:rowOff>1209040</xdr:rowOff>
    </xdr:to>
    <xdr:pic>
      <xdr:nvPicPr>
        <xdr:cNvPr id="5698" name="Изображение 5697" descr="resizeПП-00277195"/>
        <xdr:cNvPicPr>
          <a:picLocks noChangeAspect="1"/>
        </xdr:cNvPicPr>
      </xdr:nvPicPr>
      <xdr:blipFill>
        <a:blip xmlns:r="http://schemas.openxmlformats.org/officeDocument/2006/relationships" r:embed="rId1447"/>
        <a:stretch>
          <a:fillRect/>
        </a:stretch>
      </xdr:blipFill>
      <xdr:spPr>
        <a:xfrm>
          <a:off x="7264400" y="1887905800"/>
          <a:ext cx="878840" cy="1183640"/>
        </a:xfrm>
        <a:prstGeom prst="rect">
          <a:avLst/>
        </a:prstGeom>
      </xdr:spPr>
    </xdr:pic>
    <xdr:clientData/>
  </xdr:twoCellAnchor>
  <xdr:twoCellAnchor>
    <xdr:from>
      <xdr:col>8</xdr:col>
      <xdr:colOff>6350</xdr:colOff>
      <xdr:row>1906</xdr:row>
      <xdr:rowOff>25400</xdr:rowOff>
    </xdr:from>
    <xdr:to>
      <xdr:col>8</xdr:col>
      <xdr:colOff>885190</xdr:colOff>
      <xdr:row>1906</xdr:row>
      <xdr:rowOff>1209040</xdr:rowOff>
    </xdr:to>
    <xdr:pic>
      <xdr:nvPicPr>
        <xdr:cNvPr id="5699" name="Изображение 5698" descr="resizeПП-00277192"/>
        <xdr:cNvPicPr>
          <a:picLocks noChangeAspect="1"/>
        </xdr:cNvPicPr>
      </xdr:nvPicPr>
      <xdr:blipFill>
        <a:blip xmlns:r="http://schemas.openxmlformats.org/officeDocument/2006/relationships" r:embed="rId1448"/>
        <a:stretch>
          <a:fillRect/>
        </a:stretch>
      </xdr:blipFill>
      <xdr:spPr>
        <a:xfrm>
          <a:off x="7264400" y="1889128175"/>
          <a:ext cx="878840" cy="1183640"/>
        </a:xfrm>
        <a:prstGeom prst="rect">
          <a:avLst/>
        </a:prstGeom>
      </xdr:spPr>
    </xdr:pic>
    <xdr:clientData/>
  </xdr:twoCellAnchor>
  <xdr:twoCellAnchor>
    <xdr:from>
      <xdr:col>8</xdr:col>
      <xdr:colOff>6350</xdr:colOff>
      <xdr:row>1907</xdr:row>
      <xdr:rowOff>25400</xdr:rowOff>
    </xdr:from>
    <xdr:to>
      <xdr:col>8</xdr:col>
      <xdr:colOff>885190</xdr:colOff>
      <xdr:row>1907</xdr:row>
      <xdr:rowOff>1209040</xdr:rowOff>
    </xdr:to>
    <xdr:pic>
      <xdr:nvPicPr>
        <xdr:cNvPr id="5700" name="Изображение 5699" descr="resizeПП-00277189"/>
        <xdr:cNvPicPr>
          <a:picLocks noChangeAspect="1"/>
        </xdr:cNvPicPr>
      </xdr:nvPicPr>
      <xdr:blipFill>
        <a:blip xmlns:r="http://schemas.openxmlformats.org/officeDocument/2006/relationships" r:embed="rId1449"/>
        <a:stretch>
          <a:fillRect/>
        </a:stretch>
      </xdr:blipFill>
      <xdr:spPr>
        <a:xfrm>
          <a:off x="7264400" y="1890350550"/>
          <a:ext cx="878840" cy="1183640"/>
        </a:xfrm>
        <a:prstGeom prst="rect">
          <a:avLst/>
        </a:prstGeom>
      </xdr:spPr>
    </xdr:pic>
    <xdr:clientData/>
  </xdr:twoCellAnchor>
  <xdr:twoCellAnchor>
    <xdr:from>
      <xdr:col>8</xdr:col>
      <xdr:colOff>6350</xdr:colOff>
      <xdr:row>1908</xdr:row>
      <xdr:rowOff>25400</xdr:rowOff>
    </xdr:from>
    <xdr:to>
      <xdr:col>8</xdr:col>
      <xdr:colOff>885190</xdr:colOff>
      <xdr:row>1908</xdr:row>
      <xdr:rowOff>1209040</xdr:rowOff>
    </xdr:to>
    <xdr:pic>
      <xdr:nvPicPr>
        <xdr:cNvPr id="5701" name="Изображение 5700" descr="resizeПП-00277196"/>
        <xdr:cNvPicPr>
          <a:picLocks noChangeAspect="1"/>
        </xdr:cNvPicPr>
      </xdr:nvPicPr>
      <xdr:blipFill>
        <a:blip xmlns:r="http://schemas.openxmlformats.org/officeDocument/2006/relationships" r:embed="rId1450"/>
        <a:stretch>
          <a:fillRect/>
        </a:stretch>
      </xdr:blipFill>
      <xdr:spPr>
        <a:xfrm>
          <a:off x="7264400" y="1891572925"/>
          <a:ext cx="878840" cy="1183640"/>
        </a:xfrm>
        <a:prstGeom prst="rect">
          <a:avLst/>
        </a:prstGeom>
      </xdr:spPr>
    </xdr:pic>
    <xdr:clientData/>
  </xdr:twoCellAnchor>
  <xdr:twoCellAnchor>
    <xdr:from>
      <xdr:col>8</xdr:col>
      <xdr:colOff>6350</xdr:colOff>
      <xdr:row>1910</xdr:row>
      <xdr:rowOff>25400</xdr:rowOff>
    </xdr:from>
    <xdr:to>
      <xdr:col>8</xdr:col>
      <xdr:colOff>885190</xdr:colOff>
      <xdr:row>1910</xdr:row>
      <xdr:rowOff>1209040</xdr:rowOff>
    </xdr:to>
    <xdr:pic>
      <xdr:nvPicPr>
        <xdr:cNvPr id="5702" name="Изображение 5701" descr="resizeПП-00269115"/>
        <xdr:cNvPicPr>
          <a:picLocks noChangeAspect="1"/>
        </xdr:cNvPicPr>
      </xdr:nvPicPr>
      <xdr:blipFill>
        <a:blip xmlns:r="http://schemas.openxmlformats.org/officeDocument/2006/relationships" r:embed="rId1451"/>
        <a:stretch>
          <a:fillRect/>
        </a:stretch>
      </xdr:blipFill>
      <xdr:spPr>
        <a:xfrm>
          <a:off x="7264400" y="1892947700"/>
          <a:ext cx="878840" cy="1183640"/>
        </a:xfrm>
        <a:prstGeom prst="rect">
          <a:avLst/>
        </a:prstGeom>
      </xdr:spPr>
    </xdr:pic>
    <xdr:clientData/>
  </xdr:twoCellAnchor>
  <xdr:twoCellAnchor>
    <xdr:from>
      <xdr:col>8</xdr:col>
      <xdr:colOff>6350</xdr:colOff>
      <xdr:row>1912</xdr:row>
      <xdr:rowOff>25400</xdr:rowOff>
    </xdr:from>
    <xdr:to>
      <xdr:col>8</xdr:col>
      <xdr:colOff>885190</xdr:colOff>
      <xdr:row>1912</xdr:row>
      <xdr:rowOff>1209040</xdr:rowOff>
    </xdr:to>
    <xdr:pic>
      <xdr:nvPicPr>
        <xdr:cNvPr id="5703" name="Изображение 5702" descr="resizeПП-00269099"/>
        <xdr:cNvPicPr>
          <a:picLocks noChangeAspect="1"/>
        </xdr:cNvPicPr>
      </xdr:nvPicPr>
      <xdr:blipFill>
        <a:blip xmlns:r="http://schemas.openxmlformats.org/officeDocument/2006/relationships" r:embed="rId1452"/>
        <a:stretch>
          <a:fillRect/>
        </a:stretch>
      </xdr:blipFill>
      <xdr:spPr>
        <a:xfrm>
          <a:off x="7264400" y="1894322475"/>
          <a:ext cx="878840" cy="1183640"/>
        </a:xfrm>
        <a:prstGeom prst="rect">
          <a:avLst/>
        </a:prstGeom>
      </xdr:spPr>
    </xdr:pic>
    <xdr:clientData/>
  </xdr:twoCellAnchor>
  <xdr:twoCellAnchor>
    <xdr:from>
      <xdr:col>8</xdr:col>
      <xdr:colOff>6350</xdr:colOff>
      <xdr:row>1913</xdr:row>
      <xdr:rowOff>25400</xdr:rowOff>
    </xdr:from>
    <xdr:to>
      <xdr:col>8</xdr:col>
      <xdr:colOff>885190</xdr:colOff>
      <xdr:row>1913</xdr:row>
      <xdr:rowOff>1209040</xdr:rowOff>
    </xdr:to>
    <xdr:pic>
      <xdr:nvPicPr>
        <xdr:cNvPr id="5704" name="Изображение 5703" descr="resizeПП-00269100"/>
        <xdr:cNvPicPr>
          <a:picLocks noChangeAspect="1"/>
        </xdr:cNvPicPr>
      </xdr:nvPicPr>
      <xdr:blipFill>
        <a:blip xmlns:r="http://schemas.openxmlformats.org/officeDocument/2006/relationships" r:embed="rId1453"/>
        <a:stretch>
          <a:fillRect/>
        </a:stretch>
      </xdr:blipFill>
      <xdr:spPr>
        <a:xfrm>
          <a:off x="7264400" y="1895544850"/>
          <a:ext cx="878840" cy="1183640"/>
        </a:xfrm>
        <a:prstGeom prst="rect">
          <a:avLst/>
        </a:prstGeom>
      </xdr:spPr>
    </xdr:pic>
    <xdr:clientData/>
  </xdr:twoCellAnchor>
  <xdr:twoCellAnchor>
    <xdr:from>
      <xdr:col>8</xdr:col>
      <xdr:colOff>6350</xdr:colOff>
      <xdr:row>1914</xdr:row>
      <xdr:rowOff>25400</xdr:rowOff>
    </xdr:from>
    <xdr:to>
      <xdr:col>8</xdr:col>
      <xdr:colOff>885190</xdr:colOff>
      <xdr:row>1914</xdr:row>
      <xdr:rowOff>1209040</xdr:rowOff>
    </xdr:to>
    <xdr:pic>
      <xdr:nvPicPr>
        <xdr:cNvPr id="5705" name="Изображение 5704" descr="resizeПП-00269098"/>
        <xdr:cNvPicPr>
          <a:picLocks noChangeAspect="1"/>
        </xdr:cNvPicPr>
      </xdr:nvPicPr>
      <xdr:blipFill>
        <a:blip xmlns:r="http://schemas.openxmlformats.org/officeDocument/2006/relationships" r:embed="rId1454"/>
        <a:stretch>
          <a:fillRect/>
        </a:stretch>
      </xdr:blipFill>
      <xdr:spPr>
        <a:xfrm>
          <a:off x="7264400" y="1896767225"/>
          <a:ext cx="878840" cy="1183640"/>
        </a:xfrm>
        <a:prstGeom prst="rect">
          <a:avLst/>
        </a:prstGeom>
      </xdr:spPr>
    </xdr:pic>
    <xdr:clientData/>
  </xdr:twoCellAnchor>
  <xdr:twoCellAnchor>
    <xdr:from>
      <xdr:col>8</xdr:col>
      <xdr:colOff>6350</xdr:colOff>
      <xdr:row>1915</xdr:row>
      <xdr:rowOff>25400</xdr:rowOff>
    </xdr:from>
    <xdr:to>
      <xdr:col>8</xdr:col>
      <xdr:colOff>885190</xdr:colOff>
      <xdr:row>1915</xdr:row>
      <xdr:rowOff>1209040</xdr:rowOff>
    </xdr:to>
    <xdr:pic>
      <xdr:nvPicPr>
        <xdr:cNvPr id="5706" name="Изображение 5705" descr="resizeПП-00269097"/>
        <xdr:cNvPicPr>
          <a:picLocks noChangeAspect="1"/>
        </xdr:cNvPicPr>
      </xdr:nvPicPr>
      <xdr:blipFill>
        <a:blip xmlns:r="http://schemas.openxmlformats.org/officeDocument/2006/relationships" r:embed="rId1455"/>
        <a:stretch>
          <a:fillRect/>
        </a:stretch>
      </xdr:blipFill>
      <xdr:spPr>
        <a:xfrm>
          <a:off x="7264400" y="1897989600"/>
          <a:ext cx="878840" cy="1183640"/>
        </a:xfrm>
        <a:prstGeom prst="rect">
          <a:avLst/>
        </a:prstGeom>
      </xdr:spPr>
    </xdr:pic>
    <xdr:clientData/>
  </xdr:twoCellAnchor>
  <xdr:twoCellAnchor>
    <xdr:from>
      <xdr:col>8</xdr:col>
      <xdr:colOff>6350</xdr:colOff>
      <xdr:row>1917</xdr:row>
      <xdr:rowOff>25400</xdr:rowOff>
    </xdr:from>
    <xdr:to>
      <xdr:col>8</xdr:col>
      <xdr:colOff>885190</xdr:colOff>
      <xdr:row>1917</xdr:row>
      <xdr:rowOff>1209040</xdr:rowOff>
    </xdr:to>
    <xdr:pic>
      <xdr:nvPicPr>
        <xdr:cNvPr id="5707" name="Изображение 5706" descr="resizeПП-00269104"/>
        <xdr:cNvPicPr>
          <a:picLocks noChangeAspect="1"/>
        </xdr:cNvPicPr>
      </xdr:nvPicPr>
      <xdr:blipFill>
        <a:blip xmlns:r="http://schemas.openxmlformats.org/officeDocument/2006/relationships" r:embed="rId1456"/>
        <a:stretch>
          <a:fillRect/>
        </a:stretch>
      </xdr:blipFill>
      <xdr:spPr>
        <a:xfrm>
          <a:off x="7264400" y="1899364375"/>
          <a:ext cx="878840" cy="1183640"/>
        </a:xfrm>
        <a:prstGeom prst="rect">
          <a:avLst/>
        </a:prstGeom>
      </xdr:spPr>
    </xdr:pic>
    <xdr:clientData/>
  </xdr:twoCellAnchor>
  <xdr:twoCellAnchor>
    <xdr:from>
      <xdr:col>8</xdr:col>
      <xdr:colOff>6350</xdr:colOff>
      <xdr:row>1918</xdr:row>
      <xdr:rowOff>25400</xdr:rowOff>
    </xdr:from>
    <xdr:to>
      <xdr:col>8</xdr:col>
      <xdr:colOff>885190</xdr:colOff>
      <xdr:row>1918</xdr:row>
      <xdr:rowOff>1209040</xdr:rowOff>
    </xdr:to>
    <xdr:pic>
      <xdr:nvPicPr>
        <xdr:cNvPr id="5708" name="Изображение 5707" descr="resizeПП-00269106"/>
        <xdr:cNvPicPr>
          <a:picLocks noChangeAspect="1"/>
        </xdr:cNvPicPr>
      </xdr:nvPicPr>
      <xdr:blipFill>
        <a:blip xmlns:r="http://schemas.openxmlformats.org/officeDocument/2006/relationships" r:embed="rId1457"/>
        <a:stretch>
          <a:fillRect/>
        </a:stretch>
      </xdr:blipFill>
      <xdr:spPr>
        <a:xfrm>
          <a:off x="7264400" y="1900586750"/>
          <a:ext cx="878840" cy="1183640"/>
        </a:xfrm>
        <a:prstGeom prst="rect">
          <a:avLst/>
        </a:prstGeom>
      </xdr:spPr>
    </xdr:pic>
    <xdr:clientData/>
  </xdr:twoCellAnchor>
  <xdr:twoCellAnchor>
    <xdr:from>
      <xdr:col>8</xdr:col>
      <xdr:colOff>6350</xdr:colOff>
      <xdr:row>1919</xdr:row>
      <xdr:rowOff>25400</xdr:rowOff>
    </xdr:from>
    <xdr:to>
      <xdr:col>8</xdr:col>
      <xdr:colOff>885190</xdr:colOff>
      <xdr:row>1919</xdr:row>
      <xdr:rowOff>1209040</xdr:rowOff>
    </xdr:to>
    <xdr:pic>
      <xdr:nvPicPr>
        <xdr:cNvPr id="5709" name="Изображение 5708" descr="resizeПП-00269102"/>
        <xdr:cNvPicPr>
          <a:picLocks noChangeAspect="1"/>
        </xdr:cNvPicPr>
      </xdr:nvPicPr>
      <xdr:blipFill>
        <a:blip xmlns:r="http://schemas.openxmlformats.org/officeDocument/2006/relationships" r:embed="rId1458"/>
        <a:stretch>
          <a:fillRect/>
        </a:stretch>
      </xdr:blipFill>
      <xdr:spPr>
        <a:xfrm>
          <a:off x="7264400" y="1901809125"/>
          <a:ext cx="878840" cy="1183640"/>
        </a:xfrm>
        <a:prstGeom prst="rect">
          <a:avLst/>
        </a:prstGeom>
      </xdr:spPr>
    </xdr:pic>
    <xdr:clientData/>
  </xdr:twoCellAnchor>
  <xdr:twoCellAnchor>
    <xdr:from>
      <xdr:col>8</xdr:col>
      <xdr:colOff>6350</xdr:colOff>
      <xdr:row>1920</xdr:row>
      <xdr:rowOff>25400</xdr:rowOff>
    </xdr:from>
    <xdr:to>
      <xdr:col>8</xdr:col>
      <xdr:colOff>885190</xdr:colOff>
      <xdr:row>1920</xdr:row>
      <xdr:rowOff>1209040</xdr:rowOff>
    </xdr:to>
    <xdr:pic>
      <xdr:nvPicPr>
        <xdr:cNvPr id="5710" name="Изображение 5709" descr="resizeПП-00269103"/>
        <xdr:cNvPicPr>
          <a:picLocks noChangeAspect="1"/>
        </xdr:cNvPicPr>
      </xdr:nvPicPr>
      <xdr:blipFill>
        <a:blip xmlns:r="http://schemas.openxmlformats.org/officeDocument/2006/relationships" r:embed="rId1459"/>
        <a:stretch>
          <a:fillRect/>
        </a:stretch>
      </xdr:blipFill>
      <xdr:spPr>
        <a:xfrm>
          <a:off x="7264400" y="1903031500"/>
          <a:ext cx="878840" cy="1183640"/>
        </a:xfrm>
        <a:prstGeom prst="rect">
          <a:avLst/>
        </a:prstGeom>
      </xdr:spPr>
    </xdr:pic>
    <xdr:clientData/>
  </xdr:twoCellAnchor>
  <xdr:twoCellAnchor>
    <xdr:from>
      <xdr:col>8</xdr:col>
      <xdr:colOff>6350</xdr:colOff>
      <xdr:row>1922</xdr:row>
      <xdr:rowOff>25400</xdr:rowOff>
    </xdr:from>
    <xdr:to>
      <xdr:col>8</xdr:col>
      <xdr:colOff>1189990</xdr:colOff>
      <xdr:row>1922</xdr:row>
      <xdr:rowOff>904240</xdr:rowOff>
    </xdr:to>
    <xdr:pic>
      <xdr:nvPicPr>
        <xdr:cNvPr id="5711" name="Изображение 5710" descr="resizeПП-00277177"/>
        <xdr:cNvPicPr>
          <a:picLocks noChangeAspect="1"/>
        </xdr:cNvPicPr>
      </xdr:nvPicPr>
      <xdr:blipFill>
        <a:blip xmlns:r="http://schemas.openxmlformats.org/officeDocument/2006/relationships" r:embed="rId1460"/>
        <a:stretch>
          <a:fillRect/>
        </a:stretch>
      </xdr:blipFill>
      <xdr:spPr>
        <a:xfrm>
          <a:off x="7264400" y="1904406275"/>
          <a:ext cx="1183640" cy="878840"/>
        </a:xfrm>
        <a:prstGeom prst="rect">
          <a:avLst/>
        </a:prstGeom>
      </xdr:spPr>
    </xdr:pic>
    <xdr:clientData/>
  </xdr:twoCellAnchor>
  <xdr:twoCellAnchor>
    <xdr:from>
      <xdr:col>8</xdr:col>
      <xdr:colOff>6350</xdr:colOff>
      <xdr:row>1923</xdr:row>
      <xdr:rowOff>25400</xdr:rowOff>
    </xdr:from>
    <xdr:to>
      <xdr:col>8</xdr:col>
      <xdr:colOff>1189990</xdr:colOff>
      <xdr:row>1923</xdr:row>
      <xdr:rowOff>904240</xdr:rowOff>
    </xdr:to>
    <xdr:pic>
      <xdr:nvPicPr>
        <xdr:cNvPr id="5712" name="Изображение 5711" descr="resizeПП-00277180"/>
        <xdr:cNvPicPr>
          <a:picLocks noChangeAspect="1"/>
        </xdr:cNvPicPr>
      </xdr:nvPicPr>
      <xdr:blipFill>
        <a:blip xmlns:r="http://schemas.openxmlformats.org/officeDocument/2006/relationships" r:embed="rId1461"/>
        <a:stretch>
          <a:fillRect/>
        </a:stretch>
      </xdr:blipFill>
      <xdr:spPr>
        <a:xfrm>
          <a:off x="7264400" y="1905628650"/>
          <a:ext cx="1183640" cy="878840"/>
        </a:xfrm>
        <a:prstGeom prst="rect">
          <a:avLst/>
        </a:prstGeom>
      </xdr:spPr>
    </xdr:pic>
    <xdr:clientData/>
  </xdr:twoCellAnchor>
  <xdr:twoCellAnchor>
    <xdr:from>
      <xdr:col>8</xdr:col>
      <xdr:colOff>6350</xdr:colOff>
      <xdr:row>1925</xdr:row>
      <xdr:rowOff>25400</xdr:rowOff>
    </xdr:from>
    <xdr:to>
      <xdr:col>8</xdr:col>
      <xdr:colOff>885190</xdr:colOff>
      <xdr:row>1925</xdr:row>
      <xdr:rowOff>1209040</xdr:rowOff>
    </xdr:to>
    <xdr:pic>
      <xdr:nvPicPr>
        <xdr:cNvPr id="5713" name="Изображение 5712" descr="resizeПП-00277179"/>
        <xdr:cNvPicPr>
          <a:picLocks noChangeAspect="1"/>
        </xdr:cNvPicPr>
      </xdr:nvPicPr>
      <xdr:blipFill>
        <a:blip xmlns:r="http://schemas.openxmlformats.org/officeDocument/2006/relationships" r:embed="rId1462"/>
        <a:stretch>
          <a:fillRect/>
        </a:stretch>
      </xdr:blipFill>
      <xdr:spPr>
        <a:xfrm>
          <a:off x="7264400" y="1907003425"/>
          <a:ext cx="878840" cy="1183640"/>
        </a:xfrm>
        <a:prstGeom prst="rect">
          <a:avLst/>
        </a:prstGeom>
      </xdr:spPr>
    </xdr:pic>
    <xdr:clientData/>
  </xdr:twoCellAnchor>
  <xdr:twoCellAnchor>
    <xdr:from>
      <xdr:col>8</xdr:col>
      <xdr:colOff>6350</xdr:colOff>
      <xdr:row>1926</xdr:row>
      <xdr:rowOff>25400</xdr:rowOff>
    </xdr:from>
    <xdr:to>
      <xdr:col>8</xdr:col>
      <xdr:colOff>885190</xdr:colOff>
      <xdr:row>1926</xdr:row>
      <xdr:rowOff>1209040</xdr:rowOff>
    </xdr:to>
    <xdr:pic>
      <xdr:nvPicPr>
        <xdr:cNvPr id="5714" name="Изображение 5713" descr="resizeПП-00269112"/>
        <xdr:cNvPicPr>
          <a:picLocks noChangeAspect="1"/>
        </xdr:cNvPicPr>
      </xdr:nvPicPr>
      <xdr:blipFill>
        <a:blip xmlns:r="http://schemas.openxmlformats.org/officeDocument/2006/relationships" r:embed="rId1463"/>
        <a:stretch>
          <a:fillRect/>
        </a:stretch>
      </xdr:blipFill>
      <xdr:spPr>
        <a:xfrm>
          <a:off x="7264400" y="1908225800"/>
          <a:ext cx="878840" cy="1183640"/>
        </a:xfrm>
        <a:prstGeom prst="rect">
          <a:avLst/>
        </a:prstGeom>
      </xdr:spPr>
    </xdr:pic>
    <xdr:clientData/>
  </xdr:twoCellAnchor>
  <xdr:twoCellAnchor>
    <xdr:from>
      <xdr:col>8</xdr:col>
      <xdr:colOff>6350</xdr:colOff>
      <xdr:row>1927</xdr:row>
      <xdr:rowOff>25400</xdr:rowOff>
    </xdr:from>
    <xdr:to>
      <xdr:col>8</xdr:col>
      <xdr:colOff>885190</xdr:colOff>
      <xdr:row>1927</xdr:row>
      <xdr:rowOff>1209040</xdr:rowOff>
    </xdr:to>
    <xdr:pic>
      <xdr:nvPicPr>
        <xdr:cNvPr id="5715" name="Изображение 5714" descr="resizeПП-00228297"/>
        <xdr:cNvPicPr>
          <a:picLocks noChangeAspect="1"/>
        </xdr:cNvPicPr>
      </xdr:nvPicPr>
      <xdr:blipFill>
        <a:blip xmlns:r="http://schemas.openxmlformats.org/officeDocument/2006/relationships" r:embed="rId1464"/>
        <a:stretch>
          <a:fillRect/>
        </a:stretch>
      </xdr:blipFill>
      <xdr:spPr>
        <a:xfrm>
          <a:off x="7264400" y="1909448175"/>
          <a:ext cx="878840" cy="1183640"/>
        </a:xfrm>
        <a:prstGeom prst="rect">
          <a:avLst/>
        </a:prstGeom>
      </xdr:spPr>
    </xdr:pic>
    <xdr:clientData/>
  </xdr:twoCellAnchor>
  <xdr:twoCellAnchor>
    <xdr:from>
      <xdr:col>8</xdr:col>
      <xdr:colOff>6350</xdr:colOff>
      <xdr:row>1928</xdr:row>
      <xdr:rowOff>25400</xdr:rowOff>
    </xdr:from>
    <xdr:to>
      <xdr:col>8</xdr:col>
      <xdr:colOff>885190</xdr:colOff>
      <xdr:row>1928</xdr:row>
      <xdr:rowOff>1209040</xdr:rowOff>
    </xdr:to>
    <xdr:pic>
      <xdr:nvPicPr>
        <xdr:cNvPr id="5716" name="Изображение 5715" descr="resizeПП-00269081"/>
        <xdr:cNvPicPr>
          <a:picLocks noChangeAspect="1"/>
        </xdr:cNvPicPr>
      </xdr:nvPicPr>
      <xdr:blipFill>
        <a:blip xmlns:r="http://schemas.openxmlformats.org/officeDocument/2006/relationships" r:embed="rId1465"/>
        <a:stretch>
          <a:fillRect/>
        </a:stretch>
      </xdr:blipFill>
      <xdr:spPr>
        <a:xfrm>
          <a:off x="7264400" y="1910670550"/>
          <a:ext cx="878840" cy="1183640"/>
        </a:xfrm>
        <a:prstGeom prst="rect">
          <a:avLst/>
        </a:prstGeom>
      </xdr:spPr>
    </xdr:pic>
    <xdr:clientData/>
  </xdr:twoCellAnchor>
  <xdr:twoCellAnchor>
    <xdr:from>
      <xdr:col>8</xdr:col>
      <xdr:colOff>6350</xdr:colOff>
      <xdr:row>1929</xdr:row>
      <xdr:rowOff>25400</xdr:rowOff>
    </xdr:from>
    <xdr:to>
      <xdr:col>8</xdr:col>
      <xdr:colOff>885190</xdr:colOff>
      <xdr:row>1929</xdr:row>
      <xdr:rowOff>1209040</xdr:rowOff>
    </xdr:to>
    <xdr:pic>
      <xdr:nvPicPr>
        <xdr:cNvPr id="5717" name="Изображение 5716" descr="resizeПП-00269122"/>
        <xdr:cNvPicPr>
          <a:picLocks noChangeAspect="1"/>
        </xdr:cNvPicPr>
      </xdr:nvPicPr>
      <xdr:blipFill>
        <a:blip xmlns:r="http://schemas.openxmlformats.org/officeDocument/2006/relationships" r:embed="rId1466"/>
        <a:stretch>
          <a:fillRect/>
        </a:stretch>
      </xdr:blipFill>
      <xdr:spPr>
        <a:xfrm>
          <a:off x="7264400" y="1911892925"/>
          <a:ext cx="878840" cy="1183640"/>
        </a:xfrm>
        <a:prstGeom prst="rect">
          <a:avLst/>
        </a:prstGeom>
      </xdr:spPr>
    </xdr:pic>
    <xdr:clientData/>
  </xdr:twoCellAnchor>
  <xdr:twoCellAnchor>
    <xdr:from>
      <xdr:col>8</xdr:col>
      <xdr:colOff>6350</xdr:colOff>
      <xdr:row>1930</xdr:row>
      <xdr:rowOff>25400</xdr:rowOff>
    </xdr:from>
    <xdr:to>
      <xdr:col>8</xdr:col>
      <xdr:colOff>885190</xdr:colOff>
      <xdr:row>1930</xdr:row>
      <xdr:rowOff>1209040</xdr:rowOff>
    </xdr:to>
    <xdr:pic>
      <xdr:nvPicPr>
        <xdr:cNvPr id="5718" name="Изображение 5717" descr="resizeПП-00269121"/>
        <xdr:cNvPicPr>
          <a:picLocks noChangeAspect="1"/>
        </xdr:cNvPicPr>
      </xdr:nvPicPr>
      <xdr:blipFill>
        <a:blip xmlns:r="http://schemas.openxmlformats.org/officeDocument/2006/relationships" r:embed="rId1467"/>
        <a:stretch>
          <a:fillRect/>
        </a:stretch>
      </xdr:blipFill>
      <xdr:spPr>
        <a:xfrm>
          <a:off x="7264400" y="1913115300"/>
          <a:ext cx="878840" cy="1183640"/>
        </a:xfrm>
        <a:prstGeom prst="rect">
          <a:avLst/>
        </a:prstGeom>
      </xdr:spPr>
    </xdr:pic>
    <xdr:clientData/>
  </xdr:twoCellAnchor>
  <xdr:twoCellAnchor>
    <xdr:from>
      <xdr:col>8</xdr:col>
      <xdr:colOff>6350</xdr:colOff>
      <xdr:row>1931</xdr:row>
      <xdr:rowOff>25400</xdr:rowOff>
    </xdr:from>
    <xdr:to>
      <xdr:col>8</xdr:col>
      <xdr:colOff>885190</xdr:colOff>
      <xdr:row>1931</xdr:row>
      <xdr:rowOff>1209040</xdr:rowOff>
    </xdr:to>
    <xdr:pic>
      <xdr:nvPicPr>
        <xdr:cNvPr id="5719" name="Изображение 5718" descr="resizeПП-00269086"/>
        <xdr:cNvPicPr>
          <a:picLocks noChangeAspect="1"/>
        </xdr:cNvPicPr>
      </xdr:nvPicPr>
      <xdr:blipFill>
        <a:blip xmlns:r="http://schemas.openxmlformats.org/officeDocument/2006/relationships" r:embed="rId1468"/>
        <a:stretch>
          <a:fillRect/>
        </a:stretch>
      </xdr:blipFill>
      <xdr:spPr>
        <a:xfrm>
          <a:off x="7264400" y="1914337675"/>
          <a:ext cx="878840" cy="1183640"/>
        </a:xfrm>
        <a:prstGeom prst="rect">
          <a:avLst/>
        </a:prstGeom>
      </xdr:spPr>
    </xdr:pic>
    <xdr:clientData/>
  </xdr:twoCellAnchor>
  <xdr:twoCellAnchor>
    <xdr:from>
      <xdr:col>8</xdr:col>
      <xdr:colOff>6350</xdr:colOff>
      <xdr:row>1932</xdr:row>
      <xdr:rowOff>25400</xdr:rowOff>
    </xdr:from>
    <xdr:to>
      <xdr:col>8</xdr:col>
      <xdr:colOff>885190</xdr:colOff>
      <xdr:row>1932</xdr:row>
      <xdr:rowOff>1209040</xdr:rowOff>
    </xdr:to>
    <xdr:pic>
      <xdr:nvPicPr>
        <xdr:cNvPr id="5720" name="Изображение 5719" descr="resizeПП-00269084"/>
        <xdr:cNvPicPr>
          <a:picLocks noChangeAspect="1"/>
        </xdr:cNvPicPr>
      </xdr:nvPicPr>
      <xdr:blipFill>
        <a:blip xmlns:r="http://schemas.openxmlformats.org/officeDocument/2006/relationships" r:embed="rId1469"/>
        <a:stretch>
          <a:fillRect/>
        </a:stretch>
      </xdr:blipFill>
      <xdr:spPr>
        <a:xfrm>
          <a:off x="7264400" y="1915560050"/>
          <a:ext cx="878840" cy="1183640"/>
        </a:xfrm>
        <a:prstGeom prst="rect">
          <a:avLst/>
        </a:prstGeom>
      </xdr:spPr>
    </xdr:pic>
    <xdr:clientData/>
  </xdr:twoCellAnchor>
  <xdr:twoCellAnchor>
    <xdr:from>
      <xdr:col>8</xdr:col>
      <xdr:colOff>6350</xdr:colOff>
      <xdr:row>1933</xdr:row>
      <xdr:rowOff>25400</xdr:rowOff>
    </xdr:from>
    <xdr:to>
      <xdr:col>8</xdr:col>
      <xdr:colOff>885190</xdr:colOff>
      <xdr:row>1933</xdr:row>
      <xdr:rowOff>1209040</xdr:rowOff>
    </xdr:to>
    <xdr:pic>
      <xdr:nvPicPr>
        <xdr:cNvPr id="5721" name="Изображение 5720" descr="resizeПП-00269120"/>
        <xdr:cNvPicPr>
          <a:picLocks noChangeAspect="1"/>
        </xdr:cNvPicPr>
      </xdr:nvPicPr>
      <xdr:blipFill>
        <a:blip xmlns:r="http://schemas.openxmlformats.org/officeDocument/2006/relationships" r:embed="rId1470"/>
        <a:stretch>
          <a:fillRect/>
        </a:stretch>
      </xdr:blipFill>
      <xdr:spPr>
        <a:xfrm>
          <a:off x="7264400" y="1916782425"/>
          <a:ext cx="878840" cy="1183640"/>
        </a:xfrm>
        <a:prstGeom prst="rect">
          <a:avLst/>
        </a:prstGeom>
      </xdr:spPr>
    </xdr:pic>
    <xdr:clientData/>
  </xdr:twoCellAnchor>
  <xdr:twoCellAnchor>
    <xdr:from>
      <xdr:col>8</xdr:col>
      <xdr:colOff>6350</xdr:colOff>
      <xdr:row>1934</xdr:row>
      <xdr:rowOff>25400</xdr:rowOff>
    </xdr:from>
    <xdr:to>
      <xdr:col>8</xdr:col>
      <xdr:colOff>885190</xdr:colOff>
      <xdr:row>1934</xdr:row>
      <xdr:rowOff>1209040</xdr:rowOff>
    </xdr:to>
    <xdr:pic>
      <xdr:nvPicPr>
        <xdr:cNvPr id="5722" name="Изображение 5721" descr="resizeПП-00269113"/>
        <xdr:cNvPicPr>
          <a:picLocks noChangeAspect="1"/>
        </xdr:cNvPicPr>
      </xdr:nvPicPr>
      <xdr:blipFill>
        <a:blip xmlns:r="http://schemas.openxmlformats.org/officeDocument/2006/relationships" r:embed="rId1471"/>
        <a:stretch>
          <a:fillRect/>
        </a:stretch>
      </xdr:blipFill>
      <xdr:spPr>
        <a:xfrm>
          <a:off x="7264400" y="1918004800"/>
          <a:ext cx="878840" cy="1183640"/>
        </a:xfrm>
        <a:prstGeom prst="rect">
          <a:avLst/>
        </a:prstGeom>
      </xdr:spPr>
    </xdr:pic>
    <xdr:clientData/>
  </xdr:twoCellAnchor>
  <xdr:twoCellAnchor>
    <xdr:from>
      <xdr:col>8</xdr:col>
      <xdr:colOff>6350</xdr:colOff>
      <xdr:row>1935</xdr:row>
      <xdr:rowOff>25400</xdr:rowOff>
    </xdr:from>
    <xdr:to>
      <xdr:col>8</xdr:col>
      <xdr:colOff>885190</xdr:colOff>
      <xdr:row>1935</xdr:row>
      <xdr:rowOff>1209040</xdr:rowOff>
    </xdr:to>
    <xdr:pic>
      <xdr:nvPicPr>
        <xdr:cNvPr id="5723" name="Изображение 5722" descr="resizeПП-00228295"/>
        <xdr:cNvPicPr>
          <a:picLocks noChangeAspect="1"/>
        </xdr:cNvPicPr>
      </xdr:nvPicPr>
      <xdr:blipFill>
        <a:blip xmlns:r="http://schemas.openxmlformats.org/officeDocument/2006/relationships" r:embed="rId1472"/>
        <a:stretch>
          <a:fillRect/>
        </a:stretch>
      </xdr:blipFill>
      <xdr:spPr>
        <a:xfrm>
          <a:off x="7264400" y="1919227175"/>
          <a:ext cx="878840" cy="1183640"/>
        </a:xfrm>
        <a:prstGeom prst="rect">
          <a:avLst/>
        </a:prstGeom>
      </xdr:spPr>
    </xdr:pic>
    <xdr:clientData/>
  </xdr:twoCellAnchor>
  <xdr:twoCellAnchor>
    <xdr:from>
      <xdr:col>8</xdr:col>
      <xdr:colOff>6350</xdr:colOff>
      <xdr:row>1936</xdr:row>
      <xdr:rowOff>25400</xdr:rowOff>
    </xdr:from>
    <xdr:to>
      <xdr:col>8</xdr:col>
      <xdr:colOff>885190</xdr:colOff>
      <xdr:row>1936</xdr:row>
      <xdr:rowOff>1209040</xdr:rowOff>
    </xdr:to>
    <xdr:pic>
      <xdr:nvPicPr>
        <xdr:cNvPr id="5724" name="Изображение 5723" descr="resizeПП-00269119"/>
        <xdr:cNvPicPr>
          <a:picLocks noChangeAspect="1"/>
        </xdr:cNvPicPr>
      </xdr:nvPicPr>
      <xdr:blipFill>
        <a:blip xmlns:r="http://schemas.openxmlformats.org/officeDocument/2006/relationships" r:embed="rId1473"/>
        <a:stretch>
          <a:fillRect/>
        </a:stretch>
      </xdr:blipFill>
      <xdr:spPr>
        <a:xfrm>
          <a:off x="7264400" y="1920449550"/>
          <a:ext cx="878840" cy="1183640"/>
        </a:xfrm>
        <a:prstGeom prst="rect">
          <a:avLst/>
        </a:prstGeom>
      </xdr:spPr>
    </xdr:pic>
    <xdr:clientData/>
  </xdr:twoCellAnchor>
  <xdr:twoCellAnchor>
    <xdr:from>
      <xdr:col>8</xdr:col>
      <xdr:colOff>6350</xdr:colOff>
      <xdr:row>1937</xdr:row>
      <xdr:rowOff>25400</xdr:rowOff>
    </xdr:from>
    <xdr:to>
      <xdr:col>8</xdr:col>
      <xdr:colOff>885190</xdr:colOff>
      <xdr:row>1937</xdr:row>
      <xdr:rowOff>1209040</xdr:rowOff>
    </xdr:to>
    <xdr:pic>
      <xdr:nvPicPr>
        <xdr:cNvPr id="5725" name="Изображение 5724" descr="resizeПП-00269092"/>
        <xdr:cNvPicPr>
          <a:picLocks noChangeAspect="1"/>
        </xdr:cNvPicPr>
      </xdr:nvPicPr>
      <xdr:blipFill>
        <a:blip xmlns:r="http://schemas.openxmlformats.org/officeDocument/2006/relationships" r:embed="rId1474"/>
        <a:stretch>
          <a:fillRect/>
        </a:stretch>
      </xdr:blipFill>
      <xdr:spPr>
        <a:xfrm>
          <a:off x="7264400" y="1921671925"/>
          <a:ext cx="878840" cy="1183640"/>
        </a:xfrm>
        <a:prstGeom prst="rect">
          <a:avLst/>
        </a:prstGeom>
      </xdr:spPr>
    </xdr:pic>
    <xdr:clientData/>
  </xdr:twoCellAnchor>
  <xdr:twoCellAnchor>
    <xdr:from>
      <xdr:col>8</xdr:col>
      <xdr:colOff>6350</xdr:colOff>
      <xdr:row>1938</xdr:row>
      <xdr:rowOff>25400</xdr:rowOff>
    </xdr:from>
    <xdr:to>
      <xdr:col>8</xdr:col>
      <xdr:colOff>885190</xdr:colOff>
      <xdr:row>1938</xdr:row>
      <xdr:rowOff>1209040</xdr:rowOff>
    </xdr:to>
    <xdr:pic>
      <xdr:nvPicPr>
        <xdr:cNvPr id="5726" name="Изображение 5725" descr="resizeПП-00269088"/>
        <xdr:cNvPicPr>
          <a:picLocks noChangeAspect="1"/>
        </xdr:cNvPicPr>
      </xdr:nvPicPr>
      <xdr:blipFill>
        <a:blip xmlns:r="http://schemas.openxmlformats.org/officeDocument/2006/relationships" r:embed="rId1475"/>
        <a:stretch>
          <a:fillRect/>
        </a:stretch>
      </xdr:blipFill>
      <xdr:spPr>
        <a:xfrm>
          <a:off x="7264400" y="1922894300"/>
          <a:ext cx="878840" cy="1183640"/>
        </a:xfrm>
        <a:prstGeom prst="rect">
          <a:avLst/>
        </a:prstGeom>
      </xdr:spPr>
    </xdr:pic>
    <xdr:clientData/>
  </xdr:twoCellAnchor>
  <xdr:twoCellAnchor>
    <xdr:from>
      <xdr:col>8</xdr:col>
      <xdr:colOff>6350</xdr:colOff>
      <xdr:row>1940</xdr:row>
      <xdr:rowOff>25400</xdr:rowOff>
    </xdr:from>
    <xdr:to>
      <xdr:col>8</xdr:col>
      <xdr:colOff>885190</xdr:colOff>
      <xdr:row>1940</xdr:row>
      <xdr:rowOff>1209040</xdr:rowOff>
    </xdr:to>
    <xdr:pic>
      <xdr:nvPicPr>
        <xdr:cNvPr id="5727" name="Изображение 5726" descr="resizeПП-00277178"/>
        <xdr:cNvPicPr>
          <a:picLocks noChangeAspect="1"/>
        </xdr:cNvPicPr>
      </xdr:nvPicPr>
      <xdr:blipFill>
        <a:blip xmlns:r="http://schemas.openxmlformats.org/officeDocument/2006/relationships" r:embed="rId1476"/>
        <a:stretch>
          <a:fillRect/>
        </a:stretch>
      </xdr:blipFill>
      <xdr:spPr>
        <a:xfrm>
          <a:off x="7264400" y="1924269075"/>
          <a:ext cx="878840" cy="1183640"/>
        </a:xfrm>
        <a:prstGeom prst="rect">
          <a:avLst/>
        </a:prstGeom>
      </xdr:spPr>
    </xdr:pic>
    <xdr:clientData/>
  </xdr:twoCellAnchor>
  <xdr:twoCellAnchor>
    <xdr:from>
      <xdr:col>8</xdr:col>
      <xdr:colOff>6350</xdr:colOff>
      <xdr:row>1941</xdr:row>
      <xdr:rowOff>25400</xdr:rowOff>
    </xdr:from>
    <xdr:to>
      <xdr:col>8</xdr:col>
      <xdr:colOff>885190</xdr:colOff>
      <xdr:row>1941</xdr:row>
      <xdr:rowOff>1209040</xdr:rowOff>
    </xdr:to>
    <xdr:pic>
      <xdr:nvPicPr>
        <xdr:cNvPr id="5728" name="Изображение 5727" descr="resizeПП-00234878"/>
        <xdr:cNvPicPr>
          <a:picLocks noChangeAspect="1"/>
        </xdr:cNvPicPr>
      </xdr:nvPicPr>
      <xdr:blipFill>
        <a:blip xmlns:r="http://schemas.openxmlformats.org/officeDocument/2006/relationships" r:embed="rId1477"/>
        <a:stretch>
          <a:fillRect/>
        </a:stretch>
      </xdr:blipFill>
      <xdr:spPr>
        <a:xfrm>
          <a:off x="7264400" y="1925491450"/>
          <a:ext cx="878840" cy="1183640"/>
        </a:xfrm>
        <a:prstGeom prst="rect">
          <a:avLst/>
        </a:prstGeom>
      </xdr:spPr>
    </xdr:pic>
    <xdr:clientData/>
  </xdr:twoCellAnchor>
  <xdr:twoCellAnchor>
    <xdr:from>
      <xdr:col>8</xdr:col>
      <xdr:colOff>6350</xdr:colOff>
      <xdr:row>1942</xdr:row>
      <xdr:rowOff>25400</xdr:rowOff>
    </xdr:from>
    <xdr:to>
      <xdr:col>8</xdr:col>
      <xdr:colOff>885190</xdr:colOff>
      <xdr:row>1942</xdr:row>
      <xdr:rowOff>1209040</xdr:rowOff>
    </xdr:to>
    <xdr:pic>
      <xdr:nvPicPr>
        <xdr:cNvPr id="5729" name="Изображение 5728" descr="resizeПП-00234877"/>
        <xdr:cNvPicPr>
          <a:picLocks noChangeAspect="1"/>
        </xdr:cNvPicPr>
      </xdr:nvPicPr>
      <xdr:blipFill>
        <a:blip xmlns:r="http://schemas.openxmlformats.org/officeDocument/2006/relationships" r:embed="rId1478"/>
        <a:stretch>
          <a:fillRect/>
        </a:stretch>
      </xdr:blipFill>
      <xdr:spPr>
        <a:xfrm>
          <a:off x="7264400" y="1926713825"/>
          <a:ext cx="878840" cy="1183640"/>
        </a:xfrm>
        <a:prstGeom prst="rect">
          <a:avLst/>
        </a:prstGeom>
      </xdr:spPr>
    </xdr:pic>
    <xdr:clientData/>
  </xdr:twoCellAnchor>
  <xdr:twoCellAnchor>
    <xdr:from>
      <xdr:col>8</xdr:col>
      <xdr:colOff>6350</xdr:colOff>
      <xdr:row>1943</xdr:row>
      <xdr:rowOff>25400</xdr:rowOff>
    </xdr:from>
    <xdr:to>
      <xdr:col>8</xdr:col>
      <xdr:colOff>885190</xdr:colOff>
      <xdr:row>1943</xdr:row>
      <xdr:rowOff>1209040</xdr:rowOff>
    </xdr:to>
    <xdr:pic>
      <xdr:nvPicPr>
        <xdr:cNvPr id="5730" name="Изображение 5729" descr="resizeПП-00234881"/>
        <xdr:cNvPicPr>
          <a:picLocks noChangeAspect="1"/>
        </xdr:cNvPicPr>
      </xdr:nvPicPr>
      <xdr:blipFill>
        <a:blip xmlns:r="http://schemas.openxmlformats.org/officeDocument/2006/relationships" r:embed="rId1479"/>
        <a:stretch>
          <a:fillRect/>
        </a:stretch>
      </xdr:blipFill>
      <xdr:spPr>
        <a:xfrm>
          <a:off x="7264400" y="1927936200"/>
          <a:ext cx="878840" cy="1183640"/>
        </a:xfrm>
        <a:prstGeom prst="rect">
          <a:avLst/>
        </a:prstGeom>
      </xdr:spPr>
    </xdr:pic>
    <xdr:clientData/>
  </xdr:twoCellAnchor>
  <xdr:twoCellAnchor>
    <xdr:from>
      <xdr:col>8</xdr:col>
      <xdr:colOff>6350</xdr:colOff>
      <xdr:row>1945</xdr:row>
      <xdr:rowOff>25400</xdr:rowOff>
    </xdr:from>
    <xdr:to>
      <xdr:col>8</xdr:col>
      <xdr:colOff>885190</xdr:colOff>
      <xdr:row>1945</xdr:row>
      <xdr:rowOff>1209040</xdr:rowOff>
    </xdr:to>
    <xdr:pic>
      <xdr:nvPicPr>
        <xdr:cNvPr id="5731" name="Изображение 5730" descr="resizeПП-00269117"/>
        <xdr:cNvPicPr>
          <a:picLocks noChangeAspect="1"/>
        </xdr:cNvPicPr>
      </xdr:nvPicPr>
      <xdr:blipFill>
        <a:blip xmlns:r="http://schemas.openxmlformats.org/officeDocument/2006/relationships" r:embed="rId1480"/>
        <a:stretch>
          <a:fillRect/>
        </a:stretch>
      </xdr:blipFill>
      <xdr:spPr>
        <a:xfrm>
          <a:off x="7264400" y="1929310975"/>
          <a:ext cx="878840" cy="1183640"/>
        </a:xfrm>
        <a:prstGeom prst="rect">
          <a:avLst/>
        </a:prstGeom>
      </xdr:spPr>
    </xdr:pic>
    <xdr:clientData/>
  </xdr:twoCellAnchor>
  <xdr:twoCellAnchor>
    <xdr:from>
      <xdr:col>8</xdr:col>
      <xdr:colOff>6350</xdr:colOff>
      <xdr:row>1947</xdr:row>
      <xdr:rowOff>25400</xdr:rowOff>
    </xdr:from>
    <xdr:to>
      <xdr:col>8</xdr:col>
      <xdr:colOff>885190</xdr:colOff>
      <xdr:row>1947</xdr:row>
      <xdr:rowOff>1209040</xdr:rowOff>
    </xdr:to>
    <xdr:pic>
      <xdr:nvPicPr>
        <xdr:cNvPr id="5732" name="Изображение 5731" descr="resizeПП-00234883"/>
        <xdr:cNvPicPr>
          <a:picLocks noChangeAspect="1"/>
        </xdr:cNvPicPr>
      </xdr:nvPicPr>
      <xdr:blipFill>
        <a:blip xmlns:r="http://schemas.openxmlformats.org/officeDocument/2006/relationships" r:embed="rId1481"/>
        <a:stretch>
          <a:fillRect/>
        </a:stretch>
      </xdr:blipFill>
      <xdr:spPr>
        <a:xfrm>
          <a:off x="7264400" y="1930685750"/>
          <a:ext cx="878840" cy="1183640"/>
        </a:xfrm>
        <a:prstGeom prst="rect">
          <a:avLst/>
        </a:prstGeom>
      </xdr:spPr>
    </xdr:pic>
    <xdr:clientData/>
  </xdr:twoCellAnchor>
  <xdr:twoCellAnchor>
    <xdr:from>
      <xdr:col>8</xdr:col>
      <xdr:colOff>6350</xdr:colOff>
      <xdr:row>1948</xdr:row>
      <xdr:rowOff>25400</xdr:rowOff>
    </xdr:from>
    <xdr:to>
      <xdr:col>8</xdr:col>
      <xdr:colOff>885190</xdr:colOff>
      <xdr:row>1948</xdr:row>
      <xdr:rowOff>1209040</xdr:rowOff>
    </xdr:to>
    <xdr:pic>
      <xdr:nvPicPr>
        <xdr:cNvPr id="5733" name="Изображение 5732" descr="resizeПП-00234882"/>
        <xdr:cNvPicPr>
          <a:picLocks noChangeAspect="1"/>
        </xdr:cNvPicPr>
      </xdr:nvPicPr>
      <xdr:blipFill>
        <a:blip xmlns:r="http://schemas.openxmlformats.org/officeDocument/2006/relationships" r:embed="rId1482"/>
        <a:stretch>
          <a:fillRect/>
        </a:stretch>
      </xdr:blipFill>
      <xdr:spPr>
        <a:xfrm>
          <a:off x="7264400" y="1931908125"/>
          <a:ext cx="878840" cy="1183640"/>
        </a:xfrm>
        <a:prstGeom prst="rect">
          <a:avLst/>
        </a:prstGeom>
      </xdr:spPr>
    </xdr:pic>
    <xdr:clientData/>
  </xdr:twoCellAnchor>
  <xdr:twoCellAnchor>
    <xdr:from>
      <xdr:col>8</xdr:col>
      <xdr:colOff>6350</xdr:colOff>
      <xdr:row>1949</xdr:row>
      <xdr:rowOff>25400</xdr:rowOff>
    </xdr:from>
    <xdr:to>
      <xdr:col>8</xdr:col>
      <xdr:colOff>885190</xdr:colOff>
      <xdr:row>1949</xdr:row>
      <xdr:rowOff>1209040</xdr:rowOff>
    </xdr:to>
    <xdr:pic>
      <xdr:nvPicPr>
        <xdr:cNvPr id="5734" name="Изображение 5733" descr="resizeПП-00234887"/>
        <xdr:cNvPicPr>
          <a:picLocks noChangeAspect="1"/>
        </xdr:cNvPicPr>
      </xdr:nvPicPr>
      <xdr:blipFill>
        <a:blip xmlns:r="http://schemas.openxmlformats.org/officeDocument/2006/relationships" r:embed="rId1483"/>
        <a:stretch>
          <a:fillRect/>
        </a:stretch>
      </xdr:blipFill>
      <xdr:spPr>
        <a:xfrm>
          <a:off x="7264400" y="1933130500"/>
          <a:ext cx="878840" cy="1183640"/>
        </a:xfrm>
        <a:prstGeom prst="rect">
          <a:avLst/>
        </a:prstGeom>
      </xdr:spPr>
    </xdr:pic>
    <xdr:clientData/>
  </xdr:twoCellAnchor>
  <xdr:twoCellAnchor>
    <xdr:from>
      <xdr:col>8</xdr:col>
      <xdr:colOff>6350</xdr:colOff>
      <xdr:row>1950</xdr:row>
      <xdr:rowOff>25400</xdr:rowOff>
    </xdr:from>
    <xdr:to>
      <xdr:col>8</xdr:col>
      <xdr:colOff>885190</xdr:colOff>
      <xdr:row>1950</xdr:row>
      <xdr:rowOff>1209040</xdr:rowOff>
    </xdr:to>
    <xdr:pic>
      <xdr:nvPicPr>
        <xdr:cNvPr id="5735" name="Изображение 5734" descr="resizeПП-00234888"/>
        <xdr:cNvPicPr>
          <a:picLocks noChangeAspect="1"/>
        </xdr:cNvPicPr>
      </xdr:nvPicPr>
      <xdr:blipFill>
        <a:blip xmlns:r="http://schemas.openxmlformats.org/officeDocument/2006/relationships" r:embed="rId1484"/>
        <a:stretch>
          <a:fillRect/>
        </a:stretch>
      </xdr:blipFill>
      <xdr:spPr>
        <a:xfrm>
          <a:off x="7264400" y="1934352875"/>
          <a:ext cx="878840" cy="1183640"/>
        </a:xfrm>
        <a:prstGeom prst="rect">
          <a:avLst/>
        </a:prstGeom>
      </xdr:spPr>
    </xdr:pic>
    <xdr:clientData/>
  </xdr:twoCellAnchor>
  <xdr:twoCellAnchor>
    <xdr:from>
      <xdr:col>8</xdr:col>
      <xdr:colOff>6350</xdr:colOff>
      <xdr:row>1952</xdr:row>
      <xdr:rowOff>25400</xdr:rowOff>
    </xdr:from>
    <xdr:to>
      <xdr:col>8</xdr:col>
      <xdr:colOff>885190</xdr:colOff>
      <xdr:row>1952</xdr:row>
      <xdr:rowOff>1209040</xdr:rowOff>
    </xdr:to>
    <xdr:pic>
      <xdr:nvPicPr>
        <xdr:cNvPr id="5736" name="Изображение 5735" descr="resizeПП-00269114"/>
        <xdr:cNvPicPr>
          <a:picLocks noChangeAspect="1"/>
        </xdr:cNvPicPr>
      </xdr:nvPicPr>
      <xdr:blipFill>
        <a:blip xmlns:r="http://schemas.openxmlformats.org/officeDocument/2006/relationships" r:embed="rId1485"/>
        <a:stretch>
          <a:fillRect/>
        </a:stretch>
      </xdr:blipFill>
      <xdr:spPr>
        <a:xfrm>
          <a:off x="7264400" y="1935727650"/>
          <a:ext cx="878840" cy="1183640"/>
        </a:xfrm>
        <a:prstGeom prst="rect">
          <a:avLst/>
        </a:prstGeom>
      </xdr:spPr>
    </xdr:pic>
    <xdr:clientData/>
  </xdr:twoCellAnchor>
  <xdr:twoCellAnchor>
    <xdr:from>
      <xdr:col>8</xdr:col>
      <xdr:colOff>6350</xdr:colOff>
      <xdr:row>1953</xdr:row>
      <xdr:rowOff>25400</xdr:rowOff>
    </xdr:from>
    <xdr:to>
      <xdr:col>8</xdr:col>
      <xdr:colOff>885190</xdr:colOff>
      <xdr:row>1953</xdr:row>
      <xdr:rowOff>1209040</xdr:rowOff>
    </xdr:to>
    <xdr:pic>
      <xdr:nvPicPr>
        <xdr:cNvPr id="5737" name="Изображение 5736" descr="resizeПП-00234861"/>
        <xdr:cNvPicPr>
          <a:picLocks noChangeAspect="1"/>
        </xdr:cNvPicPr>
      </xdr:nvPicPr>
      <xdr:blipFill>
        <a:blip xmlns:r="http://schemas.openxmlformats.org/officeDocument/2006/relationships" r:embed="rId1486"/>
        <a:stretch>
          <a:fillRect/>
        </a:stretch>
      </xdr:blipFill>
      <xdr:spPr>
        <a:xfrm>
          <a:off x="7264400" y="1936950025"/>
          <a:ext cx="878840" cy="1183640"/>
        </a:xfrm>
        <a:prstGeom prst="rect">
          <a:avLst/>
        </a:prstGeom>
      </xdr:spPr>
    </xdr:pic>
    <xdr:clientData/>
  </xdr:twoCellAnchor>
  <xdr:twoCellAnchor>
    <xdr:from>
      <xdr:col>8</xdr:col>
      <xdr:colOff>6350</xdr:colOff>
      <xdr:row>1954</xdr:row>
      <xdr:rowOff>25400</xdr:rowOff>
    </xdr:from>
    <xdr:to>
      <xdr:col>8</xdr:col>
      <xdr:colOff>885190</xdr:colOff>
      <xdr:row>1954</xdr:row>
      <xdr:rowOff>1209040</xdr:rowOff>
    </xdr:to>
    <xdr:pic>
      <xdr:nvPicPr>
        <xdr:cNvPr id="5738" name="Изображение 5737" descr="resizeПП-00234864"/>
        <xdr:cNvPicPr>
          <a:picLocks noChangeAspect="1"/>
        </xdr:cNvPicPr>
      </xdr:nvPicPr>
      <xdr:blipFill>
        <a:blip xmlns:r="http://schemas.openxmlformats.org/officeDocument/2006/relationships" r:embed="rId1487"/>
        <a:stretch>
          <a:fillRect/>
        </a:stretch>
      </xdr:blipFill>
      <xdr:spPr>
        <a:xfrm>
          <a:off x="7264400" y="1938172400"/>
          <a:ext cx="878840" cy="1183640"/>
        </a:xfrm>
        <a:prstGeom prst="rect">
          <a:avLst/>
        </a:prstGeom>
      </xdr:spPr>
    </xdr:pic>
    <xdr:clientData/>
  </xdr:twoCellAnchor>
  <xdr:twoCellAnchor>
    <xdr:from>
      <xdr:col>8</xdr:col>
      <xdr:colOff>6350</xdr:colOff>
      <xdr:row>1955</xdr:row>
      <xdr:rowOff>25400</xdr:rowOff>
    </xdr:from>
    <xdr:to>
      <xdr:col>8</xdr:col>
      <xdr:colOff>885190</xdr:colOff>
      <xdr:row>1955</xdr:row>
      <xdr:rowOff>1209040</xdr:rowOff>
    </xdr:to>
    <xdr:pic>
      <xdr:nvPicPr>
        <xdr:cNvPr id="5739" name="Изображение 5738" descr="resizeПП-00234865"/>
        <xdr:cNvPicPr>
          <a:picLocks noChangeAspect="1"/>
        </xdr:cNvPicPr>
      </xdr:nvPicPr>
      <xdr:blipFill>
        <a:blip xmlns:r="http://schemas.openxmlformats.org/officeDocument/2006/relationships" r:embed="rId1488"/>
        <a:stretch>
          <a:fillRect/>
        </a:stretch>
      </xdr:blipFill>
      <xdr:spPr>
        <a:xfrm>
          <a:off x="7264400" y="1939394775"/>
          <a:ext cx="878840" cy="1183640"/>
        </a:xfrm>
        <a:prstGeom prst="rect">
          <a:avLst/>
        </a:prstGeom>
      </xdr:spPr>
    </xdr:pic>
    <xdr:clientData/>
  </xdr:twoCellAnchor>
  <xdr:twoCellAnchor>
    <xdr:from>
      <xdr:col>8</xdr:col>
      <xdr:colOff>6350</xdr:colOff>
      <xdr:row>1956</xdr:row>
      <xdr:rowOff>25400</xdr:rowOff>
    </xdr:from>
    <xdr:to>
      <xdr:col>8</xdr:col>
      <xdr:colOff>885190</xdr:colOff>
      <xdr:row>1956</xdr:row>
      <xdr:rowOff>1209040</xdr:rowOff>
    </xdr:to>
    <xdr:pic>
      <xdr:nvPicPr>
        <xdr:cNvPr id="5740" name="Изображение 5739" descr="resizeПП-00228781"/>
        <xdr:cNvPicPr>
          <a:picLocks noChangeAspect="1"/>
        </xdr:cNvPicPr>
      </xdr:nvPicPr>
      <xdr:blipFill>
        <a:blip xmlns:r="http://schemas.openxmlformats.org/officeDocument/2006/relationships" r:embed="rId1489"/>
        <a:stretch>
          <a:fillRect/>
        </a:stretch>
      </xdr:blipFill>
      <xdr:spPr>
        <a:xfrm>
          <a:off x="7264400" y="1940617150"/>
          <a:ext cx="878840" cy="1183640"/>
        </a:xfrm>
        <a:prstGeom prst="rect">
          <a:avLst/>
        </a:prstGeom>
      </xdr:spPr>
    </xdr:pic>
    <xdr:clientData/>
  </xdr:twoCellAnchor>
  <xdr:twoCellAnchor>
    <xdr:from>
      <xdr:col>8</xdr:col>
      <xdr:colOff>6350</xdr:colOff>
      <xdr:row>1957</xdr:row>
      <xdr:rowOff>25400</xdr:rowOff>
    </xdr:from>
    <xdr:to>
      <xdr:col>8</xdr:col>
      <xdr:colOff>885190</xdr:colOff>
      <xdr:row>1957</xdr:row>
      <xdr:rowOff>1209040</xdr:rowOff>
    </xdr:to>
    <xdr:pic>
      <xdr:nvPicPr>
        <xdr:cNvPr id="5741" name="Изображение 5740" descr="resizeПП-00228780"/>
        <xdr:cNvPicPr>
          <a:picLocks noChangeAspect="1"/>
        </xdr:cNvPicPr>
      </xdr:nvPicPr>
      <xdr:blipFill>
        <a:blip xmlns:r="http://schemas.openxmlformats.org/officeDocument/2006/relationships" r:embed="rId1490"/>
        <a:stretch>
          <a:fillRect/>
        </a:stretch>
      </xdr:blipFill>
      <xdr:spPr>
        <a:xfrm>
          <a:off x="7264400" y="1941839525"/>
          <a:ext cx="878840" cy="1183640"/>
        </a:xfrm>
        <a:prstGeom prst="rect">
          <a:avLst/>
        </a:prstGeom>
      </xdr:spPr>
    </xdr:pic>
    <xdr:clientData/>
  </xdr:twoCellAnchor>
  <xdr:twoCellAnchor>
    <xdr:from>
      <xdr:col>8</xdr:col>
      <xdr:colOff>6350</xdr:colOff>
      <xdr:row>1958</xdr:row>
      <xdr:rowOff>25400</xdr:rowOff>
    </xdr:from>
    <xdr:to>
      <xdr:col>8</xdr:col>
      <xdr:colOff>885190</xdr:colOff>
      <xdr:row>1958</xdr:row>
      <xdr:rowOff>1209040</xdr:rowOff>
    </xdr:to>
    <xdr:pic>
      <xdr:nvPicPr>
        <xdr:cNvPr id="5742" name="Изображение 5741" descr="resizeПП-00269826"/>
        <xdr:cNvPicPr>
          <a:picLocks noChangeAspect="1"/>
        </xdr:cNvPicPr>
      </xdr:nvPicPr>
      <xdr:blipFill>
        <a:blip xmlns:r="http://schemas.openxmlformats.org/officeDocument/2006/relationships" r:embed="rId1491"/>
        <a:stretch>
          <a:fillRect/>
        </a:stretch>
      </xdr:blipFill>
      <xdr:spPr>
        <a:xfrm>
          <a:off x="7264400" y="1943061900"/>
          <a:ext cx="878840" cy="1183640"/>
        </a:xfrm>
        <a:prstGeom prst="rect">
          <a:avLst/>
        </a:prstGeom>
      </xdr:spPr>
    </xdr:pic>
    <xdr:clientData/>
  </xdr:twoCellAnchor>
  <xdr:twoCellAnchor>
    <xdr:from>
      <xdr:col>8</xdr:col>
      <xdr:colOff>6350</xdr:colOff>
      <xdr:row>1959</xdr:row>
      <xdr:rowOff>25400</xdr:rowOff>
    </xdr:from>
    <xdr:to>
      <xdr:col>8</xdr:col>
      <xdr:colOff>885190</xdr:colOff>
      <xdr:row>1959</xdr:row>
      <xdr:rowOff>1209040</xdr:rowOff>
    </xdr:to>
    <xdr:pic>
      <xdr:nvPicPr>
        <xdr:cNvPr id="5743" name="Изображение 5742" descr="resizeПП-00269830"/>
        <xdr:cNvPicPr>
          <a:picLocks noChangeAspect="1"/>
        </xdr:cNvPicPr>
      </xdr:nvPicPr>
      <xdr:blipFill>
        <a:blip xmlns:r="http://schemas.openxmlformats.org/officeDocument/2006/relationships" r:embed="rId1492"/>
        <a:stretch>
          <a:fillRect/>
        </a:stretch>
      </xdr:blipFill>
      <xdr:spPr>
        <a:xfrm>
          <a:off x="7264400" y="1944284275"/>
          <a:ext cx="878840" cy="1183640"/>
        </a:xfrm>
        <a:prstGeom prst="rect">
          <a:avLst/>
        </a:prstGeom>
      </xdr:spPr>
    </xdr:pic>
    <xdr:clientData/>
  </xdr:twoCellAnchor>
  <xdr:twoCellAnchor>
    <xdr:from>
      <xdr:col>8</xdr:col>
      <xdr:colOff>6350</xdr:colOff>
      <xdr:row>1960</xdr:row>
      <xdr:rowOff>25400</xdr:rowOff>
    </xdr:from>
    <xdr:to>
      <xdr:col>8</xdr:col>
      <xdr:colOff>885190</xdr:colOff>
      <xdr:row>1960</xdr:row>
      <xdr:rowOff>1209040</xdr:rowOff>
    </xdr:to>
    <xdr:pic>
      <xdr:nvPicPr>
        <xdr:cNvPr id="5744" name="Изображение 5743" descr="resizeПП-00269819"/>
        <xdr:cNvPicPr>
          <a:picLocks noChangeAspect="1"/>
        </xdr:cNvPicPr>
      </xdr:nvPicPr>
      <xdr:blipFill>
        <a:blip xmlns:r="http://schemas.openxmlformats.org/officeDocument/2006/relationships" r:embed="rId1493"/>
        <a:stretch>
          <a:fillRect/>
        </a:stretch>
      </xdr:blipFill>
      <xdr:spPr>
        <a:xfrm>
          <a:off x="7264400" y="1945506650"/>
          <a:ext cx="878840" cy="1183640"/>
        </a:xfrm>
        <a:prstGeom prst="rect">
          <a:avLst/>
        </a:prstGeom>
      </xdr:spPr>
    </xdr:pic>
    <xdr:clientData/>
  </xdr:twoCellAnchor>
  <xdr:twoCellAnchor>
    <xdr:from>
      <xdr:col>8</xdr:col>
      <xdr:colOff>6350</xdr:colOff>
      <xdr:row>1961</xdr:row>
      <xdr:rowOff>25400</xdr:rowOff>
    </xdr:from>
    <xdr:to>
      <xdr:col>8</xdr:col>
      <xdr:colOff>885190</xdr:colOff>
      <xdr:row>1961</xdr:row>
      <xdr:rowOff>1209040</xdr:rowOff>
    </xdr:to>
    <xdr:pic>
      <xdr:nvPicPr>
        <xdr:cNvPr id="5745" name="Изображение 5744" descr="resizeПП-00269828"/>
        <xdr:cNvPicPr>
          <a:picLocks noChangeAspect="1"/>
        </xdr:cNvPicPr>
      </xdr:nvPicPr>
      <xdr:blipFill>
        <a:blip xmlns:r="http://schemas.openxmlformats.org/officeDocument/2006/relationships" r:embed="rId1494"/>
        <a:stretch>
          <a:fillRect/>
        </a:stretch>
      </xdr:blipFill>
      <xdr:spPr>
        <a:xfrm>
          <a:off x="7264400" y="1946729025"/>
          <a:ext cx="878840" cy="1183640"/>
        </a:xfrm>
        <a:prstGeom prst="rect">
          <a:avLst/>
        </a:prstGeom>
      </xdr:spPr>
    </xdr:pic>
    <xdr:clientData/>
  </xdr:twoCellAnchor>
  <xdr:twoCellAnchor>
    <xdr:from>
      <xdr:col>8</xdr:col>
      <xdr:colOff>6350</xdr:colOff>
      <xdr:row>1962</xdr:row>
      <xdr:rowOff>25400</xdr:rowOff>
    </xdr:from>
    <xdr:to>
      <xdr:col>8</xdr:col>
      <xdr:colOff>885190</xdr:colOff>
      <xdr:row>1962</xdr:row>
      <xdr:rowOff>1209040</xdr:rowOff>
    </xdr:to>
    <xdr:pic>
      <xdr:nvPicPr>
        <xdr:cNvPr id="5746" name="Изображение 5745" descr="resizeПП-00269831"/>
        <xdr:cNvPicPr>
          <a:picLocks noChangeAspect="1"/>
        </xdr:cNvPicPr>
      </xdr:nvPicPr>
      <xdr:blipFill>
        <a:blip xmlns:r="http://schemas.openxmlformats.org/officeDocument/2006/relationships" r:embed="rId1495"/>
        <a:stretch>
          <a:fillRect/>
        </a:stretch>
      </xdr:blipFill>
      <xdr:spPr>
        <a:xfrm>
          <a:off x="7264400" y="1947951400"/>
          <a:ext cx="878840" cy="1183640"/>
        </a:xfrm>
        <a:prstGeom prst="rect">
          <a:avLst/>
        </a:prstGeom>
      </xdr:spPr>
    </xdr:pic>
    <xdr:clientData/>
  </xdr:twoCellAnchor>
  <xdr:twoCellAnchor>
    <xdr:from>
      <xdr:col>8</xdr:col>
      <xdr:colOff>6350</xdr:colOff>
      <xdr:row>1963</xdr:row>
      <xdr:rowOff>25400</xdr:rowOff>
    </xdr:from>
    <xdr:to>
      <xdr:col>8</xdr:col>
      <xdr:colOff>885190</xdr:colOff>
      <xdr:row>1963</xdr:row>
      <xdr:rowOff>1209040</xdr:rowOff>
    </xdr:to>
    <xdr:pic>
      <xdr:nvPicPr>
        <xdr:cNvPr id="5747" name="Изображение 5746" descr="resizeПП-00269821"/>
        <xdr:cNvPicPr>
          <a:picLocks noChangeAspect="1"/>
        </xdr:cNvPicPr>
      </xdr:nvPicPr>
      <xdr:blipFill>
        <a:blip xmlns:r="http://schemas.openxmlformats.org/officeDocument/2006/relationships" r:embed="rId1496"/>
        <a:stretch>
          <a:fillRect/>
        </a:stretch>
      </xdr:blipFill>
      <xdr:spPr>
        <a:xfrm>
          <a:off x="7264400" y="1949173775"/>
          <a:ext cx="878840" cy="1183640"/>
        </a:xfrm>
        <a:prstGeom prst="rect">
          <a:avLst/>
        </a:prstGeom>
      </xdr:spPr>
    </xdr:pic>
    <xdr:clientData/>
  </xdr:twoCellAnchor>
  <xdr:twoCellAnchor>
    <xdr:from>
      <xdr:col>8</xdr:col>
      <xdr:colOff>6350</xdr:colOff>
      <xdr:row>1969</xdr:row>
      <xdr:rowOff>25400</xdr:rowOff>
    </xdr:from>
    <xdr:to>
      <xdr:col>8</xdr:col>
      <xdr:colOff>885190</xdr:colOff>
      <xdr:row>1969</xdr:row>
      <xdr:rowOff>1209040</xdr:rowOff>
    </xdr:to>
    <xdr:pic>
      <xdr:nvPicPr>
        <xdr:cNvPr id="5748" name="Изображение 5747" descr="resizeПП-00255916"/>
        <xdr:cNvPicPr>
          <a:picLocks noChangeAspect="1"/>
        </xdr:cNvPicPr>
      </xdr:nvPicPr>
      <xdr:blipFill>
        <a:blip xmlns:r="http://schemas.openxmlformats.org/officeDocument/2006/relationships" r:embed="rId1497"/>
        <a:stretch>
          <a:fillRect/>
        </a:stretch>
      </xdr:blipFill>
      <xdr:spPr>
        <a:xfrm>
          <a:off x="7264400" y="1951158150"/>
          <a:ext cx="878840" cy="1183640"/>
        </a:xfrm>
        <a:prstGeom prst="rect">
          <a:avLst/>
        </a:prstGeom>
      </xdr:spPr>
    </xdr:pic>
    <xdr:clientData/>
  </xdr:twoCellAnchor>
  <xdr:twoCellAnchor>
    <xdr:from>
      <xdr:col>8</xdr:col>
      <xdr:colOff>6350</xdr:colOff>
      <xdr:row>1970</xdr:row>
      <xdr:rowOff>25400</xdr:rowOff>
    </xdr:from>
    <xdr:to>
      <xdr:col>8</xdr:col>
      <xdr:colOff>885190</xdr:colOff>
      <xdr:row>1970</xdr:row>
      <xdr:rowOff>1209040</xdr:rowOff>
    </xdr:to>
    <xdr:pic>
      <xdr:nvPicPr>
        <xdr:cNvPr id="5749" name="Изображение 5748" descr="resizeПП-00255915"/>
        <xdr:cNvPicPr>
          <a:picLocks noChangeAspect="1"/>
        </xdr:cNvPicPr>
      </xdr:nvPicPr>
      <xdr:blipFill>
        <a:blip xmlns:r="http://schemas.openxmlformats.org/officeDocument/2006/relationships" r:embed="rId1498"/>
        <a:stretch>
          <a:fillRect/>
        </a:stretch>
      </xdr:blipFill>
      <xdr:spPr>
        <a:xfrm>
          <a:off x="7264400" y="1952380525"/>
          <a:ext cx="878840" cy="1183640"/>
        </a:xfrm>
        <a:prstGeom prst="rect">
          <a:avLst/>
        </a:prstGeom>
      </xdr:spPr>
    </xdr:pic>
    <xdr:clientData/>
  </xdr:twoCellAnchor>
  <xdr:twoCellAnchor>
    <xdr:from>
      <xdr:col>8</xdr:col>
      <xdr:colOff>6350</xdr:colOff>
      <xdr:row>1972</xdr:row>
      <xdr:rowOff>25400</xdr:rowOff>
    </xdr:from>
    <xdr:to>
      <xdr:col>8</xdr:col>
      <xdr:colOff>885190</xdr:colOff>
      <xdr:row>1972</xdr:row>
      <xdr:rowOff>1209040</xdr:rowOff>
    </xdr:to>
    <xdr:pic>
      <xdr:nvPicPr>
        <xdr:cNvPr id="5750" name="Изображение 5749" descr="resizeПП-00275108"/>
        <xdr:cNvPicPr>
          <a:picLocks noChangeAspect="1"/>
        </xdr:cNvPicPr>
      </xdr:nvPicPr>
      <xdr:blipFill>
        <a:blip xmlns:r="http://schemas.openxmlformats.org/officeDocument/2006/relationships" r:embed="rId1499"/>
        <a:stretch>
          <a:fillRect/>
        </a:stretch>
      </xdr:blipFill>
      <xdr:spPr>
        <a:xfrm>
          <a:off x="7264400" y="1953755300"/>
          <a:ext cx="878840" cy="1183640"/>
        </a:xfrm>
        <a:prstGeom prst="rect">
          <a:avLst/>
        </a:prstGeom>
      </xdr:spPr>
    </xdr:pic>
    <xdr:clientData/>
  </xdr:twoCellAnchor>
  <xdr:twoCellAnchor>
    <xdr:from>
      <xdr:col>8</xdr:col>
      <xdr:colOff>6350</xdr:colOff>
      <xdr:row>1973</xdr:row>
      <xdr:rowOff>25400</xdr:rowOff>
    </xdr:from>
    <xdr:to>
      <xdr:col>8</xdr:col>
      <xdr:colOff>885190</xdr:colOff>
      <xdr:row>1973</xdr:row>
      <xdr:rowOff>1209040</xdr:rowOff>
    </xdr:to>
    <xdr:pic>
      <xdr:nvPicPr>
        <xdr:cNvPr id="5751" name="Изображение 5750" descr="resizeПП-00227871"/>
        <xdr:cNvPicPr>
          <a:picLocks noChangeAspect="1"/>
        </xdr:cNvPicPr>
      </xdr:nvPicPr>
      <xdr:blipFill>
        <a:blip xmlns:r="http://schemas.openxmlformats.org/officeDocument/2006/relationships" r:embed="rId1500"/>
        <a:stretch>
          <a:fillRect/>
        </a:stretch>
      </xdr:blipFill>
      <xdr:spPr>
        <a:xfrm>
          <a:off x="7264400" y="1954977675"/>
          <a:ext cx="878840" cy="1183640"/>
        </a:xfrm>
        <a:prstGeom prst="rect">
          <a:avLst/>
        </a:prstGeom>
      </xdr:spPr>
    </xdr:pic>
    <xdr:clientData/>
  </xdr:twoCellAnchor>
  <xdr:twoCellAnchor>
    <xdr:from>
      <xdr:col>8</xdr:col>
      <xdr:colOff>6350</xdr:colOff>
      <xdr:row>1974</xdr:row>
      <xdr:rowOff>25400</xdr:rowOff>
    </xdr:from>
    <xdr:to>
      <xdr:col>8</xdr:col>
      <xdr:colOff>885190</xdr:colOff>
      <xdr:row>1974</xdr:row>
      <xdr:rowOff>1209040</xdr:rowOff>
    </xdr:to>
    <xdr:pic>
      <xdr:nvPicPr>
        <xdr:cNvPr id="5752" name="Изображение 5751" descr="resizeПП-00227870"/>
        <xdr:cNvPicPr>
          <a:picLocks noChangeAspect="1"/>
        </xdr:cNvPicPr>
      </xdr:nvPicPr>
      <xdr:blipFill>
        <a:blip xmlns:r="http://schemas.openxmlformats.org/officeDocument/2006/relationships" r:embed="rId1501"/>
        <a:stretch>
          <a:fillRect/>
        </a:stretch>
      </xdr:blipFill>
      <xdr:spPr>
        <a:xfrm>
          <a:off x="7264400" y="1956200050"/>
          <a:ext cx="878840" cy="1183640"/>
        </a:xfrm>
        <a:prstGeom prst="rect">
          <a:avLst/>
        </a:prstGeom>
      </xdr:spPr>
    </xdr:pic>
    <xdr:clientData/>
  </xdr:twoCellAnchor>
  <xdr:twoCellAnchor>
    <xdr:from>
      <xdr:col>8</xdr:col>
      <xdr:colOff>6350</xdr:colOff>
      <xdr:row>1975</xdr:row>
      <xdr:rowOff>25400</xdr:rowOff>
    </xdr:from>
    <xdr:to>
      <xdr:col>8</xdr:col>
      <xdr:colOff>885190</xdr:colOff>
      <xdr:row>1975</xdr:row>
      <xdr:rowOff>1209040</xdr:rowOff>
    </xdr:to>
    <xdr:pic>
      <xdr:nvPicPr>
        <xdr:cNvPr id="5753" name="Изображение 5752" descr="resizeПП-00227869"/>
        <xdr:cNvPicPr>
          <a:picLocks noChangeAspect="1"/>
        </xdr:cNvPicPr>
      </xdr:nvPicPr>
      <xdr:blipFill>
        <a:blip xmlns:r="http://schemas.openxmlformats.org/officeDocument/2006/relationships" r:embed="rId1502"/>
        <a:stretch>
          <a:fillRect/>
        </a:stretch>
      </xdr:blipFill>
      <xdr:spPr>
        <a:xfrm>
          <a:off x="7264400" y="1957422425"/>
          <a:ext cx="878840" cy="1183640"/>
        </a:xfrm>
        <a:prstGeom prst="rect">
          <a:avLst/>
        </a:prstGeom>
      </xdr:spPr>
    </xdr:pic>
    <xdr:clientData/>
  </xdr:twoCellAnchor>
  <xdr:twoCellAnchor>
    <xdr:from>
      <xdr:col>8</xdr:col>
      <xdr:colOff>6350</xdr:colOff>
      <xdr:row>1976</xdr:row>
      <xdr:rowOff>25400</xdr:rowOff>
    </xdr:from>
    <xdr:to>
      <xdr:col>8</xdr:col>
      <xdr:colOff>885190</xdr:colOff>
      <xdr:row>1976</xdr:row>
      <xdr:rowOff>1209040</xdr:rowOff>
    </xdr:to>
    <xdr:pic>
      <xdr:nvPicPr>
        <xdr:cNvPr id="5754" name="Изображение 5753" descr="resizeПП-00227868"/>
        <xdr:cNvPicPr>
          <a:picLocks noChangeAspect="1"/>
        </xdr:cNvPicPr>
      </xdr:nvPicPr>
      <xdr:blipFill>
        <a:blip xmlns:r="http://schemas.openxmlformats.org/officeDocument/2006/relationships" r:embed="rId1503"/>
        <a:stretch>
          <a:fillRect/>
        </a:stretch>
      </xdr:blipFill>
      <xdr:spPr>
        <a:xfrm>
          <a:off x="7264400" y="1958644800"/>
          <a:ext cx="878840" cy="1183640"/>
        </a:xfrm>
        <a:prstGeom prst="rect">
          <a:avLst/>
        </a:prstGeom>
      </xdr:spPr>
    </xdr:pic>
    <xdr:clientData/>
  </xdr:twoCellAnchor>
  <xdr:twoCellAnchor>
    <xdr:from>
      <xdr:col>8</xdr:col>
      <xdr:colOff>6350</xdr:colOff>
      <xdr:row>1978</xdr:row>
      <xdr:rowOff>25400</xdr:rowOff>
    </xdr:from>
    <xdr:to>
      <xdr:col>8</xdr:col>
      <xdr:colOff>885190</xdr:colOff>
      <xdr:row>1978</xdr:row>
      <xdr:rowOff>1209040</xdr:rowOff>
    </xdr:to>
    <xdr:pic>
      <xdr:nvPicPr>
        <xdr:cNvPr id="5755" name="Изображение 5754" descr="resizeПП-00255913"/>
        <xdr:cNvPicPr>
          <a:picLocks noChangeAspect="1"/>
        </xdr:cNvPicPr>
      </xdr:nvPicPr>
      <xdr:blipFill>
        <a:blip xmlns:r="http://schemas.openxmlformats.org/officeDocument/2006/relationships" r:embed="rId1504"/>
        <a:stretch>
          <a:fillRect/>
        </a:stretch>
      </xdr:blipFill>
      <xdr:spPr>
        <a:xfrm>
          <a:off x="7264400" y="1960019575"/>
          <a:ext cx="878840" cy="1183640"/>
        </a:xfrm>
        <a:prstGeom prst="rect">
          <a:avLst/>
        </a:prstGeom>
      </xdr:spPr>
    </xdr:pic>
    <xdr:clientData/>
  </xdr:twoCellAnchor>
  <xdr:twoCellAnchor>
    <xdr:from>
      <xdr:col>8</xdr:col>
      <xdr:colOff>6350</xdr:colOff>
      <xdr:row>1980</xdr:row>
      <xdr:rowOff>25400</xdr:rowOff>
    </xdr:from>
    <xdr:to>
      <xdr:col>8</xdr:col>
      <xdr:colOff>885190</xdr:colOff>
      <xdr:row>1980</xdr:row>
      <xdr:rowOff>1209040</xdr:rowOff>
    </xdr:to>
    <xdr:pic>
      <xdr:nvPicPr>
        <xdr:cNvPr id="5756" name="Изображение 5755" descr="resizeПП-00233659"/>
        <xdr:cNvPicPr>
          <a:picLocks noChangeAspect="1"/>
        </xdr:cNvPicPr>
      </xdr:nvPicPr>
      <xdr:blipFill>
        <a:blip xmlns:r="http://schemas.openxmlformats.org/officeDocument/2006/relationships" r:embed="rId1505"/>
        <a:stretch>
          <a:fillRect/>
        </a:stretch>
      </xdr:blipFill>
      <xdr:spPr>
        <a:xfrm>
          <a:off x="7264400" y="1961394350"/>
          <a:ext cx="878840" cy="1183640"/>
        </a:xfrm>
        <a:prstGeom prst="rect">
          <a:avLst/>
        </a:prstGeom>
      </xdr:spPr>
    </xdr:pic>
    <xdr:clientData/>
  </xdr:twoCellAnchor>
  <xdr:twoCellAnchor>
    <xdr:from>
      <xdr:col>8</xdr:col>
      <xdr:colOff>6350</xdr:colOff>
      <xdr:row>1981</xdr:row>
      <xdr:rowOff>25400</xdr:rowOff>
    </xdr:from>
    <xdr:to>
      <xdr:col>8</xdr:col>
      <xdr:colOff>885190</xdr:colOff>
      <xdr:row>1981</xdr:row>
      <xdr:rowOff>1209040</xdr:rowOff>
    </xdr:to>
    <xdr:pic>
      <xdr:nvPicPr>
        <xdr:cNvPr id="5757" name="Изображение 5756" descr="resizeПП-00233661"/>
        <xdr:cNvPicPr>
          <a:picLocks noChangeAspect="1"/>
        </xdr:cNvPicPr>
      </xdr:nvPicPr>
      <xdr:blipFill>
        <a:blip xmlns:r="http://schemas.openxmlformats.org/officeDocument/2006/relationships" r:embed="rId1506"/>
        <a:stretch>
          <a:fillRect/>
        </a:stretch>
      </xdr:blipFill>
      <xdr:spPr>
        <a:xfrm>
          <a:off x="7264400" y="1962616725"/>
          <a:ext cx="878840" cy="1183640"/>
        </a:xfrm>
        <a:prstGeom prst="rect">
          <a:avLst/>
        </a:prstGeom>
      </xdr:spPr>
    </xdr:pic>
    <xdr:clientData/>
  </xdr:twoCellAnchor>
  <xdr:twoCellAnchor>
    <xdr:from>
      <xdr:col>8</xdr:col>
      <xdr:colOff>6350</xdr:colOff>
      <xdr:row>1983</xdr:row>
      <xdr:rowOff>25400</xdr:rowOff>
    </xdr:from>
    <xdr:to>
      <xdr:col>8</xdr:col>
      <xdr:colOff>885190</xdr:colOff>
      <xdr:row>1983</xdr:row>
      <xdr:rowOff>1209040</xdr:rowOff>
    </xdr:to>
    <xdr:pic>
      <xdr:nvPicPr>
        <xdr:cNvPr id="5758" name="Изображение 5757" descr="resizeПП-00269089"/>
        <xdr:cNvPicPr>
          <a:picLocks noChangeAspect="1"/>
        </xdr:cNvPicPr>
      </xdr:nvPicPr>
      <xdr:blipFill>
        <a:blip xmlns:r="http://schemas.openxmlformats.org/officeDocument/2006/relationships" r:embed="rId1507"/>
        <a:stretch>
          <a:fillRect/>
        </a:stretch>
      </xdr:blipFill>
      <xdr:spPr>
        <a:xfrm>
          <a:off x="7264400" y="1963991500"/>
          <a:ext cx="878840" cy="1183640"/>
        </a:xfrm>
        <a:prstGeom prst="rect">
          <a:avLst/>
        </a:prstGeom>
      </xdr:spPr>
    </xdr:pic>
    <xdr:clientData/>
  </xdr:twoCellAnchor>
  <xdr:twoCellAnchor>
    <xdr:from>
      <xdr:col>8</xdr:col>
      <xdr:colOff>6350</xdr:colOff>
      <xdr:row>1984</xdr:row>
      <xdr:rowOff>25400</xdr:rowOff>
    </xdr:from>
    <xdr:to>
      <xdr:col>8</xdr:col>
      <xdr:colOff>885190</xdr:colOff>
      <xdr:row>1984</xdr:row>
      <xdr:rowOff>1209040</xdr:rowOff>
    </xdr:to>
    <xdr:pic>
      <xdr:nvPicPr>
        <xdr:cNvPr id="5759" name="Изображение 5758" descr="resizeПП-00269093"/>
        <xdr:cNvPicPr>
          <a:picLocks noChangeAspect="1"/>
        </xdr:cNvPicPr>
      </xdr:nvPicPr>
      <xdr:blipFill>
        <a:blip xmlns:r="http://schemas.openxmlformats.org/officeDocument/2006/relationships" r:embed="rId1508"/>
        <a:stretch>
          <a:fillRect/>
        </a:stretch>
      </xdr:blipFill>
      <xdr:spPr>
        <a:xfrm>
          <a:off x="7264400" y="1965213875"/>
          <a:ext cx="878840" cy="1183640"/>
        </a:xfrm>
        <a:prstGeom prst="rect">
          <a:avLst/>
        </a:prstGeom>
      </xdr:spPr>
    </xdr:pic>
    <xdr:clientData/>
  </xdr:twoCellAnchor>
  <xdr:twoCellAnchor>
    <xdr:from>
      <xdr:col>8</xdr:col>
      <xdr:colOff>6350</xdr:colOff>
      <xdr:row>1985</xdr:row>
      <xdr:rowOff>25400</xdr:rowOff>
    </xdr:from>
    <xdr:to>
      <xdr:col>8</xdr:col>
      <xdr:colOff>885190</xdr:colOff>
      <xdr:row>1985</xdr:row>
      <xdr:rowOff>1209040</xdr:rowOff>
    </xdr:to>
    <xdr:pic>
      <xdr:nvPicPr>
        <xdr:cNvPr id="5760" name="Изображение 5759" descr="resizeПП-00269091"/>
        <xdr:cNvPicPr>
          <a:picLocks noChangeAspect="1"/>
        </xdr:cNvPicPr>
      </xdr:nvPicPr>
      <xdr:blipFill>
        <a:blip xmlns:r="http://schemas.openxmlformats.org/officeDocument/2006/relationships" r:embed="rId1509"/>
        <a:stretch>
          <a:fillRect/>
        </a:stretch>
      </xdr:blipFill>
      <xdr:spPr>
        <a:xfrm>
          <a:off x="7264400" y="1966436250"/>
          <a:ext cx="878840" cy="1183640"/>
        </a:xfrm>
        <a:prstGeom prst="rect">
          <a:avLst/>
        </a:prstGeom>
      </xdr:spPr>
    </xdr:pic>
    <xdr:clientData/>
  </xdr:twoCellAnchor>
  <xdr:twoCellAnchor>
    <xdr:from>
      <xdr:col>8</xdr:col>
      <xdr:colOff>6350</xdr:colOff>
      <xdr:row>1987</xdr:row>
      <xdr:rowOff>25400</xdr:rowOff>
    </xdr:from>
    <xdr:to>
      <xdr:col>8</xdr:col>
      <xdr:colOff>885190</xdr:colOff>
      <xdr:row>1987</xdr:row>
      <xdr:rowOff>1209040</xdr:rowOff>
    </xdr:to>
    <xdr:pic>
      <xdr:nvPicPr>
        <xdr:cNvPr id="5761" name="Изображение 5760" descr="resizeПП-00234849"/>
        <xdr:cNvPicPr>
          <a:picLocks noChangeAspect="1"/>
        </xdr:cNvPicPr>
      </xdr:nvPicPr>
      <xdr:blipFill>
        <a:blip xmlns:r="http://schemas.openxmlformats.org/officeDocument/2006/relationships" r:embed="rId1510"/>
        <a:stretch>
          <a:fillRect/>
        </a:stretch>
      </xdr:blipFill>
      <xdr:spPr>
        <a:xfrm>
          <a:off x="7264400" y="1967811025"/>
          <a:ext cx="878840" cy="1183640"/>
        </a:xfrm>
        <a:prstGeom prst="rect">
          <a:avLst/>
        </a:prstGeom>
      </xdr:spPr>
    </xdr:pic>
    <xdr:clientData/>
  </xdr:twoCellAnchor>
  <xdr:twoCellAnchor>
    <xdr:from>
      <xdr:col>8</xdr:col>
      <xdr:colOff>6350</xdr:colOff>
      <xdr:row>1989</xdr:row>
      <xdr:rowOff>25400</xdr:rowOff>
    </xdr:from>
    <xdr:to>
      <xdr:col>8</xdr:col>
      <xdr:colOff>885190</xdr:colOff>
      <xdr:row>1989</xdr:row>
      <xdr:rowOff>1209040</xdr:rowOff>
    </xdr:to>
    <xdr:pic>
      <xdr:nvPicPr>
        <xdr:cNvPr id="5762" name="Изображение 5761" descr="resizeПП-00275152"/>
        <xdr:cNvPicPr>
          <a:picLocks noChangeAspect="1"/>
        </xdr:cNvPicPr>
      </xdr:nvPicPr>
      <xdr:blipFill>
        <a:blip xmlns:r="http://schemas.openxmlformats.org/officeDocument/2006/relationships" r:embed="rId1511"/>
        <a:stretch>
          <a:fillRect/>
        </a:stretch>
      </xdr:blipFill>
      <xdr:spPr>
        <a:xfrm>
          <a:off x="7264400" y="1969185800"/>
          <a:ext cx="878840" cy="1183640"/>
        </a:xfrm>
        <a:prstGeom prst="rect">
          <a:avLst/>
        </a:prstGeom>
      </xdr:spPr>
    </xdr:pic>
    <xdr:clientData/>
  </xdr:twoCellAnchor>
  <xdr:twoCellAnchor>
    <xdr:from>
      <xdr:col>8</xdr:col>
      <xdr:colOff>6350</xdr:colOff>
      <xdr:row>1990</xdr:row>
      <xdr:rowOff>25400</xdr:rowOff>
    </xdr:from>
    <xdr:to>
      <xdr:col>8</xdr:col>
      <xdr:colOff>885190</xdr:colOff>
      <xdr:row>1990</xdr:row>
      <xdr:rowOff>1209040</xdr:rowOff>
    </xdr:to>
    <xdr:pic>
      <xdr:nvPicPr>
        <xdr:cNvPr id="5763" name="Изображение 5762" descr="resizeПП-00257878"/>
        <xdr:cNvPicPr>
          <a:picLocks noChangeAspect="1"/>
        </xdr:cNvPicPr>
      </xdr:nvPicPr>
      <xdr:blipFill>
        <a:blip xmlns:r="http://schemas.openxmlformats.org/officeDocument/2006/relationships" r:embed="rId1512"/>
        <a:stretch>
          <a:fillRect/>
        </a:stretch>
      </xdr:blipFill>
      <xdr:spPr>
        <a:xfrm>
          <a:off x="7264400" y="1970408175"/>
          <a:ext cx="878840" cy="1183640"/>
        </a:xfrm>
        <a:prstGeom prst="rect">
          <a:avLst/>
        </a:prstGeom>
      </xdr:spPr>
    </xdr:pic>
    <xdr:clientData/>
  </xdr:twoCellAnchor>
  <xdr:twoCellAnchor>
    <xdr:from>
      <xdr:col>8</xdr:col>
      <xdr:colOff>6350</xdr:colOff>
      <xdr:row>1991</xdr:row>
      <xdr:rowOff>25400</xdr:rowOff>
    </xdr:from>
    <xdr:to>
      <xdr:col>8</xdr:col>
      <xdr:colOff>885190</xdr:colOff>
      <xdr:row>1991</xdr:row>
      <xdr:rowOff>1209040</xdr:rowOff>
    </xdr:to>
    <xdr:pic>
      <xdr:nvPicPr>
        <xdr:cNvPr id="5764" name="Изображение 5763" descr="resizeПП-00275151"/>
        <xdr:cNvPicPr>
          <a:picLocks noChangeAspect="1"/>
        </xdr:cNvPicPr>
      </xdr:nvPicPr>
      <xdr:blipFill>
        <a:blip xmlns:r="http://schemas.openxmlformats.org/officeDocument/2006/relationships" r:embed="rId1513"/>
        <a:stretch>
          <a:fillRect/>
        </a:stretch>
      </xdr:blipFill>
      <xdr:spPr>
        <a:xfrm>
          <a:off x="7264400" y="1971630550"/>
          <a:ext cx="878840" cy="1183640"/>
        </a:xfrm>
        <a:prstGeom prst="rect">
          <a:avLst/>
        </a:prstGeom>
      </xdr:spPr>
    </xdr:pic>
    <xdr:clientData/>
  </xdr:twoCellAnchor>
  <xdr:twoCellAnchor>
    <xdr:from>
      <xdr:col>8</xdr:col>
      <xdr:colOff>6350</xdr:colOff>
      <xdr:row>1992</xdr:row>
      <xdr:rowOff>25400</xdr:rowOff>
    </xdr:from>
    <xdr:to>
      <xdr:col>8</xdr:col>
      <xdr:colOff>885190</xdr:colOff>
      <xdr:row>1992</xdr:row>
      <xdr:rowOff>1209040</xdr:rowOff>
    </xdr:to>
    <xdr:pic>
      <xdr:nvPicPr>
        <xdr:cNvPr id="5765" name="Изображение 5764" descr="resizeПП-00275153"/>
        <xdr:cNvPicPr>
          <a:picLocks noChangeAspect="1"/>
        </xdr:cNvPicPr>
      </xdr:nvPicPr>
      <xdr:blipFill>
        <a:blip xmlns:r="http://schemas.openxmlformats.org/officeDocument/2006/relationships" r:embed="rId1514"/>
        <a:stretch>
          <a:fillRect/>
        </a:stretch>
      </xdr:blipFill>
      <xdr:spPr>
        <a:xfrm>
          <a:off x="7264400" y="1972852925"/>
          <a:ext cx="878840" cy="1183640"/>
        </a:xfrm>
        <a:prstGeom prst="rect">
          <a:avLst/>
        </a:prstGeom>
      </xdr:spPr>
    </xdr:pic>
    <xdr:clientData/>
  </xdr:twoCellAnchor>
  <xdr:twoCellAnchor>
    <xdr:from>
      <xdr:col>8</xdr:col>
      <xdr:colOff>6350</xdr:colOff>
      <xdr:row>1993</xdr:row>
      <xdr:rowOff>25400</xdr:rowOff>
    </xdr:from>
    <xdr:to>
      <xdr:col>8</xdr:col>
      <xdr:colOff>885190</xdr:colOff>
      <xdr:row>1993</xdr:row>
      <xdr:rowOff>1209040</xdr:rowOff>
    </xdr:to>
    <xdr:pic>
      <xdr:nvPicPr>
        <xdr:cNvPr id="5766" name="Изображение 5765" descr="resizeПП-00275150"/>
        <xdr:cNvPicPr>
          <a:picLocks noChangeAspect="1"/>
        </xdr:cNvPicPr>
      </xdr:nvPicPr>
      <xdr:blipFill>
        <a:blip xmlns:r="http://schemas.openxmlformats.org/officeDocument/2006/relationships" r:embed="rId1515"/>
        <a:stretch>
          <a:fillRect/>
        </a:stretch>
      </xdr:blipFill>
      <xdr:spPr>
        <a:xfrm>
          <a:off x="7264400" y="1974075300"/>
          <a:ext cx="878840" cy="1183640"/>
        </a:xfrm>
        <a:prstGeom prst="rect">
          <a:avLst/>
        </a:prstGeom>
      </xdr:spPr>
    </xdr:pic>
    <xdr:clientData/>
  </xdr:twoCellAnchor>
  <xdr:twoCellAnchor>
    <xdr:from>
      <xdr:col>8</xdr:col>
      <xdr:colOff>6350</xdr:colOff>
      <xdr:row>1994</xdr:row>
      <xdr:rowOff>25400</xdr:rowOff>
    </xdr:from>
    <xdr:to>
      <xdr:col>8</xdr:col>
      <xdr:colOff>885190</xdr:colOff>
      <xdr:row>1994</xdr:row>
      <xdr:rowOff>1209040</xdr:rowOff>
    </xdr:to>
    <xdr:pic>
      <xdr:nvPicPr>
        <xdr:cNvPr id="5767" name="Изображение 5766" descr="resizeПП-00257877"/>
        <xdr:cNvPicPr>
          <a:picLocks noChangeAspect="1"/>
        </xdr:cNvPicPr>
      </xdr:nvPicPr>
      <xdr:blipFill>
        <a:blip xmlns:r="http://schemas.openxmlformats.org/officeDocument/2006/relationships" r:embed="rId1516"/>
        <a:stretch>
          <a:fillRect/>
        </a:stretch>
      </xdr:blipFill>
      <xdr:spPr>
        <a:xfrm>
          <a:off x="7264400" y="1975297675"/>
          <a:ext cx="878840" cy="1183640"/>
        </a:xfrm>
        <a:prstGeom prst="rect">
          <a:avLst/>
        </a:prstGeom>
      </xdr:spPr>
    </xdr:pic>
    <xdr:clientData/>
  </xdr:twoCellAnchor>
  <xdr:twoCellAnchor>
    <xdr:from>
      <xdr:col>8</xdr:col>
      <xdr:colOff>6350</xdr:colOff>
      <xdr:row>1995</xdr:row>
      <xdr:rowOff>25400</xdr:rowOff>
    </xdr:from>
    <xdr:to>
      <xdr:col>8</xdr:col>
      <xdr:colOff>885190</xdr:colOff>
      <xdr:row>1995</xdr:row>
      <xdr:rowOff>1209040</xdr:rowOff>
    </xdr:to>
    <xdr:pic>
      <xdr:nvPicPr>
        <xdr:cNvPr id="5768" name="Изображение 5767" descr="resizeПП-00275148"/>
        <xdr:cNvPicPr>
          <a:picLocks noChangeAspect="1"/>
        </xdr:cNvPicPr>
      </xdr:nvPicPr>
      <xdr:blipFill>
        <a:blip xmlns:r="http://schemas.openxmlformats.org/officeDocument/2006/relationships" r:embed="rId1517"/>
        <a:stretch>
          <a:fillRect/>
        </a:stretch>
      </xdr:blipFill>
      <xdr:spPr>
        <a:xfrm>
          <a:off x="7264400" y="1976520050"/>
          <a:ext cx="878840" cy="1183640"/>
        </a:xfrm>
        <a:prstGeom prst="rect">
          <a:avLst/>
        </a:prstGeom>
      </xdr:spPr>
    </xdr:pic>
    <xdr:clientData/>
  </xdr:twoCellAnchor>
  <xdr:twoCellAnchor>
    <xdr:from>
      <xdr:col>8</xdr:col>
      <xdr:colOff>6350</xdr:colOff>
      <xdr:row>1996</xdr:row>
      <xdr:rowOff>25400</xdr:rowOff>
    </xdr:from>
    <xdr:to>
      <xdr:col>8</xdr:col>
      <xdr:colOff>885190</xdr:colOff>
      <xdr:row>1996</xdr:row>
      <xdr:rowOff>1209040</xdr:rowOff>
    </xdr:to>
    <xdr:pic>
      <xdr:nvPicPr>
        <xdr:cNvPr id="5769" name="Изображение 5768" descr="resizeПП-00275147"/>
        <xdr:cNvPicPr>
          <a:picLocks noChangeAspect="1"/>
        </xdr:cNvPicPr>
      </xdr:nvPicPr>
      <xdr:blipFill>
        <a:blip xmlns:r="http://schemas.openxmlformats.org/officeDocument/2006/relationships" r:embed="rId1518"/>
        <a:stretch>
          <a:fillRect/>
        </a:stretch>
      </xdr:blipFill>
      <xdr:spPr>
        <a:xfrm>
          <a:off x="7264400" y="1977742425"/>
          <a:ext cx="878840" cy="1183640"/>
        </a:xfrm>
        <a:prstGeom prst="rect">
          <a:avLst/>
        </a:prstGeom>
      </xdr:spPr>
    </xdr:pic>
    <xdr:clientData/>
  </xdr:twoCellAnchor>
  <xdr:twoCellAnchor>
    <xdr:from>
      <xdr:col>8</xdr:col>
      <xdr:colOff>6350</xdr:colOff>
      <xdr:row>2000</xdr:row>
      <xdr:rowOff>25400</xdr:rowOff>
    </xdr:from>
    <xdr:to>
      <xdr:col>8</xdr:col>
      <xdr:colOff>885190</xdr:colOff>
      <xdr:row>2000</xdr:row>
      <xdr:rowOff>1209040</xdr:rowOff>
    </xdr:to>
    <xdr:pic>
      <xdr:nvPicPr>
        <xdr:cNvPr id="5770" name="Изображение 5769" descr="resizeПП-00233449"/>
        <xdr:cNvPicPr>
          <a:picLocks noChangeAspect="1"/>
        </xdr:cNvPicPr>
      </xdr:nvPicPr>
      <xdr:blipFill>
        <a:blip xmlns:r="http://schemas.openxmlformats.org/officeDocument/2006/relationships" r:embed="rId1519"/>
        <a:stretch>
          <a:fillRect/>
        </a:stretch>
      </xdr:blipFill>
      <xdr:spPr>
        <a:xfrm>
          <a:off x="7264400" y="1979422000"/>
          <a:ext cx="878840" cy="1183640"/>
        </a:xfrm>
        <a:prstGeom prst="rect">
          <a:avLst/>
        </a:prstGeom>
      </xdr:spPr>
    </xdr:pic>
    <xdr:clientData/>
  </xdr:twoCellAnchor>
  <xdr:twoCellAnchor>
    <xdr:from>
      <xdr:col>8</xdr:col>
      <xdr:colOff>6350</xdr:colOff>
      <xdr:row>2001</xdr:row>
      <xdr:rowOff>25400</xdr:rowOff>
    </xdr:from>
    <xdr:to>
      <xdr:col>8</xdr:col>
      <xdr:colOff>885190</xdr:colOff>
      <xdr:row>2001</xdr:row>
      <xdr:rowOff>1209040</xdr:rowOff>
    </xdr:to>
    <xdr:pic>
      <xdr:nvPicPr>
        <xdr:cNvPr id="5771" name="Изображение 5770" descr="resizeПП-00233448"/>
        <xdr:cNvPicPr>
          <a:picLocks noChangeAspect="1"/>
        </xdr:cNvPicPr>
      </xdr:nvPicPr>
      <xdr:blipFill>
        <a:blip xmlns:r="http://schemas.openxmlformats.org/officeDocument/2006/relationships" r:embed="rId1520"/>
        <a:stretch>
          <a:fillRect/>
        </a:stretch>
      </xdr:blipFill>
      <xdr:spPr>
        <a:xfrm>
          <a:off x="7264400" y="1980644375"/>
          <a:ext cx="878840" cy="1183640"/>
        </a:xfrm>
        <a:prstGeom prst="rect">
          <a:avLst/>
        </a:prstGeom>
      </xdr:spPr>
    </xdr:pic>
    <xdr:clientData/>
  </xdr:twoCellAnchor>
  <xdr:twoCellAnchor>
    <xdr:from>
      <xdr:col>8</xdr:col>
      <xdr:colOff>6350</xdr:colOff>
      <xdr:row>2002</xdr:row>
      <xdr:rowOff>25400</xdr:rowOff>
    </xdr:from>
    <xdr:to>
      <xdr:col>8</xdr:col>
      <xdr:colOff>885190</xdr:colOff>
      <xdr:row>2002</xdr:row>
      <xdr:rowOff>1209040</xdr:rowOff>
    </xdr:to>
    <xdr:pic>
      <xdr:nvPicPr>
        <xdr:cNvPr id="5772" name="Изображение 5771" descr="resizeПП-00203318"/>
        <xdr:cNvPicPr>
          <a:picLocks noChangeAspect="1"/>
        </xdr:cNvPicPr>
      </xdr:nvPicPr>
      <xdr:blipFill>
        <a:blip xmlns:r="http://schemas.openxmlformats.org/officeDocument/2006/relationships" r:embed="rId1521"/>
        <a:stretch>
          <a:fillRect/>
        </a:stretch>
      </xdr:blipFill>
      <xdr:spPr>
        <a:xfrm>
          <a:off x="7264400" y="1981866750"/>
          <a:ext cx="878840" cy="1183640"/>
        </a:xfrm>
        <a:prstGeom prst="rect">
          <a:avLst/>
        </a:prstGeom>
      </xdr:spPr>
    </xdr:pic>
    <xdr:clientData/>
  </xdr:twoCellAnchor>
  <xdr:twoCellAnchor>
    <xdr:from>
      <xdr:col>8</xdr:col>
      <xdr:colOff>6350</xdr:colOff>
      <xdr:row>2003</xdr:row>
      <xdr:rowOff>25400</xdr:rowOff>
    </xdr:from>
    <xdr:to>
      <xdr:col>8</xdr:col>
      <xdr:colOff>885190</xdr:colOff>
      <xdr:row>2003</xdr:row>
      <xdr:rowOff>1209040</xdr:rowOff>
    </xdr:to>
    <xdr:pic>
      <xdr:nvPicPr>
        <xdr:cNvPr id="5773" name="Изображение 5772" descr="resizeПП-00233445"/>
        <xdr:cNvPicPr>
          <a:picLocks noChangeAspect="1"/>
        </xdr:cNvPicPr>
      </xdr:nvPicPr>
      <xdr:blipFill>
        <a:blip xmlns:r="http://schemas.openxmlformats.org/officeDocument/2006/relationships" r:embed="rId1522"/>
        <a:stretch>
          <a:fillRect/>
        </a:stretch>
      </xdr:blipFill>
      <xdr:spPr>
        <a:xfrm>
          <a:off x="7264400" y="1983089125"/>
          <a:ext cx="878840" cy="1183640"/>
        </a:xfrm>
        <a:prstGeom prst="rect">
          <a:avLst/>
        </a:prstGeom>
      </xdr:spPr>
    </xdr:pic>
    <xdr:clientData/>
  </xdr:twoCellAnchor>
  <xdr:twoCellAnchor>
    <xdr:from>
      <xdr:col>8</xdr:col>
      <xdr:colOff>6350</xdr:colOff>
      <xdr:row>2004</xdr:row>
      <xdr:rowOff>25400</xdr:rowOff>
    </xdr:from>
    <xdr:to>
      <xdr:col>8</xdr:col>
      <xdr:colOff>885190</xdr:colOff>
      <xdr:row>2004</xdr:row>
      <xdr:rowOff>1209040</xdr:rowOff>
    </xdr:to>
    <xdr:pic>
      <xdr:nvPicPr>
        <xdr:cNvPr id="5774" name="Изображение 5773" descr="resizeПП-00233451"/>
        <xdr:cNvPicPr>
          <a:picLocks noChangeAspect="1"/>
        </xdr:cNvPicPr>
      </xdr:nvPicPr>
      <xdr:blipFill>
        <a:blip xmlns:r="http://schemas.openxmlformats.org/officeDocument/2006/relationships" r:embed="rId1523"/>
        <a:stretch>
          <a:fillRect/>
        </a:stretch>
      </xdr:blipFill>
      <xdr:spPr>
        <a:xfrm>
          <a:off x="7264400" y="1984311500"/>
          <a:ext cx="878840" cy="1183640"/>
        </a:xfrm>
        <a:prstGeom prst="rect">
          <a:avLst/>
        </a:prstGeom>
      </xdr:spPr>
    </xdr:pic>
    <xdr:clientData/>
  </xdr:twoCellAnchor>
  <xdr:twoCellAnchor>
    <xdr:from>
      <xdr:col>8</xdr:col>
      <xdr:colOff>6350</xdr:colOff>
      <xdr:row>2005</xdr:row>
      <xdr:rowOff>25400</xdr:rowOff>
    </xdr:from>
    <xdr:to>
      <xdr:col>8</xdr:col>
      <xdr:colOff>885190</xdr:colOff>
      <xdr:row>2005</xdr:row>
      <xdr:rowOff>1209040</xdr:rowOff>
    </xdr:to>
    <xdr:pic>
      <xdr:nvPicPr>
        <xdr:cNvPr id="5775" name="Изображение 5774" descr="resizeПП-00233452"/>
        <xdr:cNvPicPr>
          <a:picLocks noChangeAspect="1"/>
        </xdr:cNvPicPr>
      </xdr:nvPicPr>
      <xdr:blipFill>
        <a:blip xmlns:r="http://schemas.openxmlformats.org/officeDocument/2006/relationships" r:embed="rId1524"/>
        <a:stretch>
          <a:fillRect/>
        </a:stretch>
      </xdr:blipFill>
      <xdr:spPr>
        <a:xfrm>
          <a:off x="7264400" y="1985533875"/>
          <a:ext cx="878840" cy="1183640"/>
        </a:xfrm>
        <a:prstGeom prst="rect">
          <a:avLst/>
        </a:prstGeom>
      </xdr:spPr>
    </xdr:pic>
    <xdr:clientData/>
  </xdr:twoCellAnchor>
  <xdr:twoCellAnchor>
    <xdr:from>
      <xdr:col>8</xdr:col>
      <xdr:colOff>6350</xdr:colOff>
      <xdr:row>2006</xdr:row>
      <xdr:rowOff>25400</xdr:rowOff>
    </xdr:from>
    <xdr:to>
      <xdr:col>8</xdr:col>
      <xdr:colOff>885190</xdr:colOff>
      <xdr:row>2006</xdr:row>
      <xdr:rowOff>1209040</xdr:rowOff>
    </xdr:to>
    <xdr:pic>
      <xdr:nvPicPr>
        <xdr:cNvPr id="5776" name="Изображение 5775" descr="resizeПП-00233447"/>
        <xdr:cNvPicPr>
          <a:picLocks noChangeAspect="1"/>
        </xdr:cNvPicPr>
      </xdr:nvPicPr>
      <xdr:blipFill>
        <a:blip xmlns:r="http://schemas.openxmlformats.org/officeDocument/2006/relationships" r:embed="rId1525"/>
        <a:stretch>
          <a:fillRect/>
        </a:stretch>
      </xdr:blipFill>
      <xdr:spPr>
        <a:xfrm>
          <a:off x="7264400" y="1986756250"/>
          <a:ext cx="878840" cy="1183640"/>
        </a:xfrm>
        <a:prstGeom prst="rect">
          <a:avLst/>
        </a:prstGeom>
      </xdr:spPr>
    </xdr:pic>
    <xdr:clientData/>
  </xdr:twoCellAnchor>
  <xdr:twoCellAnchor>
    <xdr:from>
      <xdr:col>8</xdr:col>
      <xdr:colOff>6350</xdr:colOff>
      <xdr:row>2007</xdr:row>
      <xdr:rowOff>25400</xdr:rowOff>
    </xdr:from>
    <xdr:to>
      <xdr:col>8</xdr:col>
      <xdr:colOff>885190</xdr:colOff>
      <xdr:row>2007</xdr:row>
      <xdr:rowOff>1209040</xdr:rowOff>
    </xdr:to>
    <xdr:pic>
      <xdr:nvPicPr>
        <xdr:cNvPr id="5777" name="Изображение 5776" descr="resizeПП-00203321"/>
        <xdr:cNvPicPr>
          <a:picLocks noChangeAspect="1"/>
        </xdr:cNvPicPr>
      </xdr:nvPicPr>
      <xdr:blipFill>
        <a:blip xmlns:r="http://schemas.openxmlformats.org/officeDocument/2006/relationships" r:embed="rId1526"/>
        <a:stretch>
          <a:fillRect/>
        </a:stretch>
      </xdr:blipFill>
      <xdr:spPr>
        <a:xfrm>
          <a:off x="7264400" y="1987978625"/>
          <a:ext cx="878840" cy="1183640"/>
        </a:xfrm>
        <a:prstGeom prst="rect">
          <a:avLst/>
        </a:prstGeom>
      </xdr:spPr>
    </xdr:pic>
    <xdr:clientData/>
  </xdr:twoCellAnchor>
  <xdr:twoCellAnchor>
    <xdr:from>
      <xdr:col>8</xdr:col>
      <xdr:colOff>6350</xdr:colOff>
      <xdr:row>2008</xdr:row>
      <xdr:rowOff>25400</xdr:rowOff>
    </xdr:from>
    <xdr:to>
      <xdr:col>8</xdr:col>
      <xdr:colOff>885190</xdr:colOff>
      <xdr:row>2008</xdr:row>
      <xdr:rowOff>1209040</xdr:rowOff>
    </xdr:to>
    <xdr:pic>
      <xdr:nvPicPr>
        <xdr:cNvPr id="5778" name="Изображение 5777" descr="resizeПП-00203322"/>
        <xdr:cNvPicPr>
          <a:picLocks noChangeAspect="1"/>
        </xdr:cNvPicPr>
      </xdr:nvPicPr>
      <xdr:blipFill>
        <a:blip xmlns:r="http://schemas.openxmlformats.org/officeDocument/2006/relationships" r:embed="rId1527"/>
        <a:stretch>
          <a:fillRect/>
        </a:stretch>
      </xdr:blipFill>
      <xdr:spPr>
        <a:xfrm>
          <a:off x="7264400" y="1989201000"/>
          <a:ext cx="878840" cy="1183640"/>
        </a:xfrm>
        <a:prstGeom prst="rect">
          <a:avLst/>
        </a:prstGeom>
      </xdr:spPr>
    </xdr:pic>
    <xdr:clientData/>
  </xdr:twoCellAnchor>
  <xdr:twoCellAnchor>
    <xdr:from>
      <xdr:col>8</xdr:col>
      <xdr:colOff>6350</xdr:colOff>
      <xdr:row>2010</xdr:row>
      <xdr:rowOff>25400</xdr:rowOff>
    </xdr:from>
    <xdr:to>
      <xdr:col>8</xdr:col>
      <xdr:colOff>885190</xdr:colOff>
      <xdr:row>2010</xdr:row>
      <xdr:rowOff>1209040</xdr:rowOff>
    </xdr:to>
    <xdr:pic>
      <xdr:nvPicPr>
        <xdr:cNvPr id="5779" name="Изображение 5778" descr="resizeПП-00226274"/>
        <xdr:cNvPicPr>
          <a:picLocks noChangeAspect="1"/>
        </xdr:cNvPicPr>
      </xdr:nvPicPr>
      <xdr:blipFill>
        <a:blip xmlns:r="http://schemas.openxmlformats.org/officeDocument/2006/relationships" r:embed="rId1528"/>
        <a:stretch>
          <a:fillRect/>
        </a:stretch>
      </xdr:blipFill>
      <xdr:spPr>
        <a:xfrm>
          <a:off x="7264400" y="1990575775"/>
          <a:ext cx="878840" cy="1183640"/>
        </a:xfrm>
        <a:prstGeom prst="rect">
          <a:avLst/>
        </a:prstGeom>
      </xdr:spPr>
    </xdr:pic>
    <xdr:clientData/>
  </xdr:twoCellAnchor>
  <xdr:twoCellAnchor>
    <xdr:from>
      <xdr:col>8</xdr:col>
      <xdr:colOff>6350</xdr:colOff>
      <xdr:row>2011</xdr:row>
      <xdr:rowOff>25400</xdr:rowOff>
    </xdr:from>
    <xdr:to>
      <xdr:col>8</xdr:col>
      <xdr:colOff>885190</xdr:colOff>
      <xdr:row>2011</xdr:row>
      <xdr:rowOff>1209040</xdr:rowOff>
    </xdr:to>
    <xdr:pic>
      <xdr:nvPicPr>
        <xdr:cNvPr id="5780" name="Изображение 5779" descr="resizeПП-00257933"/>
        <xdr:cNvPicPr>
          <a:picLocks noChangeAspect="1"/>
        </xdr:cNvPicPr>
      </xdr:nvPicPr>
      <xdr:blipFill>
        <a:blip xmlns:r="http://schemas.openxmlformats.org/officeDocument/2006/relationships" r:embed="rId1529"/>
        <a:stretch>
          <a:fillRect/>
        </a:stretch>
      </xdr:blipFill>
      <xdr:spPr>
        <a:xfrm>
          <a:off x="7264400" y="1991798150"/>
          <a:ext cx="878840" cy="1183640"/>
        </a:xfrm>
        <a:prstGeom prst="rect">
          <a:avLst/>
        </a:prstGeom>
      </xdr:spPr>
    </xdr:pic>
    <xdr:clientData/>
  </xdr:twoCellAnchor>
  <xdr:twoCellAnchor>
    <xdr:from>
      <xdr:col>8</xdr:col>
      <xdr:colOff>6350</xdr:colOff>
      <xdr:row>2012</xdr:row>
      <xdr:rowOff>25400</xdr:rowOff>
    </xdr:from>
    <xdr:to>
      <xdr:col>8</xdr:col>
      <xdr:colOff>885190</xdr:colOff>
      <xdr:row>2012</xdr:row>
      <xdr:rowOff>1209040</xdr:rowOff>
    </xdr:to>
    <xdr:pic>
      <xdr:nvPicPr>
        <xdr:cNvPr id="5781" name="Изображение 5780" descr="resizeПП-00226269"/>
        <xdr:cNvPicPr>
          <a:picLocks noChangeAspect="1"/>
        </xdr:cNvPicPr>
      </xdr:nvPicPr>
      <xdr:blipFill>
        <a:blip xmlns:r="http://schemas.openxmlformats.org/officeDocument/2006/relationships" r:embed="rId1530"/>
        <a:stretch>
          <a:fillRect/>
        </a:stretch>
      </xdr:blipFill>
      <xdr:spPr>
        <a:xfrm>
          <a:off x="7264400" y="1993020525"/>
          <a:ext cx="878840" cy="1183640"/>
        </a:xfrm>
        <a:prstGeom prst="rect">
          <a:avLst/>
        </a:prstGeom>
      </xdr:spPr>
    </xdr:pic>
    <xdr:clientData/>
  </xdr:twoCellAnchor>
  <xdr:twoCellAnchor>
    <xdr:from>
      <xdr:col>8</xdr:col>
      <xdr:colOff>6350</xdr:colOff>
      <xdr:row>2013</xdr:row>
      <xdr:rowOff>25400</xdr:rowOff>
    </xdr:from>
    <xdr:to>
      <xdr:col>8</xdr:col>
      <xdr:colOff>885190</xdr:colOff>
      <xdr:row>2013</xdr:row>
      <xdr:rowOff>1209040</xdr:rowOff>
    </xdr:to>
    <xdr:pic>
      <xdr:nvPicPr>
        <xdr:cNvPr id="5782" name="Изображение 5781" descr="resizeПП-00203463"/>
        <xdr:cNvPicPr>
          <a:picLocks noChangeAspect="1"/>
        </xdr:cNvPicPr>
      </xdr:nvPicPr>
      <xdr:blipFill>
        <a:blip xmlns:r="http://schemas.openxmlformats.org/officeDocument/2006/relationships" r:embed="rId1531"/>
        <a:stretch>
          <a:fillRect/>
        </a:stretch>
      </xdr:blipFill>
      <xdr:spPr>
        <a:xfrm>
          <a:off x="7264400" y="1994242900"/>
          <a:ext cx="878840" cy="1183640"/>
        </a:xfrm>
        <a:prstGeom prst="rect">
          <a:avLst/>
        </a:prstGeom>
      </xdr:spPr>
    </xdr:pic>
    <xdr:clientData/>
  </xdr:twoCellAnchor>
  <xdr:twoCellAnchor>
    <xdr:from>
      <xdr:col>8</xdr:col>
      <xdr:colOff>6350</xdr:colOff>
      <xdr:row>2014</xdr:row>
      <xdr:rowOff>25400</xdr:rowOff>
    </xdr:from>
    <xdr:to>
      <xdr:col>8</xdr:col>
      <xdr:colOff>885190</xdr:colOff>
      <xdr:row>2014</xdr:row>
      <xdr:rowOff>1209040</xdr:rowOff>
    </xdr:to>
    <xdr:pic>
      <xdr:nvPicPr>
        <xdr:cNvPr id="5783" name="Изображение 5782" descr="resizeПП-00203469"/>
        <xdr:cNvPicPr>
          <a:picLocks noChangeAspect="1"/>
        </xdr:cNvPicPr>
      </xdr:nvPicPr>
      <xdr:blipFill>
        <a:blip xmlns:r="http://schemas.openxmlformats.org/officeDocument/2006/relationships" r:embed="rId1532"/>
        <a:stretch>
          <a:fillRect/>
        </a:stretch>
      </xdr:blipFill>
      <xdr:spPr>
        <a:xfrm>
          <a:off x="7264400" y="1995465275"/>
          <a:ext cx="878840" cy="1183640"/>
        </a:xfrm>
        <a:prstGeom prst="rect">
          <a:avLst/>
        </a:prstGeom>
      </xdr:spPr>
    </xdr:pic>
    <xdr:clientData/>
  </xdr:twoCellAnchor>
  <xdr:twoCellAnchor>
    <xdr:from>
      <xdr:col>8</xdr:col>
      <xdr:colOff>6350</xdr:colOff>
      <xdr:row>2015</xdr:row>
      <xdr:rowOff>25400</xdr:rowOff>
    </xdr:from>
    <xdr:to>
      <xdr:col>8</xdr:col>
      <xdr:colOff>885190</xdr:colOff>
      <xdr:row>2015</xdr:row>
      <xdr:rowOff>1209040</xdr:rowOff>
    </xdr:to>
    <xdr:pic>
      <xdr:nvPicPr>
        <xdr:cNvPr id="5784" name="Изображение 5783" descr="resizeПП-00203464"/>
        <xdr:cNvPicPr>
          <a:picLocks noChangeAspect="1"/>
        </xdr:cNvPicPr>
      </xdr:nvPicPr>
      <xdr:blipFill>
        <a:blip xmlns:r="http://schemas.openxmlformats.org/officeDocument/2006/relationships" r:embed="rId1533"/>
        <a:stretch>
          <a:fillRect/>
        </a:stretch>
      </xdr:blipFill>
      <xdr:spPr>
        <a:xfrm>
          <a:off x="7264400" y="1996687650"/>
          <a:ext cx="878840" cy="1183640"/>
        </a:xfrm>
        <a:prstGeom prst="rect">
          <a:avLst/>
        </a:prstGeom>
      </xdr:spPr>
    </xdr:pic>
    <xdr:clientData/>
  </xdr:twoCellAnchor>
  <xdr:twoCellAnchor>
    <xdr:from>
      <xdr:col>8</xdr:col>
      <xdr:colOff>6350</xdr:colOff>
      <xdr:row>2016</xdr:row>
      <xdr:rowOff>25400</xdr:rowOff>
    </xdr:from>
    <xdr:to>
      <xdr:col>8</xdr:col>
      <xdr:colOff>885190</xdr:colOff>
      <xdr:row>2016</xdr:row>
      <xdr:rowOff>1209040</xdr:rowOff>
    </xdr:to>
    <xdr:pic>
      <xdr:nvPicPr>
        <xdr:cNvPr id="5785" name="Изображение 5784" descr="resizeПП-00203462"/>
        <xdr:cNvPicPr>
          <a:picLocks noChangeAspect="1"/>
        </xdr:cNvPicPr>
      </xdr:nvPicPr>
      <xdr:blipFill>
        <a:blip xmlns:r="http://schemas.openxmlformats.org/officeDocument/2006/relationships" r:embed="rId1534"/>
        <a:stretch>
          <a:fillRect/>
        </a:stretch>
      </xdr:blipFill>
      <xdr:spPr>
        <a:xfrm>
          <a:off x="7264400" y="1997910025"/>
          <a:ext cx="878840" cy="1183640"/>
        </a:xfrm>
        <a:prstGeom prst="rect">
          <a:avLst/>
        </a:prstGeom>
      </xdr:spPr>
    </xdr:pic>
    <xdr:clientData/>
  </xdr:twoCellAnchor>
  <xdr:twoCellAnchor>
    <xdr:from>
      <xdr:col>8</xdr:col>
      <xdr:colOff>6350</xdr:colOff>
      <xdr:row>2017</xdr:row>
      <xdr:rowOff>25400</xdr:rowOff>
    </xdr:from>
    <xdr:to>
      <xdr:col>8</xdr:col>
      <xdr:colOff>885190</xdr:colOff>
      <xdr:row>2017</xdr:row>
      <xdr:rowOff>1209040</xdr:rowOff>
    </xdr:to>
    <xdr:pic>
      <xdr:nvPicPr>
        <xdr:cNvPr id="5786" name="Изображение 5785" descr="resizeПП-00203460"/>
        <xdr:cNvPicPr>
          <a:picLocks noChangeAspect="1"/>
        </xdr:cNvPicPr>
      </xdr:nvPicPr>
      <xdr:blipFill>
        <a:blip xmlns:r="http://schemas.openxmlformats.org/officeDocument/2006/relationships" r:embed="rId1535"/>
        <a:stretch>
          <a:fillRect/>
        </a:stretch>
      </xdr:blipFill>
      <xdr:spPr>
        <a:xfrm>
          <a:off x="7264400" y="1999132400"/>
          <a:ext cx="878840" cy="1183640"/>
        </a:xfrm>
        <a:prstGeom prst="rect">
          <a:avLst/>
        </a:prstGeom>
      </xdr:spPr>
    </xdr:pic>
    <xdr:clientData/>
  </xdr:twoCellAnchor>
  <xdr:twoCellAnchor>
    <xdr:from>
      <xdr:col>8</xdr:col>
      <xdr:colOff>6350</xdr:colOff>
      <xdr:row>2018</xdr:row>
      <xdr:rowOff>25400</xdr:rowOff>
    </xdr:from>
    <xdr:to>
      <xdr:col>8</xdr:col>
      <xdr:colOff>885190</xdr:colOff>
      <xdr:row>2018</xdr:row>
      <xdr:rowOff>1209040</xdr:rowOff>
    </xdr:to>
    <xdr:pic>
      <xdr:nvPicPr>
        <xdr:cNvPr id="5787" name="Изображение 5786" descr="resizeПП-00203461"/>
        <xdr:cNvPicPr>
          <a:picLocks noChangeAspect="1"/>
        </xdr:cNvPicPr>
      </xdr:nvPicPr>
      <xdr:blipFill>
        <a:blip xmlns:r="http://schemas.openxmlformats.org/officeDocument/2006/relationships" r:embed="rId1536"/>
        <a:stretch>
          <a:fillRect/>
        </a:stretch>
      </xdr:blipFill>
      <xdr:spPr>
        <a:xfrm>
          <a:off x="7264400" y="2000354775"/>
          <a:ext cx="878840" cy="1183640"/>
        </a:xfrm>
        <a:prstGeom prst="rect">
          <a:avLst/>
        </a:prstGeom>
      </xdr:spPr>
    </xdr:pic>
    <xdr:clientData/>
  </xdr:twoCellAnchor>
  <xdr:twoCellAnchor>
    <xdr:from>
      <xdr:col>8</xdr:col>
      <xdr:colOff>6350</xdr:colOff>
      <xdr:row>2019</xdr:row>
      <xdr:rowOff>25400</xdr:rowOff>
    </xdr:from>
    <xdr:to>
      <xdr:col>8</xdr:col>
      <xdr:colOff>885190</xdr:colOff>
      <xdr:row>2019</xdr:row>
      <xdr:rowOff>1209040</xdr:rowOff>
    </xdr:to>
    <xdr:pic>
      <xdr:nvPicPr>
        <xdr:cNvPr id="5788" name="Изображение 5787" descr="resizeПП-00253016"/>
        <xdr:cNvPicPr>
          <a:picLocks noChangeAspect="1"/>
        </xdr:cNvPicPr>
      </xdr:nvPicPr>
      <xdr:blipFill>
        <a:blip xmlns:r="http://schemas.openxmlformats.org/officeDocument/2006/relationships" r:embed="rId1537"/>
        <a:stretch>
          <a:fillRect/>
        </a:stretch>
      </xdr:blipFill>
      <xdr:spPr>
        <a:xfrm>
          <a:off x="7264400" y="2001577150"/>
          <a:ext cx="878840" cy="1183640"/>
        </a:xfrm>
        <a:prstGeom prst="rect">
          <a:avLst/>
        </a:prstGeom>
      </xdr:spPr>
    </xdr:pic>
    <xdr:clientData/>
  </xdr:twoCellAnchor>
  <xdr:twoCellAnchor>
    <xdr:from>
      <xdr:col>8</xdr:col>
      <xdr:colOff>6350</xdr:colOff>
      <xdr:row>2020</xdr:row>
      <xdr:rowOff>25400</xdr:rowOff>
    </xdr:from>
    <xdr:to>
      <xdr:col>8</xdr:col>
      <xdr:colOff>885190</xdr:colOff>
      <xdr:row>2020</xdr:row>
      <xdr:rowOff>1209040</xdr:rowOff>
    </xdr:to>
    <xdr:pic>
      <xdr:nvPicPr>
        <xdr:cNvPr id="5789" name="Изображение 5788" descr="resizeПП-00253017"/>
        <xdr:cNvPicPr>
          <a:picLocks noChangeAspect="1"/>
        </xdr:cNvPicPr>
      </xdr:nvPicPr>
      <xdr:blipFill>
        <a:blip xmlns:r="http://schemas.openxmlformats.org/officeDocument/2006/relationships" r:embed="rId1538"/>
        <a:stretch>
          <a:fillRect/>
        </a:stretch>
      </xdr:blipFill>
      <xdr:spPr>
        <a:xfrm>
          <a:off x="7264400" y="2002799525"/>
          <a:ext cx="878840" cy="1183640"/>
        </a:xfrm>
        <a:prstGeom prst="rect">
          <a:avLst/>
        </a:prstGeom>
      </xdr:spPr>
    </xdr:pic>
    <xdr:clientData/>
  </xdr:twoCellAnchor>
  <xdr:twoCellAnchor>
    <xdr:from>
      <xdr:col>8</xdr:col>
      <xdr:colOff>6350</xdr:colOff>
      <xdr:row>2021</xdr:row>
      <xdr:rowOff>25400</xdr:rowOff>
    </xdr:from>
    <xdr:to>
      <xdr:col>8</xdr:col>
      <xdr:colOff>885190</xdr:colOff>
      <xdr:row>2021</xdr:row>
      <xdr:rowOff>1209040</xdr:rowOff>
    </xdr:to>
    <xdr:pic>
      <xdr:nvPicPr>
        <xdr:cNvPr id="5790" name="Изображение 5789" descr="resizeПП-00253018"/>
        <xdr:cNvPicPr>
          <a:picLocks noChangeAspect="1"/>
        </xdr:cNvPicPr>
      </xdr:nvPicPr>
      <xdr:blipFill>
        <a:blip xmlns:r="http://schemas.openxmlformats.org/officeDocument/2006/relationships" r:embed="rId1539"/>
        <a:stretch>
          <a:fillRect/>
        </a:stretch>
      </xdr:blipFill>
      <xdr:spPr>
        <a:xfrm>
          <a:off x="7264400" y="2004021900"/>
          <a:ext cx="878840" cy="1183640"/>
        </a:xfrm>
        <a:prstGeom prst="rect">
          <a:avLst/>
        </a:prstGeom>
      </xdr:spPr>
    </xdr:pic>
    <xdr:clientData/>
  </xdr:twoCellAnchor>
  <xdr:twoCellAnchor>
    <xdr:from>
      <xdr:col>8</xdr:col>
      <xdr:colOff>6350</xdr:colOff>
      <xdr:row>2024</xdr:row>
      <xdr:rowOff>25400</xdr:rowOff>
    </xdr:from>
    <xdr:to>
      <xdr:col>8</xdr:col>
      <xdr:colOff>885190</xdr:colOff>
      <xdr:row>2024</xdr:row>
      <xdr:rowOff>1209040</xdr:rowOff>
    </xdr:to>
    <xdr:pic>
      <xdr:nvPicPr>
        <xdr:cNvPr id="5791" name="Изображение 5790" descr="resizeПП-00257922"/>
        <xdr:cNvPicPr>
          <a:picLocks noChangeAspect="1"/>
        </xdr:cNvPicPr>
      </xdr:nvPicPr>
      <xdr:blipFill>
        <a:blip xmlns:r="http://schemas.openxmlformats.org/officeDocument/2006/relationships" r:embed="rId1540"/>
        <a:stretch>
          <a:fillRect/>
        </a:stretch>
      </xdr:blipFill>
      <xdr:spPr>
        <a:xfrm>
          <a:off x="7264400" y="2005549075"/>
          <a:ext cx="878840" cy="1183640"/>
        </a:xfrm>
        <a:prstGeom prst="rect">
          <a:avLst/>
        </a:prstGeom>
      </xdr:spPr>
    </xdr:pic>
    <xdr:clientData/>
  </xdr:twoCellAnchor>
  <xdr:twoCellAnchor>
    <xdr:from>
      <xdr:col>8</xdr:col>
      <xdr:colOff>6350</xdr:colOff>
      <xdr:row>2025</xdr:row>
      <xdr:rowOff>25400</xdr:rowOff>
    </xdr:from>
    <xdr:to>
      <xdr:col>8</xdr:col>
      <xdr:colOff>885190</xdr:colOff>
      <xdr:row>2025</xdr:row>
      <xdr:rowOff>1209040</xdr:rowOff>
    </xdr:to>
    <xdr:pic>
      <xdr:nvPicPr>
        <xdr:cNvPr id="5792" name="Изображение 5791" descr="resizeПП-00257924"/>
        <xdr:cNvPicPr>
          <a:picLocks noChangeAspect="1"/>
        </xdr:cNvPicPr>
      </xdr:nvPicPr>
      <xdr:blipFill>
        <a:blip xmlns:r="http://schemas.openxmlformats.org/officeDocument/2006/relationships" r:embed="rId1541"/>
        <a:stretch>
          <a:fillRect/>
        </a:stretch>
      </xdr:blipFill>
      <xdr:spPr>
        <a:xfrm>
          <a:off x="7264400" y="2006771450"/>
          <a:ext cx="878840" cy="1183640"/>
        </a:xfrm>
        <a:prstGeom prst="rect">
          <a:avLst/>
        </a:prstGeom>
      </xdr:spPr>
    </xdr:pic>
    <xdr:clientData/>
  </xdr:twoCellAnchor>
  <xdr:twoCellAnchor>
    <xdr:from>
      <xdr:col>8</xdr:col>
      <xdr:colOff>6350</xdr:colOff>
      <xdr:row>2026</xdr:row>
      <xdr:rowOff>25400</xdr:rowOff>
    </xdr:from>
    <xdr:to>
      <xdr:col>8</xdr:col>
      <xdr:colOff>885190</xdr:colOff>
      <xdr:row>2026</xdr:row>
      <xdr:rowOff>1209040</xdr:rowOff>
    </xdr:to>
    <xdr:pic>
      <xdr:nvPicPr>
        <xdr:cNvPr id="5793" name="Изображение 5792" descr="resizeПП-00257925"/>
        <xdr:cNvPicPr>
          <a:picLocks noChangeAspect="1"/>
        </xdr:cNvPicPr>
      </xdr:nvPicPr>
      <xdr:blipFill>
        <a:blip xmlns:r="http://schemas.openxmlformats.org/officeDocument/2006/relationships" r:embed="rId1542"/>
        <a:stretch>
          <a:fillRect/>
        </a:stretch>
      </xdr:blipFill>
      <xdr:spPr>
        <a:xfrm>
          <a:off x="7264400" y="2007993825"/>
          <a:ext cx="878840" cy="1183640"/>
        </a:xfrm>
        <a:prstGeom prst="rect">
          <a:avLst/>
        </a:prstGeom>
      </xdr:spPr>
    </xdr:pic>
    <xdr:clientData/>
  </xdr:twoCellAnchor>
  <xdr:twoCellAnchor>
    <xdr:from>
      <xdr:col>8</xdr:col>
      <xdr:colOff>6350</xdr:colOff>
      <xdr:row>2027</xdr:row>
      <xdr:rowOff>25400</xdr:rowOff>
    </xdr:from>
    <xdr:to>
      <xdr:col>8</xdr:col>
      <xdr:colOff>885190</xdr:colOff>
      <xdr:row>2027</xdr:row>
      <xdr:rowOff>1209040</xdr:rowOff>
    </xdr:to>
    <xdr:pic>
      <xdr:nvPicPr>
        <xdr:cNvPr id="5794" name="Изображение 5793" descr="resizeПП-00249089"/>
        <xdr:cNvPicPr>
          <a:picLocks noChangeAspect="1"/>
        </xdr:cNvPicPr>
      </xdr:nvPicPr>
      <xdr:blipFill>
        <a:blip xmlns:r="http://schemas.openxmlformats.org/officeDocument/2006/relationships" r:embed="rId1543"/>
        <a:stretch>
          <a:fillRect/>
        </a:stretch>
      </xdr:blipFill>
      <xdr:spPr>
        <a:xfrm>
          <a:off x="7264400" y="2009216200"/>
          <a:ext cx="878840" cy="1183640"/>
        </a:xfrm>
        <a:prstGeom prst="rect">
          <a:avLst/>
        </a:prstGeom>
      </xdr:spPr>
    </xdr:pic>
    <xdr:clientData/>
  </xdr:twoCellAnchor>
  <xdr:twoCellAnchor>
    <xdr:from>
      <xdr:col>8</xdr:col>
      <xdr:colOff>6350</xdr:colOff>
      <xdr:row>2029</xdr:row>
      <xdr:rowOff>25400</xdr:rowOff>
    </xdr:from>
    <xdr:to>
      <xdr:col>8</xdr:col>
      <xdr:colOff>885190</xdr:colOff>
      <xdr:row>2029</xdr:row>
      <xdr:rowOff>1209040</xdr:rowOff>
    </xdr:to>
    <xdr:pic>
      <xdr:nvPicPr>
        <xdr:cNvPr id="5795" name="Изображение 5794" descr="resizeПП-00249087"/>
        <xdr:cNvPicPr>
          <a:picLocks noChangeAspect="1"/>
        </xdr:cNvPicPr>
      </xdr:nvPicPr>
      <xdr:blipFill>
        <a:blip xmlns:r="http://schemas.openxmlformats.org/officeDocument/2006/relationships" r:embed="rId1544"/>
        <a:stretch>
          <a:fillRect/>
        </a:stretch>
      </xdr:blipFill>
      <xdr:spPr>
        <a:xfrm>
          <a:off x="7264400" y="2010590975"/>
          <a:ext cx="878840" cy="1183640"/>
        </a:xfrm>
        <a:prstGeom prst="rect">
          <a:avLst/>
        </a:prstGeom>
      </xdr:spPr>
    </xdr:pic>
    <xdr:clientData/>
  </xdr:twoCellAnchor>
  <xdr:twoCellAnchor>
    <xdr:from>
      <xdr:col>8</xdr:col>
      <xdr:colOff>6350</xdr:colOff>
      <xdr:row>2030</xdr:row>
      <xdr:rowOff>25400</xdr:rowOff>
    </xdr:from>
    <xdr:to>
      <xdr:col>8</xdr:col>
      <xdr:colOff>885190</xdr:colOff>
      <xdr:row>2030</xdr:row>
      <xdr:rowOff>1209040</xdr:rowOff>
    </xdr:to>
    <xdr:pic>
      <xdr:nvPicPr>
        <xdr:cNvPr id="5796" name="Изображение 5795" descr="resizeПП-00209990"/>
        <xdr:cNvPicPr>
          <a:picLocks noChangeAspect="1"/>
        </xdr:cNvPicPr>
      </xdr:nvPicPr>
      <xdr:blipFill>
        <a:blip xmlns:r="http://schemas.openxmlformats.org/officeDocument/2006/relationships" r:embed="rId1545"/>
        <a:stretch>
          <a:fillRect/>
        </a:stretch>
      </xdr:blipFill>
      <xdr:spPr>
        <a:xfrm>
          <a:off x="7264400" y="2011813350"/>
          <a:ext cx="878840" cy="1183640"/>
        </a:xfrm>
        <a:prstGeom prst="rect">
          <a:avLst/>
        </a:prstGeom>
      </xdr:spPr>
    </xdr:pic>
    <xdr:clientData/>
  </xdr:twoCellAnchor>
  <xdr:twoCellAnchor>
    <xdr:from>
      <xdr:col>8</xdr:col>
      <xdr:colOff>6350</xdr:colOff>
      <xdr:row>2031</xdr:row>
      <xdr:rowOff>25400</xdr:rowOff>
    </xdr:from>
    <xdr:to>
      <xdr:col>8</xdr:col>
      <xdr:colOff>885190</xdr:colOff>
      <xdr:row>2031</xdr:row>
      <xdr:rowOff>1209040</xdr:rowOff>
    </xdr:to>
    <xdr:pic>
      <xdr:nvPicPr>
        <xdr:cNvPr id="5797" name="Изображение 5796" descr="resizeПП-00209985"/>
        <xdr:cNvPicPr>
          <a:picLocks noChangeAspect="1"/>
        </xdr:cNvPicPr>
      </xdr:nvPicPr>
      <xdr:blipFill>
        <a:blip xmlns:r="http://schemas.openxmlformats.org/officeDocument/2006/relationships" r:embed="rId1546"/>
        <a:stretch>
          <a:fillRect/>
        </a:stretch>
      </xdr:blipFill>
      <xdr:spPr>
        <a:xfrm>
          <a:off x="7264400" y="2013035725"/>
          <a:ext cx="878840" cy="1183640"/>
        </a:xfrm>
        <a:prstGeom prst="rect">
          <a:avLst/>
        </a:prstGeom>
      </xdr:spPr>
    </xdr:pic>
    <xdr:clientData/>
  </xdr:twoCellAnchor>
  <xdr:twoCellAnchor>
    <xdr:from>
      <xdr:col>8</xdr:col>
      <xdr:colOff>6350</xdr:colOff>
      <xdr:row>2032</xdr:row>
      <xdr:rowOff>25400</xdr:rowOff>
    </xdr:from>
    <xdr:to>
      <xdr:col>8</xdr:col>
      <xdr:colOff>885190</xdr:colOff>
      <xdr:row>2032</xdr:row>
      <xdr:rowOff>1209040</xdr:rowOff>
    </xdr:to>
    <xdr:pic>
      <xdr:nvPicPr>
        <xdr:cNvPr id="5798" name="Изображение 5797" descr="resizeПП-00210000"/>
        <xdr:cNvPicPr>
          <a:picLocks noChangeAspect="1"/>
        </xdr:cNvPicPr>
      </xdr:nvPicPr>
      <xdr:blipFill>
        <a:blip xmlns:r="http://schemas.openxmlformats.org/officeDocument/2006/relationships" r:embed="rId1547"/>
        <a:stretch>
          <a:fillRect/>
        </a:stretch>
      </xdr:blipFill>
      <xdr:spPr>
        <a:xfrm>
          <a:off x="7264400" y="2014258100"/>
          <a:ext cx="878840" cy="1183640"/>
        </a:xfrm>
        <a:prstGeom prst="rect">
          <a:avLst/>
        </a:prstGeom>
      </xdr:spPr>
    </xdr:pic>
    <xdr:clientData/>
  </xdr:twoCellAnchor>
  <xdr:twoCellAnchor>
    <xdr:from>
      <xdr:col>8</xdr:col>
      <xdr:colOff>6350</xdr:colOff>
      <xdr:row>2034</xdr:row>
      <xdr:rowOff>25400</xdr:rowOff>
    </xdr:from>
    <xdr:to>
      <xdr:col>8</xdr:col>
      <xdr:colOff>885190</xdr:colOff>
      <xdr:row>2034</xdr:row>
      <xdr:rowOff>1209040</xdr:rowOff>
    </xdr:to>
    <xdr:pic>
      <xdr:nvPicPr>
        <xdr:cNvPr id="5799" name="Изображение 5798" descr="resizeПП-00265539"/>
        <xdr:cNvPicPr>
          <a:picLocks noChangeAspect="1"/>
        </xdr:cNvPicPr>
      </xdr:nvPicPr>
      <xdr:blipFill>
        <a:blip xmlns:r="http://schemas.openxmlformats.org/officeDocument/2006/relationships" r:embed="rId1548"/>
        <a:stretch>
          <a:fillRect/>
        </a:stretch>
      </xdr:blipFill>
      <xdr:spPr>
        <a:xfrm>
          <a:off x="7264400" y="2015632875"/>
          <a:ext cx="878840" cy="1183640"/>
        </a:xfrm>
        <a:prstGeom prst="rect">
          <a:avLst/>
        </a:prstGeom>
      </xdr:spPr>
    </xdr:pic>
    <xdr:clientData/>
  </xdr:twoCellAnchor>
  <xdr:twoCellAnchor>
    <xdr:from>
      <xdr:col>8</xdr:col>
      <xdr:colOff>6350</xdr:colOff>
      <xdr:row>2035</xdr:row>
      <xdr:rowOff>25400</xdr:rowOff>
    </xdr:from>
    <xdr:to>
      <xdr:col>8</xdr:col>
      <xdr:colOff>1189990</xdr:colOff>
      <xdr:row>2035</xdr:row>
      <xdr:rowOff>904240</xdr:rowOff>
    </xdr:to>
    <xdr:pic>
      <xdr:nvPicPr>
        <xdr:cNvPr id="5800" name="Изображение 5799" descr="resizeПП-00265545"/>
        <xdr:cNvPicPr>
          <a:picLocks noChangeAspect="1"/>
        </xdr:cNvPicPr>
      </xdr:nvPicPr>
      <xdr:blipFill>
        <a:blip xmlns:r="http://schemas.openxmlformats.org/officeDocument/2006/relationships" r:embed="rId1549"/>
        <a:stretch>
          <a:fillRect/>
        </a:stretch>
      </xdr:blipFill>
      <xdr:spPr>
        <a:xfrm>
          <a:off x="7264400" y="2016855250"/>
          <a:ext cx="1183640" cy="878840"/>
        </a:xfrm>
        <a:prstGeom prst="rect">
          <a:avLst/>
        </a:prstGeom>
      </xdr:spPr>
    </xdr:pic>
    <xdr:clientData/>
  </xdr:twoCellAnchor>
  <xdr:twoCellAnchor>
    <xdr:from>
      <xdr:col>8</xdr:col>
      <xdr:colOff>6350</xdr:colOff>
      <xdr:row>2036</xdr:row>
      <xdr:rowOff>25400</xdr:rowOff>
    </xdr:from>
    <xdr:to>
      <xdr:col>8</xdr:col>
      <xdr:colOff>885190</xdr:colOff>
      <xdr:row>2036</xdr:row>
      <xdr:rowOff>1209040</xdr:rowOff>
    </xdr:to>
    <xdr:pic>
      <xdr:nvPicPr>
        <xdr:cNvPr id="5801" name="Изображение 5800" descr="resizeПП-00265543"/>
        <xdr:cNvPicPr>
          <a:picLocks noChangeAspect="1"/>
        </xdr:cNvPicPr>
      </xdr:nvPicPr>
      <xdr:blipFill>
        <a:blip xmlns:r="http://schemas.openxmlformats.org/officeDocument/2006/relationships" r:embed="rId1550"/>
        <a:stretch>
          <a:fillRect/>
        </a:stretch>
      </xdr:blipFill>
      <xdr:spPr>
        <a:xfrm>
          <a:off x="7264400" y="2018077625"/>
          <a:ext cx="878840" cy="1183640"/>
        </a:xfrm>
        <a:prstGeom prst="rect">
          <a:avLst/>
        </a:prstGeom>
      </xdr:spPr>
    </xdr:pic>
    <xdr:clientData/>
  </xdr:twoCellAnchor>
  <xdr:twoCellAnchor>
    <xdr:from>
      <xdr:col>8</xdr:col>
      <xdr:colOff>6350</xdr:colOff>
      <xdr:row>2037</xdr:row>
      <xdr:rowOff>25400</xdr:rowOff>
    </xdr:from>
    <xdr:to>
      <xdr:col>8</xdr:col>
      <xdr:colOff>885190</xdr:colOff>
      <xdr:row>2037</xdr:row>
      <xdr:rowOff>1209040</xdr:rowOff>
    </xdr:to>
    <xdr:pic>
      <xdr:nvPicPr>
        <xdr:cNvPr id="5802" name="Изображение 5801" descr="resizeПП-00265547"/>
        <xdr:cNvPicPr>
          <a:picLocks noChangeAspect="1"/>
        </xdr:cNvPicPr>
      </xdr:nvPicPr>
      <xdr:blipFill>
        <a:blip xmlns:r="http://schemas.openxmlformats.org/officeDocument/2006/relationships" r:embed="rId1551"/>
        <a:stretch>
          <a:fillRect/>
        </a:stretch>
      </xdr:blipFill>
      <xdr:spPr>
        <a:xfrm>
          <a:off x="7264400" y="2019300000"/>
          <a:ext cx="878840" cy="1183640"/>
        </a:xfrm>
        <a:prstGeom prst="rect">
          <a:avLst/>
        </a:prstGeom>
      </xdr:spPr>
    </xdr:pic>
    <xdr:clientData/>
  </xdr:twoCellAnchor>
  <xdr:twoCellAnchor>
    <xdr:from>
      <xdr:col>8</xdr:col>
      <xdr:colOff>6350</xdr:colOff>
      <xdr:row>2038</xdr:row>
      <xdr:rowOff>25400</xdr:rowOff>
    </xdr:from>
    <xdr:to>
      <xdr:col>8</xdr:col>
      <xdr:colOff>885190</xdr:colOff>
      <xdr:row>2038</xdr:row>
      <xdr:rowOff>1209040</xdr:rowOff>
    </xdr:to>
    <xdr:pic>
      <xdr:nvPicPr>
        <xdr:cNvPr id="5803" name="Изображение 5802" descr="resizeПП-00265542"/>
        <xdr:cNvPicPr>
          <a:picLocks noChangeAspect="1"/>
        </xdr:cNvPicPr>
      </xdr:nvPicPr>
      <xdr:blipFill>
        <a:blip xmlns:r="http://schemas.openxmlformats.org/officeDocument/2006/relationships" r:embed="rId1552"/>
        <a:stretch>
          <a:fillRect/>
        </a:stretch>
      </xdr:blipFill>
      <xdr:spPr>
        <a:xfrm>
          <a:off x="7264400" y="2020522375"/>
          <a:ext cx="878840" cy="1183640"/>
        </a:xfrm>
        <a:prstGeom prst="rect">
          <a:avLst/>
        </a:prstGeom>
      </xdr:spPr>
    </xdr:pic>
    <xdr:clientData/>
  </xdr:twoCellAnchor>
  <xdr:twoCellAnchor>
    <xdr:from>
      <xdr:col>8</xdr:col>
      <xdr:colOff>6350</xdr:colOff>
      <xdr:row>2039</xdr:row>
      <xdr:rowOff>25400</xdr:rowOff>
    </xdr:from>
    <xdr:to>
      <xdr:col>8</xdr:col>
      <xdr:colOff>885190</xdr:colOff>
      <xdr:row>2039</xdr:row>
      <xdr:rowOff>1209040</xdr:rowOff>
    </xdr:to>
    <xdr:pic>
      <xdr:nvPicPr>
        <xdr:cNvPr id="5804" name="Изображение 5803" descr="resizeПП-00265536"/>
        <xdr:cNvPicPr>
          <a:picLocks noChangeAspect="1"/>
        </xdr:cNvPicPr>
      </xdr:nvPicPr>
      <xdr:blipFill>
        <a:blip xmlns:r="http://schemas.openxmlformats.org/officeDocument/2006/relationships" r:embed="rId1553"/>
        <a:stretch>
          <a:fillRect/>
        </a:stretch>
      </xdr:blipFill>
      <xdr:spPr>
        <a:xfrm>
          <a:off x="7264400" y="2021744750"/>
          <a:ext cx="878840" cy="1183640"/>
        </a:xfrm>
        <a:prstGeom prst="rect">
          <a:avLst/>
        </a:prstGeom>
      </xdr:spPr>
    </xdr:pic>
    <xdr:clientData/>
  </xdr:twoCellAnchor>
  <xdr:twoCellAnchor>
    <xdr:from>
      <xdr:col>8</xdr:col>
      <xdr:colOff>6350</xdr:colOff>
      <xdr:row>2040</xdr:row>
      <xdr:rowOff>25400</xdr:rowOff>
    </xdr:from>
    <xdr:to>
      <xdr:col>8</xdr:col>
      <xdr:colOff>885190</xdr:colOff>
      <xdr:row>2040</xdr:row>
      <xdr:rowOff>1209040</xdr:rowOff>
    </xdr:to>
    <xdr:pic>
      <xdr:nvPicPr>
        <xdr:cNvPr id="5805" name="Изображение 5804" descr="resizeПП-00265541"/>
        <xdr:cNvPicPr>
          <a:picLocks noChangeAspect="1"/>
        </xdr:cNvPicPr>
      </xdr:nvPicPr>
      <xdr:blipFill>
        <a:blip xmlns:r="http://schemas.openxmlformats.org/officeDocument/2006/relationships" r:embed="rId1554"/>
        <a:stretch>
          <a:fillRect/>
        </a:stretch>
      </xdr:blipFill>
      <xdr:spPr>
        <a:xfrm>
          <a:off x="7264400" y="2022967125"/>
          <a:ext cx="878840" cy="1183640"/>
        </a:xfrm>
        <a:prstGeom prst="rect">
          <a:avLst/>
        </a:prstGeom>
      </xdr:spPr>
    </xdr:pic>
    <xdr:clientData/>
  </xdr:twoCellAnchor>
  <xdr:twoCellAnchor>
    <xdr:from>
      <xdr:col>8</xdr:col>
      <xdr:colOff>6350</xdr:colOff>
      <xdr:row>2041</xdr:row>
      <xdr:rowOff>25400</xdr:rowOff>
    </xdr:from>
    <xdr:to>
      <xdr:col>8</xdr:col>
      <xdr:colOff>885190</xdr:colOff>
      <xdr:row>2041</xdr:row>
      <xdr:rowOff>1209040</xdr:rowOff>
    </xdr:to>
    <xdr:pic>
      <xdr:nvPicPr>
        <xdr:cNvPr id="5806" name="Изображение 5805" descr="resizeПП-00265546"/>
        <xdr:cNvPicPr>
          <a:picLocks noChangeAspect="1"/>
        </xdr:cNvPicPr>
      </xdr:nvPicPr>
      <xdr:blipFill>
        <a:blip xmlns:r="http://schemas.openxmlformats.org/officeDocument/2006/relationships" r:embed="rId1555"/>
        <a:stretch>
          <a:fillRect/>
        </a:stretch>
      </xdr:blipFill>
      <xdr:spPr>
        <a:xfrm>
          <a:off x="7264400" y="2024189500"/>
          <a:ext cx="878840" cy="1183640"/>
        </a:xfrm>
        <a:prstGeom prst="rect">
          <a:avLst/>
        </a:prstGeom>
      </xdr:spPr>
    </xdr:pic>
    <xdr:clientData/>
  </xdr:twoCellAnchor>
  <xdr:twoCellAnchor>
    <xdr:from>
      <xdr:col>8</xdr:col>
      <xdr:colOff>6350</xdr:colOff>
      <xdr:row>2042</xdr:row>
      <xdr:rowOff>25400</xdr:rowOff>
    </xdr:from>
    <xdr:to>
      <xdr:col>8</xdr:col>
      <xdr:colOff>885190</xdr:colOff>
      <xdr:row>2042</xdr:row>
      <xdr:rowOff>1209040</xdr:rowOff>
    </xdr:to>
    <xdr:pic>
      <xdr:nvPicPr>
        <xdr:cNvPr id="5807" name="Изображение 5806" descr="resizeПП-00265544"/>
        <xdr:cNvPicPr>
          <a:picLocks noChangeAspect="1"/>
        </xdr:cNvPicPr>
      </xdr:nvPicPr>
      <xdr:blipFill>
        <a:blip xmlns:r="http://schemas.openxmlformats.org/officeDocument/2006/relationships" r:embed="rId1556"/>
        <a:stretch>
          <a:fillRect/>
        </a:stretch>
      </xdr:blipFill>
      <xdr:spPr>
        <a:xfrm>
          <a:off x="7264400" y="2025411875"/>
          <a:ext cx="878840" cy="1183640"/>
        </a:xfrm>
        <a:prstGeom prst="rect">
          <a:avLst/>
        </a:prstGeom>
      </xdr:spPr>
    </xdr:pic>
    <xdr:clientData/>
  </xdr:twoCellAnchor>
  <xdr:twoCellAnchor>
    <xdr:from>
      <xdr:col>8</xdr:col>
      <xdr:colOff>6350</xdr:colOff>
      <xdr:row>2043</xdr:row>
      <xdr:rowOff>25400</xdr:rowOff>
    </xdr:from>
    <xdr:to>
      <xdr:col>8</xdr:col>
      <xdr:colOff>885190</xdr:colOff>
      <xdr:row>2043</xdr:row>
      <xdr:rowOff>1209040</xdr:rowOff>
    </xdr:to>
    <xdr:pic>
      <xdr:nvPicPr>
        <xdr:cNvPr id="5808" name="Изображение 5807" descr="resizeПП-00265548"/>
        <xdr:cNvPicPr>
          <a:picLocks noChangeAspect="1"/>
        </xdr:cNvPicPr>
      </xdr:nvPicPr>
      <xdr:blipFill>
        <a:blip xmlns:r="http://schemas.openxmlformats.org/officeDocument/2006/relationships" r:embed="rId1557"/>
        <a:stretch>
          <a:fillRect/>
        </a:stretch>
      </xdr:blipFill>
      <xdr:spPr>
        <a:xfrm>
          <a:off x="7264400" y="2026634250"/>
          <a:ext cx="878840" cy="1183640"/>
        </a:xfrm>
        <a:prstGeom prst="rect">
          <a:avLst/>
        </a:prstGeom>
      </xdr:spPr>
    </xdr:pic>
    <xdr:clientData/>
  </xdr:twoCellAnchor>
  <xdr:twoCellAnchor>
    <xdr:from>
      <xdr:col>8</xdr:col>
      <xdr:colOff>6350</xdr:colOff>
      <xdr:row>2044</xdr:row>
      <xdr:rowOff>25400</xdr:rowOff>
    </xdr:from>
    <xdr:to>
      <xdr:col>8</xdr:col>
      <xdr:colOff>885190</xdr:colOff>
      <xdr:row>2044</xdr:row>
      <xdr:rowOff>1209040</xdr:rowOff>
    </xdr:to>
    <xdr:pic>
      <xdr:nvPicPr>
        <xdr:cNvPr id="5809" name="Изображение 5808" descr="resizeПП-00265535"/>
        <xdr:cNvPicPr>
          <a:picLocks noChangeAspect="1"/>
        </xdr:cNvPicPr>
      </xdr:nvPicPr>
      <xdr:blipFill>
        <a:blip xmlns:r="http://schemas.openxmlformats.org/officeDocument/2006/relationships" r:embed="rId1558"/>
        <a:stretch>
          <a:fillRect/>
        </a:stretch>
      </xdr:blipFill>
      <xdr:spPr>
        <a:xfrm>
          <a:off x="7264400" y="2027856625"/>
          <a:ext cx="878840" cy="1183640"/>
        </a:xfrm>
        <a:prstGeom prst="rect">
          <a:avLst/>
        </a:prstGeom>
      </xdr:spPr>
    </xdr:pic>
    <xdr:clientData/>
  </xdr:twoCellAnchor>
  <xdr:twoCellAnchor>
    <xdr:from>
      <xdr:col>8</xdr:col>
      <xdr:colOff>6350</xdr:colOff>
      <xdr:row>2045</xdr:row>
      <xdr:rowOff>25400</xdr:rowOff>
    </xdr:from>
    <xdr:to>
      <xdr:col>8</xdr:col>
      <xdr:colOff>885190</xdr:colOff>
      <xdr:row>2045</xdr:row>
      <xdr:rowOff>1209040</xdr:rowOff>
    </xdr:to>
    <xdr:pic>
      <xdr:nvPicPr>
        <xdr:cNvPr id="5810" name="Изображение 5809" descr="resizeПП-00254069"/>
        <xdr:cNvPicPr>
          <a:picLocks noChangeAspect="1"/>
        </xdr:cNvPicPr>
      </xdr:nvPicPr>
      <xdr:blipFill>
        <a:blip xmlns:r="http://schemas.openxmlformats.org/officeDocument/2006/relationships" r:embed="rId1559"/>
        <a:stretch>
          <a:fillRect/>
        </a:stretch>
      </xdr:blipFill>
      <xdr:spPr>
        <a:xfrm>
          <a:off x="7264400" y="2029079000"/>
          <a:ext cx="878840" cy="1183640"/>
        </a:xfrm>
        <a:prstGeom prst="rect">
          <a:avLst/>
        </a:prstGeom>
      </xdr:spPr>
    </xdr:pic>
    <xdr:clientData/>
  </xdr:twoCellAnchor>
  <xdr:twoCellAnchor>
    <xdr:from>
      <xdr:col>8</xdr:col>
      <xdr:colOff>6350</xdr:colOff>
      <xdr:row>2046</xdr:row>
      <xdr:rowOff>25400</xdr:rowOff>
    </xdr:from>
    <xdr:to>
      <xdr:col>8</xdr:col>
      <xdr:colOff>885190</xdr:colOff>
      <xdr:row>2046</xdr:row>
      <xdr:rowOff>1209040</xdr:rowOff>
    </xdr:to>
    <xdr:pic>
      <xdr:nvPicPr>
        <xdr:cNvPr id="5811" name="Изображение 5810" descr="resizeПП-00254067"/>
        <xdr:cNvPicPr>
          <a:picLocks noChangeAspect="1"/>
        </xdr:cNvPicPr>
      </xdr:nvPicPr>
      <xdr:blipFill>
        <a:blip xmlns:r="http://schemas.openxmlformats.org/officeDocument/2006/relationships" r:embed="rId1560"/>
        <a:stretch>
          <a:fillRect/>
        </a:stretch>
      </xdr:blipFill>
      <xdr:spPr>
        <a:xfrm>
          <a:off x="7264400" y="2030301375"/>
          <a:ext cx="878840" cy="1183640"/>
        </a:xfrm>
        <a:prstGeom prst="rect">
          <a:avLst/>
        </a:prstGeom>
      </xdr:spPr>
    </xdr:pic>
    <xdr:clientData/>
  </xdr:twoCellAnchor>
  <xdr:twoCellAnchor>
    <xdr:from>
      <xdr:col>8</xdr:col>
      <xdr:colOff>6350</xdr:colOff>
      <xdr:row>2047</xdr:row>
      <xdr:rowOff>25400</xdr:rowOff>
    </xdr:from>
    <xdr:to>
      <xdr:col>8</xdr:col>
      <xdr:colOff>885190</xdr:colOff>
      <xdr:row>2047</xdr:row>
      <xdr:rowOff>1209040</xdr:rowOff>
    </xdr:to>
    <xdr:pic>
      <xdr:nvPicPr>
        <xdr:cNvPr id="5812" name="Изображение 5811" descr="resizeПП-00254073"/>
        <xdr:cNvPicPr>
          <a:picLocks noChangeAspect="1"/>
        </xdr:cNvPicPr>
      </xdr:nvPicPr>
      <xdr:blipFill>
        <a:blip xmlns:r="http://schemas.openxmlformats.org/officeDocument/2006/relationships" r:embed="rId1561"/>
        <a:stretch>
          <a:fillRect/>
        </a:stretch>
      </xdr:blipFill>
      <xdr:spPr>
        <a:xfrm>
          <a:off x="7264400" y="2031523750"/>
          <a:ext cx="878840" cy="1183640"/>
        </a:xfrm>
        <a:prstGeom prst="rect">
          <a:avLst/>
        </a:prstGeom>
      </xdr:spPr>
    </xdr:pic>
    <xdr:clientData/>
  </xdr:twoCellAnchor>
  <xdr:twoCellAnchor>
    <xdr:from>
      <xdr:col>8</xdr:col>
      <xdr:colOff>6350</xdr:colOff>
      <xdr:row>2048</xdr:row>
      <xdr:rowOff>25400</xdr:rowOff>
    </xdr:from>
    <xdr:to>
      <xdr:col>8</xdr:col>
      <xdr:colOff>885190</xdr:colOff>
      <xdr:row>2048</xdr:row>
      <xdr:rowOff>1209040</xdr:rowOff>
    </xdr:to>
    <xdr:pic>
      <xdr:nvPicPr>
        <xdr:cNvPr id="5813" name="Изображение 5812" descr="resizeПП-00254072"/>
        <xdr:cNvPicPr>
          <a:picLocks noChangeAspect="1"/>
        </xdr:cNvPicPr>
      </xdr:nvPicPr>
      <xdr:blipFill>
        <a:blip xmlns:r="http://schemas.openxmlformats.org/officeDocument/2006/relationships" r:embed="rId1562"/>
        <a:stretch>
          <a:fillRect/>
        </a:stretch>
      </xdr:blipFill>
      <xdr:spPr>
        <a:xfrm>
          <a:off x="7264400" y="2032746125"/>
          <a:ext cx="878840" cy="1183640"/>
        </a:xfrm>
        <a:prstGeom prst="rect">
          <a:avLst/>
        </a:prstGeom>
      </xdr:spPr>
    </xdr:pic>
    <xdr:clientData/>
  </xdr:twoCellAnchor>
  <xdr:twoCellAnchor>
    <xdr:from>
      <xdr:col>8</xdr:col>
      <xdr:colOff>6350</xdr:colOff>
      <xdr:row>2049</xdr:row>
      <xdr:rowOff>25400</xdr:rowOff>
    </xdr:from>
    <xdr:to>
      <xdr:col>8</xdr:col>
      <xdr:colOff>885190</xdr:colOff>
      <xdr:row>2049</xdr:row>
      <xdr:rowOff>1209040</xdr:rowOff>
    </xdr:to>
    <xdr:pic>
      <xdr:nvPicPr>
        <xdr:cNvPr id="5814" name="Изображение 5813" descr="resizeПП-00254071"/>
        <xdr:cNvPicPr>
          <a:picLocks noChangeAspect="1"/>
        </xdr:cNvPicPr>
      </xdr:nvPicPr>
      <xdr:blipFill>
        <a:blip xmlns:r="http://schemas.openxmlformats.org/officeDocument/2006/relationships" r:embed="rId1563"/>
        <a:stretch>
          <a:fillRect/>
        </a:stretch>
      </xdr:blipFill>
      <xdr:spPr>
        <a:xfrm>
          <a:off x="7264400" y="2033968500"/>
          <a:ext cx="878840" cy="1183640"/>
        </a:xfrm>
        <a:prstGeom prst="rect">
          <a:avLst/>
        </a:prstGeom>
      </xdr:spPr>
    </xdr:pic>
    <xdr:clientData/>
  </xdr:twoCellAnchor>
  <xdr:twoCellAnchor>
    <xdr:from>
      <xdr:col>8</xdr:col>
      <xdr:colOff>6350</xdr:colOff>
      <xdr:row>2050</xdr:row>
      <xdr:rowOff>25400</xdr:rowOff>
    </xdr:from>
    <xdr:to>
      <xdr:col>8</xdr:col>
      <xdr:colOff>1189990</xdr:colOff>
      <xdr:row>2050</xdr:row>
      <xdr:rowOff>904240</xdr:rowOff>
    </xdr:to>
    <xdr:pic>
      <xdr:nvPicPr>
        <xdr:cNvPr id="5815" name="Изображение 5814" descr="resizeПП-00225449"/>
        <xdr:cNvPicPr>
          <a:picLocks noChangeAspect="1"/>
        </xdr:cNvPicPr>
      </xdr:nvPicPr>
      <xdr:blipFill>
        <a:blip xmlns:r="http://schemas.openxmlformats.org/officeDocument/2006/relationships" r:embed="rId1564"/>
        <a:stretch>
          <a:fillRect/>
        </a:stretch>
      </xdr:blipFill>
      <xdr:spPr>
        <a:xfrm>
          <a:off x="7264400" y="2035190875"/>
          <a:ext cx="1183640" cy="878840"/>
        </a:xfrm>
        <a:prstGeom prst="rect">
          <a:avLst/>
        </a:prstGeom>
      </xdr:spPr>
    </xdr:pic>
    <xdr:clientData/>
  </xdr:twoCellAnchor>
  <xdr:twoCellAnchor>
    <xdr:from>
      <xdr:col>8</xdr:col>
      <xdr:colOff>6350</xdr:colOff>
      <xdr:row>2052</xdr:row>
      <xdr:rowOff>25400</xdr:rowOff>
    </xdr:from>
    <xdr:to>
      <xdr:col>8</xdr:col>
      <xdr:colOff>885190</xdr:colOff>
      <xdr:row>2052</xdr:row>
      <xdr:rowOff>1209040</xdr:rowOff>
    </xdr:to>
    <xdr:pic>
      <xdr:nvPicPr>
        <xdr:cNvPr id="5816" name="Изображение 5815" descr="resizeПП-00186937"/>
        <xdr:cNvPicPr>
          <a:picLocks noChangeAspect="1"/>
        </xdr:cNvPicPr>
      </xdr:nvPicPr>
      <xdr:blipFill>
        <a:blip xmlns:r="http://schemas.openxmlformats.org/officeDocument/2006/relationships" r:embed="rId1565"/>
        <a:stretch>
          <a:fillRect/>
        </a:stretch>
      </xdr:blipFill>
      <xdr:spPr>
        <a:xfrm>
          <a:off x="7264400" y="2036565650"/>
          <a:ext cx="878840" cy="1183640"/>
        </a:xfrm>
        <a:prstGeom prst="rect">
          <a:avLst/>
        </a:prstGeom>
      </xdr:spPr>
    </xdr:pic>
    <xdr:clientData/>
  </xdr:twoCellAnchor>
  <xdr:twoCellAnchor>
    <xdr:from>
      <xdr:col>8</xdr:col>
      <xdr:colOff>6350</xdr:colOff>
      <xdr:row>2053</xdr:row>
      <xdr:rowOff>25400</xdr:rowOff>
    </xdr:from>
    <xdr:to>
      <xdr:col>8</xdr:col>
      <xdr:colOff>885190</xdr:colOff>
      <xdr:row>2053</xdr:row>
      <xdr:rowOff>1209040</xdr:rowOff>
    </xdr:to>
    <xdr:pic>
      <xdr:nvPicPr>
        <xdr:cNvPr id="5817" name="Изображение 5816" descr="resizeПП-00186942"/>
        <xdr:cNvPicPr>
          <a:picLocks noChangeAspect="1"/>
        </xdr:cNvPicPr>
      </xdr:nvPicPr>
      <xdr:blipFill>
        <a:blip xmlns:r="http://schemas.openxmlformats.org/officeDocument/2006/relationships" r:embed="rId1566"/>
        <a:stretch>
          <a:fillRect/>
        </a:stretch>
      </xdr:blipFill>
      <xdr:spPr>
        <a:xfrm>
          <a:off x="7264400" y="2037788025"/>
          <a:ext cx="878840" cy="1183640"/>
        </a:xfrm>
        <a:prstGeom prst="rect">
          <a:avLst/>
        </a:prstGeom>
      </xdr:spPr>
    </xdr:pic>
    <xdr:clientData/>
  </xdr:twoCellAnchor>
  <xdr:twoCellAnchor>
    <xdr:from>
      <xdr:col>8</xdr:col>
      <xdr:colOff>6350</xdr:colOff>
      <xdr:row>2054</xdr:row>
      <xdr:rowOff>25400</xdr:rowOff>
    </xdr:from>
    <xdr:to>
      <xdr:col>8</xdr:col>
      <xdr:colOff>885190</xdr:colOff>
      <xdr:row>2054</xdr:row>
      <xdr:rowOff>1209040</xdr:rowOff>
    </xdr:to>
    <xdr:pic>
      <xdr:nvPicPr>
        <xdr:cNvPr id="5818" name="Изображение 5817" descr="resizeПП-00186943"/>
        <xdr:cNvPicPr>
          <a:picLocks noChangeAspect="1"/>
        </xdr:cNvPicPr>
      </xdr:nvPicPr>
      <xdr:blipFill>
        <a:blip xmlns:r="http://schemas.openxmlformats.org/officeDocument/2006/relationships" r:embed="rId1567"/>
        <a:stretch>
          <a:fillRect/>
        </a:stretch>
      </xdr:blipFill>
      <xdr:spPr>
        <a:xfrm>
          <a:off x="7264400" y="2039010400"/>
          <a:ext cx="878840" cy="1183640"/>
        </a:xfrm>
        <a:prstGeom prst="rect">
          <a:avLst/>
        </a:prstGeom>
      </xdr:spPr>
    </xdr:pic>
    <xdr:clientData/>
  </xdr:twoCellAnchor>
  <xdr:twoCellAnchor>
    <xdr:from>
      <xdr:col>8</xdr:col>
      <xdr:colOff>6350</xdr:colOff>
      <xdr:row>2057</xdr:row>
      <xdr:rowOff>25400</xdr:rowOff>
    </xdr:from>
    <xdr:to>
      <xdr:col>8</xdr:col>
      <xdr:colOff>885190</xdr:colOff>
      <xdr:row>2057</xdr:row>
      <xdr:rowOff>1209040</xdr:rowOff>
    </xdr:to>
    <xdr:pic>
      <xdr:nvPicPr>
        <xdr:cNvPr id="5819" name="Изображение 5818" descr="resizeПП-00275100"/>
        <xdr:cNvPicPr>
          <a:picLocks noChangeAspect="1"/>
        </xdr:cNvPicPr>
      </xdr:nvPicPr>
      <xdr:blipFill>
        <a:blip xmlns:r="http://schemas.openxmlformats.org/officeDocument/2006/relationships" r:embed="rId1568"/>
        <a:stretch>
          <a:fillRect/>
        </a:stretch>
      </xdr:blipFill>
      <xdr:spPr>
        <a:xfrm>
          <a:off x="7264400" y="2040537575"/>
          <a:ext cx="878840" cy="1183640"/>
        </a:xfrm>
        <a:prstGeom prst="rect">
          <a:avLst/>
        </a:prstGeom>
      </xdr:spPr>
    </xdr:pic>
    <xdr:clientData/>
  </xdr:twoCellAnchor>
  <xdr:twoCellAnchor>
    <xdr:from>
      <xdr:col>8</xdr:col>
      <xdr:colOff>6350</xdr:colOff>
      <xdr:row>2058</xdr:row>
      <xdr:rowOff>25400</xdr:rowOff>
    </xdr:from>
    <xdr:to>
      <xdr:col>8</xdr:col>
      <xdr:colOff>885190</xdr:colOff>
      <xdr:row>2058</xdr:row>
      <xdr:rowOff>1209040</xdr:rowOff>
    </xdr:to>
    <xdr:pic>
      <xdr:nvPicPr>
        <xdr:cNvPr id="5820" name="Изображение 5819" descr="resizeПП-00275098"/>
        <xdr:cNvPicPr>
          <a:picLocks noChangeAspect="1"/>
        </xdr:cNvPicPr>
      </xdr:nvPicPr>
      <xdr:blipFill>
        <a:blip xmlns:r="http://schemas.openxmlformats.org/officeDocument/2006/relationships" r:embed="rId1569"/>
        <a:stretch>
          <a:fillRect/>
        </a:stretch>
      </xdr:blipFill>
      <xdr:spPr>
        <a:xfrm>
          <a:off x="7264400" y="2041759950"/>
          <a:ext cx="878840" cy="1183640"/>
        </a:xfrm>
        <a:prstGeom prst="rect">
          <a:avLst/>
        </a:prstGeom>
      </xdr:spPr>
    </xdr:pic>
    <xdr:clientData/>
  </xdr:twoCellAnchor>
  <xdr:twoCellAnchor>
    <xdr:from>
      <xdr:col>8</xdr:col>
      <xdr:colOff>6350</xdr:colOff>
      <xdr:row>2059</xdr:row>
      <xdr:rowOff>25400</xdr:rowOff>
    </xdr:from>
    <xdr:to>
      <xdr:col>8</xdr:col>
      <xdr:colOff>885190</xdr:colOff>
      <xdr:row>2059</xdr:row>
      <xdr:rowOff>1209040</xdr:rowOff>
    </xdr:to>
    <xdr:pic>
      <xdr:nvPicPr>
        <xdr:cNvPr id="5821" name="Изображение 5820" descr="resizeПП-00275101"/>
        <xdr:cNvPicPr>
          <a:picLocks noChangeAspect="1"/>
        </xdr:cNvPicPr>
      </xdr:nvPicPr>
      <xdr:blipFill>
        <a:blip xmlns:r="http://schemas.openxmlformats.org/officeDocument/2006/relationships" r:embed="rId1570"/>
        <a:stretch>
          <a:fillRect/>
        </a:stretch>
      </xdr:blipFill>
      <xdr:spPr>
        <a:xfrm>
          <a:off x="7264400" y="2042982325"/>
          <a:ext cx="878840" cy="1183640"/>
        </a:xfrm>
        <a:prstGeom prst="rect">
          <a:avLst/>
        </a:prstGeom>
      </xdr:spPr>
    </xdr:pic>
    <xdr:clientData/>
  </xdr:twoCellAnchor>
  <xdr:twoCellAnchor>
    <xdr:from>
      <xdr:col>8</xdr:col>
      <xdr:colOff>6350</xdr:colOff>
      <xdr:row>2060</xdr:row>
      <xdr:rowOff>25400</xdr:rowOff>
    </xdr:from>
    <xdr:to>
      <xdr:col>8</xdr:col>
      <xdr:colOff>885190</xdr:colOff>
      <xdr:row>2060</xdr:row>
      <xdr:rowOff>1209040</xdr:rowOff>
    </xdr:to>
    <xdr:pic>
      <xdr:nvPicPr>
        <xdr:cNvPr id="5822" name="Изображение 5821" descr="resizeПП-00226175"/>
        <xdr:cNvPicPr>
          <a:picLocks noChangeAspect="1"/>
        </xdr:cNvPicPr>
      </xdr:nvPicPr>
      <xdr:blipFill>
        <a:blip xmlns:r="http://schemas.openxmlformats.org/officeDocument/2006/relationships" r:embed="rId1571"/>
        <a:stretch>
          <a:fillRect/>
        </a:stretch>
      </xdr:blipFill>
      <xdr:spPr>
        <a:xfrm>
          <a:off x="7264400" y="2044204700"/>
          <a:ext cx="878840" cy="1183640"/>
        </a:xfrm>
        <a:prstGeom prst="rect">
          <a:avLst/>
        </a:prstGeom>
      </xdr:spPr>
    </xdr:pic>
    <xdr:clientData/>
  </xdr:twoCellAnchor>
  <xdr:twoCellAnchor>
    <xdr:from>
      <xdr:col>8</xdr:col>
      <xdr:colOff>6350</xdr:colOff>
      <xdr:row>2061</xdr:row>
      <xdr:rowOff>25400</xdr:rowOff>
    </xdr:from>
    <xdr:to>
      <xdr:col>8</xdr:col>
      <xdr:colOff>885190</xdr:colOff>
      <xdr:row>2061</xdr:row>
      <xdr:rowOff>1209040</xdr:rowOff>
    </xdr:to>
    <xdr:pic>
      <xdr:nvPicPr>
        <xdr:cNvPr id="5823" name="Изображение 5822" descr="resizeПП-00275102"/>
        <xdr:cNvPicPr>
          <a:picLocks noChangeAspect="1"/>
        </xdr:cNvPicPr>
      </xdr:nvPicPr>
      <xdr:blipFill>
        <a:blip xmlns:r="http://schemas.openxmlformats.org/officeDocument/2006/relationships" r:embed="rId1572"/>
        <a:stretch>
          <a:fillRect/>
        </a:stretch>
      </xdr:blipFill>
      <xdr:spPr>
        <a:xfrm>
          <a:off x="7264400" y="2045427075"/>
          <a:ext cx="878840" cy="1183640"/>
        </a:xfrm>
        <a:prstGeom prst="rect">
          <a:avLst/>
        </a:prstGeom>
      </xdr:spPr>
    </xdr:pic>
    <xdr:clientData/>
  </xdr:twoCellAnchor>
  <xdr:twoCellAnchor>
    <xdr:from>
      <xdr:col>8</xdr:col>
      <xdr:colOff>6350</xdr:colOff>
      <xdr:row>2062</xdr:row>
      <xdr:rowOff>25400</xdr:rowOff>
    </xdr:from>
    <xdr:to>
      <xdr:col>8</xdr:col>
      <xdr:colOff>885190</xdr:colOff>
      <xdr:row>2062</xdr:row>
      <xdr:rowOff>1209040</xdr:rowOff>
    </xdr:to>
    <xdr:pic>
      <xdr:nvPicPr>
        <xdr:cNvPr id="5824" name="Изображение 5823" descr="resizeПП-00251915"/>
        <xdr:cNvPicPr>
          <a:picLocks noChangeAspect="1"/>
        </xdr:cNvPicPr>
      </xdr:nvPicPr>
      <xdr:blipFill>
        <a:blip xmlns:r="http://schemas.openxmlformats.org/officeDocument/2006/relationships" r:embed="rId1573"/>
        <a:stretch>
          <a:fillRect/>
        </a:stretch>
      </xdr:blipFill>
      <xdr:spPr>
        <a:xfrm>
          <a:off x="7264400" y="2046649450"/>
          <a:ext cx="878840" cy="1183640"/>
        </a:xfrm>
        <a:prstGeom prst="rect">
          <a:avLst/>
        </a:prstGeom>
      </xdr:spPr>
    </xdr:pic>
    <xdr:clientData/>
  </xdr:twoCellAnchor>
  <xdr:twoCellAnchor>
    <xdr:from>
      <xdr:col>8</xdr:col>
      <xdr:colOff>6350</xdr:colOff>
      <xdr:row>2063</xdr:row>
      <xdr:rowOff>25400</xdr:rowOff>
    </xdr:from>
    <xdr:to>
      <xdr:col>8</xdr:col>
      <xdr:colOff>885190</xdr:colOff>
      <xdr:row>2063</xdr:row>
      <xdr:rowOff>1209040</xdr:rowOff>
    </xdr:to>
    <xdr:pic>
      <xdr:nvPicPr>
        <xdr:cNvPr id="5825" name="Изображение 5824" descr="resizeПП-00251916"/>
        <xdr:cNvPicPr>
          <a:picLocks noChangeAspect="1"/>
        </xdr:cNvPicPr>
      </xdr:nvPicPr>
      <xdr:blipFill>
        <a:blip xmlns:r="http://schemas.openxmlformats.org/officeDocument/2006/relationships" r:embed="rId1574"/>
        <a:stretch>
          <a:fillRect/>
        </a:stretch>
      </xdr:blipFill>
      <xdr:spPr>
        <a:xfrm>
          <a:off x="7264400" y="2047871825"/>
          <a:ext cx="878840" cy="1183640"/>
        </a:xfrm>
        <a:prstGeom prst="rect">
          <a:avLst/>
        </a:prstGeom>
      </xdr:spPr>
    </xdr:pic>
    <xdr:clientData/>
  </xdr:twoCellAnchor>
  <xdr:twoCellAnchor>
    <xdr:from>
      <xdr:col>8</xdr:col>
      <xdr:colOff>6350</xdr:colOff>
      <xdr:row>2064</xdr:row>
      <xdr:rowOff>25400</xdr:rowOff>
    </xdr:from>
    <xdr:to>
      <xdr:col>8</xdr:col>
      <xdr:colOff>885190</xdr:colOff>
      <xdr:row>2064</xdr:row>
      <xdr:rowOff>1209040</xdr:rowOff>
    </xdr:to>
    <xdr:pic>
      <xdr:nvPicPr>
        <xdr:cNvPr id="5826" name="Изображение 5825" descr="resizeПП-00272692"/>
        <xdr:cNvPicPr>
          <a:picLocks noChangeAspect="1"/>
        </xdr:cNvPicPr>
      </xdr:nvPicPr>
      <xdr:blipFill>
        <a:blip xmlns:r="http://schemas.openxmlformats.org/officeDocument/2006/relationships" r:embed="rId1575"/>
        <a:stretch>
          <a:fillRect/>
        </a:stretch>
      </xdr:blipFill>
      <xdr:spPr>
        <a:xfrm>
          <a:off x="7264400" y="2049094200"/>
          <a:ext cx="878840" cy="1183640"/>
        </a:xfrm>
        <a:prstGeom prst="rect">
          <a:avLst/>
        </a:prstGeom>
      </xdr:spPr>
    </xdr:pic>
    <xdr:clientData/>
  </xdr:twoCellAnchor>
  <xdr:twoCellAnchor>
    <xdr:from>
      <xdr:col>8</xdr:col>
      <xdr:colOff>6350</xdr:colOff>
      <xdr:row>2065</xdr:row>
      <xdr:rowOff>25400</xdr:rowOff>
    </xdr:from>
    <xdr:to>
      <xdr:col>8</xdr:col>
      <xdr:colOff>885190</xdr:colOff>
      <xdr:row>2065</xdr:row>
      <xdr:rowOff>1209040</xdr:rowOff>
    </xdr:to>
    <xdr:pic>
      <xdr:nvPicPr>
        <xdr:cNvPr id="5827" name="Изображение 5826" descr="resizeПП-00251917"/>
        <xdr:cNvPicPr>
          <a:picLocks noChangeAspect="1"/>
        </xdr:cNvPicPr>
      </xdr:nvPicPr>
      <xdr:blipFill>
        <a:blip xmlns:r="http://schemas.openxmlformats.org/officeDocument/2006/relationships" r:embed="rId1576"/>
        <a:stretch>
          <a:fillRect/>
        </a:stretch>
      </xdr:blipFill>
      <xdr:spPr>
        <a:xfrm>
          <a:off x="7264400" y="2050316575"/>
          <a:ext cx="878840" cy="1183640"/>
        </a:xfrm>
        <a:prstGeom prst="rect">
          <a:avLst/>
        </a:prstGeom>
      </xdr:spPr>
    </xdr:pic>
    <xdr:clientData/>
  </xdr:twoCellAnchor>
  <xdr:twoCellAnchor>
    <xdr:from>
      <xdr:col>8</xdr:col>
      <xdr:colOff>6350</xdr:colOff>
      <xdr:row>2066</xdr:row>
      <xdr:rowOff>25400</xdr:rowOff>
    </xdr:from>
    <xdr:to>
      <xdr:col>8</xdr:col>
      <xdr:colOff>885190</xdr:colOff>
      <xdr:row>2066</xdr:row>
      <xdr:rowOff>1209040</xdr:rowOff>
    </xdr:to>
    <xdr:pic>
      <xdr:nvPicPr>
        <xdr:cNvPr id="5828" name="Изображение 5827" descr="resizeПП-00251918"/>
        <xdr:cNvPicPr>
          <a:picLocks noChangeAspect="1"/>
        </xdr:cNvPicPr>
      </xdr:nvPicPr>
      <xdr:blipFill>
        <a:blip xmlns:r="http://schemas.openxmlformats.org/officeDocument/2006/relationships" r:embed="rId1577"/>
        <a:stretch>
          <a:fillRect/>
        </a:stretch>
      </xdr:blipFill>
      <xdr:spPr>
        <a:xfrm>
          <a:off x="7264400" y="2051538950"/>
          <a:ext cx="878840" cy="1183640"/>
        </a:xfrm>
        <a:prstGeom prst="rect">
          <a:avLst/>
        </a:prstGeom>
      </xdr:spPr>
    </xdr:pic>
    <xdr:clientData/>
  </xdr:twoCellAnchor>
  <xdr:twoCellAnchor>
    <xdr:from>
      <xdr:col>8</xdr:col>
      <xdr:colOff>6350</xdr:colOff>
      <xdr:row>2067</xdr:row>
      <xdr:rowOff>25400</xdr:rowOff>
    </xdr:from>
    <xdr:to>
      <xdr:col>8</xdr:col>
      <xdr:colOff>885190</xdr:colOff>
      <xdr:row>2067</xdr:row>
      <xdr:rowOff>1209040</xdr:rowOff>
    </xdr:to>
    <xdr:pic>
      <xdr:nvPicPr>
        <xdr:cNvPr id="5829" name="Изображение 5828" descr="resizeПП-00272695"/>
        <xdr:cNvPicPr>
          <a:picLocks noChangeAspect="1"/>
        </xdr:cNvPicPr>
      </xdr:nvPicPr>
      <xdr:blipFill>
        <a:blip xmlns:r="http://schemas.openxmlformats.org/officeDocument/2006/relationships" r:embed="rId1578"/>
        <a:stretch>
          <a:fillRect/>
        </a:stretch>
      </xdr:blipFill>
      <xdr:spPr>
        <a:xfrm>
          <a:off x="7264400" y="2052761325"/>
          <a:ext cx="878840" cy="1183640"/>
        </a:xfrm>
        <a:prstGeom prst="rect">
          <a:avLst/>
        </a:prstGeom>
      </xdr:spPr>
    </xdr:pic>
    <xdr:clientData/>
  </xdr:twoCellAnchor>
  <xdr:twoCellAnchor>
    <xdr:from>
      <xdr:col>8</xdr:col>
      <xdr:colOff>6350</xdr:colOff>
      <xdr:row>2068</xdr:row>
      <xdr:rowOff>25400</xdr:rowOff>
    </xdr:from>
    <xdr:to>
      <xdr:col>8</xdr:col>
      <xdr:colOff>885190</xdr:colOff>
      <xdr:row>2068</xdr:row>
      <xdr:rowOff>1209040</xdr:rowOff>
    </xdr:to>
    <xdr:pic>
      <xdr:nvPicPr>
        <xdr:cNvPr id="5830" name="Изображение 5829" descr="resizeПП-00272700"/>
        <xdr:cNvPicPr>
          <a:picLocks noChangeAspect="1"/>
        </xdr:cNvPicPr>
      </xdr:nvPicPr>
      <xdr:blipFill>
        <a:blip xmlns:r="http://schemas.openxmlformats.org/officeDocument/2006/relationships" r:embed="rId1579"/>
        <a:stretch>
          <a:fillRect/>
        </a:stretch>
      </xdr:blipFill>
      <xdr:spPr>
        <a:xfrm>
          <a:off x="7264400" y="2053983700"/>
          <a:ext cx="878840" cy="1183640"/>
        </a:xfrm>
        <a:prstGeom prst="rect">
          <a:avLst/>
        </a:prstGeom>
      </xdr:spPr>
    </xdr:pic>
    <xdr:clientData/>
  </xdr:twoCellAnchor>
  <xdr:twoCellAnchor>
    <xdr:from>
      <xdr:col>8</xdr:col>
      <xdr:colOff>6350</xdr:colOff>
      <xdr:row>2069</xdr:row>
      <xdr:rowOff>25400</xdr:rowOff>
    </xdr:from>
    <xdr:to>
      <xdr:col>8</xdr:col>
      <xdr:colOff>885190</xdr:colOff>
      <xdr:row>2069</xdr:row>
      <xdr:rowOff>1209040</xdr:rowOff>
    </xdr:to>
    <xdr:pic>
      <xdr:nvPicPr>
        <xdr:cNvPr id="5831" name="Изображение 5830" descr="resizeПП-00275107"/>
        <xdr:cNvPicPr>
          <a:picLocks noChangeAspect="1"/>
        </xdr:cNvPicPr>
      </xdr:nvPicPr>
      <xdr:blipFill>
        <a:blip xmlns:r="http://schemas.openxmlformats.org/officeDocument/2006/relationships" r:embed="rId1580"/>
        <a:stretch>
          <a:fillRect/>
        </a:stretch>
      </xdr:blipFill>
      <xdr:spPr>
        <a:xfrm>
          <a:off x="7264400" y="2055206075"/>
          <a:ext cx="878840" cy="1183640"/>
        </a:xfrm>
        <a:prstGeom prst="rect">
          <a:avLst/>
        </a:prstGeom>
      </xdr:spPr>
    </xdr:pic>
    <xdr:clientData/>
  </xdr:twoCellAnchor>
  <xdr:twoCellAnchor>
    <xdr:from>
      <xdr:col>8</xdr:col>
      <xdr:colOff>6350</xdr:colOff>
      <xdr:row>2070</xdr:row>
      <xdr:rowOff>25400</xdr:rowOff>
    </xdr:from>
    <xdr:to>
      <xdr:col>8</xdr:col>
      <xdr:colOff>885190</xdr:colOff>
      <xdr:row>2070</xdr:row>
      <xdr:rowOff>1209040</xdr:rowOff>
    </xdr:to>
    <xdr:pic>
      <xdr:nvPicPr>
        <xdr:cNvPr id="5832" name="Изображение 5831" descr="resizeПП-00275099"/>
        <xdr:cNvPicPr>
          <a:picLocks noChangeAspect="1"/>
        </xdr:cNvPicPr>
      </xdr:nvPicPr>
      <xdr:blipFill>
        <a:blip xmlns:r="http://schemas.openxmlformats.org/officeDocument/2006/relationships" r:embed="rId1581"/>
        <a:stretch>
          <a:fillRect/>
        </a:stretch>
      </xdr:blipFill>
      <xdr:spPr>
        <a:xfrm>
          <a:off x="7264400" y="2056428450"/>
          <a:ext cx="878840" cy="1183640"/>
        </a:xfrm>
        <a:prstGeom prst="rect">
          <a:avLst/>
        </a:prstGeom>
      </xdr:spPr>
    </xdr:pic>
    <xdr:clientData/>
  </xdr:twoCellAnchor>
  <xdr:twoCellAnchor>
    <xdr:from>
      <xdr:col>8</xdr:col>
      <xdr:colOff>6350</xdr:colOff>
      <xdr:row>2072</xdr:row>
      <xdr:rowOff>25400</xdr:rowOff>
    </xdr:from>
    <xdr:to>
      <xdr:col>8</xdr:col>
      <xdr:colOff>885190</xdr:colOff>
      <xdr:row>2072</xdr:row>
      <xdr:rowOff>1209040</xdr:rowOff>
    </xdr:to>
    <xdr:pic>
      <xdr:nvPicPr>
        <xdr:cNvPr id="5833" name="Изображение 5832" descr="resizeПП-00249081"/>
        <xdr:cNvPicPr>
          <a:picLocks noChangeAspect="1"/>
        </xdr:cNvPicPr>
      </xdr:nvPicPr>
      <xdr:blipFill>
        <a:blip xmlns:r="http://schemas.openxmlformats.org/officeDocument/2006/relationships" r:embed="rId1582"/>
        <a:stretch>
          <a:fillRect/>
        </a:stretch>
      </xdr:blipFill>
      <xdr:spPr>
        <a:xfrm>
          <a:off x="7264400" y="2057803225"/>
          <a:ext cx="878840" cy="1183640"/>
        </a:xfrm>
        <a:prstGeom prst="rect">
          <a:avLst/>
        </a:prstGeom>
      </xdr:spPr>
    </xdr:pic>
    <xdr:clientData/>
  </xdr:twoCellAnchor>
  <xdr:twoCellAnchor>
    <xdr:from>
      <xdr:col>8</xdr:col>
      <xdr:colOff>6350</xdr:colOff>
      <xdr:row>2073</xdr:row>
      <xdr:rowOff>25400</xdr:rowOff>
    </xdr:from>
    <xdr:to>
      <xdr:col>8</xdr:col>
      <xdr:colOff>885190</xdr:colOff>
      <xdr:row>2073</xdr:row>
      <xdr:rowOff>1209040</xdr:rowOff>
    </xdr:to>
    <xdr:pic>
      <xdr:nvPicPr>
        <xdr:cNvPr id="5834" name="Изображение 5833" descr="resizeПП-00233812"/>
        <xdr:cNvPicPr>
          <a:picLocks noChangeAspect="1"/>
        </xdr:cNvPicPr>
      </xdr:nvPicPr>
      <xdr:blipFill>
        <a:blip xmlns:r="http://schemas.openxmlformats.org/officeDocument/2006/relationships" r:embed="rId1583"/>
        <a:stretch>
          <a:fillRect/>
        </a:stretch>
      </xdr:blipFill>
      <xdr:spPr>
        <a:xfrm>
          <a:off x="7264400" y="2059025600"/>
          <a:ext cx="878840" cy="1183640"/>
        </a:xfrm>
        <a:prstGeom prst="rect">
          <a:avLst/>
        </a:prstGeom>
      </xdr:spPr>
    </xdr:pic>
    <xdr:clientData/>
  </xdr:twoCellAnchor>
  <xdr:twoCellAnchor>
    <xdr:from>
      <xdr:col>8</xdr:col>
      <xdr:colOff>6350</xdr:colOff>
      <xdr:row>2074</xdr:row>
      <xdr:rowOff>25400</xdr:rowOff>
    </xdr:from>
    <xdr:to>
      <xdr:col>8</xdr:col>
      <xdr:colOff>885190</xdr:colOff>
      <xdr:row>2074</xdr:row>
      <xdr:rowOff>1209040</xdr:rowOff>
    </xdr:to>
    <xdr:pic>
      <xdr:nvPicPr>
        <xdr:cNvPr id="5835" name="Изображение 5834" descr="resizeПП-00233809"/>
        <xdr:cNvPicPr>
          <a:picLocks noChangeAspect="1"/>
        </xdr:cNvPicPr>
      </xdr:nvPicPr>
      <xdr:blipFill>
        <a:blip xmlns:r="http://schemas.openxmlformats.org/officeDocument/2006/relationships" r:embed="rId1584"/>
        <a:stretch>
          <a:fillRect/>
        </a:stretch>
      </xdr:blipFill>
      <xdr:spPr>
        <a:xfrm>
          <a:off x="7264400" y="2060247975"/>
          <a:ext cx="878840" cy="1183640"/>
        </a:xfrm>
        <a:prstGeom prst="rect">
          <a:avLst/>
        </a:prstGeom>
      </xdr:spPr>
    </xdr:pic>
    <xdr:clientData/>
  </xdr:twoCellAnchor>
  <xdr:twoCellAnchor>
    <xdr:from>
      <xdr:col>8</xdr:col>
      <xdr:colOff>6350</xdr:colOff>
      <xdr:row>2075</xdr:row>
      <xdr:rowOff>25400</xdr:rowOff>
    </xdr:from>
    <xdr:to>
      <xdr:col>8</xdr:col>
      <xdr:colOff>885190</xdr:colOff>
      <xdr:row>2075</xdr:row>
      <xdr:rowOff>1209040</xdr:rowOff>
    </xdr:to>
    <xdr:pic>
      <xdr:nvPicPr>
        <xdr:cNvPr id="5836" name="Изображение 5835" descr="resizeПП-00233813"/>
        <xdr:cNvPicPr>
          <a:picLocks noChangeAspect="1"/>
        </xdr:cNvPicPr>
      </xdr:nvPicPr>
      <xdr:blipFill>
        <a:blip xmlns:r="http://schemas.openxmlformats.org/officeDocument/2006/relationships" r:embed="rId1585"/>
        <a:stretch>
          <a:fillRect/>
        </a:stretch>
      </xdr:blipFill>
      <xdr:spPr>
        <a:xfrm>
          <a:off x="7264400" y="2061470350"/>
          <a:ext cx="878840" cy="1183640"/>
        </a:xfrm>
        <a:prstGeom prst="rect">
          <a:avLst/>
        </a:prstGeom>
      </xdr:spPr>
    </xdr:pic>
    <xdr:clientData/>
  </xdr:twoCellAnchor>
  <xdr:twoCellAnchor>
    <xdr:from>
      <xdr:col>8</xdr:col>
      <xdr:colOff>6350</xdr:colOff>
      <xdr:row>2076</xdr:row>
      <xdr:rowOff>25400</xdr:rowOff>
    </xdr:from>
    <xdr:to>
      <xdr:col>8</xdr:col>
      <xdr:colOff>885190</xdr:colOff>
      <xdr:row>2076</xdr:row>
      <xdr:rowOff>1209040</xdr:rowOff>
    </xdr:to>
    <xdr:pic>
      <xdr:nvPicPr>
        <xdr:cNvPr id="5837" name="Изображение 5836" descr="resizeПП-00233794"/>
        <xdr:cNvPicPr>
          <a:picLocks noChangeAspect="1"/>
        </xdr:cNvPicPr>
      </xdr:nvPicPr>
      <xdr:blipFill>
        <a:blip xmlns:r="http://schemas.openxmlformats.org/officeDocument/2006/relationships" r:embed="rId1586"/>
        <a:stretch>
          <a:fillRect/>
        </a:stretch>
      </xdr:blipFill>
      <xdr:spPr>
        <a:xfrm>
          <a:off x="7264400" y="2062692725"/>
          <a:ext cx="878840" cy="1183640"/>
        </a:xfrm>
        <a:prstGeom prst="rect">
          <a:avLst/>
        </a:prstGeom>
      </xdr:spPr>
    </xdr:pic>
    <xdr:clientData/>
  </xdr:twoCellAnchor>
  <xdr:twoCellAnchor>
    <xdr:from>
      <xdr:col>8</xdr:col>
      <xdr:colOff>6350</xdr:colOff>
      <xdr:row>2077</xdr:row>
      <xdr:rowOff>25400</xdr:rowOff>
    </xdr:from>
    <xdr:to>
      <xdr:col>8</xdr:col>
      <xdr:colOff>885190</xdr:colOff>
      <xdr:row>2077</xdr:row>
      <xdr:rowOff>1209040</xdr:rowOff>
    </xdr:to>
    <xdr:pic>
      <xdr:nvPicPr>
        <xdr:cNvPr id="5838" name="Изображение 5837" descr="resizeПП-00233795"/>
        <xdr:cNvPicPr>
          <a:picLocks noChangeAspect="1"/>
        </xdr:cNvPicPr>
      </xdr:nvPicPr>
      <xdr:blipFill>
        <a:blip xmlns:r="http://schemas.openxmlformats.org/officeDocument/2006/relationships" r:embed="rId1587"/>
        <a:stretch>
          <a:fillRect/>
        </a:stretch>
      </xdr:blipFill>
      <xdr:spPr>
        <a:xfrm>
          <a:off x="7264400" y="2063915100"/>
          <a:ext cx="878840" cy="1183640"/>
        </a:xfrm>
        <a:prstGeom prst="rect">
          <a:avLst/>
        </a:prstGeom>
      </xdr:spPr>
    </xdr:pic>
    <xdr:clientData/>
  </xdr:twoCellAnchor>
  <xdr:twoCellAnchor>
    <xdr:from>
      <xdr:col>8</xdr:col>
      <xdr:colOff>6350</xdr:colOff>
      <xdr:row>2078</xdr:row>
      <xdr:rowOff>25400</xdr:rowOff>
    </xdr:from>
    <xdr:to>
      <xdr:col>8</xdr:col>
      <xdr:colOff>885190</xdr:colOff>
      <xdr:row>2078</xdr:row>
      <xdr:rowOff>1209040</xdr:rowOff>
    </xdr:to>
    <xdr:pic>
      <xdr:nvPicPr>
        <xdr:cNvPr id="5839" name="Изображение 5838" descr="resizeПП-00233849"/>
        <xdr:cNvPicPr>
          <a:picLocks noChangeAspect="1"/>
        </xdr:cNvPicPr>
      </xdr:nvPicPr>
      <xdr:blipFill>
        <a:blip xmlns:r="http://schemas.openxmlformats.org/officeDocument/2006/relationships" r:embed="rId1588"/>
        <a:stretch>
          <a:fillRect/>
        </a:stretch>
      </xdr:blipFill>
      <xdr:spPr>
        <a:xfrm>
          <a:off x="7264400" y="2065137475"/>
          <a:ext cx="878840" cy="1183640"/>
        </a:xfrm>
        <a:prstGeom prst="rect">
          <a:avLst/>
        </a:prstGeom>
      </xdr:spPr>
    </xdr:pic>
    <xdr:clientData/>
  </xdr:twoCellAnchor>
  <xdr:twoCellAnchor>
    <xdr:from>
      <xdr:col>8</xdr:col>
      <xdr:colOff>6350</xdr:colOff>
      <xdr:row>2079</xdr:row>
      <xdr:rowOff>25400</xdr:rowOff>
    </xdr:from>
    <xdr:to>
      <xdr:col>8</xdr:col>
      <xdr:colOff>885190</xdr:colOff>
      <xdr:row>2079</xdr:row>
      <xdr:rowOff>1209040</xdr:rowOff>
    </xdr:to>
    <xdr:pic>
      <xdr:nvPicPr>
        <xdr:cNvPr id="5840" name="Изображение 5839" descr="resizeПП-00233791"/>
        <xdr:cNvPicPr>
          <a:picLocks noChangeAspect="1"/>
        </xdr:cNvPicPr>
      </xdr:nvPicPr>
      <xdr:blipFill>
        <a:blip xmlns:r="http://schemas.openxmlformats.org/officeDocument/2006/relationships" r:embed="rId1589"/>
        <a:stretch>
          <a:fillRect/>
        </a:stretch>
      </xdr:blipFill>
      <xdr:spPr>
        <a:xfrm>
          <a:off x="7264400" y="2066359850"/>
          <a:ext cx="878840" cy="1183640"/>
        </a:xfrm>
        <a:prstGeom prst="rect">
          <a:avLst/>
        </a:prstGeom>
      </xdr:spPr>
    </xdr:pic>
    <xdr:clientData/>
  </xdr:twoCellAnchor>
  <xdr:twoCellAnchor>
    <xdr:from>
      <xdr:col>8</xdr:col>
      <xdr:colOff>6350</xdr:colOff>
      <xdr:row>2080</xdr:row>
      <xdr:rowOff>25400</xdr:rowOff>
    </xdr:from>
    <xdr:to>
      <xdr:col>8</xdr:col>
      <xdr:colOff>885190</xdr:colOff>
      <xdr:row>2080</xdr:row>
      <xdr:rowOff>1209040</xdr:rowOff>
    </xdr:to>
    <xdr:pic>
      <xdr:nvPicPr>
        <xdr:cNvPr id="5841" name="Изображение 5840" descr="resizeПП-00233831"/>
        <xdr:cNvPicPr>
          <a:picLocks noChangeAspect="1"/>
        </xdr:cNvPicPr>
      </xdr:nvPicPr>
      <xdr:blipFill>
        <a:blip xmlns:r="http://schemas.openxmlformats.org/officeDocument/2006/relationships" r:embed="rId1590"/>
        <a:stretch>
          <a:fillRect/>
        </a:stretch>
      </xdr:blipFill>
      <xdr:spPr>
        <a:xfrm>
          <a:off x="7264400" y="2067582225"/>
          <a:ext cx="878840" cy="1183640"/>
        </a:xfrm>
        <a:prstGeom prst="rect">
          <a:avLst/>
        </a:prstGeom>
      </xdr:spPr>
    </xdr:pic>
    <xdr:clientData/>
  </xdr:twoCellAnchor>
  <xdr:twoCellAnchor>
    <xdr:from>
      <xdr:col>8</xdr:col>
      <xdr:colOff>6350</xdr:colOff>
      <xdr:row>2081</xdr:row>
      <xdr:rowOff>25400</xdr:rowOff>
    </xdr:from>
    <xdr:to>
      <xdr:col>8</xdr:col>
      <xdr:colOff>885190</xdr:colOff>
      <xdr:row>2081</xdr:row>
      <xdr:rowOff>1209040</xdr:rowOff>
    </xdr:to>
    <xdr:pic>
      <xdr:nvPicPr>
        <xdr:cNvPr id="5842" name="Изображение 5841" descr="resizeПП-00233833"/>
        <xdr:cNvPicPr>
          <a:picLocks noChangeAspect="1"/>
        </xdr:cNvPicPr>
      </xdr:nvPicPr>
      <xdr:blipFill>
        <a:blip xmlns:r="http://schemas.openxmlformats.org/officeDocument/2006/relationships" r:embed="rId1591"/>
        <a:stretch>
          <a:fillRect/>
        </a:stretch>
      </xdr:blipFill>
      <xdr:spPr>
        <a:xfrm>
          <a:off x="7264400" y="2068804600"/>
          <a:ext cx="878840" cy="1183640"/>
        </a:xfrm>
        <a:prstGeom prst="rect">
          <a:avLst/>
        </a:prstGeom>
      </xdr:spPr>
    </xdr:pic>
    <xdr:clientData/>
  </xdr:twoCellAnchor>
  <xdr:twoCellAnchor>
    <xdr:from>
      <xdr:col>8</xdr:col>
      <xdr:colOff>6350</xdr:colOff>
      <xdr:row>2082</xdr:row>
      <xdr:rowOff>25400</xdr:rowOff>
    </xdr:from>
    <xdr:to>
      <xdr:col>8</xdr:col>
      <xdr:colOff>885190</xdr:colOff>
      <xdr:row>2082</xdr:row>
      <xdr:rowOff>1209040</xdr:rowOff>
    </xdr:to>
    <xdr:pic>
      <xdr:nvPicPr>
        <xdr:cNvPr id="5843" name="Изображение 5842" descr="resizeПП-00233828"/>
        <xdr:cNvPicPr>
          <a:picLocks noChangeAspect="1"/>
        </xdr:cNvPicPr>
      </xdr:nvPicPr>
      <xdr:blipFill>
        <a:blip xmlns:r="http://schemas.openxmlformats.org/officeDocument/2006/relationships" r:embed="rId1592"/>
        <a:stretch>
          <a:fillRect/>
        </a:stretch>
      </xdr:blipFill>
      <xdr:spPr>
        <a:xfrm>
          <a:off x="7264400" y="2070026975"/>
          <a:ext cx="878840" cy="1183640"/>
        </a:xfrm>
        <a:prstGeom prst="rect">
          <a:avLst/>
        </a:prstGeom>
      </xdr:spPr>
    </xdr:pic>
    <xdr:clientData/>
  </xdr:twoCellAnchor>
  <xdr:twoCellAnchor>
    <xdr:from>
      <xdr:col>8</xdr:col>
      <xdr:colOff>6350</xdr:colOff>
      <xdr:row>2083</xdr:row>
      <xdr:rowOff>25400</xdr:rowOff>
    </xdr:from>
    <xdr:to>
      <xdr:col>8</xdr:col>
      <xdr:colOff>885190</xdr:colOff>
      <xdr:row>2083</xdr:row>
      <xdr:rowOff>1209040</xdr:rowOff>
    </xdr:to>
    <xdr:pic>
      <xdr:nvPicPr>
        <xdr:cNvPr id="5844" name="Изображение 5843" descr="resizeПП-00233830"/>
        <xdr:cNvPicPr>
          <a:picLocks noChangeAspect="1"/>
        </xdr:cNvPicPr>
      </xdr:nvPicPr>
      <xdr:blipFill>
        <a:blip xmlns:r="http://schemas.openxmlformats.org/officeDocument/2006/relationships" r:embed="rId1593"/>
        <a:stretch>
          <a:fillRect/>
        </a:stretch>
      </xdr:blipFill>
      <xdr:spPr>
        <a:xfrm>
          <a:off x="7264400" y="2071249350"/>
          <a:ext cx="878840" cy="1183640"/>
        </a:xfrm>
        <a:prstGeom prst="rect">
          <a:avLst/>
        </a:prstGeom>
      </xdr:spPr>
    </xdr:pic>
    <xdr:clientData/>
  </xdr:twoCellAnchor>
  <xdr:twoCellAnchor>
    <xdr:from>
      <xdr:col>8</xdr:col>
      <xdr:colOff>6350</xdr:colOff>
      <xdr:row>2084</xdr:row>
      <xdr:rowOff>25400</xdr:rowOff>
    </xdr:from>
    <xdr:to>
      <xdr:col>8</xdr:col>
      <xdr:colOff>885190</xdr:colOff>
      <xdr:row>2084</xdr:row>
      <xdr:rowOff>1209040</xdr:rowOff>
    </xdr:to>
    <xdr:pic>
      <xdr:nvPicPr>
        <xdr:cNvPr id="5845" name="Изображение 5844" descr="resizeПП-00233829"/>
        <xdr:cNvPicPr>
          <a:picLocks noChangeAspect="1"/>
        </xdr:cNvPicPr>
      </xdr:nvPicPr>
      <xdr:blipFill>
        <a:blip xmlns:r="http://schemas.openxmlformats.org/officeDocument/2006/relationships" r:embed="rId1594"/>
        <a:stretch>
          <a:fillRect/>
        </a:stretch>
      </xdr:blipFill>
      <xdr:spPr>
        <a:xfrm>
          <a:off x="7264400" y="2072471725"/>
          <a:ext cx="878840" cy="1183640"/>
        </a:xfrm>
        <a:prstGeom prst="rect">
          <a:avLst/>
        </a:prstGeom>
      </xdr:spPr>
    </xdr:pic>
    <xdr:clientData/>
  </xdr:twoCellAnchor>
  <xdr:twoCellAnchor>
    <xdr:from>
      <xdr:col>8</xdr:col>
      <xdr:colOff>6350</xdr:colOff>
      <xdr:row>2085</xdr:row>
      <xdr:rowOff>25400</xdr:rowOff>
    </xdr:from>
    <xdr:to>
      <xdr:col>8</xdr:col>
      <xdr:colOff>885190</xdr:colOff>
      <xdr:row>2085</xdr:row>
      <xdr:rowOff>1209040</xdr:rowOff>
    </xdr:to>
    <xdr:pic>
      <xdr:nvPicPr>
        <xdr:cNvPr id="5846" name="Изображение 5845" descr="resizeПП-00233832"/>
        <xdr:cNvPicPr>
          <a:picLocks noChangeAspect="1"/>
        </xdr:cNvPicPr>
      </xdr:nvPicPr>
      <xdr:blipFill>
        <a:blip xmlns:r="http://schemas.openxmlformats.org/officeDocument/2006/relationships" r:embed="rId1595"/>
        <a:stretch>
          <a:fillRect/>
        </a:stretch>
      </xdr:blipFill>
      <xdr:spPr>
        <a:xfrm>
          <a:off x="7264400" y="2073694100"/>
          <a:ext cx="878840" cy="1183640"/>
        </a:xfrm>
        <a:prstGeom prst="rect">
          <a:avLst/>
        </a:prstGeom>
      </xdr:spPr>
    </xdr:pic>
    <xdr:clientData/>
  </xdr:twoCellAnchor>
  <xdr:twoCellAnchor>
    <xdr:from>
      <xdr:col>8</xdr:col>
      <xdr:colOff>6350</xdr:colOff>
      <xdr:row>2086</xdr:row>
      <xdr:rowOff>25400</xdr:rowOff>
    </xdr:from>
    <xdr:to>
      <xdr:col>8</xdr:col>
      <xdr:colOff>885190</xdr:colOff>
      <xdr:row>2086</xdr:row>
      <xdr:rowOff>1209040</xdr:rowOff>
    </xdr:to>
    <xdr:pic>
      <xdr:nvPicPr>
        <xdr:cNvPr id="5847" name="Изображение 5846" descr="resizeПП-00233803"/>
        <xdr:cNvPicPr>
          <a:picLocks noChangeAspect="1"/>
        </xdr:cNvPicPr>
      </xdr:nvPicPr>
      <xdr:blipFill>
        <a:blip xmlns:r="http://schemas.openxmlformats.org/officeDocument/2006/relationships" r:embed="rId1596"/>
        <a:stretch>
          <a:fillRect/>
        </a:stretch>
      </xdr:blipFill>
      <xdr:spPr>
        <a:xfrm>
          <a:off x="7264400" y="2074916475"/>
          <a:ext cx="878840" cy="1183640"/>
        </a:xfrm>
        <a:prstGeom prst="rect">
          <a:avLst/>
        </a:prstGeom>
      </xdr:spPr>
    </xdr:pic>
    <xdr:clientData/>
  </xdr:twoCellAnchor>
  <xdr:twoCellAnchor>
    <xdr:from>
      <xdr:col>8</xdr:col>
      <xdr:colOff>6350</xdr:colOff>
      <xdr:row>2087</xdr:row>
      <xdr:rowOff>25400</xdr:rowOff>
    </xdr:from>
    <xdr:to>
      <xdr:col>8</xdr:col>
      <xdr:colOff>885190</xdr:colOff>
      <xdr:row>2087</xdr:row>
      <xdr:rowOff>1209040</xdr:rowOff>
    </xdr:to>
    <xdr:pic>
      <xdr:nvPicPr>
        <xdr:cNvPr id="5848" name="Изображение 5847" descr="resizeПП-00247780"/>
        <xdr:cNvPicPr>
          <a:picLocks noChangeAspect="1"/>
        </xdr:cNvPicPr>
      </xdr:nvPicPr>
      <xdr:blipFill>
        <a:blip xmlns:r="http://schemas.openxmlformats.org/officeDocument/2006/relationships" r:embed="rId1597"/>
        <a:stretch>
          <a:fillRect/>
        </a:stretch>
      </xdr:blipFill>
      <xdr:spPr>
        <a:xfrm>
          <a:off x="7264400" y="2076138850"/>
          <a:ext cx="878840" cy="1183640"/>
        </a:xfrm>
        <a:prstGeom prst="rect">
          <a:avLst/>
        </a:prstGeom>
      </xdr:spPr>
    </xdr:pic>
    <xdr:clientData/>
  </xdr:twoCellAnchor>
  <xdr:twoCellAnchor>
    <xdr:from>
      <xdr:col>8</xdr:col>
      <xdr:colOff>6350</xdr:colOff>
      <xdr:row>2088</xdr:row>
      <xdr:rowOff>25400</xdr:rowOff>
    </xdr:from>
    <xdr:to>
      <xdr:col>8</xdr:col>
      <xdr:colOff>885190</xdr:colOff>
      <xdr:row>2088</xdr:row>
      <xdr:rowOff>1209040</xdr:rowOff>
    </xdr:to>
    <xdr:pic>
      <xdr:nvPicPr>
        <xdr:cNvPr id="5849" name="Изображение 5848" descr="resizeПП-00247769"/>
        <xdr:cNvPicPr>
          <a:picLocks noChangeAspect="1"/>
        </xdr:cNvPicPr>
      </xdr:nvPicPr>
      <xdr:blipFill>
        <a:blip xmlns:r="http://schemas.openxmlformats.org/officeDocument/2006/relationships" r:embed="rId1598"/>
        <a:stretch>
          <a:fillRect/>
        </a:stretch>
      </xdr:blipFill>
      <xdr:spPr>
        <a:xfrm>
          <a:off x="7264400" y="2077361225"/>
          <a:ext cx="878840" cy="1183640"/>
        </a:xfrm>
        <a:prstGeom prst="rect">
          <a:avLst/>
        </a:prstGeom>
      </xdr:spPr>
    </xdr:pic>
    <xdr:clientData/>
  </xdr:twoCellAnchor>
  <xdr:twoCellAnchor>
    <xdr:from>
      <xdr:col>8</xdr:col>
      <xdr:colOff>6350</xdr:colOff>
      <xdr:row>2089</xdr:row>
      <xdr:rowOff>25400</xdr:rowOff>
    </xdr:from>
    <xdr:to>
      <xdr:col>8</xdr:col>
      <xdr:colOff>885190</xdr:colOff>
      <xdr:row>2089</xdr:row>
      <xdr:rowOff>1209040</xdr:rowOff>
    </xdr:to>
    <xdr:pic>
      <xdr:nvPicPr>
        <xdr:cNvPr id="5850" name="Изображение 5849" descr="resizeПП-00247783"/>
        <xdr:cNvPicPr>
          <a:picLocks noChangeAspect="1"/>
        </xdr:cNvPicPr>
      </xdr:nvPicPr>
      <xdr:blipFill>
        <a:blip xmlns:r="http://schemas.openxmlformats.org/officeDocument/2006/relationships" r:embed="rId1599"/>
        <a:stretch>
          <a:fillRect/>
        </a:stretch>
      </xdr:blipFill>
      <xdr:spPr>
        <a:xfrm>
          <a:off x="7264400" y="2078583600"/>
          <a:ext cx="878840" cy="1183640"/>
        </a:xfrm>
        <a:prstGeom prst="rect">
          <a:avLst/>
        </a:prstGeom>
      </xdr:spPr>
    </xdr:pic>
    <xdr:clientData/>
  </xdr:twoCellAnchor>
  <xdr:twoCellAnchor>
    <xdr:from>
      <xdr:col>8</xdr:col>
      <xdr:colOff>6350</xdr:colOff>
      <xdr:row>2090</xdr:row>
      <xdr:rowOff>25400</xdr:rowOff>
    </xdr:from>
    <xdr:to>
      <xdr:col>8</xdr:col>
      <xdr:colOff>885190</xdr:colOff>
      <xdr:row>2090</xdr:row>
      <xdr:rowOff>1209040</xdr:rowOff>
    </xdr:to>
    <xdr:pic>
      <xdr:nvPicPr>
        <xdr:cNvPr id="5851" name="Изображение 5850" descr="resizeПП-00247779"/>
        <xdr:cNvPicPr>
          <a:picLocks noChangeAspect="1"/>
        </xdr:cNvPicPr>
      </xdr:nvPicPr>
      <xdr:blipFill>
        <a:blip xmlns:r="http://schemas.openxmlformats.org/officeDocument/2006/relationships" r:embed="rId1600"/>
        <a:stretch>
          <a:fillRect/>
        </a:stretch>
      </xdr:blipFill>
      <xdr:spPr>
        <a:xfrm>
          <a:off x="7264400" y="2079805975"/>
          <a:ext cx="878840" cy="1183640"/>
        </a:xfrm>
        <a:prstGeom prst="rect">
          <a:avLst/>
        </a:prstGeom>
      </xdr:spPr>
    </xdr:pic>
    <xdr:clientData/>
  </xdr:twoCellAnchor>
  <xdr:twoCellAnchor>
    <xdr:from>
      <xdr:col>8</xdr:col>
      <xdr:colOff>6350</xdr:colOff>
      <xdr:row>2091</xdr:row>
      <xdr:rowOff>25400</xdr:rowOff>
    </xdr:from>
    <xdr:to>
      <xdr:col>8</xdr:col>
      <xdr:colOff>885190</xdr:colOff>
      <xdr:row>2091</xdr:row>
      <xdr:rowOff>1209040</xdr:rowOff>
    </xdr:to>
    <xdr:pic>
      <xdr:nvPicPr>
        <xdr:cNvPr id="5852" name="Изображение 5851" descr="resizeПП-00247768"/>
        <xdr:cNvPicPr>
          <a:picLocks noChangeAspect="1"/>
        </xdr:cNvPicPr>
      </xdr:nvPicPr>
      <xdr:blipFill>
        <a:blip xmlns:r="http://schemas.openxmlformats.org/officeDocument/2006/relationships" r:embed="rId1601"/>
        <a:stretch>
          <a:fillRect/>
        </a:stretch>
      </xdr:blipFill>
      <xdr:spPr>
        <a:xfrm>
          <a:off x="7264400" y="2081028350"/>
          <a:ext cx="878840" cy="1183640"/>
        </a:xfrm>
        <a:prstGeom prst="rect">
          <a:avLst/>
        </a:prstGeom>
      </xdr:spPr>
    </xdr:pic>
    <xdr:clientData/>
  </xdr:twoCellAnchor>
  <xdr:twoCellAnchor>
    <xdr:from>
      <xdr:col>8</xdr:col>
      <xdr:colOff>6350</xdr:colOff>
      <xdr:row>2092</xdr:row>
      <xdr:rowOff>25400</xdr:rowOff>
    </xdr:from>
    <xdr:to>
      <xdr:col>8</xdr:col>
      <xdr:colOff>885190</xdr:colOff>
      <xdr:row>2092</xdr:row>
      <xdr:rowOff>1209040</xdr:rowOff>
    </xdr:to>
    <xdr:pic>
      <xdr:nvPicPr>
        <xdr:cNvPr id="5853" name="Изображение 5852" descr="resizeПП-00249084"/>
        <xdr:cNvPicPr>
          <a:picLocks noChangeAspect="1"/>
        </xdr:cNvPicPr>
      </xdr:nvPicPr>
      <xdr:blipFill>
        <a:blip xmlns:r="http://schemas.openxmlformats.org/officeDocument/2006/relationships" r:embed="rId1602"/>
        <a:stretch>
          <a:fillRect/>
        </a:stretch>
      </xdr:blipFill>
      <xdr:spPr>
        <a:xfrm>
          <a:off x="7264400" y="2082250725"/>
          <a:ext cx="878840" cy="1183640"/>
        </a:xfrm>
        <a:prstGeom prst="rect">
          <a:avLst/>
        </a:prstGeom>
      </xdr:spPr>
    </xdr:pic>
    <xdr:clientData/>
  </xdr:twoCellAnchor>
  <xdr:twoCellAnchor>
    <xdr:from>
      <xdr:col>8</xdr:col>
      <xdr:colOff>6350</xdr:colOff>
      <xdr:row>2093</xdr:row>
      <xdr:rowOff>25400</xdr:rowOff>
    </xdr:from>
    <xdr:to>
      <xdr:col>8</xdr:col>
      <xdr:colOff>885190</xdr:colOff>
      <xdr:row>2093</xdr:row>
      <xdr:rowOff>1209040</xdr:rowOff>
    </xdr:to>
    <xdr:pic>
      <xdr:nvPicPr>
        <xdr:cNvPr id="5854" name="Изображение 5853" descr="resizeПП-00103650"/>
        <xdr:cNvPicPr>
          <a:picLocks noChangeAspect="1"/>
        </xdr:cNvPicPr>
      </xdr:nvPicPr>
      <xdr:blipFill>
        <a:blip xmlns:r="http://schemas.openxmlformats.org/officeDocument/2006/relationships" r:embed="rId1603"/>
        <a:stretch>
          <a:fillRect/>
        </a:stretch>
      </xdr:blipFill>
      <xdr:spPr>
        <a:xfrm>
          <a:off x="7264400" y="2083473100"/>
          <a:ext cx="878840" cy="1183640"/>
        </a:xfrm>
        <a:prstGeom prst="rect">
          <a:avLst/>
        </a:prstGeom>
      </xdr:spPr>
    </xdr:pic>
    <xdr:clientData/>
  </xdr:twoCellAnchor>
  <xdr:twoCellAnchor>
    <xdr:from>
      <xdr:col>8</xdr:col>
      <xdr:colOff>6350</xdr:colOff>
      <xdr:row>2094</xdr:row>
      <xdr:rowOff>25400</xdr:rowOff>
    </xdr:from>
    <xdr:to>
      <xdr:col>8</xdr:col>
      <xdr:colOff>885190</xdr:colOff>
      <xdr:row>2094</xdr:row>
      <xdr:rowOff>1209040</xdr:rowOff>
    </xdr:to>
    <xdr:pic>
      <xdr:nvPicPr>
        <xdr:cNvPr id="5855" name="Изображение 5854" descr="resizeПП-00247762"/>
        <xdr:cNvPicPr>
          <a:picLocks noChangeAspect="1"/>
        </xdr:cNvPicPr>
      </xdr:nvPicPr>
      <xdr:blipFill>
        <a:blip xmlns:r="http://schemas.openxmlformats.org/officeDocument/2006/relationships" r:embed="rId1604"/>
        <a:stretch>
          <a:fillRect/>
        </a:stretch>
      </xdr:blipFill>
      <xdr:spPr>
        <a:xfrm>
          <a:off x="7264400" y="2084695475"/>
          <a:ext cx="878840" cy="1183640"/>
        </a:xfrm>
        <a:prstGeom prst="rect">
          <a:avLst/>
        </a:prstGeom>
      </xdr:spPr>
    </xdr:pic>
    <xdr:clientData/>
  </xdr:twoCellAnchor>
  <xdr:twoCellAnchor>
    <xdr:from>
      <xdr:col>8</xdr:col>
      <xdr:colOff>6350</xdr:colOff>
      <xdr:row>2095</xdr:row>
      <xdr:rowOff>25400</xdr:rowOff>
    </xdr:from>
    <xdr:to>
      <xdr:col>8</xdr:col>
      <xdr:colOff>885190</xdr:colOff>
      <xdr:row>2095</xdr:row>
      <xdr:rowOff>1209040</xdr:rowOff>
    </xdr:to>
    <xdr:pic>
      <xdr:nvPicPr>
        <xdr:cNvPr id="5856" name="Изображение 5855" descr="resizeПП-00247763"/>
        <xdr:cNvPicPr>
          <a:picLocks noChangeAspect="1"/>
        </xdr:cNvPicPr>
      </xdr:nvPicPr>
      <xdr:blipFill>
        <a:blip xmlns:r="http://schemas.openxmlformats.org/officeDocument/2006/relationships" r:embed="rId1605"/>
        <a:stretch>
          <a:fillRect/>
        </a:stretch>
      </xdr:blipFill>
      <xdr:spPr>
        <a:xfrm>
          <a:off x="7264400" y="2085917850"/>
          <a:ext cx="878840" cy="1183640"/>
        </a:xfrm>
        <a:prstGeom prst="rect">
          <a:avLst/>
        </a:prstGeom>
      </xdr:spPr>
    </xdr:pic>
    <xdr:clientData/>
  </xdr:twoCellAnchor>
  <xdr:twoCellAnchor>
    <xdr:from>
      <xdr:col>8</xdr:col>
      <xdr:colOff>6350</xdr:colOff>
      <xdr:row>2100</xdr:row>
      <xdr:rowOff>25400</xdr:rowOff>
    </xdr:from>
    <xdr:to>
      <xdr:col>8</xdr:col>
      <xdr:colOff>885190</xdr:colOff>
      <xdr:row>2100</xdr:row>
      <xdr:rowOff>1209040</xdr:rowOff>
    </xdr:to>
    <xdr:pic>
      <xdr:nvPicPr>
        <xdr:cNvPr id="5857" name="Изображение 5856" descr="resizeПП-00271587"/>
        <xdr:cNvPicPr>
          <a:picLocks noChangeAspect="1"/>
        </xdr:cNvPicPr>
      </xdr:nvPicPr>
      <xdr:blipFill>
        <a:blip xmlns:r="http://schemas.openxmlformats.org/officeDocument/2006/relationships" r:embed="rId1606"/>
        <a:stretch>
          <a:fillRect/>
        </a:stretch>
      </xdr:blipFill>
      <xdr:spPr>
        <a:xfrm>
          <a:off x="7264400" y="2087749825"/>
          <a:ext cx="878840" cy="1183640"/>
        </a:xfrm>
        <a:prstGeom prst="rect">
          <a:avLst/>
        </a:prstGeom>
      </xdr:spPr>
    </xdr:pic>
    <xdr:clientData/>
  </xdr:twoCellAnchor>
  <xdr:twoCellAnchor>
    <xdr:from>
      <xdr:col>8</xdr:col>
      <xdr:colOff>6350</xdr:colOff>
      <xdr:row>2101</xdr:row>
      <xdr:rowOff>25400</xdr:rowOff>
    </xdr:from>
    <xdr:to>
      <xdr:col>8</xdr:col>
      <xdr:colOff>885190</xdr:colOff>
      <xdr:row>2101</xdr:row>
      <xdr:rowOff>1209040</xdr:rowOff>
    </xdr:to>
    <xdr:pic>
      <xdr:nvPicPr>
        <xdr:cNvPr id="5858" name="Изображение 5857" descr="resizeПП-00228063"/>
        <xdr:cNvPicPr>
          <a:picLocks noChangeAspect="1"/>
        </xdr:cNvPicPr>
      </xdr:nvPicPr>
      <xdr:blipFill>
        <a:blip xmlns:r="http://schemas.openxmlformats.org/officeDocument/2006/relationships" r:embed="rId1607"/>
        <a:stretch>
          <a:fillRect/>
        </a:stretch>
      </xdr:blipFill>
      <xdr:spPr>
        <a:xfrm>
          <a:off x="7264400" y="2088972200"/>
          <a:ext cx="878840" cy="1183640"/>
        </a:xfrm>
        <a:prstGeom prst="rect">
          <a:avLst/>
        </a:prstGeom>
      </xdr:spPr>
    </xdr:pic>
    <xdr:clientData/>
  </xdr:twoCellAnchor>
  <xdr:twoCellAnchor>
    <xdr:from>
      <xdr:col>8</xdr:col>
      <xdr:colOff>6350</xdr:colOff>
      <xdr:row>2102</xdr:row>
      <xdr:rowOff>25400</xdr:rowOff>
    </xdr:from>
    <xdr:to>
      <xdr:col>8</xdr:col>
      <xdr:colOff>885190</xdr:colOff>
      <xdr:row>2102</xdr:row>
      <xdr:rowOff>1209040</xdr:rowOff>
    </xdr:to>
    <xdr:pic>
      <xdr:nvPicPr>
        <xdr:cNvPr id="5859" name="Изображение 5858" descr="resizeПП-00271590"/>
        <xdr:cNvPicPr>
          <a:picLocks noChangeAspect="1"/>
        </xdr:cNvPicPr>
      </xdr:nvPicPr>
      <xdr:blipFill>
        <a:blip xmlns:r="http://schemas.openxmlformats.org/officeDocument/2006/relationships" r:embed="rId1608"/>
        <a:stretch>
          <a:fillRect/>
        </a:stretch>
      </xdr:blipFill>
      <xdr:spPr>
        <a:xfrm>
          <a:off x="7264400" y="2090194575"/>
          <a:ext cx="878840" cy="1183640"/>
        </a:xfrm>
        <a:prstGeom prst="rect">
          <a:avLst/>
        </a:prstGeom>
      </xdr:spPr>
    </xdr:pic>
    <xdr:clientData/>
  </xdr:twoCellAnchor>
  <xdr:twoCellAnchor>
    <xdr:from>
      <xdr:col>8</xdr:col>
      <xdr:colOff>6350</xdr:colOff>
      <xdr:row>2103</xdr:row>
      <xdr:rowOff>25400</xdr:rowOff>
    </xdr:from>
    <xdr:to>
      <xdr:col>8</xdr:col>
      <xdr:colOff>885190</xdr:colOff>
      <xdr:row>2103</xdr:row>
      <xdr:rowOff>1209040</xdr:rowOff>
    </xdr:to>
    <xdr:pic>
      <xdr:nvPicPr>
        <xdr:cNvPr id="5860" name="Изображение 5859" descr="resizeПП-00228064"/>
        <xdr:cNvPicPr>
          <a:picLocks noChangeAspect="1"/>
        </xdr:cNvPicPr>
      </xdr:nvPicPr>
      <xdr:blipFill>
        <a:blip xmlns:r="http://schemas.openxmlformats.org/officeDocument/2006/relationships" r:embed="rId1609"/>
        <a:stretch>
          <a:fillRect/>
        </a:stretch>
      </xdr:blipFill>
      <xdr:spPr>
        <a:xfrm>
          <a:off x="7264400" y="2091416950"/>
          <a:ext cx="878840" cy="1183640"/>
        </a:xfrm>
        <a:prstGeom prst="rect">
          <a:avLst/>
        </a:prstGeom>
      </xdr:spPr>
    </xdr:pic>
    <xdr:clientData/>
  </xdr:twoCellAnchor>
  <xdr:twoCellAnchor>
    <xdr:from>
      <xdr:col>8</xdr:col>
      <xdr:colOff>6350</xdr:colOff>
      <xdr:row>2104</xdr:row>
      <xdr:rowOff>25400</xdr:rowOff>
    </xdr:from>
    <xdr:to>
      <xdr:col>8</xdr:col>
      <xdr:colOff>885190</xdr:colOff>
      <xdr:row>2104</xdr:row>
      <xdr:rowOff>1209040</xdr:rowOff>
    </xdr:to>
    <xdr:pic>
      <xdr:nvPicPr>
        <xdr:cNvPr id="5861" name="Изображение 5860" descr="resizeПП-00271589"/>
        <xdr:cNvPicPr>
          <a:picLocks noChangeAspect="1"/>
        </xdr:cNvPicPr>
      </xdr:nvPicPr>
      <xdr:blipFill>
        <a:blip xmlns:r="http://schemas.openxmlformats.org/officeDocument/2006/relationships" r:embed="rId1610"/>
        <a:stretch>
          <a:fillRect/>
        </a:stretch>
      </xdr:blipFill>
      <xdr:spPr>
        <a:xfrm>
          <a:off x="7264400" y="2092639325"/>
          <a:ext cx="878840" cy="1183640"/>
        </a:xfrm>
        <a:prstGeom prst="rect">
          <a:avLst/>
        </a:prstGeom>
      </xdr:spPr>
    </xdr:pic>
    <xdr:clientData/>
  </xdr:twoCellAnchor>
  <xdr:twoCellAnchor>
    <xdr:from>
      <xdr:col>8</xdr:col>
      <xdr:colOff>6350</xdr:colOff>
      <xdr:row>2105</xdr:row>
      <xdr:rowOff>25400</xdr:rowOff>
    </xdr:from>
    <xdr:to>
      <xdr:col>8</xdr:col>
      <xdr:colOff>885190</xdr:colOff>
      <xdr:row>2105</xdr:row>
      <xdr:rowOff>1209040</xdr:rowOff>
    </xdr:to>
    <xdr:pic>
      <xdr:nvPicPr>
        <xdr:cNvPr id="5862" name="Изображение 5861" descr="resizeПП-00228062"/>
        <xdr:cNvPicPr>
          <a:picLocks noChangeAspect="1"/>
        </xdr:cNvPicPr>
      </xdr:nvPicPr>
      <xdr:blipFill>
        <a:blip xmlns:r="http://schemas.openxmlformats.org/officeDocument/2006/relationships" r:embed="rId1611"/>
        <a:stretch>
          <a:fillRect/>
        </a:stretch>
      </xdr:blipFill>
      <xdr:spPr>
        <a:xfrm>
          <a:off x="7264400" y="2093861700"/>
          <a:ext cx="878840" cy="1183640"/>
        </a:xfrm>
        <a:prstGeom prst="rect">
          <a:avLst/>
        </a:prstGeom>
      </xdr:spPr>
    </xdr:pic>
    <xdr:clientData/>
  </xdr:twoCellAnchor>
  <xdr:twoCellAnchor>
    <xdr:from>
      <xdr:col>8</xdr:col>
      <xdr:colOff>6350</xdr:colOff>
      <xdr:row>2106</xdr:row>
      <xdr:rowOff>25400</xdr:rowOff>
    </xdr:from>
    <xdr:to>
      <xdr:col>8</xdr:col>
      <xdr:colOff>885190</xdr:colOff>
      <xdr:row>2106</xdr:row>
      <xdr:rowOff>1209040</xdr:rowOff>
    </xdr:to>
    <xdr:pic>
      <xdr:nvPicPr>
        <xdr:cNvPr id="5863" name="Изображение 5862" descr="resizeПП-00228065"/>
        <xdr:cNvPicPr>
          <a:picLocks noChangeAspect="1"/>
        </xdr:cNvPicPr>
      </xdr:nvPicPr>
      <xdr:blipFill>
        <a:blip xmlns:r="http://schemas.openxmlformats.org/officeDocument/2006/relationships" r:embed="rId1612"/>
        <a:stretch>
          <a:fillRect/>
        </a:stretch>
      </xdr:blipFill>
      <xdr:spPr>
        <a:xfrm>
          <a:off x="7264400" y="2095084075"/>
          <a:ext cx="878840" cy="1183640"/>
        </a:xfrm>
        <a:prstGeom prst="rect">
          <a:avLst/>
        </a:prstGeom>
      </xdr:spPr>
    </xdr:pic>
    <xdr:clientData/>
  </xdr:twoCellAnchor>
  <xdr:twoCellAnchor>
    <xdr:from>
      <xdr:col>8</xdr:col>
      <xdr:colOff>6350</xdr:colOff>
      <xdr:row>2107</xdr:row>
      <xdr:rowOff>25400</xdr:rowOff>
    </xdr:from>
    <xdr:to>
      <xdr:col>8</xdr:col>
      <xdr:colOff>885190</xdr:colOff>
      <xdr:row>2107</xdr:row>
      <xdr:rowOff>1209040</xdr:rowOff>
    </xdr:to>
    <xdr:pic>
      <xdr:nvPicPr>
        <xdr:cNvPr id="5864" name="Изображение 5863" descr="resizeПП-00271588"/>
        <xdr:cNvPicPr>
          <a:picLocks noChangeAspect="1"/>
        </xdr:cNvPicPr>
      </xdr:nvPicPr>
      <xdr:blipFill>
        <a:blip xmlns:r="http://schemas.openxmlformats.org/officeDocument/2006/relationships" r:embed="rId1613"/>
        <a:stretch>
          <a:fillRect/>
        </a:stretch>
      </xdr:blipFill>
      <xdr:spPr>
        <a:xfrm>
          <a:off x="7264400" y="2096306450"/>
          <a:ext cx="878840" cy="1183640"/>
        </a:xfrm>
        <a:prstGeom prst="rect">
          <a:avLst/>
        </a:prstGeom>
      </xdr:spPr>
    </xdr:pic>
    <xdr:clientData/>
  </xdr:twoCellAnchor>
  <xdr:twoCellAnchor>
    <xdr:from>
      <xdr:col>8</xdr:col>
      <xdr:colOff>6350</xdr:colOff>
      <xdr:row>2108</xdr:row>
      <xdr:rowOff>25400</xdr:rowOff>
    </xdr:from>
    <xdr:to>
      <xdr:col>8</xdr:col>
      <xdr:colOff>885190</xdr:colOff>
      <xdr:row>2108</xdr:row>
      <xdr:rowOff>1209040</xdr:rowOff>
    </xdr:to>
    <xdr:pic>
      <xdr:nvPicPr>
        <xdr:cNvPr id="5865" name="Изображение 5864" descr="resizeПП-00251257"/>
        <xdr:cNvPicPr>
          <a:picLocks noChangeAspect="1"/>
        </xdr:cNvPicPr>
      </xdr:nvPicPr>
      <xdr:blipFill>
        <a:blip xmlns:r="http://schemas.openxmlformats.org/officeDocument/2006/relationships" r:embed="rId1614"/>
        <a:stretch>
          <a:fillRect/>
        </a:stretch>
      </xdr:blipFill>
      <xdr:spPr>
        <a:xfrm>
          <a:off x="7264400" y="2097528825"/>
          <a:ext cx="878840" cy="1183640"/>
        </a:xfrm>
        <a:prstGeom prst="rect">
          <a:avLst/>
        </a:prstGeom>
      </xdr:spPr>
    </xdr:pic>
    <xdr:clientData/>
  </xdr:twoCellAnchor>
  <xdr:twoCellAnchor>
    <xdr:from>
      <xdr:col>8</xdr:col>
      <xdr:colOff>6350</xdr:colOff>
      <xdr:row>2109</xdr:row>
      <xdr:rowOff>25400</xdr:rowOff>
    </xdr:from>
    <xdr:to>
      <xdr:col>8</xdr:col>
      <xdr:colOff>885190</xdr:colOff>
      <xdr:row>2109</xdr:row>
      <xdr:rowOff>1209040</xdr:rowOff>
    </xdr:to>
    <xdr:pic>
      <xdr:nvPicPr>
        <xdr:cNvPr id="5866" name="Изображение 5865" descr="resizeПП-00251256"/>
        <xdr:cNvPicPr>
          <a:picLocks noChangeAspect="1"/>
        </xdr:cNvPicPr>
      </xdr:nvPicPr>
      <xdr:blipFill>
        <a:blip xmlns:r="http://schemas.openxmlformats.org/officeDocument/2006/relationships" r:embed="rId1615"/>
        <a:stretch>
          <a:fillRect/>
        </a:stretch>
      </xdr:blipFill>
      <xdr:spPr>
        <a:xfrm>
          <a:off x="7264400" y="2098751200"/>
          <a:ext cx="878840" cy="1183640"/>
        </a:xfrm>
        <a:prstGeom prst="rect">
          <a:avLst/>
        </a:prstGeom>
      </xdr:spPr>
    </xdr:pic>
    <xdr:clientData/>
  </xdr:twoCellAnchor>
  <xdr:twoCellAnchor>
    <xdr:from>
      <xdr:col>8</xdr:col>
      <xdr:colOff>6350</xdr:colOff>
      <xdr:row>2110</xdr:row>
      <xdr:rowOff>25400</xdr:rowOff>
    </xdr:from>
    <xdr:to>
      <xdr:col>8</xdr:col>
      <xdr:colOff>885190</xdr:colOff>
      <xdr:row>2110</xdr:row>
      <xdr:rowOff>1209040</xdr:rowOff>
    </xdr:to>
    <xdr:pic>
      <xdr:nvPicPr>
        <xdr:cNvPr id="5867" name="Изображение 5866" descr="resizeПП-00251259"/>
        <xdr:cNvPicPr>
          <a:picLocks noChangeAspect="1"/>
        </xdr:cNvPicPr>
      </xdr:nvPicPr>
      <xdr:blipFill>
        <a:blip xmlns:r="http://schemas.openxmlformats.org/officeDocument/2006/relationships" r:embed="rId1616"/>
        <a:stretch>
          <a:fillRect/>
        </a:stretch>
      </xdr:blipFill>
      <xdr:spPr>
        <a:xfrm>
          <a:off x="7264400" y="2099973575"/>
          <a:ext cx="878840" cy="1183640"/>
        </a:xfrm>
        <a:prstGeom prst="rect">
          <a:avLst/>
        </a:prstGeom>
      </xdr:spPr>
    </xdr:pic>
    <xdr:clientData/>
  </xdr:twoCellAnchor>
  <xdr:twoCellAnchor>
    <xdr:from>
      <xdr:col>8</xdr:col>
      <xdr:colOff>6350</xdr:colOff>
      <xdr:row>2111</xdr:row>
      <xdr:rowOff>25400</xdr:rowOff>
    </xdr:from>
    <xdr:to>
      <xdr:col>8</xdr:col>
      <xdr:colOff>885190</xdr:colOff>
      <xdr:row>2111</xdr:row>
      <xdr:rowOff>1209040</xdr:rowOff>
    </xdr:to>
    <xdr:pic>
      <xdr:nvPicPr>
        <xdr:cNvPr id="5868" name="Изображение 5867" descr="resizeПП-00251260"/>
        <xdr:cNvPicPr>
          <a:picLocks noChangeAspect="1"/>
        </xdr:cNvPicPr>
      </xdr:nvPicPr>
      <xdr:blipFill>
        <a:blip xmlns:r="http://schemas.openxmlformats.org/officeDocument/2006/relationships" r:embed="rId1617"/>
        <a:stretch>
          <a:fillRect/>
        </a:stretch>
      </xdr:blipFill>
      <xdr:spPr>
        <a:xfrm>
          <a:off x="7264400" y="2101195950"/>
          <a:ext cx="878840" cy="1183640"/>
        </a:xfrm>
        <a:prstGeom prst="rect">
          <a:avLst/>
        </a:prstGeom>
      </xdr:spPr>
    </xdr:pic>
    <xdr:clientData/>
  </xdr:twoCellAnchor>
  <xdr:twoCellAnchor>
    <xdr:from>
      <xdr:col>8</xdr:col>
      <xdr:colOff>6350</xdr:colOff>
      <xdr:row>2113</xdr:row>
      <xdr:rowOff>25400</xdr:rowOff>
    </xdr:from>
    <xdr:to>
      <xdr:col>8</xdr:col>
      <xdr:colOff>885190</xdr:colOff>
      <xdr:row>2113</xdr:row>
      <xdr:rowOff>1209040</xdr:rowOff>
    </xdr:to>
    <xdr:pic>
      <xdr:nvPicPr>
        <xdr:cNvPr id="5869" name="Изображение 5868" descr="resizeПП-00271591"/>
        <xdr:cNvPicPr>
          <a:picLocks noChangeAspect="1"/>
        </xdr:cNvPicPr>
      </xdr:nvPicPr>
      <xdr:blipFill>
        <a:blip xmlns:r="http://schemas.openxmlformats.org/officeDocument/2006/relationships" r:embed="rId1618"/>
        <a:stretch>
          <a:fillRect/>
        </a:stretch>
      </xdr:blipFill>
      <xdr:spPr>
        <a:xfrm>
          <a:off x="7264400" y="2102570725"/>
          <a:ext cx="878840" cy="1183640"/>
        </a:xfrm>
        <a:prstGeom prst="rect">
          <a:avLst/>
        </a:prstGeom>
      </xdr:spPr>
    </xdr:pic>
    <xdr:clientData/>
  </xdr:twoCellAnchor>
  <xdr:twoCellAnchor>
    <xdr:from>
      <xdr:col>8</xdr:col>
      <xdr:colOff>6350</xdr:colOff>
      <xdr:row>2114</xdr:row>
      <xdr:rowOff>25400</xdr:rowOff>
    </xdr:from>
    <xdr:to>
      <xdr:col>8</xdr:col>
      <xdr:colOff>885190</xdr:colOff>
      <xdr:row>2114</xdr:row>
      <xdr:rowOff>1209040</xdr:rowOff>
    </xdr:to>
    <xdr:pic>
      <xdr:nvPicPr>
        <xdr:cNvPr id="5870" name="Изображение 5869" descr="resizeПП-00271594"/>
        <xdr:cNvPicPr>
          <a:picLocks noChangeAspect="1"/>
        </xdr:cNvPicPr>
      </xdr:nvPicPr>
      <xdr:blipFill>
        <a:blip xmlns:r="http://schemas.openxmlformats.org/officeDocument/2006/relationships" r:embed="rId1619"/>
        <a:stretch>
          <a:fillRect/>
        </a:stretch>
      </xdr:blipFill>
      <xdr:spPr>
        <a:xfrm>
          <a:off x="7264400" y="2103793100"/>
          <a:ext cx="878840" cy="1183640"/>
        </a:xfrm>
        <a:prstGeom prst="rect">
          <a:avLst/>
        </a:prstGeom>
      </xdr:spPr>
    </xdr:pic>
    <xdr:clientData/>
  </xdr:twoCellAnchor>
  <xdr:twoCellAnchor>
    <xdr:from>
      <xdr:col>8</xdr:col>
      <xdr:colOff>6350</xdr:colOff>
      <xdr:row>2115</xdr:row>
      <xdr:rowOff>25400</xdr:rowOff>
    </xdr:from>
    <xdr:to>
      <xdr:col>8</xdr:col>
      <xdr:colOff>885190</xdr:colOff>
      <xdr:row>2115</xdr:row>
      <xdr:rowOff>1209040</xdr:rowOff>
    </xdr:to>
    <xdr:pic>
      <xdr:nvPicPr>
        <xdr:cNvPr id="5871" name="Изображение 5870" descr="resizeПП-00251254"/>
        <xdr:cNvPicPr>
          <a:picLocks noChangeAspect="1"/>
        </xdr:cNvPicPr>
      </xdr:nvPicPr>
      <xdr:blipFill>
        <a:blip xmlns:r="http://schemas.openxmlformats.org/officeDocument/2006/relationships" r:embed="rId1620"/>
        <a:stretch>
          <a:fillRect/>
        </a:stretch>
      </xdr:blipFill>
      <xdr:spPr>
        <a:xfrm>
          <a:off x="7264400" y="2105015475"/>
          <a:ext cx="878840" cy="1183640"/>
        </a:xfrm>
        <a:prstGeom prst="rect">
          <a:avLst/>
        </a:prstGeom>
      </xdr:spPr>
    </xdr:pic>
    <xdr:clientData/>
  </xdr:twoCellAnchor>
  <xdr:twoCellAnchor>
    <xdr:from>
      <xdr:col>8</xdr:col>
      <xdr:colOff>6350</xdr:colOff>
      <xdr:row>2116</xdr:row>
      <xdr:rowOff>25400</xdr:rowOff>
    </xdr:from>
    <xdr:to>
      <xdr:col>8</xdr:col>
      <xdr:colOff>885190</xdr:colOff>
      <xdr:row>2116</xdr:row>
      <xdr:rowOff>1209040</xdr:rowOff>
    </xdr:to>
    <xdr:pic>
      <xdr:nvPicPr>
        <xdr:cNvPr id="5872" name="Изображение 5871" descr="resizeПП-00228061"/>
        <xdr:cNvPicPr>
          <a:picLocks noChangeAspect="1"/>
        </xdr:cNvPicPr>
      </xdr:nvPicPr>
      <xdr:blipFill>
        <a:blip xmlns:r="http://schemas.openxmlformats.org/officeDocument/2006/relationships" r:embed="rId1621"/>
        <a:stretch>
          <a:fillRect/>
        </a:stretch>
      </xdr:blipFill>
      <xdr:spPr>
        <a:xfrm>
          <a:off x="7264400" y="2106237850"/>
          <a:ext cx="878840" cy="1183640"/>
        </a:xfrm>
        <a:prstGeom prst="rect">
          <a:avLst/>
        </a:prstGeom>
      </xdr:spPr>
    </xdr:pic>
    <xdr:clientData/>
  </xdr:twoCellAnchor>
  <xdr:twoCellAnchor>
    <xdr:from>
      <xdr:col>8</xdr:col>
      <xdr:colOff>6350</xdr:colOff>
      <xdr:row>2117</xdr:row>
      <xdr:rowOff>25400</xdr:rowOff>
    </xdr:from>
    <xdr:to>
      <xdr:col>8</xdr:col>
      <xdr:colOff>885190</xdr:colOff>
      <xdr:row>2117</xdr:row>
      <xdr:rowOff>1209040</xdr:rowOff>
    </xdr:to>
    <xdr:pic>
      <xdr:nvPicPr>
        <xdr:cNvPr id="5873" name="Изображение 5872" descr="resizeПП-00251252"/>
        <xdr:cNvPicPr>
          <a:picLocks noChangeAspect="1"/>
        </xdr:cNvPicPr>
      </xdr:nvPicPr>
      <xdr:blipFill>
        <a:blip xmlns:r="http://schemas.openxmlformats.org/officeDocument/2006/relationships" r:embed="rId1622"/>
        <a:stretch>
          <a:fillRect/>
        </a:stretch>
      </xdr:blipFill>
      <xdr:spPr>
        <a:xfrm>
          <a:off x="7264400" y="2107460225"/>
          <a:ext cx="878840" cy="1183640"/>
        </a:xfrm>
        <a:prstGeom prst="rect">
          <a:avLst/>
        </a:prstGeom>
      </xdr:spPr>
    </xdr:pic>
    <xdr:clientData/>
  </xdr:twoCellAnchor>
  <xdr:twoCellAnchor>
    <xdr:from>
      <xdr:col>8</xdr:col>
      <xdr:colOff>6350</xdr:colOff>
      <xdr:row>2118</xdr:row>
      <xdr:rowOff>25400</xdr:rowOff>
    </xdr:from>
    <xdr:to>
      <xdr:col>8</xdr:col>
      <xdr:colOff>885190</xdr:colOff>
      <xdr:row>2118</xdr:row>
      <xdr:rowOff>1209040</xdr:rowOff>
    </xdr:to>
    <xdr:pic>
      <xdr:nvPicPr>
        <xdr:cNvPr id="5874" name="Изображение 5873" descr="resizeПП-00228059"/>
        <xdr:cNvPicPr>
          <a:picLocks noChangeAspect="1"/>
        </xdr:cNvPicPr>
      </xdr:nvPicPr>
      <xdr:blipFill>
        <a:blip xmlns:r="http://schemas.openxmlformats.org/officeDocument/2006/relationships" r:embed="rId1623"/>
        <a:stretch>
          <a:fillRect/>
        </a:stretch>
      </xdr:blipFill>
      <xdr:spPr>
        <a:xfrm>
          <a:off x="7264400" y="2108682600"/>
          <a:ext cx="878840" cy="1183640"/>
        </a:xfrm>
        <a:prstGeom prst="rect">
          <a:avLst/>
        </a:prstGeom>
      </xdr:spPr>
    </xdr:pic>
    <xdr:clientData/>
  </xdr:twoCellAnchor>
  <xdr:twoCellAnchor>
    <xdr:from>
      <xdr:col>8</xdr:col>
      <xdr:colOff>6350</xdr:colOff>
      <xdr:row>2119</xdr:row>
      <xdr:rowOff>25400</xdr:rowOff>
    </xdr:from>
    <xdr:to>
      <xdr:col>8</xdr:col>
      <xdr:colOff>885190</xdr:colOff>
      <xdr:row>2119</xdr:row>
      <xdr:rowOff>1209040</xdr:rowOff>
    </xdr:to>
    <xdr:pic>
      <xdr:nvPicPr>
        <xdr:cNvPr id="5875" name="Изображение 5874" descr="resizeПП-00271593"/>
        <xdr:cNvPicPr>
          <a:picLocks noChangeAspect="1"/>
        </xdr:cNvPicPr>
      </xdr:nvPicPr>
      <xdr:blipFill>
        <a:blip xmlns:r="http://schemas.openxmlformats.org/officeDocument/2006/relationships" r:embed="rId1624"/>
        <a:stretch>
          <a:fillRect/>
        </a:stretch>
      </xdr:blipFill>
      <xdr:spPr>
        <a:xfrm>
          <a:off x="7264400" y="2109904975"/>
          <a:ext cx="878840" cy="1183640"/>
        </a:xfrm>
        <a:prstGeom prst="rect">
          <a:avLst/>
        </a:prstGeom>
      </xdr:spPr>
    </xdr:pic>
    <xdr:clientData/>
  </xdr:twoCellAnchor>
  <xdr:twoCellAnchor>
    <xdr:from>
      <xdr:col>8</xdr:col>
      <xdr:colOff>6350</xdr:colOff>
      <xdr:row>2120</xdr:row>
      <xdr:rowOff>25400</xdr:rowOff>
    </xdr:from>
    <xdr:to>
      <xdr:col>8</xdr:col>
      <xdr:colOff>885190</xdr:colOff>
      <xdr:row>2120</xdr:row>
      <xdr:rowOff>1209040</xdr:rowOff>
    </xdr:to>
    <xdr:pic>
      <xdr:nvPicPr>
        <xdr:cNvPr id="5876" name="Изображение 5875" descr="resizeПП-00251253"/>
        <xdr:cNvPicPr>
          <a:picLocks noChangeAspect="1"/>
        </xdr:cNvPicPr>
      </xdr:nvPicPr>
      <xdr:blipFill>
        <a:blip xmlns:r="http://schemas.openxmlformats.org/officeDocument/2006/relationships" r:embed="rId1625"/>
        <a:stretch>
          <a:fillRect/>
        </a:stretch>
      </xdr:blipFill>
      <xdr:spPr>
        <a:xfrm>
          <a:off x="7264400" y="2111127350"/>
          <a:ext cx="878840" cy="1183640"/>
        </a:xfrm>
        <a:prstGeom prst="rect">
          <a:avLst/>
        </a:prstGeom>
      </xdr:spPr>
    </xdr:pic>
    <xdr:clientData/>
  </xdr:twoCellAnchor>
  <xdr:twoCellAnchor>
    <xdr:from>
      <xdr:col>8</xdr:col>
      <xdr:colOff>6350</xdr:colOff>
      <xdr:row>2121</xdr:row>
      <xdr:rowOff>25400</xdr:rowOff>
    </xdr:from>
    <xdr:to>
      <xdr:col>8</xdr:col>
      <xdr:colOff>885190</xdr:colOff>
      <xdr:row>2121</xdr:row>
      <xdr:rowOff>1209040</xdr:rowOff>
    </xdr:to>
    <xdr:pic>
      <xdr:nvPicPr>
        <xdr:cNvPr id="5877" name="Изображение 5876" descr="resizeПП-00271592"/>
        <xdr:cNvPicPr>
          <a:picLocks noChangeAspect="1"/>
        </xdr:cNvPicPr>
      </xdr:nvPicPr>
      <xdr:blipFill>
        <a:blip xmlns:r="http://schemas.openxmlformats.org/officeDocument/2006/relationships" r:embed="rId1626"/>
        <a:stretch>
          <a:fillRect/>
        </a:stretch>
      </xdr:blipFill>
      <xdr:spPr>
        <a:xfrm>
          <a:off x="7264400" y="2112349725"/>
          <a:ext cx="878840" cy="1183640"/>
        </a:xfrm>
        <a:prstGeom prst="rect">
          <a:avLst/>
        </a:prstGeom>
      </xdr:spPr>
    </xdr:pic>
    <xdr:clientData/>
  </xdr:twoCellAnchor>
  <xdr:twoCellAnchor>
    <xdr:from>
      <xdr:col>8</xdr:col>
      <xdr:colOff>6350</xdr:colOff>
      <xdr:row>2122</xdr:row>
      <xdr:rowOff>25400</xdr:rowOff>
    </xdr:from>
    <xdr:to>
      <xdr:col>8</xdr:col>
      <xdr:colOff>885190</xdr:colOff>
      <xdr:row>2122</xdr:row>
      <xdr:rowOff>1209040</xdr:rowOff>
    </xdr:to>
    <xdr:pic>
      <xdr:nvPicPr>
        <xdr:cNvPr id="5878" name="Изображение 5877" descr="resizeПП-00251255"/>
        <xdr:cNvPicPr>
          <a:picLocks noChangeAspect="1"/>
        </xdr:cNvPicPr>
      </xdr:nvPicPr>
      <xdr:blipFill>
        <a:blip xmlns:r="http://schemas.openxmlformats.org/officeDocument/2006/relationships" r:embed="rId1627"/>
        <a:stretch>
          <a:fillRect/>
        </a:stretch>
      </xdr:blipFill>
      <xdr:spPr>
        <a:xfrm>
          <a:off x="7264400" y="2113572100"/>
          <a:ext cx="878840" cy="1183640"/>
        </a:xfrm>
        <a:prstGeom prst="rect">
          <a:avLst/>
        </a:prstGeom>
      </xdr:spPr>
    </xdr:pic>
    <xdr:clientData/>
  </xdr:twoCellAnchor>
  <xdr:twoCellAnchor>
    <xdr:from>
      <xdr:col>8</xdr:col>
      <xdr:colOff>6350</xdr:colOff>
      <xdr:row>2124</xdr:row>
      <xdr:rowOff>25400</xdr:rowOff>
    </xdr:from>
    <xdr:to>
      <xdr:col>8</xdr:col>
      <xdr:colOff>885190</xdr:colOff>
      <xdr:row>2124</xdr:row>
      <xdr:rowOff>1209040</xdr:rowOff>
    </xdr:to>
    <xdr:pic>
      <xdr:nvPicPr>
        <xdr:cNvPr id="5879" name="Изображение 5878" descr="resizeПП-00251264"/>
        <xdr:cNvPicPr>
          <a:picLocks noChangeAspect="1"/>
        </xdr:cNvPicPr>
      </xdr:nvPicPr>
      <xdr:blipFill>
        <a:blip xmlns:r="http://schemas.openxmlformats.org/officeDocument/2006/relationships" r:embed="rId1628"/>
        <a:stretch>
          <a:fillRect/>
        </a:stretch>
      </xdr:blipFill>
      <xdr:spPr>
        <a:xfrm>
          <a:off x="7264400" y="2114946875"/>
          <a:ext cx="878840" cy="1183640"/>
        </a:xfrm>
        <a:prstGeom prst="rect">
          <a:avLst/>
        </a:prstGeom>
      </xdr:spPr>
    </xdr:pic>
    <xdr:clientData/>
  </xdr:twoCellAnchor>
  <xdr:twoCellAnchor>
    <xdr:from>
      <xdr:col>8</xdr:col>
      <xdr:colOff>6350</xdr:colOff>
      <xdr:row>2125</xdr:row>
      <xdr:rowOff>25400</xdr:rowOff>
    </xdr:from>
    <xdr:to>
      <xdr:col>8</xdr:col>
      <xdr:colOff>885190</xdr:colOff>
      <xdr:row>2125</xdr:row>
      <xdr:rowOff>1209040</xdr:rowOff>
    </xdr:to>
    <xdr:pic>
      <xdr:nvPicPr>
        <xdr:cNvPr id="5880" name="Изображение 5879" descr="resizeПП-00228069"/>
        <xdr:cNvPicPr>
          <a:picLocks noChangeAspect="1"/>
        </xdr:cNvPicPr>
      </xdr:nvPicPr>
      <xdr:blipFill>
        <a:blip xmlns:r="http://schemas.openxmlformats.org/officeDocument/2006/relationships" r:embed="rId1629"/>
        <a:stretch>
          <a:fillRect/>
        </a:stretch>
      </xdr:blipFill>
      <xdr:spPr>
        <a:xfrm>
          <a:off x="7264400" y="2116169250"/>
          <a:ext cx="878840" cy="1183640"/>
        </a:xfrm>
        <a:prstGeom prst="rect">
          <a:avLst/>
        </a:prstGeom>
      </xdr:spPr>
    </xdr:pic>
    <xdr:clientData/>
  </xdr:twoCellAnchor>
  <xdr:twoCellAnchor>
    <xdr:from>
      <xdr:col>8</xdr:col>
      <xdr:colOff>6350</xdr:colOff>
      <xdr:row>2126</xdr:row>
      <xdr:rowOff>25400</xdr:rowOff>
    </xdr:from>
    <xdr:to>
      <xdr:col>8</xdr:col>
      <xdr:colOff>885190</xdr:colOff>
      <xdr:row>2126</xdr:row>
      <xdr:rowOff>1209040</xdr:rowOff>
    </xdr:to>
    <xdr:pic>
      <xdr:nvPicPr>
        <xdr:cNvPr id="5881" name="Изображение 5880" descr="resizeПП-00228070"/>
        <xdr:cNvPicPr>
          <a:picLocks noChangeAspect="1"/>
        </xdr:cNvPicPr>
      </xdr:nvPicPr>
      <xdr:blipFill>
        <a:blip xmlns:r="http://schemas.openxmlformats.org/officeDocument/2006/relationships" r:embed="rId1630"/>
        <a:stretch>
          <a:fillRect/>
        </a:stretch>
      </xdr:blipFill>
      <xdr:spPr>
        <a:xfrm>
          <a:off x="7264400" y="2117391625"/>
          <a:ext cx="878840" cy="1183640"/>
        </a:xfrm>
        <a:prstGeom prst="rect">
          <a:avLst/>
        </a:prstGeom>
      </xdr:spPr>
    </xdr:pic>
    <xdr:clientData/>
  </xdr:twoCellAnchor>
  <xdr:twoCellAnchor>
    <xdr:from>
      <xdr:col>8</xdr:col>
      <xdr:colOff>6350</xdr:colOff>
      <xdr:row>2127</xdr:row>
      <xdr:rowOff>25400</xdr:rowOff>
    </xdr:from>
    <xdr:to>
      <xdr:col>8</xdr:col>
      <xdr:colOff>885190</xdr:colOff>
      <xdr:row>2127</xdr:row>
      <xdr:rowOff>1209040</xdr:rowOff>
    </xdr:to>
    <xdr:pic>
      <xdr:nvPicPr>
        <xdr:cNvPr id="5882" name="Изображение 5881" descr="resizeПП-00271598"/>
        <xdr:cNvPicPr>
          <a:picLocks noChangeAspect="1"/>
        </xdr:cNvPicPr>
      </xdr:nvPicPr>
      <xdr:blipFill>
        <a:blip xmlns:r="http://schemas.openxmlformats.org/officeDocument/2006/relationships" r:embed="rId1631"/>
        <a:stretch>
          <a:fillRect/>
        </a:stretch>
      </xdr:blipFill>
      <xdr:spPr>
        <a:xfrm>
          <a:off x="7264400" y="2118614000"/>
          <a:ext cx="878840" cy="1183640"/>
        </a:xfrm>
        <a:prstGeom prst="rect">
          <a:avLst/>
        </a:prstGeom>
      </xdr:spPr>
    </xdr:pic>
    <xdr:clientData/>
  </xdr:twoCellAnchor>
  <xdr:twoCellAnchor>
    <xdr:from>
      <xdr:col>8</xdr:col>
      <xdr:colOff>6350</xdr:colOff>
      <xdr:row>2128</xdr:row>
      <xdr:rowOff>25400</xdr:rowOff>
    </xdr:from>
    <xdr:to>
      <xdr:col>8</xdr:col>
      <xdr:colOff>885190</xdr:colOff>
      <xdr:row>2128</xdr:row>
      <xdr:rowOff>1209040</xdr:rowOff>
    </xdr:to>
    <xdr:pic>
      <xdr:nvPicPr>
        <xdr:cNvPr id="5883" name="Изображение 5882" descr="resizeПП-00228067"/>
        <xdr:cNvPicPr>
          <a:picLocks noChangeAspect="1"/>
        </xdr:cNvPicPr>
      </xdr:nvPicPr>
      <xdr:blipFill>
        <a:blip xmlns:r="http://schemas.openxmlformats.org/officeDocument/2006/relationships" r:embed="rId1632"/>
        <a:stretch>
          <a:fillRect/>
        </a:stretch>
      </xdr:blipFill>
      <xdr:spPr>
        <a:xfrm>
          <a:off x="7264400" y="2119836375"/>
          <a:ext cx="878840" cy="1183640"/>
        </a:xfrm>
        <a:prstGeom prst="rect">
          <a:avLst/>
        </a:prstGeom>
      </xdr:spPr>
    </xdr:pic>
    <xdr:clientData/>
  </xdr:twoCellAnchor>
  <xdr:twoCellAnchor>
    <xdr:from>
      <xdr:col>8</xdr:col>
      <xdr:colOff>6350</xdr:colOff>
      <xdr:row>2129</xdr:row>
      <xdr:rowOff>25400</xdr:rowOff>
    </xdr:from>
    <xdr:to>
      <xdr:col>8</xdr:col>
      <xdr:colOff>885190</xdr:colOff>
      <xdr:row>2129</xdr:row>
      <xdr:rowOff>1209040</xdr:rowOff>
    </xdr:to>
    <xdr:pic>
      <xdr:nvPicPr>
        <xdr:cNvPr id="5884" name="Изображение 5883" descr="resizeПП-00271596"/>
        <xdr:cNvPicPr>
          <a:picLocks noChangeAspect="1"/>
        </xdr:cNvPicPr>
      </xdr:nvPicPr>
      <xdr:blipFill>
        <a:blip xmlns:r="http://schemas.openxmlformats.org/officeDocument/2006/relationships" r:embed="rId1633"/>
        <a:stretch>
          <a:fillRect/>
        </a:stretch>
      </xdr:blipFill>
      <xdr:spPr>
        <a:xfrm>
          <a:off x="7264400" y="2121058750"/>
          <a:ext cx="878840" cy="1183640"/>
        </a:xfrm>
        <a:prstGeom prst="rect">
          <a:avLst/>
        </a:prstGeom>
      </xdr:spPr>
    </xdr:pic>
    <xdr:clientData/>
  </xdr:twoCellAnchor>
  <xdr:twoCellAnchor>
    <xdr:from>
      <xdr:col>8</xdr:col>
      <xdr:colOff>6350</xdr:colOff>
      <xdr:row>2130</xdr:row>
      <xdr:rowOff>25400</xdr:rowOff>
    </xdr:from>
    <xdr:to>
      <xdr:col>8</xdr:col>
      <xdr:colOff>885190</xdr:colOff>
      <xdr:row>2130</xdr:row>
      <xdr:rowOff>1209040</xdr:rowOff>
    </xdr:to>
    <xdr:pic>
      <xdr:nvPicPr>
        <xdr:cNvPr id="5885" name="Изображение 5884" descr="resizeПП-00251261"/>
        <xdr:cNvPicPr>
          <a:picLocks noChangeAspect="1"/>
        </xdr:cNvPicPr>
      </xdr:nvPicPr>
      <xdr:blipFill>
        <a:blip xmlns:r="http://schemas.openxmlformats.org/officeDocument/2006/relationships" r:embed="rId1634"/>
        <a:stretch>
          <a:fillRect/>
        </a:stretch>
      </xdr:blipFill>
      <xdr:spPr>
        <a:xfrm>
          <a:off x="7264400" y="2122281125"/>
          <a:ext cx="878840" cy="1183640"/>
        </a:xfrm>
        <a:prstGeom prst="rect">
          <a:avLst/>
        </a:prstGeom>
      </xdr:spPr>
    </xdr:pic>
    <xdr:clientData/>
  </xdr:twoCellAnchor>
  <xdr:twoCellAnchor>
    <xdr:from>
      <xdr:col>8</xdr:col>
      <xdr:colOff>6350</xdr:colOff>
      <xdr:row>2131</xdr:row>
      <xdr:rowOff>25400</xdr:rowOff>
    </xdr:from>
    <xdr:to>
      <xdr:col>8</xdr:col>
      <xdr:colOff>885190</xdr:colOff>
      <xdr:row>2131</xdr:row>
      <xdr:rowOff>1209040</xdr:rowOff>
    </xdr:to>
    <xdr:pic>
      <xdr:nvPicPr>
        <xdr:cNvPr id="5886" name="Изображение 5885" descr="resizeПП-00251263"/>
        <xdr:cNvPicPr>
          <a:picLocks noChangeAspect="1"/>
        </xdr:cNvPicPr>
      </xdr:nvPicPr>
      <xdr:blipFill>
        <a:blip xmlns:r="http://schemas.openxmlformats.org/officeDocument/2006/relationships" r:embed="rId1635"/>
        <a:stretch>
          <a:fillRect/>
        </a:stretch>
      </xdr:blipFill>
      <xdr:spPr>
        <a:xfrm>
          <a:off x="7264400" y="2123503500"/>
          <a:ext cx="878840" cy="1183640"/>
        </a:xfrm>
        <a:prstGeom prst="rect">
          <a:avLst/>
        </a:prstGeom>
      </xdr:spPr>
    </xdr:pic>
    <xdr:clientData/>
  </xdr:twoCellAnchor>
  <xdr:twoCellAnchor>
    <xdr:from>
      <xdr:col>8</xdr:col>
      <xdr:colOff>6350</xdr:colOff>
      <xdr:row>2132</xdr:row>
      <xdr:rowOff>25400</xdr:rowOff>
    </xdr:from>
    <xdr:to>
      <xdr:col>8</xdr:col>
      <xdr:colOff>885190</xdr:colOff>
      <xdr:row>2132</xdr:row>
      <xdr:rowOff>1209040</xdr:rowOff>
    </xdr:to>
    <xdr:pic>
      <xdr:nvPicPr>
        <xdr:cNvPr id="5887" name="Изображение 5886" descr="resizeПП-00228068"/>
        <xdr:cNvPicPr>
          <a:picLocks noChangeAspect="1"/>
        </xdr:cNvPicPr>
      </xdr:nvPicPr>
      <xdr:blipFill>
        <a:blip xmlns:r="http://schemas.openxmlformats.org/officeDocument/2006/relationships" r:embed="rId1636"/>
        <a:stretch>
          <a:fillRect/>
        </a:stretch>
      </xdr:blipFill>
      <xdr:spPr>
        <a:xfrm>
          <a:off x="7264400" y="2124725875"/>
          <a:ext cx="878840" cy="1183640"/>
        </a:xfrm>
        <a:prstGeom prst="rect">
          <a:avLst/>
        </a:prstGeom>
      </xdr:spPr>
    </xdr:pic>
    <xdr:clientData/>
  </xdr:twoCellAnchor>
  <xdr:twoCellAnchor>
    <xdr:from>
      <xdr:col>8</xdr:col>
      <xdr:colOff>6350</xdr:colOff>
      <xdr:row>2133</xdr:row>
      <xdr:rowOff>25400</xdr:rowOff>
    </xdr:from>
    <xdr:to>
      <xdr:col>8</xdr:col>
      <xdr:colOff>885190</xdr:colOff>
      <xdr:row>2133</xdr:row>
      <xdr:rowOff>1209040</xdr:rowOff>
    </xdr:to>
    <xdr:pic>
      <xdr:nvPicPr>
        <xdr:cNvPr id="5888" name="Изображение 5887" descr="resizeПП-00251262"/>
        <xdr:cNvPicPr>
          <a:picLocks noChangeAspect="1"/>
        </xdr:cNvPicPr>
      </xdr:nvPicPr>
      <xdr:blipFill>
        <a:blip xmlns:r="http://schemas.openxmlformats.org/officeDocument/2006/relationships" r:embed="rId1637"/>
        <a:stretch>
          <a:fillRect/>
        </a:stretch>
      </xdr:blipFill>
      <xdr:spPr>
        <a:xfrm>
          <a:off x="7264400" y="2125948250"/>
          <a:ext cx="878840" cy="1183640"/>
        </a:xfrm>
        <a:prstGeom prst="rect">
          <a:avLst/>
        </a:prstGeom>
      </xdr:spPr>
    </xdr:pic>
    <xdr:clientData/>
  </xdr:twoCellAnchor>
  <xdr:twoCellAnchor>
    <xdr:from>
      <xdr:col>8</xdr:col>
      <xdr:colOff>6350</xdr:colOff>
      <xdr:row>2134</xdr:row>
      <xdr:rowOff>25400</xdr:rowOff>
    </xdr:from>
    <xdr:to>
      <xdr:col>8</xdr:col>
      <xdr:colOff>885190</xdr:colOff>
      <xdr:row>2134</xdr:row>
      <xdr:rowOff>1209040</xdr:rowOff>
    </xdr:to>
    <xdr:pic>
      <xdr:nvPicPr>
        <xdr:cNvPr id="5889" name="Изображение 5888" descr="resizeПП-00271595"/>
        <xdr:cNvPicPr>
          <a:picLocks noChangeAspect="1"/>
        </xdr:cNvPicPr>
      </xdr:nvPicPr>
      <xdr:blipFill>
        <a:blip xmlns:r="http://schemas.openxmlformats.org/officeDocument/2006/relationships" r:embed="rId1638"/>
        <a:stretch>
          <a:fillRect/>
        </a:stretch>
      </xdr:blipFill>
      <xdr:spPr>
        <a:xfrm>
          <a:off x="7264400" y="2127170625"/>
          <a:ext cx="878840" cy="1183640"/>
        </a:xfrm>
        <a:prstGeom prst="rect">
          <a:avLst/>
        </a:prstGeom>
      </xdr:spPr>
    </xdr:pic>
    <xdr:clientData/>
  </xdr:twoCellAnchor>
  <xdr:twoCellAnchor>
    <xdr:from>
      <xdr:col>8</xdr:col>
      <xdr:colOff>6350</xdr:colOff>
      <xdr:row>2135</xdr:row>
      <xdr:rowOff>25400</xdr:rowOff>
    </xdr:from>
    <xdr:to>
      <xdr:col>8</xdr:col>
      <xdr:colOff>885190</xdr:colOff>
      <xdr:row>2135</xdr:row>
      <xdr:rowOff>1209040</xdr:rowOff>
    </xdr:to>
    <xdr:pic>
      <xdr:nvPicPr>
        <xdr:cNvPr id="5890" name="Изображение 5889" descr="resizeПП-00271597"/>
        <xdr:cNvPicPr>
          <a:picLocks noChangeAspect="1"/>
        </xdr:cNvPicPr>
      </xdr:nvPicPr>
      <xdr:blipFill>
        <a:blip xmlns:r="http://schemas.openxmlformats.org/officeDocument/2006/relationships" r:embed="rId1639"/>
        <a:stretch>
          <a:fillRect/>
        </a:stretch>
      </xdr:blipFill>
      <xdr:spPr>
        <a:xfrm>
          <a:off x="7264400" y="2128393000"/>
          <a:ext cx="878840" cy="1183640"/>
        </a:xfrm>
        <a:prstGeom prst="rect">
          <a:avLst/>
        </a:prstGeom>
      </xdr:spPr>
    </xdr:pic>
    <xdr:clientData/>
  </xdr:twoCellAnchor>
  <xdr:twoCellAnchor>
    <xdr:from>
      <xdr:col>8</xdr:col>
      <xdr:colOff>6350</xdr:colOff>
      <xdr:row>2137</xdr:row>
      <xdr:rowOff>25400</xdr:rowOff>
    </xdr:from>
    <xdr:to>
      <xdr:col>8</xdr:col>
      <xdr:colOff>885190</xdr:colOff>
      <xdr:row>2137</xdr:row>
      <xdr:rowOff>1209040</xdr:rowOff>
    </xdr:to>
    <xdr:pic>
      <xdr:nvPicPr>
        <xdr:cNvPr id="5891" name="Изображение 5890" descr="resizeПП-00193592"/>
        <xdr:cNvPicPr>
          <a:picLocks noChangeAspect="1"/>
        </xdr:cNvPicPr>
      </xdr:nvPicPr>
      <xdr:blipFill>
        <a:blip xmlns:r="http://schemas.openxmlformats.org/officeDocument/2006/relationships" r:embed="rId1640"/>
        <a:stretch>
          <a:fillRect/>
        </a:stretch>
      </xdr:blipFill>
      <xdr:spPr>
        <a:xfrm>
          <a:off x="7264400" y="2129767775"/>
          <a:ext cx="878840" cy="1183640"/>
        </a:xfrm>
        <a:prstGeom prst="rect">
          <a:avLst/>
        </a:prstGeom>
      </xdr:spPr>
    </xdr:pic>
    <xdr:clientData/>
  </xdr:twoCellAnchor>
  <xdr:twoCellAnchor>
    <xdr:from>
      <xdr:col>8</xdr:col>
      <xdr:colOff>6350</xdr:colOff>
      <xdr:row>2138</xdr:row>
      <xdr:rowOff>25400</xdr:rowOff>
    </xdr:from>
    <xdr:to>
      <xdr:col>8</xdr:col>
      <xdr:colOff>885190</xdr:colOff>
      <xdr:row>2138</xdr:row>
      <xdr:rowOff>1209040</xdr:rowOff>
    </xdr:to>
    <xdr:pic>
      <xdr:nvPicPr>
        <xdr:cNvPr id="5892" name="Изображение 5891" descr="resizeПП-00254422"/>
        <xdr:cNvPicPr>
          <a:picLocks noChangeAspect="1"/>
        </xdr:cNvPicPr>
      </xdr:nvPicPr>
      <xdr:blipFill>
        <a:blip xmlns:r="http://schemas.openxmlformats.org/officeDocument/2006/relationships" r:embed="rId1641"/>
        <a:stretch>
          <a:fillRect/>
        </a:stretch>
      </xdr:blipFill>
      <xdr:spPr>
        <a:xfrm>
          <a:off x="7264400" y="2130990150"/>
          <a:ext cx="878840" cy="1183640"/>
        </a:xfrm>
        <a:prstGeom prst="rect">
          <a:avLst/>
        </a:prstGeom>
      </xdr:spPr>
    </xdr:pic>
    <xdr:clientData/>
  </xdr:twoCellAnchor>
  <xdr:twoCellAnchor>
    <xdr:from>
      <xdr:col>8</xdr:col>
      <xdr:colOff>6350</xdr:colOff>
      <xdr:row>2139</xdr:row>
      <xdr:rowOff>25400</xdr:rowOff>
    </xdr:from>
    <xdr:to>
      <xdr:col>8</xdr:col>
      <xdr:colOff>885190</xdr:colOff>
      <xdr:row>2139</xdr:row>
      <xdr:rowOff>1209040</xdr:rowOff>
    </xdr:to>
    <xdr:pic>
      <xdr:nvPicPr>
        <xdr:cNvPr id="5893" name="Изображение 5892" descr="resizeПП-00251271"/>
        <xdr:cNvPicPr>
          <a:picLocks noChangeAspect="1"/>
        </xdr:cNvPicPr>
      </xdr:nvPicPr>
      <xdr:blipFill>
        <a:blip xmlns:r="http://schemas.openxmlformats.org/officeDocument/2006/relationships" r:embed="rId1642"/>
        <a:stretch>
          <a:fillRect/>
        </a:stretch>
      </xdr:blipFill>
      <xdr:spPr>
        <a:xfrm>
          <a:off x="7264400" y="2132212525"/>
          <a:ext cx="878840" cy="1183640"/>
        </a:xfrm>
        <a:prstGeom prst="rect">
          <a:avLst/>
        </a:prstGeom>
      </xdr:spPr>
    </xdr:pic>
    <xdr:clientData/>
  </xdr:twoCellAnchor>
  <xdr:twoCellAnchor>
    <xdr:from>
      <xdr:col>8</xdr:col>
      <xdr:colOff>6350</xdr:colOff>
      <xdr:row>2140</xdr:row>
      <xdr:rowOff>25400</xdr:rowOff>
    </xdr:from>
    <xdr:to>
      <xdr:col>8</xdr:col>
      <xdr:colOff>885190</xdr:colOff>
      <xdr:row>2140</xdr:row>
      <xdr:rowOff>1209040</xdr:rowOff>
    </xdr:to>
    <xdr:pic>
      <xdr:nvPicPr>
        <xdr:cNvPr id="5894" name="Изображение 5893" descr="resizeПП-00228079"/>
        <xdr:cNvPicPr>
          <a:picLocks noChangeAspect="1"/>
        </xdr:cNvPicPr>
      </xdr:nvPicPr>
      <xdr:blipFill>
        <a:blip xmlns:r="http://schemas.openxmlformats.org/officeDocument/2006/relationships" r:embed="rId1643"/>
        <a:stretch>
          <a:fillRect/>
        </a:stretch>
      </xdr:blipFill>
      <xdr:spPr>
        <a:xfrm>
          <a:off x="7264400" y="2133434900"/>
          <a:ext cx="878840" cy="1183640"/>
        </a:xfrm>
        <a:prstGeom prst="rect">
          <a:avLst/>
        </a:prstGeom>
      </xdr:spPr>
    </xdr:pic>
    <xdr:clientData/>
  </xdr:twoCellAnchor>
  <xdr:twoCellAnchor>
    <xdr:from>
      <xdr:col>8</xdr:col>
      <xdr:colOff>6350</xdr:colOff>
      <xdr:row>2141</xdr:row>
      <xdr:rowOff>25400</xdr:rowOff>
    </xdr:from>
    <xdr:to>
      <xdr:col>8</xdr:col>
      <xdr:colOff>885190</xdr:colOff>
      <xdr:row>2141</xdr:row>
      <xdr:rowOff>1209040</xdr:rowOff>
    </xdr:to>
    <xdr:pic>
      <xdr:nvPicPr>
        <xdr:cNvPr id="5895" name="Изображение 5894" descr="resizeПП-00271583"/>
        <xdr:cNvPicPr>
          <a:picLocks noChangeAspect="1"/>
        </xdr:cNvPicPr>
      </xdr:nvPicPr>
      <xdr:blipFill>
        <a:blip xmlns:r="http://schemas.openxmlformats.org/officeDocument/2006/relationships" r:embed="rId1644"/>
        <a:stretch>
          <a:fillRect/>
        </a:stretch>
      </xdr:blipFill>
      <xdr:spPr>
        <a:xfrm>
          <a:off x="7264400" y="2134657275"/>
          <a:ext cx="878840" cy="1183640"/>
        </a:xfrm>
        <a:prstGeom prst="rect">
          <a:avLst/>
        </a:prstGeom>
      </xdr:spPr>
    </xdr:pic>
    <xdr:clientData/>
  </xdr:twoCellAnchor>
  <xdr:twoCellAnchor>
    <xdr:from>
      <xdr:col>8</xdr:col>
      <xdr:colOff>6350</xdr:colOff>
      <xdr:row>2142</xdr:row>
      <xdr:rowOff>25400</xdr:rowOff>
    </xdr:from>
    <xdr:to>
      <xdr:col>8</xdr:col>
      <xdr:colOff>885190</xdr:colOff>
      <xdr:row>2142</xdr:row>
      <xdr:rowOff>1209040</xdr:rowOff>
    </xdr:to>
    <xdr:pic>
      <xdr:nvPicPr>
        <xdr:cNvPr id="5896" name="Изображение 5895" descr="resizeПП-00228071"/>
        <xdr:cNvPicPr>
          <a:picLocks noChangeAspect="1"/>
        </xdr:cNvPicPr>
      </xdr:nvPicPr>
      <xdr:blipFill>
        <a:blip xmlns:r="http://schemas.openxmlformats.org/officeDocument/2006/relationships" r:embed="rId1645"/>
        <a:stretch>
          <a:fillRect/>
        </a:stretch>
      </xdr:blipFill>
      <xdr:spPr>
        <a:xfrm>
          <a:off x="7264400" y="2135879650"/>
          <a:ext cx="878840" cy="1183640"/>
        </a:xfrm>
        <a:prstGeom prst="rect">
          <a:avLst/>
        </a:prstGeom>
      </xdr:spPr>
    </xdr:pic>
    <xdr:clientData/>
  </xdr:twoCellAnchor>
  <xdr:twoCellAnchor>
    <xdr:from>
      <xdr:col>8</xdr:col>
      <xdr:colOff>6350</xdr:colOff>
      <xdr:row>2143</xdr:row>
      <xdr:rowOff>25400</xdr:rowOff>
    </xdr:from>
    <xdr:to>
      <xdr:col>8</xdr:col>
      <xdr:colOff>885190</xdr:colOff>
      <xdr:row>2143</xdr:row>
      <xdr:rowOff>1209040</xdr:rowOff>
    </xdr:to>
    <xdr:pic>
      <xdr:nvPicPr>
        <xdr:cNvPr id="5897" name="Изображение 5896" descr="resizeПП-00271584"/>
        <xdr:cNvPicPr>
          <a:picLocks noChangeAspect="1"/>
        </xdr:cNvPicPr>
      </xdr:nvPicPr>
      <xdr:blipFill>
        <a:blip xmlns:r="http://schemas.openxmlformats.org/officeDocument/2006/relationships" r:embed="rId1646"/>
        <a:stretch>
          <a:fillRect/>
        </a:stretch>
      </xdr:blipFill>
      <xdr:spPr>
        <a:xfrm>
          <a:off x="7264400" y="2137102025"/>
          <a:ext cx="878840" cy="1183640"/>
        </a:xfrm>
        <a:prstGeom prst="rect">
          <a:avLst/>
        </a:prstGeom>
      </xdr:spPr>
    </xdr:pic>
    <xdr:clientData/>
  </xdr:twoCellAnchor>
  <xdr:twoCellAnchor>
    <xdr:from>
      <xdr:col>8</xdr:col>
      <xdr:colOff>6350</xdr:colOff>
      <xdr:row>2144</xdr:row>
      <xdr:rowOff>25400</xdr:rowOff>
    </xdr:from>
    <xdr:to>
      <xdr:col>8</xdr:col>
      <xdr:colOff>885190</xdr:colOff>
      <xdr:row>2144</xdr:row>
      <xdr:rowOff>1209040</xdr:rowOff>
    </xdr:to>
    <xdr:pic>
      <xdr:nvPicPr>
        <xdr:cNvPr id="5898" name="Изображение 5897" descr="resizeПП-00271581"/>
        <xdr:cNvPicPr>
          <a:picLocks noChangeAspect="1"/>
        </xdr:cNvPicPr>
      </xdr:nvPicPr>
      <xdr:blipFill>
        <a:blip xmlns:r="http://schemas.openxmlformats.org/officeDocument/2006/relationships" r:embed="rId1647"/>
        <a:stretch>
          <a:fillRect/>
        </a:stretch>
      </xdr:blipFill>
      <xdr:spPr>
        <a:xfrm>
          <a:off x="7264400" y="2138324400"/>
          <a:ext cx="878840" cy="1183640"/>
        </a:xfrm>
        <a:prstGeom prst="rect">
          <a:avLst/>
        </a:prstGeom>
      </xdr:spPr>
    </xdr:pic>
    <xdr:clientData/>
  </xdr:twoCellAnchor>
  <xdr:twoCellAnchor>
    <xdr:from>
      <xdr:col>8</xdr:col>
      <xdr:colOff>6350</xdr:colOff>
      <xdr:row>2145</xdr:row>
      <xdr:rowOff>25400</xdr:rowOff>
    </xdr:from>
    <xdr:to>
      <xdr:col>8</xdr:col>
      <xdr:colOff>885190</xdr:colOff>
      <xdr:row>2145</xdr:row>
      <xdr:rowOff>1209040</xdr:rowOff>
    </xdr:to>
    <xdr:pic>
      <xdr:nvPicPr>
        <xdr:cNvPr id="5899" name="Изображение 5898" descr="resizeПП-00271582"/>
        <xdr:cNvPicPr>
          <a:picLocks noChangeAspect="1"/>
        </xdr:cNvPicPr>
      </xdr:nvPicPr>
      <xdr:blipFill>
        <a:blip xmlns:r="http://schemas.openxmlformats.org/officeDocument/2006/relationships" r:embed="rId1648"/>
        <a:stretch>
          <a:fillRect/>
        </a:stretch>
      </xdr:blipFill>
      <xdr:spPr>
        <a:xfrm>
          <a:off x="7264400" y="2139546775"/>
          <a:ext cx="878840" cy="1183640"/>
        </a:xfrm>
        <a:prstGeom prst="rect">
          <a:avLst/>
        </a:prstGeom>
      </xdr:spPr>
    </xdr:pic>
    <xdr:clientData/>
  </xdr:twoCellAnchor>
  <xdr:twoCellAnchor>
    <xdr:from>
      <xdr:col>8</xdr:col>
      <xdr:colOff>6350</xdr:colOff>
      <xdr:row>2146</xdr:row>
      <xdr:rowOff>25400</xdr:rowOff>
    </xdr:from>
    <xdr:to>
      <xdr:col>8</xdr:col>
      <xdr:colOff>885190</xdr:colOff>
      <xdr:row>2146</xdr:row>
      <xdr:rowOff>1209040</xdr:rowOff>
    </xdr:to>
    <xdr:pic>
      <xdr:nvPicPr>
        <xdr:cNvPr id="5900" name="Изображение 5899" descr="resizeПП-00271586"/>
        <xdr:cNvPicPr>
          <a:picLocks noChangeAspect="1"/>
        </xdr:cNvPicPr>
      </xdr:nvPicPr>
      <xdr:blipFill>
        <a:blip xmlns:r="http://schemas.openxmlformats.org/officeDocument/2006/relationships" r:embed="rId1649"/>
        <a:stretch>
          <a:fillRect/>
        </a:stretch>
      </xdr:blipFill>
      <xdr:spPr>
        <a:xfrm>
          <a:off x="7264400" y="2140769150"/>
          <a:ext cx="878840" cy="1183640"/>
        </a:xfrm>
        <a:prstGeom prst="rect">
          <a:avLst/>
        </a:prstGeom>
      </xdr:spPr>
    </xdr:pic>
    <xdr:clientData/>
  </xdr:twoCellAnchor>
  <xdr:twoCellAnchor>
    <xdr:from>
      <xdr:col>8</xdr:col>
      <xdr:colOff>6350</xdr:colOff>
      <xdr:row>2147</xdr:row>
      <xdr:rowOff>25400</xdr:rowOff>
    </xdr:from>
    <xdr:to>
      <xdr:col>8</xdr:col>
      <xdr:colOff>885190</xdr:colOff>
      <xdr:row>2147</xdr:row>
      <xdr:rowOff>1209040</xdr:rowOff>
    </xdr:to>
    <xdr:pic>
      <xdr:nvPicPr>
        <xdr:cNvPr id="5901" name="Изображение 5900" descr="resizeПП-00271585"/>
        <xdr:cNvPicPr>
          <a:picLocks noChangeAspect="1"/>
        </xdr:cNvPicPr>
      </xdr:nvPicPr>
      <xdr:blipFill>
        <a:blip xmlns:r="http://schemas.openxmlformats.org/officeDocument/2006/relationships" r:embed="rId1650"/>
        <a:stretch>
          <a:fillRect/>
        </a:stretch>
      </xdr:blipFill>
      <xdr:spPr>
        <a:xfrm>
          <a:off x="7264400" y="2141991525"/>
          <a:ext cx="878840" cy="1183640"/>
        </a:xfrm>
        <a:prstGeom prst="rect">
          <a:avLst/>
        </a:prstGeom>
      </xdr:spPr>
    </xdr:pic>
    <xdr:clientData/>
  </xdr:twoCellAnchor>
  <xdr:twoCellAnchor>
    <xdr:from>
      <xdr:col>8</xdr:col>
      <xdr:colOff>6350</xdr:colOff>
      <xdr:row>2148</xdr:row>
      <xdr:rowOff>25400</xdr:rowOff>
    </xdr:from>
    <xdr:to>
      <xdr:col>8</xdr:col>
      <xdr:colOff>885190</xdr:colOff>
      <xdr:row>2148</xdr:row>
      <xdr:rowOff>1209040</xdr:rowOff>
    </xdr:to>
    <xdr:pic>
      <xdr:nvPicPr>
        <xdr:cNvPr id="5902" name="Изображение 5901" descr="resizeПП-00251272"/>
        <xdr:cNvPicPr>
          <a:picLocks noChangeAspect="1"/>
        </xdr:cNvPicPr>
      </xdr:nvPicPr>
      <xdr:blipFill>
        <a:blip xmlns:r="http://schemas.openxmlformats.org/officeDocument/2006/relationships" r:embed="rId1651"/>
        <a:stretch>
          <a:fillRect/>
        </a:stretch>
      </xdr:blipFill>
      <xdr:spPr>
        <a:xfrm>
          <a:off x="7264400" y="2143213900"/>
          <a:ext cx="878840" cy="1183640"/>
        </a:xfrm>
        <a:prstGeom prst="rect">
          <a:avLst/>
        </a:prstGeom>
      </xdr:spPr>
    </xdr:pic>
    <xdr:clientData/>
  </xdr:twoCellAnchor>
  <xdr:twoCellAnchor>
    <xdr:from>
      <xdr:col>8</xdr:col>
      <xdr:colOff>6350</xdr:colOff>
      <xdr:row>2149</xdr:row>
      <xdr:rowOff>25400</xdr:rowOff>
    </xdr:from>
    <xdr:to>
      <xdr:col>8</xdr:col>
      <xdr:colOff>885190</xdr:colOff>
      <xdr:row>2149</xdr:row>
      <xdr:rowOff>1209040</xdr:rowOff>
    </xdr:to>
    <xdr:pic>
      <xdr:nvPicPr>
        <xdr:cNvPr id="5903" name="Изображение 5902" descr="resizeПП-00213554"/>
        <xdr:cNvPicPr>
          <a:picLocks noChangeAspect="1"/>
        </xdr:cNvPicPr>
      </xdr:nvPicPr>
      <xdr:blipFill>
        <a:blip xmlns:r="http://schemas.openxmlformats.org/officeDocument/2006/relationships" r:embed="rId1652"/>
        <a:stretch>
          <a:fillRect/>
        </a:stretch>
      </xdr:blipFill>
      <xdr:spPr>
        <a:xfrm>
          <a:off x="7264400" y="2144436275"/>
          <a:ext cx="878840" cy="1183640"/>
        </a:xfrm>
        <a:prstGeom prst="rect">
          <a:avLst/>
        </a:prstGeom>
      </xdr:spPr>
    </xdr:pic>
    <xdr:clientData/>
  </xdr:twoCellAnchor>
  <xdr:twoCellAnchor>
    <xdr:from>
      <xdr:col>8</xdr:col>
      <xdr:colOff>6350</xdr:colOff>
      <xdr:row>2152</xdr:row>
      <xdr:rowOff>25400</xdr:rowOff>
    </xdr:from>
    <xdr:to>
      <xdr:col>8</xdr:col>
      <xdr:colOff>885190</xdr:colOff>
      <xdr:row>2152</xdr:row>
      <xdr:rowOff>1209040</xdr:rowOff>
    </xdr:to>
    <xdr:pic>
      <xdr:nvPicPr>
        <xdr:cNvPr id="5904" name="Изображение 5903" descr="resizeПП-00155254"/>
        <xdr:cNvPicPr>
          <a:picLocks noChangeAspect="1"/>
        </xdr:cNvPicPr>
      </xdr:nvPicPr>
      <xdr:blipFill>
        <a:blip xmlns:r="http://schemas.openxmlformats.org/officeDocument/2006/relationships" r:embed="rId1653"/>
        <a:stretch>
          <a:fillRect/>
        </a:stretch>
      </xdr:blipFill>
      <xdr:spPr>
        <a:xfrm>
          <a:off x="7264400" y="2145963450"/>
          <a:ext cx="878840" cy="1183640"/>
        </a:xfrm>
        <a:prstGeom prst="rect">
          <a:avLst/>
        </a:prstGeom>
      </xdr:spPr>
    </xdr:pic>
    <xdr:clientData/>
  </xdr:twoCellAnchor>
  <xdr:twoCellAnchor>
    <xdr:from>
      <xdr:col>8</xdr:col>
      <xdr:colOff>6350</xdr:colOff>
      <xdr:row>2154</xdr:row>
      <xdr:rowOff>25400</xdr:rowOff>
    </xdr:from>
    <xdr:to>
      <xdr:col>8</xdr:col>
      <xdr:colOff>885190</xdr:colOff>
      <xdr:row>2154</xdr:row>
      <xdr:rowOff>1209040</xdr:rowOff>
    </xdr:to>
    <xdr:pic>
      <xdr:nvPicPr>
        <xdr:cNvPr id="5905" name="Изображение 5904" descr="resizeПП-00155186"/>
        <xdr:cNvPicPr>
          <a:picLocks noChangeAspect="1"/>
        </xdr:cNvPicPr>
      </xdr:nvPicPr>
      <xdr:blipFill>
        <a:blip xmlns:r="http://schemas.openxmlformats.org/officeDocument/2006/relationships" r:embed="rId1654"/>
        <a:stretch>
          <a:fillRect/>
        </a:stretch>
      </xdr:blipFill>
      <xdr:spPr>
        <a:xfrm>
          <a:off x="7264400" y="2147338225"/>
          <a:ext cx="878840" cy="1183640"/>
        </a:xfrm>
        <a:prstGeom prst="rect">
          <a:avLst/>
        </a:prstGeom>
      </xdr:spPr>
    </xdr:pic>
    <xdr:clientData/>
  </xdr:twoCellAnchor>
  <xdr:twoCellAnchor>
    <xdr:from>
      <xdr:col>8</xdr:col>
      <xdr:colOff>6350</xdr:colOff>
      <xdr:row>2157</xdr:row>
      <xdr:rowOff>25400</xdr:rowOff>
    </xdr:from>
    <xdr:to>
      <xdr:col>8</xdr:col>
      <xdr:colOff>885190</xdr:colOff>
      <xdr:row>2157</xdr:row>
      <xdr:rowOff>1209040</xdr:rowOff>
    </xdr:to>
    <xdr:pic>
      <xdr:nvPicPr>
        <xdr:cNvPr id="5906" name="Изображение 5905" descr="resizeПП-00271528"/>
        <xdr:cNvPicPr>
          <a:picLocks noChangeAspect="1"/>
        </xdr:cNvPicPr>
      </xdr:nvPicPr>
      <xdr:blipFill>
        <a:blip xmlns:r="http://schemas.openxmlformats.org/officeDocument/2006/relationships" r:embed="rId1655"/>
        <a:stretch>
          <a:fillRect/>
        </a:stretch>
      </xdr:blipFill>
      <xdr:spPr>
        <a:xfrm>
          <a:off x="7264400" y="2148865400"/>
          <a:ext cx="878840" cy="1183640"/>
        </a:xfrm>
        <a:prstGeom prst="rect">
          <a:avLst/>
        </a:prstGeom>
      </xdr:spPr>
    </xdr:pic>
    <xdr:clientData/>
  </xdr:twoCellAnchor>
  <xdr:twoCellAnchor>
    <xdr:from>
      <xdr:col>8</xdr:col>
      <xdr:colOff>6350</xdr:colOff>
      <xdr:row>2158</xdr:row>
      <xdr:rowOff>25400</xdr:rowOff>
    </xdr:from>
    <xdr:to>
      <xdr:col>8</xdr:col>
      <xdr:colOff>885190</xdr:colOff>
      <xdr:row>2158</xdr:row>
      <xdr:rowOff>1209040</xdr:rowOff>
    </xdr:to>
    <xdr:pic>
      <xdr:nvPicPr>
        <xdr:cNvPr id="5907" name="Изображение 5906" descr="resizeПП-00189860"/>
        <xdr:cNvPicPr>
          <a:picLocks noChangeAspect="1"/>
        </xdr:cNvPicPr>
      </xdr:nvPicPr>
      <xdr:blipFill>
        <a:blip xmlns:r="http://schemas.openxmlformats.org/officeDocument/2006/relationships" r:embed="rId1656"/>
        <a:stretch>
          <a:fillRect/>
        </a:stretch>
      </xdr:blipFill>
      <xdr:spPr>
        <a:xfrm>
          <a:off x="7264400" y="2150087775"/>
          <a:ext cx="878840" cy="1183640"/>
        </a:xfrm>
        <a:prstGeom prst="rect">
          <a:avLst/>
        </a:prstGeom>
      </xdr:spPr>
    </xdr:pic>
    <xdr:clientData/>
  </xdr:twoCellAnchor>
  <xdr:twoCellAnchor>
    <xdr:from>
      <xdr:col>8</xdr:col>
      <xdr:colOff>6350</xdr:colOff>
      <xdr:row>2159</xdr:row>
      <xdr:rowOff>25400</xdr:rowOff>
    </xdr:from>
    <xdr:to>
      <xdr:col>8</xdr:col>
      <xdr:colOff>885190</xdr:colOff>
      <xdr:row>2159</xdr:row>
      <xdr:rowOff>1209040</xdr:rowOff>
    </xdr:to>
    <xdr:pic>
      <xdr:nvPicPr>
        <xdr:cNvPr id="5908" name="Изображение 5907" descr="resizeПП-00189857"/>
        <xdr:cNvPicPr>
          <a:picLocks noChangeAspect="1"/>
        </xdr:cNvPicPr>
      </xdr:nvPicPr>
      <xdr:blipFill>
        <a:blip xmlns:r="http://schemas.openxmlformats.org/officeDocument/2006/relationships" r:embed="rId1657"/>
        <a:stretch>
          <a:fillRect/>
        </a:stretch>
      </xdr:blipFill>
      <xdr:spPr>
        <a:xfrm>
          <a:off x="7264400" y="2151310150"/>
          <a:ext cx="878840" cy="1183640"/>
        </a:xfrm>
        <a:prstGeom prst="rect">
          <a:avLst/>
        </a:prstGeom>
      </xdr:spPr>
    </xdr:pic>
    <xdr:clientData/>
  </xdr:twoCellAnchor>
  <xdr:twoCellAnchor>
    <xdr:from>
      <xdr:col>8</xdr:col>
      <xdr:colOff>6350</xdr:colOff>
      <xdr:row>2161</xdr:row>
      <xdr:rowOff>25400</xdr:rowOff>
    </xdr:from>
    <xdr:to>
      <xdr:col>8</xdr:col>
      <xdr:colOff>885190</xdr:colOff>
      <xdr:row>2161</xdr:row>
      <xdr:rowOff>1209040</xdr:rowOff>
    </xdr:to>
    <xdr:pic>
      <xdr:nvPicPr>
        <xdr:cNvPr id="5909" name="Изображение 5908" descr="resizeПП-00251425"/>
        <xdr:cNvPicPr>
          <a:picLocks noChangeAspect="1"/>
        </xdr:cNvPicPr>
      </xdr:nvPicPr>
      <xdr:blipFill>
        <a:blip xmlns:r="http://schemas.openxmlformats.org/officeDocument/2006/relationships" r:embed="rId1658"/>
        <a:stretch>
          <a:fillRect/>
        </a:stretch>
      </xdr:blipFill>
      <xdr:spPr>
        <a:xfrm>
          <a:off x="7264400" y="2152684925"/>
          <a:ext cx="878840" cy="1183640"/>
        </a:xfrm>
        <a:prstGeom prst="rect">
          <a:avLst/>
        </a:prstGeom>
      </xdr:spPr>
    </xdr:pic>
    <xdr:clientData/>
  </xdr:twoCellAnchor>
  <xdr:twoCellAnchor>
    <xdr:from>
      <xdr:col>8</xdr:col>
      <xdr:colOff>6350</xdr:colOff>
      <xdr:row>2162</xdr:row>
      <xdr:rowOff>25400</xdr:rowOff>
    </xdr:from>
    <xdr:to>
      <xdr:col>8</xdr:col>
      <xdr:colOff>885190</xdr:colOff>
      <xdr:row>2162</xdr:row>
      <xdr:rowOff>1209040</xdr:rowOff>
    </xdr:to>
    <xdr:pic>
      <xdr:nvPicPr>
        <xdr:cNvPr id="5910" name="Изображение 5909" descr="resizeПП-00271529"/>
        <xdr:cNvPicPr>
          <a:picLocks noChangeAspect="1"/>
        </xdr:cNvPicPr>
      </xdr:nvPicPr>
      <xdr:blipFill>
        <a:blip xmlns:r="http://schemas.openxmlformats.org/officeDocument/2006/relationships" r:embed="rId1659"/>
        <a:stretch>
          <a:fillRect/>
        </a:stretch>
      </xdr:blipFill>
      <xdr:spPr>
        <a:xfrm>
          <a:off x="7264400" y="2153907300"/>
          <a:ext cx="878840" cy="1183640"/>
        </a:xfrm>
        <a:prstGeom prst="rect">
          <a:avLst/>
        </a:prstGeom>
      </xdr:spPr>
    </xdr:pic>
    <xdr:clientData/>
  </xdr:twoCellAnchor>
  <xdr:twoCellAnchor>
    <xdr:from>
      <xdr:col>8</xdr:col>
      <xdr:colOff>6350</xdr:colOff>
      <xdr:row>2164</xdr:row>
      <xdr:rowOff>25400</xdr:rowOff>
    </xdr:from>
    <xdr:to>
      <xdr:col>8</xdr:col>
      <xdr:colOff>885190</xdr:colOff>
      <xdr:row>2164</xdr:row>
      <xdr:rowOff>1209040</xdr:rowOff>
    </xdr:to>
    <xdr:pic>
      <xdr:nvPicPr>
        <xdr:cNvPr id="5911" name="Изображение 5910" descr="resizeПП-00271531"/>
        <xdr:cNvPicPr>
          <a:picLocks noChangeAspect="1"/>
        </xdr:cNvPicPr>
      </xdr:nvPicPr>
      <xdr:blipFill>
        <a:blip xmlns:r="http://schemas.openxmlformats.org/officeDocument/2006/relationships" r:embed="rId1660"/>
        <a:stretch>
          <a:fillRect/>
        </a:stretch>
      </xdr:blipFill>
      <xdr:spPr>
        <a:xfrm>
          <a:off x="7264400" y="2155282075"/>
          <a:ext cx="878840" cy="1183640"/>
        </a:xfrm>
        <a:prstGeom prst="rect">
          <a:avLst/>
        </a:prstGeom>
      </xdr:spPr>
    </xdr:pic>
    <xdr:clientData/>
  </xdr:twoCellAnchor>
  <xdr:twoCellAnchor>
    <xdr:from>
      <xdr:col>8</xdr:col>
      <xdr:colOff>6350</xdr:colOff>
      <xdr:row>2165</xdr:row>
      <xdr:rowOff>25400</xdr:rowOff>
    </xdr:from>
    <xdr:to>
      <xdr:col>8</xdr:col>
      <xdr:colOff>885190</xdr:colOff>
      <xdr:row>2165</xdr:row>
      <xdr:rowOff>1209040</xdr:rowOff>
    </xdr:to>
    <xdr:pic>
      <xdr:nvPicPr>
        <xdr:cNvPr id="5912" name="Изображение 5911" descr="resizeПП-00251428"/>
        <xdr:cNvPicPr>
          <a:picLocks noChangeAspect="1"/>
        </xdr:cNvPicPr>
      </xdr:nvPicPr>
      <xdr:blipFill>
        <a:blip xmlns:r="http://schemas.openxmlformats.org/officeDocument/2006/relationships" r:embed="rId1661"/>
        <a:stretch>
          <a:fillRect/>
        </a:stretch>
      </xdr:blipFill>
      <xdr:spPr>
        <a:xfrm>
          <a:off x="7264400" y="2156504450"/>
          <a:ext cx="878840" cy="1183640"/>
        </a:xfrm>
        <a:prstGeom prst="rect">
          <a:avLst/>
        </a:prstGeom>
      </xdr:spPr>
    </xdr:pic>
    <xdr:clientData/>
  </xdr:twoCellAnchor>
  <xdr:twoCellAnchor>
    <xdr:from>
      <xdr:col>8</xdr:col>
      <xdr:colOff>6350</xdr:colOff>
      <xdr:row>2166</xdr:row>
      <xdr:rowOff>25400</xdr:rowOff>
    </xdr:from>
    <xdr:to>
      <xdr:col>8</xdr:col>
      <xdr:colOff>885190</xdr:colOff>
      <xdr:row>2166</xdr:row>
      <xdr:rowOff>1209040</xdr:rowOff>
    </xdr:to>
    <xdr:pic>
      <xdr:nvPicPr>
        <xdr:cNvPr id="5913" name="Изображение 5912" descr="resizeПП-00227979"/>
        <xdr:cNvPicPr>
          <a:picLocks noChangeAspect="1"/>
        </xdr:cNvPicPr>
      </xdr:nvPicPr>
      <xdr:blipFill>
        <a:blip xmlns:r="http://schemas.openxmlformats.org/officeDocument/2006/relationships" r:embed="rId1662"/>
        <a:stretch>
          <a:fillRect/>
        </a:stretch>
      </xdr:blipFill>
      <xdr:spPr>
        <a:xfrm>
          <a:off x="7264400" y="2157726825"/>
          <a:ext cx="878840" cy="1183640"/>
        </a:xfrm>
        <a:prstGeom prst="rect">
          <a:avLst/>
        </a:prstGeom>
      </xdr:spPr>
    </xdr:pic>
    <xdr:clientData/>
  </xdr:twoCellAnchor>
  <xdr:twoCellAnchor>
    <xdr:from>
      <xdr:col>8</xdr:col>
      <xdr:colOff>6350</xdr:colOff>
      <xdr:row>2167</xdr:row>
      <xdr:rowOff>25400</xdr:rowOff>
    </xdr:from>
    <xdr:to>
      <xdr:col>8</xdr:col>
      <xdr:colOff>885190</xdr:colOff>
      <xdr:row>2167</xdr:row>
      <xdr:rowOff>1209040</xdr:rowOff>
    </xdr:to>
    <xdr:pic>
      <xdr:nvPicPr>
        <xdr:cNvPr id="5914" name="Изображение 5913" descr="resizeПП-00227980"/>
        <xdr:cNvPicPr>
          <a:picLocks noChangeAspect="1"/>
        </xdr:cNvPicPr>
      </xdr:nvPicPr>
      <xdr:blipFill>
        <a:blip xmlns:r="http://schemas.openxmlformats.org/officeDocument/2006/relationships" r:embed="rId1663"/>
        <a:stretch>
          <a:fillRect/>
        </a:stretch>
      </xdr:blipFill>
      <xdr:spPr>
        <a:xfrm>
          <a:off x="7264400" y="2158949200"/>
          <a:ext cx="878840" cy="1183640"/>
        </a:xfrm>
        <a:prstGeom prst="rect">
          <a:avLst/>
        </a:prstGeom>
      </xdr:spPr>
    </xdr:pic>
    <xdr:clientData/>
  </xdr:twoCellAnchor>
  <xdr:twoCellAnchor>
    <xdr:from>
      <xdr:col>8</xdr:col>
      <xdr:colOff>6350</xdr:colOff>
      <xdr:row>2168</xdr:row>
      <xdr:rowOff>25400</xdr:rowOff>
    </xdr:from>
    <xdr:to>
      <xdr:col>8</xdr:col>
      <xdr:colOff>885190</xdr:colOff>
      <xdr:row>2168</xdr:row>
      <xdr:rowOff>1209040</xdr:rowOff>
    </xdr:to>
    <xdr:pic>
      <xdr:nvPicPr>
        <xdr:cNvPr id="5915" name="Изображение 5914" descr="resizeПП-00271530"/>
        <xdr:cNvPicPr>
          <a:picLocks noChangeAspect="1"/>
        </xdr:cNvPicPr>
      </xdr:nvPicPr>
      <xdr:blipFill>
        <a:blip xmlns:r="http://schemas.openxmlformats.org/officeDocument/2006/relationships" r:embed="rId1664"/>
        <a:stretch>
          <a:fillRect/>
        </a:stretch>
      </xdr:blipFill>
      <xdr:spPr>
        <a:xfrm>
          <a:off x="7264400" y="2160171575"/>
          <a:ext cx="878840" cy="1183640"/>
        </a:xfrm>
        <a:prstGeom prst="rect">
          <a:avLst/>
        </a:prstGeom>
      </xdr:spPr>
    </xdr:pic>
    <xdr:clientData/>
  </xdr:twoCellAnchor>
  <xdr:twoCellAnchor>
    <xdr:from>
      <xdr:col>8</xdr:col>
      <xdr:colOff>6350</xdr:colOff>
      <xdr:row>2169</xdr:row>
      <xdr:rowOff>25400</xdr:rowOff>
    </xdr:from>
    <xdr:to>
      <xdr:col>8</xdr:col>
      <xdr:colOff>885190</xdr:colOff>
      <xdr:row>2169</xdr:row>
      <xdr:rowOff>1209040</xdr:rowOff>
    </xdr:to>
    <xdr:pic>
      <xdr:nvPicPr>
        <xdr:cNvPr id="5916" name="Изображение 5915" descr="resizeПП-00251429"/>
        <xdr:cNvPicPr>
          <a:picLocks noChangeAspect="1"/>
        </xdr:cNvPicPr>
      </xdr:nvPicPr>
      <xdr:blipFill>
        <a:blip xmlns:r="http://schemas.openxmlformats.org/officeDocument/2006/relationships" r:embed="rId1665"/>
        <a:stretch>
          <a:fillRect/>
        </a:stretch>
      </xdr:blipFill>
      <xdr:spPr>
        <a:xfrm>
          <a:off x="7264400" y="2161393950"/>
          <a:ext cx="878840" cy="1183640"/>
        </a:xfrm>
        <a:prstGeom prst="rect">
          <a:avLst/>
        </a:prstGeom>
      </xdr:spPr>
    </xdr:pic>
    <xdr:clientData/>
  </xdr:twoCellAnchor>
  <xdr:twoCellAnchor>
    <xdr:from>
      <xdr:col>8</xdr:col>
      <xdr:colOff>6350</xdr:colOff>
      <xdr:row>2170</xdr:row>
      <xdr:rowOff>25400</xdr:rowOff>
    </xdr:from>
    <xdr:to>
      <xdr:col>8</xdr:col>
      <xdr:colOff>885190</xdr:colOff>
      <xdr:row>2170</xdr:row>
      <xdr:rowOff>1209040</xdr:rowOff>
    </xdr:to>
    <xdr:pic>
      <xdr:nvPicPr>
        <xdr:cNvPr id="5917" name="Изображение 5916" descr="resizeПП-00251427"/>
        <xdr:cNvPicPr>
          <a:picLocks noChangeAspect="1"/>
        </xdr:cNvPicPr>
      </xdr:nvPicPr>
      <xdr:blipFill>
        <a:blip xmlns:r="http://schemas.openxmlformats.org/officeDocument/2006/relationships" r:embed="rId1666"/>
        <a:stretch>
          <a:fillRect/>
        </a:stretch>
      </xdr:blipFill>
      <xdr:spPr>
        <a:xfrm>
          <a:off x="7264400" y="2162616325"/>
          <a:ext cx="878840" cy="1183640"/>
        </a:xfrm>
        <a:prstGeom prst="rect">
          <a:avLst/>
        </a:prstGeom>
      </xdr:spPr>
    </xdr:pic>
    <xdr:clientData/>
  </xdr:twoCellAnchor>
  <xdr:twoCellAnchor>
    <xdr:from>
      <xdr:col>8</xdr:col>
      <xdr:colOff>6350</xdr:colOff>
      <xdr:row>2172</xdr:row>
      <xdr:rowOff>25400</xdr:rowOff>
    </xdr:from>
    <xdr:to>
      <xdr:col>8</xdr:col>
      <xdr:colOff>885190</xdr:colOff>
      <xdr:row>2172</xdr:row>
      <xdr:rowOff>1209040</xdr:rowOff>
    </xdr:to>
    <xdr:pic>
      <xdr:nvPicPr>
        <xdr:cNvPr id="5918" name="Изображение 5917" descr="resizeПП-00271535"/>
        <xdr:cNvPicPr>
          <a:picLocks noChangeAspect="1"/>
        </xdr:cNvPicPr>
      </xdr:nvPicPr>
      <xdr:blipFill>
        <a:blip xmlns:r="http://schemas.openxmlformats.org/officeDocument/2006/relationships" r:embed="rId1667"/>
        <a:stretch>
          <a:fillRect/>
        </a:stretch>
      </xdr:blipFill>
      <xdr:spPr>
        <a:xfrm>
          <a:off x="7264400" y="2163991100"/>
          <a:ext cx="878840" cy="1183640"/>
        </a:xfrm>
        <a:prstGeom prst="rect">
          <a:avLst/>
        </a:prstGeom>
      </xdr:spPr>
    </xdr:pic>
    <xdr:clientData/>
  </xdr:twoCellAnchor>
  <xdr:twoCellAnchor>
    <xdr:from>
      <xdr:col>8</xdr:col>
      <xdr:colOff>6350</xdr:colOff>
      <xdr:row>2173</xdr:row>
      <xdr:rowOff>25400</xdr:rowOff>
    </xdr:from>
    <xdr:to>
      <xdr:col>8</xdr:col>
      <xdr:colOff>885190</xdr:colOff>
      <xdr:row>2173</xdr:row>
      <xdr:rowOff>1209040</xdr:rowOff>
    </xdr:to>
    <xdr:pic>
      <xdr:nvPicPr>
        <xdr:cNvPr id="5919" name="Изображение 5918" descr="resizeПП-00251431"/>
        <xdr:cNvPicPr>
          <a:picLocks noChangeAspect="1"/>
        </xdr:cNvPicPr>
      </xdr:nvPicPr>
      <xdr:blipFill>
        <a:blip xmlns:r="http://schemas.openxmlformats.org/officeDocument/2006/relationships" r:embed="rId1668"/>
        <a:stretch>
          <a:fillRect/>
        </a:stretch>
      </xdr:blipFill>
      <xdr:spPr>
        <a:xfrm>
          <a:off x="7264400" y="2165213475"/>
          <a:ext cx="878840" cy="1183640"/>
        </a:xfrm>
        <a:prstGeom prst="rect">
          <a:avLst/>
        </a:prstGeom>
      </xdr:spPr>
    </xdr:pic>
    <xdr:clientData/>
  </xdr:twoCellAnchor>
  <xdr:twoCellAnchor>
    <xdr:from>
      <xdr:col>8</xdr:col>
      <xdr:colOff>6350</xdr:colOff>
      <xdr:row>2174</xdr:row>
      <xdr:rowOff>25400</xdr:rowOff>
    </xdr:from>
    <xdr:to>
      <xdr:col>8</xdr:col>
      <xdr:colOff>885190</xdr:colOff>
      <xdr:row>2174</xdr:row>
      <xdr:rowOff>1209040</xdr:rowOff>
    </xdr:to>
    <xdr:pic>
      <xdr:nvPicPr>
        <xdr:cNvPr id="5920" name="Изображение 5919" descr="resizeПП-00227983"/>
        <xdr:cNvPicPr>
          <a:picLocks noChangeAspect="1"/>
        </xdr:cNvPicPr>
      </xdr:nvPicPr>
      <xdr:blipFill>
        <a:blip xmlns:r="http://schemas.openxmlformats.org/officeDocument/2006/relationships" r:embed="rId1669"/>
        <a:stretch>
          <a:fillRect/>
        </a:stretch>
      </xdr:blipFill>
      <xdr:spPr>
        <a:xfrm>
          <a:off x="7264400" y="2166435850"/>
          <a:ext cx="878840" cy="1183640"/>
        </a:xfrm>
        <a:prstGeom prst="rect">
          <a:avLst/>
        </a:prstGeom>
      </xdr:spPr>
    </xdr:pic>
    <xdr:clientData/>
  </xdr:twoCellAnchor>
  <xdr:twoCellAnchor>
    <xdr:from>
      <xdr:col>8</xdr:col>
      <xdr:colOff>6350</xdr:colOff>
      <xdr:row>2175</xdr:row>
      <xdr:rowOff>25400</xdr:rowOff>
    </xdr:from>
    <xdr:to>
      <xdr:col>8</xdr:col>
      <xdr:colOff>885190</xdr:colOff>
      <xdr:row>2175</xdr:row>
      <xdr:rowOff>1209040</xdr:rowOff>
    </xdr:to>
    <xdr:pic>
      <xdr:nvPicPr>
        <xdr:cNvPr id="5921" name="Изображение 5920" descr="resizeПП-00271536"/>
        <xdr:cNvPicPr>
          <a:picLocks noChangeAspect="1"/>
        </xdr:cNvPicPr>
      </xdr:nvPicPr>
      <xdr:blipFill>
        <a:blip xmlns:r="http://schemas.openxmlformats.org/officeDocument/2006/relationships" r:embed="rId1670"/>
        <a:stretch>
          <a:fillRect/>
        </a:stretch>
      </xdr:blipFill>
      <xdr:spPr>
        <a:xfrm>
          <a:off x="7264400" y="2167658225"/>
          <a:ext cx="878840" cy="1183640"/>
        </a:xfrm>
        <a:prstGeom prst="rect">
          <a:avLst/>
        </a:prstGeom>
      </xdr:spPr>
    </xdr:pic>
    <xdr:clientData/>
  </xdr:twoCellAnchor>
  <xdr:twoCellAnchor>
    <xdr:from>
      <xdr:col>8</xdr:col>
      <xdr:colOff>6350</xdr:colOff>
      <xdr:row>2176</xdr:row>
      <xdr:rowOff>25400</xdr:rowOff>
    </xdr:from>
    <xdr:to>
      <xdr:col>8</xdr:col>
      <xdr:colOff>885190</xdr:colOff>
      <xdr:row>2176</xdr:row>
      <xdr:rowOff>1209040</xdr:rowOff>
    </xdr:to>
    <xdr:pic>
      <xdr:nvPicPr>
        <xdr:cNvPr id="5922" name="Изображение 5921" descr="resizeПП-00227985"/>
        <xdr:cNvPicPr>
          <a:picLocks noChangeAspect="1"/>
        </xdr:cNvPicPr>
      </xdr:nvPicPr>
      <xdr:blipFill>
        <a:blip xmlns:r="http://schemas.openxmlformats.org/officeDocument/2006/relationships" r:embed="rId1671"/>
        <a:stretch>
          <a:fillRect/>
        </a:stretch>
      </xdr:blipFill>
      <xdr:spPr>
        <a:xfrm>
          <a:off x="7264400" y="2168880600"/>
          <a:ext cx="878840" cy="1183640"/>
        </a:xfrm>
        <a:prstGeom prst="rect">
          <a:avLst/>
        </a:prstGeom>
      </xdr:spPr>
    </xdr:pic>
    <xdr:clientData/>
  </xdr:twoCellAnchor>
  <xdr:twoCellAnchor>
    <xdr:from>
      <xdr:col>8</xdr:col>
      <xdr:colOff>6350</xdr:colOff>
      <xdr:row>2177</xdr:row>
      <xdr:rowOff>25400</xdr:rowOff>
    </xdr:from>
    <xdr:to>
      <xdr:col>8</xdr:col>
      <xdr:colOff>885190</xdr:colOff>
      <xdr:row>2177</xdr:row>
      <xdr:rowOff>1209040</xdr:rowOff>
    </xdr:to>
    <xdr:pic>
      <xdr:nvPicPr>
        <xdr:cNvPr id="5923" name="Изображение 5922" descr="resizeПП-00271533"/>
        <xdr:cNvPicPr>
          <a:picLocks noChangeAspect="1"/>
        </xdr:cNvPicPr>
      </xdr:nvPicPr>
      <xdr:blipFill>
        <a:blip xmlns:r="http://schemas.openxmlformats.org/officeDocument/2006/relationships" r:embed="rId1672"/>
        <a:stretch>
          <a:fillRect/>
        </a:stretch>
      </xdr:blipFill>
      <xdr:spPr>
        <a:xfrm>
          <a:off x="7264400" y="2170102975"/>
          <a:ext cx="878840" cy="1183640"/>
        </a:xfrm>
        <a:prstGeom prst="rect">
          <a:avLst/>
        </a:prstGeom>
      </xdr:spPr>
    </xdr:pic>
    <xdr:clientData/>
  </xdr:twoCellAnchor>
  <xdr:twoCellAnchor>
    <xdr:from>
      <xdr:col>8</xdr:col>
      <xdr:colOff>6350</xdr:colOff>
      <xdr:row>2178</xdr:row>
      <xdr:rowOff>25400</xdr:rowOff>
    </xdr:from>
    <xdr:to>
      <xdr:col>8</xdr:col>
      <xdr:colOff>885190</xdr:colOff>
      <xdr:row>2178</xdr:row>
      <xdr:rowOff>1209040</xdr:rowOff>
    </xdr:to>
    <xdr:pic>
      <xdr:nvPicPr>
        <xdr:cNvPr id="5924" name="Изображение 5923" descr="resizeПП-00251433"/>
        <xdr:cNvPicPr>
          <a:picLocks noChangeAspect="1"/>
        </xdr:cNvPicPr>
      </xdr:nvPicPr>
      <xdr:blipFill>
        <a:blip xmlns:r="http://schemas.openxmlformats.org/officeDocument/2006/relationships" r:embed="rId1673"/>
        <a:stretch>
          <a:fillRect/>
        </a:stretch>
      </xdr:blipFill>
      <xdr:spPr>
        <a:xfrm>
          <a:off x="7264400" y="2171325350"/>
          <a:ext cx="878840" cy="1183640"/>
        </a:xfrm>
        <a:prstGeom prst="rect">
          <a:avLst/>
        </a:prstGeom>
      </xdr:spPr>
    </xdr:pic>
    <xdr:clientData/>
  </xdr:twoCellAnchor>
  <xdr:twoCellAnchor>
    <xdr:from>
      <xdr:col>8</xdr:col>
      <xdr:colOff>6350</xdr:colOff>
      <xdr:row>2179</xdr:row>
      <xdr:rowOff>25400</xdr:rowOff>
    </xdr:from>
    <xdr:to>
      <xdr:col>8</xdr:col>
      <xdr:colOff>885190</xdr:colOff>
      <xdr:row>2179</xdr:row>
      <xdr:rowOff>1209040</xdr:rowOff>
    </xdr:to>
    <xdr:pic>
      <xdr:nvPicPr>
        <xdr:cNvPr id="5925" name="Изображение 5924" descr="resizeПП-00271537"/>
        <xdr:cNvPicPr>
          <a:picLocks noChangeAspect="1"/>
        </xdr:cNvPicPr>
      </xdr:nvPicPr>
      <xdr:blipFill>
        <a:blip xmlns:r="http://schemas.openxmlformats.org/officeDocument/2006/relationships" r:embed="rId1674"/>
        <a:stretch>
          <a:fillRect/>
        </a:stretch>
      </xdr:blipFill>
      <xdr:spPr>
        <a:xfrm>
          <a:off x="7264400" y="2172547725"/>
          <a:ext cx="878840" cy="1183640"/>
        </a:xfrm>
        <a:prstGeom prst="rect">
          <a:avLst/>
        </a:prstGeom>
      </xdr:spPr>
    </xdr:pic>
    <xdr:clientData/>
  </xdr:twoCellAnchor>
  <xdr:twoCellAnchor>
    <xdr:from>
      <xdr:col>8</xdr:col>
      <xdr:colOff>6350</xdr:colOff>
      <xdr:row>2180</xdr:row>
      <xdr:rowOff>25400</xdr:rowOff>
    </xdr:from>
    <xdr:to>
      <xdr:col>8</xdr:col>
      <xdr:colOff>885190</xdr:colOff>
      <xdr:row>2180</xdr:row>
      <xdr:rowOff>1209040</xdr:rowOff>
    </xdr:to>
    <xdr:pic>
      <xdr:nvPicPr>
        <xdr:cNvPr id="5926" name="Изображение 5925" descr="resizeПП-00251432"/>
        <xdr:cNvPicPr>
          <a:picLocks noChangeAspect="1"/>
        </xdr:cNvPicPr>
      </xdr:nvPicPr>
      <xdr:blipFill>
        <a:blip xmlns:r="http://schemas.openxmlformats.org/officeDocument/2006/relationships" r:embed="rId1675"/>
        <a:stretch>
          <a:fillRect/>
        </a:stretch>
      </xdr:blipFill>
      <xdr:spPr>
        <a:xfrm>
          <a:off x="7264400" y="2173770100"/>
          <a:ext cx="878840" cy="1183640"/>
        </a:xfrm>
        <a:prstGeom prst="rect">
          <a:avLst/>
        </a:prstGeom>
      </xdr:spPr>
    </xdr:pic>
    <xdr:clientData/>
  </xdr:twoCellAnchor>
  <xdr:twoCellAnchor>
    <xdr:from>
      <xdr:col>8</xdr:col>
      <xdr:colOff>6350</xdr:colOff>
      <xdr:row>2181</xdr:row>
      <xdr:rowOff>25400</xdr:rowOff>
    </xdr:from>
    <xdr:to>
      <xdr:col>8</xdr:col>
      <xdr:colOff>885190</xdr:colOff>
      <xdr:row>2181</xdr:row>
      <xdr:rowOff>1209040</xdr:rowOff>
    </xdr:to>
    <xdr:pic>
      <xdr:nvPicPr>
        <xdr:cNvPr id="5927" name="Изображение 5926" descr="resizeПП-00251430"/>
        <xdr:cNvPicPr>
          <a:picLocks noChangeAspect="1"/>
        </xdr:cNvPicPr>
      </xdr:nvPicPr>
      <xdr:blipFill>
        <a:blip xmlns:r="http://schemas.openxmlformats.org/officeDocument/2006/relationships" r:embed="rId1676"/>
        <a:stretch>
          <a:fillRect/>
        </a:stretch>
      </xdr:blipFill>
      <xdr:spPr>
        <a:xfrm>
          <a:off x="7264400" y="2174992475"/>
          <a:ext cx="878840" cy="1183640"/>
        </a:xfrm>
        <a:prstGeom prst="rect">
          <a:avLst/>
        </a:prstGeom>
      </xdr:spPr>
    </xdr:pic>
    <xdr:clientData/>
  </xdr:twoCellAnchor>
  <xdr:twoCellAnchor>
    <xdr:from>
      <xdr:col>8</xdr:col>
      <xdr:colOff>6350</xdr:colOff>
      <xdr:row>2183</xdr:row>
      <xdr:rowOff>25400</xdr:rowOff>
    </xdr:from>
    <xdr:to>
      <xdr:col>8</xdr:col>
      <xdr:colOff>885190</xdr:colOff>
      <xdr:row>2183</xdr:row>
      <xdr:rowOff>1209040</xdr:rowOff>
    </xdr:to>
    <xdr:pic>
      <xdr:nvPicPr>
        <xdr:cNvPr id="5928" name="Изображение 5927" descr="resizeПП-00251436"/>
        <xdr:cNvPicPr>
          <a:picLocks noChangeAspect="1"/>
        </xdr:cNvPicPr>
      </xdr:nvPicPr>
      <xdr:blipFill>
        <a:blip xmlns:r="http://schemas.openxmlformats.org/officeDocument/2006/relationships" r:embed="rId1677"/>
        <a:stretch>
          <a:fillRect/>
        </a:stretch>
      </xdr:blipFill>
      <xdr:spPr>
        <a:xfrm>
          <a:off x="7264400" y="2176367250"/>
          <a:ext cx="878840" cy="1183640"/>
        </a:xfrm>
        <a:prstGeom prst="rect">
          <a:avLst/>
        </a:prstGeom>
      </xdr:spPr>
    </xdr:pic>
    <xdr:clientData/>
  </xdr:twoCellAnchor>
  <xdr:twoCellAnchor>
    <xdr:from>
      <xdr:col>8</xdr:col>
      <xdr:colOff>6350</xdr:colOff>
      <xdr:row>2184</xdr:row>
      <xdr:rowOff>25400</xdr:rowOff>
    </xdr:from>
    <xdr:to>
      <xdr:col>8</xdr:col>
      <xdr:colOff>885190</xdr:colOff>
      <xdr:row>2184</xdr:row>
      <xdr:rowOff>1209040</xdr:rowOff>
    </xdr:to>
    <xdr:pic>
      <xdr:nvPicPr>
        <xdr:cNvPr id="5929" name="Изображение 5928" descr="resizeПП-00228287"/>
        <xdr:cNvPicPr>
          <a:picLocks noChangeAspect="1"/>
        </xdr:cNvPicPr>
      </xdr:nvPicPr>
      <xdr:blipFill>
        <a:blip xmlns:r="http://schemas.openxmlformats.org/officeDocument/2006/relationships" r:embed="rId1678"/>
        <a:stretch>
          <a:fillRect/>
        </a:stretch>
      </xdr:blipFill>
      <xdr:spPr>
        <a:xfrm>
          <a:off x="7264400" y="2177589625"/>
          <a:ext cx="878840" cy="1183640"/>
        </a:xfrm>
        <a:prstGeom prst="rect">
          <a:avLst/>
        </a:prstGeom>
      </xdr:spPr>
    </xdr:pic>
    <xdr:clientData/>
  </xdr:twoCellAnchor>
  <xdr:twoCellAnchor>
    <xdr:from>
      <xdr:col>8</xdr:col>
      <xdr:colOff>6350</xdr:colOff>
      <xdr:row>2185</xdr:row>
      <xdr:rowOff>25400</xdr:rowOff>
    </xdr:from>
    <xdr:to>
      <xdr:col>8</xdr:col>
      <xdr:colOff>885190</xdr:colOff>
      <xdr:row>2185</xdr:row>
      <xdr:rowOff>1209040</xdr:rowOff>
    </xdr:to>
    <xdr:pic>
      <xdr:nvPicPr>
        <xdr:cNvPr id="5930" name="Изображение 5929" descr="resizeПП-00251435"/>
        <xdr:cNvPicPr>
          <a:picLocks noChangeAspect="1"/>
        </xdr:cNvPicPr>
      </xdr:nvPicPr>
      <xdr:blipFill>
        <a:blip xmlns:r="http://schemas.openxmlformats.org/officeDocument/2006/relationships" r:embed="rId1679"/>
        <a:stretch>
          <a:fillRect/>
        </a:stretch>
      </xdr:blipFill>
      <xdr:spPr>
        <a:xfrm>
          <a:off x="7264400" y="2178812000"/>
          <a:ext cx="878840" cy="1183640"/>
        </a:xfrm>
        <a:prstGeom prst="rect">
          <a:avLst/>
        </a:prstGeom>
      </xdr:spPr>
    </xdr:pic>
    <xdr:clientData/>
  </xdr:twoCellAnchor>
  <xdr:twoCellAnchor>
    <xdr:from>
      <xdr:col>8</xdr:col>
      <xdr:colOff>6350</xdr:colOff>
      <xdr:row>2187</xdr:row>
      <xdr:rowOff>25400</xdr:rowOff>
    </xdr:from>
    <xdr:to>
      <xdr:col>8</xdr:col>
      <xdr:colOff>897890</xdr:colOff>
      <xdr:row>2187</xdr:row>
      <xdr:rowOff>1209040</xdr:rowOff>
    </xdr:to>
    <xdr:pic>
      <xdr:nvPicPr>
        <xdr:cNvPr id="5931" name="Изображение 5930" descr="resizeПП-00104267"/>
        <xdr:cNvPicPr>
          <a:picLocks noChangeAspect="1"/>
        </xdr:cNvPicPr>
      </xdr:nvPicPr>
      <xdr:blipFill>
        <a:blip xmlns:r="http://schemas.openxmlformats.org/officeDocument/2006/relationships" r:embed="rId1680"/>
        <a:stretch>
          <a:fillRect/>
        </a:stretch>
      </xdr:blipFill>
      <xdr:spPr>
        <a:xfrm>
          <a:off x="7264400" y="2180186775"/>
          <a:ext cx="891540" cy="1183640"/>
        </a:xfrm>
        <a:prstGeom prst="rect">
          <a:avLst/>
        </a:prstGeom>
      </xdr:spPr>
    </xdr:pic>
    <xdr:clientData/>
  </xdr:twoCellAnchor>
  <xdr:twoCellAnchor>
    <xdr:from>
      <xdr:col>8</xdr:col>
      <xdr:colOff>6350</xdr:colOff>
      <xdr:row>2190</xdr:row>
      <xdr:rowOff>25400</xdr:rowOff>
    </xdr:from>
    <xdr:to>
      <xdr:col>8</xdr:col>
      <xdr:colOff>885190</xdr:colOff>
      <xdr:row>2190</xdr:row>
      <xdr:rowOff>1209040</xdr:rowOff>
    </xdr:to>
    <xdr:pic>
      <xdr:nvPicPr>
        <xdr:cNvPr id="5932" name="Изображение 5931" descr="resizeПП-00276580"/>
        <xdr:cNvPicPr>
          <a:picLocks noChangeAspect="1"/>
        </xdr:cNvPicPr>
      </xdr:nvPicPr>
      <xdr:blipFill>
        <a:blip xmlns:r="http://schemas.openxmlformats.org/officeDocument/2006/relationships" r:embed="rId1681"/>
        <a:stretch>
          <a:fillRect/>
        </a:stretch>
      </xdr:blipFill>
      <xdr:spPr>
        <a:xfrm>
          <a:off x="7264400" y="2181713950"/>
          <a:ext cx="878840" cy="1183640"/>
        </a:xfrm>
        <a:prstGeom prst="rect">
          <a:avLst/>
        </a:prstGeom>
      </xdr:spPr>
    </xdr:pic>
    <xdr:clientData/>
  </xdr:twoCellAnchor>
  <xdr:twoCellAnchor>
    <xdr:from>
      <xdr:col>8</xdr:col>
      <xdr:colOff>6350</xdr:colOff>
      <xdr:row>2191</xdr:row>
      <xdr:rowOff>25400</xdr:rowOff>
    </xdr:from>
    <xdr:to>
      <xdr:col>8</xdr:col>
      <xdr:colOff>885190</xdr:colOff>
      <xdr:row>2191</xdr:row>
      <xdr:rowOff>1209040</xdr:rowOff>
    </xdr:to>
    <xdr:pic>
      <xdr:nvPicPr>
        <xdr:cNvPr id="5933" name="Изображение 5932" descr="resizeПП-00201752"/>
        <xdr:cNvPicPr>
          <a:picLocks noChangeAspect="1"/>
        </xdr:cNvPicPr>
      </xdr:nvPicPr>
      <xdr:blipFill>
        <a:blip xmlns:r="http://schemas.openxmlformats.org/officeDocument/2006/relationships" r:embed="rId1682"/>
        <a:stretch>
          <a:fillRect/>
        </a:stretch>
      </xdr:blipFill>
      <xdr:spPr>
        <a:xfrm>
          <a:off x="7264400" y="2182936325"/>
          <a:ext cx="878840" cy="1183640"/>
        </a:xfrm>
        <a:prstGeom prst="rect">
          <a:avLst/>
        </a:prstGeom>
      </xdr:spPr>
    </xdr:pic>
    <xdr:clientData/>
  </xdr:twoCellAnchor>
  <xdr:twoCellAnchor>
    <xdr:from>
      <xdr:col>8</xdr:col>
      <xdr:colOff>6350</xdr:colOff>
      <xdr:row>2192</xdr:row>
      <xdr:rowOff>25400</xdr:rowOff>
    </xdr:from>
    <xdr:to>
      <xdr:col>8</xdr:col>
      <xdr:colOff>885190</xdr:colOff>
      <xdr:row>2192</xdr:row>
      <xdr:rowOff>1209040</xdr:rowOff>
    </xdr:to>
    <xdr:pic>
      <xdr:nvPicPr>
        <xdr:cNvPr id="5934" name="Изображение 5933" descr="resizeПП-00203470"/>
        <xdr:cNvPicPr>
          <a:picLocks noChangeAspect="1"/>
        </xdr:cNvPicPr>
      </xdr:nvPicPr>
      <xdr:blipFill>
        <a:blip xmlns:r="http://schemas.openxmlformats.org/officeDocument/2006/relationships" r:embed="rId1683"/>
        <a:stretch>
          <a:fillRect/>
        </a:stretch>
      </xdr:blipFill>
      <xdr:spPr>
        <a:xfrm>
          <a:off x="7264400" y="2184158700"/>
          <a:ext cx="878840" cy="1183640"/>
        </a:xfrm>
        <a:prstGeom prst="rect">
          <a:avLst/>
        </a:prstGeom>
      </xdr:spPr>
    </xdr:pic>
    <xdr:clientData/>
  </xdr:twoCellAnchor>
  <xdr:twoCellAnchor>
    <xdr:from>
      <xdr:col>8</xdr:col>
      <xdr:colOff>6350</xdr:colOff>
      <xdr:row>2193</xdr:row>
      <xdr:rowOff>25400</xdr:rowOff>
    </xdr:from>
    <xdr:to>
      <xdr:col>8</xdr:col>
      <xdr:colOff>885190</xdr:colOff>
      <xdr:row>2193</xdr:row>
      <xdr:rowOff>1209040</xdr:rowOff>
    </xdr:to>
    <xdr:pic>
      <xdr:nvPicPr>
        <xdr:cNvPr id="5935" name="Изображение 5934" descr="resizeПП-00203564"/>
        <xdr:cNvPicPr>
          <a:picLocks noChangeAspect="1"/>
        </xdr:cNvPicPr>
      </xdr:nvPicPr>
      <xdr:blipFill>
        <a:blip xmlns:r="http://schemas.openxmlformats.org/officeDocument/2006/relationships" r:embed="rId1684"/>
        <a:stretch>
          <a:fillRect/>
        </a:stretch>
      </xdr:blipFill>
      <xdr:spPr>
        <a:xfrm>
          <a:off x="7264400" y="2185381075"/>
          <a:ext cx="878840" cy="1183640"/>
        </a:xfrm>
        <a:prstGeom prst="rect">
          <a:avLst/>
        </a:prstGeom>
      </xdr:spPr>
    </xdr:pic>
    <xdr:clientData/>
  </xdr:twoCellAnchor>
  <xdr:twoCellAnchor>
    <xdr:from>
      <xdr:col>8</xdr:col>
      <xdr:colOff>6350</xdr:colOff>
      <xdr:row>2195</xdr:row>
      <xdr:rowOff>25400</xdr:rowOff>
    </xdr:from>
    <xdr:to>
      <xdr:col>8</xdr:col>
      <xdr:colOff>885190</xdr:colOff>
      <xdr:row>2195</xdr:row>
      <xdr:rowOff>1209040</xdr:rowOff>
    </xdr:to>
    <xdr:pic>
      <xdr:nvPicPr>
        <xdr:cNvPr id="5936" name="Изображение 5935" descr="resizeПП-00203379"/>
        <xdr:cNvPicPr>
          <a:picLocks noChangeAspect="1"/>
        </xdr:cNvPicPr>
      </xdr:nvPicPr>
      <xdr:blipFill>
        <a:blip xmlns:r="http://schemas.openxmlformats.org/officeDocument/2006/relationships" r:embed="rId1685"/>
        <a:stretch>
          <a:fillRect/>
        </a:stretch>
      </xdr:blipFill>
      <xdr:spPr>
        <a:xfrm>
          <a:off x="7264400" y="2186755850"/>
          <a:ext cx="878840" cy="1183640"/>
        </a:xfrm>
        <a:prstGeom prst="rect">
          <a:avLst/>
        </a:prstGeom>
      </xdr:spPr>
    </xdr:pic>
    <xdr:clientData/>
  </xdr:twoCellAnchor>
  <xdr:twoCellAnchor>
    <xdr:from>
      <xdr:col>8</xdr:col>
      <xdr:colOff>6350</xdr:colOff>
      <xdr:row>2196</xdr:row>
      <xdr:rowOff>25400</xdr:rowOff>
    </xdr:from>
    <xdr:to>
      <xdr:col>8</xdr:col>
      <xdr:colOff>885190</xdr:colOff>
      <xdr:row>2196</xdr:row>
      <xdr:rowOff>1209040</xdr:rowOff>
    </xdr:to>
    <xdr:pic>
      <xdr:nvPicPr>
        <xdr:cNvPr id="5937" name="Изображение 5936" descr="resizeПП-00203378"/>
        <xdr:cNvPicPr>
          <a:picLocks noChangeAspect="1"/>
        </xdr:cNvPicPr>
      </xdr:nvPicPr>
      <xdr:blipFill>
        <a:blip xmlns:r="http://schemas.openxmlformats.org/officeDocument/2006/relationships" r:embed="rId1686"/>
        <a:stretch>
          <a:fillRect/>
        </a:stretch>
      </xdr:blipFill>
      <xdr:spPr>
        <a:xfrm>
          <a:off x="7264400" y="2187978225"/>
          <a:ext cx="878840" cy="1183640"/>
        </a:xfrm>
        <a:prstGeom prst="rect">
          <a:avLst/>
        </a:prstGeom>
      </xdr:spPr>
    </xdr:pic>
    <xdr:clientData/>
  </xdr:twoCellAnchor>
  <xdr:twoCellAnchor>
    <xdr:from>
      <xdr:col>8</xdr:col>
      <xdr:colOff>6350</xdr:colOff>
      <xdr:row>2197</xdr:row>
      <xdr:rowOff>25400</xdr:rowOff>
    </xdr:from>
    <xdr:to>
      <xdr:col>8</xdr:col>
      <xdr:colOff>885190</xdr:colOff>
      <xdr:row>2197</xdr:row>
      <xdr:rowOff>1209040</xdr:rowOff>
    </xdr:to>
    <xdr:pic>
      <xdr:nvPicPr>
        <xdr:cNvPr id="5938" name="Изображение 5937" descr="resizeПП-00276584"/>
        <xdr:cNvPicPr>
          <a:picLocks noChangeAspect="1"/>
        </xdr:cNvPicPr>
      </xdr:nvPicPr>
      <xdr:blipFill>
        <a:blip xmlns:r="http://schemas.openxmlformats.org/officeDocument/2006/relationships" r:embed="rId1687"/>
        <a:stretch>
          <a:fillRect/>
        </a:stretch>
      </xdr:blipFill>
      <xdr:spPr>
        <a:xfrm>
          <a:off x="7264400" y="2189200600"/>
          <a:ext cx="878840" cy="1183640"/>
        </a:xfrm>
        <a:prstGeom prst="rect">
          <a:avLst/>
        </a:prstGeom>
      </xdr:spPr>
    </xdr:pic>
    <xdr:clientData/>
  </xdr:twoCellAnchor>
  <xdr:twoCellAnchor>
    <xdr:from>
      <xdr:col>8</xdr:col>
      <xdr:colOff>6350</xdr:colOff>
      <xdr:row>2198</xdr:row>
      <xdr:rowOff>25400</xdr:rowOff>
    </xdr:from>
    <xdr:to>
      <xdr:col>8</xdr:col>
      <xdr:colOff>885190</xdr:colOff>
      <xdr:row>2198</xdr:row>
      <xdr:rowOff>1209040</xdr:rowOff>
    </xdr:to>
    <xdr:pic>
      <xdr:nvPicPr>
        <xdr:cNvPr id="5939" name="Изображение 5938" descr="resizeПП-00276581"/>
        <xdr:cNvPicPr>
          <a:picLocks noChangeAspect="1"/>
        </xdr:cNvPicPr>
      </xdr:nvPicPr>
      <xdr:blipFill>
        <a:blip xmlns:r="http://schemas.openxmlformats.org/officeDocument/2006/relationships" r:embed="rId1688"/>
        <a:stretch>
          <a:fillRect/>
        </a:stretch>
      </xdr:blipFill>
      <xdr:spPr>
        <a:xfrm>
          <a:off x="7264400" y="2190422975"/>
          <a:ext cx="878840" cy="1183640"/>
        </a:xfrm>
        <a:prstGeom prst="rect">
          <a:avLst/>
        </a:prstGeom>
      </xdr:spPr>
    </xdr:pic>
    <xdr:clientData/>
  </xdr:twoCellAnchor>
  <xdr:twoCellAnchor>
    <xdr:from>
      <xdr:col>8</xdr:col>
      <xdr:colOff>6350</xdr:colOff>
      <xdr:row>2199</xdr:row>
      <xdr:rowOff>25400</xdr:rowOff>
    </xdr:from>
    <xdr:to>
      <xdr:col>8</xdr:col>
      <xdr:colOff>885190</xdr:colOff>
      <xdr:row>2199</xdr:row>
      <xdr:rowOff>1209040</xdr:rowOff>
    </xdr:to>
    <xdr:pic>
      <xdr:nvPicPr>
        <xdr:cNvPr id="5940" name="Изображение 5939" descr="resizeПП-00276583"/>
        <xdr:cNvPicPr>
          <a:picLocks noChangeAspect="1"/>
        </xdr:cNvPicPr>
      </xdr:nvPicPr>
      <xdr:blipFill>
        <a:blip xmlns:r="http://schemas.openxmlformats.org/officeDocument/2006/relationships" r:embed="rId1689"/>
        <a:stretch>
          <a:fillRect/>
        </a:stretch>
      </xdr:blipFill>
      <xdr:spPr>
        <a:xfrm>
          <a:off x="7264400" y="2191645350"/>
          <a:ext cx="878840" cy="1183640"/>
        </a:xfrm>
        <a:prstGeom prst="rect">
          <a:avLst/>
        </a:prstGeom>
      </xdr:spPr>
    </xdr:pic>
    <xdr:clientData/>
  </xdr:twoCellAnchor>
  <xdr:twoCellAnchor>
    <xdr:from>
      <xdr:col>8</xdr:col>
      <xdr:colOff>6350</xdr:colOff>
      <xdr:row>2200</xdr:row>
      <xdr:rowOff>25400</xdr:rowOff>
    </xdr:from>
    <xdr:to>
      <xdr:col>8</xdr:col>
      <xdr:colOff>885190</xdr:colOff>
      <xdr:row>2200</xdr:row>
      <xdr:rowOff>1209040</xdr:rowOff>
    </xdr:to>
    <xdr:pic>
      <xdr:nvPicPr>
        <xdr:cNvPr id="5941" name="Изображение 5940" descr="resizeПП-00276585"/>
        <xdr:cNvPicPr>
          <a:picLocks noChangeAspect="1"/>
        </xdr:cNvPicPr>
      </xdr:nvPicPr>
      <xdr:blipFill>
        <a:blip xmlns:r="http://schemas.openxmlformats.org/officeDocument/2006/relationships" r:embed="rId1690"/>
        <a:stretch>
          <a:fillRect/>
        </a:stretch>
      </xdr:blipFill>
      <xdr:spPr>
        <a:xfrm>
          <a:off x="7264400" y="2192867725"/>
          <a:ext cx="878840" cy="1183640"/>
        </a:xfrm>
        <a:prstGeom prst="rect">
          <a:avLst/>
        </a:prstGeom>
      </xdr:spPr>
    </xdr:pic>
    <xdr:clientData/>
  </xdr:twoCellAnchor>
  <xdr:twoCellAnchor>
    <xdr:from>
      <xdr:col>8</xdr:col>
      <xdr:colOff>6350</xdr:colOff>
      <xdr:row>2201</xdr:row>
      <xdr:rowOff>25400</xdr:rowOff>
    </xdr:from>
    <xdr:to>
      <xdr:col>8</xdr:col>
      <xdr:colOff>885190</xdr:colOff>
      <xdr:row>2201</xdr:row>
      <xdr:rowOff>1209040</xdr:rowOff>
    </xdr:to>
    <xdr:pic>
      <xdr:nvPicPr>
        <xdr:cNvPr id="5942" name="Изображение 5941" descr="resizeПП-00203471"/>
        <xdr:cNvPicPr>
          <a:picLocks noChangeAspect="1"/>
        </xdr:cNvPicPr>
      </xdr:nvPicPr>
      <xdr:blipFill>
        <a:blip xmlns:r="http://schemas.openxmlformats.org/officeDocument/2006/relationships" r:embed="rId1691"/>
        <a:stretch>
          <a:fillRect/>
        </a:stretch>
      </xdr:blipFill>
      <xdr:spPr>
        <a:xfrm>
          <a:off x="7264400" y="2194090100"/>
          <a:ext cx="878840" cy="1183640"/>
        </a:xfrm>
        <a:prstGeom prst="rect">
          <a:avLst/>
        </a:prstGeom>
      </xdr:spPr>
    </xdr:pic>
    <xdr:clientData/>
  </xdr:twoCellAnchor>
  <xdr:twoCellAnchor>
    <xdr:from>
      <xdr:col>8</xdr:col>
      <xdr:colOff>6350</xdr:colOff>
      <xdr:row>2202</xdr:row>
      <xdr:rowOff>25400</xdr:rowOff>
    </xdr:from>
    <xdr:to>
      <xdr:col>8</xdr:col>
      <xdr:colOff>885190</xdr:colOff>
      <xdr:row>2202</xdr:row>
      <xdr:rowOff>1209040</xdr:rowOff>
    </xdr:to>
    <xdr:pic>
      <xdr:nvPicPr>
        <xdr:cNvPr id="5943" name="Изображение 5942" descr="resizeПП-00276586"/>
        <xdr:cNvPicPr>
          <a:picLocks noChangeAspect="1"/>
        </xdr:cNvPicPr>
      </xdr:nvPicPr>
      <xdr:blipFill>
        <a:blip xmlns:r="http://schemas.openxmlformats.org/officeDocument/2006/relationships" r:embed="rId1692"/>
        <a:stretch>
          <a:fillRect/>
        </a:stretch>
      </xdr:blipFill>
      <xdr:spPr>
        <a:xfrm>
          <a:off x="7264400" y="2195312475"/>
          <a:ext cx="878840" cy="1183640"/>
        </a:xfrm>
        <a:prstGeom prst="rect">
          <a:avLst/>
        </a:prstGeom>
      </xdr:spPr>
    </xdr:pic>
    <xdr:clientData/>
  </xdr:twoCellAnchor>
  <xdr:twoCellAnchor>
    <xdr:from>
      <xdr:col>8</xdr:col>
      <xdr:colOff>6350</xdr:colOff>
      <xdr:row>2203</xdr:row>
      <xdr:rowOff>25400</xdr:rowOff>
    </xdr:from>
    <xdr:to>
      <xdr:col>8</xdr:col>
      <xdr:colOff>885190</xdr:colOff>
      <xdr:row>2203</xdr:row>
      <xdr:rowOff>1209040</xdr:rowOff>
    </xdr:to>
    <xdr:pic>
      <xdr:nvPicPr>
        <xdr:cNvPr id="5944" name="Изображение 5943" descr="resizeПП-00276582"/>
        <xdr:cNvPicPr>
          <a:picLocks noChangeAspect="1"/>
        </xdr:cNvPicPr>
      </xdr:nvPicPr>
      <xdr:blipFill>
        <a:blip xmlns:r="http://schemas.openxmlformats.org/officeDocument/2006/relationships" r:embed="rId1693"/>
        <a:stretch>
          <a:fillRect/>
        </a:stretch>
      </xdr:blipFill>
      <xdr:spPr>
        <a:xfrm>
          <a:off x="7264400" y="2196534850"/>
          <a:ext cx="878840" cy="1183640"/>
        </a:xfrm>
        <a:prstGeom prst="rect">
          <a:avLst/>
        </a:prstGeom>
      </xdr:spPr>
    </xdr:pic>
    <xdr:clientData/>
  </xdr:twoCellAnchor>
  <xdr:twoCellAnchor>
    <xdr:from>
      <xdr:col>8</xdr:col>
      <xdr:colOff>6350</xdr:colOff>
      <xdr:row>2204</xdr:row>
      <xdr:rowOff>25400</xdr:rowOff>
    </xdr:from>
    <xdr:to>
      <xdr:col>8</xdr:col>
      <xdr:colOff>885190</xdr:colOff>
      <xdr:row>2204</xdr:row>
      <xdr:rowOff>1209040</xdr:rowOff>
    </xdr:to>
    <xdr:pic>
      <xdr:nvPicPr>
        <xdr:cNvPr id="5945" name="Изображение 5944" descr="resizeПП-00201751"/>
        <xdr:cNvPicPr>
          <a:picLocks noChangeAspect="1"/>
        </xdr:cNvPicPr>
      </xdr:nvPicPr>
      <xdr:blipFill>
        <a:blip xmlns:r="http://schemas.openxmlformats.org/officeDocument/2006/relationships" r:embed="rId1694"/>
        <a:stretch>
          <a:fillRect/>
        </a:stretch>
      </xdr:blipFill>
      <xdr:spPr>
        <a:xfrm>
          <a:off x="7264400" y="2197757225"/>
          <a:ext cx="878840" cy="1183640"/>
        </a:xfrm>
        <a:prstGeom prst="rect">
          <a:avLst/>
        </a:prstGeom>
      </xdr:spPr>
    </xdr:pic>
    <xdr:clientData/>
  </xdr:twoCellAnchor>
  <xdr:twoCellAnchor>
    <xdr:from>
      <xdr:col>8</xdr:col>
      <xdr:colOff>6350</xdr:colOff>
      <xdr:row>2206</xdr:row>
      <xdr:rowOff>25400</xdr:rowOff>
    </xdr:from>
    <xdr:to>
      <xdr:col>8</xdr:col>
      <xdr:colOff>885190</xdr:colOff>
      <xdr:row>2206</xdr:row>
      <xdr:rowOff>1209040</xdr:rowOff>
    </xdr:to>
    <xdr:pic>
      <xdr:nvPicPr>
        <xdr:cNvPr id="5946" name="Изображение 5945" descr="resizeПП-00187652"/>
        <xdr:cNvPicPr>
          <a:picLocks noChangeAspect="1"/>
        </xdr:cNvPicPr>
      </xdr:nvPicPr>
      <xdr:blipFill>
        <a:blip xmlns:r="http://schemas.openxmlformats.org/officeDocument/2006/relationships" r:embed="rId1695"/>
        <a:stretch>
          <a:fillRect/>
        </a:stretch>
      </xdr:blipFill>
      <xdr:spPr>
        <a:xfrm>
          <a:off x="7264400" y="2199132000"/>
          <a:ext cx="878840" cy="1183640"/>
        </a:xfrm>
        <a:prstGeom prst="rect">
          <a:avLst/>
        </a:prstGeom>
      </xdr:spPr>
    </xdr:pic>
    <xdr:clientData/>
  </xdr:twoCellAnchor>
  <xdr:twoCellAnchor>
    <xdr:from>
      <xdr:col>8</xdr:col>
      <xdr:colOff>6350</xdr:colOff>
      <xdr:row>2209</xdr:row>
      <xdr:rowOff>25400</xdr:rowOff>
    </xdr:from>
    <xdr:to>
      <xdr:col>8</xdr:col>
      <xdr:colOff>885190</xdr:colOff>
      <xdr:row>2209</xdr:row>
      <xdr:rowOff>1209040</xdr:rowOff>
    </xdr:to>
    <xdr:pic>
      <xdr:nvPicPr>
        <xdr:cNvPr id="5947" name="Изображение 5946" descr="resizeПП-00186902"/>
        <xdr:cNvPicPr>
          <a:picLocks noChangeAspect="1"/>
        </xdr:cNvPicPr>
      </xdr:nvPicPr>
      <xdr:blipFill>
        <a:blip xmlns:r="http://schemas.openxmlformats.org/officeDocument/2006/relationships" r:embed="rId1696"/>
        <a:stretch>
          <a:fillRect/>
        </a:stretch>
      </xdr:blipFill>
      <xdr:spPr>
        <a:xfrm>
          <a:off x="7264400" y="2200659175"/>
          <a:ext cx="878840" cy="1183640"/>
        </a:xfrm>
        <a:prstGeom prst="rect">
          <a:avLst/>
        </a:prstGeom>
      </xdr:spPr>
    </xdr:pic>
    <xdr:clientData/>
  </xdr:twoCellAnchor>
  <xdr:twoCellAnchor>
    <xdr:from>
      <xdr:col>8</xdr:col>
      <xdr:colOff>6350</xdr:colOff>
      <xdr:row>2210</xdr:row>
      <xdr:rowOff>25400</xdr:rowOff>
    </xdr:from>
    <xdr:to>
      <xdr:col>8</xdr:col>
      <xdr:colOff>885190</xdr:colOff>
      <xdr:row>2210</xdr:row>
      <xdr:rowOff>1209040</xdr:rowOff>
    </xdr:to>
    <xdr:pic>
      <xdr:nvPicPr>
        <xdr:cNvPr id="5948" name="Изображение 5947" descr="resizeПП-00186898"/>
        <xdr:cNvPicPr>
          <a:picLocks noChangeAspect="1"/>
        </xdr:cNvPicPr>
      </xdr:nvPicPr>
      <xdr:blipFill>
        <a:blip xmlns:r="http://schemas.openxmlformats.org/officeDocument/2006/relationships" r:embed="rId1697"/>
        <a:stretch>
          <a:fillRect/>
        </a:stretch>
      </xdr:blipFill>
      <xdr:spPr>
        <a:xfrm>
          <a:off x="7264400" y="2201881550"/>
          <a:ext cx="878840" cy="1183640"/>
        </a:xfrm>
        <a:prstGeom prst="rect">
          <a:avLst/>
        </a:prstGeom>
      </xdr:spPr>
    </xdr:pic>
    <xdr:clientData/>
  </xdr:twoCellAnchor>
  <xdr:twoCellAnchor>
    <xdr:from>
      <xdr:col>8</xdr:col>
      <xdr:colOff>6350</xdr:colOff>
      <xdr:row>2212</xdr:row>
      <xdr:rowOff>25400</xdr:rowOff>
    </xdr:from>
    <xdr:to>
      <xdr:col>8</xdr:col>
      <xdr:colOff>885190</xdr:colOff>
      <xdr:row>2212</xdr:row>
      <xdr:rowOff>1209040</xdr:rowOff>
    </xdr:to>
    <xdr:pic>
      <xdr:nvPicPr>
        <xdr:cNvPr id="5949" name="Изображение 5948" descr="resizeПП-00276592"/>
        <xdr:cNvPicPr>
          <a:picLocks noChangeAspect="1"/>
        </xdr:cNvPicPr>
      </xdr:nvPicPr>
      <xdr:blipFill>
        <a:blip xmlns:r="http://schemas.openxmlformats.org/officeDocument/2006/relationships" r:embed="rId1698"/>
        <a:stretch>
          <a:fillRect/>
        </a:stretch>
      </xdr:blipFill>
      <xdr:spPr>
        <a:xfrm>
          <a:off x="7264400" y="2203256325"/>
          <a:ext cx="878840" cy="1183640"/>
        </a:xfrm>
        <a:prstGeom prst="rect">
          <a:avLst/>
        </a:prstGeom>
      </xdr:spPr>
    </xdr:pic>
    <xdr:clientData/>
  </xdr:twoCellAnchor>
  <xdr:twoCellAnchor>
    <xdr:from>
      <xdr:col>8</xdr:col>
      <xdr:colOff>6350</xdr:colOff>
      <xdr:row>2213</xdr:row>
      <xdr:rowOff>25400</xdr:rowOff>
    </xdr:from>
    <xdr:to>
      <xdr:col>8</xdr:col>
      <xdr:colOff>885190</xdr:colOff>
      <xdr:row>2213</xdr:row>
      <xdr:rowOff>1209040</xdr:rowOff>
    </xdr:to>
    <xdr:pic>
      <xdr:nvPicPr>
        <xdr:cNvPr id="5950" name="Изображение 5949" descr="resizeПП-00186897"/>
        <xdr:cNvPicPr>
          <a:picLocks noChangeAspect="1"/>
        </xdr:cNvPicPr>
      </xdr:nvPicPr>
      <xdr:blipFill>
        <a:blip xmlns:r="http://schemas.openxmlformats.org/officeDocument/2006/relationships" r:embed="rId1699"/>
        <a:stretch>
          <a:fillRect/>
        </a:stretch>
      </xdr:blipFill>
      <xdr:spPr>
        <a:xfrm>
          <a:off x="7264400" y="2204478700"/>
          <a:ext cx="878840" cy="1183640"/>
        </a:xfrm>
        <a:prstGeom prst="rect">
          <a:avLst/>
        </a:prstGeom>
      </xdr:spPr>
    </xdr:pic>
    <xdr:clientData/>
  </xdr:twoCellAnchor>
  <xdr:twoCellAnchor>
    <xdr:from>
      <xdr:col>8</xdr:col>
      <xdr:colOff>6350</xdr:colOff>
      <xdr:row>2214</xdr:row>
      <xdr:rowOff>25400</xdr:rowOff>
    </xdr:from>
    <xdr:to>
      <xdr:col>8</xdr:col>
      <xdr:colOff>885190</xdr:colOff>
      <xdr:row>2214</xdr:row>
      <xdr:rowOff>1209040</xdr:rowOff>
    </xdr:to>
    <xdr:pic>
      <xdr:nvPicPr>
        <xdr:cNvPr id="5951" name="Изображение 5950" descr="resizeПП-00186895"/>
        <xdr:cNvPicPr>
          <a:picLocks noChangeAspect="1"/>
        </xdr:cNvPicPr>
      </xdr:nvPicPr>
      <xdr:blipFill>
        <a:blip xmlns:r="http://schemas.openxmlformats.org/officeDocument/2006/relationships" r:embed="rId1700"/>
        <a:stretch>
          <a:fillRect/>
        </a:stretch>
      </xdr:blipFill>
      <xdr:spPr>
        <a:xfrm>
          <a:off x="7264400" y="2205701075"/>
          <a:ext cx="878840" cy="1183640"/>
        </a:xfrm>
        <a:prstGeom prst="rect">
          <a:avLst/>
        </a:prstGeom>
      </xdr:spPr>
    </xdr:pic>
    <xdr:clientData/>
  </xdr:twoCellAnchor>
  <xdr:twoCellAnchor>
    <xdr:from>
      <xdr:col>8</xdr:col>
      <xdr:colOff>6350</xdr:colOff>
      <xdr:row>2215</xdr:row>
      <xdr:rowOff>25400</xdr:rowOff>
    </xdr:from>
    <xdr:to>
      <xdr:col>8</xdr:col>
      <xdr:colOff>885190</xdr:colOff>
      <xdr:row>2215</xdr:row>
      <xdr:rowOff>1209040</xdr:rowOff>
    </xdr:to>
    <xdr:pic>
      <xdr:nvPicPr>
        <xdr:cNvPr id="5952" name="Изображение 5951" descr="resizeПП-00097696"/>
        <xdr:cNvPicPr>
          <a:picLocks noChangeAspect="1"/>
        </xdr:cNvPicPr>
      </xdr:nvPicPr>
      <xdr:blipFill>
        <a:blip xmlns:r="http://schemas.openxmlformats.org/officeDocument/2006/relationships" r:embed="rId1701"/>
        <a:stretch>
          <a:fillRect/>
        </a:stretch>
      </xdr:blipFill>
      <xdr:spPr>
        <a:xfrm>
          <a:off x="7264400" y="2206923450"/>
          <a:ext cx="878840" cy="1183640"/>
        </a:xfrm>
        <a:prstGeom prst="rect">
          <a:avLst/>
        </a:prstGeom>
      </xdr:spPr>
    </xdr:pic>
    <xdr:clientData/>
  </xdr:twoCellAnchor>
  <xdr:twoCellAnchor>
    <xdr:from>
      <xdr:col>8</xdr:col>
      <xdr:colOff>6350</xdr:colOff>
      <xdr:row>2216</xdr:row>
      <xdr:rowOff>25400</xdr:rowOff>
    </xdr:from>
    <xdr:to>
      <xdr:col>8</xdr:col>
      <xdr:colOff>885190</xdr:colOff>
      <xdr:row>2216</xdr:row>
      <xdr:rowOff>1209040</xdr:rowOff>
    </xdr:to>
    <xdr:pic>
      <xdr:nvPicPr>
        <xdr:cNvPr id="5953" name="Изображение 5952" descr="resizeПП-00276587"/>
        <xdr:cNvPicPr>
          <a:picLocks noChangeAspect="1"/>
        </xdr:cNvPicPr>
      </xdr:nvPicPr>
      <xdr:blipFill>
        <a:blip xmlns:r="http://schemas.openxmlformats.org/officeDocument/2006/relationships" r:embed="rId1702"/>
        <a:stretch>
          <a:fillRect/>
        </a:stretch>
      </xdr:blipFill>
      <xdr:spPr>
        <a:xfrm>
          <a:off x="7264400" y="2208145825"/>
          <a:ext cx="878840" cy="1183640"/>
        </a:xfrm>
        <a:prstGeom prst="rect">
          <a:avLst/>
        </a:prstGeom>
      </xdr:spPr>
    </xdr:pic>
    <xdr:clientData/>
  </xdr:twoCellAnchor>
  <xdr:twoCellAnchor>
    <xdr:from>
      <xdr:col>8</xdr:col>
      <xdr:colOff>6350</xdr:colOff>
      <xdr:row>2217</xdr:row>
      <xdr:rowOff>25400</xdr:rowOff>
    </xdr:from>
    <xdr:to>
      <xdr:col>8</xdr:col>
      <xdr:colOff>885190</xdr:colOff>
      <xdr:row>2217</xdr:row>
      <xdr:rowOff>1209040</xdr:rowOff>
    </xdr:to>
    <xdr:pic>
      <xdr:nvPicPr>
        <xdr:cNvPr id="5954" name="Изображение 5953" descr="resizeПП-00276590"/>
        <xdr:cNvPicPr>
          <a:picLocks noChangeAspect="1"/>
        </xdr:cNvPicPr>
      </xdr:nvPicPr>
      <xdr:blipFill>
        <a:blip xmlns:r="http://schemas.openxmlformats.org/officeDocument/2006/relationships" r:embed="rId1703"/>
        <a:stretch>
          <a:fillRect/>
        </a:stretch>
      </xdr:blipFill>
      <xdr:spPr>
        <a:xfrm>
          <a:off x="7264400" y="2209368200"/>
          <a:ext cx="878840" cy="1183640"/>
        </a:xfrm>
        <a:prstGeom prst="rect">
          <a:avLst/>
        </a:prstGeom>
      </xdr:spPr>
    </xdr:pic>
    <xdr:clientData/>
  </xdr:twoCellAnchor>
  <xdr:twoCellAnchor>
    <xdr:from>
      <xdr:col>8</xdr:col>
      <xdr:colOff>6350</xdr:colOff>
      <xdr:row>2219</xdr:row>
      <xdr:rowOff>25400</xdr:rowOff>
    </xdr:from>
    <xdr:to>
      <xdr:col>8</xdr:col>
      <xdr:colOff>885190</xdr:colOff>
      <xdr:row>2219</xdr:row>
      <xdr:rowOff>1209040</xdr:rowOff>
    </xdr:to>
    <xdr:pic>
      <xdr:nvPicPr>
        <xdr:cNvPr id="5955" name="Изображение 5954" descr="resizeПП-00276588"/>
        <xdr:cNvPicPr>
          <a:picLocks noChangeAspect="1"/>
        </xdr:cNvPicPr>
      </xdr:nvPicPr>
      <xdr:blipFill>
        <a:blip xmlns:r="http://schemas.openxmlformats.org/officeDocument/2006/relationships" r:embed="rId1704"/>
        <a:stretch>
          <a:fillRect/>
        </a:stretch>
      </xdr:blipFill>
      <xdr:spPr>
        <a:xfrm>
          <a:off x="7264400" y="2210742975"/>
          <a:ext cx="878840" cy="1183640"/>
        </a:xfrm>
        <a:prstGeom prst="rect">
          <a:avLst/>
        </a:prstGeom>
      </xdr:spPr>
    </xdr:pic>
    <xdr:clientData/>
  </xdr:twoCellAnchor>
  <xdr:twoCellAnchor>
    <xdr:from>
      <xdr:col>8</xdr:col>
      <xdr:colOff>6350</xdr:colOff>
      <xdr:row>2221</xdr:row>
      <xdr:rowOff>25400</xdr:rowOff>
    </xdr:from>
    <xdr:to>
      <xdr:col>8</xdr:col>
      <xdr:colOff>885190</xdr:colOff>
      <xdr:row>2221</xdr:row>
      <xdr:rowOff>1209040</xdr:rowOff>
    </xdr:to>
    <xdr:pic>
      <xdr:nvPicPr>
        <xdr:cNvPr id="5956" name="Изображение 5955" descr="resizeПП-00203838"/>
        <xdr:cNvPicPr>
          <a:picLocks noChangeAspect="1"/>
        </xdr:cNvPicPr>
      </xdr:nvPicPr>
      <xdr:blipFill>
        <a:blip xmlns:r="http://schemas.openxmlformats.org/officeDocument/2006/relationships" r:embed="rId1705"/>
        <a:stretch>
          <a:fillRect/>
        </a:stretch>
      </xdr:blipFill>
      <xdr:spPr>
        <a:xfrm>
          <a:off x="7264400" y="2212117750"/>
          <a:ext cx="878840" cy="1183640"/>
        </a:xfrm>
        <a:prstGeom prst="rect">
          <a:avLst/>
        </a:prstGeom>
      </xdr:spPr>
    </xdr:pic>
    <xdr:clientData/>
  </xdr:twoCellAnchor>
  <xdr:twoCellAnchor>
    <xdr:from>
      <xdr:col>8</xdr:col>
      <xdr:colOff>6350</xdr:colOff>
      <xdr:row>2224</xdr:row>
      <xdr:rowOff>25400</xdr:rowOff>
    </xdr:from>
    <xdr:to>
      <xdr:col>8</xdr:col>
      <xdr:colOff>885190</xdr:colOff>
      <xdr:row>2224</xdr:row>
      <xdr:rowOff>1209040</xdr:rowOff>
    </xdr:to>
    <xdr:pic>
      <xdr:nvPicPr>
        <xdr:cNvPr id="5957" name="Изображение 5956" descr="resizeПП-00211143"/>
        <xdr:cNvPicPr>
          <a:picLocks noChangeAspect="1"/>
        </xdr:cNvPicPr>
      </xdr:nvPicPr>
      <xdr:blipFill>
        <a:blip xmlns:r="http://schemas.openxmlformats.org/officeDocument/2006/relationships" r:embed="rId1706"/>
        <a:stretch>
          <a:fillRect/>
        </a:stretch>
      </xdr:blipFill>
      <xdr:spPr>
        <a:xfrm>
          <a:off x="7264400" y="2213644925"/>
          <a:ext cx="878840" cy="1183640"/>
        </a:xfrm>
        <a:prstGeom prst="rect">
          <a:avLst/>
        </a:prstGeom>
      </xdr:spPr>
    </xdr:pic>
    <xdr:clientData/>
  </xdr:twoCellAnchor>
  <xdr:twoCellAnchor>
    <xdr:from>
      <xdr:col>8</xdr:col>
      <xdr:colOff>6350</xdr:colOff>
      <xdr:row>2226</xdr:row>
      <xdr:rowOff>25400</xdr:rowOff>
    </xdr:from>
    <xdr:to>
      <xdr:col>8</xdr:col>
      <xdr:colOff>885190</xdr:colOff>
      <xdr:row>2226</xdr:row>
      <xdr:rowOff>1209040</xdr:rowOff>
    </xdr:to>
    <xdr:pic>
      <xdr:nvPicPr>
        <xdr:cNvPr id="5958" name="Изображение 5957" descr="resizeПП-00211139"/>
        <xdr:cNvPicPr>
          <a:picLocks noChangeAspect="1"/>
        </xdr:cNvPicPr>
      </xdr:nvPicPr>
      <xdr:blipFill>
        <a:blip xmlns:r="http://schemas.openxmlformats.org/officeDocument/2006/relationships" r:embed="rId1707"/>
        <a:stretch>
          <a:fillRect/>
        </a:stretch>
      </xdr:blipFill>
      <xdr:spPr>
        <a:xfrm>
          <a:off x="7264400" y="2215019700"/>
          <a:ext cx="878840" cy="1183640"/>
        </a:xfrm>
        <a:prstGeom prst="rect">
          <a:avLst/>
        </a:prstGeom>
      </xdr:spPr>
    </xdr:pic>
    <xdr:clientData/>
  </xdr:twoCellAnchor>
  <xdr:twoCellAnchor>
    <xdr:from>
      <xdr:col>8</xdr:col>
      <xdr:colOff>6350</xdr:colOff>
      <xdr:row>2227</xdr:row>
      <xdr:rowOff>25400</xdr:rowOff>
    </xdr:from>
    <xdr:to>
      <xdr:col>8</xdr:col>
      <xdr:colOff>885190</xdr:colOff>
      <xdr:row>2227</xdr:row>
      <xdr:rowOff>1209040</xdr:rowOff>
    </xdr:to>
    <xdr:pic>
      <xdr:nvPicPr>
        <xdr:cNvPr id="5959" name="Изображение 5958" descr="resizeПП-00211135"/>
        <xdr:cNvPicPr>
          <a:picLocks noChangeAspect="1"/>
        </xdr:cNvPicPr>
      </xdr:nvPicPr>
      <xdr:blipFill>
        <a:blip xmlns:r="http://schemas.openxmlformats.org/officeDocument/2006/relationships" r:embed="rId1708"/>
        <a:stretch>
          <a:fillRect/>
        </a:stretch>
      </xdr:blipFill>
      <xdr:spPr>
        <a:xfrm>
          <a:off x="7264400" y="2216242075"/>
          <a:ext cx="878840" cy="1183640"/>
        </a:xfrm>
        <a:prstGeom prst="rect">
          <a:avLst/>
        </a:prstGeom>
      </xdr:spPr>
    </xdr:pic>
    <xdr:clientData/>
  </xdr:twoCellAnchor>
  <xdr:twoCellAnchor>
    <xdr:from>
      <xdr:col>8</xdr:col>
      <xdr:colOff>6350</xdr:colOff>
      <xdr:row>2228</xdr:row>
      <xdr:rowOff>25400</xdr:rowOff>
    </xdr:from>
    <xdr:to>
      <xdr:col>8</xdr:col>
      <xdr:colOff>885190</xdr:colOff>
      <xdr:row>2228</xdr:row>
      <xdr:rowOff>1209040</xdr:rowOff>
    </xdr:to>
    <xdr:pic>
      <xdr:nvPicPr>
        <xdr:cNvPr id="5960" name="Изображение 5959" descr="resizeПП-00211134"/>
        <xdr:cNvPicPr>
          <a:picLocks noChangeAspect="1"/>
        </xdr:cNvPicPr>
      </xdr:nvPicPr>
      <xdr:blipFill>
        <a:blip xmlns:r="http://schemas.openxmlformats.org/officeDocument/2006/relationships" r:embed="rId1709"/>
        <a:stretch>
          <a:fillRect/>
        </a:stretch>
      </xdr:blipFill>
      <xdr:spPr>
        <a:xfrm>
          <a:off x="7264400" y="2217464450"/>
          <a:ext cx="878840" cy="1183640"/>
        </a:xfrm>
        <a:prstGeom prst="rect">
          <a:avLst/>
        </a:prstGeom>
      </xdr:spPr>
    </xdr:pic>
    <xdr:clientData/>
  </xdr:twoCellAnchor>
  <xdr:twoCellAnchor>
    <xdr:from>
      <xdr:col>8</xdr:col>
      <xdr:colOff>6350</xdr:colOff>
      <xdr:row>2229</xdr:row>
      <xdr:rowOff>25400</xdr:rowOff>
    </xdr:from>
    <xdr:to>
      <xdr:col>8</xdr:col>
      <xdr:colOff>885190</xdr:colOff>
      <xdr:row>2229</xdr:row>
      <xdr:rowOff>1209040</xdr:rowOff>
    </xdr:to>
    <xdr:pic>
      <xdr:nvPicPr>
        <xdr:cNvPr id="5961" name="Изображение 5960" descr="resizeПП-00211137"/>
        <xdr:cNvPicPr>
          <a:picLocks noChangeAspect="1"/>
        </xdr:cNvPicPr>
      </xdr:nvPicPr>
      <xdr:blipFill>
        <a:blip xmlns:r="http://schemas.openxmlformats.org/officeDocument/2006/relationships" r:embed="rId1710"/>
        <a:stretch>
          <a:fillRect/>
        </a:stretch>
      </xdr:blipFill>
      <xdr:spPr>
        <a:xfrm>
          <a:off x="7264400" y="2218686825"/>
          <a:ext cx="878840" cy="1183640"/>
        </a:xfrm>
        <a:prstGeom prst="rect">
          <a:avLst/>
        </a:prstGeom>
      </xdr:spPr>
    </xdr:pic>
    <xdr:clientData/>
  </xdr:twoCellAnchor>
  <xdr:twoCellAnchor>
    <xdr:from>
      <xdr:col>8</xdr:col>
      <xdr:colOff>6350</xdr:colOff>
      <xdr:row>2231</xdr:row>
      <xdr:rowOff>25400</xdr:rowOff>
    </xdr:from>
    <xdr:to>
      <xdr:col>8</xdr:col>
      <xdr:colOff>885190</xdr:colOff>
      <xdr:row>2231</xdr:row>
      <xdr:rowOff>1209040</xdr:rowOff>
    </xdr:to>
    <xdr:pic>
      <xdr:nvPicPr>
        <xdr:cNvPr id="5962" name="Изображение 5961" descr="resizeПП-00267146"/>
        <xdr:cNvPicPr>
          <a:picLocks noChangeAspect="1"/>
        </xdr:cNvPicPr>
      </xdr:nvPicPr>
      <xdr:blipFill>
        <a:blip xmlns:r="http://schemas.openxmlformats.org/officeDocument/2006/relationships" r:embed="rId1711"/>
        <a:stretch>
          <a:fillRect/>
        </a:stretch>
      </xdr:blipFill>
      <xdr:spPr>
        <a:xfrm>
          <a:off x="7264400" y="2220061600"/>
          <a:ext cx="878840" cy="1183640"/>
        </a:xfrm>
        <a:prstGeom prst="rect">
          <a:avLst/>
        </a:prstGeom>
      </xdr:spPr>
    </xdr:pic>
    <xdr:clientData/>
  </xdr:twoCellAnchor>
  <xdr:twoCellAnchor>
    <xdr:from>
      <xdr:col>8</xdr:col>
      <xdr:colOff>6350</xdr:colOff>
      <xdr:row>2232</xdr:row>
      <xdr:rowOff>25400</xdr:rowOff>
    </xdr:from>
    <xdr:to>
      <xdr:col>8</xdr:col>
      <xdr:colOff>885190</xdr:colOff>
      <xdr:row>2232</xdr:row>
      <xdr:rowOff>1209040</xdr:rowOff>
    </xdr:to>
    <xdr:pic>
      <xdr:nvPicPr>
        <xdr:cNvPr id="5963" name="Изображение 5962" descr="resizeПП-00267143"/>
        <xdr:cNvPicPr>
          <a:picLocks noChangeAspect="1"/>
        </xdr:cNvPicPr>
      </xdr:nvPicPr>
      <xdr:blipFill>
        <a:blip xmlns:r="http://schemas.openxmlformats.org/officeDocument/2006/relationships" r:embed="rId1712"/>
        <a:stretch>
          <a:fillRect/>
        </a:stretch>
      </xdr:blipFill>
      <xdr:spPr>
        <a:xfrm>
          <a:off x="7264400" y="2221283975"/>
          <a:ext cx="878840" cy="1183640"/>
        </a:xfrm>
        <a:prstGeom prst="rect">
          <a:avLst/>
        </a:prstGeom>
      </xdr:spPr>
    </xdr:pic>
    <xdr:clientData/>
  </xdr:twoCellAnchor>
  <xdr:twoCellAnchor>
    <xdr:from>
      <xdr:col>8</xdr:col>
      <xdr:colOff>6350</xdr:colOff>
      <xdr:row>2233</xdr:row>
      <xdr:rowOff>25400</xdr:rowOff>
    </xdr:from>
    <xdr:to>
      <xdr:col>8</xdr:col>
      <xdr:colOff>885190</xdr:colOff>
      <xdr:row>2233</xdr:row>
      <xdr:rowOff>1209040</xdr:rowOff>
    </xdr:to>
    <xdr:pic>
      <xdr:nvPicPr>
        <xdr:cNvPr id="5964" name="Изображение 5963" descr="resizeПП-00267139"/>
        <xdr:cNvPicPr>
          <a:picLocks noChangeAspect="1"/>
        </xdr:cNvPicPr>
      </xdr:nvPicPr>
      <xdr:blipFill>
        <a:blip xmlns:r="http://schemas.openxmlformats.org/officeDocument/2006/relationships" r:embed="rId1713"/>
        <a:stretch>
          <a:fillRect/>
        </a:stretch>
      </xdr:blipFill>
      <xdr:spPr>
        <a:xfrm>
          <a:off x="7264400" y="2222506350"/>
          <a:ext cx="878840" cy="1183640"/>
        </a:xfrm>
        <a:prstGeom prst="rect">
          <a:avLst/>
        </a:prstGeom>
      </xdr:spPr>
    </xdr:pic>
    <xdr:clientData/>
  </xdr:twoCellAnchor>
  <xdr:twoCellAnchor>
    <xdr:from>
      <xdr:col>8</xdr:col>
      <xdr:colOff>6350</xdr:colOff>
      <xdr:row>2234</xdr:row>
      <xdr:rowOff>25400</xdr:rowOff>
    </xdr:from>
    <xdr:to>
      <xdr:col>8</xdr:col>
      <xdr:colOff>885190</xdr:colOff>
      <xdr:row>2234</xdr:row>
      <xdr:rowOff>1209040</xdr:rowOff>
    </xdr:to>
    <xdr:pic>
      <xdr:nvPicPr>
        <xdr:cNvPr id="5965" name="Изображение 5964" descr="resizeПП-00267144"/>
        <xdr:cNvPicPr>
          <a:picLocks noChangeAspect="1"/>
        </xdr:cNvPicPr>
      </xdr:nvPicPr>
      <xdr:blipFill>
        <a:blip xmlns:r="http://schemas.openxmlformats.org/officeDocument/2006/relationships" r:embed="rId1714"/>
        <a:stretch>
          <a:fillRect/>
        </a:stretch>
      </xdr:blipFill>
      <xdr:spPr>
        <a:xfrm>
          <a:off x="7264400" y="2223728725"/>
          <a:ext cx="878840" cy="1183640"/>
        </a:xfrm>
        <a:prstGeom prst="rect">
          <a:avLst/>
        </a:prstGeom>
      </xdr:spPr>
    </xdr:pic>
    <xdr:clientData/>
  </xdr:twoCellAnchor>
  <xdr:twoCellAnchor>
    <xdr:from>
      <xdr:col>8</xdr:col>
      <xdr:colOff>6350</xdr:colOff>
      <xdr:row>2235</xdr:row>
      <xdr:rowOff>25400</xdr:rowOff>
    </xdr:from>
    <xdr:to>
      <xdr:col>8</xdr:col>
      <xdr:colOff>885190</xdr:colOff>
      <xdr:row>2235</xdr:row>
      <xdr:rowOff>1209040</xdr:rowOff>
    </xdr:to>
    <xdr:pic>
      <xdr:nvPicPr>
        <xdr:cNvPr id="5966" name="Изображение 5965" descr="resizeПП-00267145"/>
        <xdr:cNvPicPr>
          <a:picLocks noChangeAspect="1"/>
        </xdr:cNvPicPr>
      </xdr:nvPicPr>
      <xdr:blipFill>
        <a:blip xmlns:r="http://schemas.openxmlformats.org/officeDocument/2006/relationships" r:embed="rId1715"/>
        <a:stretch>
          <a:fillRect/>
        </a:stretch>
      </xdr:blipFill>
      <xdr:spPr>
        <a:xfrm>
          <a:off x="7264400" y="2224951100"/>
          <a:ext cx="878840" cy="1183640"/>
        </a:xfrm>
        <a:prstGeom prst="rect">
          <a:avLst/>
        </a:prstGeom>
      </xdr:spPr>
    </xdr:pic>
    <xdr:clientData/>
  </xdr:twoCellAnchor>
  <xdr:twoCellAnchor>
    <xdr:from>
      <xdr:col>8</xdr:col>
      <xdr:colOff>6350</xdr:colOff>
      <xdr:row>2236</xdr:row>
      <xdr:rowOff>25400</xdr:rowOff>
    </xdr:from>
    <xdr:to>
      <xdr:col>8</xdr:col>
      <xdr:colOff>885190</xdr:colOff>
      <xdr:row>2236</xdr:row>
      <xdr:rowOff>1209040</xdr:rowOff>
    </xdr:to>
    <xdr:pic>
      <xdr:nvPicPr>
        <xdr:cNvPr id="5967" name="Изображение 5966" descr="resizeПП-00275001"/>
        <xdr:cNvPicPr>
          <a:picLocks noChangeAspect="1"/>
        </xdr:cNvPicPr>
      </xdr:nvPicPr>
      <xdr:blipFill>
        <a:blip xmlns:r="http://schemas.openxmlformats.org/officeDocument/2006/relationships" r:embed="rId1716"/>
        <a:stretch>
          <a:fillRect/>
        </a:stretch>
      </xdr:blipFill>
      <xdr:spPr>
        <a:xfrm>
          <a:off x="7264400" y="2226173475"/>
          <a:ext cx="878840" cy="1183640"/>
        </a:xfrm>
        <a:prstGeom prst="rect">
          <a:avLst/>
        </a:prstGeom>
      </xdr:spPr>
    </xdr:pic>
    <xdr:clientData/>
  </xdr:twoCellAnchor>
  <xdr:twoCellAnchor>
    <xdr:from>
      <xdr:col>8</xdr:col>
      <xdr:colOff>6350</xdr:colOff>
      <xdr:row>2238</xdr:row>
      <xdr:rowOff>25400</xdr:rowOff>
    </xdr:from>
    <xdr:to>
      <xdr:col>8</xdr:col>
      <xdr:colOff>885190</xdr:colOff>
      <xdr:row>2238</xdr:row>
      <xdr:rowOff>1209040</xdr:rowOff>
    </xdr:to>
    <xdr:pic>
      <xdr:nvPicPr>
        <xdr:cNvPr id="5968" name="Изображение 5967" descr="resizeПП-00227827"/>
        <xdr:cNvPicPr>
          <a:picLocks noChangeAspect="1"/>
        </xdr:cNvPicPr>
      </xdr:nvPicPr>
      <xdr:blipFill>
        <a:blip xmlns:r="http://schemas.openxmlformats.org/officeDocument/2006/relationships" r:embed="rId1717"/>
        <a:stretch>
          <a:fillRect/>
        </a:stretch>
      </xdr:blipFill>
      <xdr:spPr>
        <a:xfrm>
          <a:off x="7264400" y="2227548250"/>
          <a:ext cx="878840" cy="1183640"/>
        </a:xfrm>
        <a:prstGeom prst="rect">
          <a:avLst/>
        </a:prstGeom>
      </xdr:spPr>
    </xdr:pic>
    <xdr:clientData/>
  </xdr:twoCellAnchor>
  <xdr:twoCellAnchor>
    <xdr:from>
      <xdr:col>8</xdr:col>
      <xdr:colOff>6350</xdr:colOff>
      <xdr:row>2240</xdr:row>
      <xdr:rowOff>25400</xdr:rowOff>
    </xdr:from>
    <xdr:to>
      <xdr:col>8</xdr:col>
      <xdr:colOff>885190</xdr:colOff>
      <xdr:row>2240</xdr:row>
      <xdr:rowOff>1209040</xdr:rowOff>
    </xdr:to>
    <xdr:pic>
      <xdr:nvPicPr>
        <xdr:cNvPr id="5969" name="Изображение 5968" descr="resizeПП-00207714"/>
        <xdr:cNvPicPr>
          <a:picLocks noChangeAspect="1"/>
        </xdr:cNvPicPr>
      </xdr:nvPicPr>
      <xdr:blipFill>
        <a:blip xmlns:r="http://schemas.openxmlformats.org/officeDocument/2006/relationships" r:embed="rId1718"/>
        <a:stretch>
          <a:fillRect/>
        </a:stretch>
      </xdr:blipFill>
      <xdr:spPr>
        <a:xfrm>
          <a:off x="7264400" y="2228923025"/>
          <a:ext cx="878840" cy="1183640"/>
        </a:xfrm>
        <a:prstGeom prst="rect">
          <a:avLst/>
        </a:prstGeom>
      </xdr:spPr>
    </xdr:pic>
    <xdr:clientData/>
  </xdr:twoCellAnchor>
  <xdr:twoCellAnchor>
    <xdr:from>
      <xdr:col>8</xdr:col>
      <xdr:colOff>6350</xdr:colOff>
      <xdr:row>2244</xdr:row>
      <xdr:rowOff>25400</xdr:rowOff>
    </xdr:from>
    <xdr:to>
      <xdr:col>8</xdr:col>
      <xdr:colOff>885190</xdr:colOff>
      <xdr:row>2244</xdr:row>
      <xdr:rowOff>1209040</xdr:rowOff>
    </xdr:to>
    <xdr:pic>
      <xdr:nvPicPr>
        <xdr:cNvPr id="5970" name="Изображение 5969" descr="resizeПП-00203657"/>
        <xdr:cNvPicPr>
          <a:picLocks noChangeAspect="1"/>
        </xdr:cNvPicPr>
      </xdr:nvPicPr>
      <xdr:blipFill>
        <a:blip xmlns:r="http://schemas.openxmlformats.org/officeDocument/2006/relationships" r:embed="rId1719"/>
        <a:stretch>
          <a:fillRect/>
        </a:stretch>
      </xdr:blipFill>
      <xdr:spPr>
        <a:xfrm>
          <a:off x="7264400" y="2230602600"/>
          <a:ext cx="878840" cy="1183640"/>
        </a:xfrm>
        <a:prstGeom prst="rect">
          <a:avLst/>
        </a:prstGeom>
      </xdr:spPr>
    </xdr:pic>
    <xdr:clientData/>
  </xdr:twoCellAnchor>
  <xdr:twoCellAnchor>
    <xdr:from>
      <xdr:col>8</xdr:col>
      <xdr:colOff>6350</xdr:colOff>
      <xdr:row>2245</xdr:row>
      <xdr:rowOff>25400</xdr:rowOff>
    </xdr:from>
    <xdr:to>
      <xdr:col>8</xdr:col>
      <xdr:colOff>885190</xdr:colOff>
      <xdr:row>2245</xdr:row>
      <xdr:rowOff>1209040</xdr:rowOff>
    </xdr:to>
    <xdr:pic>
      <xdr:nvPicPr>
        <xdr:cNvPr id="5971" name="Изображение 5970" descr="resizeПП-00203654"/>
        <xdr:cNvPicPr>
          <a:picLocks noChangeAspect="1"/>
        </xdr:cNvPicPr>
      </xdr:nvPicPr>
      <xdr:blipFill>
        <a:blip xmlns:r="http://schemas.openxmlformats.org/officeDocument/2006/relationships" r:embed="rId1720"/>
        <a:stretch>
          <a:fillRect/>
        </a:stretch>
      </xdr:blipFill>
      <xdr:spPr>
        <a:xfrm>
          <a:off x="7264400" y="2231824975"/>
          <a:ext cx="878840" cy="1183640"/>
        </a:xfrm>
        <a:prstGeom prst="rect">
          <a:avLst/>
        </a:prstGeom>
      </xdr:spPr>
    </xdr:pic>
    <xdr:clientData/>
  </xdr:twoCellAnchor>
  <xdr:twoCellAnchor>
    <xdr:from>
      <xdr:col>8</xdr:col>
      <xdr:colOff>6350</xdr:colOff>
      <xdr:row>2246</xdr:row>
      <xdr:rowOff>25400</xdr:rowOff>
    </xdr:from>
    <xdr:to>
      <xdr:col>8</xdr:col>
      <xdr:colOff>885190</xdr:colOff>
      <xdr:row>2246</xdr:row>
      <xdr:rowOff>1209040</xdr:rowOff>
    </xdr:to>
    <xdr:pic>
      <xdr:nvPicPr>
        <xdr:cNvPr id="5972" name="Изображение 5971" descr="resizeПП-00276606"/>
        <xdr:cNvPicPr>
          <a:picLocks noChangeAspect="1"/>
        </xdr:cNvPicPr>
      </xdr:nvPicPr>
      <xdr:blipFill>
        <a:blip xmlns:r="http://schemas.openxmlformats.org/officeDocument/2006/relationships" r:embed="rId1721"/>
        <a:stretch>
          <a:fillRect/>
        </a:stretch>
      </xdr:blipFill>
      <xdr:spPr>
        <a:xfrm>
          <a:off x="7264400" y="2233047350"/>
          <a:ext cx="878840" cy="1183640"/>
        </a:xfrm>
        <a:prstGeom prst="rect">
          <a:avLst/>
        </a:prstGeom>
      </xdr:spPr>
    </xdr:pic>
    <xdr:clientData/>
  </xdr:twoCellAnchor>
  <xdr:twoCellAnchor>
    <xdr:from>
      <xdr:col>8</xdr:col>
      <xdr:colOff>6350</xdr:colOff>
      <xdr:row>2247</xdr:row>
      <xdr:rowOff>25400</xdr:rowOff>
    </xdr:from>
    <xdr:to>
      <xdr:col>8</xdr:col>
      <xdr:colOff>885190</xdr:colOff>
      <xdr:row>2247</xdr:row>
      <xdr:rowOff>1209040</xdr:rowOff>
    </xdr:to>
    <xdr:pic>
      <xdr:nvPicPr>
        <xdr:cNvPr id="5973" name="Изображение 5972" descr="resizeПП-00203658"/>
        <xdr:cNvPicPr>
          <a:picLocks noChangeAspect="1"/>
        </xdr:cNvPicPr>
      </xdr:nvPicPr>
      <xdr:blipFill>
        <a:blip xmlns:r="http://schemas.openxmlformats.org/officeDocument/2006/relationships" r:embed="rId1722"/>
        <a:stretch>
          <a:fillRect/>
        </a:stretch>
      </xdr:blipFill>
      <xdr:spPr>
        <a:xfrm>
          <a:off x="7264400" y="2234269725"/>
          <a:ext cx="878840" cy="1183640"/>
        </a:xfrm>
        <a:prstGeom prst="rect">
          <a:avLst/>
        </a:prstGeom>
      </xdr:spPr>
    </xdr:pic>
    <xdr:clientData/>
  </xdr:twoCellAnchor>
  <xdr:twoCellAnchor>
    <xdr:from>
      <xdr:col>8</xdr:col>
      <xdr:colOff>6350</xdr:colOff>
      <xdr:row>2248</xdr:row>
      <xdr:rowOff>25400</xdr:rowOff>
    </xdr:from>
    <xdr:to>
      <xdr:col>8</xdr:col>
      <xdr:colOff>885190</xdr:colOff>
      <xdr:row>2248</xdr:row>
      <xdr:rowOff>1209040</xdr:rowOff>
    </xdr:to>
    <xdr:pic>
      <xdr:nvPicPr>
        <xdr:cNvPr id="5974" name="Изображение 5973" descr="resizeПП-00276603"/>
        <xdr:cNvPicPr>
          <a:picLocks noChangeAspect="1"/>
        </xdr:cNvPicPr>
      </xdr:nvPicPr>
      <xdr:blipFill>
        <a:blip xmlns:r="http://schemas.openxmlformats.org/officeDocument/2006/relationships" r:embed="rId1723"/>
        <a:stretch>
          <a:fillRect/>
        </a:stretch>
      </xdr:blipFill>
      <xdr:spPr>
        <a:xfrm>
          <a:off x="7264400" y="2235492100"/>
          <a:ext cx="878840" cy="1183640"/>
        </a:xfrm>
        <a:prstGeom prst="rect">
          <a:avLst/>
        </a:prstGeom>
      </xdr:spPr>
    </xdr:pic>
    <xdr:clientData/>
  </xdr:twoCellAnchor>
  <xdr:twoCellAnchor>
    <xdr:from>
      <xdr:col>8</xdr:col>
      <xdr:colOff>6350</xdr:colOff>
      <xdr:row>2249</xdr:row>
      <xdr:rowOff>25400</xdr:rowOff>
    </xdr:from>
    <xdr:to>
      <xdr:col>8</xdr:col>
      <xdr:colOff>885190</xdr:colOff>
      <xdr:row>2249</xdr:row>
      <xdr:rowOff>1209040</xdr:rowOff>
    </xdr:to>
    <xdr:pic>
      <xdr:nvPicPr>
        <xdr:cNvPr id="5975" name="Изображение 5974" descr="resizeПП-00203652"/>
        <xdr:cNvPicPr>
          <a:picLocks noChangeAspect="1"/>
        </xdr:cNvPicPr>
      </xdr:nvPicPr>
      <xdr:blipFill>
        <a:blip xmlns:r="http://schemas.openxmlformats.org/officeDocument/2006/relationships" r:embed="rId1724"/>
        <a:stretch>
          <a:fillRect/>
        </a:stretch>
      </xdr:blipFill>
      <xdr:spPr>
        <a:xfrm>
          <a:off x="7264400" y="2236714475"/>
          <a:ext cx="878840" cy="1183640"/>
        </a:xfrm>
        <a:prstGeom prst="rect">
          <a:avLst/>
        </a:prstGeom>
      </xdr:spPr>
    </xdr:pic>
    <xdr:clientData/>
  </xdr:twoCellAnchor>
  <xdr:twoCellAnchor>
    <xdr:from>
      <xdr:col>8</xdr:col>
      <xdr:colOff>6350</xdr:colOff>
      <xdr:row>2250</xdr:row>
      <xdr:rowOff>25400</xdr:rowOff>
    </xdr:from>
    <xdr:to>
      <xdr:col>8</xdr:col>
      <xdr:colOff>885190</xdr:colOff>
      <xdr:row>2250</xdr:row>
      <xdr:rowOff>1209040</xdr:rowOff>
    </xdr:to>
    <xdr:pic>
      <xdr:nvPicPr>
        <xdr:cNvPr id="5976" name="Изображение 5975" descr="resizeПП-00203655"/>
        <xdr:cNvPicPr>
          <a:picLocks noChangeAspect="1"/>
        </xdr:cNvPicPr>
      </xdr:nvPicPr>
      <xdr:blipFill>
        <a:blip xmlns:r="http://schemas.openxmlformats.org/officeDocument/2006/relationships" r:embed="rId1725"/>
        <a:stretch>
          <a:fillRect/>
        </a:stretch>
      </xdr:blipFill>
      <xdr:spPr>
        <a:xfrm>
          <a:off x="7264400" y="2237936850"/>
          <a:ext cx="878840" cy="1183640"/>
        </a:xfrm>
        <a:prstGeom prst="rect">
          <a:avLst/>
        </a:prstGeom>
      </xdr:spPr>
    </xdr:pic>
    <xdr:clientData/>
  </xdr:twoCellAnchor>
  <xdr:twoCellAnchor>
    <xdr:from>
      <xdr:col>8</xdr:col>
      <xdr:colOff>6350</xdr:colOff>
      <xdr:row>2251</xdr:row>
      <xdr:rowOff>25400</xdr:rowOff>
    </xdr:from>
    <xdr:to>
      <xdr:col>8</xdr:col>
      <xdr:colOff>885190</xdr:colOff>
      <xdr:row>2251</xdr:row>
      <xdr:rowOff>1209040</xdr:rowOff>
    </xdr:to>
    <xdr:pic>
      <xdr:nvPicPr>
        <xdr:cNvPr id="5977" name="Изображение 5976" descr="resizeПП-00276613"/>
        <xdr:cNvPicPr>
          <a:picLocks noChangeAspect="1"/>
        </xdr:cNvPicPr>
      </xdr:nvPicPr>
      <xdr:blipFill>
        <a:blip xmlns:r="http://schemas.openxmlformats.org/officeDocument/2006/relationships" r:embed="rId1726"/>
        <a:stretch>
          <a:fillRect/>
        </a:stretch>
      </xdr:blipFill>
      <xdr:spPr>
        <a:xfrm>
          <a:off x="7264400" y="2239159225"/>
          <a:ext cx="878840" cy="1183640"/>
        </a:xfrm>
        <a:prstGeom prst="rect">
          <a:avLst/>
        </a:prstGeom>
      </xdr:spPr>
    </xdr:pic>
    <xdr:clientData/>
  </xdr:twoCellAnchor>
  <xdr:twoCellAnchor>
    <xdr:from>
      <xdr:col>8</xdr:col>
      <xdr:colOff>6350</xdr:colOff>
      <xdr:row>2252</xdr:row>
      <xdr:rowOff>25400</xdr:rowOff>
    </xdr:from>
    <xdr:to>
      <xdr:col>8</xdr:col>
      <xdr:colOff>885190</xdr:colOff>
      <xdr:row>2252</xdr:row>
      <xdr:rowOff>1209040</xdr:rowOff>
    </xdr:to>
    <xdr:pic>
      <xdr:nvPicPr>
        <xdr:cNvPr id="5978" name="Изображение 5977" descr="resizeПП-00276598"/>
        <xdr:cNvPicPr>
          <a:picLocks noChangeAspect="1"/>
        </xdr:cNvPicPr>
      </xdr:nvPicPr>
      <xdr:blipFill>
        <a:blip xmlns:r="http://schemas.openxmlformats.org/officeDocument/2006/relationships" r:embed="rId1727"/>
        <a:stretch>
          <a:fillRect/>
        </a:stretch>
      </xdr:blipFill>
      <xdr:spPr>
        <a:xfrm>
          <a:off x="7264400" y="2240381600"/>
          <a:ext cx="878840" cy="1183640"/>
        </a:xfrm>
        <a:prstGeom prst="rect">
          <a:avLst/>
        </a:prstGeom>
      </xdr:spPr>
    </xdr:pic>
    <xdr:clientData/>
  </xdr:twoCellAnchor>
  <xdr:twoCellAnchor>
    <xdr:from>
      <xdr:col>8</xdr:col>
      <xdr:colOff>6350</xdr:colOff>
      <xdr:row>2254</xdr:row>
      <xdr:rowOff>25400</xdr:rowOff>
    </xdr:from>
    <xdr:to>
      <xdr:col>8</xdr:col>
      <xdr:colOff>885190</xdr:colOff>
      <xdr:row>2254</xdr:row>
      <xdr:rowOff>1209040</xdr:rowOff>
    </xdr:to>
    <xdr:pic>
      <xdr:nvPicPr>
        <xdr:cNvPr id="5979" name="Изображение 5978" descr="resizeПП-00276597"/>
        <xdr:cNvPicPr>
          <a:picLocks noChangeAspect="1"/>
        </xdr:cNvPicPr>
      </xdr:nvPicPr>
      <xdr:blipFill>
        <a:blip xmlns:r="http://schemas.openxmlformats.org/officeDocument/2006/relationships" r:embed="rId1728"/>
        <a:stretch>
          <a:fillRect/>
        </a:stretch>
      </xdr:blipFill>
      <xdr:spPr>
        <a:xfrm>
          <a:off x="7264400" y="2241756375"/>
          <a:ext cx="878840" cy="1183640"/>
        </a:xfrm>
        <a:prstGeom prst="rect">
          <a:avLst/>
        </a:prstGeom>
      </xdr:spPr>
    </xdr:pic>
    <xdr:clientData/>
  </xdr:twoCellAnchor>
  <xdr:twoCellAnchor>
    <xdr:from>
      <xdr:col>8</xdr:col>
      <xdr:colOff>6350</xdr:colOff>
      <xdr:row>2255</xdr:row>
      <xdr:rowOff>25400</xdr:rowOff>
    </xdr:from>
    <xdr:to>
      <xdr:col>8</xdr:col>
      <xdr:colOff>885190</xdr:colOff>
      <xdr:row>2255</xdr:row>
      <xdr:rowOff>1209040</xdr:rowOff>
    </xdr:to>
    <xdr:pic>
      <xdr:nvPicPr>
        <xdr:cNvPr id="5980" name="Изображение 5979" descr="resizeПП-00276607"/>
        <xdr:cNvPicPr>
          <a:picLocks noChangeAspect="1"/>
        </xdr:cNvPicPr>
      </xdr:nvPicPr>
      <xdr:blipFill>
        <a:blip xmlns:r="http://schemas.openxmlformats.org/officeDocument/2006/relationships" r:embed="rId1729"/>
        <a:stretch>
          <a:fillRect/>
        </a:stretch>
      </xdr:blipFill>
      <xdr:spPr>
        <a:xfrm>
          <a:off x="7264400" y="2242978750"/>
          <a:ext cx="878840" cy="1183640"/>
        </a:xfrm>
        <a:prstGeom prst="rect">
          <a:avLst/>
        </a:prstGeom>
      </xdr:spPr>
    </xdr:pic>
    <xdr:clientData/>
  </xdr:twoCellAnchor>
  <xdr:twoCellAnchor>
    <xdr:from>
      <xdr:col>8</xdr:col>
      <xdr:colOff>6350</xdr:colOff>
      <xdr:row>2256</xdr:row>
      <xdr:rowOff>25400</xdr:rowOff>
    </xdr:from>
    <xdr:to>
      <xdr:col>8</xdr:col>
      <xdr:colOff>885190</xdr:colOff>
      <xdr:row>2256</xdr:row>
      <xdr:rowOff>1209040</xdr:rowOff>
    </xdr:to>
    <xdr:pic>
      <xdr:nvPicPr>
        <xdr:cNvPr id="5981" name="Изображение 5980" descr="resizeПП-00276611"/>
        <xdr:cNvPicPr>
          <a:picLocks noChangeAspect="1"/>
        </xdr:cNvPicPr>
      </xdr:nvPicPr>
      <xdr:blipFill>
        <a:blip xmlns:r="http://schemas.openxmlformats.org/officeDocument/2006/relationships" r:embed="rId1730"/>
        <a:stretch>
          <a:fillRect/>
        </a:stretch>
      </xdr:blipFill>
      <xdr:spPr>
        <a:xfrm>
          <a:off x="7264400" y="2244201125"/>
          <a:ext cx="878840" cy="1183640"/>
        </a:xfrm>
        <a:prstGeom prst="rect">
          <a:avLst/>
        </a:prstGeom>
      </xdr:spPr>
    </xdr:pic>
    <xdr:clientData/>
  </xdr:twoCellAnchor>
  <xdr:twoCellAnchor>
    <xdr:from>
      <xdr:col>8</xdr:col>
      <xdr:colOff>6350</xdr:colOff>
      <xdr:row>2257</xdr:row>
      <xdr:rowOff>25400</xdr:rowOff>
    </xdr:from>
    <xdr:to>
      <xdr:col>8</xdr:col>
      <xdr:colOff>885190</xdr:colOff>
      <xdr:row>2257</xdr:row>
      <xdr:rowOff>1209040</xdr:rowOff>
    </xdr:to>
    <xdr:pic>
      <xdr:nvPicPr>
        <xdr:cNvPr id="5982" name="Изображение 5981" descr="resizeПП-00276614"/>
        <xdr:cNvPicPr>
          <a:picLocks noChangeAspect="1"/>
        </xdr:cNvPicPr>
      </xdr:nvPicPr>
      <xdr:blipFill>
        <a:blip xmlns:r="http://schemas.openxmlformats.org/officeDocument/2006/relationships" r:embed="rId1731"/>
        <a:stretch>
          <a:fillRect/>
        </a:stretch>
      </xdr:blipFill>
      <xdr:spPr>
        <a:xfrm>
          <a:off x="7264400" y="2245423500"/>
          <a:ext cx="878840" cy="1183640"/>
        </a:xfrm>
        <a:prstGeom prst="rect">
          <a:avLst/>
        </a:prstGeom>
      </xdr:spPr>
    </xdr:pic>
    <xdr:clientData/>
  </xdr:twoCellAnchor>
  <xdr:twoCellAnchor>
    <xdr:from>
      <xdr:col>8</xdr:col>
      <xdr:colOff>6350</xdr:colOff>
      <xdr:row>2260</xdr:row>
      <xdr:rowOff>25400</xdr:rowOff>
    </xdr:from>
    <xdr:to>
      <xdr:col>8</xdr:col>
      <xdr:colOff>885190</xdr:colOff>
      <xdr:row>2260</xdr:row>
      <xdr:rowOff>1209040</xdr:rowOff>
    </xdr:to>
    <xdr:pic>
      <xdr:nvPicPr>
        <xdr:cNvPr id="5983" name="Изображение 5982" descr="resizeПП-00200628"/>
        <xdr:cNvPicPr>
          <a:picLocks noChangeAspect="1"/>
        </xdr:cNvPicPr>
      </xdr:nvPicPr>
      <xdr:blipFill>
        <a:blip xmlns:r="http://schemas.openxmlformats.org/officeDocument/2006/relationships" r:embed="rId1732"/>
        <a:stretch>
          <a:fillRect/>
        </a:stretch>
      </xdr:blipFill>
      <xdr:spPr>
        <a:xfrm>
          <a:off x="7264400" y="2246950675"/>
          <a:ext cx="878840" cy="1183640"/>
        </a:xfrm>
        <a:prstGeom prst="rect">
          <a:avLst/>
        </a:prstGeom>
      </xdr:spPr>
    </xdr:pic>
    <xdr:clientData/>
  </xdr:twoCellAnchor>
  <xdr:twoCellAnchor>
    <xdr:from>
      <xdr:col>8</xdr:col>
      <xdr:colOff>6350</xdr:colOff>
      <xdr:row>2261</xdr:row>
      <xdr:rowOff>25400</xdr:rowOff>
    </xdr:from>
    <xdr:to>
      <xdr:col>8</xdr:col>
      <xdr:colOff>885190</xdr:colOff>
      <xdr:row>2261</xdr:row>
      <xdr:rowOff>1209040</xdr:rowOff>
    </xdr:to>
    <xdr:pic>
      <xdr:nvPicPr>
        <xdr:cNvPr id="5984" name="Изображение 5983" descr="resizeПП-00200648"/>
        <xdr:cNvPicPr>
          <a:picLocks noChangeAspect="1"/>
        </xdr:cNvPicPr>
      </xdr:nvPicPr>
      <xdr:blipFill>
        <a:blip xmlns:r="http://schemas.openxmlformats.org/officeDocument/2006/relationships" r:embed="rId1733"/>
        <a:stretch>
          <a:fillRect/>
        </a:stretch>
      </xdr:blipFill>
      <xdr:spPr>
        <a:xfrm>
          <a:off x="7264400" y="2248173050"/>
          <a:ext cx="878840" cy="1183640"/>
        </a:xfrm>
        <a:prstGeom prst="rect">
          <a:avLst/>
        </a:prstGeom>
      </xdr:spPr>
    </xdr:pic>
    <xdr:clientData/>
  </xdr:twoCellAnchor>
  <xdr:twoCellAnchor>
    <xdr:from>
      <xdr:col>8</xdr:col>
      <xdr:colOff>6350</xdr:colOff>
      <xdr:row>2263</xdr:row>
      <xdr:rowOff>25400</xdr:rowOff>
    </xdr:from>
    <xdr:to>
      <xdr:col>8</xdr:col>
      <xdr:colOff>885190</xdr:colOff>
      <xdr:row>2263</xdr:row>
      <xdr:rowOff>1209040</xdr:rowOff>
    </xdr:to>
    <xdr:pic>
      <xdr:nvPicPr>
        <xdr:cNvPr id="5985" name="Изображение 5984" descr="resizeПП-00251335"/>
        <xdr:cNvPicPr>
          <a:picLocks noChangeAspect="1"/>
        </xdr:cNvPicPr>
      </xdr:nvPicPr>
      <xdr:blipFill>
        <a:blip xmlns:r="http://schemas.openxmlformats.org/officeDocument/2006/relationships" r:embed="rId1734"/>
        <a:stretch>
          <a:fillRect/>
        </a:stretch>
      </xdr:blipFill>
      <xdr:spPr>
        <a:xfrm>
          <a:off x="7264400" y="2249547825"/>
          <a:ext cx="878840" cy="1183640"/>
        </a:xfrm>
        <a:prstGeom prst="rect">
          <a:avLst/>
        </a:prstGeom>
      </xdr:spPr>
    </xdr:pic>
    <xdr:clientData/>
  </xdr:twoCellAnchor>
  <xdr:twoCellAnchor>
    <xdr:from>
      <xdr:col>8</xdr:col>
      <xdr:colOff>6350</xdr:colOff>
      <xdr:row>2264</xdr:row>
      <xdr:rowOff>25400</xdr:rowOff>
    </xdr:from>
    <xdr:to>
      <xdr:col>8</xdr:col>
      <xdr:colOff>885190</xdr:colOff>
      <xdr:row>2264</xdr:row>
      <xdr:rowOff>1209040</xdr:rowOff>
    </xdr:to>
    <xdr:pic>
      <xdr:nvPicPr>
        <xdr:cNvPr id="5986" name="Изображение 5985" descr="resizeПП-00200643"/>
        <xdr:cNvPicPr>
          <a:picLocks noChangeAspect="1"/>
        </xdr:cNvPicPr>
      </xdr:nvPicPr>
      <xdr:blipFill>
        <a:blip xmlns:r="http://schemas.openxmlformats.org/officeDocument/2006/relationships" r:embed="rId1735"/>
        <a:stretch>
          <a:fillRect/>
        </a:stretch>
      </xdr:blipFill>
      <xdr:spPr>
        <a:xfrm>
          <a:off x="7264400" y="2250770200"/>
          <a:ext cx="878840" cy="1183640"/>
        </a:xfrm>
        <a:prstGeom prst="rect">
          <a:avLst/>
        </a:prstGeom>
      </xdr:spPr>
    </xdr:pic>
    <xdr:clientData/>
  </xdr:twoCellAnchor>
  <xdr:twoCellAnchor>
    <xdr:from>
      <xdr:col>8</xdr:col>
      <xdr:colOff>6350</xdr:colOff>
      <xdr:row>2266</xdr:row>
      <xdr:rowOff>25400</xdr:rowOff>
    </xdr:from>
    <xdr:to>
      <xdr:col>8</xdr:col>
      <xdr:colOff>885190</xdr:colOff>
      <xdr:row>2266</xdr:row>
      <xdr:rowOff>1209040</xdr:rowOff>
    </xdr:to>
    <xdr:pic>
      <xdr:nvPicPr>
        <xdr:cNvPr id="5987" name="Изображение 5986" descr="resizeПП-00209894"/>
        <xdr:cNvPicPr>
          <a:picLocks noChangeAspect="1"/>
        </xdr:cNvPicPr>
      </xdr:nvPicPr>
      <xdr:blipFill>
        <a:blip xmlns:r="http://schemas.openxmlformats.org/officeDocument/2006/relationships" r:embed="rId1736"/>
        <a:stretch>
          <a:fillRect/>
        </a:stretch>
      </xdr:blipFill>
      <xdr:spPr>
        <a:xfrm>
          <a:off x="7264400" y="2252144975"/>
          <a:ext cx="878840" cy="1183640"/>
        </a:xfrm>
        <a:prstGeom prst="rect">
          <a:avLst/>
        </a:prstGeom>
      </xdr:spPr>
    </xdr:pic>
    <xdr:clientData/>
  </xdr:twoCellAnchor>
  <xdr:twoCellAnchor>
    <xdr:from>
      <xdr:col>8</xdr:col>
      <xdr:colOff>6350</xdr:colOff>
      <xdr:row>2267</xdr:row>
      <xdr:rowOff>25400</xdr:rowOff>
    </xdr:from>
    <xdr:to>
      <xdr:col>8</xdr:col>
      <xdr:colOff>885190</xdr:colOff>
      <xdr:row>2267</xdr:row>
      <xdr:rowOff>1209040</xdr:rowOff>
    </xdr:to>
    <xdr:pic>
      <xdr:nvPicPr>
        <xdr:cNvPr id="5988" name="Изображение 5987" descr="resizeПП-00122396"/>
        <xdr:cNvPicPr>
          <a:picLocks noChangeAspect="1"/>
        </xdr:cNvPicPr>
      </xdr:nvPicPr>
      <xdr:blipFill>
        <a:blip xmlns:r="http://schemas.openxmlformats.org/officeDocument/2006/relationships" r:embed="rId1737"/>
        <a:stretch>
          <a:fillRect/>
        </a:stretch>
      </xdr:blipFill>
      <xdr:spPr>
        <a:xfrm>
          <a:off x="7264400" y="2253367350"/>
          <a:ext cx="878840" cy="1183640"/>
        </a:xfrm>
        <a:prstGeom prst="rect">
          <a:avLst/>
        </a:prstGeom>
      </xdr:spPr>
    </xdr:pic>
    <xdr:clientData/>
  </xdr:twoCellAnchor>
  <xdr:twoCellAnchor>
    <xdr:from>
      <xdr:col>8</xdr:col>
      <xdr:colOff>6350</xdr:colOff>
      <xdr:row>2268</xdr:row>
      <xdr:rowOff>25400</xdr:rowOff>
    </xdr:from>
    <xdr:to>
      <xdr:col>8</xdr:col>
      <xdr:colOff>885190</xdr:colOff>
      <xdr:row>2268</xdr:row>
      <xdr:rowOff>1209040</xdr:rowOff>
    </xdr:to>
    <xdr:pic>
      <xdr:nvPicPr>
        <xdr:cNvPr id="5989" name="Изображение 5988" descr="resizeПП-00163354"/>
        <xdr:cNvPicPr>
          <a:picLocks noChangeAspect="1"/>
        </xdr:cNvPicPr>
      </xdr:nvPicPr>
      <xdr:blipFill>
        <a:blip xmlns:r="http://schemas.openxmlformats.org/officeDocument/2006/relationships" r:embed="rId1738"/>
        <a:stretch>
          <a:fillRect/>
        </a:stretch>
      </xdr:blipFill>
      <xdr:spPr>
        <a:xfrm>
          <a:off x="7264400" y="2254589725"/>
          <a:ext cx="878840" cy="1183640"/>
        </a:xfrm>
        <a:prstGeom prst="rect">
          <a:avLst/>
        </a:prstGeom>
      </xdr:spPr>
    </xdr:pic>
    <xdr:clientData/>
  </xdr:twoCellAnchor>
  <xdr:twoCellAnchor>
    <xdr:from>
      <xdr:col>8</xdr:col>
      <xdr:colOff>6350</xdr:colOff>
      <xdr:row>2269</xdr:row>
      <xdr:rowOff>25400</xdr:rowOff>
    </xdr:from>
    <xdr:to>
      <xdr:col>8</xdr:col>
      <xdr:colOff>885190</xdr:colOff>
      <xdr:row>2269</xdr:row>
      <xdr:rowOff>1209040</xdr:rowOff>
    </xdr:to>
    <xdr:pic>
      <xdr:nvPicPr>
        <xdr:cNvPr id="5990" name="Изображение 5989" descr="resizeПП-00200634"/>
        <xdr:cNvPicPr>
          <a:picLocks noChangeAspect="1"/>
        </xdr:cNvPicPr>
      </xdr:nvPicPr>
      <xdr:blipFill>
        <a:blip xmlns:r="http://schemas.openxmlformats.org/officeDocument/2006/relationships" r:embed="rId1739"/>
        <a:stretch>
          <a:fillRect/>
        </a:stretch>
      </xdr:blipFill>
      <xdr:spPr>
        <a:xfrm>
          <a:off x="7264400" y="2255812100"/>
          <a:ext cx="878840" cy="1183640"/>
        </a:xfrm>
        <a:prstGeom prst="rect">
          <a:avLst/>
        </a:prstGeom>
      </xdr:spPr>
    </xdr:pic>
    <xdr:clientData/>
  </xdr:twoCellAnchor>
  <xdr:twoCellAnchor>
    <xdr:from>
      <xdr:col>8</xdr:col>
      <xdr:colOff>6350</xdr:colOff>
      <xdr:row>2270</xdr:row>
      <xdr:rowOff>25400</xdr:rowOff>
    </xdr:from>
    <xdr:to>
      <xdr:col>8</xdr:col>
      <xdr:colOff>885190</xdr:colOff>
      <xdr:row>2270</xdr:row>
      <xdr:rowOff>1209040</xdr:rowOff>
    </xdr:to>
    <xdr:pic>
      <xdr:nvPicPr>
        <xdr:cNvPr id="5991" name="Изображение 5990" descr="resizeПП-00200631"/>
        <xdr:cNvPicPr>
          <a:picLocks noChangeAspect="1"/>
        </xdr:cNvPicPr>
      </xdr:nvPicPr>
      <xdr:blipFill>
        <a:blip xmlns:r="http://schemas.openxmlformats.org/officeDocument/2006/relationships" r:embed="rId1740"/>
        <a:stretch>
          <a:fillRect/>
        </a:stretch>
      </xdr:blipFill>
      <xdr:spPr>
        <a:xfrm>
          <a:off x="7264400" y="2257034475"/>
          <a:ext cx="878840" cy="1183640"/>
        </a:xfrm>
        <a:prstGeom prst="rect">
          <a:avLst/>
        </a:prstGeom>
      </xdr:spPr>
    </xdr:pic>
    <xdr:clientData/>
  </xdr:twoCellAnchor>
  <xdr:twoCellAnchor>
    <xdr:from>
      <xdr:col>8</xdr:col>
      <xdr:colOff>6350</xdr:colOff>
      <xdr:row>2271</xdr:row>
      <xdr:rowOff>25400</xdr:rowOff>
    </xdr:from>
    <xdr:to>
      <xdr:col>8</xdr:col>
      <xdr:colOff>885190</xdr:colOff>
      <xdr:row>2271</xdr:row>
      <xdr:rowOff>1209040</xdr:rowOff>
    </xdr:to>
    <xdr:pic>
      <xdr:nvPicPr>
        <xdr:cNvPr id="5992" name="Изображение 5991" descr="resizeПП-00200632"/>
        <xdr:cNvPicPr>
          <a:picLocks noChangeAspect="1"/>
        </xdr:cNvPicPr>
      </xdr:nvPicPr>
      <xdr:blipFill>
        <a:blip xmlns:r="http://schemas.openxmlformats.org/officeDocument/2006/relationships" r:embed="rId1741"/>
        <a:stretch>
          <a:fillRect/>
        </a:stretch>
      </xdr:blipFill>
      <xdr:spPr>
        <a:xfrm>
          <a:off x="7264400" y="2258256850"/>
          <a:ext cx="878840" cy="1183640"/>
        </a:xfrm>
        <a:prstGeom prst="rect">
          <a:avLst/>
        </a:prstGeom>
      </xdr:spPr>
    </xdr:pic>
    <xdr:clientData/>
  </xdr:twoCellAnchor>
  <xdr:twoCellAnchor>
    <xdr:from>
      <xdr:col>8</xdr:col>
      <xdr:colOff>6350</xdr:colOff>
      <xdr:row>2273</xdr:row>
      <xdr:rowOff>25400</xdr:rowOff>
    </xdr:from>
    <xdr:to>
      <xdr:col>8</xdr:col>
      <xdr:colOff>885190</xdr:colOff>
      <xdr:row>2273</xdr:row>
      <xdr:rowOff>1209040</xdr:rowOff>
    </xdr:to>
    <xdr:pic>
      <xdr:nvPicPr>
        <xdr:cNvPr id="5993" name="Изображение 5992" descr="resizeПП-00235109"/>
        <xdr:cNvPicPr>
          <a:picLocks noChangeAspect="1"/>
        </xdr:cNvPicPr>
      </xdr:nvPicPr>
      <xdr:blipFill>
        <a:blip xmlns:r="http://schemas.openxmlformats.org/officeDocument/2006/relationships" r:embed="rId1742"/>
        <a:stretch>
          <a:fillRect/>
        </a:stretch>
      </xdr:blipFill>
      <xdr:spPr>
        <a:xfrm>
          <a:off x="7264400" y="2259631625"/>
          <a:ext cx="878840" cy="1183640"/>
        </a:xfrm>
        <a:prstGeom prst="rect">
          <a:avLst/>
        </a:prstGeom>
      </xdr:spPr>
    </xdr:pic>
    <xdr:clientData/>
  </xdr:twoCellAnchor>
  <xdr:twoCellAnchor>
    <xdr:from>
      <xdr:col>8</xdr:col>
      <xdr:colOff>6350</xdr:colOff>
      <xdr:row>2274</xdr:row>
      <xdr:rowOff>25400</xdr:rowOff>
    </xdr:from>
    <xdr:to>
      <xdr:col>8</xdr:col>
      <xdr:colOff>885190</xdr:colOff>
      <xdr:row>2274</xdr:row>
      <xdr:rowOff>1209040</xdr:rowOff>
    </xdr:to>
    <xdr:pic>
      <xdr:nvPicPr>
        <xdr:cNvPr id="5994" name="Изображение 5993" descr="resizeПП-00200636"/>
        <xdr:cNvPicPr>
          <a:picLocks noChangeAspect="1"/>
        </xdr:cNvPicPr>
      </xdr:nvPicPr>
      <xdr:blipFill>
        <a:blip xmlns:r="http://schemas.openxmlformats.org/officeDocument/2006/relationships" r:embed="rId1743"/>
        <a:stretch>
          <a:fillRect/>
        </a:stretch>
      </xdr:blipFill>
      <xdr:spPr>
        <a:xfrm>
          <a:off x="7264400" y="2260854000"/>
          <a:ext cx="878840" cy="1183640"/>
        </a:xfrm>
        <a:prstGeom prst="rect">
          <a:avLst/>
        </a:prstGeom>
      </xdr:spPr>
    </xdr:pic>
    <xdr:clientData/>
  </xdr:twoCellAnchor>
  <xdr:twoCellAnchor>
    <xdr:from>
      <xdr:col>8</xdr:col>
      <xdr:colOff>6350</xdr:colOff>
      <xdr:row>2275</xdr:row>
      <xdr:rowOff>25400</xdr:rowOff>
    </xdr:from>
    <xdr:to>
      <xdr:col>8</xdr:col>
      <xdr:colOff>885190</xdr:colOff>
      <xdr:row>2275</xdr:row>
      <xdr:rowOff>1209040</xdr:rowOff>
    </xdr:to>
    <xdr:pic>
      <xdr:nvPicPr>
        <xdr:cNvPr id="5995" name="Изображение 5994" descr="resizeПП-00235110"/>
        <xdr:cNvPicPr>
          <a:picLocks noChangeAspect="1"/>
        </xdr:cNvPicPr>
      </xdr:nvPicPr>
      <xdr:blipFill>
        <a:blip xmlns:r="http://schemas.openxmlformats.org/officeDocument/2006/relationships" r:embed="rId1744"/>
        <a:stretch>
          <a:fillRect/>
        </a:stretch>
      </xdr:blipFill>
      <xdr:spPr>
        <a:xfrm>
          <a:off x="7264400" y="2262076375"/>
          <a:ext cx="878840" cy="1183640"/>
        </a:xfrm>
        <a:prstGeom prst="rect">
          <a:avLst/>
        </a:prstGeom>
      </xdr:spPr>
    </xdr:pic>
    <xdr:clientData/>
  </xdr:twoCellAnchor>
  <xdr:twoCellAnchor>
    <xdr:from>
      <xdr:col>8</xdr:col>
      <xdr:colOff>6350</xdr:colOff>
      <xdr:row>2276</xdr:row>
      <xdr:rowOff>25400</xdr:rowOff>
    </xdr:from>
    <xdr:to>
      <xdr:col>8</xdr:col>
      <xdr:colOff>885190</xdr:colOff>
      <xdr:row>2276</xdr:row>
      <xdr:rowOff>1209040</xdr:rowOff>
    </xdr:to>
    <xdr:pic>
      <xdr:nvPicPr>
        <xdr:cNvPr id="5996" name="Изображение 5995" descr="resizeПП-00235111"/>
        <xdr:cNvPicPr>
          <a:picLocks noChangeAspect="1"/>
        </xdr:cNvPicPr>
      </xdr:nvPicPr>
      <xdr:blipFill>
        <a:blip xmlns:r="http://schemas.openxmlformats.org/officeDocument/2006/relationships" r:embed="rId1745"/>
        <a:stretch>
          <a:fillRect/>
        </a:stretch>
      </xdr:blipFill>
      <xdr:spPr>
        <a:xfrm>
          <a:off x="7264400" y="2263298750"/>
          <a:ext cx="878840" cy="1183640"/>
        </a:xfrm>
        <a:prstGeom prst="rect">
          <a:avLst/>
        </a:prstGeom>
      </xdr:spPr>
    </xdr:pic>
    <xdr:clientData/>
  </xdr:twoCellAnchor>
  <xdr:twoCellAnchor>
    <xdr:from>
      <xdr:col>8</xdr:col>
      <xdr:colOff>6350</xdr:colOff>
      <xdr:row>2279</xdr:row>
      <xdr:rowOff>25400</xdr:rowOff>
    </xdr:from>
    <xdr:to>
      <xdr:col>8</xdr:col>
      <xdr:colOff>885190</xdr:colOff>
      <xdr:row>2279</xdr:row>
      <xdr:rowOff>1209040</xdr:rowOff>
    </xdr:to>
    <xdr:pic>
      <xdr:nvPicPr>
        <xdr:cNvPr id="5997" name="Изображение 5996" descr="resizeПП-00253720"/>
        <xdr:cNvPicPr>
          <a:picLocks noChangeAspect="1"/>
        </xdr:cNvPicPr>
      </xdr:nvPicPr>
      <xdr:blipFill>
        <a:blip xmlns:r="http://schemas.openxmlformats.org/officeDocument/2006/relationships" r:embed="rId1746"/>
        <a:stretch>
          <a:fillRect/>
        </a:stretch>
      </xdr:blipFill>
      <xdr:spPr>
        <a:xfrm>
          <a:off x="7264400" y="2264825925"/>
          <a:ext cx="878840" cy="1183640"/>
        </a:xfrm>
        <a:prstGeom prst="rect">
          <a:avLst/>
        </a:prstGeom>
      </xdr:spPr>
    </xdr:pic>
    <xdr:clientData/>
  </xdr:twoCellAnchor>
  <xdr:twoCellAnchor>
    <xdr:from>
      <xdr:col>8</xdr:col>
      <xdr:colOff>6350</xdr:colOff>
      <xdr:row>2280</xdr:row>
      <xdr:rowOff>25400</xdr:rowOff>
    </xdr:from>
    <xdr:to>
      <xdr:col>8</xdr:col>
      <xdr:colOff>885190</xdr:colOff>
      <xdr:row>2280</xdr:row>
      <xdr:rowOff>1209040</xdr:rowOff>
    </xdr:to>
    <xdr:pic>
      <xdr:nvPicPr>
        <xdr:cNvPr id="5998" name="Изображение 5997" descr="resizeПП-00253722"/>
        <xdr:cNvPicPr>
          <a:picLocks noChangeAspect="1"/>
        </xdr:cNvPicPr>
      </xdr:nvPicPr>
      <xdr:blipFill>
        <a:blip xmlns:r="http://schemas.openxmlformats.org/officeDocument/2006/relationships" r:embed="rId1747"/>
        <a:stretch>
          <a:fillRect/>
        </a:stretch>
      </xdr:blipFill>
      <xdr:spPr>
        <a:xfrm>
          <a:off x="7264400" y="2266048300"/>
          <a:ext cx="878840" cy="1183640"/>
        </a:xfrm>
        <a:prstGeom prst="rect">
          <a:avLst/>
        </a:prstGeom>
      </xdr:spPr>
    </xdr:pic>
    <xdr:clientData/>
  </xdr:twoCellAnchor>
  <xdr:twoCellAnchor>
    <xdr:from>
      <xdr:col>8</xdr:col>
      <xdr:colOff>6350</xdr:colOff>
      <xdr:row>2282</xdr:row>
      <xdr:rowOff>25400</xdr:rowOff>
    </xdr:from>
    <xdr:to>
      <xdr:col>8</xdr:col>
      <xdr:colOff>885190</xdr:colOff>
      <xdr:row>2282</xdr:row>
      <xdr:rowOff>1209040</xdr:rowOff>
    </xdr:to>
    <xdr:pic>
      <xdr:nvPicPr>
        <xdr:cNvPr id="5999" name="Изображение 5998" descr="resizeПП-00253730"/>
        <xdr:cNvPicPr>
          <a:picLocks noChangeAspect="1"/>
        </xdr:cNvPicPr>
      </xdr:nvPicPr>
      <xdr:blipFill>
        <a:blip xmlns:r="http://schemas.openxmlformats.org/officeDocument/2006/relationships" r:embed="rId1748"/>
        <a:stretch>
          <a:fillRect/>
        </a:stretch>
      </xdr:blipFill>
      <xdr:spPr>
        <a:xfrm>
          <a:off x="7264400" y="2267423075"/>
          <a:ext cx="878840" cy="1183640"/>
        </a:xfrm>
        <a:prstGeom prst="rect">
          <a:avLst/>
        </a:prstGeom>
      </xdr:spPr>
    </xdr:pic>
    <xdr:clientData/>
  </xdr:twoCellAnchor>
  <xdr:twoCellAnchor>
    <xdr:from>
      <xdr:col>8</xdr:col>
      <xdr:colOff>6350</xdr:colOff>
      <xdr:row>2283</xdr:row>
      <xdr:rowOff>25400</xdr:rowOff>
    </xdr:from>
    <xdr:to>
      <xdr:col>8</xdr:col>
      <xdr:colOff>885190</xdr:colOff>
      <xdr:row>2283</xdr:row>
      <xdr:rowOff>1209040</xdr:rowOff>
    </xdr:to>
    <xdr:pic>
      <xdr:nvPicPr>
        <xdr:cNvPr id="6000" name="Изображение 5999" descr="resizeПП-00253731"/>
        <xdr:cNvPicPr>
          <a:picLocks noChangeAspect="1"/>
        </xdr:cNvPicPr>
      </xdr:nvPicPr>
      <xdr:blipFill>
        <a:blip xmlns:r="http://schemas.openxmlformats.org/officeDocument/2006/relationships" r:embed="rId1749"/>
        <a:stretch>
          <a:fillRect/>
        </a:stretch>
      </xdr:blipFill>
      <xdr:spPr>
        <a:xfrm>
          <a:off x="7264400" y="2268645450"/>
          <a:ext cx="878840" cy="1183640"/>
        </a:xfrm>
        <a:prstGeom prst="rect">
          <a:avLst/>
        </a:prstGeom>
      </xdr:spPr>
    </xdr:pic>
    <xdr:clientData/>
  </xdr:twoCellAnchor>
  <xdr:twoCellAnchor>
    <xdr:from>
      <xdr:col>8</xdr:col>
      <xdr:colOff>6350</xdr:colOff>
      <xdr:row>2284</xdr:row>
      <xdr:rowOff>25400</xdr:rowOff>
    </xdr:from>
    <xdr:to>
      <xdr:col>8</xdr:col>
      <xdr:colOff>885190</xdr:colOff>
      <xdr:row>2284</xdr:row>
      <xdr:rowOff>1209040</xdr:rowOff>
    </xdr:to>
    <xdr:pic>
      <xdr:nvPicPr>
        <xdr:cNvPr id="6001" name="Изображение 6000" descr="resizeПП-00253732"/>
        <xdr:cNvPicPr>
          <a:picLocks noChangeAspect="1"/>
        </xdr:cNvPicPr>
      </xdr:nvPicPr>
      <xdr:blipFill>
        <a:blip xmlns:r="http://schemas.openxmlformats.org/officeDocument/2006/relationships" r:embed="rId1750"/>
        <a:stretch>
          <a:fillRect/>
        </a:stretch>
      </xdr:blipFill>
      <xdr:spPr>
        <a:xfrm>
          <a:off x="7264400" y="2269867825"/>
          <a:ext cx="878840" cy="1183640"/>
        </a:xfrm>
        <a:prstGeom prst="rect">
          <a:avLst/>
        </a:prstGeom>
      </xdr:spPr>
    </xdr:pic>
    <xdr:clientData/>
  </xdr:twoCellAnchor>
  <xdr:twoCellAnchor>
    <xdr:from>
      <xdr:col>8</xdr:col>
      <xdr:colOff>6350</xdr:colOff>
      <xdr:row>2285</xdr:row>
      <xdr:rowOff>25400</xdr:rowOff>
    </xdr:from>
    <xdr:to>
      <xdr:col>8</xdr:col>
      <xdr:colOff>885190</xdr:colOff>
      <xdr:row>2285</xdr:row>
      <xdr:rowOff>1209040</xdr:rowOff>
    </xdr:to>
    <xdr:pic>
      <xdr:nvPicPr>
        <xdr:cNvPr id="6002" name="Изображение 6001" descr="resizeПП-00253726"/>
        <xdr:cNvPicPr>
          <a:picLocks noChangeAspect="1"/>
        </xdr:cNvPicPr>
      </xdr:nvPicPr>
      <xdr:blipFill>
        <a:blip xmlns:r="http://schemas.openxmlformats.org/officeDocument/2006/relationships" r:embed="rId1751"/>
        <a:stretch>
          <a:fillRect/>
        </a:stretch>
      </xdr:blipFill>
      <xdr:spPr>
        <a:xfrm>
          <a:off x="7264400" y="2271090200"/>
          <a:ext cx="878840" cy="1183640"/>
        </a:xfrm>
        <a:prstGeom prst="rect">
          <a:avLst/>
        </a:prstGeom>
      </xdr:spPr>
    </xdr:pic>
    <xdr:clientData/>
  </xdr:twoCellAnchor>
  <xdr:twoCellAnchor>
    <xdr:from>
      <xdr:col>8</xdr:col>
      <xdr:colOff>6350</xdr:colOff>
      <xdr:row>2287</xdr:row>
      <xdr:rowOff>25400</xdr:rowOff>
    </xdr:from>
    <xdr:to>
      <xdr:col>8</xdr:col>
      <xdr:colOff>885190</xdr:colOff>
      <xdr:row>2287</xdr:row>
      <xdr:rowOff>1209040</xdr:rowOff>
    </xdr:to>
    <xdr:pic>
      <xdr:nvPicPr>
        <xdr:cNvPr id="6003" name="Изображение 6002" descr="resizeПП-00253737"/>
        <xdr:cNvPicPr>
          <a:picLocks noChangeAspect="1"/>
        </xdr:cNvPicPr>
      </xdr:nvPicPr>
      <xdr:blipFill>
        <a:blip xmlns:r="http://schemas.openxmlformats.org/officeDocument/2006/relationships" r:embed="rId1752"/>
        <a:stretch>
          <a:fillRect/>
        </a:stretch>
      </xdr:blipFill>
      <xdr:spPr>
        <a:xfrm>
          <a:off x="7264400" y="2272464975"/>
          <a:ext cx="878840" cy="1183640"/>
        </a:xfrm>
        <a:prstGeom prst="rect">
          <a:avLst/>
        </a:prstGeom>
      </xdr:spPr>
    </xdr:pic>
    <xdr:clientData/>
  </xdr:twoCellAnchor>
  <xdr:twoCellAnchor>
    <xdr:from>
      <xdr:col>8</xdr:col>
      <xdr:colOff>6350</xdr:colOff>
      <xdr:row>2289</xdr:row>
      <xdr:rowOff>25400</xdr:rowOff>
    </xdr:from>
    <xdr:to>
      <xdr:col>8</xdr:col>
      <xdr:colOff>885190</xdr:colOff>
      <xdr:row>2289</xdr:row>
      <xdr:rowOff>1209040</xdr:rowOff>
    </xdr:to>
    <xdr:pic>
      <xdr:nvPicPr>
        <xdr:cNvPr id="6004" name="Изображение 6003" descr="resizeПП-00162188"/>
        <xdr:cNvPicPr>
          <a:picLocks noChangeAspect="1"/>
        </xdr:cNvPicPr>
      </xdr:nvPicPr>
      <xdr:blipFill>
        <a:blip xmlns:r="http://schemas.openxmlformats.org/officeDocument/2006/relationships" r:embed="rId1753"/>
        <a:stretch>
          <a:fillRect/>
        </a:stretch>
      </xdr:blipFill>
      <xdr:spPr>
        <a:xfrm>
          <a:off x="7264400" y="2273839750"/>
          <a:ext cx="878840" cy="1183640"/>
        </a:xfrm>
        <a:prstGeom prst="rect">
          <a:avLst/>
        </a:prstGeom>
      </xdr:spPr>
    </xdr:pic>
    <xdr:clientData/>
  </xdr:twoCellAnchor>
  <xdr:twoCellAnchor>
    <xdr:from>
      <xdr:col>8</xdr:col>
      <xdr:colOff>6350</xdr:colOff>
      <xdr:row>2291</xdr:row>
      <xdr:rowOff>25400</xdr:rowOff>
    </xdr:from>
    <xdr:to>
      <xdr:col>8</xdr:col>
      <xdr:colOff>885190</xdr:colOff>
      <xdr:row>2291</xdr:row>
      <xdr:rowOff>1209040</xdr:rowOff>
    </xdr:to>
    <xdr:pic>
      <xdr:nvPicPr>
        <xdr:cNvPr id="6005" name="Изображение 6004" descr="resizeПП-00253740"/>
        <xdr:cNvPicPr>
          <a:picLocks noChangeAspect="1"/>
        </xdr:cNvPicPr>
      </xdr:nvPicPr>
      <xdr:blipFill>
        <a:blip xmlns:r="http://schemas.openxmlformats.org/officeDocument/2006/relationships" r:embed="rId1754"/>
        <a:stretch>
          <a:fillRect/>
        </a:stretch>
      </xdr:blipFill>
      <xdr:spPr>
        <a:xfrm>
          <a:off x="7264400" y="2275214525"/>
          <a:ext cx="878840" cy="1183640"/>
        </a:xfrm>
        <a:prstGeom prst="rect">
          <a:avLst/>
        </a:prstGeom>
      </xdr:spPr>
    </xdr:pic>
    <xdr:clientData/>
  </xdr:twoCellAnchor>
  <xdr:twoCellAnchor>
    <xdr:from>
      <xdr:col>8</xdr:col>
      <xdr:colOff>6350</xdr:colOff>
      <xdr:row>2292</xdr:row>
      <xdr:rowOff>25400</xdr:rowOff>
    </xdr:from>
    <xdr:to>
      <xdr:col>8</xdr:col>
      <xdr:colOff>885190</xdr:colOff>
      <xdr:row>2292</xdr:row>
      <xdr:rowOff>1209040</xdr:rowOff>
    </xdr:to>
    <xdr:pic>
      <xdr:nvPicPr>
        <xdr:cNvPr id="6006" name="Изображение 6005" descr="resizeПП-00253738"/>
        <xdr:cNvPicPr>
          <a:picLocks noChangeAspect="1"/>
        </xdr:cNvPicPr>
      </xdr:nvPicPr>
      <xdr:blipFill>
        <a:blip xmlns:r="http://schemas.openxmlformats.org/officeDocument/2006/relationships" r:embed="rId1755"/>
        <a:stretch>
          <a:fillRect/>
        </a:stretch>
      </xdr:blipFill>
      <xdr:spPr>
        <a:xfrm>
          <a:off x="7264400" y="2276436900"/>
          <a:ext cx="878840" cy="1183640"/>
        </a:xfrm>
        <a:prstGeom prst="rect">
          <a:avLst/>
        </a:prstGeom>
      </xdr:spPr>
    </xdr:pic>
    <xdr:clientData/>
  </xdr:twoCellAnchor>
  <xdr:twoCellAnchor>
    <xdr:from>
      <xdr:col>8</xdr:col>
      <xdr:colOff>6350</xdr:colOff>
      <xdr:row>2293</xdr:row>
      <xdr:rowOff>25400</xdr:rowOff>
    </xdr:from>
    <xdr:to>
      <xdr:col>8</xdr:col>
      <xdr:colOff>885190</xdr:colOff>
      <xdr:row>2293</xdr:row>
      <xdr:rowOff>1209040</xdr:rowOff>
    </xdr:to>
    <xdr:pic>
      <xdr:nvPicPr>
        <xdr:cNvPr id="6007" name="Изображение 6006" descr="resizeПП-00253741"/>
        <xdr:cNvPicPr>
          <a:picLocks noChangeAspect="1"/>
        </xdr:cNvPicPr>
      </xdr:nvPicPr>
      <xdr:blipFill>
        <a:blip xmlns:r="http://schemas.openxmlformats.org/officeDocument/2006/relationships" r:embed="rId1756"/>
        <a:stretch>
          <a:fillRect/>
        </a:stretch>
      </xdr:blipFill>
      <xdr:spPr>
        <a:xfrm>
          <a:off x="7264400" y="2277659275"/>
          <a:ext cx="878840" cy="1183640"/>
        </a:xfrm>
        <a:prstGeom prst="rect">
          <a:avLst/>
        </a:prstGeom>
      </xdr:spPr>
    </xdr:pic>
    <xdr:clientData/>
  </xdr:twoCellAnchor>
  <xdr:twoCellAnchor>
    <xdr:from>
      <xdr:col>8</xdr:col>
      <xdr:colOff>6350</xdr:colOff>
      <xdr:row>2294</xdr:row>
      <xdr:rowOff>25400</xdr:rowOff>
    </xdr:from>
    <xdr:to>
      <xdr:col>8</xdr:col>
      <xdr:colOff>885190</xdr:colOff>
      <xdr:row>2294</xdr:row>
      <xdr:rowOff>1209040</xdr:rowOff>
    </xdr:to>
    <xdr:pic>
      <xdr:nvPicPr>
        <xdr:cNvPr id="6008" name="Изображение 6007" descr="resizeПП-00253742"/>
        <xdr:cNvPicPr>
          <a:picLocks noChangeAspect="1"/>
        </xdr:cNvPicPr>
      </xdr:nvPicPr>
      <xdr:blipFill>
        <a:blip xmlns:r="http://schemas.openxmlformats.org/officeDocument/2006/relationships" r:embed="rId1757"/>
        <a:stretch>
          <a:fillRect/>
        </a:stretch>
      </xdr:blipFill>
      <xdr:spPr>
        <a:xfrm>
          <a:off x="7264400" y="2278881650"/>
          <a:ext cx="878840" cy="1183640"/>
        </a:xfrm>
        <a:prstGeom prst="rect">
          <a:avLst/>
        </a:prstGeom>
      </xdr:spPr>
    </xdr:pic>
    <xdr:clientData/>
  </xdr:twoCellAnchor>
  <xdr:twoCellAnchor>
    <xdr:from>
      <xdr:col>8</xdr:col>
      <xdr:colOff>6350</xdr:colOff>
      <xdr:row>2295</xdr:row>
      <xdr:rowOff>25400</xdr:rowOff>
    </xdr:from>
    <xdr:to>
      <xdr:col>8</xdr:col>
      <xdr:colOff>885190</xdr:colOff>
      <xdr:row>2295</xdr:row>
      <xdr:rowOff>1209040</xdr:rowOff>
    </xdr:to>
    <xdr:pic>
      <xdr:nvPicPr>
        <xdr:cNvPr id="6009" name="Изображение 6008" descr="resizeПП-00253743"/>
        <xdr:cNvPicPr>
          <a:picLocks noChangeAspect="1"/>
        </xdr:cNvPicPr>
      </xdr:nvPicPr>
      <xdr:blipFill>
        <a:blip xmlns:r="http://schemas.openxmlformats.org/officeDocument/2006/relationships" r:embed="rId1758"/>
        <a:stretch>
          <a:fillRect/>
        </a:stretch>
      </xdr:blipFill>
      <xdr:spPr>
        <a:xfrm>
          <a:off x="7264400" y="2280104025"/>
          <a:ext cx="878840" cy="1183640"/>
        </a:xfrm>
        <a:prstGeom prst="rect">
          <a:avLst/>
        </a:prstGeom>
      </xdr:spPr>
    </xdr:pic>
    <xdr:clientData/>
  </xdr:twoCellAnchor>
  <xdr:twoCellAnchor>
    <xdr:from>
      <xdr:col>8</xdr:col>
      <xdr:colOff>6350</xdr:colOff>
      <xdr:row>2296</xdr:row>
      <xdr:rowOff>25400</xdr:rowOff>
    </xdr:from>
    <xdr:to>
      <xdr:col>8</xdr:col>
      <xdr:colOff>885190</xdr:colOff>
      <xdr:row>2296</xdr:row>
      <xdr:rowOff>1209040</xdr:rowOff>
    </xdr:to>
    <xdr:pic>
      <xdr:nvPicPr>
        <xdr:cNvPr id="6010" name="Изображение 6009" descr="resizeПП-00253745"/>
        <xdr:cNvPicPr>
          <a:picLocks noChangeAspect="1"/>
        </xdr:cNvPicPr>
      </xdr:nvPicPr>
      <xdr:blipFill>
        <a:blip xmlns:r="http://schemas.openxmlformats.org/officeDocument/2006/relationships" r:embed="rId1759"/>
        <a:stretch>
          <a:fillRect/>
        </a:stretch>
      </xdr:blipFill>
      <xdr:spPr>
        <a:xfrm>
          <a:off x="7264400" y="2281326400"/>
          <a:ext cx="878840" cy="1183640"/>
        </a:xfrm>
        <a:prstGeom prst="rect">
          <a:avLst/>
        </a:prstGeom>
      </xdr:spPr>
    </xdr:pic>
    <xdr:clientData/>
  </xdr:twoCellAnchor>
  <xdr:twoCellAnchor>
    <xdr:from>
      <xdr:col>8</xdr:col>
      <xdr:colOff>6350</xdr:colOff>
      <xdr:row>2298</xdr:row>
      <xdr:rowOff>25400</xdr:rowOff>
    </xdr:from>
    <xdr:to>
      <xdr:col>8</xdr:col>
      <xdr:colOff>885190</xdr:colOff>
      <xdr:row>2298</xdr:row>
      <xdr:rowOff>1209040</xdr:rowOff>
    </xdr:to>
    <xdr:pic>
      <xdr:nvPicPr>
        <xdr:cNvPr id="6011" name="Изображение 6010" descr="resizeПП-00253749"/>
        <xdr:cNvPicPr>
          <a:picLocks noChangeAspect="1"/>
        </xdr:cNvPicPr>
      </xdr:nvPicPr>
      <xdr:blipFill>
        <a:blip xmlns:r="http://schemas.openxmlformats.org/officeDocument/2006/relationships" r:embed="rId1760"/>
        <a:stretch>
          <a:fillRect/>
        </a:stretch>
      </xdr:blipFill>
      <xdr:spPr>
        <a:xfrm>
          <a:off x="7264400" y="2282701175"/>
          <a:ext cx="878840" cy="1183640"/>
        </a:xfrm>
        <a:prstGeom prst="rect">
          <a:avLst/>
        </a:prstGeom>
      </xdr:spPr>
    </xdr:pic>
    <xdr:clientData/>
  </xdr:twoCellAnchor>
  <xdr:twoCellAnchor>
    <xdr:from>
      <xdr:col>8</xdr:col>
      <xdr:colOff>6350</xdr:colOff>
      <xdr:row>2299</xdr:row>
      <xdr:rowOff>25400</xdr:rowOff>
    </xdr:from>
    <xdr:to>
      <xdr:col>8</xdr:col>
      <xdr:colOff>885190</xdr:colOff>
      <xdr:row>2299</xdr:row>
      <xdr:rowOff>1209040</xdr:rowOff>
    </xdr:to>
    <xdr:pic>
      <xdr:nvPicPr>
        <xdr:cNvPr id="6012" name="Изображение 6011" descr="resizeПП-00253751"/>
        <xdr:cNvPicPr>
          <a:picLocks noChangeAspect="1"/>
        </xdr:cNvPicPr>
      </xdr:nvPicPr>
      <xdr:blipFill>
        <a:blip xmlns:r="http://schemas.openxmlformats.org/officeDocument/2006/relationships" r:embed="rId1761"/>
        <a:stretch>
          <a:fillRect/>
        </a:stretch>
      </xdr:blipFill>
      <xdr:spPr>
        <a:xfrm>
          <a:off x="7264400" y="2283923550"/>
          <a:ext cx="878840" cy="1183640"/>
        </a:xfrm>
        <a:prstGeom prst="rect">
          <a:avLst/>
        </a:prstGeom>
      </xdr:spPr>
    </xdr:pic>
    <xdr:clientData/>
  </xdr:twoCellAnchor>
  <xdr:twoCellAnchor>
    <xdr:from>
      <xdr:col>8</xdr:col>
      <xdr:colOff>6350</xdr:colOff>
      <xdr:row>2300</xdr:row>
      <xdr:rowOff>25400</xdr:rowOff>
    </xdr:from>
    <xdr:to>
      <xdr:col>8</xdr:col>
      <xdr:colOff>885190</xdr:colOff>
      <xdr:row>2300</xdr:row>
      <xdr:rowOff>1209040</xdr:rowOff>
    </xdr:to>
    <xdr:pic>
      <xdr:nvPicPr>
        <xdr:cNvPr id="6013" name="Изображение 6012" descr="resizeПП-00253754"/>
        <xdr:cNvPicPr>
          <a:picLocks noChangeAspect="1"/>
        </xdr:cNvPicPr>
      </xdr:nvPicPr>
      <xdr:blipFill>
        <a:blip xmlns:r="http://schemas.openxmlformats.org/officeDocument/2006/relationships" r:embed="rId1762"/>
        <a:stretch>
          <a:fillRect/>
        </a:stretch>
      </xdr:blipFill>
      <xdr:spPr>
        <a:xfrm>
          <a:off x="7264400" y="2285145925"/>
          <a:ext cx="878840" cy="1183640"/>
        </a:xfrm>
        <a:prstGeom prst="rect">
          <a:avLst/>
        </a:prstGeom>
      </xdr:spPr>
    </xdr:pic>
    <xdr:clientData/>
  </xdr:twoCellAnchor>
  <xdr:twoCellAnchor>
    <xdr:from>
      <xdr:col>8</xdr:col>
      <xdr:colOff>6350</xdr:colOff>
      <xdr:row>2301</xdr:row>
      <xdr:rowOff>25400</xdr:rowOff>
    </xdr:from>
    <xdr:to>
      <xdr:col>8</xdr:col>
      <xdr:colOff>885190</xdr:colOff>
      <xdr:row>2301</xdr:row>
      <xdr:rowOff>1209040</xdr:rowOff>
    </xdr:to>
    <xdr:pic>
      <xdr:nvPicPr>
        <xdr:cNvPr id="6014" name="Изображение 6013" descr="resizeПП-00253757"/>
        <xdr:cNvPicPr>
          <a:picLocks noChangeAspect="1"/>
        </xdr:cNvPicPr>
      </xdr:nvPicPr>
      <xdr:blipFill>
        <a:blip xmlns:r="http://schemas.openxmlformats.org/officeDocument/2006/relationships" r:embed="rId1763"/>
        <a:stretch>
          <a:fillRect/>
        </a:stretch>
      </xdr:blipFill>
      <xdr:spPr>
        <a:xfrm>
          <a:off x="7264400" y="2286368300"/>
          <a:ext cx="878840" cy="1183640"/>
        </a:xfrm>
        <a:prstGeom prst="rect">
          <a:avLst/>
        </a:prstGeom>
      </xdr:spPr>
    </xdr:pic>
    <xdr:clientData/>
  </xdr:twoCellAnchor>
  <xdr:twoCellAnchor>
    <xdr:from>
      <xdr:col>8</xdr:col>
      <xdr:colOff>6350</xdr:colOff>
      <xdr:row>2302</xdr:row>
      <xdr:rowOff>25400</xdr:rowOff>
    </xdr:from>
    <xdr:to>
      <xdr:col>8</xdr:col>
      <xdr:colOff>885190</xdr:colOff>
      <xdr:row>2302</xdr:row>
      <xdr:rowOff>1209040</xdr:rowOff>
    </xdr:to>
    <xdr:pic>
      <xdr:nvPicPr>
        <xdr:cNvPr id="6015" name="Изображение 6014" descr="resizeПП-00253756"/>
        <xdr:cNvPicPr>
          <a:picLocks noChangeAspect="1"/>
        </xdr:cNvPicPr>
      </xdr:nvPicPr>
      <xdr:blipFill>
        <a:blip xmlns:r="http://schemas.openxmlformats.org/officeDocument/2006/relationships" r:embed="rId1764"/>
        <a:stretch>
          <a:fillRect/>
        </a:stretch>
      </xdr:blipFill>
      <xdr:spPr>
        <a:xfrm>
          <a:off x="7264400" y="2287590675"/>
          <a:ext cx="878840" cy="1183640"/>
        </a:xfrm>
        <a:prstGeom prst="rect">
          <a:avLst/>
        </a:prstGeom>
      </xdr:spPr>
    </xdr:pic>
    <xdr:clientData/>
  </xdr:twoCellAnchor>
  <xdr:twoCellAnchor>
    <xdr:from>
      <xdr:col>8</xdr:col>
      <xdr:colOff>6350</xdr:colOff>
      <xdr:row>2303</xdr:row>
      <xdr:rowOff>25400</xdr:rowOff>
    </xdr:from>
    <xdr:to>
      <xdr:col>8</xdr:col>
      <xdr:colOff>885190</xdr:colOff>
      <xdr:row>2303</xdr:row>
      <xdr:rowOff>1209040</xdr:rowOff>
    </xdr:to>
    <xdr:pic>
      <xdr:nvPicPr>
        <xdr:cNvPr id="6016" name="Изображение 6015" descr="resizeПП-00253759"/>
        <xdr:cNvPicPr>
          <a:picLocks noChangeAspect="1"/>
        </xdr:cNvPicPr>
      </xdr:nvPicPr>
      <xdr:blipFill>
        <a:blip xmlns:r="http://schemas.openxmlformats.org/officeDocument/2006/relationships" r:embed="rId1765"/>
        <a:stretch>
          <a:fillRect/>
        </a:stretch>
      </xdr:blipFill>
      <xdr:spPr>
        <a:xfrm>
          <a:off x="7264400" y="2288813050"/>
          <a:ext cx="878840" cy="1183640"/>
        </a:xfrm>
        <a:prstGeom prst="rect">
          <a:avLst/>
        </a:prstGeom>
      </xdr:spPr>
    </xdr:pic>
    <xdr:clientData/>
  </xdr:twoCellAnchor>
  <xdr:twoCellAnchor>
    <xdr:from>
      <xdr:col>8</xdr:col>
      <xdr:colOff>6350</xdr:colOff>
      <xdr:row>2304</xdr:row>
      <xdr:rowOff>25400</xdr:rowOff>
    </xdr:from>
    <xdr:to>
      <xdr:col>8</xdr:col>
      <xdr:colOff>1189990</xdr:colOff>
      <xdr:row>2304</xdr:row>
      <xdr:rowOff>1056640</xdr:rowOff>
    </xdr:to>
    <xdr:pic>
      <xdr:nvPicPr>
        <xdr:cNvPr id="6017" name="Изображение 6016" descr="resizeПП-00045590"/>
        <xdr:cNvPicPr>
          <a:picLocks noChangeAspect="1"/>
        </xdr:cNvPicPr>
      </xdr:nvPicPr>
      <xdr:blipFill>
        <a:blip xmlns:r="http://schemas.openxmlformats.org/officeDocument/2006/relationships" r:embed="rId1766"/>
        <a:stretch>
          <a:fillRect/>
        </a:stretch>
      </xdr:blipFill>
      <xdr:spPr>
        <a:xfrm>
          <a:off x="7264400" y="2290035425"/>
          <a:ext cx="1183640" cy="1031240"/>
        </a:xfrm>
        <a:prstGeom prst="rect">
          <a:avLst/>
        </a:prstGeom>
      </xdr:spPr>
    </xdr:pic>
    <xdr:clientData/>
  </xdr:twoCellAnchor>
  <xdr:twoCellAnchor>
    <xdr:from>
      <xdr:col>8</xdr:col>
      <xdr:colOff>6350</xdr:colOff>
      <xdr:row>2306</xdr:row>
      <xdr:rowOff>25400</xdr:rowOff>
    </xdr:from>
    <xdr:to>
      <xdr:col>8</xdr:col>
      <xdr:colOff>885190</xdr:colOff>
      <xdr:row>2306</xdr:row>
      <xdr:rowOff>1209040</xdr:rowOff>
    </xdr:to>
    <xdr:pic>
      <xdr:nvPicPr>
        <xdr:cNvPr id="6018" name="Изображение 6017" descr="resizeПП-00253760"/>
        <xdr:cNvPicPr>
          <a:picLocks noChangeAspect="1"/>
        </xdr:cNvPicPr>
      </xdr:nvPicPr>
      <xdr:blipFill>
        <a:blip xmlns:r="http://schemas.openxmlformats.org/officeDocument/2006/relationships" r:embed="rId1767"/>
        <a:stretch>
          <a:fillRect/>
        </a:stretch>
      </xdr:blipFill>
      <xdr:spPr>
        <a:xfrm>
          <a:off x="7264400" y="2291410200"/>
          <a:ext cx="878840" cy="1183640"/>
        </a:xfrm>
        <a:prstGeom prst="rect">
          <a:avLst/>
        </a:prstGeom>
      </xdr:spPr>
    </xdr:pic>
    <xdr:clientData/>
  </xdr:twoCellAnchor>
  <xdr:twoCellAnchor>
    <xdr:from>
      <xdr:col>8</xdr:col>
      <xdr:colOff>6350</xdr:colOff>
      <xdr:row>2307</xdr:row>
      <xdr:rowOff>25400</xdr:rowOff>
    </xdr:from>
    <xdr:to>
      <xdr:col>8</xdr:col>
      <xdr:colOff>885190</xdr:colOff>
      <xdr:row>2307</xdr:row>
      <xdr:rowOff>1209040</xdr:rowOff>
    </xdr:to>
    <xdr:pic>
      <xdr:nvPicPr>
        <xdr:cNvPr id="6019" name="Изображение 6018" descr="resizeПП-00253762"/>
        <xdr:cNvPicPr>
          <a:picLocks noChangeAspect="1"/>
        </xdr:cNvPicPr>
      </xdr:nvPicPr>
      <xdr:blipFill>
        <a:blip xmlns:r="http://schemas.openxmlformats.org/officeDocument/2006/relationships" r:embed="rId1768"/>
        <a:stretch>
          <a:fillRect/>
        </a:stretch>
      </xdr:blipFill>
      <xdr:spPr>
        <a:xfrm>
          <a:off x="7264400" y="2292632575"/>
          <a:ext cx="878840" cy="1183640"/>
        </a:xfrm>
        <a:prstGeom prst="rect">
          <a:avLst/>
        </a:prstGeom>
      </xdr:spPr>
    </xdr:pic>
    <xdr:clientData/>
  </xdr:twoCellAnchor>
  <xdr:twoCellAnchor>
    <xdr:from>
      <xdr:col>8</xdr:col>
      <xdr:colOff>6350</xdr:colOff>
      <xdr:row>2313</xdr:row>
      <xdr:rowOff>25400</xdr:rowOff>
    </xdr:from>
    <xdr:to>
      <xdr:col>8</xdr:col>
      <xdr:colOff>885190</xdr:colOff>
      <xdr:row>2313</xdr:row>
      <xdr:rowOff>1209040</xdr:rowOff>
    </xdr:to>
    <xdr:pic>
      <xdr:nvPicPr>
        <xdr:cNvPr id="6020" name="Изображение 6019" descr="resizeПП-00271132"/>
        <xdr:cNvPicPr>
          <a:picLocks noChangeAspect="1"/>
        </xdr:cNvPicPr>
      </xdr:nvPicPr>
      <xdr:blipFill>
        <a:blip xmlns:r="http://schemas.openxmlformats.org/officeDocument/2006/relationships" r:embed="rId1769"/>
        <a:stretch>
          <a:fillRect/>
        </a:stretch>
      </xdr:blipFill>
      <xdr:spPr>
        <a:xfrm>
          <a:off x="7264400" y="2294616950"/>
          <a:ext cx="878840" cy="1183640"/>
        </a:xfrm>
        <a:prstGeom prst="rect">
          <a:avLst/>
        </a:prstGeom>
      </xdr:spPr>
    </xdr:pic>
    <xdr:clientData/>
  </xdr:twoCellAnchor>
  <xdr:twoCellAnchor>
    <xdr:from>
      <xdr:col>8</xdr:col>
      <xdr:colOff>6350</xdr:colOff>
      <xdr:row>2314</xdr:row>
      <xdr:rowOff>25400</xdr:rowOff>
    </xdr:from>
    <xdr:to>
      <xdr:col>8</xdr:col>
      <xdr:colOff>885190</xdr:colOff>
      <xdr:row>2314</xdr:row>
      <xdr:rowOff>1209040</xdr:rowOff>
    </xdr:to>
    <xdr:pic>
      <xdr:nvPicPr>
        <xdr:cNvPr id="6021" name="Изображение 6020" descr="resizeПП-00271133"/>
        <xdr:cNvPicPr>
          <a:picLocks noChangeAspect="1"/>
        </xdr:cNvPicPr>
      </xdr:nvPicPr>
      <xdr:blipFill>
        <a:blip xmlns:r="http://schemas.openxmlformats.org/officeDocument/2006/relationships" r:embed="rId1770"/>
        <a:stretch>
          <a:fillRect/>
        </a:stretch>
      </xdr:blipFill>
      <xdr:spPr>
        <a:xfrm>
          <a:off x="7264400" y="2295839325"/>
          <a:ext cx="878840" cy="1183640"/>
        </a:xfrm>
        <a:prstGeom prst="rect">
          <a:avLst/>
        </a:prstGeom>
      </xdr:spPr>
    </xdr:pic>
    <xdr:clientData/>
  </xdr:twoCellAnchor>
  <xdr:twoCellAnchor>
    <xdr:from>
      <xdr:col>8</xdr:col>
      <xdr:colOff>6350</xdr:colOff>
      <xdr:row>2315</xdr:row>
      <xdr:rowOff>25400</xdr:rowOff>
    </xdr:from>
    <xdr:to>
      <xdr:col>8</xdr:col>
      <xdr:colOff>885190</xdr:colOff>
      <xdr:row>2315</xdr:row>
      <xdr:rowOff>1209040</xdr:rowOff>
    </xdr:to>
    <xdr:pic>
      <xdr:nvPicPr>
        <xdr:cNvPr id="6022" name="Изображение 6021" descr="resizeПП-00271131"/>
        <xdr:cNvPicPr>
          <a:picLocks noChangeAspect="1"/>
        </xdr:cNvPicPr>
      </xdr:nvPicPr>
      <xdr:blipFill>
        <a:blip xmlns:r="http://schemas.openxmlformats.org/officeDocument/2006/relationships" r:embed="rId1771"/>
        <a:stretch>
          <a:fillRect/>
        </a:stretch>
      </xdr:blipFill>
      <xdr:spPr>
        <a:xfrm>
          <a:off x="7264400" y="2297061700"/>
          <a:ext cx="878840" cy="1183640"/>
        </a:xfrm>
        <a:prstGeom prst="rect">
          <a:avLst/>
        </a:prstGeom>
      </xdr:spPr>
    </xdr:pic>
    <xdr:clientData/>
  </xdr:twoCellAnchor>
  <xdr:twoCellAnchor>
    <xdr:from>
      <xdr:col>8</xdr:col>
      <xdr:colOff>6350</xdr:colOff>
      <xdr:row>2316</xdr:row>
      <xdr:rowOff>25400</xdr:rowOff>
    </xdr:from>
    <xdr:to>
      <xdr:col>8</xdr:col>
      <xdr:colOff>885190</xdr:colOff>
      <xdr:row>2316</xdr:row>
      <xdr:rowOff>1209040</xdr:rowOff>
    </xdr:to>
    <xdr:pic>
      <xdr:nvPicPr>
        <xdr:cNvPr id="6023" name="Изображение 6022" descr="resizeПП-00271130"/>
        <xdr:cNvPicPr>
          <a:picLocks noChangeAspect="1"/>
        </xdr:cNvPicPr>
      </xdr:nvPicPr>
      <xdr:blipFill>
        <a:blip xmlns:r="http://schemas.openxmlformats.org/officeDocument/2006/relationships" r:embed="rId1772"/>
        <a:stretch>
          <a:fillRect/>
        </a:stretch>
      </xdr:blipFill>
      <xdr:spPr>
        <a:xfrm>
          <a:off x="7264400" y="2298284075"/>
          <a:ext cx="878840" cy="1183640"/>
        </a:xfrm>
        <a:prstGeom prst="rect">
          <a:avLst/>
        </a:prstGeom>
      </xdr:spPr>
    </xdr:pic>
    <xdr:clientData/>
  </xdr:twoCellAnchor>
  <xdr:twoCellAnchor>
    <xdr:from>
      <xdr:col>8</xdr:col>
      <xdr:colOff>6350</xdr:colOff>
      <xdr:row>2318</xdr:row>
      <xdr:rowOff>25400</xdr:rowOff>
    </xdr:from>
    <xdr:to>
      <xdr:col>8</xdr:col>
      <xdr:colOff>885190</xdr:colOff>
      <xdr:row>2318</xdr:row>
      <xdr:rowOff>1209040</xdr:rowOff>
    </xdr:to>
    <xdr:pic>
      <xdr:nvPicPr>
        <xdr:cNvPr id="6024" name="Изображение 6023" descr="resizeПП-00271126"/>
        <xdr:cNvPicPr>
          <a:picLocks noChangeAspect="1"/>
        </xdr:cNvPicPr>
      </xdr:nvPicPr>
      <xdr:blipFill>
        <a:blip xmlns:r="http://schemas.openxmlformats.org/officeDocument/2006/relationships" r:embed="rId1773"/>
        <a:stretch>
          <a:fillRect/>
        </a:stretch>
      </xdr:blipFill>
      <xdr:spPr>
        <a:xfrm>
          <a:off x="7264400" y="2299658850"/>
          <a:ext cx="878840" cy="1183640"/>
        </a:xfrm>
        <a:prstGeom prst="rect">
          <a:avLst/>
        </a:prstGeom>
      </xdr:spPr>
    </xdr:pic>
    <xdr:clientData/>
  </xdr:twoCellAnchor>
  <xdr:twoCellAnchor>
    <xdr:from>
      <xdr:col>8</xdr:col>
      <xdr:colOff>6350</xdr:colOff>
      <xdr:row>2319</xdr:row>
      <xdr:rowOff>25400</xdr:rowOff>
    </xdr:from>
    <xdr:to>
      <xdr:col>8</xdr:col>
      <xdr:colOff>885190</xdr:colOff>
      <xdr:row>2319</xdr:row>
      <xdr:rowOff>1209040</xdr:rowOff>
    </xdr:to>
    <xdr:pic>
      <xdr:nvPicPr>
        <xdr:cNvPr id="6025" name="Изображение 6024" descr="resizeПП-00247409"/>
        <xdr:cNvPicPr>
          <a:picLocks noChangeAspect="1"/>
        </xdr:cNvPicPr>
      </xdr:nvPicPr>
      <xdr:blipFill>
        <a:blip xmlns:r="http://schemas.openxmlformats.org/officeDocument/2006/relationships" r:embed="rId1774"/>
        <a:stretch>
          <a:fillRect/>
        </a:stretch>
      </xdr:blipFill>
      <xdr:spPr>
        <a:xfrm>
          <a:off x="7264400" y="2300881225"/>
          <a:ext cx="878840" cy="1183640"/>
        </a:xfrm>
        <a:prstGeom prst="rect">
          <a:avLst/>
        </a:prstGeom>
      </xdr:spPr>
    </xdr:pic>
    <xdr:clientData/>
  </xdr:twoCellAnchor>
  <xdr:twoCellAnchor>
    <xdr:from>
      <xdr:col>8</xdr:col>
      <xdr:colOff>6350</xdr:colOff>
      <xdr:row>2320</xdr:row>
      <xdr:rowOff>25400</xdr:rowOff>
    </xdr:from>
    <xdr:to>
      <xdr:col>8</xdr:col>
      <xdr:colOff>885190</xdr:colOff>
      <xdr:row>2320</xdr:row>
      <xdr:rowOff>1209040</xdr:rowOff>
    </xdr:to>
    <xdr:pic>
      <xdr:nvPicPr>
        <xdr:cNvPr id="6026" name="Изображение 6025" descr="resizeПП-00271123"/>
        <xdr:cNvPicPr>
          <a:picLocks noChangeAspect="1"/>
        </xdr:cNvPicPr>
      </xdr:nvPicPr>
      <xdr:blipFill>
        <a:blip xmlns:r="http://schemas.openxmlformats.org/officeDocument/2006/relationships" r:embed="rId1775"/>
        <a:stretch>
          <a:fillRect/>
        </a:stretch>
      </xdr:blipFill>
      <xdr:spPr>
        <a:xfrm>
          <a:off x="7264400" y="2302103600"/>
          <a:ext cx="878840" cy="1183640"/>
        </a:xfrm>
        <a:prstGeom prst="rect">
          <a:avLst/>
        </a:prstGeom>
      </xdr:spPr>
    </xdr:pic>
    <xdr:clientData/>
  </xdr:twoCellAnchor>
  <xdr:twoCellAnchor>
    <xdr:from>
      <xdr:col>8</xdr:col>
      <xdr:colOff>6350</xdr:colOff>
      <xdr:row>2321</xdr:row>
      <xdr:rowOff>25400</xdr:rowOff>
    </xdr:from>
    <xdr:to>
      <xdr:col>8</xdr:col>
      <xdr:colOff>885190</xdr:colOff>
      <xdr:row>2321</xdr:row>
      <xdr:rowOff>1209040</xdr:rowOff>
    </xdr:to>
    <xdr:pic>
      <xdr:nvPicPr>
        <xdr:cNvPr id="6027" name="Изображение 6026" descr="resizeПП-00247411"/>
        <xdr:cNvPicPr>
          <a:picLocks noChangeAspect="1"/>
        </xdr:cNvPicPr>
      </xdr:nvPicPr>
      <xdr:blipFill>
        <a:blip xmlns:r="http://schemas.openxmlformats.org/officeDocument/2006/relationships" r:embed="rId1776"/>
        <a:stretch>
          <a:fillRect/>
        </a:stretch>
      </xdr:blipFill>
      <xdr:spPr>
        <a:xfrm>
          <a:off x="7264400" y="2303325975"/>
          <a:ext cx="878840" cy="1183640"/>
        </a:xfrm>
        <a:prstGeom prst="rect">
          <a:avLst/>
        </a:prstGeom>
      </xdr:spPr>
    </xdr:pic>
    <xdr:clientData/>
  </xdr:twoCellAnchor>
  <xdr:twoCellAnchor>
    <xdr:from>
      <xdr:col>8</xdr:col>
      <xdr:colOff>6350</xdr:colOff>
      <xdr:row>2322</xdr:row>
      <xdr:rowOff>25400</xdr:rowOff>
    </xdr:from>
    <xdr:to>
      <xdr:col>8</xdr:col>
      <xdr:colOff>885190</xdr:colOff>
      <xdr:row>2322</xdr:row>
      <xdr:rowOff>1209040</xdr:rowOff>
    </xdr:to>
    <xdr:pic>
      <xdr:nvPicPr>
        <xdr:cNvPr id="6028" name="Изображение 6027" descr="resizeПП-00271127"/>
        <xdr:cNvPicPr>
          <a:picLocks noChangeAspect="1"/>
        </xdr:cNvPicPr>
      </xdr:nvPicPr>
      <xdr:blipFill>
        <a:blip xmlns:r="http://schemas.openxmlformats.org/officeDocument/2006/relationships" r:embed="rId1777"/>
        <a:stretch>
          <a:fillRect/>
        </a:stretch>
      </xdr:blipFill>
      <xdr:spPr>
        <a:xfrm>
          <a:off x="7264400" y="2304548350"/>
          <a:ext cx="878840" cy="1183640"/>
        </a:xfrm>
        <a:prstGeom prst="rect">
          <a:avLst/>
        </a:prstGeom>
      </xdr:spPr>
    </xdr:pic>
    <xdr:clientData/>
  </xdr:twoCellAnchor>
  <xdr:twoCellAnchor>
    <xdr:from>
      <xdr:col>8</xdr:col>
      <xdr:colOff>6350</xdr:colOff>
      <xdr:row>2323</xdr:row>
      <xdr:rowOff>25400</xdr:rowOff>
    </xdr:from>
    <xdr:to>
      <xdr:col>8</xdr:col>
      <xdr:colOff>885190</xdr:colOff>
      <xdr:row>2323</xdr:row>
      <xdr:rowOff>1209040</xdr:rowOff>
    </xdr:to>
    <xdr:pic>
      <xdr:nvPicPr>
        <xdr:cNvPr id="6029" name="Изображение 6028" descr="resizeПП-00271125"/>
        <xdr:cNvPicPr>
          <a:picLocks noChangeAspect="1"/>
        </xdr:cNvPicPr>
      </xdr:nvPicPr>
      <xdr:blipFill>
        <a:blip xmlns:r="http://schemas.openxmlformats.org/officeDocument/2006/relationships" r:embed="rId1778"/>
        <a:stretch>
          <a:fillRect/>
        </a:stretch>
      </xdr:blipFill>
      <xdr:spPr>
        <a:xfrm>
          <a:off x="7264400" y="2305770725"/>
          <a:ext cx="878840" cy="1183640"/>
        </a:xfrm>
        <a:prstGeom prst="rect">
          <a:avLst/>
        </a:prstGeom>
      </xdr:spPr>
    </xdr:pic>
    <xdr:clientData/>
  </xdr:twoCellAnchor>
  <xdr:twoCellAnchor>
    <xdr:from>
      <xdr:col>8</xdr:col>
      <xdr:colOff>6350</xdr:colOff>
      <xdr:row>2324</xdr:row>
      <xdr:rowOff>25400</xdr:rowOff>
    </xdr:from>
    <xdr:to>
      <xdr:col>8</xdr:col>
      <xdr:colOff>885190</xdr:colOff>
      <xdr:row>2324</xdr:row>
      <xdr:rowOff>1209040</xdr:rowOff>
    </xdr:to>
    <xdr:pic>
      <xdr:nvPicPr>
        <xdr:cNvPr id="6030" name="Изображение 6029" descr="resizeПП-00247410"/>
        <xdr:cNvPicPr>
          <a:picLocks noChangeAspect="1"/>
        </xdr:cNvPicPr>
      </xdr:nvPicPr>
      <xdr:blipFill>
        <a:blip xmlns:r="http://schemas.openxmlformats.org/officeDocument/2006/relationships" r:embed="rId1779"/>
        <a:stretch>
          <a:fillRect/>
        </a:stretch>
      </xdr:blipFill>
      <xdr:spPr>
        <a:xfrm>
          <a:off x="7264400" y="2306993100"/>
          <a:ext cx="878840" cy="1183640"/>
        </a:xfrm>
        <a:prstGeom prst="rect">
          <a:avLst/>
        </a:prstGeom>
      </xdr:spPr>
    </xdr:pic>
    <xdr:clientData/>
  </xdr:twoCellAnchor>
  <xdr:twoCellAnchor>
    <xdr:from>
      <xdr:col>8</xdr:col>
      <xdr:colOff>6350</xdr:colOff>
      <xdr:row>2325</xdr:row>
      <xdr:rowOff>25400</xdr:rowOff>
    </xdr:from>
    <xdr:to>
      <xdr:col>8</xdr:col>
      <xdr:colOff>885190</xdr:colOff>
      <xdr:row>2325</xdr:row>
      <xdr:rowOff>1209040</xdr:rowOff>
    </xdr:to>
    <xdr:pic>
      <xdr:nvPicPr>
        <xdr:cNvPr id="6031" name="Изображение 6030" descr="resizeПП-00271124"/>
        <xdr:cNvPicPr>
          <a:picLocks noChangeAspect="1"/>
        </xdr:cNvPicPr>
      </xdr:nvPicPr>
      <xdr:blipFill>
        <a:blip xmlns:r="http://schemas.openxmlformats.org/officeDocument/2006/relationships" r:embed="rId1780"/>
        <a:stretch>
          <a:fillRect/>
        </a:stretch>
      </xdr:blipFill>
      <xdr:spPr>
        <a:xfrm>
          <a:off x="7264400" y="2308215475"/>
          <a:ext cx="878840" cy="1183640"/>
        </a:xfrm>
        <a:prstGeom prst="rect">
          <a:avLst/>
        </a:prstGeom>
      </xdr:spPr>
    </xdr:pic>
    <xdr:clientData/>
  </xdr:twoCellAnchor>
  <xdr:twoCellAnchor>
    <xdr:from>
      <xdr:col>8</xdr:col>
      <xdr:colOff>6350</xdr:colOff>
      <xdr:row>2326</xdr:row>
      <xdr:rowOff>25400</xdr:rowOff>
    </xdr:from>
    <xdr:to>
      <xdr:col>8</xdr:col>
      <xdr:colOff>885190</xdr:colOff>
      <xdr:row>2326</xdr:row>
      <xdr:rowOff>1209040</xdr:rowOff>
    </xdr:to>
    <xdr:pic>
      <xdr:nvPicPr>
        <xdr:cNvPr id="6032" name="Изображение 6031" descr="resizeПП-00271122"/>
        <xdr:cNvPicPr>
          <a:picLocks noChangeAspect="1"/>
        </xdr:cNvPicPr>
      </xdr:nvPicPr>
      <xdr:blipFill>
        <a:blip xmlns:r="http://schemas.openxmlformats.org/officeDocument/2006/relationships" r:embed="rId1781"/>
        <a:stretch>
          <a:fillRect/>
        </a:stretch>
      </xdr:blipFill>
      <xdr:spPr>
        <a:xfrm>
          <a:off x="7264400" y="2309437850"/>
          <a:ext cx="878840" cy="1183640"/>
        </a:xfrm>
        <a:prstGeom prst="rect">
          <a:avLst/>
        </a:prstGeom>
      </xdr:spPr>
    </xdr:pic>
    <xdr:clientData/>
  </xdr:twoCellAnchor>
  <xdr:twoCellAnchor>
    <xdr:from>
      <xdr:col>8</xdr:col>
      <xdr:colOff>6350</xdr:colOff>
      <xdr:row>2327</xdr:row>
      <xdr:rowOff>25400</xdr:rowOff>
    </xdr:from>
    <xdr:to>
      <xdr:col>8</xdr:col>
      <xdr:colOff>885190</xdr:colOff>
      <xdr:row>2327</xdr:row>
      <xdr:rowOff>1209040</xdr:rowOff>
    </xdr:to>
    <xdr:pic>
      <xdr:nvPicPr>
        <xdr:cNvPr id="6033" name="Изображение 6032" descr="resizeПП-00247412"/>
        <xdr:cNvPicPr>
          <a:picLocks noChangeAspect="1"/>
        </xdr:cNvPicPr>
      </xdr:nvPicPr>
      <xdr:blipFill>
        <a:blip xmlns:r="http://schemas.openxmlformats.org/officeDocument/2006/relationships" r:embed="rId1782"/>
        <a:stretch>
          <a:fillRect/>
        </a:stretch>
      </xdr:blipFill>
      <xdr:spPr>
        <a:xfrm>
          <a:off x="7264400" y="2310660225"/>
          <a:ext cx="878840" cy="1183640"/>
        </a:xfrm>
        <a:prstGeom prst="rect">
          <a:avLst/>
        </a:prstGeom>
      </xdr:spPr>
    </xdr:pic>
    <xdr:clientData/>
  </xdr:twoCellAnchor>
  <xdr:twoCellAnchor>
    <xdr:from>
      <xdr:col>8</xdr:col>
      <xdr:colOff>6350</xdr:colOff>
      <xdr:row>2328</xdr:row>
      <xdr:rowOff>25400</xdr:rowOff>
    </xdr:from>
    <xdr:to>
      <xdr:col>8</xdr:col>
      <xdr:colOff>885190</xdr:colOff>
      <xdr:row>2328</xdr:row>
      <xdr:rowOff>1209040</xdr:rowOff>
    </xdr:to>
    <xdr:pic>
      <xdr:nvPicPr>
        <xdr:cNvPr id="6034" name="Изображение 6033" descr="resizeПП-00247407"/>
        <xdr:cNvPicPr>
          <a:picLocks noChangeAspect="1"/>
        </xdr:cNvPicPr>
      </xdr:nvPicPr>
      <xdr:blipFill>
        <a:blip xmlns:r="http://schemas.openxmlformats.org/officeDocument/2006/relationships" r:embed="rId1783"/>
        <a:stretch>
          <a:fillRect/>
        </a:stretch>
      </xdr:blipFill>
      <xdr:spPr>
        <a:xfrm>
          <a:off x="7264400" y="2311882600"/>
          <a:ext cx="878840" cy="1183640"/>
        </a:xfrm>
        <a:prstGeom prst="rect">
          <a:avLst/>
        </a:prstGeom>
      </xdr:spPr>
    </xdr:pic>
    <xdr:clientData/>
  </xdr:twoCellAnchor>
  <xdr:twoCellAnchor>
    <xdr:from>
      <xdr:col>8</xdr:col>
      <xdr:colOff>6350</xdr:colOff>
      <xdr:row>2329</xdr:row>
      <xdr:rowOff>25400</xdr:rowOff>
    </xdr:from>
    <xdr:to>
      <xdr:col>8</xdr:col>
      <xdr:colOff>885190</xdr:colOff>
      <xdr:row>2329</xdr:row>
      <xdr:rowOff>1209040</xdr:rowOff>
    </xdr:to>
    <xdr:pic>
      <xdr:nvPicPr>
        <xdr:cNvPr id="6035" name="Изображение 6034" descr="resizeПП-00271129"/>
        <xdr:cNvPicPr>
          <a:picLocks noChangeAspect="1"/>
        </xdr:cNvPicPr>
      </xdr:nvPicPr>
      <xdr:blipFill>
        <a:blip xmlns:r="http://schemas.openxmlformats.org/officeDocument/2006/relationships" r:embed="rId1784"/>
        <a:stretch>
          <a:fillRect/>
        </a:stretch>
      </xdr:blipFill>
      <xdr:spPr>
        <a:xfrm>
          <a:off x="7264400" y="2313104975"/>
          <a:ext cx="878840" cy="1183640"/>
        </a:xfrm>
        <a:prstGeom prst="rect">
          <a:avLst/>
        </a:prstGeom>
      </xdr:spPr>
    </xdr:pic>
    <xdr:clientData/>
  </xdr:twoCellAnchor>
  <xdr:twoCellAnchor>
    <xdr:from>
      <xdr:col>8</xdr:col>
      <xdr:colOff>6350</xdr:colOff>
      <xdr:row>2330</xdr:row>
      <xdr:rowOff>25400</xdr:rowOff>
    </xdr:from>
    <xdr:to>
      <xdr:col>8</xdr:col>
      <xdr:colOff>885190</xdr:colOff>
      <xdr:row>2330</xdr:row>
      <xdr:rowOff>1209040</xdr:rowOff>
    </xdr:to>
    <xdr:pic>
      <xdr:nvPicPr>
        <xdr:cNvPr id="6036" name="Изображение 6035" descr="resizeПП-00271128"/>
        <xdr:cNvPicPr>
          <a:picLocks noChangeAspect="1"/>
        </xdr:cNvPicPr>
      </xdr:nvPicPr>
      <xdr:blipFill>
        <a:blip xmlns:r="http://schemas.openxmlformats.org/officeDocument/2006/relationships" r:embed="rId1785"/>
        <a:stretch>
          <a:fillRect/>
        </a:stretch>
      </xdr:blipFill>
      <xdr:spPr>
        <a:xfrm>
          <a:off x="7264400" y="2314327350"/>
          <a:ext cx="878840" cy="1183640"/>
        </a:xfrm>
        <a:prstGeom prst="rect">
          <a:avLst/>
        </a:prstGeom>
      </xdr:spPr>
    </xdr:pic>
    <xdr:clientData/>
  </xdr:twoCellAnchor>
  <xdr:twoCellAnchor>
    <xdr:from>
      <xdr:col>8</xdr:col>
      <xdr:colOff>6350</xdr:colOff>
      <xdr:row>2333</xdr:row>
      <xdr:rowOff>25400</xdr:rowOff>
    </xdr:from>
    <xdr:to>
      <xdr:col>8</xdr:col>
      <xdr:colOff>885190</xdr:colOff>
      <xdr:row>2333</xdr:row>
      <xdr:rowOff>1209040</xdr:rowOff>
    </xdr:to>
    <xdr:pic>
      <xdr:nvPicPr>
        <xdr:cNvPr id="6037" name="Изображение 6036" descr="resizeПП-00269433"/>
        <xdr:cNvPicPr>
          <a:picLocks noChangeAspect="1"/>
        </xdr:cNvPicPr>
      </xdr:nvPicPr>
      <xdr:blipFill>
        <a:blip xmlns:r="http://schemas.openxmlformats.org/officeDocument/2006/relationships" r:embed="rId1786"/>
        <a:stretch>
          <a:fillRect/>
        </a:stretch>
      </xdr:blipFill>
      <xdr:spPr>
        <a:xfrm>
          <a:off x="7264400" y="2315854525"/>
          <a:ext cx="878840" cy="1183640"/>
        </a:xfrm>
        <a:prstGeom prst="rect">
          <a:avLst/>
        </a:prstGeom>
      </xdr:spPr>
    </xdr:pic>
    <xdr:clientData/>
  </xdr:twoCellAnchor>
  <xdr:twoCellAnchor>
    <xdr:from>
      <xdr:col>8</xdr:col>
      <xdr:colOff>6350</xdr:colOff>
      <xdr:row>2334</xdr:row>
      <xdr:rowOff>25400</xdr:rowOff>
    </xdr:from>
    <xdr:to>
      <xdr:col>8</xdr:col>
      <xdr:colOff>885190</xdr:colOff>
      <xdr:row>2334</xdr:row>
      <xdr:rowOff>1209040</xdr:rowOff>
    </xdr:to>
    <xdr:pic>
      <xdr:nvPicPr>
        <xdr:cNvPr id="6038" name="Изображение 6037" descr="resizeПП-00269434"/>
        <xdr:cNvPicPr>
          <a:picLocks noChangeAspect="1"/>
        </xdr:cNvPicPr>
      </xdr:nvPicPr>
      <xdr:blipFill>
        <a:blip xmlns:r="http://schemas.openxmlformats.org/officeDocument/2006/relationships" r:embed="rId1787"/>
        <a:stretch>
          <a:fillRect/>
        </a:stretch>
      </xdr:blipFill>
      <xdr:spPr>
        <a:xfrm>
          <a:off x="7264400" y="2317076900"/>
          <a:ext cx="878840" cy="1183640"/>
        </a:xfrm>
        <a:prstGeom prst="rect">
          <a:avLst/>
        </a:prstGeom>
      </xdr:spPr>
    </xdr:pic>
    <xdr:clientData/>
  </xdr:twoCellAnchor>
  <xdr:twoCellAnchor>
    <xdr:from>
      <xdr:col>8</xdr:col>
      <xdr:colOff>6350</xdr:colOff>
      <xdr:row>2335</xdr:row>
      <xdr:rowOff>25400</xdr:rowOff>
    </xdr:from>
    <xdr:to>
      <xdr:col>8</xdr:col>
      <xdr:colOff>885190</xdr:colOff>
      <xdr:row>2335</xdr:row>
      <xdr:rowOff>1209040</xdr:rowOff>
    </xdr:to>
    <xdr:pic>
      <xdr:nvPicPr>
        <xdr:cNvPr id="6039" name="Изображение 6038" descr="resizeПП-00269441"/>
        <xdr:cNvPicPr>
          <a:picLocks noChangeAspect="1"/>
        </xdr:cNvPicPr>
      </xdr:nvPicPr>
      <xdr:blipFill>
        <a:blip xmlns:r="http://schemas.openxmlformats.org/officeDocument/2006/relationships" r:embed="rId1788"/>
        <a:stretch>
          <a:fillRect/>
        </a:stretch>
      </xdr:blipFill>
      <xdr:spPr>
        <a:xfrm>
          <a:off x="7264400" y="2318299275"/>
          <a:ext cx="878840" cy="1183640"/>
        </a:xfrm>
        <a:prstGeom prst="rect">
          <a:avLst/>
        </a:prstGeom>
      </xdr:spPr>
    </xdr:pic>
    <xdr:clientData/>
  </xdr:twoCellAnchor>
  <xdr:twoCellAnchor>
    <xdr:from>
      <xdr:col>8</xdr:col>
      <xdr:colOff>6350</xdr:colOff>
      <xdr:row>2336</xdr:row>
      <xdr:rowOff>25400</xdr:rowOff>
    </xdr:from>
    <xdr:to>
      <xdr:col>8</xdr:col>
      <xdr:colOff>885190</xdr:colOff>
      <xdr:row>2336</xdr:row>
      <xdr:rowOff>1209040</xdr:rowOff>
    </xdr:to>
    <xdr:pic>
      <xdr:nvPicPr>
        <xdr:cNvPr id="6040" name="Изображение 6039" descr="resizeПП-00247413"/>
        <xdr:cNvPicPr>
          <a:picLocks noChangeAspect="1"/>
        </xdr:cNvPicPr>
      </xdr:nvPicPr>
      <xdr:blipFill>
        <a:blip xmlns:r="http://schemas.openxmlformats.org/officeDocument/2006/relationships" r:embed="rId1789"/>
        <a:stretch>
          <a:fillRect/>
        </a:stretch>
      </xdr:blipFill>
      <xdr:spPr>
        <a:xfrm>
          <a:off x="7264400" y="2319521650"/>
          <a:ext cx="878840" cy="1183640"/>
        </a:xfrm>
        <a:prstGeom prst="rect">
          <a:avLst/>
        </a:prstGeom>
      </xdr:spPr>
    </xdr:pic>
    <xdr:clientData/>
  </xdr:twoCellAnchor>
  <xdr:twoCellAnchor>
    <xdr:from>
      <xdr:col>8</xdr:col>
      <xdr:colOff>6350</xdr:colOff>
      <xdr:row>2337</xdr:row>
      <xdr:rowOff>25400</xdr:rowOff>
    </xdr:from>
    <xdr:to>
      <xdr:col>8</xdr:col>
      <xdr:colOff>885190</xdr:colOff>
      <xdr:row>2337</xdr:row>
      <xdr:rowOff>1209040</xdr:rowOff>
    </xdr:to>
    <xdr:pic>
      <xdr:nvPicPr>
        <xdr:cNvPr id="6041" name="Изображение 6040" descr="resizeПП-00271239"/>
        <xdr:cNvPicPr>
          <a:picLocks noChangeAspect="1"/>
        </xdr:cNvPicPr>
      </xdr:nvPicPr>
      <xdr:blipFill>
        <a:blip xmlns:r="http://schemas.openxmlformats.org/officeDocument/2006/relationships" r:embed="rId1790"/>
        <a:stretch>
          <a:fillRect/>
        </a:stretch>
      </xdr:blipFill>
      <xdr:spPr>
        <a:xfrm>
          <a:off x="7264400" y="2320744025"/>
          <a:ext cx="878840" cy="1183640"/>
        </a:xfrm>
        <a:prstGeom prst="rect">
          <a:avLst/>
        </a:prstGeom>
      </xdr:spPr>
    </xdr:pic>
    <xdr:clientData/>
  </xdr:twoCellAnchor>
  <xdr:twoCellAnchor>
    <xdr:from>
      <xdr:col>8</xdr:col>
      <xdr:colOff>6350</xdr:colOff>
      <xdr:row>2338</xdr:row>
      <xdr:rowOff>25400</xdr:rowOff>
    </xdr:from>
    <xdr:to>
      <xdr:col>8</xdr:col>
      <xdr:colOff>885190</xdr:colOff>
      <xdr:row>2338</xdr:row>
      <xdr:rowOff>1209040</xdr:rowOff>
    </xdr:to>
    <xdr:pic>
      <xdr:nvPicPr>
        <xdr:cNvPr id="6042" name="Изображение 6041" descr="resizeПП-00271240"/>
        <xdr:cNvPicPr>
          <a:picLocks noChangeAspect="1"/>
        </xdr:cNvPicPr>
      </xdr:nvPicPr>
      <xdr:blipFill>
        <a:blip xmlns:r="http://schemas.openxmlformats.org/officeDocument/2006/relationships" r:embed="rId1791"/>
        <a:stretch>
          <a:fillRect/>
        </a:stretch>
      </xdr:blipFill>
      <xdr:spPr>
        <a:xfrm>
          <a:off x="7264400" y="2321966400"/>
          <a:ext cx="878840" cy="1183640"/>
        </a:xfrm>
        <a:prstGeom prst="rect">
          <a:avLst/>
        </a:prstGeom>
      </xdr:spPr>
    </xdr:pic>
    <xdr:clientData/>
  </xdr:twoCellAnchor>
  <xdr:twoCellAnchor>
    <xdr:from>
      <xdr:col>8</xdr:col>
      <xdr:colOff>6350</xdr:colOff>
      <xdr:row>2339</xdr:row>
      <xdr:rowOff>25400</xdr:rowOff>
    </xdr:from>
    <xdr:to>
      <xdr:col>8</xdr:col>
      <xdr:colOff>885190</xdr:colOff>
      <xdr:row>2339</xdr:row>
      <xdr:rowOff>1209040</xdr:rowOff>
    </xdr:to>
    <xdr:pic>
      <xdr:nvPicPr>
        <xdr:cNvPr id="6043" name="Изображение 6042" descr="resizeПП-00271230"/>
        <xdr:cNvPicPr>
          <a:picLocks noChangeAspect="1"/>
        </xdr:cNvPicPr>
      </xdr:nvPicPr>
      <xdr:blipFill>
        <a:blip xmlns:r="http://schemas.openxmlformats.org/officeDocument/2006/relationships" r:embed="rId1792"/>
        <a:stretch>
          <a:fillRect/>
        </a:stretch>
      </xdr:blipFill>
      <xdr:spPr>
        <a:xfrm>
          <a:off x="7264400" y="2323188775"/>
          <a:ext cx="878840" cy="1183640"/>
        </a:xfrm>
        <a:prstGeom prst="rect">
          <a:avLst/>
        </a:prstGeom>
      </xdr:spPr>
    </xdr:pic>
    <xdr:clientData/>
  </xdr:twoCellAnchor>
  <xdr:twoCellAnchor>
    <xdr:from>
      <xdr:col>8</xdr:col>
      <xdr:colOff>6350</xdr:colOff>
      <xdr:row>2340</xdr:row>
      <xdr:rowOff>25400</xdr:rowOff>
    </xdr:from>
    <xdr:to>
      <xdr:col>8</xdr:col>
      <xdr:colOff>885190</xdr:colOff>
      <xdr:row>2340</xdr:row>
      <xdr:rowOff>1209040</xdr:rowOff>
    </xdr:to>
    <xdr:pic>
      <xdr:nvPicPr>
        <xdr:cNvPr id="6044" name="Изображение 6043" descr="resizeПП-00271241"/>
        <xdr:cNvPicPr>
          <a:picLocks noChangeAspect="1"/>
        </xdr:cNvPicPr>
      </xdr:nvPicPr>
      <xdr:blipFill>
        <a:blip xmlns:r="http://schemas.openxmlformats.org/officeDocument/2006/relationships" r:embed="rId1793"/>
        <a:stretch>
          <a:fillRect/>
        </a:stretch>
      </xdr:blipFill>
      <xdr:spPr>
        <a:xfrm>
          <a:off x="7264400" y="2324411150"/>
          <a:ext cx="878840" cy="1183640"/>
        </a:xfrm>
        <a:prstGeom prst="rect">
          <a:avLst/>
        </a:prstGeom>
      </xdr:spPr>
    </xdr:pic>
    <xdr:clientData/>
  </xdr:twoCellAnchor>
  <xdr:twoCellAnchor>
    <xdr:from>
      <xdr:col>8</xdr:col>
      <xdr:colOff>6350</xdr:colOff>
      <xdr:row>2341</xdr:row>
      <xdr:rowOff>25400</xdr:rowOff>
    </xdr:from>
    <xdr:to>
      <xdr:col>8</xdr:col>
      <xdr:colOff>885190</xdr:colOff>
      <xdr:row>2341</xdr:row>
      <xdr:rowOff>1209040</xdr:rowOff>
    </xdr:to>
    <xdr:pic>
      <xdr:nvPicPr>
        <xdr:cNvPr id="6045" name="Изображение 6044" descr="resizeПП-00258694"/>
        <xdr:cNvPicPr>
          <a:picLocks noChangeAspect="1"/>
        </xdr:cNvPicPr>
      </xdr:nvPicPr>
      <xdr:blipFill>
        <a:blip xmlns:r="http://schemas.openxmlformats.org/officeDocument/2006/relationships" r:embed="rId1794"/>
        <a:stretch>
          <a:fillRect/>
        </a:stretch>
      </xdr:blipFill>
      <xdr:spPr>
        <a:xfrm>
          <a:off x="7264400" y="2325633525"/>
          <a:ext cx="878840" cy="1183640"/>
        </a:xfrm>
        <a:prstGeom prst="rect">
          <a:avLst/>
        </a:prstGeom>
      </xdr:spPr>
    </xdr:pic>
    <xdr:clientData/>
  </xdr:twoCellAnchor>
  <xdr:twoCellAnchor>
    <xdr:from>
      <xdr:col>8</xdr:col>
      <xdr:colOff>6350</xdr:colOff>
      <xdr:row>2342</xdr:row>
      <xdr:rowOff>25400</xdr:rowOff>
    </xdr:from>
    <xdr:to>
      <xdr:col>8</xdr:col>
      <xdr:colOff>885190</xdr:colOff>
      <xdr:row>2342</xdr:row>
      <xdr:rowOff>1209040</xdr:rowOff>
    </xdr:to>
    <xdr:pic>
      <xdr:nvPicPr>
        <xdr:cNvPr id="6046" name="Изображение 6045" descr="resizeПП-00258692"/>
        <xdr:cNvPicPr>
          <a:picLocks noChangeAspect="1"/>
        </xdr:cNvPicPr>
      </xdr:nvPicPr>
      <xdr:blipFill>
        <a:blip xmlns:r="http://schemas.openxmlformats.org/officeDocument/2006/relationships" r:embed="rId1795"/>
        <a:stretch>
          <a:fillRect/>
        </a:stretch>
      </xdr:blipFill>
      <xdr:spPr>
        <a:xfrm>
          <a:off x="7264400" y="2326855900"/>
          <a:ext cx="878840" cy="1183640"/>
        </a:xfrm>
        <a:prstGeom prst="rect">
          <a:avLst/>
        </a:prstGeom>
      </xdr:spPr>
    </xdr:pic>
    <xdr:clientData/>
  </xdr:twoCellAnchor>
  <xdr:twoCellAnchor>
    <xdr:from>
      <xdr:col>8</xdr:col>
      <xdr:colOff>6350</xdr:colOff>
      <xdr:row>2343</xdr:row>
      <xdr:rowOff>25400</xdr:rowOff>
    </xdr:from>
    <xdr:to>
      <xdr:col>8</xdr:col>
      <xdr:colOff>885190</xdr:colOff>
      <xdr:row>2343</xdr:row>
      <xdr:rowOff>1209040</xdr:rowOff>
    </xdr:to>
    <xdr:pic>
      <xdr:nvPicPr>
        <xdr:cNvPr id="6047" name="Изображение 6046" descr="resizeПП-00258686"/>
        <xdr:cNvPicPr>
          <a:picLocks noChangeAspect="1"/>
        </xdr:cNvPicPr>
      </xdr:nvPicPr>
      <xdr:blipFill>
        <a:blip xmlns:r="http://schemas.openxmlformats.org/officeDocument/2006/relationships" r:embed="rId1796"/>
        <a:stretch>
          <a:fillRect/>
        </a:stretch>
      </xdr:blipFill>
      <xdr:spPr>
        <a:xfrm>
          <a:off x="7264400" y="2328078275"/>
          <a:ext cx="878840" cy="1183640"/>
        </a:xfrm>
        <a:prstGeom prst="rect">
          <a:avLst/>
        </a:prstGeom>
      </xdr:spPr>
    </xdr:pic>
    <xdr:clientData/>
  </xdr:twoCellAnchor>
  <xdr:twoCellAnchor>
    <xdr:from>
      <xdr:col>8</xdr:col>
      <xdr:colOff>6350</xdr:colOff>
      <xdr:row>2344</xdr:row>
      <xdr:rowOff>25400</xdr:rowOff>
    </xdr:from>
    <xdr:to>
      <xdr:col>8</xdr:col>
      <xdr:colOff>885190</xdr:colOff>
      <xdr:row>2344</xdr:row>
      <xdr:rowOff>1209040</xdr:rowOff>
    </xdr:to>
    <xdr:pic>
      <xdr:nvPicPr>
        <xdr:cNvPr id="6048" name="Изображение 6047" descr="resizeПП-00258689"/>
        <xdr:cNvPicPr>
          <a:picLocks noChangeAspect="1"/>
        </xdr:cNvPicPr>
      </xdr:nvPicPr>
      <xdr:blipFill>
        <a:blip xmlns:r="http://schemas.openxmlformats.org/officeDocument/2006/relationships" r:embed="rId1797"/>
        <a:stretch>
          <a:fillRect/>
        </a:stretch>
      </xdr:blipFill>
      <xdr:spPr>
        <a:xfrm>
          <a:off x="7264400" y="2329300650"/>
          <a:ext cx="878840" cy="1183640"/>
        </a:xfrm>
        <a:prstGeom prst="rect">
          <a:avLst/>
        </a:prstGeom>
      </xdr:spPr>
    </xdr:pic>
    <xdr:clientData/>
  </xdr:twoCellAnchor>
  <xdr:twoCellAnchor>
    <xdr:from>
      <xdr:col>8</xdr:col>
      <xdr:colOff>6350</xdr:colOff>
      <xdr:row>2345</xdr:row>
      <xdr:rowOff>25400</xdr:rowOff>
    </xdr:from>
    <xdr:to>
      <xdr:col>8</xdr:col>
      <xdr:colOff>885190</xdr:colOff>
      <xdr:row>2345</xdr:row>
      <xdr:rowOff>1209040</xdr:rowOff>
    </xdr:to>
    <xdr:pic>
      <xdr:nvPicPr>
        <xdr:cNvPr id="6049" name="Изображение 6048" descr="resizeПП-00258708"/>
        <xdr:cNvPicPr>
          <a:picLocks noChangeAspect="1"/>
        </xdr:cNvPicPr>
      </xdr:nvPicPr>
      <xdr:blipFill>
        <a:blip xmlns:r="http://schemas.openxmlformats.org/officeDocument/2006/relationships" r:embed="rId1786"/>
        <a:stretch>
          <a:fillRect/>
        </a:stretch>
      </xdr:blipFill>
      <xdr:spPr>
        <a:xfrm>
          <a:off x="7264400" y="2330523025"/>
          <a:ext cx="878840" cy="1183640"/>
        </a:xfrm>
        <a:prstGeom prst="rect">
          <a:avLst/>
        </a:prstGeom>
      </xdr:spPr>
    </xdr:pic>
    <xdr:clientData/>
  </xdr:twoCellAnchor>
  <xdr:twoCellAnchor>
    <xdr:from>
      <xdr:col>8</xdr:col>
      <xdr:colOff>6350</xdr:colOff>
      <xdr:row>2346</xdr:row>
      <xdr:rowOff>25400</xdr:rowOff>
    </xdr:from>
    <xdr:to>
      <xdr:col>8</xdr:col>
      <xdr:colOff>885190</xdr:colOff>
      <xdr:row>2346</xdr:row>
      <xdr:rowOff>1209040</xdr:rowOff>
    </xdr:to>
    <xdr:pic>
      <xdr:nvPicPr>
        <xdr:cNvPr id="6050" name="Изображение 6049" descr="resizeПП-00258711"/>
        <xdr:cNvPicPr>
          <a:picLocks noChangeAspect="1"/>
        </xdr:cNvPicPr>
      </xdr:nvPicPr>
      <xdr:blipFill>
        <a:blip xmlns:r="http://schemas.openxmlformats.org/officeDocument/2006/relationships" r:embed="rId1798"/>
        <a:stretch>
          <a:fillRect/>
        </a:stretch>
      </xdr:blipFill>
      <xdr:spPr>
        <a:xfrm>
          <a:off x="7264400" y="2331745400"/>
          <a:ext cx="878840" cy="1183640"/>
        </a:xfrm>
        <a:prstGeom prst="rect">
          <a:avLst/>
        </a:prstGeom>
      </xdr:spPr>
    </xdr:pic>
    <xdr:clientData/>
  </xdr:twoCellAnchor>
  <xdr:twoCellAnchor>
    <xdr:from>
      <xdr:col>8</xdr:col>
      <xdr:colOff>6350</xdr:colOff>
      <xdr:row>2347</xdr:row>
      <xdr:rowOff>25400</xdr:rowOff>
    </xdr:from>
    <xdr:to>
      <xdr:col>8</xdr:col>
      <xdr:colOff>885190</xdr:colOff>
      <xdr:row>2347</xdr:row>
      <xdr:rowOff>1209040</xdr:rowOff>
    </xdr:to>
    <xdr:pic>
      <xdr:nvPicPr>
        <xdr:cNvPr id="6051" name="Изображение 6050" descr="resizeПП-00258720"/>
        <xdr:cNvPicPr>
          <a:picLocks noChangeAspect="1"/>
        </xdr:cNvPicPr>
      </xdr:nvPicPr>
      <xdr:blipFill>
        <a:blip xmlns:r="http://schemas.openxmlformats.org/officeDocument/2006/relationships" r:embed="rId1799"/>
        <a:stretch>
          <a:fillRect/>
        </a:stretch>
      </xdr:blipFill>
      <xdr:spPr>
        <a:xfrm>
          <a:off x="7264400" y="2332967775"/>
          <a:ext cx="878840" cy="1183640"/>
        </a:xfrm>
        <a:prstGeom prst="rect">
          <a:avLst/>
        </a:prstGeom>
      </xdr:spPr>
    </xdr:pic>
    <xdr:clientData/>
  </xdr:twoCellAnchor>
  <xdr:twoCellAnchor>
    <xdr:from>
      <xdr:col>8</xdr:col>
      <xdr:colOff>6350</xdr:colOff>
      <xdr:row>2348</xdr:row>
      <xdr:rowOff>25400</xdr:rowOff>
    </xdr:from>
    <xdr:to>
      <xdr:col>8</xdr:col>
      <xdr:colOff>885190</xdr:colOff>
      <xdr:row>2348</xdr:row>
      <xdr:rowOff>1209040</xdr:rowOff>
    </xdr:to>
    <xdr:pic>
      <xdr:nvPicPr>
        <xdr:cNvPr id="6052" name="Изображение 6051" descr="resizeПП-00258703"/>
        <xdr:cNvPicPr>
          <a:picLocks noChangeAspect="1"/>
        </xdr:cNvPicPr>
      </xdr:nvPicPr>
      <xdr:blipFill>
        <a:blip xmlns:r="http://schemas.openxmlformats.org/officeDocument/2006/relationships" r:embed="rId1800"/>
        <a:stretch>
          <a:fillRect/>
        </a:stretch>
      </xdr:blipFill>
      <xdr:spPr>
        <a:xfrm>
          <a:off x="7264400" y="2334190150"/>
          <a:ext cx="878840" cy="1183640"/>
        </a:xfrm>
        <a:prstGeom prst="rect">
          <a:avLst/>
        </a:prstGeom>
      </xdr:spPr>
    </xdr:pic>
    <xdr:clientData/>
  </xdr:twoCellAnchor>
  <xdr:twoCellAnchor>
    <xdr:from>
      <xdr:col>8</xdr:col>
      <xdr:colOff>6350</xdr:colOff>
      <xdr:row>2349</xdr:row>
      <xdr:rowOff>25400</xdr:rowOff>
    </xdr:from>
    <xdr:to>
      <xdr:col>8</xdr:col>
      <xdr:colOff>885190</xdr:colOff>
      <xdr:row>2349</xdr:row>
      <xdr:rowOff>1209040</xdr:rowOff>
    </xdr:to>
    <xdr:pic>
      <xdr:nvPicPr>
        <xdr:cNvPr id="6053" name="Изображение 6052" descr="resizeПП-00258705"/>
        <xdr:cNvPicPr>
          <a:picLocks noChangeAspect="1"/>
        </xdr:cNvPicPr>
      </xdr:nvPicPr>
      <xdr:blipFill>
        <a:blip xmlns:r="http://schemas.openxmlformats.org/officeDocument/2006/relationships" r:embed="rId1801"/>
        <a:stretch>
          <a:fillRect/>
        </a:stretch>
      </xdr:blipFill>
      <xdr:spPr>
        <a:xfrm>
          <a:off x="7264400" y="2335412525"/>
          <a:ext cx="878840" cy="1183640"/>
        </a:xfrm>
        <a:prstGeom prst="rect">
          <a:avLst/>
        </a:prstGeom>
      </xdr:spPr>
    </xdr:pic>
    <xdr:clientData/>
  </xdr:twoCellAnchor>
  <xdr:twoCellAnchor>
    <xdr:from>
      <xdr:col>8</xdr:col>
      <xdr:colOff>6350</xdr:colOff>
      <xdr:row>2351</xdr:row>
      <xdr:rowOff>25400</xdr:rowOff>
    </xdr:from>
    <xdr:to>
      <xdr:col>8</xdr:col>
      <xdr:colOff>885190</xdr:colOff>
      <xdr:row>2351</xdr:row>
      <xdr:rowOff>1209040</xdr:rowOff>
    </xdr:to>
    <xdr:pic>
      <xdr:nvPicPr>
        <xdr:cNvPr id="6054" name="Изображение 6053" descr="resizeПП-00231947"/>
        <xdr:cNvPicPr>
          <a:picLocks noChangeAspect="1"/>
        </xdr:cNvPicPr>
      </xdr:nvPicPr>
      <xdr:blipFill>
        <a:blip xmlns:r="http://schemas.openxmlformats.org/officeDocument/2006/relationships" r:embed="rId1802"/>
        <a:stretch>
          <a:fillRect/>
        </a:stretch>
      </xdr:blipFill>
      <xdr:spPr>
        <a:xfrm>
          <a:off x="7264400" y="2336787300"/>
          <a:ext cx="878840" cy="1183640"/>
        </a:xfrm>
        <a:prstGeom prst="rect">
          <a:avLst/>
        </a:prstGeom>
      </xdr:spPr>
    </xdr:pic>
    <xdr:clientData/>
  </xdr:twoCellAnchor>
  <xdr:twoCellAnchor>
    <xdr:from>
      <xdr:col>8</xdr:col>
      <xdr:colOff>6350</xdr:colOff>
      <xdr:row>2354</xdr:row>
      <xdr:rowOff>25400</xdr:rowOff>
    </xdr:from>
    <xdr:to>
      <xdr:col>8</xdr:col>
      <xdr:colOff>885190</xdr:colOff>
      <xdr:row>2354</xdr:row>
      <xdr:rowOff>1209040</xdr:rowOff>
    </xdr:to>
    <xdr:pic>
      <xdr:nvPicPr>
        <xdr:cNvPr id="6055" name="Изображение 6054" descr="resizeПП-00236218"/>
        <xdr:cNvPicPr>
          <a:picLocks noChangeAspect="1"/>
        </xdr:cNvPicPr>
      </xdr:nvPicPr>
      <xdr:blipFill>
        <a:blip xmlns:r="http://schemas.openxmlformats.org/officeDocument/2006/relationships" r:embed="rId1803"/>
        <a:stretch>
          <a:fillRect/>
        </a:stretch>
      </xdr:blipFill>
      <xdr:spPr>
        <a:xfrm>
          <a:off x="7264400" y="2338314475"/>
          <a:ext cx="878840" cy="1183640"/>
        </a:xfrm>
        <a:prstGeom prst="rect">
          <a:avLst/>
        </a:prstGeom>
      </xdr:spPr>
    </xdr:pic>
    <xdr:clientData/>
  </xdr:twoCellAnchor>
  <xdr:twoCellAnchor>
    <xdr:from>
      <xdr:col>8</xdr:col>
      <xdr:colOff>6350</xdr:colOff>
      <xdr:row>2355</xdr:row>
      <xdr:rowOff>25400</xdr:rowOff>
    </xdr:from>
    <xdr:to>
      <xdr:col>8</xdr:col>
      <xdr:colOff>885190</xdr:colOff>
      <xdr:row>2355</xdr:row>
      <xdr:rowOff>1209040</xdr:rowOff>
    </xdr:to>
    <xdr:pic>
      <xdr:nvPicPr>
        <xdr:cNvPr id="6056" name="Изображение 6055" descr="resizeПП-00236219"/>
        <xdr:cNvPicPr>
          <a:picLocks noChangeAspect="1"/>
        </xdr:cNvPicPr>
      </xdr:nvPicPr>
      <xdr:blipFill>
        <a:blip xmlns:r="http://schemas.openxmlformats.org/officeDocument/2006/relationships" r:embed="rId1804"/>
        <a:stretch>
          <a:fillRect/>
        </a:stretch>
      </xdr:blipFill>
      <xdr:spPr>
        <a:xfrm>
          <a:off x="7264400" y="2339536850"/>
          <a:ext cx="878840" cy="1183640"/>
        </a:xfrm>
        <a:prstGeom prst="rect">
          <a:avLst/>
        </a:prstGeom>
      </xdr:spPr>
    </xdr:pic>
    <xdr:clientData/>
  </xdr:twoCellAnchor>
  <xdr:twoCellAnchor>
    <xdr:from>
      <xdr:col>8</xdr:col>
      <xdr:colOff>6350</xdr:colOff>
      <xdr:row>2356</xdr:row>
      <xdr:rowOff>25400</xdr:rowOff>
    </xdr:from>
    <xdr:to>
      <xdr:col>8</xdr:col>
      <xdr:colOff>885190</xdr:colOff>
      <xdr:row>2356</xdr:row>
      <xdr:rowOff>1209040</xdr:rowOff>
    </xdr:to>
    <xdr:pic>
      <xdr:nvPicPr>
        <xdr:cNvPr id="6057" name="Изображение 6056" descr="resizeПП-00236217"/>
        <xdr:cNvPicPr>
          <a:picLocks noChangeAspect="1"/>
        </xdr:cNvPicPr>
      </xdr:nvPicPr>
      <xdr:blipFill>
        <a:blip xmlns:r="http://schemas.openxmlformats.org/officeDocument/2006/relationships" r:embed="rId1805"/>
        <a:stretch>
          <a:fillRect/>
        </a:stretch>
      </xdr:blipFill>
      <xdr:spPr>
        <a:xfrm>
          <a:off x="7264400" y="2340759225"/>
          <a:ext cx="878840" cy="1183640"/>
        </a:xfrm>
        <a:prstGeom prst="rect">
          <a:avLst/>
        </a:prstGeom>
      </xdr:spPr>
    </xdr:pic>
    <xdr:clientData/>
  </xdr:twoCellAnchor>
  <xdr:twoCellAnchor>
    <xdr:from>
      <xdr:col>8</xdr:col>
      <xdr:colOff>6350</xdr:colOff>
      <xdr:row>2360</xdr:row>
      <xdr:rowOff>25400</xdr:rowOff>
    </xdr:from>
    <xdr:to>
      <xdr:col>8</xdr:col>
      <xdr:colOff>885190</xdr:colOff>
      <xdr:row>2360</xdr:row>
      <xdr:rowOff>1209040</xdr:rowOff>
    </xdr:to>
    <xdr:pic>
      <xdr:nvPicPr>
        <xdr:cNvPr id="6058" name="Изображение 6057" descr="resizeПП-00271298"/>
        <xdr:cNvPicPr>
          <a:picLocks noChangeAspect="1"/>
        </xdr:cNvPicPr>
      </xdr:nvPicPr>
      <xdr:blipFill>
        <a:blip xmlns:r="http://schemas.openxmlformats.org/officeDocument/2006/relationships" r:embed="rId1806"/>
        <a:stretch>
          <a:fillRect/>
        </a:stretch>
      </xdr:blipFill>
      <xdr:spPr>
        <a:xfrm>
          <a:off x="7264400" y="2342438800"/>
          <a:ext cx="878840" cy="1183640"/>
        </a:xfrm>
        <a:prstGeom prst="rect">
          <a:avLst/>
        </a:prstGeom>
      </xdr:spPr>
    </xdr:pic>
    <xdr:clientData/>
  </xdr:twoCellAnchor>
  <xdr:twoCellAnchor>
    <xdr:from>
      <xdr:col>8</xdr:col>
      <xdr:colOff>6350</xdr:colOff>
      <xdr:row>2361</xdr:row>
      <xdr:rowOff>25400</xdr:rowOff>
    </xdr:from>
    <xdr:to>
      <xdr:col>8</xdr:col>
      <xdr:colOff>885190</xdr:colOff>
      <xdr:row>2361</xdr:row>
      <xdr:rowOff>1209040</xdr:rowOff>
    </xdr:to>
    <xdr:pic>
      <xdr:nvPicPr>
        <xdr:cNvPr id="6059" name="Изображение 6058" descr="resizeПП-00271300"/>
        <xdr:cNvPicPr>
          <a:picLocks noChangeAspect="1"/>
        </xdr:cNvPicPr>
      </xdr:nvPicPr>
      <xdr:blipFill>
        <a:blip xmlns:r="http://schemas.openxmlformats.org/officeDocument/2006/relationships" r:embed="rId1807"/>
        <a:stretch>
          <a:fillRect/>
        </a:stretch>
      </xdr:blipFill>
      <xdr:spPr>
        <a:xfrm>
          <a:off x="7264400" y="2343661175"/>
          <a:ext cx="878840" cy="1183640"/>
        </a:xfrm>
        <a:prstGeom prst="rect">
          <a:avLst/>
        </a:prstGeom>
      </xdr:spPr>
    </xdr:pic>
    <xdr:clientData/>
  </xdr:twoCellAnchor>
  <xdr:twoCellAnchor>
    <xdr:from>
      <xdr:col>8</xdr:col>
      <xdr:colOff>6350</xdr:colOff>
      <xdr:row>2362</xdr:row>
      <xdr:rowOff>25400</xdr:rowOff>
    </xdr:from>
    <xdr:to>
      <xdr:col>8</xdr:col>
      <xdr:colOff>885190</xdr:colOff>
      <xdr:row>2362</xdr:row>
      <xdr:rowOff>1209040</xdr:rowOff>
    </xdr:to>
    <xdr:pic>
      <xdr:nvPicPr>
        <xdr:cNvPr id="6060" name="Изображение 6059" descr="resizeПП-00271299"/>
        <xdr:cNvPicPr>
          <a:picLocks noChangeAspect="1"/>
        </xdr:cNvPicPr>
      </xdr:nvPicPr>
      <xdr:blipFill>
        <a:blip xmlns:r="http://schemas.openxmlformats.org/officeDocument/2006/relationships" r:embed="rId1808"/>
        <a:stretch>
          <a:fillRect/>
        </a:stretch>
      </xdr:blipFill>
      <xdr:spPr>
        <a:xfrm>
          <a:off x="7264400" y="2344883550"/>
          <a:ext cx="878840" cy="1183640"/>
        </a:xfrm>
        <a:prstGeom prst="rect">
          <a:avLst/>
        </a:prstGeom>
      </xdr:spPr>
    </xdr:pic>
    <xdr:clientData/>
  </xdr:twoCellAnchor>
  <xdr:twoCellAnchor>
    <xdr:from>
      <xdr:col>8</xdr:col>
      <xdr:colOff>6350</xdr:colOff>
      <xdr:row>2363</xdr:row>
      <xdr:rowOff>25400</xdr:rowOff>
    </xdr:from>
    <xdr:to>
      <xdr:col>8</xdr:col>
      <xdr:colOff>885190</xdr:colOff>
      <xdr:row>2363</xdr:row>
      <xdr:rowOff>1209040</xdr:rowOff>
    </xdr:to>
    <xdr:pic>
      <xdr:nvPicPr>
        <xdr:cNvPr id="6061" name="Изображение 6060" descr="resizeПП-00271297"/>
        <xdr:cNvPicPr>
          <a:picLocks noChangeAspect="1"/>
        </xdr:cNvPicPr>
      </xdr:nvPicPr>
      <xdr:blipFill>
        <a:blip xmlns:r="http://schemas.openxmlformats.org/officeDocument/2006/relationships" r:embed="rId1809"/>
        <a:stretch>
          <a:fillRect/>
        </a:stretch>
      </xdr:blipFill>
      <xdr:spPr>
        <a:xfrm>
          <a:off x="7264400" y="2346105925"/>
          <a:ext cx="878840" cy="1183640"/>
        </a:xfrm>
        <a:prstGeom prst="rect">
          <a:avLst/>
        </a:prstGeom>
      </xdr:spPr>
    </xdr:pic>
    <xdr:clientData/>
  </xdr:twoCellAnchor>
  <xdr:twoCellAnchor>
    <xdr:from>
      <xdr:col>8</xdr:col>
      <xdr:colOff>6350</xdr:colOff>
      <xdr:row>2364</xdr:row>
      <xdr:rowOff>25400</xdr:rowOff>
    </xdr:from>
    <xdr:to>
      <xdr:col>8</xdr:col>
      <xdr:colOff>885190</xdr:colOff>
      <xdr:row>2364</xdr:row>
      <xdr:rowOff>1209040</xdr:rowOff>
    </xdr:to>
    <xdr:pic>
      <xdr:nvPicPr>
        <xdr:cNvPr id="6062" name="Изображение 6061" descr="resizeПП-00271301"/>
        <xdr:cNvPicPr>
          <a:picLocks noChangeAspect="1"/>
        </xdr:cNvPicPr>
      </xdr:nvPicPr>
      <xdr:blipFill>
        <a:blip xmlns:r="http://schemas.openxmlformats.org/officeDocument/2006/relationships" r:embed="rId1810"/>
        <a:stretch>
          <a:fillRect/>
        </a:stretch>
      </xdr:blipFill>
      <xdr:spPr>
        <a:xfrm>
          <a:off x="7264400" y="2347328300"/>
          <a:ext cx="878840" cy="1183640"/>
        </a:xfrm>
        <a:prstGeom prst="rect">
          <a:avLst/>
        </a:prstGeom>
      </xdr:spPr>
    </xdr:pic>
    <xdr:clientData/>
  </xdr:twoCellAnchor>
  <xdr:twoCellAnchor>
    <xdr:from>
      <xdr:col>8</xdr:col>
      <xdr:colOff>6350</xdr:colOff>
      <xdr:row>2366</xdr:row>
      <xdr:rowOff>25400</xdr:rowOff>
    </xdr:from>
    <xdr:to>
      <xdr:col>8</xdr:col>
      <xdr:colOff>885190</xdr:colOff>
      <xdr:row>2366</xdr:row>
      <xdr:rowOff>1209040</xdr:rowOff>
    </xdr:to>
    <xdr:pic>
      <xdr:nvPicPr>
        <xdr:cNvPr id="6063" name="Изображение 6062" descr="resizeПП-00231927"/>
        <xdr:cNvPicPr>
          <a:picLocks noChangeAspect="1"/>
        </xdr:cNvPicPr>
      </xdr:nvPicPr>
      <xdr:blipFill>
        <a:blip xmlns:r="http://schemas.openxmlformats.org/officeDocument/2006/relationships" r:embed="rId1811"/>
        <a:stretch>
          <a:fillRect/>
        </a:stretch>
      </xdr:blipFill>
      <xdr:spPr>
        <a:xfrm>
          <a:off x="7264400" y="2348703075"/>
          <a:ext cx="878840" cy="1183640"/>
        </a:xfrm>
        <a:prstGeom prst="rect">
          <a:avLst/>
        </a:prstGeom>
      </xdr:spPr>
    </xdr:pic>
    <xdr:clientData/>
  </xdr:twoCellAnchor>
  <xdr:twoCellAnchor>
    <xdr:from>
      <xdr:col>8</xdr:col>
      <xdr:colOff>6350</xdr:colOff>
      <xdr:row>2368</xdr:row>
      <xdr:rowOff>25400</xdr:rowOff>
    </xdr:from>
    <xdr:to>
      <xdr:col>8</xdr:col>
      <xdr:colOff>885190</xdr:colOff>
      <xdr:row>2368</xdr:row>
      <xdr:rowOff>1209040</xdr:rowOff>
    </xdr:to>
    <xdr:pic>
      <xdr:nvPicPr>
        <xdr:cNvPr id="6064" name="Изображение 6063" descr="resizeПП-00271302"/>
        <xdr:cNvPicPr>
          <a:picLocks noChangeAspect="1"/>
        </xdr:cNvPicPr>
      </xdr:nvPicPr>
      <xdr:blipFill>
        <a:blip xmlns:r="http://schemas.openxmlformats.org/officeDocument/2006/relationships" r:embed="rId1812"/>
        <a:stretch>
          <a:fillRect/>
        </a:stretch>
      </xdr:blipFill>
      <xdr:spPr>
        <a:xfrm>
          <a:off x="7264400" y="2350077850"/>
          <a:ext cx="878840" cy="1183640"/>
        </a:xfrm>
        <a:prstGeom prst="rect">
          <a:avLst/>
        </a:prstGeom>
      </xdr:spPr>
    </xdr:pic>
    <xdr:clientData/>
  </xdr:twoCellAnchor>
  <xdr:twoCellAnchor>
    <xdr:from>
      <xdr:col>8</xdr:col>
      <xdr:colOff>6350</xdr:colOff>
      <xdr:row>2369</xdr:row>
      <xdr:rowOff>25400</xdr:rowOff>
    </xdr:from>
    <xdr:to>
      <xdr:col>8</xdr:col>
      <xdr:colOff>885190</xdr:colOff>
      <xdr:row>2369</xdr:row>
      <xdr:rowOff>1209040</xdr:rowOff>
    </xdr:to>
    <xdr:pic>
      <xdr:nvPicPr>
        <xdr:cNvPr id="6065" name="Изображение 6064" descr="resizeПП-00271307"/>
        <xdr:cNvPicPr>
          <a:picLocks noChangeAspect="1"/>
        </xdr:cNvPicPr>
      </xdr:nvPicPr>
      <xdr:blipFill>
        <a:blip xmlns:r="http://schemas.openxmlformats.org/officeDocument/2006/relationships" r:embed="rId1813"/>
        <a:stretch>
          <a:fillRect/>
        </a:stretch>
      </xdr:blipFill>
      <xdr:spPr>
        <a:xfrm>
          <a:off x="7264400" y="2351300225"/>
          <a:ext cx="878840" cy="1183640"/>
        </a:xfrm>
        <a:prstGeom prst="rect">
          <a:avLst/>
        </a:prstGeom>
      </xdr:spPr>
    </xdr:pic>
    <xdr:clientData/>
  </xdr:twoCellAnchor>
  <xdr:twoCellAnchor>
    <xdr:from>
      <xdr:col>8</xdr:col>
      <xdr:colOff>6350</xdr:colOff>
      <xdr:row>2370</xdr:row>
      <xdr:rowOff>25400</xdr:rowOff>
    </xdr:from>
    <xdr:to>
      <xdr:col>8</xdr:col>
      <xdr:colOff>974090</xdr:colOff>
      <xdr:row>2370</xdr:row>
      <xdr:rowOff>1209040</xdr:rowOff>
    </xdr:to>
    <xdr:pic>
      <xdr:nvPicPr>
        <xdr:cNvPr id="6066" name="Изображение 6065" descr="resizeПП-00271303"/>
        <xdr:cNvPicPr>
          <a:picLocks noChangeAspect="1"/>
        </xdr:cNvPicPr>
      </xdr:nvPicPr>
      <xdr:blipFill>
        <a:blip xmlns:r="http://schemas.openxmlformats.org/officeDocument/2006/relationships" r:embed="rId1814"/>
        <a:stretch>
          <a:fillRect/>
        </a:stretch>
      </xdr:blipFill>
      <xdr:spPr>
        <a:xfrm>
          <a:off x="7264400" y="2352522600"/>
          <a:ext cx="967740" cy="1183640"/>
        </a:xfrm>
        <a:prstGeom prst="rect">
          <a:avLst/>
        </a:prstGeom>
      </xdr:spPr>
    </xdr:pic>
    <xdr:clientData/>
  </xdr:twoCellAnchor>
  <xdr:twoCellAnchor>
    <xdr:from>
      <xdr:col>8</xdr:col>
      <xdr:colOff>6350</xdr:colOff>
      <xdr:row>2371</xdr:row>
      <xdr:rowOff>25400</xdr:rowOff>
    </xdr:from>
    <xdr:to>
      <xdr:col>8</xdr:col>
      <xdr:colOff>885190</xdr:colOff>
      <xdr:row>2371</xdr:row>
      <xdr:rowOff>1209040</xdr:rowOff>
    </xdr:to>
    <xdr:pic>
      <xdr:nvPicPr>
        <xdr:cNvPr id="6067" name="Изображение 6066" descr="resizeПП-00271305"/>
        <xdr:cNvPicPr>
          <a:picLocks noChangeAspect="1"/>
        </xdr:cNvPicPr>
      </xdr:nvPicPr>
      <xdr:blipFill>
        <a:blip xmlns:r="http://schemas.openxmlformats.org/officeDocument/2006/relationships" r:embed="rId1815"/>
        <a:stretch>
          <a:fillRect/>
        </a:stretch>
      </xdr:blipFill>
      <xdr:spPr>
        <a:xfrm>
          <a:off x="7264400" y="2353744975"/>
          <a:ext cx="878840" cy="1183640"/>
        </a:xfrm>
        <a:prstGeom prst="rect">
          <a:avLst/>
        </a:prstGeom>
      </xdr:spPr>
    </xdr:pic>
    <xdr:clientData/>
  </xdr:twoCellAnchor>
  <xdr:twoCellAnchor>
    <xdr:from>
      <xdr:col>8</xdr:col>
      <xdr:colOff>6350</xdr:colOff>
      <xdr:row>2372</xdr:row>
      <xdr:rowOff>25400</xdr:rowOff>
    </xdr:from>
    <xdr:to>
      <xdr:col>8</xdr:col>
      <xdr:colOff>885190</xdr:colOff>
      <xdr:row>2372</xdr:row>
      <xdr:rowOff>1209040</xdr:rowOff>
    </xdr:to>
    <xdr:pic>
      <xdr:nvPicPr>
        <xdr:cNvPr id="6068" name="Изображение 6067" descr="resizeПП-00271308"/>
        <xdr:cNvPicPr>
          <a:picLocks noChangeAspect="1"/>
        </xdr:cNvPicPr>
      </xdr:nvPicPr>
      <xdr:blipFill>
        <a:blip xmlns:r="http://schemas.openxmlformats.org/officeDocument/2006/relationships" r:embed="rId1816"/>
        <a:stretch>
          <a:fillRect/>
        </a:stretch>
      </xdr:blipFill>
      <xdr:spPr>
        <a:xfrm>
          <a:off x="7264400" y="2354967350"/>
          <a:ext cx="878840" cy="1183640"/>
        </a:xfrm>
        <a:prstGeom prst="rect">
          <a:avLst/>
        </a:prstGeom>
      </xdr:spPr>
    </xdr:pic>
    <xdr:clientData/>
  </xdr:twoCellAnchor>
  <xdr:twoCellAnchor>
    <xdr:from>
      <xdr:col>8</xdr:col>
      <xdr:colOff>6350</xdr:colOff>
      <xdr:row>2376</xdr:row>
      <xdr:rowOff>25400</xdr:rowOff>
    </xdr:from>
    <xdr:to>
      <xdr:col>8</xdr:col>
      <xdr:colOff>885190</xdr:colOff>
      <xdr:row>2376</xdr:row>
      <xdr:rowOff>1209040</xdr:rowOff>
    </xdr:to>
    <xdr:pic>
      <xdr:nvPicPr>
        <xdr:cNvPr id="6069" name="Изображение 6068" descr="resizeПП-00271331"/>
        <xdr:cNvPicPr>
          <a:picLocks noChangeAspect="1"/>
        </xdr:cNvPicPr>
      </xdr:nvPicPr>
      <xdr:blipFill>
        <a:blip xmlns:r="http://schemas.openxmlformats.org/officeDocument/2006/relationships" r:embed="rId1817"/>
        <a:stretch>
          <a:fillRect/>
        </a:stretch>
      </xdr:blipFill>
      <xdr:spPr>
        <a:xfrm>
          <a:off x="7264400" y="2356646925"/>
          <a:ext cx="878840" cy="1183640"/>
        </a:xfrm>
        <a:prstGeom prst="rect">
          <a:avLst/>
        </a:prstGeom>
      </xdr:spPr>
    </xdr:pic>
    <xdr:clientData/>
  </xdr:twoCellAnchor>
  <xdr:twoCellAnchor>
    <xdr:from>
      <xdr:col>8</xdr:col>
      <xdr:colOff>6350</xdr:colOff>
      <xdr:row>2377</xdr:row>
      <xdr:rowOff>25400</xdr:rowOff>
    </xdr:from>
    <xdr:to>
      <xdr:col>8</xdr:col>
      <xdr:colOff>885190</xdr:colOff>
      <xdr:row>2377</xdr:row>
      <xdr:rowOff>1209040</xdr:rowOff>
    </xdr:to>
    <xdr:pic>
      <xdr:nvPicPr>
        <xdr:cNvPr id="6070" name="Изображение 6069" descr="resizeПП-00271332"/>
        <xdr:cNvPicPr>
          <a:picLocks noChangeAspect="1"/>
        </xdr:cNvPicPr>
      </xdr:nvPicPr>
      <xdr:blipFill>
        <a:blip xmlns:r="http://schemas.openxmlformats.org/officeDocument/2006/relationships" r:embed="rId1818"/>
        <a:stretch>
          <a:fillRect/>
        </a:stretch>
      </xdr:blipFill>
      <xdr:spPr>
        <a:xfrm>
          <a:off x="7264400" y="2357869300"/>
          <a:ext cx="878840" cy="1183640"/>
        </a:xfrm>
        <a:prstGeom prst="rect">
          <a:avLst/>
        </a:prstGeom>
      </xdr:spPr>
    </xdr:pic>
    <xdr:clientData/>
  </xdr:twoCellAnchor>
  <xdr:twoCellAnchor>
    <xdr:from>
      <xdr:col>8</xdr:col>
      <xdr:colOff>6350</xdr:colOff>
      <xdr:row>2379</xdr:row>
      <xdr:rowOff>25400</xdr:rowOff>
    </xdr:from>
    <xdr:to>
      <xdr:col>8</xdr:col>
      <xdr:colOff>885190</xdr:colOff>
      <xdr:row>2379</xdr:row>
      <xdr:rowOff>1209040</xdr:rowOff>
    </xdr:to>
    <xdr:pic>
      <xdr:nvPicPr>
        <xdr:cNvPr id="6071" name="Изображение 6070" descr="resizeПП-00271317"/>
        <xdr:cNvPicPr>
          <a:picLocks noChangeAspect="1"/>
        </xdr:cNvPicPr>
      </xdr:nvPicPr>
      <xdr:blipFill>
        <a:blip xmlns:r="http://schemas.openxmlformats.org/officeDocument/2006/relationships" r:embed="rId1819"/>
        <a:stretch>
          <a:fillRect/>
        </a:stretch>
      </xdr:blipFill>
      <xdr:spPr>
        <a:xfrm>
          <a:off x="7264400" y="2359244075"/>
          <a:ext cx="878840" cy="1183640"/>
        </a:xfrm>
        <a:prstGeom prst="rect">
          <a:avLst/>
        </a:prstGeom>
      </xdr:spPr>
    </xdr:pic>
    <xdr:clientData/>
  </xdr:twoCellAnchor>
  <xdr:twoCellAnchor>
    <xdr:from>
      <xdr:col>8</xdr:col>
      <xdr:colOff>6350</xdr:colOff>
      <xdr:row>2380</xdr:row>
      <xdr:rowOff>25400</xdr:rowOff>
    </xdr:from>
    <xdr:to>
      <xdr:col>8</xdr:col>
      <xdr:colOff>885190</xdr:colOff>
      <xdr:row>2380</xdr:row>
      <xdr:rowOff>1209040</xdr:rowOff>
    </xdr:to>
    <xdr:pic>
      <xdr:nvPicPr>
        <xdr:cNvPr id="6072" name="Изображение 6071" descr="resizeПП-00271313"/>
        <xdr:cNvPicPr>
          <a:picLocks noChangeAspect="1"/>
        </xdr:cNvPicPr>
      </xdr:nvPicPr>
      <xdr:blipFill>
        <a:blip xmlns:r="http://schemas.openxmlformats.org/officeDocument/2006/relationships" r:embed="rId1820"/>
        <a:stretch>
          <a:fillRect/>
        </a:stretch>
      </xdr:blipFill>
      <xdr:spPr>
        <a:xfrm>
          <a:off x="7264400" y="2360466450"/>
          <a:ext cx="878840" cy="1183640"/>
        </a:xfrm>
        <a:prstGeom prst="rect">
          <a:avLst/>
        </a:prstGeom>
      </xdr:spPr>
    </xdr:pic>
    <xdr:clientData/>
  </xdr:twoCellAnchor>
  <xdr:twoCellAnchor>
    <xdr:from>
      <xdr:col>8</xdr:col>
      <xdr:colOff>6350</xdr:colOff>
      <xdr:row>2381</xdr:row>
      <xdr:rowOff>25400</xdr:rowOff>
    </xdr:from>
    <xdr:to>
      <xdr:col>8</xdr:col>
      <xdr:colOff>885190</xdr:colOff>
      <xdr:row>2381</xdr:row>
      <xdr:rowOff>1209040</xdr:rowOff>
    </xdr:to>
    <xdr:pic>
      <xdr:nvPicPr>
        <xdr:cNvPr id="6073" name="Изображение 6072" descr="resizeПП-00271311"/>
        <xdr:cNvPicPr>
          <a:picLocks noChangeAspect="1"/>
        </xdr:cNvPicPr>
      </xdr:nvPicPr>
      <xdr:blipFill>
        <a:blip xmlns:r="http://schemas.openxmlformats.org/officeDocument/2006/relationships" r:embed="rId1821"/>
        <a:stretch>
          <a:fillRect/>
        </a:stretch>
      </xdr:blipFill>
      <xdr:spPr>
        <a:xfrm>
          <a:off x="7264400" y="2361688825"/>
          <a:ext cx="878840" cy="1183640"/>
        </a:xfrm>
        <a:prstGeom prst="rect">
          <a:avLst/>
        </a:prstGeom>
      </xdr:spPr>
    </xdr:pic>
    <xdr:clientData/>
  </xdr:twoCellAnchor>
  <xdr:twoCellAnchor>
    <xdr:from>
      <xdr:col>8</xdr:col>
      <xdr:colOff>6350</xdr:colOff>
      <xdr:row>2382</xdr:row>
      <xdr:rowOff>25400</xdr:rowOff>
    </xdr:from>
    <xdr:to>
      <xdr:col>8</xdr:col>
      <xdr:colOff>885190</xdr:colOff>
      <xdr:row>2382</xdr:row>
      <xdr:rowOff>1209040</xdr:rowOff>
    </xdr:to>
    <xdr:pic>
      <xdr:nvPicPr>
        <xdr:cNvPr id="6074" name="Изображение 6073" descr="resizeПП-00271312"/>
        <xdr:cNvPicPr>
          <a:picLocks noChangeAspect="1"/>
        </xdr:cNvPicPr>
      </xdr:nvPicPr>
      <xdr:blipFill>
        <a:blip xmlns:r="http://schemas.openxmlformats.org/officeDocument/2006/relationships" r:embed="rId1822"/>
        <a:stretch>
          <a:fillRect/>
        </a:stretch>
      </xdr:blipFill>
      <xdr:spPr>
        <a:xfrm>
          <a:off x="7264400" y="2362911200"/>
          <a:ext cx="878840" cy="1183640"/>
        </a:xfrm>
        <a:prstGeom prst="rect">
          <a:avLst/>
        </a:prstGeom>
      </xdr:spPr>
    </xdr:pic>
    <xdr:clientData/>
  </xdr:twoCellAnchor>
  <xdr:twoCellAnchor>
    <xdr:from>
      <xdr:col>8</xdr:col>
      <xdr:colOff>6350</xdr:colOff>
      <xdr:row>2383</xdr:row>
      <xdr:rowOff>25400</xdr:rowOff>
    </xdr:from>
    <xdr:to>
      <xdr:col>8</xdr:col>
      <xdr:colOff>885190</xdr:colOff>
      <xdr:row>2383</xdr:row>
      <xdr:rowOff>1209040</xdr:rowOff>
    </xdr:to>
    <xdr:pic>
      <xdr:nvPicPr>
        <xdr:cNvPr id="6075" name="Изображение 6074" descr="resizeПП-00247450"/>
        <xdr:cNvPicPr>
          <a:picLocks noChangeAspect="1"/>
        </xdr:cNvPicPr>
      </xdr:nvPicPr>
      <xdr:blipFill>
        <a:blip xmlns:r="http://schemas.openxmlformats.org/officeDocument/2006/relationships" r:embed="rId1823"/>
        <a:stretch>
          <a:fillRect/>
        </a:stretch>
      </xdr:blipFill>
      <xdr:spPr>
        <a:xfrm>
          <a:off x="7264400" y="2364133575"/>
          <a:ext cx="878840" cy="1183640"/>
        </a:xfrm>
        <a:prstGeom prst="rect">
          <a:avLst/>
        </a:prstGeom>
      </xdr:spPr>
    </xdr:pic>
    <xdr:clientData/>
  </xdr:twoCellAnchor>
  <xdr:twoCellAnchor>
    <xdr:from>
      <xdr:col>8</xdr:col>
      <xdr:colOff>6350</xdr:colOff>
      <xdr:row>2384</xdr:row>
      <xdr:rowOff>25400</xdr:rowOff>
    </xdr:from>
    <xdr:to>
      <xdr:col>8</xdr:col>
      <xdr:colOff>885190</xdr:colOff>
      <xdr:row>2384</xdr:row>
      <xdr:rowOff>1209040</xdr:rowOff>
    </xdr:to>
    <xdr:pic>
      <xdr:nvPicPr>
        <xdr:cNvPr id="6076" name="Изображение 6075" descr="resizeПП-00271321"/>
        <xdr:cNvPicPr>
          <a:picLocks noChangeAspect="1"/>
        </xdr:cNvPicPr>
      </xdr:nvPicPr>
      <xdr:blipFill>
        <a:blip xmlns:r="http://schemas.openxmlformats.org/officeDocument/2006/relationships" r:embed="rId1824"/>
        <a:stretch>
          <a:fillRect/>
        </a:stretch>
      </xdr:blipFill>
      <xdr:spPr>
        <a:xfrm>
          <a:off x="7264400" y="2365355950"/>
          <a:ext cx="878840" cy="1183640"/>
        </a:xfrm>
        <a:prstGeom prst="rect">
          <a:avLst/>
        </a:prstGeom>
      </xdr:spPr>
    </xdr:pic>
    <xdr:clientData/>
  </xdr:twoCellAnchor>
  <xdr:twoCellAnchor>
    <xdr:from>
      <xdr:col>8</xdr:col>
      <xdr:colOff>6350</xdr:colOff>
      <xdr:row>2385</xdr:row>
      <xdr:rowOff>25400</xdr:rowOff>
    </xdr:from>
    <xdr:to>
      <xdr:col>8</xdr:col>
      <xdr:colOff>885190</xdr:colOff>
      <xdr:row>2385</xdr:row>
      <xdr:rowOff>1209040</xdr:rowOff>
    </xdr:to>
    <xdr:pic>
      <xdr:nvPicPr>
        <xdr:cNvPr id="6077" name="Изображение 6076" descr="resizeПП-00247449"/>
        <xdr:cNvPicPr>
          <a:picLocks noChangeAspect="1"/>
        </xdr:cNvPicPr>
      </xdr:nvPicPr>
      <xdr:blipFill>
        <a:blip xmlns:r="http://schemas.openxmlformats.org/officeDocument/2006/relationships" r:embed="rId1825"/>
        <a:stretch>
          <a:fillRect/>
        </a:stretch>
      </xdr:blipFill>
      <xdr:spPr>
        <a:xfrm>
          <a:off x="7264400" y="2366578325"/>
          <a:ext cx="878840" cy="1183640"/>
        </a:xfrm>
        <a:prstGeom prst="rect">
          <a:avLst/>
        </a:prstGeom>
      </xdr:spPr>
    </xdr:pic>
    <xdr:clientData/>
  </xdr:twoCellAnchor>
  <xdr:twoCellAnchor>
    <xdr:from>
      <xdr:col>8</xdr:col>
      <xdr:colOff>6350</xdr:colOff>
      <xdr:row>2386</xdr:row>
      <xdr:rowOff>25400</xdr:rowOff>
    </xdr:from>
    <xdr:to>
      <xdr:col>8</xdr:col>
      <xdr:colOff>885190</xdr:colOff>
      <xdr:row>2386</xdr:row>
      <xdr:rowOff>1209040</xdr:rowOff>
    </xdr:to>
    <xdr:pic>
      <xdr:nvPicPr>
        <xdr:cNvPr id="6078" name="Изображение 6077" descr="resizeПП-00247452"/>
        <xdr:cNvPicPr>
          <a:picLocks noChangeAspect="1"/>
        </xdr:cNvPicPr>
      </xdr:nvPicPr>
      <xdr:blipFill>
        <a:blip xmlns:r="http://schemas.openxmlformats.org/officeDocument/2006/relationships" r:embed="rId1826"/>
        <a:stretch>
          <a:fillRect/>
        </a:stretch>
      </xdr:blipFill>
      <xdr:spPr>
        <a:xfrm>
          <a:off x="7264400" y="2367800700"/>
          <a:ext cx="878840" cy="1183640"/>
        </a:xfrm>
        <a:prstGeom prst="rect">
          <a:avLst/>
        </a:prstGeom>
      </xdr:spPr>
    </xdr:pic>
    <xdr:clientData/>
  </xdr:twoCellAnchor>
  <xdr:twoCellAnchor>
    <xdr:from>
      <xdr:col>8</xdr:col>
      <xdr:colOff>6350</xdr:colOff>
      <xdr:row>2387</xdr:row>
      <xdr:rowOff>25400</xdr:rowOff>
    </xdr:from>
    <xdr:to>
      <xdr:col>8</xdr:col>
      <xdr:colOff>885190</xdr:colOff>
      <xdr:row>2387</xdr:row>
      <xdr:rowOff>1209040</xdr:rowOff>
    </xdr:to>
    <xdr:pic>
      <xdr:nvPicPr>
        <xdr:cNvPr id="6079" name="Изображение 6078" descr="resizeПП-00228184"/>
        <xdr:cNvPicPr>
          <a:picLocks noChangeAspect="1"/>
        </xdr:cNvPicPr>
      </xdr:nvPicPr>
      <xdr:blipFill>
        <a:blip xmlns:r="http://schemas.openxmlformats.org/officeDocument/2006/relationships" r:embed="rId1827"/>
        <a:stretch>
          <a:fillRect/>
        </a:stretch>
      </xdr:blipFill>
      <xdr:spPr>
        <a:xfrm>
          <a:off x="7264400" y="2369023075"/>
          <a:ext cx="878840" cy="1183640"/>
        </a:xfrm>
        <a:prstGeom prst="rect">
          <a:avLst/>
        </a:prstGeom>
      </xdr:spPr>
    </xdr:pic>
    <xdr:clientData/>
  </xdr:twoCellAnchor>
  <xdr:twoCellAnchor>
    <xdr:from>
      <xdr:col>8</xdr:col>
      <xdr:colOff>6350</xdr:colOff>
      <xdr:row>2388</xdr:row>
      <xdr:rowOff>25400</xdr:rowOff>
    </xdr:from>
    <xdr:to>
      <xdr:col>8</xdr:col>
      <xdr:colOff>885190</xdr:colOff>
      <xdr:row>2388</xdr:row>
      <xdr:rowOff>1209040</xdr:rowOff>
    </xdr:to>
    <xdr:pic>
      <xdr:nvPicPr>
        <xdr:cNvPr id="6080" name="Изображение 6079" descr="resizeПП-00271316"/>
        <xdr:cNvPicPr>
          <a:picLocks noChangeAspect="1"/>
        </xdr:cNvPicPr>
      </xdr:nvPicPr>
      <xdr:blipFill>
        <a:blip xmlns:r="http://schemas.openxmlformats.org/officeDocument/2006/relationships" r:embed="rId1828"/>
        <a:stretch>
          <a:fillRect/>
        </a:stretch>
      </xdr:blipFill>
      <xdr:spPr>
        <a:xfrm>
          <a:off x="7264400" y="2370245450"/>
          <a:ext cx="878840" cy="1183640"/>
        </a:xfrm>
        <a:prstGeom prst="rect">
          <a:avLst/>
        </a:prstGeom>
      </xdr:spPr>
    </xdr:pic>
    <xdr:clientData/>
  </xdr:twoCellAnchor>
  <xdr:twoCellAnchor>
    <xdr:from>
      <xdr:col>8</xdr:col>
      <xdr:colOff>6350</xdr:colOff>
      <xdr:row>2389</xdr:row>
      <xdr:rowOff>25400</xdr:rowOff>
    </xdr:from>
    <xdr:to>
      <xdr:col>8</xdr:col>
      <xdr:colOff>885190</xdr:colOff>
      <xdr:row>2389</xdr:row>
      <xdr:rowOff>1209040</xdr:rowOff>
    </xdr:to>
    <xdr:pic>
      <xdr:nvPicPr>
        <xdr:cNvPr id="6081" name="Изображение 6080" descr="resizeПП-00271314"/>
        <xdr:cNvPicPr>
          <a:picLocks noChangeAspect="1"/>
        </xdr:cNvPicPr>
      </xdr:nvPicPr>
      <xdr:blipFill>
        <a:blip xmlns:r="http://schemas.openxmlformats.org/officeDocument/2006/relationships" r:embed="rId1829"/>
        <a:stretch>
          <a:fillRect/>
        </a:stretch>
      </xdr:blipFill>
      <xdr:spPr>
        <a:xfrm>
          <a:off x="7264400" y="2371467825"/>
          <a:ext cx="878840" cy="1183640"/>
        </a:xfrm>
        <a:prstGeom prst="rect">
          <a:avLst/>
        </a:prstGeom>
      </xdr:spPr>
    </xdr:pic>
    <xdr:clientData/>
  </xdr:twoCellAnchor>
  <xdr:twoCellAnchor>
    <xdr:from>
      <xdr:col>8</xdr:col>
      <xdr:colOff>6350</xdr:colOff>
      <xdr:row>2390</xdr:row>
      <xdr:rowOff>25400</xdr:rowOff>
    </xdr:from>
    <xdr:to>
      <xdr:col>8</xdr:col>
      <xdr:colOff>885190</xdr:colOff>
      <xdr:row>2390</xdr:row>
      <xdr:rowOff>1209040</xdr:rowOff>
    </xdr:to>
    <xdr:pic>
      <xdr:nvPicPr>
        <xdr:cNvPr id="6082" name="Изображение 6081" descr="resizeПП-00271315"/>
        <xdr:cNvPicPr>
          <a:picLocks noChangeAspect="1"/>
        </xdr:cNvPicPr>
      </xdr:nvPicPr>
      <xdr:blipFill>
        <a:blip xmlns:r="http://schemas.openxmlformats.org/officeDocument/2006/relationships" r:embed="rId1830"/>
        <a:stretch>
          <a:fillRect/>
        </a:stretch>
      </xdr:blipFill>
      <xdr:spPr>
        <a:xfrm>
          <a:off x="7264400" y="2372690200"/>
          <a:ext cx="878840" cy="1183640"/>
        </a:xfrm>
        <a:prstGeom prst="rect">
          <a:avLst/>
        </a:prstGeom>
      </xdr:spPr>
    </xdr:pic>
    <xdr:clientData/>
  </xdr:twoCellAnchor>
  <xdr:twoCellAnchor>
    <xdr:from>
      <xdr:col>8</xdr:col>
      <xdr:colOff>6350</xdr:colOff>
      <xdr:row>2391</xdr:row>
      <xdr:rowOff>25400</xdr:rowOff>
    </xdr:from>
    <xdr:to>
      <xdr:col>8</xdr:col>
      <xdr:colOff>885190</xdr:colOff>
      <xdr:row>2391</xdr:row>
      <xdr:rowOff>1209040</xdr:rowOff>
    </xdr:to>
    <xdr:pic>
      <xdr:nvPicPr>
        <xdr:cNvPr id="6083" name="Изображение 6082" descr="resizeПП-00247460"/>
        <xdr:cNvPicPr>
          <a:picLocks noChangeAspect="1"/>
        </xdr:cNvPicPr>
      </xdr:nvPicPr>
      <xdr:blipFill>
        <a:blip xmlns:r="http://schemas.openxmlformats.org/officeDocument/2006/relationships" r:embed="rId1831"/>
        <a:stretch>
          <a:fillRect/>
        </a:stretch>
      </xdr:blipFill>
      <xdr:spPr>
        <a:xfrm>
          <a:off x="7264400" y="2373912575"/>
          <a:ext cx="878840" cy="1183640"/>
        </a:xfrm>
        <a:prstGeom prst="rect">
          <a:avLst/>
        </a:prstGeom>
      </xdr:spPr>
    </xdr:pic>
    <xdr:clientData/>
  </xdr:twoCellAnchor>
  <xdr:twoCellAnchor>
    <xdr:from>
      <xdr:col>8</xdr:col>
      <xdr:colOff>6350</xdr:colOff>
      <xdr:row>2392</xdr:row>
      <xdr:rowOff>25400</xdr:rowOff>
    </xdr:from>
    <xdr:to>
      <xdr:col>8</xdr:col>
      <xdr:colOff>885190</xdr:colOff>
      <xdr:row>2392</xdr:row>
      <xdr:rowOff>1209040</xdr:rowOff>
    </xdr:to>
    <xdr:pic>
      <xdr:nvPicPr>
        <xdr:cNvPr id="6084" name="Изображение 6083" descr="resizeПП-00247458"/>
        <xdr:cNvPicPr>
          <a:picLocks noChangeAspect="1"/>
        </xdr:cNvPicPr>
      </xdr:nvPicPr>
      <xdr:blipFill>
        <a:blip xmlns:r="http://schemas.openxmlformats.org/officeDocument/2006/relationships" r:embed="rId1832"/>
        <a:stretch>
          <a:fillRect/>
        </a:stretch>
      </xdr:blipFill>
      <xdr:spPr>
        <a:xfrm>
          <a:off x="7264400" y="2375134950"/>
          <a:ext cx="878840" cy="1183640"/>
        </a:xfrm>
        <a:prstGeom prst="rect">
          <a:avLst/>
        </a:prstGeom>
      </xdr:spPr>
    </xdr:pic>
    <xdr:clientData/>
  </xdr:twoCellAnchor>
  <xdr:twoCellAnchor>
    <xdr:from>
      <xdr:col>8</xdr:col>
      <xdr:colOff>6350</xdr:colOff>
      <xdr:row>2393</xdr:row>
      <xdr:rowOff>25400</xdr:rowOff>
    </xdr:from>
    <xdr:to>
      <xdr:col>8</xdr:col>
      <xdr:colOff>885190</xdr:colOff>
      <xdr:row>2393</xdr:row>
      <xdr:rowOff>1209040</xdr:rowOff>
    </xdr:to>
    <xdr:pic>
      <xdr:nvPicPr>
        <xdr:cNvPr id="6085" name="Изображение 6084" descr="resizeПП-00247453"/>
        <xdr:cNvPicPr>
          <a:picLocks noChangeAspect="1"/>
        </xdr:cNvPicPr>
      </xdr:nvPicPr>
      <xdr:blipFill>
        <a:blip xmlns:r="http://schemas.openxmlformats.org/officeDocument/2006/relationships" r:embed="rId1833"/>
        <a:stretch>
          <a:fillRect/>
        </a:stretch>
      </xdr:blipFill>
      <xdr:spPr>
        <a:xfrm>
          <a:off x="7264400" y="2376357325"/>
          <a:ext cx="878840" cy="1183640"/>
        </a:xfrm>
        <a:prstGeom prst="rect">
          <a:avLst/>
        </a:prstGeom>
      </xdr:spPr>
    </xdr:pic>
    <xdr:clientData/>
  </xdr:twoCellAnchor>
  <xdr:twoCellAnchor>
    <xdr:from>
      <xdr:col>8</xdr:col>
      <xdr:colOff>6350</xdr:colOff>
      <xdr:row>2394</xdr:row>
      <xdr:rowOff>25400</xdr:rowOff>
    </xdr:from>
    <xdr:to>
      <xdr:col>8</xdr:col>
      <xdr:colOff>885190</xdr:colOff>
      <xdr:row>2394</xdr:row>
      <xdr:rowOff>1209040</xdr:rowOff>
    </xdr:to>
    <xdr:pic>
      <xdr:nvPicPr>
        <xdr:cNvPr id="6086" name="Изображение 6085" descr="resizeПП-00247456"/>
        <xdr:cNvPicPr>
          <a:picLocks noChangeAspect="1"/>
        </xdr:cNvPicPr>
      </xdr:nvPicPr>
      <xdr:blipFill>
        <a:blip xmlns:r="http://schemas.openxmlformats.org/officeDocument/2006/relationships" r:embed="rId1834"/>
        <a:stretch>
          <a:fillRect/>
        </a:stretch>
      </xdr:blipFill>
      <xdr:spPr>
        <a:xfrm>
          <a:off x="7264400" y="2377579700"/>
          <a:ext cx="878840" cy="1183640"/>
        </a:xfrm>
        <a:prstGeom prst="rect">
          <a:avLst/>
        </a:prstGeom>
      </xdr:spPr>
    </xdr:pic>
    <xdr:clientData/>
  </xdr:twoCellAnchor>
  <xdr:twoCellAnchor>
    <xdr:from>
      <xdr:col>8</xdr:col>
      <xdr:colOff>6350</xdr:colOff>
      <xdr:row>2395</xdr:row>
      <xdr:rowOff>25400</xdr:rowOff>
    </xdr:from>
    <xdr:to>
      <xdr:col>8</xdr:col>
      <xdr:colOff>885190</xdr:colOff>
      <xdr:row>2395</xdr:row>
      <xdr:rowOff>1209040</xdr:rowOff>
    </xdr:to>
    <xdr:pic>
      <xdr:nvPicPr>
        <xdr:cNvPr id="6087" name="Изображение 6086" descr="resizeПП-00247457"/>
        <xdr:cNvPicPr>
          <a:picLocks noChangeAspect="1"/>
        </xdr:cNvPicPr>
      </xdr:nvPicPr>
      <xdr:blipFill>
        <a:blip xmlns:r="http://schemas.openxmlformats.org/officeDocument/2006/relationships" r:embed="rId1835"/>
        <a:stretch>
          <a:fillRect/>
        </a:stretch>
      </xdr:blipFill>
      <xdr:spPr>
        <a:xfrm>
          <a:off x="7264400" y="2378802075"/>
          <a:ext cx="878840" cy="1183640"/>
        </a:xfrm>
        <a:prstGeom prst="rect">
          <a:avLst/>
        </a:prstGeom>
      </xdr:spPr>
    </xdr:pic>
    <xdr:clientData/>
  </xdr:twoCellAnchor>
  <xdr:twoCellAnchor>
    <xdr:from>
      <xdr:col>8</xdr:col>
      <xdr:colOff>6350</xdr:colOff>
      <xdr:row>2396</xdr:row>
      <xdr:rowOff>25400</xdr:rowOff>
    </xdr:from>
    <xdr:to>
      <xdr:col>8</xdr:col>
      <xdr:colOff>885190</xdr:colOff>
      <xdr:row>2396</xdr:row>
      <xdr:rowOff>1209040</xdr:rowOff>
    </xdr:to>
    <xdr:pic>
      <xdr:nvPicPr>
        <xdr:cNvPr id="6088" name="Изображение 6087" descr="resizeПП-00247454"/>
        <xdr:cNvPicPr>
          <a:picLocks noChangeAspect="1"/>
        </xdr:cNvPicPr>
      </xdr:nvPicPr>
      <xdr:blipFill>
        <a:blip xmlns:r="http://schemas.openxmlformats.org/officeDocument/2006/relationships" r:embed="rId1836"/>
        <a:stretch>
          <a:fillRect/>
        </a:stretch>
      </xdr:blipFill>
      <xdr:spPr>
        <a:xfrm>
          <a:off x="7264400" y="2380024450"/>
          <a:ext cx="878840" cy="1183640"/>
        </a:xfrm>
        <a:prstGeom prst="rect">
          <a:avLst/>
        </a:prstGeom>
      </xdr:spPr>
    </xdr:pic>
    <xdr:clientData/>
  </xdr:twoCellAnchor>
  <xdr:twoCellAnchor>
    <xdr:from>
      <xdr:col>8</xdr:col>
      <xdr:colOff>6350</xdr:colOff>
      <xdr:row>2397</xdr:row>
      <xdr:rowOff>25400</xdr:rowOff>
    </xdr:from>
    <xdr:to>
      <xdr:col>8</xdr:col>
      <xdr:colOff>885190</xdr:colOff>
      <xdr:row>2397</xdr:row>
      <xdr:rowOff>1209040</xdr:rowOff>
    </xdr:to>
    <xdr:pic>
      <xdr:nvPicPr>
        <xdr:cNvPr id="6089" name="Изображение 6088" descr="resizeПП-00247455"/>
        <xdr:cNvPicPr>
          <a:picLocks noChangeAspect="1"/>
        </xdr:cNvPicPr>
      </xdr:nvPicPr>
      <xdr:blipFill>
        <a:blip xmlns:r="http://schemas.openxmlformats.org/officeDocument/2006/relationships" r:embed="rId1837"/>
        <a:stretch>
          <a:fillRect/>
        </a:stretch>
      </xdr:blipFill>
      <xdr:spPr>
        <a:xfrm>
          <a:off x="7264400" y="2381246825"/>
          <a:ext cx="878840" cy="1183640"/>
        </a:xfrm>
        <a:prstGeom prst="rect">
          <a:avLst/>
        </a:prstGeom>
      </xdr:spPr>
    </xdr:pic>
    <xdr:clientData/>
  </xdr:twoCellAnchor>
  <xdr:twoCellAnchor>
    <xdr:from>
      <xdr:col>8</xdr:col>
      <xdr:colOff>6350</xdr:colOff>
      <xdr:row>2398</xdr:row>
      <xdr:rowOff>25400</xdr:rowOff>
    </xdr:from>
    <xdr:to>
      <xdr:col>8</xdr:col>
      <xdr:colOff>885190</xdr:colOff>
      <xdr:row>2398</xdr:row>
      <xdr:rowOff>1209040</xdr:rowOff>
    </xdr:to>
    <xdr:pic>
      <xdr:nvPicPr>
        <xdr:cNvPr id="6090" name="Изображение 6089" descr="resizeПП-00271318"/>
        <xdr:cNvPicPr>
          <a:picLocks noChangeAspect="1"/>
        </xdr:cNvPicPr>
      </xdr:nvPicPr>
      <xdr:blipFill>
        <a:blip xmlns:r="http://schemas.openxmlformats.org/officeDocument/2006/relationships" r:embed="rId1838"/>
        <a:stretch>
          <a:fillRect/>
        </a:stretch>
      </xdr:blipFill>
      <xdr:spPr>
        <a:xfrm>
          <a:off x="7264400" y="2382469200"/>
          <a:ext cx="878840" cy="1183640"/>
        </a:xfrm>
        <a:prstGeom prst="rect">
          <a:avLst/>
        </a:prstGeom>
      </xdr:spPr>
    </xdr:pic>
    <xdr:clientData/>
  </xdr:twoCellAnchor>
  <xdr:twoCellAnchor>
    <xdr:from>
      <xdr:col>8</xdr:col>
      <xdr:colOff>6350</xdr:colOff>
      <xdr:row>2400</xdr:row>
      <xdr:rowOff>25400</xdr:rowOff>
    </xdr:from>
    <xdr:to>
      <xdr:col>8</xdr:col>
      <xdr:colOff>885190</xdr:colOff>
      <xdr:row>2400</xdr:row>
      <xdr:rowOff>1209040</xdr:rowOff>
    </xdr:to>
    <xdr:pic>
      <xdr:nvPicPr>
        <xdr:cNvPr id="6091" name="Изображение 6090" descr="resizeПП-00271323"/>
        <xdr:cNvPicPr>
          <a:picLocks noChangeAspect="1"/>
        </xdr:cNvPicPr>
      </xdr:nvPicPr>
      <xdr:blipFill>
        <a:blip xmlns:r="http://schemas.openxmlformats.org/officeDocument/2006/relationships" r:embed="rId1839"/>
        <a:stretch>
          <a:fillRect/>
        </a:stretch>
      </xdr:blipFill>
      <xdr:spPr>
        <a:xfrm>
          <a:off x="7264400" y="2383843975"/>
          <a:ext cx="878840" cy="1183640"/>
        </a:xfrm>
        <a:prstGeom prst="rect">
          <a:avLst/>
        </a:prstGeom>
      </xdr:spPr>
    </xdr:pic>
    <xdr:clientData/>
  </xdr:twoCellAnchor>
  <xdr:twoCellAnchor>
    <xdr:from>
      <xdr:col>8</xdr:col>
      <xdr:colOff>6350</xdr:colOff>
      <xdr:row>2401</xdr:row>
      <xdr:rowOff>25400</xdr:rowOff>
    </xdr:from>
    <xdr:to>
      <xdr:col>8</xdr:col>
      <xdr:colOff>885190</xdr:colOff>
      <xdr:row>2401</xdr:row>
      <xdr:rowOff>1209040</xdr:rowOff>
    </xdr:to>
    <xdr:pic>
      <xdr:nvPicPr>
        <xdr:cNvPr id="6092" name="Изображение 6091" descr="resizeПП-00271324"/>
        <xdr:cNvPicPr>
          <a:picLocks noChangeAspect="1"/>
        </xdr:cNvPicPr>
      </xdr:nvPicPr>
      <xdr:blipFill>
        <a:blip xmlns:r="http://schemas.openxmlformats.org/officeDocument/2006/relationships" r:embed="rId1840"/>
        <a:stretch>
          <a:fillRect/>
        </a:stretch>
      </xdr:blipFill>
      <xdr:spPr>
        <a:xfrm>
          <a:off x="7264400" y="2385066350"/>
          <a:ext cx="878840" cy="1183640"/>
        </a:xfrm>
        <a:prstGeom prst="rect">
          <a:avLst/>
        </a:prstGeom>
      </xdr:spPr>
    </xdr:pic>
    <xdr:clientData/>
  </xdr:twoCellAnchor>
  <xdr:twoCellAnchor>
    <xdr:from>
      <xdr:col>8</xdr:col>
      <xdr:colOff>6350</xdr:colOff>
      <xdr:row>2402</xdr:row>
      <xdr:rowOff>25400</xdr:rowOff>
    </xdr:from>
    <xdr:to>
      <xdr:col>8</xdr:col>
      <xdr:colOff>885190</xdr:colOff>
      <xdr:row>2402</xdr:row>
      <xdr:rowOff>1209040</xdr:rowOff>
    </xdr:to>
    <xdr:pic>
      <xdr:nvPicPr>
        <xdr:cNvPr id="6093" name="Изображение 6092" descr="resizeПП-00248696"/>
        <xdr:cNvPicPr>
          <a:picLocks noChangeAspect="1"/>
        </xdr:cNvPicPr>
      </xdr:nvPicPr>
      <xdr:blipFill>
        <a:blip xmlns:r="http://schemas.openxmlformats.org/officeDocument/2006/relationships" r:embed="rId1841"/>
        <a:stretch>
          <a:fillRect/>
        </a:stretch>
      </xdr:blipFill>
      <xdr:spPr>
        <a:xfrm>
          <a:off x="7264400" y="2386288725"/>
          <a:ext cx="878840" cy="1183640"/>
        </a:xfrm>
        <a:prstGeom prst="rect">
          <a:avLst/>
        </a:prstGeom>
      </xdr:spPr>
    </xdr:pic>
    <xdr:clientData/>
  </xdr:twoCellAnchor>
  <xdr:twoCellAnchor>
    <xdr:from>
      <xdr:col>8</xdr:col>
      <xdr:colOff>6350</xdr:colOff>
      <xdr:row>2403</xdr:row>
      <xdr:rowOff>25400</xdr:rowOff>
    </xdr:from>
    <xdr:to>
      <xdr:col>8</xdr:col>
      <xdr:colOff>885190</xdr:colOff>
      <xdr:row>2403</xdr:row>
      <xdr:rowOff>1209040</xdr:rowOff>
    </xdr:to>
    <xdr:pic>
      <xdr:nvPicPr>
        <xdr:cNvPr id="6094" name="Изображение 6093" descr="resizeПП-00271325"/>
        <xdr:cNvPicPr>
          <a:picLocks noChangeAspect="1"/>
        </xdr:cNvPicPr>
      </xdr:nvPicPr>
      <xdr:blipFill>
        <a:blip xmlns:r="http://schemas.openxmlformats.org/officeDocument/2006/relationships" r:embed="rId1842"/>
        <a:stretch>
          <a:fillRect/>
        </a:stretch>
      </xdr:blipFill>
      <xdr:spPr>
        <a:xfrm>
          <a:off x="7264400" y="2387511100"/>
          <a:ext cx="878840" cy="1183640"/>
        </a:xfrm>
        <a:prstGeom prst="rect">
          <a:avLst/>
        </a:prstGeom>
      </xdr:spPr>
    </xdr:pic>
    <xdr:clientData/>
  </xdr:twoCellAnchor>
  <xdr:twoCellAnchor>
    <xdr:from>
      <xdr:col>8</xdr:col>
      <xdr:colOff>6350</xdr:colOff>
      <xdr:row>2404</xdr:row>
      <xdr:rowOff>25400</xdr:rowOff>
    </xdr:from>
    <xdr:to>
      <xdr:col>8</xdr:col>
      <xdr:colOff>885190</xdr:colOff>
      <xdr:row>2404</xdr:row>
      <xdr:rowOff>1209040</xdr:rowOff>
    </xdr:to>
    <xdr:pic>
      <xdr:nvPicPr>
        <xdr:cNvPr id="6095" name="Изображение 6094" descr="resizeПП-00271326"/>
        <xdr:cNvPicPr>
          <a:picLocks noChangeAspect="1"/>
        </xdr:cNvPicPr>
      </xdr:nvPicPr>
      <xdr:blipFill>
        <a:blip xmlns:r="http://schemas.openxmlformats.org/officeDocument/2006/relationships" r:embed="rId1843"/>
        <a:stretch>
          <a:fillRect/>
        </a:stretch>
      </xdr:blipFill>
      <xdr:spPr>
        <a:xfrm>
          <a:off x="7264400" y="2388733475"/>
          <a:ext cx="878840" cy="1183640"/>
        </a:xfrm>
        <a:prstGeom prst="rect">
          <a:avLst/>
        </a:prstGeom>
      </xdr:spPr>
    </xdr:pic>
    <xdr:clientData/>
  </xdr:twoCellAnchor>
  <xdr:twoCellAnchor>
    <xdr:from>
      <xdr:col>8</xdr:col>
      <xdr:colOff>6350</xdr:colOff>
      <xdr:row>2405</xdr:row>
      <xdr:rowOff>25400</xdr:rowOff>
    </xdr:from>
    <xdr:to>
      <xdr:col>8</xdr:col>
      <xdr:colOff>885190</xdr:colOff>
      <xdr:row>2405</xdr:row>
      <xdr:rowOff>1209040</xdr:rowOff>
    </xdr:to>
    <xdr:pic>
      <xdr:nvPicPr>
        <xdr:cNvPr id="6096" name="Изображение 6095" descr="resizeПП-00248695"/>
        <xdr:cNvPicPr>
          <a:picLocks noChangeAspect="1"/>
        </xdr:cNvPicPr>
      </xdr:nvPicPr>
      <xdr:blipFill>
        <a:blip xmlns:r="http://schemas.openxmlformats.org/officeDocument/2006/relationships" r:embed="rId1844"/>
        <a:stretch>
          <a:fillRect/>
        </a:stretch>
      </xdr:blipFill>
      <xdr:spPr>
        <a:xfrm>
          <a:off x="7264400" y="2389955850"/>
          <a:ext cx="878840" cy="1183640"/>
        </a:xfrm>
        <a:prstGeom prst="rect">
          <a:avLst/>
        </a:prstGeom>
      </xdr:spPr>
    </xdr:pic>
    <xdr:clientData/>
  </xdr:twoCellAnchor>
  <xdr:twoCellAnchor>
    <xdr:from>
      <xdr:col>8</xdr:col>
      <xdr:colOff>6350</xdr:colOff>
      <xdr:row>2406</xdr:row>
      <xdr:rowOff>25400</xdr:rowOff>
    </xdr:from>
    <xdr:to>
      <xdr:col>8</xdr:col>
      <xdr:colOff>885190</xdr:colOff>
      <xdr:row>2406</xdr:row>
      <xdr:rowOff>1209040</xdr:rowOff>
    </xdr:to>
    <xdr:pic>
      <xdr:nvPicPr>
        <xdr:cNvPr id="6097" name="Изображение 6096" descr="resizeПП-00247472"/>
        <xdr:cNvPicPr>
          <a:picLocks noChangeAspect="1"/>
        </xdr:cNvPicPr>
      </xdr:nvPicPr>
      <xdr:blipFill>
        <a:blip xmlns:r="http://schemas.openxmlformats.org/officeDocument/2006/relationships" r:embed="rId1845"/>
        <a:stretch>
          <a:fillRect/>
        </a:stretch>
      </xdr:blipFill>
      <xdr:spPr>
        <a:xfrm>
          <a:off x="7264400" y="2391178225"/>
          <a:ext cx="878840" cy="1183640"/>
        </a:xfrm>
        <a:prstGeom prst="rect">
          <a:avLst/>
        </a:prstGeom>
      </xdr:spPr>
    </xdr:pic>
    <xdr:clientData/>
  </xdr:twoCellAnchor>
  <xdr:twoCellAnchor>
    <xdr:from>
      <xdr:col>8</xdr:col>
      <xdr:colOff>6350</xdr:colOff>
      <xdr:row>2407</xdr:row>
      <xdr:rowOff>25400</xdr:rowOff>
    </xdr:from>
    <xdr:to>
      <xdr:col>8</xdr:col>
      <xdr:colOff>885190</xdr:colOff>
      <xdr:row>2407</xdr:row>
      <xdr:rowOff>1209040</xdr:rowOff>
    </xdr:to>
    <xdr:pic>
      <xdr:nvPicPr>
        <xdr:cNvPr id="6098" name="Изображение 6097" descr="resizeПП-00248697"/>
        <xdr:cNvPicPr>
          <a:picLocks noChangeAspect="1"/>
        </xdr:cNvPicPr>
      </xdr:nvPicPr>
      <xdr:blipFill>
        <a:blip xmlns:r="http://schemas.openxmlformats.org/officeDocument/2006/relationships" r:embed="rId1846"/>
        <a:stretch>
          <a:fillRect/>
        </a:stretch>
      </xdr:blipFill>
      <xdr:spPr>
        <a:xfrm>
          <a:off x="7264400" y="2392400600"/>
          <a:ext cx="878840" cy="1183640"/>
        </a:xfrm>
        <a:prstGeom prst="rect">
          <a:avLst/>
        </a:prstGeom>
      </xdr:spPr>
    </xdr:pic>
    <xdr:clientData/>
  </xdr:twoCellAnchor>
  <xdr:twoCellAnchor>
    <xdr:from>
      <xdr:col>8</xdr:col>
      <xdr:colOff>6350</xdr:colOff>
      <xdr:row>2408</xdr:row>
      <xdr:rowOff>25400</xdr:rowOff>
    </xdr:from>
    <xdr:to>
      <xdr:col>8</xdr:col>
      <xdr:colOff>885190</xdr:colOff>
      <xdr:row>2408</xdr:row>
      <xdr:rowOff>1209040</xdr:rowOff>
    </xdr:to>
    <xdr:pic>
      <xdr:nvPicPr>
        <xdr:cNvPr id="6099" name="Изображение 6098" descr="resizeПП-00247468"/>
        <xdr:cNvPicPr>
          <a:picLocks noChangeAspect="1"/>
        </xdr:cNvPicPr>
      </xdr:nvPicPr>
      <xdr:blipFill>
        <a:blip xmlns:r="http://schemas.openxmlformats.org/officeDocument/2006/relationships" r:embed="rId1847"/>
        <a:stretch>
          <a:fillRect/>
        </a:stretch>
      </xdr:blipFill>
      <xdr:spPr>
        <a:xfrm>
          <a:off x="7264400" y="2393622975"/>
          <a:ext cx="878840" cy="1183640"/>
        </a:xfrm>
        <a:prstGeom prst="rect">
          <a:avLst/>
        </a:prstGeom>
      </xdr:spPr>
    </xdr:pic>
    <xdr:clientData/>
  </xdr:twoCellAnchor>
  <xdr:twoCellAnchor>
    <xdr:from>
      <xdr:col>8</xdr:col>
      <xdr:colOff>6350</xdr:colOff>
      <xdr:row>2409</xdr:row>
      <xdr:rowOff>25400</xdr:rowOff>
    </xdr:from>
    <xdr:to>
      <xdr:col>8</xdr:col>
      <xdr:colOff>885190</xdr:colOff>
      <xdr:row>2409</xdr:row>
      <xdr:rowOff>1209040</xdr:rowOff>
    </xdr:to>
    <xdr:pic>
      <xdr:nvPicPr>
        <xdr:cNvPr id="6100" name="Изображение 6099" descr="resizeПП-00247471"/>
        <xdr:cNvPicPr>
          <a:picLocks noChangeAspect="1"/>
        </xdr:cNvPicPr>
      </xdr:nvPicPr>
      <xdr:blipFill>
        <a:blip xmlns:r="http://schemas.openxmlformats.org/officeDocument/2006/relationships" r:embed="rId1848"/>
        <a:stretch>
          <a:fillRect/>
        </a:stretch>
      </xdr:blipFill>
      <xdr:spPr>
        <a:xfrm>
          <a:off x="7264400" y="2394845350"/>
          <a:ext cx="878840" cy="1183640"/>
        </a:xfrm>
        <a:prstGeom prst="rect">
          <a:avLst/>
        </a:prstGeom>
      </xdr:spPr>
    </xdr:pic>
    <xdr:clientData/>
  </xdr:twoCellAnchor>
  <xdr:twoCellAnchor>
    <xdr:from>
      <xdr:col>8</xdr:col>
      <xdr:colOff>6350</xdr:colOff>
      <xdr:row>2410</xdr:row>
      <xdr:rowOff>25400</xdr:rowOff>
    </xdr:from>
    <xdr:to>
      <xdr:col>8</xdr:col>
      <xdr:colOff>885190</xdr:colOff>
      <xdr:row>2410</xdr:row>
      <xdr:rowOff>1209040</xdr:rowOff>
    </xdr:to>
    <xdr:pic>
      <xdr:nvPicPr>
        <xdr:cNvPr id="6101" name="Изображение 6100" descr="resizeПП-00247466"/>
        <xdr:cNvPicPr>
          <a:picLocks noChangeAspect="1"/>
        </xdr:cNvPicPr>
      </xdr:nvPicPr>
      <xdr:blipFill>
        <a:blip xmlns:r="http://schemas.openxmlformats.org/officeDocument/2006/relationships" r:embed="rId1849"/>
        <a:stretch>
          <a:fillRect/>
        </a:stretch>
      </xdr:blipFill>
      <xdr:spPr>
        <a:xfrm>
          <a:off x="7264400" y="2396067725"/>
          <a:ext cx="878840" cy="1183640"/>
        </a:xfrm>
        <a:prstGeom prst="rect">
          <a:avLst/>
        </a:prstGeom>
      </xdr:spPr>
    </xdr:pic>
    <xdr:clientData/>
  </xdr:twoCellAnchor>
  <xdr:twoCellAnchor>
    <xdr:from>
      <xdr:col>8</xdr:col>
      <xdr:colOff>6350</xdr:colOff>
      <xdr:row>2411</xdr:row>
      <xdr:rowOff>25400</xdr:rowOff>
    </xdr:from>
    <xdr:to>
      <xdr:col>8</xdr:col>
      <xdr:colOff>885190</xdr:colOff>
      <xdr:row>2411</xdr:row>
      <xdr:rowOff>1209040</xdr:rowOff>
    </xdr:to>
    <xdr:pic>
      <xdr:nvPicPr>
        <xdr:cNvPr id="6102" name="Изображение 6101" descr="resizeПП-00247465"/>
        <xdr:cNvPicPr>
          <a:picLocks noChangeAspect="1"/>
        </xdr:cNvPicPr>
      </xdr:nvPicPr>
      <xdr:blipFill>
        <a:blip xmlns:r="http://schemas.openxmlformats.org/officeDocument/2006/relationships" r:embed="rId1850"/>
        <a:stretch>
          <a:fillRect/>
        </a:stretch>
      </xdr:blipFill>
      <xdr:spPr>
        <a:xfrm>
          <a:off x="7264400" y="2397290100"/>
          <a:ext cx="878840" cy="1183640"/>
        </a:xfrm>
        <a:prstGeom prst="rect">
          <a:avLst/>
        </a:prstGeom>
      </xdr:spPr>
    </xdr:pic>
    <xdr:clientData/>
  </xdr:twoCellAnchor>
  <xdr:twoCellAnchor>
    <xdr:from>
      <xdr:col>8</xdr:col>
      <xdr:colOff>6350</xdr:colOff>
      <xdr:row>2412</xdr:row>
      <xdr:rowOff>25400</xdr:rowOff>
    </xdr:from>
    <xdr:to>
      <xdr:col>8</xdr:col>
      <xdr:colOff>885190</xdr:colOff>
      <xdr:row>2412</xdr:row>
      <xdr:rowOff>1209040</xdr:rowOff>
    </xdr:to>
    <xdr:pic>
      <xdr:nvPicPr>
        <xdr:cNvPr id="6103" name="Изображение 6102" descr="resizeПП-00247473"/>
        <xdr:cNvPicPr>
          <a:picLocks noChangeAspect="1"/>
        </xdr:cNvPicPr>
      </xdr:nvPicPr>
      <xdr:blipFill>
        <a:blip xmlns:r="http://schemas.openxmlformats.org/officeDocument/2006/relationships" r:embed="rId1851"/>
        <a:stretch>
          <a:fillRect/>
        </a:stretch>
      </xdr:blipFill>
      <xdr:spPr>
        <a:xfrm>
          <a:off x="7264400" y="2398512475"/>
          <a:ext cx="878840" cy="1183640"/>
        </a:xfrm>
        <a:prstGeom prst="rect">
          <a:avLst/>
        </a:prstGeom>
      </xdr:spPr>
    </xdr:pic>
    <xdr:clientData/>
  </xdr:twoCellAnchor>
  <xdr:twoCellAnchor>
    <xdr:from>
      <xdr:col>8</xdr:col>
      <xdr:colOff>6350</xdr:colOff>
      <xdr:row>2413</xdr:row>
      <xdr:rowOff>25400</xdr:rowOff>
    </xdr:from>
    <xdr:to>
      <xdr:col>8</xdr:col>
      <xdr:colOff>885190</xdr:colOff>
      <xdr:row>2413</xdr:row>
      <xdr:rowOff>1209040</xdr:rowOff>
    </xdr:to>
    <xdr:pic>
      <xdr:nvPicPr>
        <xdr:cNvPr id="6104" name="Изображение 6103" descr="resizeПП-00247469"/>
        <xdr:cNvPicPr>
          <a:picLocks noChangeAspect="1"/>
        </xdr:cNvPicPr>
      </xdr:nvPicPr>
      <xdr:blipFill>
        <a:blip xmlns:r="http://schemas.openxmlformats.org/officeDocument/2006/relationships" r:embed="rId1852"/>
        <a:stretch>
          <a:fillRect/>
        </a:stretch>
      </xdr:blipFill>
      <xdr:spPr>
        <a:xfrm>
          <a:off x="7264400" y="2399734850"/>
          <a:ext cx="878840" cy="1183640"/>
        </a:xfrm>
        <a:prstGeom prst="rect">
          <a:avLst/>
        </a:prstGeom>
      </xdr:spPr>
    </xdr:pic>
    <xdr:clientData/>
  </xdr:twoCellAnchor>
  <xdr:twoCellAnchor>
    <xdr:from>
      <xdr:col>8</xdr:col>
      <xdr:colOff>6350</xdr:colOff>
      <xdr:row>2414</xdr:row>
      <xdr:rowOff>25400</xdr:rowOff>
    </xdr:from>
    <xdr:to>
      <xdr:col>8</xdr:col>
      <xdr:colOff>885190</xdr:colOff>
      <xdr:row>2414</xdr:row>
      <xdr:rowOff>1209040</xdr:rowOff>
    </xdr:to>
    <xdr:pic>
      <xdr:nvPicPr>
        <xdr:cNvPr id="6105" name="Изображение 6104" descr="resizeПП-00247470"/>
        <xdr:cNvPicPr>
          <a:picLocks noChangeAspect="1"/>
        </xdr:cNvPicPr>
      </xdr:nvPicPr>
      <xdr:blipFill>
        <a:blip xmlns:r="http://schemas.openxmlformats.org/officeDocument/2006/relationships" r:embed="rId1853"/>
        <a:stretch>
          <a:fillRect/>
        </a:stretch>
      </xdr:blipFill>
      <xdr:spPr>
        <a:xfrm>
          <a:off x="7264400" y="2400957225"/>
          <a:ext cx="878840" cy="1183640"/>
        </a:xfrm>
        <a:prstGeom prst="rect">
          <a:avLst/>
        </a:prstGeom>
      </xdr:spPr>
    </xdr:pic>
    <xdr:clientData/>
  </xdr:twoCellAnchor>
  <xdr:twoCellAnchor>
    <xdr:from>
      <xdr:col>8</xdr:col>
      <xdr:colOff>6350</xdr:colOff>
      <xdr:row>2415</xdr:row>
      <xdr:rowOff>25400</xdr:rowOff>
    </xdr:from>
    <xdr:to>
      <xdr:col>8</xdr:col>
      <xdr:colOff>885190</xdr:colOff>
      <xdr:row>2415</xdr:row>
      <xdr:rowOff>1209040</xdr:rowOff>
    </xdr:to>
    <xdr:pic>
      <xdr:nvPicPr>
        <xdr:cNvPr id="6106" name="Изображение 6105" descr="resizeПП-00271327"/>
        <xdr:cNvPicPr>
          <a:picLocks noChangeAspect="1"/>
        </xdr:cNvPicPr>
      </xdr:nvPicPr>
      <xdr:blipFill>
        <a:blip xmlns:r="http://schemas.openxmlformats.org/officeDocument/2006/relationships" r:embed="rId1854"/>
        <a:stretch>
          <a:fillRect/>
        </a:stretch>
      </xdr:blipFill>
      <xdr:spPr>
        <a:xfrm>
          <a:off x="7264400" y="2402179600"/>
          <a:ext cx="878840" cy="1183640"/>
        </a:xfrm>
        <a:prstGeom prst="rect">
          <a:avLst/>
        </a:prstGeom>
      </xdr:spPr>
    </xdr:pic>
    <xdr:clientData/>
  </xdr:twoCellAnchor>
  <xdr:twoCellAnchor>
    <xdr:from>
      <xdr:col>8</xdr:col>
      <xdr:colOff>6350</xdr:colOff>
      <xdr:row>2416</xdr:row>
      <xdr:rowOff>25400</xdr:rowOff>
    </xdr:from>
    <xdr:to>
      <xdr:col>8</xdr:col>
      <xdr:colOff>885190</xdr:colOff>
      <xdr:row>2416</xdr:row>
      <xdr:rowOff>1209040</xdr:rowOff>
    </xdr:to>
    <xdr:pic>
      <xdr:nvPicPr>
        <xdr:cNvPr id="6107" name="Изображение 6106" descr="resizeПП-00271322"/>
        <xdr:cNvPicPr>
          <a:picLocks noChangeAspect="1"/>
        </xdr:cNvPicPr>
      </xdr:nvPicPr>
      <xdr:blipFill>
        <a:blip xmlns:r="http://schemas.openxmlformats.org/officeDocument/2006/relationships" r:embed="rId1855"/>
        <a:stretch>
          <a:fillRect/>
        </a:stretch>
      </xdr:blipFill>
      <xdr:spPr>
        <a:xfrm>
          <a:off x="7264400" y="2403401975"/>
          <a:ext cx="878840" cy="1183640"/>
        </a:xfrm>
        <a:prstGeom prst="rect">
          <a:avLst/>
        </a:prstGeom>
      </xdr:spPr>
    </xdr:pic>
    <xdr:clientData/>
  </xdr:twoCellAnchor>
  <xdr:twoCellAnchor>
    <xdr:from>
      <xdr:col>8</xdr:col>
      <xdr:colOff>6350</xdr:colOff>
      <xdr:row>2418</xdr:row>
      <xdr:rowOff>25400</xdr:rowOff>
    </xdr:from>
    <xdr:to>
      <xdr:col>8</xdr:col>
      <xdr:colOff>885190</xdr:colOff>
      <xdr:row>2418</xdr:row>
      <xdr:rowOff>1209040</xdr:rowOff>
    </xdr:to>
    <xdr:pic>
      <xdr:nvPicPr>
        <xdr:cNvPr id="6108" name="Изображение 6107" descr="resizeПП-00258737"/>
        <xdr:cNvPicPr>
          <a:picLocks noChangeAspect="1"/>
        </xdr:cNvPicPr>
      </xdr:nvPicPr>
      <xdr:blipFill>
        <a:blip xmlns:r="http://schemas.openxmlformats.org/officeDocument/2006/relationships" r:embed="rId1794"/>
        <a:stretch>
          <a:fillRect/>
        </a:stretch>
      </xdr:blipFill>
      <xdr:spPr>
        <a:xfrm>
          <a:off x="7264400" y="2404776750"/>
          <a:ext cx="878840" cy="1183640"/>
        </a:xfrm>
        <a:prstGeom prst="rect">
          <a:avLst/>
        </a:prstGeom>
      </xdr:spPr>
    </xdr:pic>
    <xdr:clientData/>
  </xdr:twoCellAnchor>
  <xdr:twoCellAnchor>
    <xdr:from>
      <xdr:col>8</xdr:col>
      <xdr:colOff>6350</xdr:colOff>
      <xdr:row>2419</xdr:row>
      <xdr:rowOff>25400</xdr:rowOff>
    </xdr:from>
    <xdr:to>
      <xdr:col>8</xdr:col>
      <xdr:colOff>885190</xdr:colOff>
      <xdr:row>2419</xdr:row>
      <xdr:rowOff>1209040</xdr:rowOff>
    </xdr:to>
    <xdr:pic>
      <xdr:nvPicPr>
        <xdr:cNvPr id="6109" name="Изображение 6108" descr="resizeПП-00258743"/>
        <xdr:cNvPicPr>
          <a:picLocks noChangeAspect="1"/>
        </xdr:cNvPicPr>
      </xdr:nvPicPr>
      <xdr:blipFill>
        <a:blip xmlns:r="http://schemas.openxmlformats.org/officeDocument/2006/relationships" r:embed="rId1856"/>
        <a:stretch>
          <a:fillRect/>
        </a:stretch>
      </xdr:blipFill>
      <xdr:spPr>
        <a:xfrm>
          <a:off x="7264400" y="2405999125"/>
          <a:ext cx="878840" cy="1183640"/>
        </a:xfrm>
        <a:prstGeom prst="rect">
          <a:avLst/>
        </a:prstGeom>
      </xdr:spPr>
    </xdr:pic>
    <xdr:clientData/>
  </xdr:twoCellAnchor>
  <xdr:twoCellAnchor>
    <xdr:from>
      <xdr:col>8</xdr:col>
      <xdr:colOff>6350</xdr:colOff>
      <xdr:row>2420</xdr:row>
      <xdr:rowOff>25400</xdr:rowOff>
    </xdr:from>
    <xdr:to>
      <xdr:col>8</xdr:col>
      <xdr:colOff>885190</xdr:colOff>
      <xdr:row>2420</xdr:row>
      <xdr:rowOff>1209040</xdr:rowOff>
    </xdr:to>
    <xdr:pic>
      <xdr:nvPicPr>
        <xdr:cNvPr id="6110" name="Изображение 6109" descr="resizeПП-00247483"/>
        <xdr:cNvPicPr>
          <a:picLocks noChangeAspect="1"/>
        </xdr:cNvPicPr>
      </xdr:nvPicPr>
      <xdr:blipFill>
        <a:blip xmlns:r="http://schemas.openxmlformats.org/officeDocument/2006/relationships" r:embed="rId1857"/>
        <a:stretch>
          <a:fillRect/>
        </a:stretch>
      </xdr:blipFill>
      <xdr:spPr>
        <a:xfrm>
          <a:off x="7264400" y="2407221500"/>
          <a:ext cx="878840" cy="1183640"/>
        </a:xfrm>
        <a:prstGeom prst="rect">
          <a:avLst/>
        </a:prstGeom>
      </xdr:spPr>
    </xdr:pic>
    <xdr:clientData/>
  </xdr:twoCellAnchor>
  <xdr:twoCellAnchor>
    <xdr:from>
      <xdr:col>8</xdr:col>
      <xdr:colOff>6350</xdr:colOff>
      <xdr:row>2421</xdr:row>
      <xdr:rowOff>25400</xdr:rowOff>
    </xdr:from>
    <xdr:to>
      <xdr:col>8</xdr:col>
      <xdr:colOff>885190</xdr:colOff>
      <xdr:row>2421</xdr:row>
      <xdr:rowOff>1209040</xdr:rowOff>
    </xdr:to>
    <xdr:pic>
      <xdr:nvPicPr>
        <xdr:cNvPr id="6111" name="Изображение 6110" descr="resizeПП-00269416"/>
        <xdr:cNvPicPr>
          <a:picLocks noChangeAspect="1"/>
        </xdr:cNvPicPr>
      </xdr:nvPicPr>
      <xdr:blipFill>
        <a:blip xmlns:r="http://schemas.openxmlformats.org/officeDocument/2006/relationships" r:embed="rId1786"/>
        <a:stretch>
          <a:fillRect/>
        </a:stretch>
      </xdr:blipFill>
      <xdr:spPr>
        <a:xfrm>
          <a:off x="7264400" y="2408443875"/>
          <a:ext cx="878840" cy="1183640"/>
        </a:xfrm>
        <a:prstGeom prst="rect">
          <a:avLst/>
        </a:prstGeom>
      </xdr:spPr>
    </xdr:pic>
    <xdr:clientData/>
  </xdr:twoCellAnchor>
  <xdr:twoCellAnchor>
    <xdr:from>
      <xdr:col>8</xdr:col>
      <xdr:colOff>6350</xdr:colOff>
      <xdr:row>2422</xdr:row>
      <xdr:rowOff>25400</xdr:rowOff>
    </xdr:from>
    <xdr:to>
      <xdr:col>8</xdr:col>
      <xdr:colOff>885190</xdr:colOff>
      <xdr:row>2422</xdr:row>
      <xdr:rowOff>1209040</xdr:rowOff>
    </xdr:to>
    <xdr:pic>
      <xdr:nvPicPr>
        <xdr:cNvPr id="6112" name="Изображение 6111" descr="resizeПП-00258740"/>
        <xdr:cNvPicPr>
          <a:picLocks noChangeAspect="1"/>
        </xdr:cNvPicPr>
      </xdr:nvPicPr>
      <xdr:blipFill>
        <a:blip xmlns:r="http://schemas.openxmlformats.org/officeDocument/2006/relationships" r:embed="rId1858"/>
        <a:stretch>
          <a:fillRect/>
        </a:stretch>
      </xdr:blipFill>
      <xdr:spPr>
        <a:xfrm>
          <a:off x="7264400" y="2409666250"/>
          <a:ext cx="878840" cy="1183640"/>
        </a:xfrm>
        <a:prstGeom prst="rect">
          <a:avLst/>
        </a:prstGeom>
      </xdr:spPr>
    </xdr:pic>
    <xdr:clientData/>
  </xdr:twoCellAnchor>
  <xdr:twoCellAnchor>
    <xdr:from>
      <xdr:col>8</xdr:col>
      <xdr:colOff>6350</xdr:colOff>
      <xdr:row>2423</xdr:row>
      <xdr:rowOff>25400</xdr:rowOff>
    </xdr:from>
    <xdr:to>
      <xdr:col>8</xdr:col>
      <xdr:colOff>885190</xdr:colOff>
      <xdr:row>2423</xdr:row>
      <xdr:rowOff>1209040</xdr:rowOff>
    </xdr:to>
    <xdr:pic>
      <xdr:nvPicPr>
        <xdr:cNvPr id="6113" name="Изображение 6112" descr="resizeПП-00247485"/>
        <xdr:cNvPicPr>
          <a:picLocks noChangeAspect="1"/>
        </xdr:cNvPicPr>
      </xdr:nvPicPr>
      <xdr:blipFill>
        <a:blip xmlns:r="http://schemas.openxmlformats.org/officeDocument/2006/relationships" r:embed="rId1859"/>
        <a:stretch>
          <a:fillRect/>
        </a:stretch>
      </xdr:blipFill>
      <xdr:spPr>
        <a:xfrm>
          <a:off x="7264400" y="2410888625"/>
          <a:ext cx="878840" cy="1183640"/>
        </a:xfrm>
        <a:prstGeom prst="rect">
          <a:avLst/>
        </a:prstGeom>
      </xdr:spPr>
    </xdr:pic>
    <xdr:clientData/>
  </xdr:twoCellAnchor>
  <xdr:twoCellAnchor>
    <xdr:from>
      <xdr:col>8</xdr:col>
      <xdr:colOff>6350</xdr:colOff>
      <xdr:row>2424</xdr:row>
      <xdr:rowOff>25400</xdr:rowOff>
    </xdr:from>
    <xdr:to>
      <xdr:col>8</xdr:col>
      <xdr:colOff>885190</xdr:colOff>
      <xdr:row>2424</xdr:row>
      <xdr:rowOff>1209040</xdr:rowOff>
    </xdr:to>
    <xdr:pic>
      <xdr:nvPicPr>
        <xdr:cNvPr id="6114" name="Изображение 6113" descr="resizeПП-00247482"/>
        <xdr:cNvPicPr>
          <a:picLocks noChangeAspect="1"/>
        </xdr:cNvPicPr>
      </xdr:nvPicPr>
      <xdr:blipFill>
        <a:blip xmlns:r="http://schemas.openxmlformats.org/officeDocument/2006/relationships" r:embed="rId1860"/>
        <a:stretch>
          <a:fillRect/>
        </a:stretch>
      </xdr:blipFill>
      <xdr:spPr>
        <a:xfrm>
          <a:off x="7264400" y="2412111000"/>
          <a:ext cx="878840" cy="1183640"/>
        </a:xfrm>
        <a:prstGeom prst="rect">
          <a:avLst/>
        </a:prstGeom>
      </xdr:spPr>
    </xdr:pic>
    <xdr:clientData/>
  </xdr:twoCellAnchor>
  <xdr:twoCellAnchor>
    <xdr:from>
      <xdr:col>8</xdr:col>
      <xdr:colOff>6350</xdr:colOff>
      <xdr:row>2425</xdr:row>
      <xdr:rowOff>25400</xdr:rowOff>
    </xdr:from>
    <xdr:to>
      <xdr:col>8</xdr:col>
      <xdr:colOff>885190</xdr:colOff>
      <xdr:row>2425</xdr:row>
      <xdr:rowOff>1209040</xdr:rowOff>
    </xdr:to>
    <xdr:pic>
      <xdr:nvPicPr>
        <xdr:cNvPr id="6115" name="Изображение 6114" descr="resizeПП-00271349"/>
        <xdr:cNvPicPr>
          <a:picLocks noChangeAspect="1"/>
        </xdr:cNvPicPr>
      </xdr:nvPicPr>
      <xdr:blipFill>
        <a:blip xmlns:r="http://schemas.openxmlformats.org/officeDocument/2006/relationships" r:embed="rId1861"/>
        <a:stretch>
          <a:fillRect/>
        </a:stretch>
      </xdr:blipFill>
      <xdr:spPr>
        <a:xfrm>
          <a:off x="7264400" y="2413333375"/>
          <a:ext cx="878840" cy="1183640"/>
        </a:xfrm>
        <a:prstGeom prst="rect">
          <a:avLst/>
        </a:prstGeom>
      </xdr:spPr>
    </xdr:pic>
    <xdr:clientData/>
  </xdr:twoCellAnchor>
  <xdr:twoCellAnchor>
    <xdr:from>
      <xdr:col>8</xdr:col>
      <xdr:colOff>6350</xdr:colOff>
      <xdr:row>2426</xdr:row>
      <xdr:rowOff>25400</xdr:rowOff>
    </xdr:from>
    <xdr:to>
      <xdr:col>8</xdr:col>
      <xdr:colOff>885190</xdr:colOff>
      <xdr:row>2426</xdr:row>
      <xdr:rowOff>1209040</xdr:rowOff>
    </xdr:to>
    <xdr:pic>
      <xdr:nvPicPr>
        <xdr:cNvPr id="6116" name="Изображение 6115" descr="resizeПП-00271345"/>
        <xdr:cNvPicPr>
          <a:picLocks noChangeAspect="1"/>
        </xdr:cNvPicPr>
      </xdr:nvPicPr>
      <xdr:blipFill>
        <a:blip xmlns:r="http://schemas.openxmlformats.org/officeDocument/2006/relationships" r:embed="rId1862"/>
        <a:stretch>
          <a:fillRect/>
        </a:stretch>
      </xdr:blipFill>
      <xdr:spPr>
        <a:xfrm>
          <a:off x="7264400" y="2414555750"/>
          <a:ext cx="878840" cy="1183640"/>
        </a:xfrm>
        <a:prstGeom prst="rect">
          <a:avLst/>
        </a:prstGeom>
      </xdr:spPr>
    </xdr:pic>
    <xdr:clientData/>
  </xdr:twoCellAnchor>
  <xdr:twoCellAnchor>
    <xdr:from>
      <xdr:col>8</xdr:col>
      <xdr:colOff>6350</xdr:colOff>
      <xdr:row>2427</xdr:row>
      <xdr:rowOff>25400</xdr:rowOff>
    </xdr:from>
    <xdr:to>
      <xdr:col>8</xdr:col>
      <xdr:colOff>885190</xdr:colOff>
      <xdr:row>2427</xdr:row>
      <xdr:rowOff>1209040</xdr:rowOff>
    </xdr:to>
    <xdr:pic>
      <xdr:nvPicPr>
        <xdr:cNvPr id="6117" name="Изображение 6116" descr="resizeПП-00271342"/>
        <xdr:cNvPicPr>
          <a:picLocks noChangeAspect="1"/>
        </xdr:cNvPicPr>
      </xdr:nvPicPr>
      <xdr:blipFill>
        <a:blip xmlns:r="http://schemas.openxmlformats.org/officeDocument/2006/relationships" r:embed="rId1863"/>
        <a:stretch>
          <a:fillRect/>
        </a:stretch>
      </xdr:blipFill>
      <xdr:spPr>
        <a:xfrm>
          <a:off x="7264400" y="2415778125"/>
          <a:ext cx="878840" cy="1183640"/>
        </a:xfrm>
        <a:prstGeom prst="rect">
          <a:avLst/>
        </a:prstGeom>
      </xdr:spPr>
    </xdr:pic>
    <xdr:clientData/>
  </xdr:twoCellAnchor>
  <xdr:twoCellAnchor>
    <xdr:from>
      <xdr:col>8</xdr:col>
      <xdr:colOff>6350</xdr:colOff>
      <xdr:row>2428</xdr:row>
      <xdr:rowOff>25400</xdr:rowOff>
    </xdr:from>
    <xdr:to>
      <xdr:col>8</xdr:col>
      <xdr:colOff>885190</xdr:colOff>
      <xdr:row>2428</xdr:row>
      <xdr:rowOff>1209040</xdr:rowOff>
    </xdr:to>
    <xdr:pic>
      <xdr:nvPicPr>
        <xdr:cNvPr id="6118" name="Изображение 6117" descr="resizeПП-00271350"/>
        <xdr:cNvPicPr>
          <a:picLocks noChangeAspect="1"/>
        </xdr:cNvPicPr>
      </xdr:nvPicPr>
      <xdr:blipFill>
        <a:blip xmlns:r="http://schemas.openxmlformats.org/officeDocument/2006/relationships" r:embed="rId1864"/>
        <a:stretch>
          <a:fillRect/>
        </a:stretch>
      </xdr:blipFill>
      <xdr:spPr>
        <a:xfrm>
          <a:off x="7264400" y="2417000500"/>
          <a:ext cx="878840" cy="1183640"/>
        </a:xfrm>
        <a:prstGeom prst="rect">
          <a:avLst/>
        </a:prstGeom>
      </xdr:spPr>
    </xdr:pic>
    <xdr:clientData/>
  </xdr:twoCellAnchor>
  <xdr:twoCellAnchor>
    <xdr:from>
      <xdr:col>8</xdr:col>
      <xdr:colOff>6350</xdr:colOff>
      <xdr:row>2429</xdr:row>
      <xdr:rowOff>25400</xdr:rowOff>
    </xdr:from>
    <xdr:to>
      <xdr:col>8</xdr:col>
      <xdr:colOff>885190</xdr:colOff>
      <xdr:row>2429</xdr:row>
      <xdr:rowOff>1209040</xdr:rowOff>
    </xdr:to>
    <xdr:pic>
      <xdr:nvPicPr>
        <xdr:cNvPr id="6119" name="Изображение 6118" descr="resizeПП-00258736"/>
        <xdr:cNvPicPr>
          <a:picLocks noChangeAspect="1"/>
        </xdr:cNvPicPr>
      </xdr:nvPicPr>
      <xdr:blipFill>
        <a:blip xmlns:r="http://schemas.openxmlformats.org/officeDocument/2006/relationships" r:embed="rId1795"/>
        <a:stretch>
          <a:fillRect/>
        </a:stretch>
      </xdr:blipFill>
      <xdr:spPr>
        <a:xfrm>
          <a:off x="7264400" y="2418222875"/>
          <a:ext cx="878840" cy="1183640"/>
        </a:xfrm>
        <a:prstGeom prst="rect">
          <a:avLst/>
        </a:prstGeom>
      </xdr:spPr>
    </xdr:pic>
    <xdr:clientData/>
  </xdr:twoCellAnchor>
  <xdr:twoCellAnchor>
    <xdr:from>
      <xdr:col>8</xdr:col>
      <xdr:colOff>6350</xdr:colOff>
      <xdr:row>2430</xdr:row>
      <xdr:rowOff>25400</xdr:rowOff>
    </xdr:from>
    <xdr:to>
      <xdr:col>8</xdr:col>
      <xdr:colOff>885190</xdr:colOff>
      <xdr:row>2430</xdr:row>
      <xdr:rowOff>1209040</xdr:rowOff>
    </xdr:to>
    <xdr:pic>
      <xdr:nvPicPr>
        <xdr:cNvPr id="6120" name="Изображение 6119" descr="resizeПП-00258744"/>
        <xdr:cNvPicPr>
          <a:picLocks noChangeAspect="1"/>
        </xdr:cNvPicPr>
      </xdr:nvPicPr>
      <xdr:blipFill>
        <a:blip xmlns:r="http://schemas.openxmlformats.org/officeDocument/2006/relationships" r:embed="rId1865"/>
        <a:stretch>
          <a:fillRect/>
        </a:stretch>
      </xdr:blipFill>
      <xdr:spPr>
        <a:xfrm>
          <a:off x="7264400" y="2419445250"/>
          <a:ext cx="878840" cy="1183640"/>
        </a:xfrm>
        <a:prstGeom prst="rect">
          <a:avLst/>
        </a:prstGeom>
      </xdr:spPr>
    </xdr:pic>
    <xdr:clientData/>
  </xdr:twoCellAnchor>
  <xdr:twoCellAnchor>
    <xdr:from>
      <xdr:col>8</xdr:col>
      <xdr:colOff>6350</xdr:colOff>
      <xdr:row>2431</xdr:row>
      <xdr:rowOff>25400</xdr:rowOff>
    </xdr:from>
    <xdr:to>
      <xdr:col>8</xdr:col>
      <xdr:colOff>885190</xdr:colOff>
      <xdr:row>2431</xdr:row>
      <xdr:rowOff>1209040</xdr:rowOff>
    </xdr:to>
    <xdr:pic>
      <xdr:nvPicPr>
        <xdr:cNvPr id="6121" name="Изображение 6120" descr="resizeПП-00258732"/>
        <xdr:cNvPicPr>
          <a:picLocks noChangeAspect="1"/>
        </xdr:cNvPicPr>
      </xdr:nvPicPr>
      <xdr:blipFill>
        <a:blip xmlns:r="http://schemas.openxmlformats.org/officeDocument/2006/relationships" r:embed="rId1866"/>
        <a:stretch>
          <a:fillRect/>
        </a:stretch>
      </xdr:blipFill>
      <xdr:spPr>
        <a:xfrm>
          <a:off x="7264400" y="2420667625"/>
          <a:ext cx="878840" cy="1183640"/>
        </a:xfrm>
        <a:prstGeom prst="rect">
          <a:avLst/>
        </a:prstGeom>
      </xdr:spPr>
    </xdr:pic>
    <xdr:clientData/>
  </xdr:twoCellAnchor>
  <xdr:twoCellAnchor>
    <xdr:from>
      <xdr:col>8</xdr:col>
      <xdr:colOff>6350</xdr:colOff>
      <xdr:row>2432</xdr:row>
      <xdr:rowOff>25400</xdr:rowOff>
    </xdr:from>
    <xdr:to>
      <xdr:col>8</xdr:col>
      <xdr:colOff>885190</xdr:colOff>
      <xdr:row>2432</xdr:row>
      <xdr:rowOff>1209040</xdr:rowOff>
    </xdr:to>
    <xdr:pic>
      <xdr:nvPicPr>
        <xdr:cNvPr id="6122" name="Изображение 6121" descr="resizeПП-00258742"/>
        <xdr:cNvPicPr>
          <a:picLocks noChangeAspect="1"/>
        </xdr:cNvPicPr>
      </xdr:nvPicPr>
      <xdr:blipFill>
        <a:blip xmlns:r="http://schemas.openxmlformats.org/officeDocument/2006/relationships" r:embed="rId1801"/>
        <a:stretch>
          <a:fillRect/>
        </a:stretch>
      </xdr:blipFill>
      <xdr:spPr>
        <a:xfrm>
          <a:off x="7264400" y="2421890000"/>
          <a:ext cx="878840" cy="1183640"/>
        </a:xfrm>
        <a:prstGeom prst="rect">
          <a:avLst/>
        </a:prstGeom>
      </xdr:spPr>
    </xdr:pic>
    <xdr:clientData/>
  </xdr:twoCellAnchor>
  <xdr:twoCellAnchor>
    <xdr:from>
      <xdr:col>8</xdr:col>
      <xdr:colOff>6350</xdr:colOff>
      <xdr:row>2433</xdr:row>
      <xdr:rowOff>25400</xdr:rowOff>
    </xdr:from>
    <xdr:to>
      <xdr:col>8</xdr:col>
      <xdr:colOff>885190</xdr:colOff>
      <xdr:row>2433</xdr:row>
      <xdr:rowOff>1209040</xdr:rowOff>
    </xdr:to>
    <xdr:pic>
      <xdr:nvPicPr>
        <xdr:cNvPr id="6123" name="Изображение 6122" descr="resizeПП-00269425"/>
        <xdr:cNvPicPr>
          <a:picLocks noChangeAspect="1"/>
        </xdr:cNvPicPr>
      </xdr:nvPicPr>
      <xdr:blipFill>
        <a:blip xmlns:r="http://schemas.openxmlformats.org/officeDocument/2006/relationships" r:embed="rId1867"/>
        <a:stretch>
          <a:fillRect/>
        </a:stretch>
      </xdr:blipFill>
      <xdr:spPr>
        <a:xfrm>
          <a:off x="7264400" y="2423112375"/>
          <a:ext cx="878840" cy="1183640"/>
        </a:xfrm>
        <a:prstGeom prst="rect">
          <a:avLst/>
        </a:prstGeom>
      </xdr:spPr>
    </xdr:pic>
    <xdr:clientData/>
  </xdr:twoCellAnchor>
  <xdr:twoCellAnchor>
    <xdr:from>
      <xdr:col>8</xdr:col>
      <xdr:colOff>6350</xdr:colOff>
      <xdr:row>2434</xdr:row>
      <xdr:rowOff>25400</xdr:rowOff>
    </xdr:from>
    <xdr:to>
      <xdr:col>8</xdr:col>
      <xdr:colOff>885190</xdr:colOff>
      <xdr:row>2434</xdr:row>
      <xdr:rowOff>1209040</xdr:rowOff>
    </xdr:to>
    <xdr:pic>
      <xdr:nvPicPr>
        <xdr:cNvPr id="6124" name="Изображение 6123" descr="resizeПП-00258738"/>
        <xdr:cNvPicPr>
          <a:picLocks noChangeAspect="1"/>
        </xdr:cNvPicPr>
      </xdr:nvPicPr>
      <xdr:blipFill>
        <a:blip xmlns:r="http://schemas.openxmlformats.org/officeDocument/2006/relationships" r:embed="rId1867"/>
        <a:stretch>
          <a:fillRect/>
        </a:stretch>
      </xdr:blipFill>
      <xdr:spPr>
        <a:xfrm>
          <a:off x="7264400" y="2424334750"/>
          <a:ext cx="878840" cy="1183640"/>
        </a:xfrm>
        <a:prstGeom prst="rect">
          <a:avLst/>
        </a:prstGeom>
      </xdr:spPr>
    </xdr:pic>
    <xdr:clientData/>
  </xdr:twoCellAnchor>
  <xdr:twoCellAnchor>
    <xdr:from>
      <xdr:col>8</xdr:col>
      <xdr:colOff>6350</xdr:colOff>
      <xdr:row>2436</xdr:row>
      <xdr:rowOff>25400</xdr:rowOff>
    </xdr:from>
    <xdr:to>
      <xdr:col>8</xdr:col>
      <xdr:colOff>885190</xdr:colOff>
      <xdr:row>2436</xdr:row>
      <xdr:rowOff>1209040</xdr:rowOff>
    </xdr:to>
    <xdr:pic>
      <xdr:nvPicPr>
        <xdr:cNvPr id="6125" name="Изображение 6124" descr="resizeПП-00247490"/>
        <xdr:cNvPicPr>
          <a:picLocks noChangeAspect="1"/>
        </xdr:cNvPicPr>
      </xdr:nvPicPr>
      <xdr:blipFill>
        <a:blip xmlns:r="http://schemas.openxmlformats.org/officeDocument/2006/relationships" r:embed="rId1868"/>
        <a:stretch>
          <a:fillRect/>
        </a:stretch>
      </xdr:blipFill>
      <xdr:spPr>
        <a:xfrm>
          <a:off x="7264400" y="2425709525"/>
          <a:ext cx="878840" cy="1183640"/>
        </a:xfrm>
        <a:prstGeom prst="rect">
          <a:avLst/>
        </a:prstGeom>
      </xdr:spPr>
    </xdr:pic>
    <xdr:clientData/>
  </xdr:twoCellAnchor>
  <xdr:twoCellAnchor>
    <xdr:from>
      <xdr:col>8</xdr:col>
      <xdr:colOff>6350</xdr:colOff>
      <xdr:row>2437</xdr:row>
      <xdr:rowOff>25400</xdr:rowOff>
    </xdr:from>
    <xdr:to>
      <xdr:col>8</xdr:col>
      <xdr:colOff>885190</xdr:colOff>
      <xdr:row>2437</xdr:row>
      <xdr:rowOff>1209040</xdr:rowOff>
    </xdr:to>
    <xdr:pic>
      <xdr:nvPicPr>
        <xdr:cNvPr id="6126" name="Изображение 6125" descr="resizeПП-00247488"/>
        <xdr:cNvPicPr>
          <a:picLocks noChangeAspect="1"/>
        </xdr:cNvPicPr>
      </xdr:nvPicPr>
      <xdr:blipFill>
        <a:blip xmlns:r="http://schemas.openxmlformats.org/officeDocument/2006/relationships" r:embed="rId1869"/>
        <a:stretch>
          <a:fillRect/>
        </a:stretch>
      </xdr:blipFill>
      <xdr:spPr>
        <a:xfrm>
          <a:off x="7264400" y="2426931900"/>
          <a:ext cx="878840" cy="1183640"/>
        </a:xfrm>
        <a:prstGeom prst="rect">
          <a:avLst/>
        </a:prstGeom>
      </xdr:spPr>
    </xdr:pic>
    <xdr:clientData/>
  </xdr:twoCellAnchor>
  <xdr:twoCellAnchor>
    <xdr:from>
      <xdr:col>8</xdr:col>
      <xdr:colOff>6350</xdr:colOff>
      <xdr:row>2438</xdr:row>
      <xdr:rowOff>25400</xdr:rowOff>
    </xdr:from>
    <xdr:to>
      <xdr:col>8</xdr:col>
      <xdr:colOff>885190</xdr:colOff>
      <xdr:row>2438</xdr:row>
      <xdr:rowOff>1209040</xdr:rowOff>
    </xdr:to>
    <xdr:pic>
      <xdr:nvPicPr>
        <xdr:cNvPr id="6127" name="Изображение 6126" descr="resizeПП-00271352"/>
        <xdr:cNvPicPr>
          <a:picLocks noChangeAspect="1"/>
        </xdr:cNvPicPr>
      </xdr:nvPicPr>
      <xdr:blipFill>
        <a:blip xmlns:r="http://schemas.openxmlformats.org/officeDocument/2006/relationships" r:embed="rId1870"/>
        <a:stretch>
          <a:fillRect/>
        </a:stretch>
      </xdr:blipFill>
      <xdr:spPr>
        <a:xfrm>
          <a:off x="7264400" y="2428154275"/>
          <a:ext cx="878840" cy="1183640"/>
        </a:xfrm>
        <a:prstGeom prst="rect">
          <a:avLst/>
        </a:prstGeom>
      </xdr:spPr>
    </xdr:pic>
    <xdr:clientData/>
  </xdr:twoCellAnchor>
  <xdr:twoCellAnchor>
    <xdr:from>
      <xdr:col>8</xdr:col>
      <xdr:colOff>6350</xdr:colOff>
      <xdr:row>2439</xdr:row>
      <xdr:rowOff>25400</xdr:rowOff>
    </xdr:from>
    <xdr:to>
      <xdr:col>8</xdr:col>
      <xdr:colOff>885190</xdr:colOff>
      <xdr:row>2439</xdr:row>
      <xdr:rowOff>1209040</xdr:rowOff>
    </xdr:to>
    <xdr:pic>
      <xdr:nvPicPr>
        <xdr:cNvPr id="6128" name="Изображение 6127" descr="resizeПП-00271354"/>
        <xdr:cNvPicPr>
          <a:picLocks noChangeAspect="1"/>
        </xdr:cNvPicPr>
      </xdr:nvPicPr>
      <xdr:blipFill>
        <a:blip xmlns:r="http://schemas.openxmlformats.org/officeDocument/2006/relationships" r:embed="rId1871"/>
        <a:stretch>
          <a:fillRect/>
        </a:stretch>
      </xdr:blipFill>
      <xdr:spPr>
        <a:xfrm>
          <a:off x="7264400" y="2429376650"/>
          <a:ext cx="878840" cy="1183640"/>
        </a:xfrm>
        <a:prstGeom prst="rect">
          <a:avLst/>
        </a:prstGeom>
      </xdr:spPr>
    </xdr:pic>
    <xdr:clientData/>
  </xdr:twoCellAnchor>
  <xdr:twoCellAnchor>
    <xdr:from>
      <xdr:col>8</xdr:col>
      <xdr:colOff>6350</xdr:colOff>
      <xdr:row>2440</xdr:row>
      <xdr:rowOff>25400</xdr:rowOff>
    </xdr:from>
    <xdr:to>
      <xdr:col>8</xdr:col>
      <xdr:colOff>885190</xdr:colOff>
      <xdr:row>2440</xdr:row>
      <xdr:rowOff>1209040</xdr:rowOff>
    </xdr:to>
    <xdr:pic>
      <xdr:nvPicPr>
        <xdr:cNvPr id="6129" name="Изображение 6128" descr="resizeПП-00271353"/>
        <xdr:cNvPicPr>
          <a:picLocks noChangeAspect="1"/>
        </xdr:cNvPicPr>
      </xdr:nvPicPr>
      <xdr:blipFill>
        <a:blip xmlns:r="http://schemas.openxmlformats.org/officeDocument/2006/relationships" r:embed="rId1872"/>
        <a:stretch>
          <a:fillRect/>
        </a:stretch>
      </xdr:blipFill>
      <xdr:spPr>
        <a:xfrm>
          <a:off x="7264400" y="2430599025"/>
          <a:ext cx="878840" cy="1183640"/>
        </a:xfrm>
        <a:prstGeom prst="rect">
          <a:avLst/>
        </a:prstGeom>
      </xdr:spPr>
    </xdr:pic>
    <xdr:clientData/>
  </xdr:twoCellAnchor>
  <xdr:twoCellAnchor>
    <xdr:from>
      <xdr:col>8</xdr:col>
      <xdr:colOff>6350</xdr:colOff>
      <xdr:row>2441</xdr:row>
      <xdr:rowOff>25400</xdr:rowOff>
    </xdr:from>
    <xdr:to>
      <xdr:col>8</xdr:col>
      <xdr:colOff>885190</xdr:colOff>
      <xdr:row>2441</xdr:row>
      <xdr:rowOff>1209040</xdr:rowOff>
    </xdr:to>
    <xdr:pic>
      <xdr:nvPicPr>
        <xdr:cNvPr id="6130" name="Изображение 6129" descr="resizeПП-00271351"/>
        <xdr:cNvPicPr>
          <a:picLocks noChangeAspect="1"/>
        </xdr:cNvPicPr>
      </xdr:nvPicPr>
      <xdr:blipFill>
        <a:blip xmlns:r="http://schemas.openxmlformats.org/officeDocument/2006/relationships" r:embed="rId1873"/>
        <a:stretch>
          <a:fillRect/>
        </a:stretch>
      </xdr:blipFill>
      <xdr:spPr>
        <a:xfrm>
          <a:off x="7264400" y="2431821400"/>
          <a:ext cx="878840" cy="1183640"/>
        </a:xfrm>
        <a:prstGeom prst="rect">
          <a:avLst/>
        </a:prstGeom>
      </xdr:spPr>
    </xdr:pic>
    <xdr:clientData/>
  </xdr:twoCellAnchor>
  <xdr:twoCellAnchor>
    <xdr:from>
      <xdr:col>8</xdr:col>
      <xdr:colOff>6350</xdr:colOff>
      <xdr:row>2444</xdr:row>
      <xdr:rowOff>25400</xdr:rowOff>
    </xdr:from>
    <xdr:to>
      <xdr:col>8</xdr:col>
      <xdr:colOff>885190</xdr:colOff>
      <xdr:row>2444</xdr:row>
      <xdr:rowOff>1209040</xdr:rowOff>
    </xdr:to>
    <xdr:pic>
      <xdr:nvPicPr>
        <xdr:cNvPr id="6131" name="Изображение 6130" descr="resizeПП-00254217"/>
        <xdr:cNvPicPr>
          <a:picLocks noChangeAspect="1"/>
        </xdr:cNvPicPr>
      </xdr:nvPicPr>
      <xdr:blipFill>
        <a:blip xmlns:r="http://schemas.openxmlformats.org/officeDocument/2006/relationships" r:embed="rId1874"/>
        <a:stretch>
          <a:fillRect/>
        </a:stretch>
      </xdr:blipFill>
      <xdr:spPr>
        <a:xfrm>
          <a:off x="7264400" y="2433348575"/>
          <a:ext cx="878840" cy="1183640"/>
        </a:xfrm>
        <a:prstGeom prst="rect">
          <a:avLst/>
        </a:prstGeom>
      </xdr:spPr>
    </xdr:pic>
    <xdr:clientData/>
  </xdr:twoCellAnchor>
  <xdr:twoCellAnchor>
    <xdr:from>
      <xdr:col>8</xdr:col>
      <xdr:colOff>6350</xdr:colOff>
      <xdr:row>2446</xdr:row>
      <xdr:rowOff>25400</xdr:rowOff>
    </xdr:from>
    <xdr:to>
      <xdr:col>8</xdr:col>
      <xdr:colOff>885190</xdr:colOff>
      <xdr:row>2446</xdr:row>
      <xdr:rowOff>1209040</xdr:rowOff>
    </xdr:to>
    <xdr:pic>
      <xdr:nvPicPr>
        <xdr:cNvPr id="6132" name="Изображение 6131" descr="resizeПП-00236224"/>
        <xdr:cNvPicPr>
          <a:picLocks noChangeAspect="1"/>
        </xdr:cNvPicPr>
      </xdr:nvPicPr>
      <xdr:blipFill>
        <a:blip xmlns:r="http://schemas.openxmlformats.org/officeDocument/2006/relationships" r:embed="rId1803"/>
        <a:stretch>
          <a:fillRect/>
        </a:stretch>
      </xdr:blipFill>
      <xdr:spPr>
        <a:xfrm>
          <a:off x="7264400" y="2434723350"/>
          <a:ext cx="878840" cy="1183640"/>
        </a:xfrm>
        <a:prstGeom prst="rect">
          <a:avLst/>
        </a:prstGeom>
      </xdr:spPr>
    </xdr:pic>
    <xdr:clientData/>
  </xdr:twoCellAnchor>
  <xdr:twoCellAnchor>
    <xdr:from>
      <xdr:col>8</xdr:col>
      <xdr:colOff>6350</xdr:colOff>
      <xdr:row>2447</xdr:row>
      <xdr:rowOff>25400</xdr:rowOff>
    </xdr:from>
    <xdr:to>
      <xdr:col>8</xdr:col>
      <xdr:colOff>885190</xdr:colOff>
      <xdr:row>2447</xdr:row>
      <xdr:rowOff>1209040</xdr:rowOff>
    </xdr:to>
    <xdr:pic>
      <xdr:nvPicPr>
        <xdr:cNvPr id="6133" name="Изображение 6132" descr="resizeПП-00236226"/>
        <xdr:cNvPicPr>
          <a:picLocks noChangeAspect="1"/>
        </xdr:cNvPicPr>
      </xdr:nvPicPr>
      <xdr:blipFill>
        <a:blip xmlns:r="http://schemas.openxmlformats.org/officeDocument/2006/relationships" r:embed="rId1805"/>
        <a:stretch>
          <a:fillRect/>
        </a:stretch>
      </xdr:blipFill>
      <xdr:spPr>
        <a:xfrm>
          <a:off x="7264400" y="2435945725"/>
          <a:ext cx="878840" cy="1183640"/>
        </a:xfrm>
        <a:prstGeom prst="rect">
          <a:avLst/>
        </a:prstGeom>
      </xdr:spPr>
    </xdr:pic>
    <xdr:clientData/>
  </xdr:twoCellAnchor>
  <xdr:twoCellAnchor>
    <xdr:from>
      <xdr:col>8</xdr:col>
      <xdr:colOff>6350</xdr:colOff>
      <xdr:row>2448</xdr:row>
      <xdr:rowOff>25400</xdr:rowOff>
    </xdr:from>
    <xdr:to>
      <xdr:col>8</xdr:col>
      <xdr:colOff>885190</xdr:colOff>
      <xdr:row>2448</xdr:row>
      <xdr:rowOff>1209040</xdr:rowOff>
    </xdr:to>
    <xdr:pic>
      <xdr:nvPicPr>
        <xdr:cNvPr id="6134" name="Изображение 6133" descr="resizeПП-00236225"/>
        <xdr:cNvPicPr>
          <a:picLocks noChangeAspect="1"/>
        </xdr:cNvPicPr>
      </xdr:nvPicPr>
      <xdr:blipFill>
        <a:blip xmlns:r="http://schemas.openxmlformats.org/officeDocument/2006/relationships" r:embed="rId1875"/>
        <a:stretch>
          <a:fillRect/>
        </a:stretch>
      </xdr:blipFill>
      <xdr:spPr>
        <a:xfrm>
          <a:off x="7264400" y="2437168100"/>
          <a:ext cx="878840" cy="1183640"/>
        </a:xfrm>
        <a:prstGeom prst="rect">
          <a:avLst/>
        </a:prstGeom>
      </xdr:spPr>
    </xdr:pic>
    <xdr:clientData/>
  </xdr:twoCellAnchor>
  <xdr:twoCellAnchor>
    <xdr:from>
      <xdr:col>8</xdr:col>
      <xdr:colOff>6350</xdr:colOff>
      <xdr:row>2451</xdr:row>
      <xdr:rowOff>25400</xdr:rowOff>
    </xdr:from>
    <xdr:to>
      <xdr:col>8</xdr:col>
      <xdr:colOff>885190</xdr:colOff>
      <xdr:row>2451</xdr:row>
      <xdr:rowOff>1209040</xdr:rowOff>
    </xdr:to>
    <xdr:pic>
      <xdr:nvPicPr>
        <xdr:cNvPr id="6135" name="Изображение 6134" descr="resizeПП-00271361"/>
        <xdr:cNvPicPr>
          <a:picLocks noChangeAspect="1"/>
        </xdr:cNvPicPr>
      </xdr:nvPicPr>
      <xdr:blipFill>
        <a:blip xmlns:r="http://schemas.openxmlformats.org/officeDocument/2006/relationships" r:embed="rId1876"/>
        <a:stretch>
          <a:fillRect/>
        </a:stretch>
      </xdr:blipFill>
      <xdr:spPr>
        <a:xfrm>
          <a:off x="7264400" y="2438695275"/>
          <a:ext cx="878840" cy="1183640"/>
        </a:xfrm>
        <a:prstGeom prst="rect">
          <a:avLst/>
        </a:prstGeom>
      </xdr:spPr>
    </xdr:pic>
    <xdr:clientData/>
  </xdr:twoCellAnchor>
  <xdr:twoCellAnchor>
    <xdr:from>
      <xdr:col>8</xdr:col>
      <xdr:colOff>6350</xdr:colOff>
      <xdr:row>2452</xdr:row>
      <xdr:rowOff>25400</xdr:rowOff>
    </xdr:from>
    <xdr:to>
      <xdr:col>8</xdr:col>
      <xdr:colOff>885190</xdr:colOff>
      <xdr:row>2452</xdr:row>
      <xdr:rowOff>1209040</xdr:rowOff>
    </xdr:to>
    <xdr:pic>
      <xdr:nvPicPr>
        <xdr:cNvPr id="6136" name="Изображение 6135" descr="resizeПП-00271360"/>
        <xdr:cNvPicPr>
          <a:picLocks noChangeAspect="1"/>
        </xdr:cNvPicPr>
      </xdr:nvPicPr>
      <xdr:blipFill>
        <a:blip xmlns:r="http://schemas.openxmlformats.org/officeDocument/2006/relationships" r:embed="rId1877"/>
        <a:stretch>
          <a:fillRect/>
        </a:stretch>
      </xdr:blipFill>
      <xdr:spPr>
        <a:xfrm>
          <a:off x="7264400" y="2439917650"/>
          <a:ext cx="878840" cy="1183640"/>
        </a:xfrm>
        <a:prstGeom prst="rect">
          <a:avLst/>
        </a:prstGeom>
      </xdr:spPr>
    </xdr:pic>
    <xdr:clientData/>
  </xdr:twoCellAnchor>
  <xdr:twoCellAnchor>
    <xdr:from>
      <xdr:col>8</xdr:col>
      <xdr:colOff>6350</xdr:colOff>
      <xdr:row>2453</xdr:row>
      <xdr:rowOff>25400</xdr:rowOff>
    </xdr:from>
    <xdr:to>
      <xdr:col>8</xdr:col>
      <xdr:colOff>885190</xdr:colOff>
      <xdr:row>2453</xdr:row>
      <xdr:rowOff>1209040</xdr:rowOff>
    </xdr:to>
    <xdr:pic>
      <xdr:nvPicPr>
        <xdr:cNvPr id="6137" name="Изображение 6136" descr="resizeПП-00271363"/>
        <xdr:cNvPicPr>
          <a:picLocks noChangeAspect="1"/>
        </xdr:cNvPicPr>
      </xdr:nvPicPr>
      <xdr:blipFill>
        <a:blip xmlns:r="http://schemas.openxmlformats.org/officeDocument/2006/relationships" r:embed="rId1878"/>
        <a:stretch>
          <a:fillRect/>
        </a:stretch>
      </xdr:blipFill>
      <xdr:spPr>
        <a:xfrm>
          <a:off x="7264400" y="2441140025"/>
          <a:ext cx="878840" cy="1183640"/>
        </a:xfrm>
        <a:prstGeom prst="rect">
          <a:avLst/>
        </a:prstGeom>
      </xdr:spPr>
    </xdr:pic>
    <xdr:clientData/>
  </xdr:twoCellAnchor>
  <xdr:twoCellAnchor>
    <xdr:from>
      <xdr:col>8</xdr:col>
      <xdr:colOff>6350</xdr:colOff>
      <xdr:row>2455</xdr:row>
      <xdr:rowOff>25400</xdr:rowOff>
    </xdr:from>
    <xdr:to>
      <xdr:col>8</xdr:col>
      <xdr:colOff>885190</xdr:colOff>
      <xdr:row>2455</xdr:row>
      <xdr:rowOff>1209040</xdr:rowOff>
    </xdr:to>
    <xdr:pic>
      <xdr:nvPicPr>
        <xdr:cNvPr id="6138" name="Изображение 6137" descr="resizeПП-00271367"/>
        <xdr:cNvPicPr>
          <a:picLocks noChangeAspect="1"/>
        </xdr:cNvPicPr>
      </xdr:nvPicPr>
      <xdr:blipFill>
        <a:blip xmlns:r="http://schemas.openxmlformats.org/officeDocument/2006/relationships" r:embed="rId1879"/>
        <a:stretch>
          <a:fillRect/>
        </a:stretch>
      </xdr:blipFill>
      <xdr:spPr>
        <a:xfrm>
          <a:off x="7264400" y="2442514800"/>
          <a:ext cx="878840" cy="1183640"/>
        </a:xfrm>
        <a:prstGeom prst="rect">
          <a:avLst/>
        </a:prstGeom>
      </xdr:spPr>
    </xdr:pic>
    <xdr:clientData/>
  </xdr:twoCellAnchor>
  <xdr:twoCellAnchor>
    <xdr:from>
      <xdr:col>8</xdr:col>
      <xdr:colOff>6350</xdr:colOff>
      <xdr:row>2459</xdr:row>
      <xdr:rowOff>25400</xdr:rowOff>
    </xdr:from>
    <xdr:to>
      <xdr:col>8</xdr:col>
      <xdr:colOff>885190</xdr:colOff>
      <xdr:row>2459</xdr:row>
      <xdr:rowOff>1209040</xdr:rowOff>
    </xdr:to>
    <xdr:pic>
      <xdr:nvPicPr>
        <xdr:cNvPr id="6139" name="Изображение 6138" descr="resizeПП-00234203"/>
        <xdr:cNvPicPr>
          <a:picLocks noChangeAspect="1"/>
        </xdr:cNvPicPr>
      </xdr:nvPicPr>
      <xdr:blipFill>
        <a:blip xmlns:r="http://schemas.openxmlformats.org/officeDocument/2006/relationships" r:embed="rId1880"/>
        <a:stretch>
          <a:fillRect/>
        </a:stretch>
      </xdr:blipFill>
      <xdr:spPr>
        <a:xfrm>
          <a:off x="7264400" y="2444194375"/>
          <a:ext cx="878840" cy="1183640"/>
        </a:xfrm>
        <a:prstGeom prst="rect">
          <a:avLst/>
        </a:prstGeom>
      </xdr:spPr>
    </xdr:pic>
    <xdr:clientData/>
  </xdr:twoCellAnchor>
  <xdr:twoCellAnchor>
    <xdr:from>
      <xdr:col>8</xdr:col>
      <xdr:colOff>6350</xdr:colOff>
      <xdr:row>2460</xdr:row>
      <xdr:rowOff>25400</xdr:rowOff>
    </xdr:from>
    <xdr:to>
      <xdr:col>8</xdr:col>
      <xdr:colOff>885190</xdr:colOff>
      <xdr:row>2460</xdr:row>
      <xdr:rowOff>1209040</xdr:rowOff>
    </xdr:to>
    <xdr:pic>
      <xdr:nvPicPr>
        <xdr:cNvPr id="6140" name="Изображение 6139" descr="resizeПП-00234202"/>
        <xdr:cNvPicPr>
          <a:picLocks noChangeAspect="1"/>
        </xdr:cNvPicPr>
      </xdr:nvPicPr>
      <xdr:blipFill>
        <a:blip xmlns:r="http://schemas.openxmlformats.org/officeDocument/2006/relationships" r:embed="rId1881"/>
        <a:stretch>
          <a:fillRect/>
        </a:stretch>
      </xdr:blipFill>
      <xdr:spPr>
        <a:xfrm>
          <a:off x="7264400" y="2445416750"/>
          <a:ext cx="878840" cy="1183640"/>
        </a:xfrm>
        <a:prstGeom prst="rect">
          <a:avLst/>
        </a:prstGeom>
      </xdr:spPr>
    </xdr:pic>
    <xdr:clientData/>
  </xdr:twoCellAnchor>
  <xdr:twoCellAnchor>
    <xdr:from>
      <xdr:col>8</xdr:col>
      <xdr:colOff>6350</xdr:colOff>
      <xdr:row>2461</xdr:row>
      <xdr:rowOff>25400</xdr:rowOff>
    </xdr:from>
    <xdr:to>
      <xdr:col>8</xdr:col>
      <xdr:colOff>885190</xdr:colOff>
      <xdr:row>2461</xdr:row>
      <xdr:rowOff>1209040</xdr:rowOff>
    </xdr:to>
    <xdr:pic>
      <xdr:nvPicPr>
        <xdr:cNvPr id="6141" name="Изображение 6140" descr="resizeПП-00234201"/>
        <xdr:cNvPicPr>
          <a:picLocks noChangeAspect="1"/>
        </xdr:cNvPicPr>
      </xdr:nvPicPr>
      <xdr:blipFill>
        <a:blip xmlns:r="http://schemas.openxmlformats.org/officeDocument/2006/relationships" r:embed="rId1882"/>
        <a:stretch>
          <a:fillRect/>
        </a:stretch>
      </xdr:blipFill>
      <xdr:spPr>
        <a:xfrm>
          <a:off x="7264400" y="2446639125"/>
          <a:ext cx="878840" cy="1183640"/>
        </a:xfrm>
        <a:prstGeom prst="rect">
          <a:avLst/>
        </a:prstGeom>
      </xdr:spPr>
    </xdr:pic>
    <xdr:clientData/>
  </xdr:twoCellAnchor>
  <xdr:twoCellAnchor>
    <xdr:from>
      <xdr:col>8</xdr:col>
      <xdr:colOff>6350</xdr:colOff>
      <xdr:row>2462</xdr:row>
      <xdr:rowOff>25400</xdr:rowOff>
    </xdr:from>
    <xdr:to>
      <xdr:col>8</xdr:col>
      <xdr:colOff>885190</xdr:colOff>
      <xdr:row>2462</xdr:row>
      <xdr:rowOff>1209040</xdr:rowOff>
    </xdr:to>
    <xdr:pic>
      <xdr:nvPicPr>
        <xdr:cNvPr id="6142" name="Изображение 6141" descr="resizeПП-00234199"/>
        <xdr:cNvPicPr>
          <a:picLocks noChangeAspect="1"/>
        </xdr:cNvPicPr>
      </xdr:nvPicPr>
      <xdr:blipFill>
        <a:blip xmlns:r="http://schemas.openxmlformats.org/officeDocument/2006/relationships" r:embed="rId1883"/>
        <a:stretch>
          <a:fillRect/>
        </a:stretch>
      </xdr:blipFill>
      <xdr:spPr>
        <a:xfrm>
          <a:off x="7264400" y="2447861500"/>
          <a:ext cx="878840" cy="1183640"/>
        </a:xfrm>
        <a:prstGeom prst="rect">
          <a:avLst/>
        </a:prstGeom>
      </xdr:spPr>
    </xdr:pic>
    <xdr:clientData/>
  </xdr:twoCellAnchor>
  <xdr:twoCellAnchor>
    <xdr:from>
      <xdr:col>8</xdr:col>
      <xdr:colOff>6350</xdr:colOff>
      <xdr:row>2464</xdr:row>
      <xdr:rowOff>25400</xdr:rowOff>
    </xdr:from>
    <xdr:to>
      <xdr:col>8</xdr:col>
      <xdr:colOff>885190</xdr:colOff>
      <xdr:row>2464</xdr:row>
      <xdr:rowOff>1209040</xdr:rowOff>
    </xdr:to>
    <xdr:pic>
      <xdr:nvPicPr>
        <xdr:cNvPr id="6143" name="Изображение 6142" descr="resizeПП-00249548"/>
        <xdr:cNvPicPr>
          <a:picLocks noChangeAspect="1"/>
        </xdr:cNvPicPr>
      </xdr:nvPicPr>
      <xdr:blipFill>
        <a:blip xmlns:r="http://schemas.openxmlformats.org/officeDocument/2006/relationships" r:embed="rId1884"/>
        <a:stretch>
          <a:fillRect/>
        </a:stretch>
      </xdr:blipFill>
      <xdr:spPr>
        <a:xfrm>
          <a:off x="7264400" y="2449236275"/>
          <a:ext cx="878840" cy="1183640"/>
        </a:xfrm>
        <a:prstGeom prst="rect">
          <a:avLst/>
        </a:prstGeom>
      </xdr:spPr>
    </xdr:pic>
    <xdr:clientData/>
  </xdr:twoCellAnchor>
  <xdr:twoCellAnchor>
    <xdr:from>
      <xdr:col>8</xdr:col>
      <xdr:colOff>6350</xdr:colOff>
      <xdr:row>2465</xdr:row>
      <xdr:rowOff>25400</xdr:rowOff>
    </xdr:from>
    <xdr:to>
      <xdr:col>8</xdr:col>
      <xdr:colOff>885190</xdr:colOff>
      <xdr:row>2465</xdr:row>
      <xdr:rowOff>1209040</xdr:rowOff>
    </xdr:to>
    <xdr:pic>
      <xdr:nvPicPr>
        <xdr:cNvPr id="6144" name="Изображение 6143" descr="resizeПП-00249549"/>
        <xdr:cNvPicPr>
          <a:picLocks noChangeAspect="1"/>
        </xdr:cNvPicPr>
      </xdr:nvPicPr>
      <xdr:blipFill>
        <a:blip xmlns:r="http://schemas.openxmlformats.org/officeDocument/2006/relationships" r:embed="rId1885"/>
        <a:stretch>
          <a:fillRect/>
        </a:stretch>
      </xdr:blipFill>
      <xdr:spPr>
        <a:xfrm>
          <a:off x="7264400" y="2450458650"/>
          <a:ext cx="878840" cy="1183640"/>
        </a:xfrm>
        <a:prstGeom prst="rect">
          <a:avLst/>
        </a:prstGeom>
      </xdr:spPr>
    </xdr:pic>
    <xdr:clientData/>
  </xdr:twoCellAnchor>
  <xdr:twoCellAnchor>
    <xdr:from>
      <xdr:col>8</xdr:col>
      <xdr:colOff>6350</xdr:colOff>
      <xdr:row>2466</xdr:row>
      <xdr:rowOff>25400</xdr:rowOff>
    </xdr:from>
    <xdr:to>
      <xdr:col>8</xdr:col>
      <xdr:colOff>885190</xdr:colOff>
      <xdr:row>2466</xdr:row>
      <xdr:rowOff>1209040</xdr:rowOff>
    </xdr:to>
    <xdr:pic>
      <xdr:nvPicPr>
        <xdr:cNvPr id="6145" name="Изображение 6144" descr="resizeПП-00249550"/>
        <xdr:cNvPicPr>
          <a:picLocks noChangeAspect="1"/>
        </xdr:cNvPicPr>
      </xdr:nvPicPr>
      <xdr:blipFill>
        <a:blip xmlns:r="http://schemas.openxmlformats.org/officeDocument/2006/relationships" r:embed="rId1886"/>
        <a:stretch>
          <a:fillRect/>
        </a:stretch>
      </xdr:blipFill>
      <xdr:spPr>
        <a:xfrm>
          <a:off x="7264400" y="2451681025"/>
          <a:ext cx="878840" cy="1183640"/>
        </a:xfrm>
        <a:prstGeom prst="rect">
          <a:avLst/>
        </a:prstGeom>
      </xdr:spPr>
    </xdr:pic>
    <xdr:clientData/>
  </xdr:twoCellAnchor>
  <xdr:twoCellAnchor>
    <xdr:from>
      <xdr:col>8</xdr:col>
      <xdr:colOff>6350</xdr:colOff>
      <xdr:row>2467</xdr:row>
      <xdr:rowOff>25400</xdr:rowOff>
    </xdr:from>
    <xdr:to>
      <xdr:col>8</xdr:col>
      <xdr:colOff>885190</xdr:colOff>
      <xdr:row>2467</xdr:row>
      <xdr:rowOff>1209040</xdr:rowOff>
    </xdr:to>
    <xdr:pic>
      <xdr:nvPicPr>
        <xdr:cNvPr id="6146" name="Изображение 6145" descr="resizeПП-00249547"/>
        <xdr:cNvPicPr>
          <a:picLocks noChangeAspect="1"/>
        </xdr:cNvPicPr>
      </xdr:nvPicPr>
      <xdr:blipFill>
        <a:blip xmlns:r="http://schemas.openxmlformats.org/officeDocument/2006/relationships" r:embed="rId1887"/>
        <a:stretch>
          <a:fillRect/>
        </a:stretch>
      </xdr:blipFill>
      <xdr:spPr>
        <a:xfrm>
          <a:off x="7264400" y="2452903400"/>
          <a:ext cx="878840" cy="1183640"/>
        </a:xfrm>
        <a:prstGeom prst="rect">
          <a:avLst/>
        </a:prstGeom>
      </xdr:spPr>
    </xdr:pic>
    <xdr:clientData/>
  </xdr:twoCellAnchor>
  <xdr:twoCellAnchor>
    <xdr:from>
      <xdr:col>8</xdr:col>
      <xdr:colOff>6350</xdr:colOff>
      <xdr:row>2469</xdr:row>
      <xdr:rowOff>25400</xdr:rowOff>
    </xdr:from>
    <xdr:to>
      <xdr:col>8</xdr:col>
      <xdr:colOff>885190</xdr:colOff>
      <xdr:row>2469</xdr:row>
      <xdr:rowOff>1209040</xdr:rowOff>
    </xdr:to>
    <xdr:pic>
      <xdr:nvPicPr>
        <xdr:cNvPr id="6147" name="Изображение 6146" descr="resizeПП-00271375"/>
        <xdr:cNvPicPr>
          <a:picLocks noChangeAspect="1"/>
        </xdr:cNvPicPr>
      </xdr:nvPicPr>
      <xdr:blipFill>
        <a:blip xmlns:r="http://schemas.openxmlformats.org/officeDocument/2006/relationships" r:embed="rId1888"/>
        <a:stretch>
          <a:fillRect/>
        </a:stretch>
      </xdr:blipFill>
      <xdr:spPr>
        <a:xfrm>
          <a:off x="7264400" y="2454278175"/>
          <a:ext cx="878840" cy="1183640"/>
        </a:xfrm>
        <a:prstGeom prst="rect">
          <a:avLst/>
        </a:prstGeom>
      </xdr:spPr>
    </xdr:pic>
    <xdr:clientData/>
  </xdr:twoCellAnchor>
  <xdr:twoCellAnchor>
    <xdr:from>
      <xdr:col>8</xdr:col>
      <xdr:colOff>6350</xdr:colOff>
      <xdr:row>2470</xdr:row>
      <xdr:rowOff>25400</xdr:rowOff>
    </xdr:from>
    <xdr:to>
      <xdr:col>8</xdr:col>
      <xdr:colOff>885190</xdr:colOff>
      <xdr:row>2470</xdr:row>
      <xdr:rowOff>1209040</xdr:rowOff>
    </xdr:to>
    <xdr:pic>
      <xdr:nvPicPr>
        <xdr:cNvPr id="6148" name="Изображение 6147" descr="resizeПП-00271376"/>
        <xdr:cNvPicPr>
          <a:picLocks noChangeAspect="1"/>
        </xdr:cNvPicPr>
      </xdr:nvPicPr>
      <xdr:blipFill>
        <a:blip xmlns:r="http://schemas.openxmlformats.org/officeDocument/2006/relationships" r:embed="rId1889"/>
        <a:stretch>
          <a:fillRect/>
        </a:stretch>
      </xdr:blipFill>
      <xdr:spPr>
        <a:xfrm>
          <a:off x="7264400" y="2455500550"/>
          <a:ext cx="878840" cy="1183640"/>
        </a:xfrm>
        <a:prstGeom prst="rect">
          <a:avLst/>
        </a:prstGeom>
      </xdr:spPr>
    </xdr:pic>
    <xdr:clientData/>
  </xdr:twoCellAnchor>
  <xdr:twoCellAnchor>
    <xdr:from>
      <xdr:col>8</xdr:col>
      <xdr:colOff>6350</xdr:colOff>
      <xdr:row>2471</xdr:row>
      <xdr:rowOff>25400</xdr:rowOff>
    </xdr:from>
    <xdr:to>
      <xdr:col>8</xdr:col>
      <xdr:colOff>885190</xdr:colOff>
      <xdr:row>2471</xdr:row>
      <xdr:rowOff>1209040</xdr:rowOff>
    </xdr:to>
    <xdr:pic>
      <xdr:nvPicPr>
        <xdr:cNvPr id="6149" name="Изображение 6148" descr="resizeПП-00271378"/>
        <xdr:cNvPicPr>
          <a:picLocks noChangeAspect="1"/>
        </xdr:cNvPicPr>
      </xdr:nvPicPr>
      <xdr:blipFill>
        <a:blip xmlns:r="http://schemas.openxmlformats.org/officeDocument/2006/relationships" r:embed="rId1890"/>
        <a:stretch>
          <a:fillRect/>
        </a:stretch>
      </xdr:blipFill>
      <xdr:spPr>
        <a:xfrm>
          <a:off x="7264400" y="2456722925"/>
          <a:ext cx="878840" cy="1183640"/>
        </a:xfrm>
        <a:prstGeom prst="rect">
          <a:avLst/>
        </a:prstGeom>
      </xdr:spPr>
    </xdr:pic>
    <xdr:clientData/>
  </xdr:twoCellAnchor>
  <xdr:twoCellAnchor>
    <xdr:from>
      <xdr:col>8</xdr:col>
      <xdr:colOff>6350</xdr:colOff>
      <xdr:row>2472</xdr:row>
      <xdr:rowOff>25400</xdr:rowOff>
    </xdr:from>
    <xdr:to>
      <xdr:col>8</xdr:col>
      <xdr:colOff>885190</xdr:colOff>
      <xdr:row>2472</xdr:row>
      <xdr:rowOff>1209040</xdr:rowOff>
    </xdr:to>
    <xdr:pic>
      <xdr:nvPicPr>
        <xdr:cNvPr id="6150" name="Изображение 6149" descr="resizeПП-00247514"/>
        <xdr:cNvPicPr>
          <a:picLocks noChangeAspect="1"/>
        </xdr:cNvPicPr>
      </xdr:nvPicPr>
      <xdr:blipFill>
        <a:blip xmlns:r="http://schemas.openxmlformats.org/officeDocument/2006/relationships" r:embed="rId1891"/>
        <a:stretch>
          <a:fillRect/>
        </a:stretch>
      </xdr:blipFill>
      <xdr:spPr>
        <a:xfrm>
          <a:off x="7264400" y="2457945300"/>
          <a:ext cx="878840" cy="1183640"/>
        </a:xfrm>
        <a:prstGeom prst="rect">
          <a:avLst/>
        </a:prstGeom>
      </xdr:spPr>
    </xdr:pic>
    <xdr:clientData/>
  </xdr:twoCellAnchor>
  <xdr:twoCellAnchor>
    <xdr:from>
      <xdr:col>8</xdr:col>
      <xdr:colOff>6350</xdr:colOff>
      <xdr:row>2473</xdr:row>
      <xdr:rowOff>25400</xdr:rowOff>
    </xdr:from>
    <xdr:to>
      <xdr:col>8</xdr:col>
      <xdr:colOff>885190</xdr:colOff>
      <xdr:row>2473</xdr:row>
      <xdr:rowOff>1209040</xdr:rowOff>
    </xdr:to>
    <xdr:pic>
      <xdr:nvPicPr>
        <xdr:cNvPr id="6151" name="Изображение 6150" descr="resizeПП-00247513"/>
        <xdr:cNvPicPr>
          <a:picLocks noChangeAspect="1"/>
        </xdr:cNvPicPr>
      </xdr:nvPicPr>
      <xdr:blipFill>
        <a:blip xmlns:r="http://schemas.openxmlformats.org/officeDocument/2006/relationships" r:embed="rId1892"/>
        <a:stretch>
          <a:fillRect/>
        </a:stretch>
      </xdr:blipFill>
      <xdr:spPr>
        <a:xfrm>
          <a:off x="7264400" y="2459167675"/>
          <a:ext cx="878840" cy="1183640"/>
        </a:xfrm>
        <a:prstGeom prst="rect">
          <a:avLst/>
        </a:prstGeom>
      </xdr:spPr>
    </xdr:pic>
    <xdr:clientData/>
  </xdr:twoCellAnchor>
  <xdr:twoCellAnchor>
    <xdr:from>
      <xdr:col>8</xdr:col>
      <xdr:colOff>6350</xdr:colOff>
      <xdr:row>2474</xdr:row>
      <xdr:rowOff>25400</xdr:rowOff>
    </xdr:from>
    <xdr:to>
      <xdr:col>8</xdr:col>
      <xdr:colOff>885190</xdr:colOff>
      <xdr:row>2474</xdr:row>
      <xdr:rowOff>1209040</xdr:rowOff>
    </xdr:to>
    <xdr:pic>
      <xdr:nvPicPr>
        <xdr:cNvPr id="6152" name="Изображение 6151" descr="resizeПП-00247512"/>
        <xdr:cNvPicPr>
          <a:picLocks noChangeAspect="1"/>
        </xdr:cNvPicPr>
      </xdr:nvPicPr>
      <xdr:blipFill>
        <a:blip xmlns:r="http://schemas.openxmlformats.org/officeDocument/2006/relationships" r:embed="rId1893"/>
        <a:stretch>
          <a:fillRect/>
        </a:stretch>
      </xdr:blipFill>
      <xdr:spPr>
        <a:xfrm>
          <a:off x="7264400" y="2460390050"/>
          <a:ext cx="878840" cy="1183640"/>
        </a:xfrm>
        <a:prstGeom prst="rect">
          <a:avLst/>
        </a:prstGeom>
      </xdr:spPr>
    </xdr:pic>
    <xdr:clientData/>
  </xdr:twoCellAnchor>
  <xdr:twoCellAnchor>
    <xdr:from>
      <xdr:col>8</xdr:col>
      <xdr:colOff>6350</xdr:colOff>
      <xdr:row>2476</xdr:row>
      <xdr:rowOff>25400</xdr:rowOff>
    </xdr:from>
    <xdr:to>
      <xdr:col>8</xdr:col>
      <xdr:colOff>885190</xdr:colOff>
      <xdr:row>2476</xdr:row>
      <xdr:rowOff>1209040</xdr:rowOff>
    </xdr:to>
    <xdr:pic>
      <xdr:nvPicPr>
        <xdr:cNvPr id="6153" name="Изображение 6152" descr="resizeПП-00164971"/>
        <xdr:cNvPicPr>
          <a:picLocks noChangeAspect="1"/>
        </xdr:cNvPicPr>
      </xdr:nvPicPr>
      <xdr:blipFill>
        <a:blip xmlns:r="http://schemas.openxmlformats.org/officeDocument/2006/relationships" r:embed="rId1894"/>
        <a:stretch>
          <a:fillRect/>
        </a:stretch>
      </xdr:blipFill>
      <xdr:spPr>
        <a:xfrm>
          <a:off x="7264400" y="2461764825"/>
          <a:ext cx="878840" cy="1183640"/>
        </a:xfrm>
        <a:prstGeom prst="rect">
          <a:avLst/>
        </a:prstGeom>
      </xdr:spPr>
    </xdr:pic>
    <xdr:clientData/>
  </xdr:twoCellAnchor>
  <xdr:twoCellAnchor>
    <xdr:from>
      <xdr:col>8</xdr:col>
      <xdr:colOff>6350</xdr:colOff>
      <xdr:row>2478</xdr:row>
      <xdr:rowOff>25400</xdr:rowOff>
    </xdr:from>
    <xdr:to>
      <xdr:col>8</xdr:col>
      <xdr:colOff>885190</xdr:colOff>
      <xdr:row>2478</xdr:row>
      <xdr:rowOff>1209040</xdr:rowOff>
    </xdr:to>
    <xdr:pic>
      <xdr:nvPicPr>
        <xdr:cNvPr id="6154" name="Изображение 6153" descr="resizeПП-00271372"/>
        <xdr:cNvPicPr>
          <a:picLocks noChangeAspect="1"/>
        </xdr:cNvPicPr>
      </xdr:nvPicPr>
      <xdr:blipFill>
        <a:blip xmlns:r="http://schemas.openxmlformats.org/officeDocument/2006/relationships" r:embed="rId1895"/>
        <a:stretch>
          <a:fillRect/>
        </a:stretch>
      </xdr:blipFill>
      <xdr:spPr>
        <a:xfrm>
          <a:off x="7264400" y="2463139600"/>
          <a:ext cx="878840" cy="1183640"/>
        </a:xfrm>
        <a:prstGeom prst="rect">
          <a:avLst/>
        </a:prstGeom>
      </xdr:spPr>
    </xdr:pic>
    <xdr:clientData/>
  </xdr:twoCellAnchor>
  <xdr:twoCellAnchor>
    <xdr:from>
      <xdr:col>8</xdr:col>
      <xdr:colOff>6350</xdr:colOff>
      <xdr:row>2480</xdr:row>
      <xdr:rowOff>25400</xdr:rowOff>
    </xdr:from>
    <xdr:to>
      <xdr:col>8</xdr:col>
      <xdr:colOff>885190</xdr:colOff>
      <xdr:row>2480</xdr:row>
      <xdr:rowOff>1209040</xdr:rowOff>
    </xdr:to>
    <xdr:pic>
      <xdr:nvPicPr>
        <xdr:cNvPr id="6155" name="Изображение 6154" descr="resizeПП-00271385"/>
        <xdr:cNvPicPr>
          <a:picLocks noChangeAspect="1"/>
        </xdr:cNvPicPr>
      </xdr:nvPicPr>
      <xdr:blipFill>
        <a:blip xmlns:r="http://schemas.openxmlformats.org/officeDocument/2006/relationships" r:embed="rId1896"/>
        <a:stretch>
          <a:fillRect/>
        </a:stretch>
      </xdr:blipFill>
      <xdr:spPr>
        <a:xfrm>
          <a:off x="7264400" y="2464514375"/>
          <a:ext cx="878840" cy="1183640"/>
        </a:xfrm>
        <a:prstGeom prst="rect">
          <a:avLst/>
        </a:prstGeom>
      </xdr:spPr>
    </xdr:pic>
    <xdr:clientData/>
  </xdr:twoCellAnchor>
  <xdr:twoCellAnchor>
    <xdr:from>
      <xdr:col>8</xdr:col>
      <xdr:colOff>6350</xdr:colOff>
      <xdr:row>2481</xdr:row>
      <xdr:rowOff>25400</xdr:rowOff>
    </xdr:from>
    <xdr:to>
      <xdr:col>8</xdr:col>
      <xdr:colOff>885190</xdr:colOff>
      <xdr:row>2481</xdr:row>
      <xdr:rowOff>1209040</xdr:rowOff>
    </xdr:to>
    <xdr:pic>
      <xdr:nvPicPr>
        <xdr:cNvPr id="6156" name="Изображение 6155" descr="resizeПП-00271383"/>
        <xdr:cNvPicPr>
          <a:picLocks noChangeAspect="1"/>
        </xdr:cNvPicPr>
      </xdr:nvPicPr>
      <xdr:blipFill>
        <a:blip xmlns:r="http://schemas.openxmlformats.org/officeDocument/2006/relationships" r:embed="rId1897"/>
        <a:stretch>
          <a:fillRect/>
        </a:stretch>
      </xdr:blipFill>
      <xdr:spPr>
        <a:xfrm>
          <a:off x="7264400" y="2465736750"/>
          <a:ext cx="878840" cy="1183640"/>
        </a:xfrm>
        <a:prstGeom prst="rect">
          <a:avLst/>
        </a:prstGeom>
      </xdr:spPr>
    </xdr:pic>
    <xdr:clientData/>
  </xdr:twoCellAnchor>
  <xdr:twoCellAnchor>
    <xdr:from>
      <xdr:col>8</xdr:col>
      <xdr:colOff>6350</xdr:colOff>
      <xdr:row>2482</xdr:row>
      <xdr:rowOff>25400</xdr:rowOff>
    </xdr:from>
    <xdr:to>
      <xdr:col>8</xdr:col>
      <xdr:colOff>885190</xdr:colOff>
      <xdr:row>2482</xdr:row>
      <xdr:rowOff>1209040</xdr:rowOff>
    </xdr:to>
    <xdr:pic>
      <xdr:nvPicPr>
        <xdr:cNvPr id="6157" name="Изображение 6156" descr="resizeПП-00269371"/>
        <xdr:cNvPicPr>
          <a:picLocks noChangeAspect="1"/>
        </xdr:cNvPicPr>
      </xdr:nvPicPr>
      <xdr:blipFill>
        <a:blip xmlns:r="http://schemas.openxmlformats.org/officeDocument/2006/relationships" r:embed="rId1898"/>
        <a:stretch>
          <a:fillRect/>
        </a:stretch>
      </xdr:blipFill>
      <xdr:spPr>
        <a:xfrm>
          <a:off x="7264400" y="2466959125"/>
          <a:ext cx="878840" cy="1183640"/>
        </a:xfrm>
        <a:prstGeom prst="rect">
          <a:avLst/>
        </a:prstGeom>
      </xdr:spPr>
    </xdr:pic>
    <xdr:clientData/>
  </xdr:twoCellAnchor>
  <xdr:twoCellAnchor>
    <xdr:from>
      <xdr:col>8</xdr:col>
      <xdr:colOff>6350</xdr:colOff>
      <xdr:row>2483</xdr:row>
      <xdr:rowOff>25400</xdr:rowOff>
    </xdr:from>
    <xdr:to>
      <xdr:col>8</xdr:col>
      <xdr:colOff>885190</xdr:colOff>
      <xdr:row>2483</xdr:row>
      <xdr:rowOff>1209040</xdr:rowOff>
    </xdr:to>
    <xdr:pic>
      <xdr:nvPicPr>
        <xdr:cNvPr id="6158" name="Изображение 6157" descr="resizeПП-00247518"/>
        <xdr:cNvPicPr>
          <a:picLocks noChangeAspect="1"/>
        </xdr:cNvPicPr>
      </xdr:nvPicPr>
      <xdr:blipFill>
        <a:blip xmlns:r="http://schemas.openxmlformats.org/officeDocument/2006/relationships" r:embed="rId1899"/>
        <a:stretch>
          <a:fillRect/>
        </a:stretch>
      </xdr:blipFill>
      <xdr:spPr>
        <a:xfrm>
          <a:off x="7264400" y="2468181500"/>
          <a:ext cx="878840" cy="1183640"/>
        </a:xfrm>
        <a:prstGeom prst="rect">
          <a:avLst/>
        </a:prstGeom>
      </xdr:spPr>
    </xdr:pic>
    <xdr:clientData/>
  </xdr:twoCellAnchor>
  <xdr:twoCellAnchor>
    <xdr:from>
      <xdr:col>8</xdr:col>
      <xdr:colOff>6350</xdr:colOff>
      <xdr:row>2484</xdr:row>
      <xdr:rowOff>25400</xdr:rowOff>
    </xdr:from>
    <xdr:to>
      <xdr:col>8</xdr:col>
      <xdr:colOff>885190</xdr:colOff>
      <xdr:row>2484</xdr:row>
      <xdr:rowOff>1209040</xdr:rowOff>
    </xdr:to>
    <xdr:pic>
      <xdr:nvPicPr>
        <xdr:cNvPr id="6159" name="Изображение 6158" descr="resizeПП-00231928"/>
        <xdr:cNvPicPr>
          <a:picLocks noChangeAspect="1"/>
        </xdr:cNvPicPr>
      </xdr:nvPicPr>
      <xdr:blipFill>
        <a:blip xmlns:r="http://schemas.openxmlformats.org/officeDocument/2006/relationships" r:embed="rId1811"/>
        <a:stretch>
          <a:fillRect/>
        </a:stretch>
      </xdr:blipFill>
      <xdr:spPr>
        <a:xfrm>
          <a:off x="7264400" y="2469403875"/>
          <a:ext cx="878840" cy="1183640"/>
        </a:xfrm>
        <a:prstGeom prst="rect">
          <a:avLst/>
        </a:prstGeom>
      </xdr:spPr>
    </xdr:pic>
    <xdr:clientData/>
  </xdr:twoCellAnchor>
  <xdr:twoCellAnchor>
    <xdr:from>
      <xdr:col>8</xdr:col>
      <xdr:colOff>6350</xdr:colOff>
      <xdr:row>2485</xdr:row>
      <xdr:rowOff>25400</xdr:rowOff>
    </xdr:from>
    <xdr:to>
      <xdr:col>8</xdr:col>
      <xdr:colOff>885190</xdr:colOff>
      <xdr:row>2485</xdr:row>
      <xdr:rowOff>1209040</xdr:rowOff>
    </xdr:to>
    <xdr:pic>
      <xdr:nvPicPr>
        <xdr:cNvPr id="6160" name="Изображение 6159" descr="resizeПП-00269375"/>
        <xdr:cNvPicPr>
          <a:picLocks noChangeAspect="1"/>
        </xdr:cNvPicPr>
      </xdr:nvPicPr>
      <xdr:blipFill>
        <a:blip xmlns:r="http://schemas.openxmlformats.org/officeDocument/2006/relationships" r:embed="rId1900"/>
        <a:stretch>
          <a:fillRect/>
        </a:stretch>
      </xdr:blipFill>
      <xdr:spPr>
        <a:xfrm>
          <a:off x="7264400" y="2470626250"/>
          <a:ext cx="878840" cy="1183640"/>
        </a:xfrm>
        <a:prstGeom prst="rect">
          <a:avLst/>
        </a:prstGeom>
      </xdr:spPr>
    </xdr:pic>
    <xdr:clientData/>
  </xdr:twoCellAnchor>
  <xdr:twoCellAnchor>
    <xdr:from>
      <xdr:col>8</xdr:col>
      <xdr:colOff>6350</xdr:colOff>
      <xdr:row>2486</xdr:row>
      <xdr:rowOff>25400</xdr:rowOff>
    </xdr:from>
    <xdr:to>
      <xdr:col>8</xdr:col>
      <xdr:colOff>885190</xdr:colOff>
      <xdr:row>2486</xdr:row>
      <xdr:rowOff>1209040</xdr:rowOff>
    </xdr:to>
    <xdr:pic>
      <xdr:nvPicPr>
        <xdr:cNvPr id="6161" name="Изображение 6160" descr="resizeПП-00247521"/>
        <xdr:cNvPicPr>
          <a:picLocks noChangeAspect="1"/>
        </xdr:cNvPicPr>
      </xdr:nvPicPr>
      <xdr:blipFill>
        <a:blip xmlns:r="http://schemas.openxmlformats.org/officeDocument/2006/relationships" r:embed="rId1901"/>
        <a:stretch>
          <a:fillRect/>
        </a:stretch>
      </xdr:blipFill>
      <xdr:spPr>
        <a:xfrm>
          <a:off x="7264400" y="2471848625"/>
          <a:ext cx="878840" cy="1183640"/>
        </a:xfrm>
        <a:prstGeom prst="rect">
          <a:avLst/>
        </a:prstGeom>
      </xdr:spPr>
    </xdr:pic>
    <xdr:clientData/>
  </xdr:twoCellAnchor>
  <xdr:twoCellAnchor>
    <xdr:from>
      <xdr:col>8</xdr:col>
      <xdr:colOff>6350</xdr:colOff>
      <xdr:row>2487</xdr:row>
      <xdr:rowOff>25400</xdr:rowOff>
    </xdr:from>
    <xdr:to>
      <xdr:col>8</xdr:col>
      <xdr:colOff>885190</xdr:colOff>
      <xdr:row>2487</xdr:row>
      <xdr:rowOff>1209040</xdr:rowOff>
    </xdr:to>
    <xdr:pic>
      <xdr:nvPicPr>
        <xdr:cNvPr id="6162" name="Изображение 6161" descr="resizeПП-00247516"/>
        <xdr:cNvPicPr>
          <a:picLocks noChangeAspect="1"/>
        </xdr:cNvPicPr>
      </xdr:nvPicPr>
      <xdr:blipFill>
        <a:blip xmlns:r="http://schemas.openxmlformats.org/officeDocument/2006/relationships" r:embed="rId1902"/>
        <a:stretch>
          <a:fillRect/>
        </a:stretch>
      </xdr:blipFill>
      <xdr:spPr>
        <a:xfrm>
          <a:off x="7264400" y="2473071000"/>
          <a:ext cx="878840" cy="1183640"/>
        </a:xfrm>
        <a:prstGeom prst="rect">
          <a:avLst/>
        </a:prstGeom>
      </xdr:spPr>
    </xdr:pic>
    <xdr:clientData/>
  </xdr:twoCellAnchor>
  <xdr:twoCellAnchor>
    <xdr:from>
      <xdr:col>8</xdr:col>
      <xdr:colOff>6350</xdr:colOff>
      <xdr:row>2488</xdr:row>
      <xdr:rowOff>25400</xdr:rowOff>
    </xdr:from>
    <xdr:to>
      <xdr:col>8</xdr:col>
      <xdr:colOff>885190</xdr:colOff>
      <xdr:row>2488</xdr:row>
      <xdr:rowOff>1209040</xdr:rowOff>
    </xdr:to>
    <xdr:pic>
      <xdr:nvPicPr>
        <xdr:cNvPr id="6163" name="Изображение 6162" descr="resizeПП-00247515"/>
        <xdr:cNvPicPr>
          <a:picLocks noChangeAspect="1"/>
        </xdr:cNvPicPr>
      </xdr:nvPicPr>
      <xdr:blipFill>
        <a:blip xmlns:r="http://schemas.openxmlformats.org/officeDocument/2006/relationships" r:embed="rId1903"/>
        <a:stretch>
          <a:fillRect/>
        </a:stretch>
      </xdr:blipFill>
      <xdr:spPr>
        <a:xfrm>
          <a:off x="7264400" y="2474293375"/>
          <a:ext cx="878840" cy="1183640"/>
        </a:xfrm>
        <a:prstGeom prst="rect">
          <a:avLst/>
        </a:prstGeom>
      </xdr:spPr>
    </xdr:pic>
    <xdr:clientData/>
  </xdr:twoCellAnchor>
  <xdr:twoCellAnchor>
    <xdr:from>
      <xdr:col>8</xdr:col>
      <xdr:colOff>6350</xdr:colOff>
      <xdr:row>2489</xdr:row>
      <xdr:rowOff>25400</xdr:rowOff>
    </xdr:from>
    <xdr:to>
      <xdr:col>8</xdr:col>
      <xdr:colOff>885190</xdr:colOff>
      <xdr:row>2489</xdr:row>
      <xdr:rowOff>1209040</xdr:rowOff>
    </xdr:to>
    <xdr:pic>
      <xdr:nvPicPr>
        <xdr:cNvPr id="6164" name="Изображение 6163" descr="resizeПП-00234229"/>
        <xdr:cNvPicPr>
          <a:picLocks noChangeAspect="1"/>
        </xdr:cNvPicPr>
      </xdr:nvPicPr>
      <xdr:blipFill>
        <a:blip xmlns:r="http://schemas.openxmlformats.org/officeDocument/2006/relationships" r:embed="rId1904"/>
        <a:stretch>
          <a:fillRect/>
        </a:stretch>
      </xdr:blipFill>
      <xdr:spPr>
        <a:xfrm>
          <a:off x="7264400" y="2475515750"/>
          <a:ext cx="878840" cy="1183640"/>
        </a:xfrm>
        <a:prstGeom prst="rect">
          <a:avLst/>
        </a:prstGeom>
      </xdr:spPr>
    </xdr:pic>
    <xdr:clientData/>
  </xdr:twoCellAnchor>
  <xdr:twoCellAnchor>
    <xdr:from>
      <xdr:col>8</xdr:col>
      <xdr:colOff>6350</xdr:colOff>
      <xdr:row>2490</xdr:row>
      <xdr:rowOff>25400</xdr:rowOff>
    </xdr:from>
    <xdr:to>
      <xdr:col>8</xdr:col>
      <xdr:colOff>885190</xdr:colOff>
      <xdr:row>2490</xdr:row>
      <xdr:rowOff>1209040</xdr:rowOff>
    </xdr:to>
    <xdr:pic>
      <xdr:nvPicPr>
        <xdr:cNvPr id="6165" name="Изображение 6164" descr="resizeПП-00247517"/>
        <xdr:cNvPicPr>
          <a:picLocks noChangeAspect="1"/>
        </xdr:cNvPicPr>
      </xdr:nvPicPr>
      <xdr:blipFill>
        <a:blip xmlns:r="http://schemas.openxmlformats.org/officeDocument/2006/relationships" r:embed="rId1900"/>
        <a:stretch>
          <a:fillRect/>
        </a:stretch>
      </xdr:blipFill>
      <xdr:spPr>
        <a:xfrm>
          <a:off x="7264400" y="2476738125"/>
          <a:ext cx="878840" cy="1183640"/>
        </a:xfrm>
        <a:prstGeom prst="rect">
          <a:avLst/>
        </a:prstGeom>
      </xdr:spPr>
    </xdr:pic>
    <xdr:clientData/>
  </xdr:twoCellAnchor>
  <xdr:twoCellAnchor>
    <xdr:from>
      <xdr:col>8</xdr:col>
      <xdr:colOff>6350</xdr:colOff>
      <xdr:row>2491</xdr:row>
      <xdr:rowOff>25400</xdr:rowOff>
    </xdr:from>
    <xdr:to>
      <xdr:col>8</xdr:col>
      <xdr:colOff>885190</xdr:colOff>
      <xdr:row>2491</xdr:row>
      <xdr:rowOff>1209040</xdr:rowOff>
    </xdr:to>
    <xdr:pic>
      <xdr:nvPicPr>
        <xdr:cNvPr id="6166" name="Изображение 6165" descr="resizeПП-00258818"/>
        <xdr:cNvPicPr>
          <a:picLocks noChangeAspect="1"/>
        </xdr:cNvPicPr>
      </xdr:nvPicPr>
      <xdr:blipFill>
        <a:blip xmlns:r="http://schemas.openxmlformats.org/officeDocument/2006/relationships" r:embed="rId1905"/>
        <a:stretch>
          <a:fillRect/>
        </a:stretch>
      </xdr:blipFill>
      <xdr:spPr>
        <a:xfrm>
          <a:off x="7264400" y="2477960500"/>
          <a:ext cx="878840" cy="1183640"/>
        </a:xfrm>
        <a:prstGeom prst="rect">
          <a:avLst/>
        </a:prstGeom>
      </xdr:spPr>
    </xdr:pic>
    <xdr:clientData/>
  </xdr:twoCellAnchor>
  <xdr:twoCellAnchor>
    <xdr:from>
      <xdr:col>8</xdr:col>
      <xdr:colOff>6350</xdr:colOff>
      <xdr:row>2492</xdr:row>
      <xdr:rowOff>25400</xdr:rowOff>
    </xdr:from>
    <xdr:to>
      <xdr:col>8</xdr:col>
      <xdr:colOff>885190</xdr:colOff>
      <xdr:row>2492</xdr:row>
      <xdr:rowOff>1209040</xdr:rowOff>
    </xdr:to>
    <xdr:pic>
      <xdr:nvPicPr>
        <xdr:cNvPr id="6167" name="Изображение 6166" descr="resizeПП-00247519"/>
        <xdr:cNvPicPr>
          <a:picLocks noChangeAspect="1"/>
        </xdr:cNvPicPr>
      </xdr:nvPicPr>
      <xdr:blipFill>
        <a:blip xmlns:r="http://schemas.openxmlformats.org/officeDocument/2006/relationships" r:embed="rId1906"/>
        <a:stretch>
          <a:fillRect/>
        </a:stretch>
      </xdr:blipFill>
      <xdr:spPr>
        <a:xfrm>
          <a:off x="7264400" y="2479182875"/>
          <a:ext cx="878840" cy="1183640"/>
        </a:xfrm>
        <a:prstGeom prst="rect">
          <a:avLst/>
        </a:prstGeom>
      </xdr:spPr>
    </xdr:pic>
    <xdr:clientData/>
  </xdr:twoCellAnchor>
  <xdr:twoCellAnchor>
    <xdr:from>
      <xdr:col>8</xdr:col>
      <xdr:colOff>6350</xdr:colOff>
      <xdr:row>2493</xdr:row>
      <xdr:rowOff>25400</xdr:rowOff>
    </xdr:from>
    <xdr:to>
      <xdr:col>8</xdr:col>
      <xdr:colOff>885190</xdr:colOff>
      <xdr:row>2493</xdr:row>
      <xdr:rowOff>1209040</xdr:rowOff>
    </xdr:to>
    <xdr:pic>
      <xdr:nvPicPr>
        <xdr:cNvPr id="6168" name="Изображение 6167" descr="resizeПП-00258817"/>
        <xdr:cNvPicPr>
          <a:picLocks noChangeAspect="1"/>
        </xdr:cNvPicPr>
      </xdr:nvPicPr>
      <xdr:blipFill>
        <a:blip xmlns:r="http://schemas.openxmlformats.org/officeDocument/2006/relationships" r:embed="rId1898"/>
        <a:stretch>
          <a:fillRect/>
        </a:stretch>
      </xdr:blipFill>
      <xdr:spPr>
        <a:xfrm>
          <a:off x="7264400" y="2480405250"/>
          <a:ext cx="878840" cy="1183640"/>
        </a:xfrm>
        <a:prstGeom prst="rect">
          <a:avLst/>
        </a:prstGeom>
      </xdr:spPr>
    </xdr:pic>
    <xdr:clientData/>
  </xdr:twoCellAnchor>
  <xdr:twoCellAnchor>
    <xdr:from>
      <xdr:col>8</xdr:col>
      <xdr:colOff>6350</xdr:colOff>
      <xdr:row>2494</xdr:row>
      <xdr:rowOff>25400</xdr:rowOff>
    </xdr:from>
    <xdr:to>
      <xdr:col>8</xdr:col>
      <xdr:colOff>885190</xdr:colOff>
      <xdr:row>2494</xdr:row>
      <xdr:rowOff>1209040</xdr:rowOff>
    </xdr:to>
    <xdr:pic>
      <xdr:nvPicPr>
        <xdr:cNvPr id="6169" name="Изображение 6168" descr="resizeПП-00271382"/>
        <xdr:cNvPicPr>
          <a:picLocks noChangeAspect="1"/>
        </xdr:cNvPicPr>
      </xdr:nvPicPr>
      <xdr:blipFill>
        <a:blip xmlns:r="http://schemas.openxmlformats.org/officeDocument/2006/relationships" r:embed="rId1907"/>
        <a:stretch>
          <a:fillRect/>
        </a:stretch>
      </xdr:blipFill>
      <xdr:spPr>
        <a:xfrm>
          <a:off x="7264400" y="2481627625"/>
          <a:ext cx="878840" cy="1183640"/>
        </a:xfrm>
        <a:prstGeom prst="rect">
          <a:avLst/>
        </a:prstGeom>
      </xdr:spPr>
    </xdr:pic>
    <xdr:clientData/>
  </xdr:twoCellAnchor>
  <xdr:twoCellAnchor>
    <xdr:from>
      <xdr:col>8</xdr:col>
      <xdr:colOff>6350</xdr:colOff>
      <xdr:row>2495</xdr:row>
      <xdr:rowOff>25400</xdr:rowOff>
    </xdr:from>
    <xdr:to>
      <xdr:col>8</xdr:col>
      <xdr:colOff>885190</xdr:colOff>
      <xdr:row>2495</xdr:row>
      <xdr:rowOff>1209040</xdr:rowOff>
    </xdr:to>
    <xdr:pic>
      <xdr:nvPicPr>
        <xdr:cNvPr id="6170" name="Изображение 6169" descr="resizeПП-00271384"/>
        <xdr:cNvPicPr>
          <a:picLocks noChangeAspect="1"/>
        </xdr:cNvPicPr>
      </xdr:nvPicPr>
      <xdr:blipFill>
        <a:blip xmlns:r="http://schemas.openxmlformats.org/officeDocument/2006/relationships" r:embed="rId1908"/>
        <a:stretch>
          <a:fillRect/>
        </a:stretch>
      </xdr:blipFill>
      <xdr:spPr>
        <a:xfrm>
          <a:off x="7264400" y="2482850000"/>
          <a:ext cx="878840" cy="1183640"/>
        </a:xfrm>
        <a:prstGeom prst="rect">
          <a:avLst/>
        </a:prstGeom>
      </xdr:spPr>
    </xdr:pic>
    <xdr:clientData/>
  </xdr:twoCellAnchor>
  <xdr:twoCellAnchor>
    <xdr:from>
      <xdr:col>8</xdr:col>
      <xdr:colOff>6350</xdr:colOff>
      <xdr:row>2497</xdr:row>
      <xdr:rowOff>25400</xdr:rowOff>
    </xdr:from>
    <xdr:to>
      <xdr:col>8</xdr:col>
      <xdr:colOff>885190</xdr:colOff>
      <xdr:row>2497</xdr:row>
      <xdr:rowOff>1209040</xdr:rowOff>
    </xdr:to>
    <xdr:pic>
      <xdr:nvPicPr>
        <xdr:cNvPr id="6171" name="Изображение 6170" descr="resizeПП-00271381"/>
        <xdr:cNvPicPr>
          <a:picLocks noChangeAspect="1"/>
        </xdr:cNvPicPr>
      </xdr:nvPicPr>
      <xdr:blipFill>
        <a:blip xmlns:r="http://schemas.openxmlformats.org/officeDocument/2006/relationships" r:embed="rId1909"/>
        <a:stretch>
          <a:fillRect/>
        </a:stretch>
      </xdr:blipFill>
      <xdr:spPr>
        <a:xfrm>
          <a:off x="7264400" y="2484224775"/>
          <a:ext cx="878840" cy="1183640"/>
        </a:xfrm>
        <a:prstGeom prst="rect">
          <a:avLst/>
        </a:prstGeom>
      </xdr:spPr>
    </xdr:pic>
    <xdr:clientData/>
  </xdr:twoCellAnchor>
  <xdr:twoCellAnchor>
    <xdr:from>
      <xdr:col>8</xdr:col>
      <xdr:colOff>6350</xdr:colOff>
      <xdr:row>2498</xdr:row>
      <xdr:rowOff>25400</xdr:rowOff>
    </xdr:from>
    <xdr:to>
      <xdr:col>8</xdr:col>
      <xdr:colOff>885190</xdr:colOff>
      <xdr:row>2498</xdr:row>
      <xdr:rowOff>1209040</xdr:rowOff>
    </xdr:to>
    <xdr:pic>
      <xdr:nvPicPr>
        <xdr:cNvPr id="6172" name="Изображение 6171" descr="resizeПП-00271379"/>
        <xdr:cNvPicPr>
          <a:picLocks noChangeAspect="1"/>
        </xdr:cNvPicPr>
      </xdr:nvPicPr>
      <xdr:blipFill>
        <a:blip xmlns:r="http://schemas.openxmlformats.org/officeDocument/2006/relationships" r:embed="rId1910"/>
        <a:stretch>
          <a:fillRect/>
        </a:stretch>
      </xdr:blipFill>
      <xdr:spPr>
        <a:xfrm>
          <a:off x="7264400" y="2485447150"/>
          <a:ext cx="878840" cy="1183640"/>
        </a:xfrm>
        <a:prstGeom prst="rect">
          <a:avLst/>
        </a:prstGeom>
      </xdr:spPr>
    </xdr:pic>
    <xdr:clientData/>
  </xdr:twoCellAnchor>
  <xdr:twoCellAnchor>
    <xdr:from>
      <xdr:col>8</xdr:col>
      <xdr:colOff>6350</xdr:colOff>
      <xdr:row>2499</xdr:row>
      <xdr:rowOff>25400</xdr:rowOff>
    </xdr:from>
    <xdr:to>
      <xdr:col>8</xdr:col>
      <xdr:colOff>885190</xdr:colOff>
      <xdr:row>2499</xdr:row>
      <xdr:rowOff>1209040</xdr:rowOff>
    </xdr:to>
    <xdr:pic>
      <xdr:nvPicPr>
        <xdr:cNvPr id="6173" name="Изображение 6172" descr="resizeПП-00248699"/>
        <xdr:cNvPicPr>
          <a:picLocks noChangeAspect="1"/>
        </xdr:cNvPicPr>
      </xdr:nvPicPr>
      <xdr:blipFill>
        <a:blip xmlns:r="http://schemas.openxmlformats.org/officeDocument/2006/relationships" r:embed="rId1911"/>
        <a:stretch>
          <a:fillRect/>
        </a:stretch>
      </xdr:blipFill>
      <xdr:spPr>
        <a:xfrm>
          <a:off x="7264400" y="2486669525"/>
          <a:ext cx="878840" cy="1183640"/>
        </a:xfrm>
        <a:prstGeom prst="rect">
          <a:avLst/>
        </a:prstGeom>
      </xdr:spPr>
    </xdr:pic>
    <xdr:clientData/>
  </xdr:twoCellAnchor>
  <xdr:twoCellAnchor>
    <xdr:from>
      <xdr:col>8</xdr:col>
      <xdr:colOff>6350</xdr:colOff>
      <xdr:row>2500</xdr:row>
      <xdr:rowOff>25400</xdr:rowOff>
    </xdr:from>
    <xdr:to>
      <xdr:col>8</xdr:col>
      <xdr:colOff>885190</xdr:colOff>
      <xdr:row>2500</xdr:row>
      <xdr:rowOff>1209040</xdr:rowOff>
    </xdr:to>
    <xdr:pic>
      <xdr:nvPicPr>
        <xdr:cNvPr id="6174" name="Изображение 6173" descr="resizeПП-00248701"/>
        <xdr:cNvPicPr>
          <a:picLocks noChangeAspect="1"/>
        </xdr:cNvPicPr>
      </xdr:nvPicPr>
      <xdr:blipFill>
        <a:blip xmlns:r="http://schemas.openxmlformats.org/officeDocument/2006/relationships" r:embed="rId1912"/>
        <a:stretch>
          <a:fillRect/>
        </a:stretch>
      </xdr:blipFill>
      <xdr:spPr>
        <a:xfrm>
          <a:off x="7264400" y="2487891900"/>
          <a:ext cx="878840" cy="1183640"/>
        </a:xfrm>
        <a:prstGeom prst="rect">
          <a:avLst/>
        </a:prstGeom>
      </xdr:spPr>
    </xdr:pic>
    <xdr:clientData/>
  </xdr:twoCellAnchor>
  <xdr:twoCellAnchor>
    <xdr:from>
      <xdr:col>8</xdr:col>
      <xdr:colOff>6350</xdr:colOff>
      <xdr:row>2501</xdr:row>
      <xdr:rowOff>25400</xdr:rowOff>
    </xdr:from>
    <xdr:to>
      <xdr:col>8</xdr:col>
      <xdr:colOff>885190</xdr:colOff>
      <xdr:row>2501</xdr:row>
      <xdr:rowOff>1209040</xdr:rowOff>
    </xdr:to>
    <xdr:pic>
      <xdr:nvPicPr>
        <xdr:cNvPr id="6175" name="Изображение 6174" descr="resizeПП-00248700"/>
        <xdr:cNvPicPr>
          <a:picLocks noChangeAspect="1"/>
        </xdr:cNvPicPr>
      </xdr:nvPicPr>
      <xdr:blipFill>
        <a:blip xmlns:r="http://schemas.openxmlformats.org/officeDocument/2006/relationships" r:embed="rId1913"/>
        <a:stretch>
          <a:fillRect/>
        </a:stretch>
      </xdr:blipFill>
      <xdr:spPr>
        <a:xfrm>
          <a:off x="7264400" y="2489114275"/>
          <a:ext cx="878840" cy="1183640"/>
        </a:xfrm>
        <a:prstGeom prst="rect">
          <a:avLst/>
        </a:prstGeom>
      </xdr:spPr>
    </xdr:pic>
    <xdr:clientData/>
  </xdr:twoCellAnchor>
  <xdr:twoCellAnchor>
    <xdr:from>
      <xdr:col>8</xdr:col>
      <xdr:colOff>6350</xdr:colOff>
      <xdr:row>2502</xdr:row>
      <xdr:rowOff>25400</xdr:rowOff>
    </xdr:from>
    <xdr:to>
      <xdr:col>8</xdr:col>
      <xdr:colOff>885190</xdr:colOff>
      <xdr:row>2502</xdr:row>
      <xdr:rowOff>1209040</xdr:rowOff>
    </xdr:to>
    <xdr:pic>
      <xdr:nvPicPr>
        <xdr:cNvPr id="6176" name="Изображение 6175" descr="resizeПП-00247509"/>
        <xdr:cNvPicPr>
          <a:picLocks noChangeAspect="1"/>
        </xdr:cNvPicPr>
      </xdr:nvPicPr>
      <xdr:blipFill>
        <a:blip xmlns:r="http://schemas.openxmlformats.org/officeDocument/2006/relationships" r:embed="rId1914"/>
        <a:stretch>
          <a:fillRect/>
        </a:stretch>
      </xdr:blipFill>
      <xdr:spPr>
        <a:xfrm>
          <a:off x="7264400" y="2490336650"/>
          <a:ext cx="878840" cy="1183640"/>
        </a:xfrm>
        <a:prstGeom prst="rect">
          <a:avLst/>
        </a:prstGeom>
      </xdr:spPr>
    </xdr:pic>
    <xdr:clientData/>
  </xdr:twoCellAnchor>
  <xdr:twoCellAnchor>
    <xdr:from>
      <xdr:col>8</xdr:col>
      <xdr:colOff>6350</xdr:colOff>
      <xdr:row>2503</xdr:row>
      <xdr:rowOff>25400</xdr:rowOff>
    </xdr:from>
    <xdr:to>
      <xdr:col>8</xdr:col>
      <xdr:colOff>885190</xdr:colOff>
      <xdr:row>2503</xdr:row>
      <xdr:rowOff>1209040</xdr:rowOff>
    </xdr:to>
    <xdr:pic>
      <xdr:nvPicPr>
        <xdr:cNvPr id="6177" name="Изображение 6176" descr="resizeПП-00247507"/>
        <xdr:cNvPicPr>
          <a:picLocks noChangeAspect="1"/>
        </xdr:cNvPicPr>
      </xdr:nvPicPr>
      <xdr:blipFill>
        <a:blip xmlns:r="http://schemas.openxmlformats.org/officeDocument/2006/relationships" r:embed="rId1915"/>
        <a:stretch>
          <a:fillRect/>
        </a:stretch>
      </xdr:blipFill>
      <xdr:spPr>
        <a:xfrm>
          <a:off x="7264400" y="2491559025"/>
          <a:ext cx="878840" cy="1183640"/>
        </a:xfrm>
        <a:prstGeom prst="rect">
          <a:avLst/>
        </a:prstGeom>
      </xdr:spPr>
    </xdr:pic>
    <xdr:clientData/>
  </xdr:twoCellAnchor>
  <xdr:twoCellAnchor>
    <xdr:from>
      <xdr:col>8</xdr:col>
      <xdr:colOff>6350</xdr:colOff>
      <xdr:row>2504</xdr:row>
      <xdr:rowOff>25400</xdr:rowOff>
    </xdr:from>
    <xdr:to>
      <xdr:col>8</xdr:col>
      <xdr:colOff>885190</xdr:colOff>
      <xdr:row>2504</xdr:row>
      <xdr:rowOff>1209040</xdr:rowOff>
    </xdr:to>
    <xdr:pic>
      <xdr:nvPicPr>
        <xdr:cNvPr id="6178" name="Изображение 6177" descr="resizeПП-00247510"/>
        <xdr:cNvPicPr>
          <a:picLocks noChangeAspect="1"/>
        </xdr:cNvPicPr>
      </xdr:nvPicPr>
      <xdr:blipFill>
        <a:blip xmlns:r="http://schemas.openxmlformats.org/officeDocument/2006/relationships" r:embed="rId1916"/>
        <a:stretch>
          <a:fillRect/>
        </a:stretch>
      </xdr:blipFill>
      <xdr:spPr>
        <a:xfrm>
          <a:off x="7264400" y="2492781400"/>
          <a:ext cx="878840" cy="1183640"/>
        </a:xfrm>
        <a:prstGeom prst="rect">
          <a:avLst/>
        </a:prstGeom>
      </xdr:spPr>
    </xdr:pic>
    <xdr:clientData/>
  </xdr:twoCellAnchor>
  <xdr:twoCellAnchor>
    <xdr:from>
      <xdr:col>8</xdr:col>
      <xdr:colOff>6350</xdr:colOff>
      <xdr:row>2505</xdr:row>
      <xdr:rowOff>25400</xdr:rowOff>
    </xdr:from>
    <xdr:to>
      <xdr:col>8</xdr:col>
      <xdr:colOff>885190</xdr:colOff>
      <xdr:row>2505</xdr:row>
      <xdr:rowOff>1209040</xdr:rowOff>
    </xdr:to>
    <xdr:pic>
      <xdr:nvPicPr>
        <xdr:cNvPr id="6179" name="Изображение 6178" descr="resizeПП-00247506"/>
        <xdr:cNvPicPr>
          <a:picLocks noChangeAspect="1"/>
        </xdr:cNvPicPr>
      </xdr:nvPicPr>
      <xdr:blipFill>
        <a:blip xmlns:r="http://schemas.openxmlformats.org/officeDocument/2006/relationships" r:embed="rId1917"/>
        <a:stretch>
          <a:fillRect/>
        </a:stretch>
      </xdr:blipFill>
      <xdr:spPr>
        <a:xfrm>
          <a:off x="7264400" y="2494003775"/>
          <a:ext cx="878840" cy="1183640"/>
        </a:xfrm>
        <a:prstGeom prst="rect">
          <a:avLst/>
        </a:prstGeom>
      </xdr:spPr>
    </xdr:pic>
    <xdr:clientData/>
  </xdr:twoCellAnchor>
  <xdr:twoCellAnchor>
    <xdr:from>
      <xdr:col>8</xdr:col>
      <xdr:colOff>6350</xdr:colOff>
      <xdr:row>2506</xdr:row>
      <xdr:rowOff>25400</xdr:rowOff>
    </xdr:from>
    <xdr:to>
      <xdr:col>8</xdr:col>
      <xdr:colOff>885190</xdr:colOff>
      <xdr:row>2506</xdr:row>
      <xdr:rowOff>1209040</xdr:rowOff>
    </xdr:to>
    <xdr:pic>
      <xdr:nvPicPr>
        <xdr:cNvPr id="6180" name="Изображение 6179" descr="resizeПП-00258791"/>
        <xdr:cNvPicPr>
          <a:picLocks noChangeAspect="1"/>
        </xdr:cNvPicPr>
      </xdr:nvPicPr>
      <xdr:blipFill>
        <a:blip xmlns:r="http://schemas.openxmlformats.org/officeDocument/2006/relationships" r:embed="rId1848"/>
        <a:stretch>
          <a:fillRect/>
        </a:stretch>
      </xdr:blipFill>
      <xdr:spPr>
        <a:xfrm>
          <a:off x="7264400" y="2495226150"/>
          <a:ext cx="878840" cy="1183640"/>
        </a:xfrm>
        <a:prstGeom prst="rect">
          <a:avLst/>
        </a:prstGeom>
      </xdr:spPr>
    </xdr:pic>
    <xdr:clientData/>
  </xdr:twoCellAnchor>
  <xdr:twoCellAnchor>
    <xdr:from>
      <xdr:col>8</xdr:col>
      <xdr:colOff>6350</xdr:colOff>
      <xdr:row>2507</xdr:row>
      <xdr:rowOff>25400</xdr:rowOff>
    </xdr:from>
    <xdr:to>
      <xdr:col>8</xdr:col>
      <xdr:colOff>885190</xdr:colOff>
      <xdr:row>2507</xdr:row>
      <xdr:rowOff>1209040</xdr:rowOff>
    </xdr:to>
    <xdr:pic>
      <xdr:nvPicPr>
        <xdr:cNvPr id="6181" name="Изображение 6180" descr="resizeПП-00258785"/>
        <xdr:cNvPicPr>
          <a:picLocks noChangeAspect="1"/>
        </xdr:cNvPicPr>
      </xdr:nvPicPr>
      <xdr:blipFill>
        <a:blip xmlns:r="http://schemas.openxmlformats.org/officeDocument/2006/relationships" r:embed="rId1845"/>
        <a:stretch>
          <a:fillRect/>
        </a:stretch>
      </xdr:blipFill>
      <xdr:spPr>
        <a:xfrm>
          <a:off x="7264400" y="2496448525"/>
          <a:ext cx="878840" cy="1183640"/>
        </a:xfrm>
        <a:prstGeom prst="rect">
          <a:avLst/>
        </a:prstGeom>
      </xdr:spPr>
    </xdr:pic>
    <xdr:clientData/>
  </xdr:twoCellAnchor>
  <xdr:twoCellAnchor>
    <xdr:from>
      <xdr:col>8</xdr:col>
      <xdr:colOff>6350</xdr:colOff>
      <xdr:row>2508</xdr:row>
      <xdr:rowOff>25400</xdr:rowOff>
    </xdr:from>
    <xdr:to>
      <xdr:col>8</xdr:col>
      <xdr:colOff>885190</xdr:colOff>
      <xdr:row>2508</xdr:row>
      <xdr:rowOff>1209040</xdr:rowOff>
    </xdr:to>
    <xdr:pic>
      <xdr:nvPicPr>
        <xdr:cNvPr id="6182" name="Изображение 6181" descr="resizeПП-00258788"/>
        <xdr:cNvPicPr>
          <a:picLocks noChangeAspect="1"/>
        </xdr:cNvPicPr>
      </xdr:nvPicPr>
      <xdr:blipFill>
        <a:blip xmlns:r="http://schemas.openxmlformats.org/officeDocument/2006/relationships" r:embed="rId1847"/>
        <a:stretch>
          <a:fillRect/>
        </a:stretch>
      </xdr:blipFill>
      <xdr:spPr>
        <a:xfrm>
          <a:off x="7264400" y="2497670900"/>
          <a:ext cx="878840" cy="1183640"/>
        </a:xfrm>
        <a:prstGeom prst="rect">
          <a:avLst/>
        </a:prstGeom>
      </xdr:spPr>
    </xdr:pic>
    <xdr:clientData/>
  </xdr:twoCellAnchor>
  <xdr:twoCellAnchor>
    <xdr:from>
      <xdr:col>8</xdr:col>
      <xdr:colOff>6350</xdr:colOff>
      <xdr:row>2509</xdr:row>
      <xdr:rowOff>25400</xdr:rowOff>
    </xdr:from>
    <xdr:to>
      <xdr:col>8</xdr:col>
      <xdr:colOff>885190</xdr:colOff>
      <xdr:row>2509</xdr:row>
      <xdr:rowOff>1209040</xdr:rowOff>
    </xdr:to>
    <xdr:pic>
      <xdr:nvPicPr>
        <xdr:cNvPr id="6183" name="Изображение 6182" descr="resizeПП-00258795"/>
        <xdr:cNvPicPr>
          <a:picLocks noChangeAspect="1"/>
        </xdr:cNvPicPr>
      </xdr:nvPicPr>
      <xdr:blipFill>
        <a:blip xmlns:r="http://schemas.openxmlformats.org/officeDocument/2006/relationships" r:embed="rId1850"/>
        <a:stretch>
          <a:fillRect/>
        </a:stretch>
      </xdr:blipFill>
      <xdr:spPr>
        <a:xfrm>
          <a:off x="7264400" y="2498893275"/>
          <a:ext cx="878840" cy="1183640"/>
        </a:xfrm>
        <a:prstGeom prst="rect">
          <a:avLst/>
        </a:prstGeom>
      </xdr:spPr>
    </xdr:pic>
    <xdr:clientData/>
  </xdr:twoCellAnchor>
  <xdr:twoCellAnchor>
    <xdr:from>
      <xdr:col>8</xdr:col>
      <xdr:colOff>6350</xdr:colOff>
      <xdr:row>2510</xdr:row>
      <xdr:rowOff>25400</xdr:rowOff>
    </xdr:from>
    <xdr:to>
      <xdr:col>8</xdr:col>
      <xdr:colOff>885190</xdr:colOff>
      <xdr:row>2510</xdr:row>
      <xdr:rowOff>1209040</xdr:rowOff>
    </xdr:to>
    <xdr:pic>
      <xdr:nvPicPr>
        <xdr:cNvPr id="6184" name="Изображение 6183" descr="resizeПП-00258789"/>
        <xdr:cNvPicPr>
          <a:picLocks noChangeAspect="1"/>
        </xdr:cNvPicPr>
      </xdr:nvPicPr>
      <xdr:blipFill>
        <a:blip xmlns:r="http://schemas.openxmlformats.org/officeDocument/2006/relationships" r:embed="rId1851"/>
        <a:stretch>
          <a:fillRect/>
        </a:stretch>
      </xdr:blipFill>
      <xdr:spPr>
        <a:xfrm>
          <a:off x="7264400" y="2500115650"/>
          <a:ext cx="878840" cy="1183640"/>
        </a:xfrm>
        <a:prstGeom prst="rect">
          <a:avLst/>
        </a:prstGeom>
      </xdr:spPr>
    </xdr:pic>
    <xdr:clientData/>
  </xdr:twoCellAnchor>
  <xdr:twoCellAnchor>
    <xdr:from>
      <xdr:col>8</xdr:col>
      <xdr:colOff>6350</xdr:colOff>
      <xdr:row>2511</xdr:row>
      <xdr:rowOff>25400</xdr:rowOff>
    </xdr:from>
    <xdr:to>
      <xdr:col>8</xdr:col>
      <xdr:colOff>885190</xdr:colOff>
      <xdr:row>2511</xdr:row>
      <xdr:rowOff>1209040</xdr:rowOff>
    </xdr:to>
    <xdr:pic>
      <xdr:nvPicPr>
        <xdr:cNvPr id="6185" name="Изображение 6184" descr="resizeПП-00258792"/>
        <xdr:cNvPicPr>
          <a:picLocks noChangeAspect="1"/>
        </xdr:cNvPicPr>
      </xdr:nvPicPr>
      <xdr:blipFill>
        <a:blip xmlns:r="http://schemas.openxmlformats.org/officeDocument/2006/relationships" r:embed="rId1918"/>
        <a:stretch>
          <a:fillRect/>
        </a:stretch>
      </xdr:blipFill>
      <xdr:spPr>
        <a:xfrm>
          <a:off x="7264400" y="2501338025"/>
          <a:ext cx="878840" cy="1183640"/>
        </a:xfrm>
        <a:prstGeom prst="rect">
          <a:avLst/>
        </a:prstGeom>
      </xdr:spPr>
    </xdr:pic>
    <xdr:clientData/>
  </xdr:twoCellAnchor>
  <xdr:twoCellAnchor>
    <xdr:from>
      <xdr:col>8</xdr:col>
      <xdr:colOff>6350</xdr:colOff>
      <xdr:row>2512</xdr:row>
      <xdr:rowOff>25400</xdr:rowOff>
    </xdr:from>
    <xdr:to>
      <xdr:col>8</xdr:col>
      <xdr:colOff>885190</xdr:colOff>
      <xdr:row>2512</xdr:row>
      <xdr:rowOff>1209040</xdr:rowOff>
    </xdr:to>
    <xdr:pic>
      <xdr:nvPicPr>
        <xdr:cNvPr id="6186" name="Изображение 6185" descr="resizeПП-00258796"/>
        <xdr:cNvPicPr>
          <a:picLocks noChangeAspect="1"/>
        </xdr:cNvPicPr>
      </xdr:nvPicPr>
      <xdr:blipFill>
        <a:blip xmlns:r="http://schemas.openxmlformats.org/officeDocument/2006/relationships" r:embed="rId1852"/>
        <a:stretch>
          <a:fillRect/>
        </a:stretch>
      </xdr:blipFill>
      <xdr:spPr>
        <a:xfrm>
          <a:off x="7264400" y="2502560400"/>
          <a:ext cx="878840" cy="1183640"/>
        </a:xfrm>
        <a:prstGeom prst="rect">
          <a:avLst/>
        </a:prstGeom>
      </xdr:spPr>
    </xdr:pic>
    <xdr:clientData/>
  </xdr:twoCellAnchor>
  <xdr:twoCellAnchor>
    <xdr:from>
      <xdr:col>8</xdr:col>
      <xdr:colOff>6350</xdr:colOff>
      <xdr:row>2513</xdr:row>
      <xdr:rowOff>25400</xdr:rowOff>
    </xdr:from>
    <xdr:to>
      <xdr:col>8</xdr:col>
      <xdr:colOff>885190</xdr:colOff>
      <xdr:row>2513</xdr:row>
      <xdr:rowOff>1209040</xdr:rowOff>
    </xdr:to>
    <xdr:pic>
      <xdr:nvPicPr>
        <xdr:cNvPr id="6187" name="Изображение 6186" descr="resizeПП-00258793"/>
        <xdr:cNvPicPr>
          <a:picLocks noChangeAspect="1"/>
        </xdr:cNvPicPr>
      </xdr:nvPicPr>
      <xdr:blipFill>
        <a:blip xmlns:r="http://schemas.openxmlformats.org/officeDocument/2006/relationships" r:embed="rId1853"/>
        <a:stretch>
          <a:fillRect/>
        </a:stretch>
      </xdr:blipFill>
      <xdr:spPr>
        <a:xfrm>
          <a:off x="7264400" y="2503782775"/>
          <a:ext cx="878840" cy="1183640"/>
        </a:xfrm>
        <a:prstGeom prst="rect">
          <a:avLst/>
        </a:prstGeom>
      </xdr:spPr>
    </xdr:pic>
    <xdr:clientData/>
  </xdr:twoCellAnchor>
  <xdr:twoCellAnchor>
    <xdr:from>
      <xdr:col>8</xdr:col>
      <xdr:colOff>6350</xdr:colOff>
      <xdr:row>2514</xdr:row>
      <xdr:rowOff>25400</xdr:rowOff>
    </xdr:from>
    <xdr:to>
      <xdr:col>8</xdr:col>
      <xdr:colOff>885190</xdr:colOff>
      <xdr:row>2514</xdr:row>
      <xdr:rowOff>1209040</xdr:rowOff>
    </xdr:to>
    <xdr:pic>
      <xdr:nvPicPr>
        <xdr:cNvPr id="6188" name="Изображение 6187" descr="resizeПП-00258786"/>
        <xdr:cNvPicPr>
          <a:picLocks noChangeAspect="1"/>
        </xdr:cNvPicPr>
      </xdr:nvPicPr>
      <xdr:blipFill>
        <a:blip xmlns:r="http://schemas.openxmlformats.org/officeDocument/2006/relationships" r:embed="rId1919"/>
        <a:stretch>
          <a:fillRect/>
        </a:stretch>
      </xdr:blipFill>
      <xdr:spPr>
        <a:xfrm>
          <a:off x="7264400" y="2505005150"/>
          <a:ext cx="878840" cy="1183640"/>
        </a:xfrm>
        <a:prstGeom prst="rect">
          <a:avLst/>
        </a:prstGeom>
      </xdr:spPr>
    </xdr:pic>
    <xdr:clientData/>
  </xdr:twoCellAnchor>
  <xdr:twoCellAnchor>
    <xdr:from>
      <xdr:col>8</xdr:col>
      <xdr:colOff>6350</xdr:colOff>
      <xdr:row>2515</xdr:row>
      <xdr:rowOff>25400</xdr:rowOff>
    </xdr:from>
    <xdr:to>
      <xdr:col>8</xdr:col>
      <xdr:colOff>885190</xdr:colOff>
      <xdr:row>2515</xdr:row>
      <xdr:rowOff>1209040</xdr:rowOff>
    </xdr:to>
    <xdr:pic>
      <xdr:nvPicPr>
        <xdr:cNvPr id="6189" name="Изображение 6188" descr="resizeПП-00258794"/>
        <xdr:cNvPicPr>
          <a:picLocks noChangeAspect="1"/>
        </xdr:cNvPicPr>
      </xdr:nvPicPr>
      <xdr:blipFill>
        <a:blip xmlns:r="http://schemas.openxmlformats.org/officeDocument/2006/relationships" r:embed="rId1920"/>
        <a:stretch>
          <a:fillRect/>
        </a:stretch>
      </xdr:blipFill>
      <xdr:spPr>
        <a:xfrm>
          <a:off x="7264400" y="2506227525"/>
          <a:ext cx="878840" cy="1183640"/>
        </a:xfrm>
        <a:prstGeom prst="rect">
          <a:avLst/>
        </a:prstGeom>
      </xdr:spPr>
    </xdr:pic>
    <xdr:clientData/>
  </xdr:twoCellAnchor>
  <xdr:twoCellAnchor>
    <xdr:from>
      <xdr:col>8</xdr:col>
      <xdr:colOff>6350</xdr:colOff>
      <xdr:row>2516</xdr:row>
      <xdr:rowOff>25400</xdr:rowOff>
    </xdr:from>
    <xdr:to>
      <xdr:col>8</xdr:col>
      <xdr:colOff>885190</xdr:colOff>
      <xdr:row>2516</xdr:row>
      <xdr:rowOff>1209040</xdr:rowOff>
    </xdr:to>
    <xdr:pic>
      <xdr:nvPicPr>
        <xdr:cNvPr id="6190" name="Изображение 6189" descr="resizeПП-00258797"/>
        <xdr:cNvPicPr>
          <a:picLocks noChangeAspect="1"/>
        </xdr:cNvPicPr>
      </xdr:nvPicPr>
      <xdr:blipFill>
        <a:blip xmlns:r="http://schemas.openxmlformats.org/officeDocument/2006/relationships" r:embed="rId1921"/>
        <a:stretch>
          <a:fillRect/>
        </a:stretch>
      </xdr:blipFill>
      <xdr:spPr>
        <a:xfrm>
          <a:off x="7264400" y="2507449900"/>
          <a:ext cx="878840" cy="1183640"/>
        </a:xfrm>
        <a:prstGeom prst="rect">
          <a:avLst/>
        </a:prstGeom>
      </xdr:spPr>
    </xdr:pic>
    <xdr:clientData/>
  </xdr:twoCellAnchor>
  <xdr:twoCellAnchor>
    <xdr:from>
      <xdr:col>8</xdr:col>
      <xdr:colOff>6350</xdr:colOff>
      <xdr:row>2517</xdr:row>
      <xdr:rowOff>25400</xdr:rowOff>
    </xdr:from>
    <xdr:to>
      <xdr:col>8</xdr:col>
      <xdr:colOff>885190</xdr:colOff>
      <xdr:row>2517</xdr:row>
      <xdr:rowOff>1209040</xdr:rowOff>
    </xdr:to>
    <xdr:pic>
      <xdr:nvPicPr>
        <xdr:cNvPr id="6191" name="Изображение 6190" descr="resizeПП-00258790"/>
        <xdr:cNvPicPr>
          <a:picLocks noChangeAspect="1"/>
        </xdr:cNvPicPr>
      </xdr:nvPicPr>
      <xdr:blipFill>
        <a:blip xmlns:r="http://schemas.openxmlformats.org/officeDocument/2006/relationships" r:embed="rId1922"/>
        <a:stretch>
          <a:fillRect/>
        </a:stretch>
      </xdr:blipFill>
      <xdr:spPr>
        <a:xfrm>
          <a:off x="7264400" y="2508672275"/>
          <a:ext cx="878840" cy="1183640"/>
        </a:xfrm>
        <a:prstGeom prst="rect">
          <a:avLst/>
        </a:prstGeom>
      </xdr:spPr>
    </xdr:pic>
    <xdr:clientData/>
  </xdr:twoCellAnchor>
  <xdr:twoCellAnchor>
    <xdr:from>
      <xdr:col>8</xdr:col>
      <xdr:colOff>6350</xdr:colOff>
      <xdr:row>2519</xdr:row>
      <xdr:rowOff>25400</xdr:rowOff>
    </xdr:from>
    <xdr:to>
      <xdr:col>8</xdr:col>
      <xdr:colOff>885190</xdr:colOff>
      <xdr:row>2519</xdr:row>
      <xdr:rowOff>1209040</xdr:rowOff>
    </xdr:to>
    <xdr:pic>
      <xdr:nvPicPr>
        <xdr:cNvPr id="6192" name="Изображение 6191" descr="resizeПП-00258769"/>
        <xdr:cNvPicPr>
          <a:picLocks noChangeAspect="1"/>
        </xdr:cNvPicPr>
      </xdr:nvPicPr>
      <xdr:blipFill>
        <a:blip xmlns:r="http://schemas.openxmlformats.org/officeDocument/2006/relationships" r:embed="rId1923"/>
        <a:stretch>
          <a:fillRect/>
        </a:stretch>
      </xdr:blipFill>
      <xdr:spPr>
        <a:xfrm>
          <a:off x="7264400" y="2510047050"/>
          <a:ext cx="878840" cy="1183640"/>
        </a:xfrm>
        <a:prstGeom prst="rect">
          <a:avLst/>
        </a:prstGeom>
      </xdr:spPr>
    </xdr:pic>
    <xdr:clientData/>
  </xdr:twoCellAnchor>
  <xdr:twoCellAnchor>
    <xdr:from>
      <xdr:col>8</xdr:col>
      <xdr:colOff>6350</xdr:colOff>
      <xdr:row>2520</xdr:row>
      <xdr:rowOff>25400</xdr:rowOff>
    </xdr:from>
    <xdr:to>
      <xdr:col>8</xdr:col>
      <xdr:colOff>885190</xdr:colOff>
      <xdr:row>2520</xdr:row>
      <xdr:rowOff>1209040</xdr:rowOff>
    </xdr:to>
    <xdr:pic>
      <xdr:nvPicPr>
        <xdr:cNvPr id="6193" name="Изображение 6192" descr="resizeПП-00258767"/>
        <xdr:cNvPicPr>
          <a:picLocks noChangeAspect="1"/>
        </xdr:cNvPicPr>
      </xdr:nvPicPr>
      <xdr:blipFill>
        <a:blip xmlns:r="http://schemas.openxmlformats.org/officeDocument/2006/relationships" r:embed="rId1924"/>
        <a:stretch>
          <a:fillRect/>
        </a:stretch>
      </xdr:blipFill>
      <xdr:spPr>
        <a:xfrm>
          <a:off x="7264400" y="2511269425"/>
          <a:ext cx="878840" cy="1183640"/>
        </a:xfrm>
        <a:prstGeom prst="rect">
          <a:avLst/>
        </a:prstGeom>
      </xdr:spPr>
    </xdr:pic>
    <xdr:clientData/>
  </xdr:twoCellAnchor>
  <xdr:twoCellAnchor>
    <xdr:from>
      <xdr:col>8</xdr:col>
      <xdr:colOff>6350</xdr:colOff>
      <xdr:row>2521</xdr:row>
      <xdr:rowOff>25400</xdr:rowOff>
    </xdr:from>
    <xdr:to>
      <xdr:col>8</xdr:col>
      <xdr:colOff>885190</xdr:colOff>
      <xdr:row>2521</xdr:row>
      <xdr:rowOff>1209040</xdr:rowOff>
    </xdr:to>
    <xdr:pic>
      <xdr:nvPicPr>
        <xdr:cNvPr id="6194" name="Изображение 6193" descr="resizeПП-00258772"/>
        <xdr:cNvPicPr>
          <a:picLocks noChangeAspect="1"/>
        </xdr:cNvPicPr>
      </xdr:nvPicPr>
      <xdr:blipFill>
        <a:blip xmlns:r="http://schemas.openxmlformats.org/officeDocument/2006/relationships" r:embed="rId1794"/>
        <a:stretch>
          <a:fillRect/>
        </a:stretch>
      </xdr:blipFill>
      <xdr:spPr>
        <a:xfrm>
          <a:off x="7264400" y="2512491800"/>
          <a:ext cx="878840" cy="1183640"/>
        </a:xfrm>
        <a:prstGeom prst="rect">
          <a:avLst/>
        </a:prstGeom>
      </xdr:spPr>
    </xdr:pic>
    <xdr:clientData/>
  </xdr:twoCellAnchor>
  <xdr:twoCellAnchor>
    <xdr:from>
      <xdr:col>8</xdr:col>
      <xdr:colOff>6350</xdr:colOff>
      <xdr:row>2522</xdr:row>
      <xdr:rowOff>25400</xdr:rowOff>
    </xdr:from>
    <xdr:to>
      <xdr:col>8</xdr:col>
      <xdr:colOff>885190</xdr:colOff>
      <xdr:row>2522</xdr:row>
      <xdr:rowOff>1209040</xdr:rowOff>
    </xdr:to>
    <xdr:pic>
      <xdr:nvPicPr>
        <xdr:cNvPr id="6195" name="Изображение 6194" descr="resizeПП-00258770"/>
        <xdr:cNvPicPr>
          <a:picLocks noChangeAspect="1"/>
        </xdr:cNvPicPr>
      </xdr:nvPicPr>
      <xdr:blipFill>
        <a:blip xmlns:r="http://schemas.openxmlformats.org/officeDocument/2006/relationships" r:embed="rId1925"/>
        <a:stretch>
          <a:fillRect/>
        </a:stretch>
      </xdr:blipFill>
      <xdr:spPr>
        <a:xfrm>
          <a:off x="7264400" y="2513714175"/>
          <a:ext cx="878840" cy="1183640"/>
        </a:xfrm>
        <a:prstGeom prst="rect">
          <a:avLst/>
        </a:prstGeom>
      </xdr:spPr>
    </xdr:pic>
    <xdr:clientData/>
  </xdr:twoCellAnchor>
  <xdr:twoCellAnchor>
    <xdr:from>
      <xdr:col>8</xdr:col>
      <xdr:colOff>6350</xdr:colOff>
      <xdr:row>2523</xdr:row>
      <xdr:rowOff>25400</xdr:rowOff>
    </xdr:from>
    <xdr:to>
      <xdr:col>8</xdr:col>
      <xdr:colOff>885190</xdr:colOff>
      <xdr:row>2523</xdr:row>
      <xdr:rowOff>1209040</xdr:rowOff>
    </xdr:to>
    <xdr:pic>
      <xdr:nvPicPr>
        <xdr:cNvPr id="6196" name="Изображение 6195" descr="resizeПП-00269400"/>
        <xdr:cNvPicPr>
          <a:picLocks noChangeAspect="1"/>
        </xdr:cNvPicPr>
      </xdr:nvPicPr>
      <xdr:blipFill>
        <a:blip xmlns:r="http://schemas.openxmlformats.org/officeDocument/2006/relationships" r:embed="rId1786"/>
        <a:stretch>
          <a:fillRect/>
        </a:stretch>
      </xdr:blipFill>
      <xdr:spPr>
        <a:xfrm>
          <a:off x="7264400" y="2514936550"/>
          <a:ext cx="878840" cy="1183640"/>
        </a:xfrm>
        <a:prstGeom prst="rect">
          <a:avLst/>
        </a:prstGeom>
      </xdr:spPr>
    </xdr:pic>
    <xdr:clientData/>
  </xdr:twoCellAnchor>
  <xdr:twoCellAnchor>
    <xdr:from>
      <xdr:col>8</xdr:col>
      <xdr:colOff>6350</xdr:colOff>
      <xdr:row>2524</xdr:row>
      <xdr:rowOff>25400</xdr:rowOff>
    </xdr:from>
    <xdr:to>
      <xdr:col>8</xdr:col>
      <xdr:colOff>885190</xdr:colOff>
      <xdr:row>2524</xdr:row>
      <xdr:rowOff>1209040</xdr:rowOff>
    </xdr:to>
    <xdr:pic>
      <xdr:nvPicPr>
        <xdr:cNvPr id="6197" name="Изображение 6196" descr="resizeПП-00269410"/>
        <xdr:cNvPicPr>
          <a:picLocks noChangeAspect="1"/>
        </xdr:cNvPicPr>
      </xdr:nvPicPr>
      <xdr:blipFill>
        <a:blip xmlns:r="http://schemas.openxmlformats.org/officeDocument/2006/relationships" r:embed="rId1926"/>
        <a:stretch>
          <a:fillRect/>
        </a:stretch>
      </xdr:blipFill>
      <xdr:spPr>
        <a:xfrm>
          <a:off x="7264400" y="2516158925"/>
          <a:ext cx="878840" cy="1183640"/>
        </a:xfrm>
        <a:prstGeom prst="rect">
          <a:avLst/>
        </a:prstGeom>
      </xdr:spPr>
    </xdr:pic>
    <xdr:clientData/>
  </xdr:twoCellAnchor>
  <xdr:twoCellAnchor>
    <xdr:from>
      <xdr:col>8</xdr:col>
      <xdr:colOff>6350</xdr:colOff>
      <xdr:row>2525</xdr:row>
      <xdr:rowOff>25400</xdr:rowOff>
    </xdr:from>
    <xdr:to>
      <xdr:col>8</xdr:col>
      <xdr:colOff>885190</xdr:colOff>
      <xdr:row>2525</xdr:row>
      <xdr:rowOff>1209040</xdr:rowOff>
    </xdr:to>
    <xdr:pic>
      <xdr:nvPicPr>
        <xdr:cNvPr id="6198" name="Изображение 6197" descr="resizeПП-00271398"/>
        <xdr:cNvPicPr>
          <a:picLocks noChangeAspect="1"/>
        </xdr:cNvPicPr>
      </xdr:nvPicPr>
      <xdr:blipFill>
        <a:blip xmlns:r="http://schemas.openxmlformats.org/officeDocument/2006/relationships" r:embed="rId1927"/>
        <a:stretch>
          <a:fillRect/>
        </a:stretch>
      </xdr:blipFill>
      <xdr:spPr>
        <a:xfrm>
          <a:off x="7264400" y="2517381300"/>
          <a:ext cx="878840" cy="1183640"/>
        </a:xfrm>
        <a:prstGeom prst="rect">
          <a:avLst/>
        </a:prstGeom>
      </xdr:spPr>
    </xdr:pic>
    <xdr:clientData/>
  </xdr:twoCellAnchor>
  <xdr:twoCellAnchor>
    <xdr:from>
      <xdr:col>8</xdr:col>
      <xdr:colOff>6350</xdr:colOff>
      <xdr:row>2526</xdr:row>
      <xdr:rowOff>25400</xdr:rowOff>
    </xdr:from>
    <xdr:to>
      <xdr:col>8</xdr:col>
      <xdr:colOff>885190</xdr:colOff>
      <xdr:row>2526</xdr:row>
      <xdr:rowOff>1209040</xdr:rowOff>
    </xdr:to>
    <xdr:pic>
      <xdr:nvPicPr>
        <xdr:cNvPr id="6199" name="Изображение 6198" descr="resizeПП-00271404"/>
        <xdr:cNvPicPr>
          <a:picLocks noChangeAspect="1"/>
        </xdr:cNvPicPr>
      </xdr:nvPicPr>
      <xdr:blipFill>
        <a:blip xmlns:r="http://schemas.openxmlformats.org/officeDocument/2006/relationships" r:embed="rId1928"/>
        <a:stretch>
          <a:fillRect/>
        </a:stretch>
      </xdr:blipFill>
      <xdr:spPr>
        <a:xfrm>
          <a:off x="7264400" y="2518603675"/>
          <a:ext cx="878840" cy="1183640"/>
        </a:xfrm>
        <a:prstGeom prst="rect">
          <a:avLst/>
        </a:prstGeom>
      </xdr:spPr>
    </xdr:pic>
    <xdr:clientData/>
  </xdr:twoCellAnchor>
  <xdr:twoCellAnchor>
    <xdr:from>
      <xdr:col>8</xdr:col>
      <xdr:colOff>6350</xdr:colOff>
      <xdr:row>2527</xdr:row>
      <xdr:rowOff>25400</xdr:rowOff>
    </xdr:from>
    <xdr:to>
      <xdr:col>8</xdr:col>
      <xdr:colOff>885190</xdr:colOff>
      <xdr:row>2527</xdr:row>
      <xdr:rowOff>1209040</xdr:rowOff>
    </xdr:to>
    <xdr:pic>
      <xdr:nvPicPr>
        <xdr:cNvPr id="6200" name="Изображение 6199" descr="resizeПП-00247531"/>
        <xdr:cNvPicPr>
          <a:picLocks noChangeAspect="1"/>
        </xdr:cNvPicPr>
      </xdr:nvPicPr>
      <xdr:blipFill>
        <a:blip xmlns:r="http://schemas.openxmlformats.org/officeDocument/2006/relationships" r:embed="rId1929"/>
        <a:stretch>
          <a:fillRect/>
        </a:stretch>
      </xdr:blipFill>
      <xdr:spPr>
        <a:xfrm>
          <a:off x="7264400" y="2519826050"/>
          <a:ext cx="878840" cy="1183640"/>
        </a:xfrm>
        <a:prstGeom prst="rect">
          <a:avLst/>
        </a:prstGeom>
      </xdr:spPr>
    </xdr:pic>
    <xdr:clientData/>
  </xdr:twoCellAnchor>
  <xdr:twoCellAnchor>
    <xdr:from>
      <xdr:col>8</xdr:col>
      <xdr:colOff>6350</xdr:colOff>
      <xdr:row>2528</xdr:row>
      <xdr:rowOff>25400</xdr:rowOff>
    </xdr:from>
    <xdr:to>
      <xdr:col>8</xdr:col>
      <xdr:colOff>885190</xdr:colOff>
      <xdr:row>2528</xdr:row>
      <xdr:rowOff>1209040</xdr:rowOff>
    </xdr:to>
    <xdr:pic>
      <xdr:nvPicPr>
        <xdr:cNvPr id="6201" name="Изображение 6200" descr="resizeПП-00271403"/>
        <xdr:cNvPicPr>
          <a:picLocks noChangeAspect="1"/>
        </xdr:cNvPicPr>
      </xdr:nvPicPr>
      <xdr:blipFill>
        <a:blip xmlns:r="http://schemas.openxmlformats.org/officeDocument/2006/relationships" r:embed="rId1930"/>
        <a:stretch>
          <a:fillRect/>
        </a:stretch>
      </xdr:blipFill>
      <xdr:spPr>
        <a:xfrm>
          <a:off x="7264400" y="2521048425"/>
          <a:ext cx="878840" cy="1183640"/>
        </a:xfrm>
        <a:prstGeom prst="rect">
          <a:avLst/>
        </a:prstGeom>
      </xdr:spPr>
    </xdr:pic>
    <xdr:clientData/>
  </xdr:twoCellAnchor>
  <xdr:twoCellAnchor>
    <xdr:from>
      <xdr:col>8</xdr:col>
      <xdr:colOff>6350</xdr:colOff>
      <xdr:row>2529</xdr:row>
      <xdr:rowOff>25400</xdr:rowOff>
    </xdr:from>
    <xdr:to>
      <xdr:col>8</xdr:col>
      <xdr:colOff>885190</xdr:colOff>
      <xdr:row>2529</xdr:row>
      <xdr:rowOff>1209040</xdr:rowOff>
    </xdr:to>
    <xdr:pic>
      <xdr:nvPicPr>
        <xdr:cNvPr id="6202" name="Изображение 6201" descr="resizeПП-00258771"/>
        <xdr:cNvPicPr>
          <a:picLocks noChangeAspect="1"/>
        </xdr:cNvPicPr>
      </xdr:nvPicPr>
      <xdr:blipFill>
        <a:blip xmlns:r="http://schemas.openxmlformats.org/officeDocument/2006/relationships" r:embed="rId1931"/>
        <a:stretch>
          <a:fillRect/>
        </a:stretch>
      </xdr:blipFill>
      <xdr:spPr>
        <a:xfrm>
          <a:off x="7264400" y="2522270800"/>
          <a:ext cx="878840" cy="1183640"/>
        </a:xfrm>
        <a:prstGeom prst="rect">
          <a:avLst/>
        </a:prstGeom>
      </xdr:spPr>
    </xdr:pic>
    <xdr:clientData/>
  </xdr:twoCellAnchor>
  <xdr:twoCellAnchor>
    <xdr:from>
      <xdr:col>8</xdr:col>
      <xdr:colOff>6350</xdr:colOff>
      <xdr:row>2530</xdr:row>
      <xdr:rowOff>25400</xdr:rowOff>
    </xdr:from>
    <xdr:to>
      <xdr:col>8</xdr:col>
      <xdr:colOff>885190</xdr:colOff>
      <xdr:row>2530</xdr:row>
      <xdr:rowOff>1209040</xdr:rowOff>
    </xdr:to>
    <xdr:pic>
      <xdr:nvPicPr>
        <xdr:cNvPr id="6203" name="Изображение 6202" descr="resizeПП-00269406"/>
        <xdr:cNvPicPr>
          <a:picLocks noChangeAspect="1"/>
        </xdr:cNvPicPr>
      </xdr:nvPicPr>
      <xdr:blipFill>
        <a:blip xmlns:r="http://schemas.openxmlformats.org/officeDocument/2006/relationships" r:embed="rId1932"/>
        <a:stretch>
          <a:fillRect/>
        </a:stretch>
      </xdr:blipFill>
      <xdr:spPr>
        <a:xfrm>
          <a:off x="7264400" y="2523493175"/>
          <a:ext cx="878840" cy="1183640"/>
        </a:xfrm>
        <a:prstGeom prst="rect">
          <a:avLst/>
        </a:prstGeom>
      </xdr:spPr>
    </xdr:pic>
    <xdr:clientData/>
  </xdr:twoCellAnchor>
  <xdr:twoCellAnchor>
    <xdr:from>
      <xdr:col>8</xdr:col>
      <xdr:colOff>6350</xdr:colOff>
      <xdr:row>2533</xdr:row>
      <xdr:rowOff>25400</xdr:rowOff>
    </xdr:from>
    <xdr:to>
      <xdr:col>8</xdr:col>
      <xdr:colOff>885190</xdr:colOff>
      <xdr:row>2533</xdr:row>
      <xdr:rowOff>1209040</xdr:rowOff>
    </xdr:to>
    <xdr:pic>
      <xdr:nvPicPr>
        <xdr:cNvPr id="6204" name="Изображение 6203" descr="resizeПП-00254238"/>
        <xdr:cNvPicPr>
          <a:picLocks noChangeAspect="1"/>
        </xdr:cNvPicPr>
      </xdr:nvPicPr>
      <xdr:blipFill>
        <a:blip xmlns:r="http://schemas.openxmlformats.org/officeDocument/2006/relationships" r:embed="rId1933"/>
        <a:stretch>
          <a:fillRect/>
        </a:stretch>
      </xdr:blipFill>
      <xdr:spPr>
        <a:xfrm>
          <a:off x="7264400" y="2525020350"/>
          <a:ext cx="878840" cy="1183640"/>
        </a:xfrm>
        <a:prstGeom prst="rect">
          <a:avLst/>
        </a:prstGeom>
      </xdr:spPr>
    </xdr:pic>
    <xdr:clientData/>
  </xdr:twoCellAnchor>
  <xdr:twoCellAnchor>
    <xdr:from>
      <xdr:col>8</xdr:col>
      <xdr:colOff>6350</xdr:colOff>
      <xdr:row>2535</xdr:row>
      <xdr:rowOff>25400</xdr:rowOff>
    </xdr:from>
    <xdr:to>
      <xdr:col>8</xdr:col>
      <xdr:colOff>885190</xdr:colOff>
      <xdr:row>2535</xdr:row>
      <xdr:rowOff>1209040</xdr:rowOff>
    </xdr:to>
    <xdr:pic>
      <xdr:nvPicPr>
        <xdr:cNvPr id="6205" name="Изображение 6204" descr="resizeПП-00254232"/>
        <xdr:cNvPicPr>
          <a:picLocks noChangeAspect="1"/>
        </xdr:cNvPicPr>
      </xdr:nvPicPr>
      <xdr:blipFill>
        <a:blip xmlns:r="http://schemas.openxmlformats.org/officeDocument/2006/relationships" r:embed="rId1934"/>
        <a:stretch>
          <a:fillRect/>
        </a:stretch>
      </xdr:blipFill>
      <xdr:spPr>
        <a:xfrm>
          <a:off x="7264400" y="2526395125"/>
          <a:ext cx="878840" cy="1183640"/>
        </a:xfrm>
        <a:prstGeom prst="rect">
          <a:avLst/>
        </a:prstGeom>
      </xdr:spPr>
    </xdr:pic>
    <xdr:clientData/>
  </xdr:twoCellAnchor>
  <xdr:twoCellAnchor>
    <xdr:from>
      <xdr:col>8</xdr:col>
      <xdr:colOff>6350</xdr:colOff>
      <xdr:row>2537</xdr:row>
      <xdr:rowOff>25400</xdr:rowOff>
    </xdr:from>
    <xdr:to>
      <xdr:col>8</xdr:col>
      <xdr:colOff>885190</xdr:colOff>
      <xdr:row>2537</xdr:row>
      <xdr:rowOff>1209040</xdr:rowOff>
    </xdr:to>
    <xdr:pic>
      <xdr:nvPicPr>
        <xdr:cNvPr id="6206" name="Изображение 6205" descr="resizeПП-00236233"/>
        <xdr:cNvPicPr>
          <a:picLocks noChangeAspect="1"/>
        </xdr:cNvPicPr>
      </xdr:nvPicPr>
      <xdr:blipFill>
        <a:blip xmlns:r="http://schemas.openxmlformats.org/officeDocument/2006/relationships" r:embed="rId1935"/>
        <a:stretch>
          <a:fillRect/>
        </a:stretch>
      </xdr:blipFill>
      <xdr:spPr>
        <a:xfrm>
          <a:off x="7264400" y="2527769900"/>
          <a:ext cx="878840" cy="1183640"/>
        </a:xfrm>
        <a:prstGeom prst="rect">
          <a:avLst/>
        </a:prstGeom>
      </xdr:spPr>
    </xdr:pic>
    <xdr:clientData/>
  </xdr:twoCellAnchor>
  <xdr:twoCellAnchor>
    <xdr:from>
      <xdr:col>8</xdr:col>
      <xdr:colOff>6350</xdr:colOff>
      <xdr:row>2538</xdr:row>
      <xdr:rowOff>25400</xdr:rowOff>
    </xdr:from>
    <xdr:to>
      <xdr:col>8</xdr:col>
      <xdr:colOff>885190</xdr:colOff>
      <xdr:row>2538</xdr:row>
      <xdr:rowOff>1209040</xdr:rowOff>
    </xdr:to>
    <xdr:pic>
      <xdr:nvPicPr>
        <xdr:cNvPr id="6207" name="Изображение 6206" descr="resizeПП-00236232"/>
        <xdr:cNvPicPr>
          <a:picLocks noChangeAspect="1"/>
        </xdr:cNvPicPr>
      </xdr:nvPicPr>
      <xdr:blipFill>
        <a:blip xmlns:r="http://schemas.openxmlformats.org/officeDocument/2006/relationships" r:embed="rId1804"/>
        <a:stretch>
          <a:fillRect/>
        </a:stretch>
      </xdr:blipFill>
      <xdr:spPr>
        <a:xfrm>
          <a:off x="7264400" y="2528992275"/>
          <a:ext cx="878840" cy="1183640"/>
        </a:xfrm>
        <a:prstGeom prst="rect">
          <a:avLst/>
        </a:prstGeom>
      </xdr:spPr>
    </xdr:pic>
    <xdr:clientData/>
  </xdr:twoCellAnchor>
  <xdr:twoCellAnchor>
    <xdr:from>
      <xdr:col>8</xdr:col>
      <xdr:colOff>6350</xdr:colOff>
      <xdr:row>2539</xdr:row>
      <xdr:rowOff>25400</xdr:rowOff>
    </xdr:from>
    <xdr:to>
      <xdr:col>8</xdr:col>
      <xdr:colOff>885190</xdr:colOff>
      <xdr:row>2539</xdr:row>
      <xdr:rowOff>1209040</xdr:rowOff>
    </xdr:to>
    <xdr:pic>
      <xdr:nvPicPr>
        <xdr:cNvPr id="6208" name="Изображение 6207" descr="resizeПП-00236231"/>
        <xdr:cNvPicPr>
          <a:picLocks noChangeAspect="1"/>
        </xdr:cNvPicPr>
      </xdr:nvPicPr>
      <xdr:blipFill>
        <a:blip xmlns:r="http://schemas.openxmlformats.org/officeDocument/2006/relationships" r:embed="rId1803"/>
        <a:stretch>
          <a:fillRect/>
        </a:stretch>
      </xdr:blipFill>
      <xdr:spPr>
        <a:xfrm>
          <a:off x="7264400" y="2530214650"/>
          <a:ext cx="878840" cy="1183640"/>
        </a:xfrm>
        <a:prstGeom prst="rect">
          <a:avLst/>
        </a:prstGeom>
      </xdr:spPr>
    </xdr:pic>
    <xdr:clientData/>
  </xdr:twoCellAnchor>
  <xdr:twoCellAnchor>
    <xdr:from>
      <xdr:col>8</xdr:col>
      <xdr:colOff>6350</xdr:colOff>
      <xdr:row>2541</xdr:row>
      <xdr:rowOff>25400</xdr:rowOff>
    </xdr:from>
    <xdr:to>
      <xdr:col>8</xdr:col>
      <xdr:colOff>885190</xdr:colOff>
      <xdr:row>2541</xdr:row>
      <xdr:rowOff>1209040</xdr:rowOff>
    </xdr:to>
    <xdr:pic>
      <xdr:nvPicPr>
        <xdr:cNvPr id="6209" name="Изображение 6208" descr="resizeПП-00247532"/>
        <xdr:cNvPicPr>
          <a:picLocks noChangeAspect="1"/>
        </xdr:cNvPicPr>
      </xdr:nvPicPr>
      <xdr:blipFill>
        <a:blip xmlns:r="http://schemas.openxmlformats.org/officeDocument/2006/relationships" r:embed="rId1936"/>
        <a:stretch>
          <a:fillRect/>
        </a:stretch>
      </xdr:blipFill>
      <xdr:spPr>
        <a:xfrm>
          <a:off x="7264400" y="2531589425"/>
          <a:ext cx="878840" cy="1183640"/>
        </a:xfrm>
        <a:prstGeom prst="rect">
          <a:avLst/>
        </a:prstGeom>
      </xdr:spPr>
    </xdr:pic>
    <xdr:clientData/>
  </xdr:twoCellAnchor>
  <xdr:twoCellAnchor>
    <xdr:from>
      <xdr:col>8</xdr:col>
      <xdr:colOff>6350</xdr:colOff>
      <xdr:row>2542</xdr:row>
      <xdr:rowOff>25400</xdr:rowOff>
    </xdr:from>
    <xdr:to>
      <xdr:col>8</xdr:col>
      <xdr:colOff>885190</xdr:colOff>
      <xdr:row>2542</xdr:row>
      <xdr:rowOff>1209040</xdr:rowOff>
    </xdr:to>
    <xdr:pic>
      <xdr:nvPicPr>
        <xdr:cNvPr id="6210" name="Изображение 6209" descr="resizeПП-00247533"/>
        <xdr:cNvPicPr>
          <a:picLocks noChangeAspect="1"/>
        </xdr:cNvPicPr>
      </xdr:nvPicPr>
      <xdr:blipFill>
        <a:blip xmlns:r="http://schemas.openxmlformats.org/officeDocument/2006/relationships" r:embed="rId1937"/>
        <a:stretch>
          <a:fillRect/>
        </a:stretch>
      </xdr:blipFill>
      <xdr:spPr>
        <a:xfrm>
          <a:off x="7264400" y="2532811800"/>
          <a:ext cx="878840" cy="1183640"/>
        </a:xfrm>
        <a:prstGeom prst="rect">
          <a:avLst/>
        </a:prstGeom>
      </xdr:spPr>
    </xdr:pic>
    <xdr:clientData/>
  </xdr:twoCellAnchor>
  <xdr:twoCellAnchor>
    <xdr:from>
      <xdr:col>8</xdr:col>
      <xdr:colOff>6350</xdr:colOff>
      <xdr:row>2546</xdr:row>
      <xdr:rowOff>25400</xdr:rowOff>
    </xdr:from>
    <xdr:to>
      <xdr:col>8</xdr:col>
      <xdr:colOff>885190</xdr:colOff>
      <xdr:row>2546</xdr:row>
      <xdr:rowOff>1209040</xdr:rowOff>
    </xdr:to>
    <xdr:pic>
      <xdr:nvPicPr>
        <xdr:cNvPr id="6211" name="Изображение 6210" descr="resizeПП-00248702"/>
        <xdr:cNvPicPr>
          <a:picLocks noChangeAspect="1"/>
        </xdr:cNvPicPr>
      </xdr:nvPicPr>
      <xdr:blipFill>
        <a:blip xmlns:r="http://schemas.openxmlformats.org/officeDocument/2006/relationships" r:embed="rId1938"/>
        <a:stretch>
          <a:fillRect/>
        </a:stretch>
      </xdr:blipFill>
      <xdr:spPr>
        <a:xfrm>
          <a:off x="7264400" y="2534491375"/>
          <a:ext cx="878840" cy="1183640"/>
        </a:xfrm>
        <a:prstGeom prst="rect">
          <a:avLst/>
        </a:prstGeom>
      </xdr:spPr>
    </xdr:pic>
    <xdr:clientData/>
  </xdr:twoCellAnchor>
  <xdr:twoCellAnchor>
    <xdr:from>
      <xdr:col>8</xdr:col>
      <xdr:colOff>6350</xdr:colOff>
      <xdr:row>2547</xdr:row>
      <xdr:rowOff>25400</xdr:rowOff>
    </xdr:from>
    <xdr:to>
      <xdr:col>8</xdr:col>
      <xdr:colOff>885190</xdr:colOff>
      <xdr:row>2547</xdr:row>
      <xdr:rowOff>1209040</xdr:rowOff>
    </xdr:to>
    <xdr:pic>
      <xdr:nvPicPr>
        <xdr:cNvPr id="6212" name="Изображение 6211" descr="resizeПП-00271409"/>
        <xdr:cNvPicPr>
          <a:picLocks noChangeAspect="1"/>
        </xdr:cNvPicPr>
      </xdr:nvPicPr>
      <xdr:blipFill>
        <a:blip xmlns:r="http://schemas.openxmlformats.org/officeDocument/2006/relationships" r:embed="rId1939"/>
        <a:stretch>
          <a:fillRect/>
        </a:stretch>
      </xdr:blipFill>
      <xdr:spPr>
        <a:xfrm>
          <a:off x="7264400" y="2535713750"/>
          <a:ext cx="878840" cy="1183640"/>
        </a:xfrm>
        <a:prstGeom prst="rect">
          <a:avLst/>
        </a:prstGeom>
      </xdr:spPr>
    </xdr:pic>
    <xdr:clientData/>
  </xdr:twoCellAnchor>
  <xdr:twoCellAnchor>
    <xdr:from>
      <xdr:col>8</xdr:col>
      <xdr:colOff>6350</xdr:colOff>
      <xdr:row>2548</xdr:row>
      <xdr:rowOff>25400</xdr:rowOff>
    </xdr:from>
    <xdr:to>
      <xdr:col>8</xdr:col>
      <xdr:colOff>885190</xdr:colOff>
      <xdr:row>2548</xdr:row>
      <xdr:rowOff>1209040</xdr:rowOff>
    </xdr:to>
    <xdr:pic>
      <xdr:nvPicPr>
        <xdr:cNvPr id="6213" name="Изображение 6212" descr="resizeПП-00269344"/>
        <xdr:cNvPicPr>
          <a:picLocks noChangeAspect="1"/>
        </xdr:cNvPicPr>
      </xdr:nvPicPr>
      <xdr:blipFill>
        <a:blip xmlns:r="http://schemas.openxmlformats.org/officeDocument/2006/relationships" r:embed="rId1940"/>
        <a:stretch>
          <a:fillRect/>
        </a:stretch>
      </xdr:blipFill>
      <xdr:spPr>
        <a:xfrm>
          <a:off x="7264400" y="2536936125"/>
          <a:ext cx="878840" cy="1183640"/>
        </a:xfrm>
        <a:prstGeom prst="rect">
          <a:avLst/>
        </a:prstGeom>
      </xdr:spPr>
    </xdr:pic>
    <xdr:clientData/>
  </xdr:twoCellAnchor>
  <xdr:twoCellAnchor>
    <xdr:from>
      <xdr:col>8</xdr:col>
      <xdr:colOff>6350</xdr:colOff>
      <xdr:row>2549</xdr:row>
      <xdr:rowOff>25400</xdr:rowOff>
    </xdr:from>
    <xdr:to>
      <xdr:col>8</xdr:col>
      <xdr:colOff>885190</xdr:colOff>
      <xdr:row>2549</xdr:row>
      <xdr:rowOff>1209040</xdr:rowOff>
    </xdr:to>
    <xdr:pic>
      <xdr:nvPicPr>
        <xdr:cNvPr id="6214" name="Изображение 6213" descr="resizeПП-00258801"/>
        <xdr:cNvPicPr>
          <a:picLocks noChangeAspect="1"/>
        </xdr:cNvPicPr>
      </xdr:nvPicPr>
      <xdr:blipFill>
        <a:blip xmlns:r="http://schemas.openxmlformats.org/officeDocument/2006/relationships" r:embed="rId1941"/>
        <a:stretch>
          <a:fillRect/>
        </a:stretch>
      </xdr:blipFill>
      <xdr:spPr>
        <a:xfrm>
          <a:off x="7264400" y="2538158500"/>
          <a:ext cx="878840" cy="1183640"/>
        </a:xfrm>
        <a:prstGeom prst="rect">
          <a:avLst/>
        </a:prstGeom>
      </xdr:spPr>
    </xdr:pic>
    <xdr:clientData/>
  </xdr:twoCellAnchor>
  <xdr:twoCellAnchor>
    <xdr:from>
      <xdr:col>8</xdr:col>
      <xdr:colOff>6350</xdr:colOff>
      <xdr:row>2550</xdr:row>
      <xdr:rowOff>25400</xdr:rowOff>
    </xdr:from>
    <xdr:to>
      <xdr:col>8</xdr:col>
      <xdr:colOff>885190</xdr:colOff>
      <xdr:row>2550</xdr:row>
      <xdr:rowOff>1209040</xdr:rowOff>
    </xdr:to>
    <xdr:pic>
      <xdr:nvPicPr>
        <xdr:cNvPr id="6215" name="Изображение 6214" descr="resizeПП-00247537"/>
        <xdr:cNvPicPr>
          <a:picLocks noChangeAspect="1"/>
        </xdr:cNvPicPr>
      </xdr:nvPicPr>
      <xdr:blipFill>
        <a:blip xmlns:r="http://schemas.openxmlformats.org/officeDocument/2006/relationships" r:embed="rId1920"/>
        <a:stretch>
          <a:fillRect/>
        </a:stretch>
      </xdr:blipFill>
      <xdr:spPr>
        <a:xfrm>
          <a:off x="7264400" y="2539380875"/>
          <a:ext cx="878840" cy="1183640"/>
        </a:xfrm>
        <a:prstGeom prst="rect">
          <a:avLst/>
        </a:prstGeom>
      </xdr:spPr>
    </xdr:pic>
    <xdr:clientData/>
  </xdr:twoCellAnchor>
  <xdr:twoCellAnchor>
    <xdr:from>
      <xdr:col>8</xdr:col>
      <xdr:colOff>6350</xdr:colOff>
      <xdr:row>2551</xdr:row>
      <xdr:rowOff>25400</xdr:rowOff>
    </xdr:from>
    <xdr:to>
      <xdr:col>8</xdr:col>
      <xdr:colOff>885190</xdr:colOff>
      <xdr:row>2551</xdr:row>
      <xdr:rowOff>1209040</xdr:rowOff>
    </xdr:to>
    <xdr:pic>
      <xdr:nvPicPr>
        <xdr:cNvPr id="6216" name="Изображение 6215" descr="resizeПП-00258799"/>
        <xdr:cNvPicPr>
          <a:picLocks noChangeAspect="1"/>
        </xdr:cNvPicPr>
      </xdr:nvPicPr>
      <xdr:blipFill>
        <a:blip xmlns:r="http://schemas.openxmlformats.org/officeDocument/2006/relationships" r:embed="rId1942"/>
        <a:stretch>
          <a:fillRect/>
        </a:stretch>
      </xdr:blipFill>
      <xdr:spPr>
        <a:xfrm>
          <a:off x="7264400" y="2540603250"/>
          <a:ext cx="878840" cy="1183640"/>
        </a:xfrm>
        <a:prstGeom prst="rect">
          <a:avLst/>
        </a:prstGeom>
      </xdr:spPr>
    </xdr:pic>
    <xdr:clientData/>
  </xdr:twoCellAnchor>
  <xdr:twoCellAnchor>
    <xdr:from>
      <xdr:col>8</xdr:col>
      <xdr:colOff>6350</xdr:colOff>
      <xdr:row>2552</xdr:row>
      <xdr:rowOff>25400</xdr:rowOff>
    </xdr:from>
    <xdr:to>
      <xdr:col>8</xdr:col>
      <xdr:colOff>885190</xdr:colOff>
      <xdr:row>2552</xdr:row>
      <xdr:rowOff>1209040</xdr:rowOff>
    </xdr:to>
    <xdr:pic>
      <xdr:nvPicPr>
        <xdr:cNvPr id="6217" name="Изображение 6216" descr="resizeПП-00258802"/>
        <xdr:cNvPicPr>
          <a:picLocks noChangeAspect="1"/>
        </xdr:cNvPicPr>
      </xdr:nvPicPr>
      <xdr:blipFill>
        <a:blip xmlns:r="http://schemas.openxmlformats.org/officeDocument/2006/relationships" r:embed="rId1943"/>
        <a:stretch>
          <a:fillRect/>
        </a:stretch>
      </xdr:blipFill>
      <xdr:spPr>
        <a:xfrm>
          <a:off x="7264400" y="2541825625"/>
          <a:ext cx="878840" cy="1183640"/>
        </a:xfrm>
        <a:prstGeom prst="rect">
          <a:avLst/>
        </a:prstGeom>
      </xdr:spPr>
    </xdr:pic>
    <xdr:clientData/>
  </xdr:twoCellAnchor>
  <xdr:twoCellAnchor>
    <xdr:from>
      <xdr:col>8</xdr:col>
      <xdr:colOff>6350</xdr:colOff>
      <xdr:row>2553</xdr:row>
      <xdr:rowOff>25400</xdr:rowOff>
    </xdr:from>
    <xdr:to>
      <xdr:col>8</xdr:col>
      <xdr:colOff>885190</xdr:colOff>
      <xdr:row>2553</xdr:row>
      <xdr:rowOff>1209040</xdr:rowOff>
    </xdr:to>
    <xdr:pic>
      <xdr:nvPicPr>
        <xdr:cNvPr id="6218" name="Изображение 6217" descr="resizeПП-00258803"/>
        <xdr:cNvPicPr>
          <a:picLocks noChangeAspect="1"/>
        </xdr:cNvPicPr>
      </xdr:nvPicPr>
      <xdr:blipFill>
        <a:blip xmlns:r="http://schemas.openxmlformats.org/officeDocument/2006/relationships" r:embed="rId1944"/>
        <a:stretch>
          <a:fillRect/>
        </a:stretch>
      </xdr:blipFill>
      <xdr:spPr>
        <a:xfrm>
          <a:off x="7264400" y="2543048000"/>
          <a:ext cx="878840" cy="1183640"/>
        </a:xfrm>
        <a:prstGeom prst="rect">
          <a:avLst/>
        </a:prstGeom>
      </xdr:spPr>
    </xdr:pic>
    <xdr:clientData/>
  </xdr:twoCellAnchor>
  <xdr:twoCellAnchor>
    <xdr:from>
      <xdr:col>8</xdr:col>
      <xdr:colOff>6350</xdr:colOff>
      <xdr:row>2554</xdr:row>
      <xdr:rowOff>25400</xdr:rowOff>
    </xdr:from>
    <xdr:to>
      <xdr:col>8</xdr:col>
      <xdr:colOff>885190</xdr:colOff>
      <xdr:row>2554</xdr:row>
      <xdr:rowOff>1209040</xdr:rowOff>
    </xdr:to>
    <xdr:pic>
      <xdr:nvPicPr>
        <xdr:cNvPr id="6219" name="Изображение 6218" descr="resizeПП-00258805"/>
        <xdr:cNvPicPr>
          <a:picLocks noChangeAspect="1"/>
        </xdr:cNvPicPr>
      </xdr:nvPicPr>
      <xdr:blipFill>
        <a:blip xmlns:r="http://schemas.openxmlformats.org/officeDocument/2006/relationships" r:embed="rId1850"/>
        <a:stretch>
          <a:fillRect/>
        </a:stretch>
      </xdr:blipFill>
      <xdr:spPr>
        <a:xfrm>
          <a:off x="7264400" y="2544270375"/>
          <a:ext cx="878840" cy="1183640"/>
        </a:xfrm>
        <a:prstGeom prst="rect">
          <a:avLst/>
        </a:prstGeom>
      </xdr:spPr>
    </xdr:pic>
    <xdr:clientData/>
  </xdr:twoCellAnchor>
  <xdr:twoCellAnchor>
    <xdr:from>
      <xdr:col>8</xdr:col>
      <xdr:colOff>6350</xdr:colOff>
      <xdr:row>2555</xdr:row>
      <xdr:rowOff>25400</xdr:rowOff>
    </xdr:from>
    <xdr:to>
      <xdr:col>8</xdr:col>
      <xdr:colOff>885190</xdr:colOff>
      <xdr:row>2555</xdr:row>
      <xdr:rowOff>1209040</xdr:rowOff>
    </xdr:to>
    <xdr:pic>
      <xdr:nvPicPr>
        <xdr:cNvPr id="6220" name="Изображение 6219" descr="resizeПП-00258800"/>
        <xdr:cNvPicPr>
          <a:picLocks noChangeAspect="1"/>
        </xdr:cNvPicPr>
      </xdr:nvPicPr>
      <xdr:blipFill>
        <a:blip xmlns:r="http://schemas.openxmlformats.org/officeDocument/2006/relationships" r:embed="rId1945"/>
        <a:stretch>
          <a:fillRect/>
        </a:stretch>
      </xdr:blipFill>
      <xdr:spPr>
        <a:xfrm>
          <a:off x="7264400" y="2545492750"/>
          <a:ext cx="878840" cy="1183640"/>
        </a:xfrm>
        <a:prstGeom prst="rect">
          <a:avLst/>
        </a:prstGeom>
      </xdr:spPr>
    </xdr:pic>
    <xdr:clientData/>
  </xdr:twoCellAnchor>
  <xdr:twoCellAnchor>
    <xdr:from>
      <xdr:col>8</xdr:col>
      <xdr:colOff>6350</xdr:colOff>
      <xdr:row>2556</xdr:row>
      <xdr:rowOff>25400</xdr:rowOff>
    </xdr:from>
    <xdr:to>
      <xdr:col>8</xdr:col>
      <xdr:colOff>885190</xdr:colOff>
      <xdr:row>2556</xdr:row>
      <xdr:rowOff>1209040</xdr:rowOff>
    </xdr:to>
    <xdr:pic>
      <xdr:nvPicPr>
        <xdr:cNvPr id="6221" name="Изображение 6220" descr="resizeПП-00258806"/>
        <xdr:cNvPicPr>
          <a:picLocks noChangeAspect="1"/>
        </xdr:cNvPicPr>
      </xdr:nvPicPr>
      <xdr:blipFill>
        <a:blip xmlns:r="http://schemas.openxmlformats.org/officeDocument/2006/relationships" r:embed="rId1852"/>
        <a:stretch>
          <a:fillRect/>
        </a:stretch>
      </xdr:blipFill>
      <xdr:spPr>
        <a:xfrm>
          <a:off x="7264400" y="2546715125"/>
          <a:ext cx="878840" cy="1183640"/>
        </a:xfrm>
        <a:prstGeom prst="rect">
          <a:avLst/>
        </a:prstGeom>
      </xdr:spPr>
    </xdr:pic>
    <xdr:clientData/>
  </xdr:twoCellAnchor>
  <xdr:twoCellAnchor>
    <xdr:from>
      <xdr:col>8</xdr:col>
      <xdr:colOff>6350</xdr:colOff>
      <xdr:row>2557</xdr:row>
      <xdr:rowOff>25400</xdr:rowOff>
    </xdr:from>
    <xdr:to>
      <xdr:col>8</xdr:col>
      <xdr:colOff>885190</xdr:colOff>
      <xdr:row>2557</xdr:row>
      <xdr:rowOff>1209040</xdr:rowOff>
    </xdr:to>
    <xdr:pic>
      <xdr:nvPicPr>
        <xdr:cNvPr id="6222" name="Изображение 6221" descr="resizeПП-00258804"/>
        <xdr:cNvPicPr>
          <a:picLocks noChangeAspect="1"/>
        </xdr:cNvPicPr>
      </xdr:nvPicPr>
      <xdr:blipFill>
        <a:blip xmlns:r="http://schemas.openxmlformats.org/officeDocument/2006/relationships" r:embed="rId1946"/>
        <a:stretch>
          <a:fillRect/>
        </a:stretch>
      </xdr:blipFill>
      <xdr:spPr>
        <a:xfrm>
          <a:off x="7264400" y="2547937500"/>
          <a:ext cx="878840" cy="1183640"/>
        </a:xfrm>
        <a:prstGeom prst="rect">
          <a:avLst/>
        </a:prstGeom>
      </xdr:spPr>
    </xdr:pic>
    <xdr:clientData/>
  </xdr:twoCellAnchor>
  <xdr:twoCellAnchor>
    <xdr:from>
      <xdr:col>8</xdr:col>
      <xdr:colOff>6350</xdr:colOff>
      <xdr:row>2558</xdr:row>
      <xdr:rowOff>25400</xdr:rowOff>
    </xdr:from>
    <xdr:to>
      <xdr:col>8</xdr:col>
      <xdr:colOff>885190</xdr:colOff>
      <xdr:row>2558</xdr:row>
      <xdr:rowOff>1209040</xdr:rowOff>
    </xdr:to>
    <xdr:pic>
      <xdr:nvPicPr>
        <xdr:cNvPr id="6223" name="Изображение 6222" descr="resizeПП-00247536"/>
        <xdr:cNvPicPr>
          <a:picLocks noChangeAspect="1"/>
        </xdr:cNvPicPr>
      </xdr:nvPicPr>
      <xdr:blipFill>
        <a:blip xmlns:r="http://schemas.openxmlformats.org/officeDocument/2006/relationships" r:embed="rId1922"/>
        <a:stretch>
          <a:fillRect/>
        </a:stretch>
      </xdr:blipFill>
      <xdr:spPr>
        <a:xfrm>
          <a:off x="7264400" y="2549159875"/>
          <a:ext cx="878840" cy="1183640"/>
        </a:xfrm>
        <a:prstGeom prst="rect">
          <a:avLst/>
        </a:prstGeom>
      </xdr:spPr>
    </xdr:pic>
    <xdr:clientData/>
  </xdr:twoCellAnchor>
  <xdr:twoCellAnchor>
    <xdr:from>
      <xdr:col>8</xdr:col>
      <xdr:colOff>6350</xdr:colOff>
      <xdr:row>2559</xdr:row>
      <xdr:rowOff>25400</xdr:rowOff>
    </xdr:from>
    <xdr:to>
      <xdr:col>8</xdr:col>
      <xdr:colOff>885190</xdr:colOff>
      <xdr:row>2559</xdr:row>
      <xdr:rowOff>1209040</xdr:rowOff>
    </xdr:to>
    <xdr:pic>
      <xdr:nvPicPr>
        <xdr:cNvPr id="6224" name="Изображение 6223" descr="resizeПП-00269458"/>
        <xdr:cNvPicPr>
          <a:picLocks noChangeAspect="1"/>
        </xdr:cNvPicPr>
      </xdr:nvPicPr>
      <xdr:blipFill>
        <a:blip xmlns:r="http://schemas.openxmlformats.org/officeDocument/2006/relationships" r:embed="rId1946"/>
        <a:stretch>
          <a:fillRect/>
        </a:stretch>
      </xdr:blipFill>
      <xdr:spPr>
        <a:xfrm>
          <a:off x="7264400" y="2550382250"/>
          <a:ext cx="878840" cy="1183640"/>
        </a:xfrm>
        <a:prstGeom prst="rect">
          <a:avLst/>
        </a:prstGeom>
      </xdr:spPr>
    </xdr:pic>
    <xdr:clientData/>
  </xdr:twoCellAnchor>
  <xdr:twoCellAnchor>
    <xdr:from>
      <xdr:col>8</xdr:col>
      <xdr:colOff>6350</xdr:colOff>
      <xdr:row>2560</xdr:row>
      <xdr:rowOff>25400</xdr:rowOff>
    </xdr:from>
    <xdr:to>
      <xdr:col>8</xdr:col>
      <xdr:colOff>885190</xdr:colOff>
      <xdr:row>2560</xdr:row>
      <xdr:rowOff>1209040</xdr:rowOff>
    </xdr:to>
    <xdr:pic>
      <xdr:nvPicPr>
        <xdr:cNvPr id="6225" name="Изображение 6224" descr="resizeПП-00258798"/>
        <xdr:cNvPicPr>
          <a:picLocks noChangeAspect="1"/>
        </xdr:cNvPicPr>
      </xdr:nvPicPr>
      <xdr:blipFill>
        <a:blip xmlns:r="http://schemas.openxmlformats.org/officeDocument/2006/relationships" r:embed="rId1845"/>
        <a:stretch>
          <a:fillRect/>
        </a:stretch>
      </xdr:blipFill>
      <xdr:spPr>
        <a:xfrm>
          <a:off x="7264400" y="2551604625"/>
          <a:ext cx="878840" cy="1183640"/>
        </a:xfrm>
        <a:prstGeom prst="rect">
          <a:avLst/>
        </a:prstGeom>
      </xdr:spPr>
    </xdr:pic>
    <xdr:clientData/>
  </xdr:twoCellAnchor>
  <xdr:twoCellAnchor>
    <xdr:from>
      <xdr:col>8</xdr:col>
      <xdr:colOff>6350</xdr:colOff>
      <xdr:row>2561</xdr:row>
      <xdr:rowOff>25400</xdr:rowOff>
    </xdr:from>
    <xdr:to>
      <xdr:col>8</xdr:col>
      <xdr:colOff>885190</xdr:colOff>
      <xdr:row>2561</xdr:row>
      <xdr:rowOff>1209040</xdr:rowOff>
    </xdr:to>
    <xdr:pic>
      <xdr:nvPicPr>
        <xdr:cNvPr id="6226" name="Изображение 6225" descr="resizeПП-00269456"/>
        <xdr:cNvPicPr>
          <a:picLocks noChangeAspect="1"/>
        </xdr:cNvPicPr>
      </xdr:nvPicPr>
      <xdr:blipFill>
        <a:blip xmlns:r="http://schemas.openxmlformats.org/officeDocument/2006/relationships" r:embed="rId1943"/>
        <a:stretch>
          <a:fillRect/>
        </a:stretch>
      </xdr:blipFill>
      <xdr:spPr>
        <a:xfrm>
          <a:off x="7264400" y="2552827000"/>
          <a:ext cx="878840" cy="1183640"/>
        </a:xfrm>
        <a:prstGeom prst="rect">
          <a:avLst/>
        </a:prstGeom>
      </xdr:spPr>
    </xdr:pic>
    <xdr:clientData/>
  </xdr:twoCellAnchor>
  <xdr:twoCellAnchor>
    <xdr:from>
      <xdr:col>8</xdr:col>
      <xdr:colOff>6350</xdr:colOff>
      <xdr:row>2562</xdr:row>
      <xdr:rowOff>25400</xdr:rowOff>
    </xdr:from>
    <xdr:to>
      <xdr:col>8</xdr:col>
      <xdr:colOff>885190</xdr:colOff>
      <xdr:row>2562</xdr:row>
      <xdr:rowOff>1209040</xdr:rowOff>
    </xdr:to>
    <xdr:pic>
      <xdr:nvPicPr>
        <xdr:cNvPr id="6227" name="Изображение 6226" descr="resizeПП-00271407"/>
        <xdr:cNvPicPr>
          <a:picLocks noChangeAspect="1"/>
        </xdr:cNvPicPr>
      </xdr:nvPicPr>
      <xdr:blipFill>
        <a:blip xmlns:r="http://schemas.openxmlformats.org/officeDocument/2006/relationships" r:embed="rId1947"/>
        <a:stretch>
          <a:fillRect/>
        </a:stretch>
      </xdr:blipFill>
      <xdr:spPr>
        <a:xfrm>
          <a:off x="7264400" y="2554049375"/>
          <a:ext cx="878840" cy="1183640"/>
        </a:xfrm>
        <a:prstGeom prst="rect">
          <a:avLst/>
        </a:prstGeom>
      </xdr:spPr>
    </xdr:pic>
    <xdr:clientData/>
  </xdr:twoCellAnchor>
  <xdr:twoCellAnchor>
    <xdr:from>
      <xdr:col>8</xdr:col>
      <xdr:colOff>6350</xdr:colOff>
      <xdr:row>2563</xdr:row>
      <xdr:rowOff>25400</xdr:rowOff>
    </xdr:from>
    <xdr:to>
      <xdr:col>8</xdr:col>
      <xdr:colOff>885190</xdr:colOff>
      <xdr:row>2563</xdr:row>
      <xdr:rowOff>1209040</xdr:rowOff>
    </xdr:to>
    <xdr:pic>
      <xdr:nvPicPr>
        <xdr:cNvPr id="6228" name="Изображение 6227" descr="resizeПП-00271405"/>
        <xdr:cNvPicPr>
          <a:picLocks noChangeAspect="1"/>
        </xdr:cNvPicPr>
      </xdr:nvPicPr>
      <xdr:blipFill>
        <a:blip xmlns:r="http://schemas.openxmlformats.org/officeDocument/2006/relationships" r:embed="rId1948"/>
        <a:stretch>
          <a:fillRect/>
        </a:stretch>
      </xdr:blipFill>
      <xdr:spPr>
        <a:xfrm>
          <a:off x="7264400" y="2555271750"/>
          <a:ext cx="878840" cy="1183640"/>
        </a:xfrm>
        <a:prstGeom prst="rect">
          <a:avLst/>
        </a:prstGeom>
      </xdr:spPr>
    </xdr:pic>
    <xdr:clientData/>
  </xdr:twoCellAnchor>
  <xdr:twoCellAnchor>
    <xdr:from>
      <xdr:col>8</xdr:col>
      <xdr:colOff>6350</xdr:colOff>
      <xdr:row>2564</xdr:row>
      <xdr:rowOff>25400</xdr:rowOff>
    </xdr:from>
    <xdr:to>
      <xdr:col>8</xdr:col>
      <xdr:colOff>885190</xdr:colOff>
      <xdr:row>2564</xdr:row>
      <xdr:rowOff>1209040</xdr:rowOff>
    </xdr:to>
    <xdr:pic>
      <xdr:nvPicPr>
        <xdr:cNvPr id="6229" name="Изображение 6228" descr="resizeПП-00271411"/>
        <xdr:cNvPicPr>
          <a:picLocks noChangeAspect="1"/>
        </xdr:cNvPicPr>
      </xdr:nvPicPr>
      <xdr:blipFill>
        <a:blip xmlns:r="http://schemas.openxmlformats.org/officeDocument/2006/relationships" r:embed="rId1949"/>
        <a:stretch>
          <a:fillRect/>
        </a:stretch>
      </xdr:blipFill>
      <xdr:spPr>
        <a:xfrm>
          <a:off x="7264400" y="2556494125"/>
          <a:ext cx="878840" cy="1183640"/>
        </a:xfrm>
        <a:prstGeom prst="rect">
          <a:avLst/>
        </a:prstGeom>
      </xdr:spPr>
    </xdr:pic>
    <xdr:clientData/>
  </xdr:twoCellAnchor>
  <xdr:twoCellAnchor>
    <xdr:from>
      <xdr:col>8</xdr:col>
      <xdr:colOff>6350</xdr:colOff>
      <xdr:row>2565</xdr:row>
      <xdr:rowOff>25400</xdr:rowOff>
    </xdr:from>
    <xdr:to>
      <xdr:col>8</xdr:col>
      <xdr:colOff>885190</xdr:colOff>
      <xdr:row>2565</xdr:row>
      <xdr:rowOff>1209040</xdr:rowOff>
    </xdr:to>
    <xdr:pic>
      <xdr:nvPicPr>
        <xdr:cNvPr id="6230" name="Изображение 6229" descr="resizeПП-00247539"/>
        <xdr:cNvPicPr>
          <a:picLocks noChangeAspect="1"/>
        </xdr:cNvPicPr>
      </xdr:nvPicPr>
      <xdr:blipFill>
        <a:blip xmlns:r="http://schemas.openxmlformats.org/officeDocument/2006/relationships" r:embed="rId1919"/>
        <a:stretch>
          <a:fillRect/>
        </a:stretch>
      </xdr:blipFill>
      <xdr:spPr>
        <a:xfrm>
          <a:off x="7264400" y="2557716500"/>
          <a:ext cx="878840" cy="1183640"/>
        </a:xfrm>
        <a:prstGeom prst="rect">
          <a:avLst/>
        </a:prstGeom>
      </xdr:spPr>
    </xdr:pic>
    <xdr:clientData/>
  </xdr:twoCellAnchor>
  <xdr:twoCellAnchor>
    <xdr:from>
      <xdr:col>8</xdr:col>
      <xdr:colOff>6350</xdr:colOff>
      <xdr:row>2567</xdr:row>
      <xdr:rowOff>25400</xdr:rowOff>
    </xdr:from>
    <xdr:to>
      <xdr:col>8</xdr:col>
      <xdr:colOff>885190</xdr:colOff>
      <xdr:row>2567</xdr:row>
      <xdr:rowOff>1209040</xdr:rowOff>
    </xdr:to>
    <xdr:pic>
      <xdr:nvPicPr>
        <xdr:cNvPr id="6231" name="Изображение 6230" descr="resizeПП-00269380"/>
        <xdr:cNvPicPr>
          <a:picLocks noChangeAspect="1"/>
        </xdr:cNvPicPr>
      </xdr:nvPicPr>
      <xdr:blipFill>
        <a:blip xmlns:r="http://schemas.openxmlformats.org/officeDocument/2006/relationships" r:embed="rId1950"/>
        <a:stretch>
          <a:fillRect/>
        </a:stretch>
      </xdr:blipFill>
      <xdr:spPr>
        <a:xfrm>
          <a:off x="7264400" y="2559091275"/>
          <a:ext cx="878840" cy="1183640"/>
        </a:xfrm>
        <a:prstGeom prst="rect">
          <a:avLst/>
        </a:prstGeom>
      </xdr:spPr>
    </xdr:pic>
    <xdr:clientData/>
  </xdr:twoCellAnchor>
  <xdr:twoCellAnchor>
    <xdr:from>
      <xdr:col>8</xdr:col>
      <xdr:colOff>6350</xdr:colOff>
      <xdr:row>2568</xdr:row>
      <xdr:rowOff>25400</xdr:rowOff>
    </xdr:from>
    <xdr:to>
      <xdr:col>8</xdr:col>
      <xdr:colOff>885190</xdr:colOff>
      <xdr:row>2568</xdr:row>
      <xdr:rowOff>1209040</xdr:rowOff>
    </xdr:to>
    <xdr:pic>
      <xdr:nvPicPr>
        <xdr:cNvPr id="6232" name="Изображение 6231" descr="resizeПП-00269383"/>
        <xdr:cNvPicPr>
          <a:picLocks noChangeAspect="1"/>
        </xdr:cNvPicPr>
      </xdr:nvPicPr>
      <xdr:blipFill>
        <a:blip xmlns:r="http://schemas.openxmlformats.org/officeDocument/2006/relationships" r:embed="rId1951"/>
        <a:stretch>
          <a:fillRect/>
        </a:stretch>
      </xdr:blipFill>
      <xdr:spPr>
        <a:xfrm>
          <a:off x="7264400" y="2560313650"/>
          <a:ext cx="878840" cy="1183640"/>
        </a:xfrm>
        <a:prstGeom prst="rect">
          <a:avLst/>
        </a:prstGeom>
      </xdr:spPr>
    </xdr:pic>
    <xdr:clientData/>
  </xdr:twoCellAnchor>
  <xdr:twoCellAnchor>
    <xdr:from>
      <xdr:col>8</xdr:col>
      <xdr:colOff>6350</xdr:colOff>
      <xdr:row>2569</xdr:row>
      <xdr:rowOff>25400</xdr:rowOff>
    </xdr:from>
    <xdr:to>
      <xdr:col>8</xdr:col>
      <xdr:colOff>885190</xdr:colOff>
      <xdr:row>2569</xdr:row>
      <xdr:rowOff>1209040</xdr:rowOff>
    </xdr:to>
    <xdr:pic>
      <xdr:nvPicPr>
        <xdr:cNvPr id="6233" name="Изображение 6232" descr="resizeПП-00248703"/>
        <xdr:cNvPicPr>
          <a:picLocks noChangeAspect="1"/>
        </xdr:cNvPicPr>
      </xdr:nvPicPr>
      <xdr:blipFill>
        <a:blip xmlns:r="http://schemas.openxmlformats.org/officeDocument/2006/relationships" r:embed="rId1952"/>
        <a:stretch>
          <a:fillRect/>
        </a:stretch>
      </xdr:blipFill>
      <xdr:spPr>
        <a:xfrm>
          <a:off x="7264400" y="2561536025"/>
          <a:ext cx="878840" cy="1183640"/>
        </a:xfrm>
        <a:prstGeom prst="rect">
          <a:avLst/>
        </a:prstGeom>
      </xdr:spPr>
    </xdr:pic>
    <xdr:clientData/>
  </xdr:twoCellAnchor>
  <xdr:twoCellAnchor>
    <xdr:from>
      <xdr:col>8</xdr:col>
      <xdr:colOff>6350</xdr:colOff>
      <xdr:row>2570</xdr:row>
      <xdr:rowOff>25400</xdr:rowOff>
    </xdr:from>
    <xdr:to>
      <xdr:col>8</xdr:col>
      <xdr:colOff>885190</xdr:colOff>
      <xdr:row>2570</xdr:row>
      <xdr:rowOff>1209040</xdr:rowOff>
    </xdr:to>
    <xdr:pic>
      <xdr:nvPicPr>
        <xdr:cNvPr id="6234" name="Изображение 6233" descr="resizeПП-00269379"/>
        <xdr:cNvPicPr>
          <a:picLocks noChangeAspect="1"/>
        </xdr:cNvPicPr>
      </xdr:nvPicPr>
      <xdr:blipFill>
        <a:blip xmlns:r="http://schemas.openxmlformats.org/officeDocument/2006/relationships" r:embed="rId1898"/>
        <a:stretch>
          <a:fillRect/>
        </a:stretch>
      </xdr:blipFill>
      <xdr:spPr>
        <a:xfrm>
          <a:off x="7264400" y="2562758400"/>
          <a:ext cx="878840" cy="1183640"/>
        </a:xfrm>
        <a:prstGeom prst="rect">
          <a:avLst/>
        </a:prstGeom>
      </xdr:spPr>
    </xdr:pic>
    <xdr:clientData/>
  </xdr:twoCellAnchor>
  <xdr:twoCellAnchor>
    <xdr:from>
      <xdr:col>8</xdr:col>
      <xdr:colOff>6350</xdr:colOff>
      <xdr:row>2571</xdr:row>
      <xdr:rowOff>25400</xdr:rowOff>
    </xdr:from>
    <xdr:to>
      <xdr:col>8</xdr:col>
      <xdr:colOff>885190</xdr:colOff>
      <xdr:row>2571</xdr:row>
      <xdr:rowOff>1209040</xdr:rowOff>
    </xdr:to>
    <xdr:pic>
      <xdr:nvPicPr>
        <xdr:cNvPr id="6235" name="Изображение 6234" descr="resizeПП-00231933"/>
        <xdr:cNvPicPr>
          <a:picLocks noChangeAspect="1"/>
        </xdr:cNvPicPr>
      </xdr:nvPicPr>
      <xdr:blipFill>
        <a:blip xmlns:r="http://schemas.openxmlformats.org/officeDocument/2006/relationships" r:embed="rId1953"/>
        <a:stretch>
          <a:fillRect/>
        </a:stretch>
      </xdr:blipFill>
      <xdr:spPr>
        <a:xfrm>
          <a:off x="7264400" y="2563980775"/>
          <a:ext cx="878840" cy="1183640"/>
        </a:xfrm>
        <a:prstGeom prst="rect">
          <a:avLst/>
        </a:prstGeom>
      </xdr:spPr>
    </xdr:pic>
    <xdr:clientData/>
  </xdr:twoCellAnchor>
  <xdr:twoCellAnchor>
    <xdr:from>
      <xdr:col>8</xdr:col>
      <xdr:colOff>6350</xdr:colOff>
      <xdr:row>2572</xdr:row>
      <xdr:rowOff>25400</xdr:rowOff>
    </xdr:from>
    <xdr:to>
      <xdr:col>8</xdr:col>
      <xdr:colOff>885190</xdr:colOff>
      <xdr:row>2572</xdr:row>
      <xdr:rowOff>1209040</xdr:rowOff>
    </xdr:to>
    <xdr:pic>
      <xdr:nvPicPr>
        <xdr:cNvPr id="6236" name="Изображение 6235" descr="resizeПП-00258809"/>
        <xdr:cNvPicPr>
          <a:picLocks noChangeAspect="1"/>
        </xdr:cNvPicPr>
      </xdr:nvPicPr>
      <xdr:blipFill>
        <a:blip xmlns:r="http://schemas.openxmlformats.org/officeDocument/2006/relationships" r:embed="rId1951"/>
        <a:stretch>
          <a:fillRect/>
        </a:stretch>
      </xdr:blipFill>
      <xdr:spPr>
        <a:xfrm>
          <a:off x="7264400" y="2565203150"/>
          <a:ext cx="878840" cy="1183640"/>
        </a:xfrm>
        <a:prstGeom prst="rect">
          <a:avLst/>
        </a:prstGeom>
      </xdr:spPr>
    </xdr:pic>
    <xdr:clientData/>
  </xdr:twoCellAnchor>
  <xdr:twoCellAnchor>
    <xdr:from>
      <xdr:col>8</xdr:col>
      <xdr:colOff>6350</xdr:colOff>
      <xdr:row>2573</xdr:row>
      <xdr:rowOff>25400</xdr:rowOff>
    </xdr:from>
    <xdr:to>
      <xdr:col>8</xdr:col>
      <xdr:colOff>885190</xdr:colOff>
      <xdr:row>2573</xdr:row>
      <xdr:rowOff>1209040</xdr:rowOff>
    </xdr:to>
    <xdr:pic>
      <xdr:nvPicPr>
        <xdr:cNvPr id="6237" name="Изображение 6236" descr="resizeПП-00258810"/>
        <xdr:cNvPicPr>
          <a:picLocks noChangeAspect="1"/>
        </xdr:cNvPicPr>
      </xdr:nvPicPr>
      <xdr:blipFill>
        <a:blip xmlns:r="http://schemas.openxmlformats.org/officeDocument/2006/relationships" r:embed="rId1905"/>
        <a:stretch>
          <a:fillRect/>
        </a:stretch>
      </xdr:blipFill>
      <xdr:spPr>
        <a:xfrm>
          <a:off x="7264400" y="2566425525"/>
          <a:ext cx="878840" cy="1183640"/>
        </a:xfrm>
        <a:prstGeom prst="rect">
          <a:avLst/>
        </a:prstGeom>
      </xdr:spPr>
    </xdr:pic>
    <xdr:clientData/>
  </xdr:twoCellAnchor>
  <xdr:twoCellAnchor>
    <xdr:from>
      <xdr:col>8</xdr:col>
      <xdr:colOff>6350</xdr:colOff>
      <xdr:row>2575</xdr:row>
      <xdr:rowOff>25400</xdr:rowOff>
    </xdr:from>
    <xdr:to>
      <xdr:col>8</xdr:col>
      <xdr:colOff>885190</xdr:colOff>
      <xdr:row>2575</xdr:row>
      <xdr:rowOff>1209040</xdr:rowOff>
    </xdr:to>
    <xdr:pic>
      <xdr:nvPicPr>
        <xdr:cNvPr id="6238" name="Изображение 6237" descr="resizeПП-00247535"/>
        <xdr:cNvPicPr>
          <a:picLocks noChangeAspect="1"/>
        </xdr:cNvPicPr>
      </xdr:nvPicPr>
      <xdr:blipFill>
        <a:blip xmlns:r="http://schemas.openxmlformats.org/officeDocument/2006/relationships" r:embed="rId1921"/>
        <a:stretch>
          <a:fillRect/>
        </a:stretch>
      </xdr:blipFill>
      <xdr:spPr>
        <a:xfrm>
          <a:off x="7264400" y="2567800300"/>
          <a:ext cx="878840" cy="1183640"/>
        </a:xfrm>
        <a:prstGeom prst="rect">
          <a:avLst/>
        </a:prstGeom>
      </xdr:spPr>
    </xdr:pic>
    <xdr:clientData/>
  </xdr:twoCellAnchor>
  <xdr:twoCellAnchor>
    <xdr:from>
      <xdr:col>8</xdr:col>
      <xdr:colOff>6350</xdr:colOff>
      <xdr:row>2576</xdr:row>
      <xdr:rowOff>25400</xdr:rowOff>
    </xdr:from>
    <xdr:to>
      <xdr:col>8</xdr:col>
      <xdr:colOff>885190</xdr:colOff>
      <xdr:row>2576</xdr:row>
      <xdr:rowOff>1209040</xdr:rowOff>
    </xdr:to>
    <xdr:pic>
      <xdr:nvPicPr>
        <xdr:cNvPr id="6239" name="Изображение 6238" descr="resizeПП-00271412"/>
        <xdr:cNvPicPr>
          <a:picLocks noChangeAspect="1"/>
        </xdr:cNvPicPr>
      </xdr:nvPicPr>
      <xdr:blipFill>
        <a:blip xmlns:r="http://schemas.openxmlformats.org/officeDocument/2006/relationships" r:embed="rId1954"/>
        <a:stretch>
          <a:fillRect/>
        </a:stretch>
      </xdr:blipFill>
      <xdr:spPr>
        <a:xfrm>
          <a:off x="7264400" y="2569022675"/>
          <a:ext cx="878840" cy="1183640"/>
        </a:xfrm>
        <a:prstGeom prst="rect">
          <a:avLst/>
        </a:prstGeom>
      </xdr:spPr>
    </xdr:pic>
    <xdr:clientData/>
  </xdr:twoCellAnchor>
  <xdr:twoCellAnchor>
    <xdr:from>
      <xdr:col>8</xdr:col>
      <xdr:colOff>6350</xdr:colOff>
      <xdr:row>2578</xdr:row>
      <xdr:rowOff>25400</xdr:rowOff>
    </xdr:from>
    <xdr:to>
      <xdr:col>8</xdr:col>
      <xdr:colOff>885190</xdr:colOff>
      <xdr:row>2578</xdr:row>
      <xdr:rowOff>1209040</xdr:rowOff>
    </xdr:to>
    <xdr:pic>
      <xdr:nvPicPr>
        <xdr:cNvPr id="6240" name="Изображение 6239" descr="resizeПП-00269451"/>
        <xdr:cNvPicPr>
          <a:picLocks noChangeAspect="1"/>
        </xdr:cNvPicPr>
      </xdr:nvPicPr>
      <xdr:blipFill>
        <a:blip xmlns:r="http://schemas.openxmlformats.org/officeDocument/2006/relationships" r:embed="rId1955"/>
        <a:stretch>
          <a:fillRect/>
        </a:stretch>
      </xdr:blipFill>
      <xdr:spPr>
        <a:xfrm>
          <a:off x="7264400" y="2570397450"/>
          <a:ext cx="878840" cy="1183640"/>
        </a:xfrm>
        <a:prstGeom prst="rect">
          <a:avLst/>
        </a:prstGeom>
      </xdr:spPr>
    </xdr:pic>
    <xdr:clientData/>
  </xdr:twoCellAnchor>
  <xdr:twoCellAnchor>
    <xdr:from>
      <xdr:col>8</xdr:col>
      <xdr:colOff>6350</xdr:colOff>
      <xdr:row>2579</xdr:row>
      <xdr:rowOff>25400</xdr:rowOff>
    </xdr:from>
    <xdr:to>
      <xdr:col>8</xdr:col>
      <xdr:colOff>885190</xdr:colOff>
      <xdr:row>2579</xdr:row>
      <xdr:rowOff>1209040</xdr:rowOff>
    </xdr:to>
    <xdr:pic>
      <xdr:nvPicPr>
        <xdr:cNvPr id="6241" name="Изображение 6240" descr="resizeПП-00258776"/>
        <xdr:cNvPicPr>
          <a:picLocks noChangeAspect="1"/>
        </xdr:cNvPicPr>
      </xdr:nvPicPr>
      <xdr:blipFill>
        <a:blip xmlns:r="http://schemas.openxmlformats.org/officeDocument/2006/relationships" r:embed="rId1858"/>
        <a:stretch>
          <a:fillRect/>
        </a:stretch>
      </xdr:blipFill>
      <xdr:spPr>
        <a:xfrm>
          <a:off x="7264400" y="2571619825"/>
          <a:ext cx="878840" cy="1183640"/>
        </a:xfrm>
        <a:prstGeom prst="rect">
          <a:avLst/>
        </a:prstGeom>
      </xdr:spPr>
    </xdr:pic>
    <xdr:clientData/>
  </xdr:twoCellAnchor>
  <xdr:twoCellAnchor>
    <xdr:from>
      <xdr:col>8</xdr:col>
      <xdr:colOff>6350</xdr:colOff>
      <xdr:row>2580</xdr:row>
      <xdr:rowOff>25400</xdr:rowOff>
    </xdr:from>
    <xdr:to>
      <xdr:col>8</xdr:col>
      <xdr:colOff>783590</xdr:colOff>
      <xdr:row>2580</xdr:row>
      <xdr:rowOff>1209040</xdr:rowOff>
    </xdr:to>
    <xdr:pic>
      <xdr:nvPicPr>
        <xdr:cNvPr id="6242" name="Изображение 6241" descr="resizeПП-00271416"/>
        <xdr:cNvPicPr>
          <a:picLocks noChangeAspect="1"/>
        </xdr:cNvPicPr>
      </xdr:nvPicPr>
      <xdr:blipFill>
        <a:blip xmlns:r="http://schemas.openxmlformats.org/officeDocument/2006/relationships" r:embed="rId1956"/>
        <a:stretch>
          <a:fillRect/>
        </a:stretch>
      </xdr:blipFill>
      <xdr:spPr>
        <a:xfrm>
          <a:off x="7264400" y="2572842200"/>
          <a:ext cx="777240" cy="1183640"/>
        </a:xfrm>
        <a:prstGeom prst="rect">
          <a:avLst/>
        </a:prstGeom>
      </xdr:spPr>
    </xdr:pic>
    <xdr:clientData/>
  </xdr:twoCellAnchor>
  <xdr:twoCellAnchor>
    <xdr:from>
      <xdr:col>8</xdr:col>
      <xdr:colOff>6350</xdr:colOff>
      <xdr:row>2581</xdr:row>
      <xdr:rowOff>25400</xdr:rowOff>
    </xdr:from>
    <xdr:to>
      <xdr:col>8</xdr:col>
      <xdr:colOff>885190</xdr:colOff>
      <xdr:row>2581</xdr:row>
      <xdr:rowOff>1209040</xdr:rowOff>
    </xdr:to>
    <xdr:pic>
      <xdr:nvPicPr>
        <xdr:cNvPr id="6243" name="Изображение 6242" descr="resizeПП-00271419"/>
        <xdr:cNvPicPr>
          <a:picLocks noChangeAspect="1"/>
        </xdr:cNvPicPr>
      </xdr:nvPicPr>
      <xdr:blipFill>
        <a:blip xmlns:r="http://schemas.openxmlformats.org/officeDocument/2006/relationships" r:embed="rId1957"/>
        <a:stretch>
          <a:fillRect/>
        </a:stretch>
      </xdr:blipFill>
      <xdr:spPr>
        <a:xfrm>
          <a:off x="7264400" y="2574064575"/>
          <a:ext cx="878840" cy="1183640"/>
        </a:xfrm>
        <a:prstGeom prst="rect">
          <a:avLst/>
        </a:prstGeom>
      </xdr:spPr>
    </xdr:pic>
    <xdr:clientData/>
  </xdr:twoCellAnchor>
  <xdr:twoCellAnchor>
    <xdr:from>
      <xdr:col>8</xdr:col>
      <xdr:colOff>6350</xdr:colOff>
      <xdr:row>2582</xdr:row>
      <xdr:rowOff>25400</xdr:rowOff>
    </xdr:from>
    <xdr:to>
      <xdr:col>8</xdr:col>
      <xdr:colOff>885190</xdr:colOff>
      <xdr:row>2582</xdr:row>
      <xdr:rowOff>1209040</xdr:rowOff>
    </xdr:to>
    <xdr:pic>
      <xdr:nvPicPr>
        <xdr:cNvPr id="6244" name="Изображение 6243" descr="resizeПП-00271414"/>
        <xdr:cNvPicPr>
          <a:picLocks noChangeAspect="1"/>
        </xdr:cNvPicPr>
      </xdr:nvPicPr>
      <xdr:blipFill>
        <a:blip xmlns:r="http://schemas.openxmlformats.org/officeDocument/2006/relationships" r:embed="rId1958"/>
        <a:stretch>
          <a:fillRect/>
        </a:stretch>
      </xdr:blipFill>
      <xdr:spPr>
        <a:xfrm>
          <a:off x="7264400" y="2575286950"/>
          <a:ext cx="878840" cy="1183640"/>
        </a:xfrm>
        <a:prstGeom prst="rect">
          <a:avLst/>
        </a:prstGeom>
      </xdr:spPr>
    </xdr:pic>
    <xdr:clientData/>
  </xdr:twoCellAnchor>
  <xdr:twoCellAnchor>
    <xdr:from>
      <xdr:col>8</xdr:col>
      <xdr:colOff>6350</xdr:colOff>
      <xdr:row>2583</xdr:row>
      <xdr:rowOff>25400</xdr:rowOff>
    </xdr:from>
    <xdr:to>
      <xdr:col>8</xdr:col>
      <xdr:colOff>885190</xdr:colOff>
      <xdr:row>2583</xdr:row>
      <xdr:rowOff>1209040</xdr:rowOff>
    </xdr:to>
    <xdr:pic>
      <xdr:nvPicPr>
        <xdr:cNvPr id="6245" name="Изображение 6244" descr="resizeПП-00269445"/>
        <xdr:cNvPicPr>
          <a:picLocks noChangeAspect="1"/>
        </xdr:cNvPicPr>
      </xdr:nvPicPr>
      <xdr:blipFill>
        <a:blip xmlns:r="http://schemas.openxmlformats.org/officeDocument/2006/relationships" r:embed="rId1959"/>
        <a:stretch>
          <a:fillRect/>
        </a:stretch>
      </xdr:blipFill>
      <xdr:spPr>
        <a:xfrm>
          <a:off x="7264400" y="2576509325"/>
          <a:ext cx="878840" cy="1183640"/>
        </a:xfrm>
        <a:prstGeom prst="rect">
          <a:avLst/>
        </a:prstGeom>
      </xdr:spPr>
    </xdr:pic>
    <xdr:clientData/>
  </xdr:twoCellAnchor>
  <xdr:twoCellAnchor>
    <xdr:from>
      <xdr:col>8</xdr:col>
      <xdr:colOff>6350</xdr:colOff>
      <xdr:row>2584</xdr:row>
      <xdr:rowOff>25400</xdr:rowOff>
    </xdr:from>
    <xdr:to>
      <xdr:col>8</xdr:col>
      <xdr:colOff>885190</xdr:colOff>
      <xdr:row>2584</xdr:row>
      <xdr:rowOff>1209040</xdr:rowOff>
    </xdr:to>
    <xdr:pic>
      <xdr:nvPicPr>
        <xdr:cNvPr id="6246" name="Изображение 6245" descr="resizeПП-00247543"/>
        <xdr:cNvPicPr>
          <a:picLocks noChangeAspect="1"/>
        </xdr:cNvPicPr>
      </xdr:nvPicPr>
      <xdr:blipFill>
        <a:blip xmlns:r="http://schemas.openxmlformats.org/officeDocument/2006/relationships" r:embed="rId1960"/>
        <a:stretch>
          <a:fillRect/>
        </a:stretch>
      </xdr:blipFill>
      <xdr:spPr>
        <a:xfrm>
          <a:off x="7264400" y="2577731700"/>
          <a:ext cx="878840" cy="1183640"/>
        </a:xfrm>
        <a:prstGeom prst="rect">
          <a:avLst/>
        </a:prstGeom>
      </xdr:spPr>
    </xdr:pic>
    <xdr:clientData/>
  </xdr:twoCellAnchor>
  <xdr:twoCellAnchor>
    <xdr:from>
      <xdr:col>8</xdr:col>
      <xdr:colOff>6350</xdr:colOff>
      <xdr:row>2585</xdr:row>
      <xdr:rowOff>25400</xdr:rowOff>
    </xdr:from>
    <xdr:to>
      <xdr:col>8</xdr:col>
      <xdr:colOff>885190</xdr:colOff>
      <xdr:row>2585</xdr:row>
      <xdr:rowOff>1209040</xdr:rowOff>
    </xdr:to>
    <xdr:pic>
      <xdr:nvPicPr>
        <xdr:cNvPr id="6247" name="Изображение 6246" descr="resizeПП-00271413"/>
        <xdr:cNvPicPr>
          <a:picLocks noChangeAspect="1"/>
        </xdr:cNvPicPr>
      </xdr:nvPicPr>
      <xdr:blipFill>
        <a:blip xmlns:r="http://schemas.openxmlformats.org/officeDocument/2006/relationships" r:embed="rId1961"/>
        <a:stretch>
          <a:fillRect/>
        </a:stretch>
      </xdr:blipFill>
      <xdr:spPr>
        <a:xfrm>
          <a:off x="7264400" y="2578954075"/>
          <a:ext cx="878840" cy="1183640"/>
        </a:xfrm>
        <a:prstGeom prst="rect">
          <a:avLst/>
        </a:prstGeom>
      </xdr:spPr>
    </xdr:pic>
    <xdr:clientData/>
  </xdr:twoCellAnchor>
  <xdr:twoCellAnchor>
    <xdr:from>
      <xdr:col>8</xdr:col>
      <xdr:colOff>6350</xdr:colOff>
      <xdr:row>2586</xdr:row>
      <xdr:rowOff>25400</xdr:rowOff>
    </xdr:from>
    <xdr:to>
      <xdr:col>8</xdr:col>
      <xdr:colOff>885190</xdr:colOff>
      <xdr:row>2586</xdr:row>
      <xdr:rowOff>1209040</xdr:rowOff>
    </xdr:to>
    <xdr:pic>
      <xdr:nvPicPr>
        <xdr:cNvPr id="6248" name="Изображение 6247" descr="resizeПП-00271415"/>
        <xdr:cNvPicPr>
          <a:picLocks noChangeAspect="1"/>
        </xdr:cNvPicPr>
      </xdr:nvPicPr>
      <xdr:blipFill>
        <a:blip xmlns:r="http://schemas.openxmlformats.org/officeDocument/2006/relationships" r:embed="rId1962"/>
        <a:stretch>
          <a:fillRect/>
        </a:stretch>
      </xdr:blipFill>
      <xdr:spPr>
        <a:xfrm>
          <a:off x="7264400" y="2580176450"/>
          <a:ext cx="878840" cy="1183640"/>
        </a:xfrm>
        <a:prstGeom prst="rect">
          <a:avLst/>
        </a:prstGeom>
      </xdr:spPr>
    </xdr:pic>
    <xdr:clientData/>
  </xdr:twoCellAnchor>
  <xdr:twoCellAnchor>
    <xdr:from>
      <xdr:col>8</xdr:col>
      <xdr:colOff>6350</xdr:colOff>
      <xdr:row>2589</xdr:row>
      <xdr:rowOff>25400</xdr:rowOff>
    </xdr:from>
    <xdr:to>
      <xdr:col>8</xdr:col>
      <xdr:colOff>885190</xdr:colOff>
      <xdr:row>2589</xdr:row>
      <xdr:rowOff>1209040</xdr:rowOff>
    </xdr:to>
    <xdr:pic>
      <xdr:nvPicPr>
        <xdr:cNvPr id="6249" name="Изображение 6248" descr="resizeПП-00254234"/>
        <xdr:cNvPicPr>
          <a:picLocks noChangeAspect="1"/>
        </xdr:cNvPicPr>
      </xdr:nvPicPr>
      <xdr:blipFill>
        <a:blip xmlns:r="http://schemas.openxmlformats.org/officeDocument/2006/relationships" r:embed="rId1963"/>
        <a:stretch>
          <a:fillRect/>
        </a:stretch>
      </xdr:blipFill>
      <xdr:spPr>
        <a:xfrm>
          <a:off x="7264400" y="2581703625"/>
          <a:ext cx="878840" cy="1183640"/>
        </a:xfrm>
        <a:prstGeom prst="rect">
          <a:avLst/>
        </a:prstGeom>
      </xdr:spPr>
    </xdr:pic>
    <xdr:clientData/>
  </xdr:twoCellAnchor>
  <xdr:twoCellAnchor>
    <xdr:from>
      <xdr:col>8</xdr:col>
      <xdr:colOff>6350</xdr:colOff>
      <xdr:row>2592</xdr:row>
      <xdr:rowOff>25400</xdr:rowOff>
    </xdr:from>
    <xdr:to>
      <xdr:col>8</xdr:col>
      <xdr:colOff>885190</xdr:colOff>
      <xdr:row>2592</xdr:row>
      <xdr:rowOff>1209040</xdr:rowOff>
    </xdr:to>
    <xdr:pic>
      <xdr:nvPicPr>
        <xdr:cNvPr id="6250" name="Изображение 6249" descr="resizeПП-00201990"/>
        <xdr:cNvPicPr>
          <a:picLocks noChangeAspect="1"/>
        </xdr:cNvPicPr>
      </xdr:nvPicPr>
      <xdr:blipFill>
        <a:blip xmlns:r="http://schemas.openxmlformats.org/officeDocument/2006/relationships" r:embed="rId1964"/>
        <a:stretch>
          <a:fillRect/>
        </a:stretch>
      </xdr:blipFill>
      <xdr:spPr>
        <a:xfrm>
          <a:off x="7264400" y="2583230800"/>
          <a:ext cx="878840" cy="1183640"/>
        </a:xfrm>
        <a:prstGeom prst="rect">
          <a:avLst/>
        </a:prstGeom>
      </xdr:spPr>
    </xdr:pic>
    <xdr:clientData/>
  </xdr:twoCellAnchor>
  <xdr:twoCellAnchor>
    <xdr:from>
      <xdr:col>8</xdr:col>
      <xdr:colOff>6350</xdr:colOff>
      <xdr:row>2593</xdr:row>
      <xdr:rowOff>25400</xdr:rowOff>
    </xdr:from>
    <xdr:to>
      <xdr:col>8</xdr:col>
      <xdr:colOff>885190</xdr:colOff>
      <xdr:row>2593</xdr:row>
      <xdr:rowOff>1209040</xdr:rowOff>
    </xdr:to>
    <xdr:pic>
      <xdr:nvPicPr>
        <xdr:cNvPr id="6251" name="Изображение 6250" descr="resizeПП-00201994"/>
        <xdr:cNvPicPr>
          <a:picLocks noChangeAspect="1"/>
        </xdr:cNvPicPr>
      </xdr:nvPicPr>
      <xdr:blipFill>
        <a:blip xmlns:r="http://schemas.openxmlformats.org/officeDocument/2006/relationships" r:embed="rId1965"/>
        <a:stretch>
          <a:fillRect/>
        </a:stretch>
      </xdr:blipFill>
      <xdr:spPr>
        <a:xfrm>
          <a:off x="7264400" y="2584453175"/>
          <a:ext cx="878840" cy="1183640"/>
        </a:xfrm>
        <a:prstGeom prst="rect">
          <a:avLst/>
        </a:prstGeom>
      </xdr:spPr>
    </xdr:pic>
    <xdr:clientData/>
  </xdr:twoCellAnchor>
  <xdr:twoCellAnchor>
    <xdr:from>
      <xdr:col>8</xdr:col>
      <xdr:colOff>6350</xdr:colOff>
      <xdr:row>2594</xdr:row>
      <xdr:rowOff>25400</xdr:rowOff>
    </xdr:from>
    <xdr:to>
      <xdr:col>8</xdr:col>
      <xdr:colOff>885190</xdr:colOff>
      <xdr:row>2594</xdr:row>
      <xdr:rowOff>1209040</xdr:rowOff>
    </xdr:to>
    <xdr:pic>
      <xdr:nvPicPr>
        <xdr:cNvPr id="6252" name="Изображение 6251" descr="resizeПП-00201989"/>
        <xdr:cNvPicPr>
          <a:picLocks noChangeAspect="1"/>
        </xdr:cNvPicPr>
      </xdr:nvPicPr>
      <xdr:blipFill>
        <a:blip xmlns:r="http://schemas.openxmlformats.org/officeDocument/2006/relationships" r:embed="rId1966"/>
        <a:stretch>
          <a:fillRect/>
        </a:stretch>
      </xdr:blipFill>
      <xdr:spPr>
        <a:xfrm>
          <a:off x="7264400" y="2585675550"/>
          <a:ext cx="878840" cy="1183640"/>
        </a:xfrm>
        <a:prstGeom prst="rect">
          <a:avLst/>
        </a:prstGeom>
      </xdr:spPr>
    </xdr:pic>
    <xdr:clientData/>
  </xdr:twoCellAnchor>
  <xdr:twoCellAnchor>
    <xdr:from>
      <xdr:col>8</xdr:col>
      <xdr:colOff>6350</xdr:colOff>
      <xdr:row>2595</xdr:row>
      <xdr:rowOff>25400</xdr:rowOff>
    </xdr:from>
    <xdr:to>
      <xdr:col>8</xdr:col>
      <xdr:colOff>885190</xdr:colOff>
      <xdr:row>2595</xdr:row>
      <xdr:rowOff>1209040</xdr:rowOff>
    </xdr:to>
    <xdr:pic>
      <xdr:nvPicPr>
        <xdr:cNvPr id="6253" name="Изображение 6252" descr="resizeПП-00201996"/>
        <xdr:cNvPicPr>
          <a:picLocks noChangeAspect="1"/>
        </xdr:cNvPicPr>
      </xdr:nvPicPr>
      <xdr:blipFill>
        <a:blip xmlns:r="http://schemas.openxmlformats.org/officeDocument/2006/relationships" r:embed="rId1967"/>
        <a:stretch>
          <a:fillRect/>
        </a:stretch>
      </xdr:blipFill>
      <xdr:spPr>
        <a:xfrm>
          <a:off x="7264400" y="2586897925"/>
          <a:ext cx="878840" cy="1183640"/>
        </a:xfrm>
        <a:prstGeom prst="rect">
          <a:avLst/>
        </a:prstGeom>
      </xdr:spPr>
    </xdr:pic>
    <xdr:clientData/>
  </xdr:twoCellAnchor>
  <xdr:twoCellAnchor>
    <xdr:from>
      <xdr:col>8</xdr:col>
      <xdr:colOff>6350</xdr:colOff>
      <xdr:row>2597</xdr:row>
      <xdr:rowOff>25400</xdr:rowOff>
    </xdr:from>
    <xdr:to>
      <xdr:col>8</xdr:col>
      <xdr:colOff>885190</xdr:colOff>
      <xdr:row>2597</xdr:row>
      <xdr:rowOff>1209040</xdr:rowOff>
    </xdr:to>
    <xdr:pic>
      <xdr:nvPicPr>
        <xdr:cNvPr id="6254" name="Изображение 6253" descr="resizeПП-00202016"/>
        <xdr:cNvPicPr>
          <a:picLocks noChangeAspect="1"/>
        </xdr:cNvPicPr>
      </xdr:nvPicPr>
      <xdr:blipFill>
        <a:blip xmlns:r="http://schemas.openxmlformats.org/officeDocument/2006/relationships" r:embed="rId1968"/>
        <a:stretch>
          <a:fillRect/>
        </a:stretch>
      </xdr:blipFill>
      <xdr:spPr>
        <a:xfrm>
          <a:off x="7264400" y="2588272700"/>
          <a:ext cx="878840" cy="1183640"/>
        </a:xfrm>
        <a:prstGeom prst="rect">
          <a:avLst/>
        </a:prstGeom>
      </xdr:spPr>
    </xdr:pic>
    <xdr:clientData/>
  </xdr:twoCellAnchor>
  <xdr:twoCellAnchor>
    <xdr:from>
      <xdr:col>8</xdr:col>
      <xdr:colOff>6350</xdr:colOff>
      <xdr:row>2598</xdr:row>
      <xdr:rowOff>25400</xdr:rowOff>
    </xdr:from>
    <xdr:to>
      <xdr:col>8</xdr:col>
      <xdr:colOff>885190</xdr:colOff>
      <xdr:row>2598</xdr:row>
      <xdr:rowOff>1209040</xdr:rowOff>
    </xdr:to>
    <xdr:pic>
      <xdr:nvPicPr>
        <xdr:cNvPr id="6255" name="Изображение 6254" descr="resizeПП-00202004"/>
        <xdr:cNvPicPr>
          <a:picLocks noChangeAspect="1"/>
        </xdr:cNvPicPr>
      </xdr:nvPicPr>
      <xdr:blipFill>
        <a:blip xmlns:r="http://schemas.openxmlformats.org/officeDocument/2006/relationships" r:embed="rId1966"/>
        <a:stretch>
          <a:fillRect/>
        </a:stretch>
      </xdr:blipFill>
      <xdr:spPr>
        <a:xfrm>
          <a:off x="7264400" y="2589495075"/>
          <a:ext cx="878840" cy="1183640"/>
        </a:xfrm>
        <a:prstGeom prst="rect">
          <a:avLst/>
        </a:prstGeom>
      </xdr:spPr>
    </xdr:pic>
    <xdr:clientData/>
  </xdr:twoCellAnchor>
  <xdr:twoCellAnchor>
    <xdr:from>
      <xdr:col>8</xdr:col>
      <xdr:colOff>6350</xdr:colOff>
      <xdr:row>2599</xdr:row>
      <xdr:rowOff>25400</xdr:rowOff>
    </xdr:from>
    <xdr:to>
      <xdr:col>8</xdr:col>
      <xdr:colOff>885190</xdr:colOff>
      <xdr:row>2599</xdr:row>
      <xdr:rowOff>1209040</xdr:rowOff>
    </xdr:to>
    <xdr:pic>
      <xdr:nvPicPr>
        <xdr:cNvPr id="6256" name="Изображение 6255" descr="resizeПП-00202015"/>
        <xdr:cNvPicPr>
          <a:picLocks noChangeAspect="1"/>
        </xdr:cNvPicPr>
      </xdr:nvPicPr>
      <xdr:blipFill>
        <a:blip xmlns:r="http://schemas.openxmlformats.org/officeDocument/2006/relationships" r:embed="rId1969"/>
        <a:stretch>
          <a:fillRect/>
        </a:stretch>
      </xdr:blipFill>
      <xdr:spPr>
        <a:xfrm>
          <a:off x="7264400" y="2590717450"/>
          <a:ext cx="878840" cy="1183640"/>
        </a:xfrm>
        <a:prstGeom prst="rect">
          <a:avLst/>
        </a:prstGeom>
      </xdr:spPr>
    </xdr:pic>
    <xdr:clientData/>
  </xdr:twoCellAnchor>
  <xdr:twoCellAnchor>
    <xdr:from>
      <xdr:col>8</xdr:col>
      <xdr:colOff>6350</xdr:colOff>
      <xdr:row>2603</xdr:row>
      <xdr:rowOff>25400</xdr:rowOff>
    </xdr:from>
    <xdr:to>
      <xdr:col>8</xdr:col>
      <xdr:colOff>885190</xdr:colOff>
      <xdr:row>2603</xdr:row>
      <xdr:rowOff>1209040</xdr:rowOff>
    </xdr:to>
    <xdr:pic>
      <xdr:nvPicPr>
        <xdr:cNvPr id="6257" name="Изображение 6256" descr="resizeПП-00262078"/>
        <xdr:cNvPicPr>
          <a:picLocks noChangeAspect="1"/>
        </xdr:cNvPicPr>
      </xdr:nvPicPr>
      <xdr:blipFill>
        <a:blip xmlns:r="http://schemas.openxmlformats.org/officeDocument/2006/relationships" r:embed="rId1970"/>
        <a:stretch>
          <a:fillRect/>
        </a:stretch>
      </xdr:blipFill>
      <xdr:spPr>
        <a:xfrm>
          <a:off x="7264400" y="2592397025"/>
          <a:ext cx="878840" cy="1183640"/>
        </a:xfrm>
        <a:prstGeom prst="rect">
          <a:avLst/>
        </a:prstGeom>
      </xdr:spPr>
    </xdr:pic>
    <xdr:clientData/>
  </xdr:twoCellAnchor>
  <xdr:twoCellAnchor>
    <xdr:from>
      <xdr:col>8</xdr:col>
      <xdr:colOff>6350</xdr:colOff>
      <xdr:row>2606</xdr:row>
      <xdr:rowOff>25400</xdr:rowOff>
    </xdr:from>
    <xdr:to>
      <xdr:col>8</xdr:col>
      <xdr:colOff>885190</xdr:colOff>
      <xdr:row>2606</xdr:row>
      <xdr:rowOff>1209040</xdr:rowOff>
    </xdr:to>
    <xdr:pic>
      <xdr:nvPicPr>
        <xdr:cNvPr id="6258" name="Изображение 6257" descr="resizeПП-00237413"/>
        <xdr:cNvPicPr>
          <a:picLocks noChangeAspect="1"/>
        </xdr:cNvPicPr>
      </xdr:nvPicPr>
      <xdr:blipFill>
        <a:blip xmlns:r="http://schemas.openxmlformats.org/officeDocument/2006/relationships" r:embed="rId1971"/>
        <a:stretch>
          <a:fillRect/>
        </a:stretch>
      </xdr:blipFill>
      <xdr:spPr>
        <a:xfrm>
          <a:off x="7264400" y="2593924200"/>
          <a:ext cx="878840" cy="1183640"/>
        </a:xfrm>
        <a:prstGeom prst="rect">
          <a:avLst/>
        </a:prstGeom>
      </xdr:spPr>
    </xdr:pic>
    <xdr:clientData/>
  </xdr:twoCellAnchor>
  <xdr:twoCellAnchor>
    <xdr:from>
      <xdr:col>8</xdr:col>
      <xdr:colOff>6350</xdr:colOff>
      <xdr:row>2607</xdr:row>
      <xdr:rowOff>25400</xdr:rowOff>
    </xdr:from>
    <xdr:to>
      <xdr:col>8</xdr:col>
      <xdr:colOff>885190</xdr:colOff>
      <xdr:row>2607</xdr:row>
      <xdr:rowOff>1209040</xdr:rowOff>
    </xdr:to>
    <xdr:pic>
      <xdr:nvPicPr>
        <xdr:cNvPr id="6259" name="Изображение 6258" descr="resizeПП-00166180"/>
        <xdr:cNvPicPr>
          <a:picLocks noChangeAspect="1"/>
        </xdr:cNvPicPr>
      </xdr:nvPicPr>
      <xdr:blipFill>
        <a:blip xmlns:r="http://schemas.openxmlformats.org/officeDocument/2006/relationships" r:embed="rId1972"/>
        <a:stretch>
          <a:fillRect/>
        </a:stretch>
      </xdr:blipFill>
      <xdr:spPr>
        <a:xfrm>
          <a:off x="7264400" y="2595146575"/>
          <a:ext cx="878840" cy="1183640"/>
        </a:xfrm>
        <a:prstGeom prst="rect">
          <a:avLst/>
        </a:prstGeom>
      </xdr:spPr>
    </xdr:pic>
    <xdr:clientData/>
  </xdr:twoCellAnchor>
  <xdr:twoCellAnchor>
    <xdr:from>
      <xdr:col>8</xdr:col>
      <xdr:colOff>6350</xdr:colOff>
      <xdr:row>2608</xdr:row>
      <xdr:rowOff>25400</xdr:rowOff>
    </xdr:from>
    <xdr:to>
      <xdr:col>8</xdr:col>
      <xdr:colOff>885190</xdr:colOff>
      <xdr:row>2608</xdr:row>
      <xdr:rowOff>1209040</xdr:rowOff>
    </xdr:to>
    <xdr:pic>
      <xdr:nvPicPr>
        <xdr:cNvPr id="6260" name="Изображение 6259" descr="resizeПП-00191342"/>
        <xdr:cNvPicPr>
          <a:picLocks noChangeAspect="1"/>
        </xdr:cNvPicPr>
      </xdr:nvPicPr>
      <xdr:blipFill>
        <a:blip xmlns:r="http://schemas.openxmlformats.org/officeDocument/2006/relationships" r:embed="rId1973"/>
        <a:stretch>
          <a:fillRect/>
        </a:stretch>
      </xdr:blipFill>
      <xdr:spPr>
        <a:xfrm>
          <a:off x="7264400" y="2596368950"/>
          <a:ext cx="878840" cy="1183640"/>
        </a:xfrm>
        <a:prstGeom prst="rect">
          <a:avLst/>
        </a:prstGeom>
      </xdr:spPr>
    </xdr:pic>
    <xdr:clientData/>
  </xdr:twoCellAnchor>
  <xdr:twoCellAnchor>
    <xdr:from>
      <xdr:col>8</xdr:col>
      <xdr:colOff>6350</xdr:colOff>
      <xdr:row>2611</xdr:row>
      <xdr:rowOff>25400</xdr:rowOff>
    </xdr:from>
    <xdr:to>
      <xdr:col>8</xdr:col>
      <xdr:colOff>885190</xdr:colOff>
      <xdr:row>2611</xdr:row>
      <xdr:rowOff>1209040</xdr:rowOff>
    </xdr:to>
    <xdr:pic>
      <xdr:nvPicPr>
        <xdr:cNvPr id="6261" name="Изображение 6260" descr="resizeПП-00257139"/>
        <xdr:cNvPicPr>
          <a:picLocks noChangeAspect="1"/>
        </xdr:cNvPicPr>
      </xdr:nvPicPr>
      <xdr:blipFill>
        <a:blip xmlns:r="http://schemas.openxmlformats.org/officeDocument/2006/relationships" r:embed="rId1974"/>
        <a:stretch>
          <a:fillRect/>
        </a:stretch>
      </xdr:blipFill>
      <xdr:spPr>
        <a:xfrm>
          <a:off x="7264400" y="2597896125"/>
          <a:ext cx="878840" cy="1183640"/>
        </a:xfrm>
        <a:prstGeom prst="rect">
          <a:avLst/>
        </a:prstGeom>
      </xdr:spPr>
    </xdr:pic>
    <xdr:clientData/>
  </xdr:twoCellAnchor>
  <xdr:twoCellAnchor>
    <xdr:from>
      <xdr:col>8</xdr:col>
      <xdr:colOff>6350</xdr:colOff>
      <xdr:row>2613</xdr:row>
      <xdr:rowOff>25400</xdr:rowOff>
    </xdr:from>
    <xdr:to>
      <xdr:col>8</xdr:col>
      <xdr:colOff>885190</xdr:colOff>
      <xdr:row>2613</xdr:row>
      <xdr:rowOff>1209040</xdr:rowOff>
    </xdr:to>
    <xdr:pic>
      <xdr:nvPicPr>
        <xdr:cNvPr id="6262" name="Изображение 6261" descr="resizeПП-00260866"/>
        <xdr:cNvPicPr>
          <a:picLocks noChangeAspect="1"/>
        </xdr:cNvPicPr>
      </xdr:nvPicPr>
      <xdr:blipFill>
        <a:blip xmlns:r="http://schemas.openxmlformats.org/officeDocument/2006/relationships" r:embed="rId1975"/>
        <a:stretch>
          <a:fillRect/>
        </a:stretch>
      </xdr:blipFill>
      <xdr:spPr>
        <a:xfrm>
          <a:off x="7264400" y="2599270900"/>
          <a:ext cx="878840" cy="1183640"/>
        </a:xfrm>
        <a:prstGeom prst="rect">
          <a:avLst/>
        </a:prstGeom>
      </xdr:spPr>
    </xdr:pic>
    <xdr:clientData/>
  </xdr:twoCellAnchor>
  <xdr:twoCellAnchor>
    <xdr:from>
      <xdr:col>8</xdr:col>
      <xdr:colOff>6350</xdr:colOff>
      <xdr:row>2615</xdr:row>
      <xdr:rowOff>25400</xdr:rowOff>
    </xdr:from>
    <xdr:to>
      <xdr:col>8</xdr:col>
      <xdr:colOff>885190</xdr:colOff>
      <xdr:row>2615</xdr:row>
      <xdr:rowOff>1209040</xdr:rowOff>
    </xdr:to>
    <xdr:pic>
      <xdr:nvPicPr>
        <xdr:cNvPr id="6263" name="Изображение 6262" descr="resizeПП-00257369"/>
        <xdr:cNvPicPr>
          <a:picLocks noChangeAspect="1"/>
        </xdr:cNvPicPr>
      </xdr:nvPicPr>
      <xdr:blipFill>
        <a:blip xmlns:r="http://schemas.openxmlformats.org/officeDocument/2006/relationships" r:embed="rId1976"/>
        <a:stretch>
          <a:fillRect/>
        </a:stretch>
      </xdr:blipFill>
      <xdr:spPr>
        <a:xfrm>
          <a:off x="7264400" y="2600645675"/>
          <a:ext cx="878840" cy="1183640"/>
        </a:xfrm>
        <a:prstGeom prst="rect">
          <a:avLst/>
        </a:prstGeom>
      </xdr:spPr>
    </xdr:pic>
    <xdr:clientData/>
  </xdr:twoCellAnchor>
  <xdr:twoCellAnchor>
    <xdr:from>
      <xdr:col>8</xdr:col>
      <xdr:colOff>6350</xdr:colOff>
      <xdr:row>2616</xdr:row>
      <xdr:rowOff>25400</xdr:rowOff>
    </xdr:from>
    <xdr:to>
      <xdr:col>8</xdr:col>
      <xdr:colOff>885190</xdr:colOff>
      <xdr:row>2616</xdr:row>
      <xdr:rowOff>1209040</xdr:rowOff>
    </xdr:to>
    <xdr:pic>
      <xdr:nvPicPr>
        <xdr:cNvPr id="6264" name="Изображение 6263" descr="resizeПП-00236018"/>
        <xdr:cNvPicPr>
          <a:picLocks noChangeAspect="1"/>
        </xdr:cNvPicPr>
      </xdr:nvPicPr>
      <xdr:blipFill>
        <a:blip xmlns:r="http://schemas.openxmlformats.org/officeDocument/2006/relationships" r:embed="rId1977"/>
        <a:stretch>
          <a:fillRect/>
        </a:stretch>
      </xdr:blipFill>
      <xdr:spPr>
        <a:xfrm>
          <a:off x="7264400" y="2601868050"/>
          <a:ext cx="878840" cy="1183640"/>
        </a:xfrm>
        <a:prstGeom prst="rect">
          <a:avLst/>
        </a:prstGeom>
      </xdr:spPr>
    </xdr:pic>
    <xdr:clientData/>
  </xdr:twoCellAnchor>
  <xdr:twoCellAnchor>
    <xdr:from>
      <xdr:col>8</xdr:col>
      <xdr:colOff>6350</xdr:colOff>
      <xdr:row>2617</xdr:row>
      <xdr:rowOff>25400</xdr:rowOff>
    </xdr:from>
    <xdr:to>
      <xdr:col>8</xdr:col>
      <xdr:colOff>885190</xdr:colOff>
      <xdr:row>2617</xdr:row>
      <xdr:rowOff>1209040</xdr:rowOff>
    </xdr:to>
    <xdr:pic>
      <xdr:nvPicPr>
        <xdr:cNvPr id="6265" name="Изображение 6264" descr="resizeПП-00257372"/>
        <xdr:cNvPicPr>
          <a:picLocks noChangeAspect="1"/>
        </xdr:cNvPicPr>
      </xdr:nvPicPr>
      <xdr:blipFill>
        <a:blip xmlns:r="http://schemas.openxmlformats.org/officeDocument/2006/relationships" r:embed="rId1978"/>
        <a:stretch>
          <a:fillRect/>
        </a:stretch>
      </xdr:blipFill>
      <xdr:spPr>
        <a:xfrm>
          <a:off x="7264400" y="2603090425"/>
          <a:ext cx="878840" cy="1183640"/>
        </a:xfrm>
        <a:prstGeom prst="rect">
          <a:avLst/>
        </a:prstGeom>
      </xdr:spPr>
    </xdr:pic>
    <xdr:clientData/>
  </xdr:twoCellAnchor>
  <xdr:twoCellAnchor>
    <xdr:from>
      <xdr:col>8</xdr:col>
      <xdr:colOff>6350</xdr:colOff>
      <xdr:row>2618</xdr:row>
      <xdr:rowOff>25400</xdr:rowOff>
    </xdr:from>
    <xdr:to>
      <xdr:col>8</xdr:col>
      <xdr:colOff>885190</xdr:colOff>
      <xdr:row>2618</xdr:row>
      <xdr:rowOff>1209040</xdr:rowOff>
    </xdr:to>
    <xdr:pic>
      <xdr:nvPicPr>
        <xdr:cNvPr id="6266" name="Изображение 6265" descr="resizeПП-00257371"/>
        <xdr:cNvPicPr>
          <a:picLocks noChangeAspect="1"/>
        </xdr:cNvPicPr>
      </xdr:nvPicPr>
      <xdr:blipFill>
        <a:blip xmlns:r="http://schemas.openxmlformats.org/officeDocument/2006/relationships" r:embed="rId1979"/>
        <a:stretch>
          <a:fillRect/>
        </a:stretch>
      </xdr:blipFill>
      <xdr:spPr>
        <a:xfrm>
          <a:off x="7264400" y="2604312800"/>
          <a:ext cx="878840" cy="1183640"/>
        </a:xfrm>
        <a:prstGeom prst="rect">
          <a:avLst/>
        </a:prstGeom>
      </xdr:spPr>
    </xdr:pic>
    <xdr:clientData/>
  </xdr:twoCellAnchor>
  <xdr:twoCellAnchor>
    <xdr:from>
      <xdr:col>8</xdr:col>
      <xdr:colOff>6350</xdr:colOff>
      <xdr:row>2619</xdr:row>
      <xdr:rowOff>25400</xdr:rowOff>
    </xdr:from>
    <xdr:to>
      <xdr:col>8</xdr:col>
      <xdr:colOff>885190</xdr:colOff>
      <xdr:row>2619</xdr:row>
      <xdr:rowOff>1209040</xdr:rowOff>
    </xdr:to>
    <xdr:pic>
      <xdr:nvPicPr>
        <xdr:cNvPr id="6267" name="Изображение 6266" descr="resizeПП-00275987"/>
        <xdr:cNvPicPr>
          <a:picLocks noChangeAspect="1"/>
        </xdr:cNvPicPr>
      </xdr:nvPicPr>
      <xdr:blipFill>
        <a:blip xmlns:r="http://schemas.openxmlformats.org/officeDocument/2006/relationships" r:embed="rId1980"/>
        <a:stretch>
          <a:fillRect/>
        </a:stretch>
      </xdr:blipFill>
      <xdr:spPr>
        <a:xfrm>
          <a:off x="7264400" y="2605535175"/>
          <a:ext cx="878840" cy="1183640"/>
        </a:xfrm>
        <a:prstGeom prst="rect">
          <a:avLst/>
        </a:prstGeom>
      </xdr:spPr>
    </xdr:pic>
    <xdr:clientData/>
  </xdr:twoCellAnchor>
  <xdr:twoCellAnchor>
    <xdr:from>
      <xdr:col>8</xdr:col>
      <xdr:colOff>6350</xdr:colOff>
      <xdr:row>2620</xdr:row>
      <xdr:rowOff>25400</xdr:rowOff>
    </xdr:from>
    <xdr:to>
      <xdr:col>8</xdr:col>
      <xdr:colOff>885190</xdr:colOff>
      <xdr:row>2620</xdr:row>
      <xdr:rowOff>1209040</xdr:rowOff>
    </xdr:to>
    <xdr:pic>
      <xdr:nvPicPr>
        <xdr:cNvPr id="6268" name="Изображение 6267" descr="resizeПП-00257375"/>
        <xdr:cNvPicPr>
          <a:picLocks noChangeAspect="1"/>
        </xdr:cNvPicPr>
      </xdr:nvPicPr>
      <xdr:blipFill>
        <a:blip xmlns:r="http://schemas.openxmlformats.org/officeDocument/2006/relationships" r:embed="rId1981"/>
        <a:stretch>
          <a:fillRect/>
        </a:stretch>
      </xdr:blipFill>
      <xdr:spPr>
        <a:xfrm>
          <a:off x="7264400" y="2606757550"/>
          <a:ext cx="878840" cy="1183640"/>
        </a:xfrm>
        <a:prstGeom prst="rect">
          <a:avLst/>
        </a:prstGeom>
      </xdr:spPr>
    </xdr:pic>
    <xdr:clientData/>
  </xdr:twoCellAnchor>
  <xdr:twoCellAnchor>
    <xdr:from>
      <xdr:col>8</xdr:col>
      <xdr:colOff>6350</xdr:colOff>
      <xdr:row>2621</xdr:row>
      <xdr:rowOff>25400</xdr:rowOff>
    </xdr:from>
    <xdr:to>
      <xdr:col>8</xdr:col>
      <xdr:colOff>885190</xdr:colOff>
      <xdr:row>2621</xdr:row>
      <xdr:rowOff>1209040</xdr:rowOff>
    </xdr:to>
    <xdr:pic>
      <xdr:nvPicPr>
        <xdr:cNvPr id="6269" name="Изображение 6268" descr="resizeПП-00166205"/>
        <xdr:cNvPicPr>
          <a:picLocks noChangeAspect="1"/>
        </xdr:cNvPicPr>
      </xdr:nvPicPr>
      <xdr:blipFill>
        <a:blip xmlns:r="http://schemas.openxmlformats.org/officeDocument/2006/relationships" r:embed="rId1982"/>
        <a:stretch>
          <a:fillRect/>
        </a:stretch>
      </xdr:blipFill>
      <xdr:spPr>
        <a:xfrm>
          <a:off x="7264400" y="2607979925"/>
          <a:ext cx="878840" cy="1183640"/>
        </a:xfrm>
        <a:prstGeom prst="rect">
          <a:avLst/>
        </a:prstGeom>
      </xdr:spPr>
    </xdr:pic>
    <xdr:clientData/>
  </xdr:twoCellAnchor>
  <xdr:twoCellAnchor>
    <xdr:from>
      <xdr:col>8</xdr:col>
      <xdr:colOff>6350</xdr:colOff>
      <xdr:row>2624</xdr:row>
      <xdr:rowOff>25400</xdr:rowOff>
    </xdr:from>
    <xdr:to>
      <xdr:col>8</xdr:col>
      <xdr:colOff>885190</xdr:colOff>
      <xdr:row>2624</xdr:row>
      <xdr:rowOff>1209040</xdr:rowOff>
    </xdr:to>
    <xdr:pic>
      <xdr:nvPicPr>
        <xdr:cNvPr id="6270" name="Изображение 6269" descr="resizeПП-00257142"/>
        <xdr:cNvPicPr>
          <a:picLocks noChangeAspect="1"/>
        </xdr:cNvPicPr>
      </xdr:nvPicPr>
      <xdr:blipFill>
        <a:blip xmlns:r="http://schemas.openxmlformats.org/officeDocument/2006/relationships" r:embed="rId1983"/>
        <a:stretch>
          <a:fillRect/>
        </a:stretch>
      </xdr:blipFill>
      <xdr:spPr>
        <a:xfrm>
          <a:off x="7264400" y="2609507100"/>
          <a:ext cx="878840" cy="1183640"/>
        </a:xfrm>
        <a:prstGeom prst="rect">
          <a:avLst/>
        </a:prstGeom>
      </xdr:spPr>
    </xdr:pic>
    <xdr:clientData/>
  </xdr:twoCellAnchor>
  <xdr:twoCellAnchor>
    <xdr:from>
      <xdr:col>8</xdr:col>
      <xdr:colOff>6350</xdr:colOff>
      <xdr:row>2626</xdr:row>
      <xdr:rowOff>25400</xdr:rowOff>
    </xdr:from>
    <xdr:to>
      <xdr:col>8</xdr:col>
      <xdr:colOff>885190</xdr:colOff>
      <xdr:row>2626</xdr:row>
      <xdr:rowOff>1209040</xdr:rowOff>
    </xdr:to>
    <xdr:pic>
      <xdr:nvPicPr>
        <xdr:cNvPr id="6271" name="Изображение 6270" descr="resizeПП-00260869"/>
        <xdr:cNvPicPr>
          <a:picLocks noChangeAspect="1"/>
        </xdr:cNvPicPr>
      </xdr:nvPicPr>
      <xdr:blipFill>
        <a:blip xmlns:r="http://schemas.openxmlformats.org/officeDocument/2006/relationships" r:embed="rId1984"/>
        <a:stretch>
          <a:fillRect/>
        </a:stretch>
      </xdr:blipFill>
      <xdr:spPr>
        <a:xfrm>
          <a:off x="7264400" y="2610881875"/>
          <a:ext cx="878840" cy="1183640"/>
        </a:xfrm>
        <a:prstGeom prst="rect">
          <a:avLst/>
        </a:prstGeom>
      </xdr:spPr>
    </xdr:pic>
    <xdr:clientData/>
  </xdr:twoCellAnchor>
  <xdr:twoCellAnchor>
    <xdr:from>
      <xdr:col>8</xdr:col>
      <xdr:colOff>6350</xdr:colOff>
      <xdr:row>2628</xdr:row>
      <xdr:rowOff>25400</xdr:rowOff>
    </xdr:from>
    <xdr:to>
      <xdr:col>8</xdr:col>
      <xdr:colOff>885190</xdr:colOff>
      <xdr:row>2628</xdr:row>
      <xdr:rowOff>1209040</xdr:rowOff>
    </xdr:to>
    <xdr:pic>
      <xdr:nvPicPr>
        <xdr:cNvPr id="6272" name="Изображение 6271" descr="resizeПП-00210016"/>
        <xdr:cNvPicPr>
          <a:picLocks noChangeAspect="1"/>
        </xdr:cNvPicPr>
      </xdr:nvPicPr>
      <xdr:blipFill>
        <a:blip xmlns:r="http://schemas.openxmlformats.org/officeDocument/2006/relationships" r:embed="rId1985"/>
        <a:stretch>
          <a:fillRect/>
        </a:stretch>
      </xdr:blipFill>
      <xdr:spPr>
        <a:xfrm>
          <a:off x="7264400" y="2612256650"/>
          <a:ext cx="878840" cy="1183640"/>
        </a:xfrm>
        <a:prstGeom prst="rect">
          <a:avLst/>
        </a:prstGeom>
      </xdr:spPr>
    </xdr:pic>
    <xdr:clientData/>
  </xdr:twoCellAnchor>
  <xdr:twoCellAnchor>
    <xdr:from>
      <xdr:col>8</xdr:col>
      <xdr:colOff>6350</xdr:colOff>
      <xdr:row>2630</xdr:row>
      <xdr:rowOff>25400</xdr:rowOff>
    </xdr:from>
    <xdr:to>
      <xdr:col>8</xdr:col>
      <xdr:colOff>885190</xdr:colOff>
      <xdr:row>2630</xdr:row>
      <xdr:rowOff>1209040</xdr:rowOff>
    </xdr:to>
    <xdr:pic>
      <xdr:nvPicPr>
        <xdr:cNvPr id="6273" name="Изображение 6272" descr="resizeПП-00276903"/>
        <xdr:cNvPicPr>
          <a:picLocks noChangeAspect="1"/>
        </xdr:cNvPicPr>
      </xdr:nvPicPr>
      <xdr:blipFill>
        <a:blip xmlns:r="http://schemas.openxmlformats.org/officeDocument/2006/relationships" r:embed="rId1986"/>
        <a:stretch>
          <a:fillRect/>
        </a:stretch>
      </xdr:blipFill>
      <xdr:spPr>
        <a:xfrm>
          <a:off x="7264400" y="2613631425"/>
          <a:ext cx="878840" cy="1183640"/>
        </a:xfrm>
        <a:prstGeom prst="rect">
          <a:avLst/>
        </a:prstGeom>
      </xdr:spPr>
    </xdr:pic>
    <xdr:clientData/>
  </xdr:twoCellAnchor>
  <xdr:twoCellAnchor>
    <xdr:from>
      <xdr:col>8</xdr:col>
      <xdr:colOff>6350</xdr:colOff>
      <xdr:row>2631</xdr:row>
      <xdr:rowOff>25400</xdr:rowOff>
    </xdr:from>
    <xdr:to>
      <xdr:col>8</xdr:col>
      <xdr:colOff>885190</xdr:colOff>
      <xdr:row>2631</xdr:row>
      <xdr:rowOff>1209040</xdr:rowOff>
    </xdr:to>
    <xdr:pic>
      <xdr:nvPicPr>
        <xdr:cNvPr id="6274" name="Изображение 6273" descr="resizeПП-00276906"/>
        <xdr:cNvPicPr>
          <a:picLocks noChangeAspect="1"/>
        </xdr:cNvPicPr>
      </xdr:nvPicPr>
      <xdr:blipFill>
        <a:blip xmlns:r="http://schemas.openxmlformats.org/officeDocument/2006/relationships" r:embed="rId1987"/>
        <a:stretch>
          <a:fillRect/>
        </a:stretch>
      </xdr:blipFill>
      <xdr:spPr>
        <a:xfrm>
          <a:off x="7264400" y="2614853800"/>
          <a:ext cx="878840" cy="1183640"/>
        </a:xfrm>
        <a:prstGeom prst="rect">
          <a:avLst/>
        </a:prstGeom>
      </xdr:spPr>
    </xdr:pic>
    <xdr:clientData/>
  </xdr:twoCellAnchor>
  <xdr:twoCellAnchor>
    <xdr:from>
      <xdr:col>8</xdr:col>
      <xdr:colOff>6350</xdr:colOff>
      <xdr:row>2632</xdr:row>
      <xdr:rowOff>25400</xdr:rowOff>
    </xdr:from>
    <xdr:to>
      <xdr:col>8</xdr:col>
      <xdr:colOff>885190</xdr:colOff>
      <xdr:row>2632</xdr:row>
      <xdr:rowOff>1209040</xdr:rowOff>
    </xdr:to>
    <xdr:pic>
      <xdr:nvPicPr>
        <xdr:cNvPr id="6275" name="Изображение 6274" descr="resizeПП-00276901"/>
        <xdr:cNvPicPr>
          <a:picLocks noChangeAspect="1"/>
        </xdr:cNvPicPr>
      </xdr:nvPicPr>
      <xdr:blipFill>
        <a:blip xmlns:r="http://schemas.openxmlformats.org/officeDocument/2006/relationships" r:embed="rId1988"/>
        <a:stretch>
          <a:fillRect/>
        </a:stretch>
      </xdr:blipFill>
      <xdr:spPr>
        <a:xfrm>
          <a:off x="7264400" y="2616076175"/>
          <a:ext cx="878840" cy="1183640"/>
        </a:xfrm>
        <a:prstGeom prst="rect">
          <a:avLst/>
        </a:prstGeom>
      </xdr:spPr>
    </xdr:pic>
    <xdr:clientData/>
  </xdr:twoCellAnchor>
  <xdr:twoCellAnchor>
    <xdr:from>
      <xdr:col>8</xdr:col>
      <xdr:colOff>6350</xdr:colOff>
      <xdr:row>2633</xdr:row>
      <xdr:rowOff>25400</xdr:rowOff>
    </xdr:from>
    <xdr:to>
      <xdr:col>8</xdr:col>
      <xdr:colOff>885190</xdr:colOff>
      <xdr:row>2633</xdr:row>
      <xdr:rowOff>1209040</xdr:rowOff>
    </xdr:to>
    <xdr:pic>
      <xdr:nvPicPr>
        <xdr:cNvPr id="6276" name="Изображение 6275" descr="resizeПП-00276905"/>
        <xdr:cNvPicPr>
          <a:picLocks noChangeAspect="1"/>
        </xdr:cNvPicPr>
      </xdr:nvPicPr>
      <xdr:blipFill>
        <a:blip xmlns:r="http://schemas.openxmlformats.org/officeDocument/2006/relationships" r:embed="rId1989"/>
        <a:stretch>
          <a:fillRect/>
        </a:stretch>
      </xdr:blipFill>
      <xdr:spPr>
        <a:xfrm>
          <a:off x="7264400" y="2617298550"/>
          <a:ext cx="878840" cy="1183640"/>
        </a:xfrm>
        <a:prstGeom prst="rect">
          <a:avLst/>
        </a:prstGeom>
      </xdr:spPr>
    </xdr:pic>
    <xdr:clientData/>
  </xdr:twoCellAnchor>
  <xdr:twoCellAnchor>
    <xdr:from>
      <xdr:col>8</xdr:col>
      <xdr:colOff>6350</xdr:colOff>
      <xdr:row>2634</xdr:row>
      <xdr:rowOff>25400</xdr:rowOff>
    </xdr:from>
    <xdr:to>
      <xdr:col>8</xdr:col>
      <xdr:colOff>885190</xdr:colOff>
      <xdr:row>2634</xdr:row>
      <xdr:rowOff>1209040</xdr:rowOff>
    </xdr:to>
    <xdr:pic>
      <xdr:nvPicPr>
        <xdr:cNvPr id="6277" name="Изображение 6276" descr="resizeПП-00276907"/>
        <xdr:cNvPicPr>
          <a:picLocks noChangeAspect="1"/>
        </xdr:cNvPicPr>
      </xdr:nvPicPr>
      <xdr:blipFill>
        <a:blip xmlns:r="http://schemas.openxmlformats.org/officeDocument/2006/relationships" r:embed="rId1990"/>
        <a:stretch>
          <a:fillRect/>
        </a:stretch>
      </xdr:blipFill>
      <xdr:spPr>
        <a:xfrm>
          <a:off x="7264400" y="2618520925"/>
          <a:ext cx="878840" cy="1183640"/>
        </a:xfrm>
        <a:prstGeom prst="rect">
          <a:avLst/>
        </a:prstGeom>
      </xdr:spPr>
    </xdr:pic>
    <xdr:clientData/>
  </xdr:twoCellAnchor>
  <xdr:twoCellAnchor>
    <xdr:from>
      <xdr:col>8</xdr:col>
      <xdr:colOff>6350</xdr:colOff>
      <xdr:row>2636</xdr:row>
      <xdr:rowOff>25400</xdr:rowOff>
    </xdr:from>
    <xdr:to>
      <xdr:col>8</xdr:col>
      <xdr:colOff>885190</xdr:colOff>
      <xdr:row>2636</xdr:row>
      <xdr:rowOff>1209040</xdr:rowOff>
    </xdr:to>
    <xdr:pic>
      <xdr:nvPicPr>
        <xdr:cNvPr id="6278" name="Изображение 6277" descr="resizeПП-00257391"/>
        <xdr:cNvPicPr>
          <a:picLocks noChangeAspect="1"/>
        </xdr:cNvPicPr>
      </xdr:nvPicPr>
      <xdr:blipFill>
        <a:blip xmlns:r="http://schemas.openxmlformats.org/officeDocument/2006/relationships" r:embed="rId1991"/>
        <a:stretch>
          <a:fillRect/>
        </a:stretch>
      </xdr:blipFill>
      <xdr:spPr>
        <a:xfrm>
          <a:off x="7264400" y="2619895700"/>
          <a:ext cx="878840" cy="1183640"/>
        </a:xfrm>
        <a:prstGeom prst="rect">
          <a:avLst/>
        </a:prstGeom>
      </xdr:spPr>
    </xdr:pic>
    <xdr:clientData/>
  </xdr:twoCellAnchor>
  <xdr:twoCellAnchor>
    <xdr:from>
      <xdr:col>8</xdr:col>
      <xdr:colOff>6350</xdr:colOff>
      <xdr:row>2637</xdr:row>
      <xdr:rowOff>25400</xdr:rowOff>
    </xdr:from>
    <xdr:to>
      <xdr:col>8</xdr:col>
      <xdr:colOff>885190</xdr:colOff>
      <xdr:row>2637</xdr:row>
      <xdr:rowOff>1209040</xdr:rowOff>
    </xdr:to>
    <xdr:pic>
      <xdr:nvPicPr>
        <xdr:cNvPr id="6279" name="Изображение 6278" descr="resizeПП-00257386"/>
        <xdr:cNvPicPr>
          <a:picLocks noChangeAspect="1"/>
        </xdr:cNvPicPr>
      </xdr:nvPicPr>
      <xdr:blipFill>
        <a:blip xmlns:r="http://schemas.openxmlformats.org/officeDocument/2006/relationships" r:embed="rId1992"/>
        <a:stretch>
          <a:fillRect/>
        </a:stretch>
      </xdr:blipFill>
      <xdr:spPr>
        <a:xfrm>
          <a:off x="7264400" y="2621118075"/>
          <a:ext cx="878840" cy="1183640"/>
        </a:xfrm>
        <a:prstGeom prst="rect">
          <a:avLst/>
        </a:prstGeom>
      </xdr:spPr>
    </xdr:pic>
    <xdr:clientData/>
  </xdr:twoCellAnchor>
  <xdr:twoCellAnchor>
    <xdr:from>
      <xdr:col>8</xdr:col>
      <xdr:colOff>6350</xdr:colOff>
      <xdr:row>2640</xdr:row>
      <xdr:rowOff>25400</xdr:rowOff>
    </xdr:from>
    <xdr:to>
      <xdr:col>8</xdr:col>
      <xdr:colOff>885190</xdr:colOff>
      <xdr:row>2640</xdr:row>
      <xdr:rowOff>1209040</xdr:rowOff>
    </xdr:to>
    <xdr:pic>
      <xdr:nvPicPr>
        <xdr:cNvPr id="6280" name="Изображение 6279" descr="resizeПП-00257394"/>
        <xdr:cNvPicPr>
          <a:picLocks noChangeAspect="1"/>
        </xdr:cNvPicPr>
      </xdr:nvPicPr>
      <xdr:blipFill>
        <a:blip xmlns:r="http://schemas.openxmlformats.org/officeDocument/2006/relationships" r:embed="rId1993"/>
        <a:stretch>
          <a:fillRect/>
        </a:stretch>
      </xdr:blipFill>
      <xdr:spPr>
        <a:xfrm>
          <a:off x="7264400" y="2622645250"/>
          <a:ext cx="878840" cy="1183640"/>
        </a:xfrm>
        <a:prstGeom prst="rect">
          <a:avLst/>
        </a:prstGeom>
      </xdr:spPr>
    </xdr:pic>
    <xdr:clientData/>
  </xdr:twoCellAnchor>
  <xdr:twoCellAnchor>
    <xdr:from>
      <xdr:col>8</xdr:col>
      <xdr:colOff>6350</xdr:colOff>
      <xdr:row>2641</xdr:row>
      <xdr:rowOff>25400</xdr:rowOff>
    </xdr:from>
    <xdr:to>
      <xdr:col>8</xdr:col>
      <xdr:colOff>885190</xdr:colOff>
      <xdr:row>2641</xdr:row>
      <xdr:rowOff>1209040</xdr:rowOff>
    </xdr:to>
    <xdr:pic>
      <xdr:nvPicPr>
        <xdr:cNvPr id="6281" name="Изображение 6280" descr="resizeПП-00191359"/>
        <xdr:cNvPicPr>
          <a:picLocks noChangeAspect="1"/>
        </xdr:cNvPicPr>
      </xdr:nvPicPr>
      <xdr:blipFill>
        <a:blip xmlns:r="http://schemas.openxmlformats.org/officeDocument/2006/relationships" r:embed="rId1994"/>
        <a:stretch>
          <a:fillRect/>
        </a:stretch>
      </xdr:blipFill>
      <xdr:spPr>
        <a:xfrm>
          <a:off x="7264400" y="2623867625"/>
          <a:ext cx="878840" cy="1183640"/>
        </a:xfrm>
        <a:prstGeom prst="rect">
          <a:avLst/>
        </a:prstGeom>
      </xdr:spPr>
    </xdr:pic>
    <xdr:clientData/>
  </xdr:twoCellAnchor>
  <xdr:twoCellAnchor>
    <xdr:from>
      <xdr:col>8</xdr:col>
      <xdr:colOff>6350</xdr:colOff>
      <xdr:row>2643</xdr:row>
      <xdr:rowOff>25400</xdr:rowOff>
    </xdr:from>
    <xdr:to>
      <xdr:col>8</xdr:col>
      <xdr:colOff>885190</xdr:colOff>
      <xdr:row>2643</xdr:row>
      <xdr:rowOff>1209040</xdr:rowOff>
    </xdr:to>
    <xdr:pic>
      <xdr:nvPicPr>
        <xdr:cNvPr id="6282" name="Изображение 6281" descr="resizeПП-00257397"/>
        <xdr:cNvPicPr>
          <a:picLocks noChangeAspect="1"/>
        </xdr:cNvPicPr>
      </xdr:nvPicPr>
      <xdr:blipFill>
        <a:blip xmlns:r="http://schemas.openxmlformats.org/officeDocument/2006/relationships" r:embed="rId1995"/>
        <a:stretch>
          <a:fillRect/>
        </a:stretch>
      </xdr:blipFill>
      <xdr:spPr>
        <a:xfrm>
          <a:off x="7264400" y="2625242400"/>
          <a:ext cx="878840" cy="1183640"/>
        </a:xfrm>
        <a:prstGeom prst="rect">
          <a:avLst/>
        </a:prstGeom>
      </xdr:spPr>
    </xdr:pic>
    <xdr:clientData/>
  </xdr:twoCellAnchor>
  <xdr:twoCellAnchor>
    <xdr:from>
      <xdr:col>8</xdr:col>
      <xdr:colOff>6350</xdr:colOff>
      <xdr:row>2645</xdr:row>
      <xdr:rowOff>25400</xdr:rowOff>
    </xdr:from>
    <xdr:to>
      <xdr:col>8</xdr:col>
      <xdr:colOff>885190</xdr:colOff>
      <xdr:row>2645</xdr:row>
      <xdr:rowOff>1209040</xdr:rowOff>
    </xdr:to>
    <xdr:pic>
      <xdr:nvPicPr>
        <xdr:cNvPr id="6283" name="Изображение 6282" descr="resizeПП-00257416"/>
        <xdr:cNvPicPr>
          <a:picLocks noChangeAspect="1"/>
        </xdr:cNvPicPr>
      </xdr:nvPicPr>
      <xdr:blipFill>
        <a:blip xmlns:r="http://schemas.openxmlformats.org/officeDocument/2006/relationships" r:embed="rId1996"/>
        <a:stretch>
          <a:fillRect/>
        </a:stretch>
      </xdr:blipFill>
      <xdr:spPr>
        <a:xfrm>
          <a:off x="7264400" y="2626617175"/>
          <a:ext cx="878840" cy="1183640"/>
        </a:xfrm>
        <a:prstGeom prst="rect">
          <a:avLst/>
        </a:prstGeom>
      </xdr:spPr>
    </xdr:pic>
    <xdr:clientData/>
  </xdr:twoCellAnchor>
  <xdr:twoCellAnchor>
    <xdr:from>
      <xdr:col>8</xdr:col>
      <xdr:colOff>6350</xdr:colOff>
      <xdr:row>2646</xdr:row>
      <xdr:rowOff>25400</xdr:rowOff>
    </xdr:from>
    <xdr:to>
      <xdr:col>8</xdr:col>
      <xdr:colOff>885190</xdr:colOff>
      <xdr:row>2646</xdr:row>
      <xdr:rowOff>1209040</xdr:rowOff>
    </xdr:to>
    <xdr:pic>
      <xdr:nvPicPr>
        <xdr:cNvPr id="6284" name="Изображение 6283" descr="resizeПП-00193016"/>
        <xdr:cNvPicPr>
          <a:picLocks noChangeAspect="1"/>
        </xdr:cNvPicPr>
      </xdr:nvPicPr>
      <xdr:blipFill>
        <a:blip xmlns:r="http://schemas.openxmlformats.org/officeDocument/2006/relationships" r:embed="rId1997"/>
        <a:stretch>
          <a:fillRect/>
        </a:stretch>
      </xdr:blipFill>
      <xdr:spPr>
        <a:xfrm>
          <a:off x="7264400" y="2627839550"/>
          <a:ext cx="878840" cy="1183640"/>
        </a:xfrm>
        <a:prstGeom prst="rect">
          <a:avLst/>
        </a:prstGeom>
      </xdr:spPr>
    </xdr:pic>
    <xdr:clientData/>
  </xdr:twoCellAnchor>
  <xdr:twoCellAnchor>
    <xdr:from>
      <xdr:col>8</xdr:col>
      <xdr:colOff>6350</xdr:colOff>
      <xdr:row>2649</xdr:row>
      <xdr:rowOff>25400</xdr:rowOff>
    </xdr:from>
    <xdr:to>
      <xdr:col>8</xdr:col>
      <xdr:colOff>885190</xdr:colOff>
      <xdr:row>2649</xdr:row>
      <xdr:rowOff>1209040</xdr:rowOff>
    </xdr:to>
    <xdr:pic>
      <xdr:nvPicPr>
        <xdr:cNvPr id="6285" name="Изображение 6284" descr="resizeПП-00257422"/>
        <xdr:cNvPicPr>
          <a:picLocks noChangeAspect="1"/>
        </xdr:cNvPicPr>
      </xdr:nvPicPr>
      <xdr:blipFill>
        <a:blip xmlns:r="http://schemas.openxmlformats.org/officeDocument/2006/relationships" r:embed="rId1998"/>
        <a:stretch>
          <a:fillRect/>
        </a:stretch>
      </xdr:blipFill>
      <xdr:spPr>
        <a:xfrm>
          <a:off x="7264400" y="2629366725"/>
          <a:ext cx="878840" cy="1183640"/>
        </a:xfrm>
        <a:prstGeom prst="rect">
          <a:avLst/>
        </a:prstGeom>
      </xdr:spPr>
    </xdr:pic>
    <xdr:clientData/>
  </xdr:twoCellAnchor>
  <xdr:twoCellAnchor>
    <xdr:from>
      <xdr:col>8</xdr:col>
      <xdr:colOff>6350</xdr:colOff>
      <xdr:row>2653</xdr:row>
      <xdr:rowOff>25400</xdr:rowOff>
    </xdr:from>
    <xdr:to>
      <xdr:col>8</xdr:col>
      <xdr:colOff>885190</xdr:colOff>
      <xdr:row>2653</xdr:row>
      <xdr:rowOff>1209040</xdr:rowOff>
    </xdr:to>
    <xdr:pic>
      <xdr:nvPicPr>
        <xdr:cNvPr id="6286" name="Изображение 6285" descr="resizeПП-00270515"/>
        <xdr:cNvPicPr>
          <a:picLocks noChangeAspect="1"/>
        </xdr:cNvPicPr>
      </xdr:nvPicPr>
      <xdr:blipFill>
        <a:blip xmlns:r="http://schemas.openxmlformats.org/officeDocument/2006/relationships" r:embed="rId1999"/>
        <a:stretch>
          <a:fillRect/>
        </a:stretch>
      </xdr:blipFill>
      <xdr:spPr>
        <a:xfrm>
          <a:off x="7264400" y="2631046300"/>
          <a:ext cx="878840" cy="1183640"/>
        </a:xfrm>
        <a:prstGeom prst="rect">
          <a:avLst/>
        </a:prstGeom>
      </xdr:spPr>
    </xdr:pic>
    <xdr:clientData/>
  </xdr:twoCellAnchor>
  <xdr:twoCellAnchor>
    <xdr:from>
      <xdr:col>8</xdr:col>
      <xdr:colOff>6350</xdr:colOff>
      <xdr:row>2654</xdr:row>
      <xdr:rowOff>25400</xdr:rowOff>
    </xdr:from>
    <xdr:to>
      <xdr:col>8</xdr:col>
      <xdr:colOff>1189990</xdr:colOff>
      <xdr:row>2654</xdr:row>
      <xdr:rowOff>904240</xdr:rowOff>
    </xdr:to>
    <xdr:pic>
      <xdr:nvPicPr>
        <xdr:cNvPr id="6287" name="Изображение 6286" descr="resizeПП-00251830"/>
        <xdr:cNvPicPr>
          <a:picLocks noChangeAspect="1"/>
        </xdr:cNvPicPr>
      </xdr:nvPicPr>
      <xdr:blipFill>
        <a:blip xmlns:r="http://schemas.openxmlformats.org/officeDocument/2006/relationships" r:embed="rId2000"/>
        <a:stretch>
          <a:fillRect/>
        </a:stretch>
      </xdr:blipFill>
      <xdr:spPr>
        <a:xfrm>
          <a:off x="7264400" y="2632268675"/>
          <a:ext cx="1183640" cy="878840"/>
        </a:xfrm>
        <a:prstGeom prst="rect">
          <a:avLst/>
        </a:prstGeom>
      </xdr:spPr>
    </xdr:pic>
    <xdr:clientData/>
  </xdr:twoCellAnchor>
  <xdr:twoCellAnchor>
    <xdr:from>
      <xdr:col>8</xdr:col>
      <xdr:colOff>6350</xdr:colOff>
      <xdr:row>2655</xdr:row>
      <xdr:rowOff>25400</xdr:rowOff>
    </xdr:from>
    <xdr:to>
      <xdr:col>8</xdr:col>
      <xdr:colOff>885190</xdr:colOff>
      <xdr:row>2655</xdr:row>
      <xdr:rowOff>1209040</xdr:rowOff>
    </xdr:to>
    <xdr:pic>
      <xdr:nvPicPr>
        <xdr:cNvPr id="6288" name="Изображение 6287" descr="resizeПП-00270521"/>
        <xdr:cNvPicPr>
          <a:picLocks noChangeAspect="1"/>
        </xdr:cNvPicPr>
      </xdr:nvPicPr>
      <xdr:blipFill>
        <a:blip xmlns:r="http://schemas.openxmlformats.org/officeDocument/2006/relationships" r:embed="rId2001"/>
        <a:stretch>
          <a:fillRect/>
        </a:stretch>
      </xdr:blipFill>
      <xdr:spPr>
        <a:xfrm>
          <a:off x="7264400" y="2633491050"/>
          <a:ext cx="878840" cy="1183640"/>
        </a:xfrm>
        <a:prstGeom prst="rect">
          <a:avLst/>
        </a:prstGeom>
      </xdr:spPr>
    </xdr:pic>
    <xdr:clientData/>
  </xdr:twoCellAnchor>
  <xdr:twoCellAnchor>
    <xdr:from>
      <xdr:col>8</xdr:col>
      <xdr:colOff>6350</xdr:colOff>
      <xdr:row>2656</xdr:row>
      <xdr:rowOff>25400</xdr:rowOff>
    </xdr:from>
    <xdr:to>
      <xdr:col>8</xdr:col>
      <xdr:colOff>885190</xdr:colOff>
      <xdr:row>2656</xdr:row>
      <xdr:rowOff>1209040</xdr:rowOff>
    </xdr:to>
    <xdr:pic>
      <xdr:nvPicPr>
        <xdr:cNvPr id="6289" name="Изображение 6288" descr="resizeПП-00129280"/>
        <xdr:cNvPicPr>
          <a:picLocks noChangeAspect="1"/>
        </xdr:cNvPicPr>
      </xdr:nvPicPr>
      <xdr:blipFill>
        <a:blip xmlns:r="http://schemas.openxmlformats.org/officeDocument/2006/relationships" r:embed="rId2002"/>
        <a:stretch>
          <a:fillRect/>
        </a:stretch>
      </xdr:blipFill>
      <xdr:spPr>
        <a:xfrm>
          <a:off x="7264400" y="2634713425"/>
          <a:ext cx="878840" cy="1183640"/>
        </a:xfrm>
        <a:prstGeom prst="rect">
          <a:avLst/>
        </a:prstGeom>
      </xdr:spPr>
    </xdr:pic>
    <xdr:clientData/>
  </xdr:twoCellAnchor>
  <xdr:twoCellAnchor>
    <xdr:from>
      <xdr:col>8</xdr:col>
      <xdr:colOff>6350</xdr:colOff>
      <xdr:row>2657</xdr:row>
      <xdr:rowOff>25400</xdr:rowOff>
    </xdr:from>
    <xdr:to>
      <xdr:col>8</xdr:col>
      <xdr:colOff>885190</xdr:colOff>
      <xdr:row>2657</xdr:row>
      <xdr:rowOff>1209040</xdr:rowOff>
    </xdr:to>
    <xdr:pic>
      <xdr:nvPicPr>
        <xdr:cNvPr id="6290" name="Изображение 6289" descr="resizeПП-00270516"/>
        <xdr:cNvPicPr>
          <a:picLocks noChangeAspect="1"/>
        </xdr:cNvPicPr>
      </xdr:nvPicPr>
      <xdr:blipFill>
        <a:blip xmlns:r="http://schemas.openxmlformats.org/officeDocument/2006/relationships" r:embed="rId2003"/>
        <a:stretch>
          <a:fillRect/>
        </a:stretch>
      </xdr:blipFill>
      <xdr:spPr>
        <a:xfrm>
          <a:off x="7264400" y="2635935800"/>
          <a:ext cx="878840" cy="1183640"/>
        </a:xfrm>
        <a:prstGeom prst="rect">
          <a:avLst/>
        </a:prstGeom>
      </xdr:spPr>
    </xdr:pic>
    <xdr:clientData/>
  </xdr:twoCellAnchor>
  <xdr:twoCellAnchor>
    <xdr:from>
      <xdr:col>8</xdr:col>
      <xdr:colOff>6350</xdr:colOff>
      <xdr:row>2658</xdr:row>
      <xdr:rowOff>25400</xdr:rowOff>
    </xdr:from>
    <xdr:to>
      <xdr:col>8</xdr:col>
      <xdr:colOff>1189990</xdr:colOff>
      <xdr:row>2658</xdr:row>
      <xdr:rowOff>904240</xdr:rowOff>
    </xdr:to>
    <xdr:pic>
      <xdr:nvPicPr>
        <xdr:cNvPr id="6291" name="Изображение 6290" descr="resizeПП-00227412"/>
        <xdr:cNvPicPr>
          <a:picLocks noChangeAspect="1"/>
        </xdr:cNvPicPr>
      </xdr:nvPicPr>
      <xdr:blipFill>
        <a:blip xmlns:r="http://schemas.openxmlformats.org/officeDocument/2006/relationships" r:embed="rId2004"/>
        <a:stretch>
          <a:fillRect/>
        </a:stretch>
      </xdr:blipFill>
      <xdr:spPr>
        <a:xfrm>
          <a:off x="7264400" y="2637158175"/>
          <a:ext cx="1183640" cy="878840"/>
        </a:xfrm>
        <a:prstGeom prst="rect">
          <a:avLst/>
        </a:prstGeom>
      </xdr:spPr>
    </xdr:pic>
    <xdr:clientData/>
  </xdr:twoCellAnchor>
  <xdr:twoCellAnchor>
    <xdr:from>
      <xdr:col>8</xdr:col>
      <xdr:colOff>6350</xdr:colOff>
      <xdr:row>2659</xdr:row>
      <xdr:rowOff>25400</xdr:rowOff>
    </xdr:from>
    <xdr:to>
      <xdr:col>8</xdr:col>
      <xdr:colOff>1189990</xdr:colOff>
      <xdr:row>2659</xdr:row>
      <xdr:rowOff>904240</xdr:rowOff>
    </xdr:to>
    <xdr:pic>
      <xdr:nvPicPr>
        <xdr:cNvPr id="6292" name="Изображение 6291" descr="resizeПП-00227415"/>
        <xdr:cNvPicPr>
          <a:picLocks noChangeAspect="1"/>
        </xdr:cNvPicPr>
      </xdr:nvPicPr>
      <xdr:blipFill>
        <a:blip xmlns:r="http://schemas.openxmlformats.org/officeDocument/2006/relationships" r:embed="rId2005"/>
        <a:stretch>
          <a:fillRect/>
        </a:stretch>
      </xdr:blipFill>
      <xdr:spPr>
        <a:xfrm>
          <a:off x="7264400" y="2638380550"/>
          <a:ext cx="1183640" cy="878840"/>
        </a:xfrm>
        <a:prstGeom prst="rect">
          <a:avLst/>
        </a:prstGeom>
      </xdr:spPr>
    </xdr:pic>
    <xdr:clientData/>
  </xdr:twoCellAnchor>
  <xdr:twoCellAnchor>
    <xdr:from>
      <xdr:col>8</xdr:col>
      <xdr:colOff>6350</xdr:colOff>
      <xdr:row>2660</xdr:row>
      <xdr:rowOff>25400</xdr:rowOff>
    </xdr:from>
    <xdr:to>
      <xdr:col>8</xdr:col>
      <xdr:colOff>1189990</xdr:colOff>
      <xdr:row>2660</xdr:row>
      <xdr:rowOff>904240</xdr:rowOff>
    </xdr:to>
    <xdr:pic>
      <xdr:nvPicPr>
        <xdr:cNvPr id="6293" name="Изображение 6292" descr="resizeПП-00251832"/>
        <xdr:cNvPicPr>
          <a:picLocks noChangeAspect="1"/>
        </xdr:cNvPicPr>
      </xdr:nvPicPr>
      <xdr:blipFill>
        <a:blip xmlns:r="http://schemas.openxmlformats.org/officeDocument/2006/relationships" r:embed="rId2006"/>
        <a:stretch>
          <a:fillRect/>
        </a:stretch>
      </xdr:blipFill>
      <xdr:spPr>
        <a:xfrm>
          <a:off x="7264400" y="2639602925"/>
          <a:ext cx="1183640" cy="878840"/>
        </a:xfrm>
        <a:prstGeom prst="rect">
          <a:avLst/>
        </a:prstGeom>
      </xdr:spPr>
    </xdr:pic>
    <xdr:clientData/>
  </xdr:twoCellAnchor>
  <xdr:twoCellAnchor>
    <xdr:from>
      <xdr:col>8</xdr:col>
      <xdr:colOff>6350</xdr:colOff>
      <xdr:row>2661</xdr:row>
      <xdr:rowOff>25400</xdr:rowOff>
    </xdr:from>
    <xdr:to>
      <xdr:col>8</xdr:col>
      <xdr:colOff>885190</xdr:colOff>
      <xdr:row>2661</xdr:row>
      <xdr:rowOff>1209040</xdr:rowOff>
    </xdr:to>
    <xdr:pic>
      <xdr:nvPicPr>
        <xdr:cNvPr id="6294" name="Изображение 6293" descr="resizeПП-00270518"/>
        <xdr:cNvPicPr>
          <a:picLocks noChangeAspect="1"/>
        </xdr:cNvPicPr>
      </xdr:nvPicPr>
      <xdr:blipFill>
        <a:blip xmlns:r="http://schemas.openxmlformats.org/officeDocument/2006/relationships" r:embed="rId2007"/>
        <a:stretch>
          <a:fillRect/>
        </a:stretch>
      </xdr:blipFill>
      <xdr:spPr>
        <a:xfrm>
          <a:off x="7264400" y="2640825300"/>
          <a:ext cx="878840" cy="1183640"/>
        </a:xfrm>
        <a:prstGeom prst="rect">
          <a:avLst/>
        </a:prstGeom>
      </xdr:spPr>
    </xdr:pic>
    <xdr:clientData/>
  </xdr:twoCellAnchor>
  <xdr:twoCellAnchor>
    <xdr:from>
      <xdr:col>8</xdr:col>
      <xdr:colOff>6350</xdr:colOff>
      <xdr:row>2662</xdr:row>
      <xdr:rowOff>25400</xdr:rowOff>
    </xdr:from>
    <xdr:to>
      <xdr:col>8</xdr:col>
      <xdr:colOff>885190</xdr:colOff>
      <xdr:row>2662</xdr:row>
      <xdr:rowOff>1209040</xdr:rowOff>
    </xdr:to>
    <xdr:pic>
      <xdr:nvPicPr>
        <xdr:cNvPr id="6295" name="Изображение 6294" descr="resizeПП-00270520"/>
        <xdr:cNvPicPr>
          <a:picLocks noChangeAspect="1"/>
        </xdr:cNvPicPr>
      </xdr:nvPicPr>
      <xdr:blipFill>
        <a:blip xmlns:r="http://schemas.openxmlformats.org/officeDocument/2006/relationships" r:embed="rId2008"/>
        <a:stretch>
          <a:fillRect/>
        </a:stretch>
      </xdr:blipFill>
      <xdr:spPr>
        <a:xfrm>
          <a:off x="7264400" y="2642047675"/>
          <a:ext cx="878840" cy="1183640"/>
        </a:xfrm>
        <a:prstGeom prst="rect">
          <a:avLst/>
        </a:prstGeom>
      </xdr:spPr>
    </xdr:pic>
    <xdr:clientData/>
  </xdr:twoCellAnchor>
  <xdr:twoCellAnchor>
    <xdr:from>
      <xdr:col>8</xdr:col>
      <xdr:colOff>6350</xdr:colOff>
      <xdr:row>2663</xdr:row>
      <xdr:rowOff>25400</xdr:rowOff>
    </xdr:from>
    <xdr:to>
      <xdr:col>8</xdr:col>
      <xdr:colOff>1189990</xdr:colOff>
      <xdr:row>2663</xdr:row>
      <xdr:rowOff>904240</xdr:rowOff>
    </xdr:to>
    <xdr:pic>
      <xdr:nvPicPr>
        <xdr:cNvPr id="6296" name="Изображение 6295" descr="resizeПП-00227414"/>
        <xdr:cNvPicPr>
          <a:picLocks noChangeAspect="1"/>
        </xdr:cNvPicPr>
      </xdr:nvPicPr>
      <xdr:blipFill>
        <a:blip xmlns:r="http://schemas.openxmlformats.org/officeDocument/2006/relationships" r:embed="rId2009"/>
        <a:stretch>
          <a:fillRect/>
        </a:stretch>
      </xdr:blipFill>
      <xdr:spPr>
        <a:xfrm>
          <a:off x="7264400" y="2643270050"/>
          <a:ext cx="1183640" cy="878840"/>
        </a:xfrm>
        <a:prstGeom prst="rect">
          <a:avLst/>
        </a:prstGeom>
      </xdr:spPr>
    </xdr:pic>
    <xdr:clientData/>
  </xdr:twoCellAnchor>
  <xdr:twoCellAnchor>
    <xdr:from>
      <xdr:col>8</xdr:col>
      <xdr:colOff>6350</xdr:colOff>
      <xdr:row>2664</xdr:row>
      <xdr:rowOff>25400</xdr:rowOff>
    </xdr:from>
    <xdr:to>
      <xdr:col>8</xdr:col>
      <xdr:colOff>885190</xdr:colOff>
      <xdr:row>2664</xdr:row>
      <xdr:rowOff>1209040</xdr:rowOff>
    </xdr:to>
    <xdr:pic>
      <xdr:nvPicPr>
        <xdr:cNvPr id="6297" name="Изображение 6296" descr="resizeПП-00270517"/>
        <xdr:cNvPicPr>
          <a:picLocks noChangeAspect="1"/>
        </xdr:cNvPicPr>
      </xdr:nvPicPr>
      <xdr:blipFill>
        <a:blip xmlns:r="http://schemas.openxmlformats.org/officeDocument/2006/relationships" r:embed="rId2010"/>
        <a:stretch>
          <a:fillRect/>
        </a:stretch>
      </xdr:blipFill>
      <xdr:spPr>
        <a:xfrm>
          <a:off x="7264400" y="2644492425"/>
          <a:ext cx="878840" cy="1183640"/>
        </a:xfrm>
        <a:prstGeom prst="rect">
          <a:avLst/>
        </a:prstGeom>
      </xdr:spPr>
    </xdr:pic>
    <xdr:clientData/>
  </xdr:twoCellAnchor>
  <xdr:twoCellAnchor>
    <xdr:from>
      <xdr:col>8</xdr:col>
      <xdr:colOff>6350</xdr:colOff>
      <xdr:row>2665</xdr:row>
      <xdr:rowOff>25400</xdr:rowOff>
    </xdr:from>
    <xdr:to>
      <xdr:col>8</xdr:col>
      <xdr:colOff>885190</xdr:colOff>
      <xdr:row>2665</xdr:row>
      <xdr:rowOff>1209040</xdr:rowOff>
    </xdr:to>
    <xdr:pic>
      <xdr:nvPicPr>
        <xdr:cNvPr id="6298" name="Изображение 6297" descr="resizeПП-00270519"/>
        <xdr:cNvPicPr>
          <a:picLocks noChangeAspect="1"/>
        </xdr:cNvPicPr>
      </xdr:nvPicPr>
      <xdr:blipFill>
        <a:blip xmlns:r="http://schemas.openxmlformats.org/officeDocument/2006/relationships" r:embed="rId2011"/>
        <a:stretch>
          <a:fillRect/>
        </a:stretch>
      </xdr:blipFill>
      <xdr:spPr>
        <a:xfrm>
          <a:off x="7264400" y="2645714800"/>
          <a:ext cx="878840" cy="1183640"/>
        </a:xfrm>
        <a:prstGeom prst="rect">
          <a:avLst/>
        </a:prstGeom>
      </xdr:spPr>
    </xdr:pic>
    <xdr:clientData/>
  </xdr:twoCellAnchor>
  <xdr:twoCellAnchor>
    <xdr:from>
      <xdr:col>8</xdr:col>
      <xdr:colOff>6350</xdr:colOff>
      <xdr:row>2666</xdr:row>
      <xdr:rowOff>25400</xdr:rowOff>
    </xdr:from>
    <xdr:to>
      <xdr:col>8</xdr:col>
      <xdr:colOff>1189990</xdr:colOff>
      <xdr:row>2666</xdr:row>
      <xdr:rowOff>904240</xdr:rowOff>
    </xdr:to>
    <xdr:pic>
      <xdr:nvPicPr>
        <xdr:cNvPr id="6299" name="Изображение 6298" descr="resizeПП-00227402"/>
        <xdr:cNvPicPr>
          <a:picLocks noChangeAspect="1"/>
        </xdr:cNvPicPr>
      </xdr:nvPicPr>
      <xdr:blipFill>
        <a:blip xmlns:r="http://schemas.openxmlformats.org/officeDocument/2006/relationships" r:embed="rId2012"/>
        <a:stretch>
          <a:fillRect/>
        </a:stretch>
      </xdr:blipFill>
      <xdr:spPr>
        <a:xfrm>
          <a:off x="7264400" y="2646937175"/>
          <a:ext cx="1183640" cy="878840"/>
        </a:xfrm>
        <a:prstGeom prst="rect">
          <a:avLst/>
        </a:prstGeom>
      </xdr:spPr>
    </xdr:pic>
    <xdr:clientData/>
  </xdr:twoCellAnchor>
  <xdr:twoCellAnchor>
    <xdr:from>
      <xdr:col>8</xdr:col>
      <xdr:colOff>6350</xdr:colOff>
      <xdr:row>2668</xdr:row>
      <xdr:rowOff>25400</xdr:rowOff>
    </xdr:from>
    <xdr:to>
      <xdr:col>8</xdr:col>
      <xdr:colOff>1189990</xdr:colOff>
      <xdr:row>2668</xdr:row>
      <xdr:rowOff>904240</xdr:rowOff>
    </xdr:to>
    <xdr:pic>
      <xdr:nvPicPr>
        <xdr:cNvPr id="6300" name="Изображение 6299" descr="resizeПП-00227464"/>
        <xdr:cNvPicPr>
          <a:picLocks noChangeAspect="1"/>
        </xdr:cNvPicPr>
      </xdr:nvPicPr>
      <xdr:blipFill>
        <a:blip xmlns:r="http://schemas.openxmlformats.org/officeDocument/2006/relationships" r:embed="rId2013"/>
        <a:stretch>
          <a:fillRect/>
        </a:stretch>
      </xdr:blipFill>
      <xdr:spPr>
        <a:xfrm>
          <a:off x="7264400" y="2648311950"/>
          <a:ext cx="1183640" cy="878840"/>
        </a:xfrm>
        <a:prstGeom prst="rect">
          <a:avLst/>
        </a:prstGeom>
      </xdr:spPr>
    </xdr:pic>
    <xdr:clientData/>
  </xdr:twoCellAnchor>
  <xdr:twoCellAnchor>
    <xdr:from>
      <xdr:col>8</xdr:col>
      <xdr:colOff>6350</xdr:colOff>
      <xdr:row>2669</xdr:row>
      <xdr:rowOff>25400</xdr:rowOff>
    </xdr:from>
    <xdr:to>
      <xdr:col>8</xdr:col>
      <xdr:colOff>885190</xdr:colOff>
      <xdr:row>2669</xdr:row>
      <xdr:rowOff>1209040</xdr:rowOff>
    </xdr:to>
    <xdr:pic>
      <xdr:nvPicPr>
        <xdr:cNvPr id="6301" name="Изображение 6300" descr="resizeПП-00270528"/>
        <xdr:cNvPicPr>
          <a:picLocks noChangeAspect="1"/>
        </xdr:cNvPicPr>
      </xdr:nvPicPr>
      <xdr:blipFill>
        <a:blip xmlns:r="http://schemas.openxmlformats.org/officeDocument/2006/relationships" r:embed="rId2014"/>
        <a:stretch>
          <a:fillRect/>
        </a:stretch>
      </xdr:blipFill>
      <xdr:spPr>
        <a:xfrm>
          <a:off x="7264400" y="2649534325"/>
          <a:ext cx="878840" cy="1183640"/>
        </a:xfrm>
        <a:prstGeom prst="rect">
          <a:avLst/>
        </a:prstGeom>
      </xdr:spPr>
    </xdr:pic>
    <xdr:clientData/>
  </xdr:twoCellAnchor>
  <xdr:twoCellAnchor>
    <xdr:from>
      <xdr:col>8</xdr:col>
      <xdr:colOff>6350</xdr:colOff>
      <xdr:row>2670</xdr:row>
      <xdr:rowOff>25400</xdr:rowOff>
    </xdr:from>
    <xdr:to>
      <xdr:col>8</xdr:col>
      <xdr:colOff>885190</xdr:colOff>
      <xdr:row>2670</xdr:row>
      <xdr:rowOff>1209040</xdr:rowOff>
    </xdr:to>
    <xdr:pic>
      <xdr:nvPicPr>
        <xdr:cNvPr id="6302" name="Изображение 6301" descr="resizeПП-00270531"/>
        <xdr:cNvPicPr>
          <a:picLocks noChangeAspect="1"/>
        </xdr:cNvPicPr>
      </xdr:nvPicPr>
      <xdr:blipFill>
        <a:blip xmlns:r="http://schemas.openxmlformats.org/officeDocument/2006/relationships" r:embed="rId2015"/>
        <a:stretch>
          <a:fillRect/>
        </a:stretch>
      </xdr:blipFill>
      <xdr:spPr>
        <a:xfrm>
          <a:off x="7264400" y="2650756700"/>
          <a:ext cx="878840" cy="1183640"/>
        </a:xfrm>
        <a:prstGeom prst="rect">
          <a:avLst/>
        </a:prstGeom>
      </xdr:spPr>
    </xdr:pic>
    <xdr:clientData/>
  </xdr:twoCellAnchor>
  <xdr:twoCellAnchor>
    <xdr:from>
      <xdr:col>8</xdr:col>
      <xdr:colOff>6350</xdr:colOff>
      <xdr:row>2671</xdr:row>
      <xdr:rowOff>25400</xdr:rowOff>
    </xdr:from>
    <xdr:to>
      <xdr:col>8</xdr:col>
      <xdr:colOff>885190</xdr:colOff>
      <xdr:row>2671</xdr:row>
      <xdr:rowOff>1209040</xdr:rowOff>
    </xdr:to>
    <xdr:pic>
      <xdr:nvPicPr>
        <xdr:cNvPr id="6303" name="Изображение 6302" descr="resizeПП-00227462"/>
        <xdr:cNvPicPr>
          <a:picLocks noChangeAspect="1"/>
        </xdr:cNvPicPr>
      </xdr:nvPicPr>
      <xdr:blipFill>
        <a:blip xmlns:r="http://schemas.openxmlformats.org/officeDocument/2006/relationships" r:embed="rId2016"/>
        <a:stretch>
          <a:fillRect/>
        </a:stretch>
      </xdr:blipFill>
      <xdr:spPr>
        <a:xfrm>
          <a:off x="7264400" y="2651979075"/>
          <a:ext cx="878840" cy="1183640"/>
        </a:xfrm>
        <a:prstGeom prst="rect">
          <a:avLst/>
        </a:prstGeom>
      </xdr:spPr>
    </xdr:pic>
    <xdr:clientData/>
  </xdr:twoCellAnchor>
  <xdr:twoCellAnchor>
    <xdr:from>
      <xdr:col>8</xdr:col>
      <xdr:colOff>6350</xdr:colOff>
      <xdr:row>2672</xdr:row>
      <xdr:rowOff>25400</xdr:rowOff>
    </xdr:from>
    <xdr:to>
      <xdr:col>8</xdr:col>
      <xdr:colOff>1189990</xdr:colOff>
      <xdr:row>2672</xdr:row>
      <xdr:rowOff>904240</xdr:rowOff>
    </xdr:to>
    <xdr:pic>
      <xdr:nvPicPr>
        <xdr:cNvPr id="6304" name="Изображение 6303" descr="resizeПП-00251847"/>
        <xdr:cNvPicPr>
          <a:picLocks noChangeAspect="1"/>
        </xdr:cNvPicPr>
      </xdr:nvPicPr>
      <xdr:blipFill>
        <a:blip xmlns:r="http://schemas.openxmlformats.org/officeDocument/2006/relationships" r:embed="rId2017"/>
        <a:stretch>
          <a:fillRect/>
        </a:stretch>
      </xdr:blipFill>
      <xdr:spPr>
        <a:xfrm>
          <a:off x="7264400" y="2653201450"/>
          <a:ext cx="1183640" cy="878840"/>
        </a:xfrm>
        <a:prstGeom prst="rect">
          <a:avLst/>
        </a:prstGeom>
      </xdr:spPr>
    </xdr:pic>
    <xdr:clientData/>
  </xdr:twoCellAnchor>
  <xdr:twoCellAnchor>
    <xdr:from>
      <xdr:col>8</xdr:col>
      <xdr:colOff>6350</xdr:colOff>
      <xdr:row>2673</xdr:row>
      <xdr:rowOff>25400</xdr:rowOff>
    </xdr:from>
    <xdr:to>
      <xdr:col>8</xdr:col>
      <xdr:colOff>1189990</xdr:colOff>
      <xdr:row>2673</xdr:row>
      <xdr:rowOff>904240</xdr:rowOff>
    </xdr:to>
    <xdr:pic>
      <xdr:nvPicPr>
        <xdr:cNvPr id="6305" name="Изображение 6304" descr="resizeПП-00251848"/>
        <xdr:cNvPicPr>
          <a:picLocks noChangeAspect="1"/>
        </xdr:cNvPicPr>
      </xdr:nvPicPr>
      <xdr:blipFill>
        <a:blip xmlns:r="http://schemas.openxmlformats.org/officeDocument/2006/relationships" r:embed="rId2018"/>
        <a:stretch>
          <a:fillRect/>
        </a:stretch>
      </xdr:blipFill>
      <xdr:spPr>
        <a:xfrm>
          <a:off x="7264400" y="2654423825"/>
          <a:ext cx="1183640" cy="878840"/>
        </a:xfrm>
        <a:prstGeom prst="rect">
          <a:avLst/>
        </a:prstGeom>
      </xdr:spPr>
    </xdr:pic>
    <xdr:clientData/>
  </xdr:twoCellAnchor>
  <xdr:twoCellAnchor>
    <xdr:from>
      <xdr:col>8</xdr:col>
      <xdr:colOff>6350</xdr:colOff>
      <xdr:row>2674</xdr:row>
      <xdr:rowOff>25400</xdr:rowOff>
    </xdr:from>
    <xdr:to>
      <xdr:col>8</xdr:col>
      <xdr:colOff>1189990</xdr:colOff>
      <xdr:row>2674</xdr:row>
      <xdr:rowOff>904240</xdr:rowOff>
    </xdr:to>
    <xdr:pic>
      <xdr:nvPicPr>
        <xdr:cNvPr id="6306" name="Изображение 6305" descr="resizeПП-00227460"/>
        <xdr:cNvPicPr>
          <a:picLocks noChangeAspect="1"/>
        </xdr:cNvPicPr>
      </xdr:nvPicPr>
      <xdr:blipFill>
        <a:blip xmlns:r="http://schemas.openxmlformats.org/officeDocument/2006/relationships" r:embed="rId2019"/>
        <a:stretch>
          <a:fillRect/>
        </a:stretch>
      </xdr:blipFill>
      <xdr:spPr>
        <a:xfrm>
          <a:off x="7264400" y="2655646200"/>
          <a:ext cx="1183640" cy="878840"/>
        </a:xfrm>
        <a:prstGeom prst="rect">
          <a:avLst/>
        </a:prstGeom>
      </xdr:spPr>
    </xdr:pic>
    <xdr:clientData/>
  </xdr:twoCellAnchor>
  <xdr:twoCellAnchor>
    <xdr:from>
      <xdr:col>8</xdr:col>
      <xdr:colOff>6350</xdr:colOff>
      <xdr:row>2675</xdr:row>
      <xdr:rowOff>25400</xdr:rowOff>
    </xdr:from>
    <xdr:to>
      <xdr:col>8</xdr:col>
      <xdr:colOff>1189990</xdr:colOff>
      <xdr:row>2675</xdr:row>
      <xdr:rowOff>904240</xdr:rowOff>
    </xdr:to>
    <xdr:pic>
      <xdr:nvPicPr>
        <xdr:cNvPr id="6307" name="Изображение 6306" descr="resizeПП-00251846"/>
        <xdr:cNvPicPr>
          <a:picLocks noChangeAspect="1"/>
        </xdr:cNvPicPr>
      </xdr:nvPicPr>
      <xdr:blipFill>
        <a:blip xmlns:r="http://schemas.openxmlformats.org/officeDocument/2006/relationships" r:embed="rId2020"/>
        <a:stretch>
          <a:fillRect/>
        </a:stretch>
      </xdr:blipFill>
      <xdr:spPr>
        <a:xfrm>
          <a:off x="7264400" y="2656868575"/>
          <a:ext cx="1183640" cy="878840"/>
        </a:xfrm>
        <a:prstGeom prst="rect">
          <a:avLst/>
        </a:prstGeom>
      </xdr:spPr>
    </xdr:pic>
    <xdr:clientData/>
  </xdr:twoCellAnchor>
  <xdr:twoCellAnchor>
    <xdr:from>
      <xdr:col>8</xdr:col>
      <xdr:colOff>6350</xdr:colOff>
      <xdr:row>2676</xdr:row>
      <xdr:rowOff>25400</xdr:rowOff>
    </xdr:from>
    <xdr:to>
      <xdr:col>8</xdr:col>
      <xdr:colOff>885190</xdr:colOff>
      <xdr:row>2676</xdr:row>
      <xdr:rowOff>1209040</xdr:rowOff>
    </xdr:to>
    <xdr:pic>
      <xdr:nvPicPr>
        <xdr:cNvPr id="6308" name="Изображение 6307" descr="resizeПП-00204067"/>
        <xdr:cNvPicPr>
          <a:picLocks noChangeAspect="1"/>
        </xdr:cNvPicPr>
      </xdr:nvPicPr>
      <xdr:blipFill>
        <a:blip xmlns:r="http://schemas.openxmlformats.org/officeDocument/2006/relationships" r:embed="rId2021"/>
        <a:stretch>
          <a:fillRect/>
        </a:stretch>
      </xdr:blipFill>
      <xdr:spPr>
        <a:xfrm>
          <a:off x="7264400" y="2658090950"/>
          <a:ext cx="878840" cy="1183640"/>
        </a:xfrm>
        <a:prstGeom prst="rect">
          <a:avLst/>
        </a:prstGeom>
      </xdr:spPr>
    </xdr:pic>
    <xdr:clientData/>
  </xdr:twoCellAnchor>
  <xdr:twoCellAnchor>
    <xdr:from>
      <xdr:col>8</xdr:col>
      <xdr:colOff>6350</xdr:colOff>
      <xdr:row>2677</xdr:row>
      <xdr:rowOff>25400</xdr:rowOff>
    </xdr:from>
    <xdr:to>
      <xdr:col>8</xdr:col>
      <xdr:colOff>885190</xdr:colOff>
      <xdr:row>2677</xdr:row>
      <xdr:rowOff>1209040</xdr:rowOff>
    </xdr:to>
    <xdr:pic>
      <xdr:nvPicPr>
        <xdr:cNvPr id="6309" name="Изображение 6308" descr="resizeПП-00204064"/>
        <xdr:cNvPicPr>
          <a:picLocks noChangeAspect="1"/>
        </xdr:cNvPicPr>
      </xdr:nvPicPr>
      <xdr:blipFill>
        <a:blip xmlns:r="http://schemas.openxmlformats.org/officeDocument/2006/relationships" r:embed="rId2022"/>
        <a:stretch>
          <a:fillRect/>
        </a:stretch>
      </xdr:blipFill>
      <xdr:spPr>
        <a:xfrm>
          <a:off x="7264400" y="2659313325"/>
          <a:ext cx="878840" cy="1183640"/>
        </a:xfrm>
        <a:prstGeom prst="rect">
          <a:avLst/>
        </a:prstGeom>
      </xdr:spPr>
    </xdr:pic>
    <xdr:clientData/>
  </xdr:twoCellAnchor>
  <xdr:twoCellAnchor>
    <xdr:from>
      <xdr:col>8</xdr:col>
      <xdr:colOff>6350</xdr:colOff>
      <xdr:row>2678</xdr:row>
      <xdr:rowOff>25400</xdr:rowOff>
    </xdr:from>
    <xdr:to>
      <xdr:col>8</xdr:col>
      <xdr:colOff>1189990</xdr:colOff>
      <xdr:row>2678</xdr:row>
      <xdr:rowOff>904240</xdr:rowOff>
    </xdr:to>
    <xdr:pic>
      <xdr:nvPicPr>
        <xdr:cNvPr id="6310" name="Изображение 6309" descr="resizeПП-00227461"/>
        <xdr:cNvPicPr>
          <a:picLocks noChangeAspect="1"/>
        </xdr:cNvPicPr>
      </xdr:nvPicPr>
      <xdr:blipFill>
        <a:blip xmlns:r="http://schemas.openxmlformats.org/officeDocument/2006/relationships" r:embed="rId2023"/>
        <a:stretch>
          <a:fillRect/>
        </a:stretch>
      </xdr:blipFill>
      <xdr:spPr>
        <a:xfrm>
          <a:off x="7264400" y="2660535700"/>
          <a:ext cx="1183640" cy="878840"/>
        </a:xfrm>
        <a:prstGeom prst="rect">
          <a:avLst/>
        </a:prstGeom>
      </xdr:spPr>
    </xdr:pic>
    <xdr:clientData/>
  </xdr:twoCellAnchor>
  <xdr:twoCellAnchor>
    <xdr:from>
      <xdr:col>8</xdr:col>
      <xdr:colOff>6350</xdr:colOff>
      <xdr:row>2679</xdr:row>
      <xdr:rowOff>25400</xdr:rowOff>
    </xdr:from>
    <xdr:to>
      <xdr:col>8</xdr:col>
      <xdr:colOff>885190</xdr:colOff>
      <xdr:row>2679</xdr:row>
      <xdr:rowOff>1209040</xdr:rowOff>
    </xdr:to>
    <xdr:pic>
      <xdr:nvPicPr>
        <xdr:cNvPr id="6311" name="Изображение 6310" descr="resizeПП-00270530"/>
        <xdr:cNvPicPr>
          <a:picLocks noChangeAspect="1"/>
        </xdr:cNvPicPr>
      </xdr:nvPicPr>
      <xdr:blipFill>
        <a:blip xmlns:r="http://schemas.openxmlformats.org/officeDocument/2006/relationships" r:embed="rId2024"/>
        <a:stretch>
          <a:fillRect/>
        </a:stretch>
      </xdr:blipFill>
      <xdr:spPr>
        <a:xfrm>
          <a:off x="7264400" y="2661758075"/>
          <a:ext cx="878840" cy="1183640"/>
        </a:xfrm>
        <a:prstGeom prst="rect">
          <a:avLst/>
        </a:prstGeom>
      </xdr:spPr>
    </xdr:pic>
    <xdr:clientData/>
  </xdr:twoCellAnchor>
  <xdr:twoCellAnchor>
    <xdr:from>
      <xdr:col>8</xdr:col>
      <xdr:colOff>6350</xdr:colOff>
      <xdr:row>2680</xdr:row>
      <xdr:rowOff>25400</xdr:rowOff>
    </xdr:from>
    <xdr:to>
      <xdr:col>8</xdr:col>
      <xdr:colOff>1189990</xdr:colOff>
      <xdr:row>2680</xdr:row>
      <xdr:rowOff>904240</xdr:rowOff>
    </xdr:to>
    <xdr:pic>
      <xdr:nvPicPr>
        <xdr:cNvPr id="6312" name="Изображение 6311" descr="resizeПП-00227463"/>
        <xdr:cNvPicPr>
          <a:picLocks noChangeAspect="1"/>
        </xdr:cNvPicPr>
      </xdr:nvPicPr>
      <xdr:blipFill>
        <a:blip xmlns:r="http://schemas.openxmlformats.org/officeDocument/2006/relationships" r:embed="rId2025"/>
        <a:stretch>
          <a:fillRect/>
        </a:stretch>
      </xdr:blipFill>
      <xdr:spPr>
        <a:xfrm>
          <a:off x="7264400" y="2662980450"/>
          <a:ext cx="1183640" cy="878840"/>
        </a:xfrm>
        <a:prstGeom prst="rect">
          <a:avLst/>
        </a:prstGeom>
      </xdr:spPr>
    </xdr:pic>
    <xdr:clientData/>
  </xdr:twoCellAnchor>
  <xdr:twoCellAnchor>
    <xdr:from>
      <xdr:col>8</xdr:col>
      <xdr:colOff>6350</xdr:colOff>
      <xdr:row>2683</xdr:row>
      <xdr:rowOff>25400</xdr:rowOff>
    </xdr:from>
    <xdr:to>
      <xdr:col>8</xdr:col>
      <xdr:colOff>885190</xdr:colOff>
      <xdr:row>2683</xdr:row>
      <xdr:rowOff>1209040</xdr:rowOff>
    </xdr:to>
    <xdr:pic>
      <xdr:nvPicPr>
        <xdr:cNvPr id="6313" name="Изображение 6312" descr="resizeПП-00270550"/>
        <xdr:cNvPicPr>
          <a:picLocks noChangeAspect="1"/>
        </xdr:cNvPicPr>
      </xdr:nvPicPr>
      <xdr:blipFill>
        <a:blip xmlns:r="http://schemas.openxmlformats.org/officeDocument/2006/relationships" r:embed="rId2026"/>
        <a:stretch>
          <a:fillRect/>
        </a:stretch>
      </xdr:blipFill>
      <xdr:spPr>
        <a:xfrm>
          <a:off x="7264400" y="2664507625"/>
          <a:ext cx="878840" cy="1183640"/>
        </a:xfrm>
        <a:prstGeom prst="rect">
          <a:avLst/>
        </a:prstGeom>
      </xdr:spPr>
    </xdr:pic>
    <xdr:clientData/>
  </xdr:twoCellAnchor>
  <xdr:twoCellAnchor>
    <xdr:from>
      <xdr:col>8</xdr:col>
      <xdr:colOff>6350</xdr:colOff>
      <xdr:row>2684</xdr:row>
      <xdr:rowOff>25400</xdr:rowOff>
    </xdr:from>
    <xdr:to>
      <xdr:col>8</xdr:col>
      <xdr:colOff>885190</xdr:colOff>
      <xdr:row>2684</xdr:row>
      <xdr:rowOff>1209040</xdr:rowOff>
    </xdr:to>
    <xdr:pic>
      <xdr:nvPicPr>
        <xdr:cNvPr id="6314" name="Изображение 6313" descr="resizeПП-00270551"/>
        <xdr:cNvPicPr>
          <a:picLocks noChangeAspect="1"/>
        </xdr:cNvPicPr>
      </xdr:nvPicPr>
      <xdr:blipFill>
        <a:blip xmlns:r="http://schemas.openxmlformats.org/officeDocument/2006/relationships" r:embed="rId2027"/>
        <a:stretch>
          <a:fillRect/>
        </a:stretch>
      </xdr:blipFill>
      <xdr:spPr>
        <a:xfrm>
          <a:off x="7264400" y="2665730000"/>
          <a:ext cx="878840" cy="1183640"/>
        </a:xfrm>
        <a:prstGeom prst="rect">
          <a:avLst/>
        </a:prstGeom>
      </xdr:spPr>
    </xdr:pic>
    <xdr:clientData/>
  </xdr:twoCellAnchor>
  <xdr:twoCellAnchor>
    <xdr:from>
      <xdr:col>8</xdr:col>
      <xdr:colOff>6350</xdr:colOff>
      <xdr:row>2685</xdr:row>
      <xdr:rowOff>25400</xdr:rowOff>
    </xdr:from>
    <xdr:to>
      <xdr:col>8</xdr:col>
      <xdr:colOff>885190</xdr:colOff>
      <xdr:row>2685</xdr:row>
      <xdr:rowOff>1209040</xdr:rowOff>
    </xdr:to>
    <xdr:pic>
      <xdr:nvPicPr>
        <xdr:cNvPr id="6315" name="Изображение 6314" descr="resizeПП-00227449"/>
        <xdr:cNvPicPr>
          <a:picLocks noChangeAspect="1"/>
        </xdr:cNvPicPr>
      </xdr:nvPicPr>
      <xdr:blipFill>
        <a:blip xmlns:r="http://schemas.openxmlformats.org/officeDocument/2006/relationships" r:embed="rId2028"/>
        <a:stretch>
          <a:fillRect/>
        </a:stretch>
      </xdr:blipFill>
      <xdr:spPr>
        <a:xfrm>
          <a:off x="7264400" y="2666952375"/>
          <a:ext cx="878840" cy="1183640"/>
        </a:xfrm>
        <a:prstGeom prst="rect">
          <a:avLst/>
        </a:prstGeom>
      </xdr:spPr>
    </xdr:pic>
    <xdr:clientData/>
  </xdr:twoCellAnchor>
  <xdr:twoCellAnchor>
    <xdr:from>
      <xdr:col>8</xdr:col>
      <xdr:colOff>6350</xdr:colOff>
      <xdr:row>2687</xdr:row>
      <xdr:rowOff>25400</xdr:rowOff>
    </xdr:from>
    <xdr:to>
      <xdr:col>8</xdr:col>
      <xdr:colOff>885190</xdr:colOff>
      <xdr:row>2687</xdr:row>
      <xdr:rowOff>1209040</xdr:rowOff>
    </xdr:to>
    <xdr:pic>
      <xdr:nvPicPr>
        <xdr:cNvPr id="6316" name="Изображение 6315" descr="resizeПП-00273837"/>
        <xdr:cNvPicPr>
          <a:picLocks noChangeAspect="1"/>
        </xdr:cNvPicPr>
      </xdr:nvPicPr>
      <xdr:blipFill>
        <a:blip xmlns:r="http://schemas.openxmlformats.org/officeDocument/2006/relationships" r:embed="rId2029"/>
        <a:stretch>
          <a:fillRect/>
        </a:stretch>
      </xdr:blipFill>
      <xdr:spPr>
        <a:xfrm>
          <a:off x="7264400" y="2668327150"/>
          <a:ext cx="878840" cy="1183640"/>
        </a:xfrm>
        <a:prstGeom prst="rect">
          <a:avLst/>
        </a:prstGeom>
      </xdr:spPr>
    </xdr:pic>
    <xdr:clientData/>
  </xdr:twoCellAnchor>
  <xdr:twoCellAnchor>
    <xdr:from>
      <xdr:col>8</xdr:col>
      <xdr:colOff>6350</xdr:colOff>
      <xdr:row>2690</xdr:row>
      <xdr:rowOff>25400</xdr:rowOff>
    </xdr:from>
    <xdr:to>
      <xdr:col>8</xdr:col>
      <xdr:colOff>885190</xdr:colOff>
      <xdr:row>2690</xdr:row>
      <xdr:rowOff>1209040</xdr:rowOff>
    </xdr:to>
    <xdr:pic>
      <xdr:nvPicPr>
        <xdr:cNvPr id="6317" name="Изображение 6316" descr="resizeПП-00164870"/>
        <xdr:cNvPicPr>
          <a:picLocks noChangeAspect="1"/>
        </xdr:cNvPicPr>
      </xdr:nvPicPr>
      <xdr:blipFill>
        <a:blip xmlns:r="http://schemas.openxmlformats.org/officeDocument/2006/relationships" r:embed="rId2030"/>
        <a:stretch>
          <a:fillRect/>
        </a:stretch>
      </xdr:blipFill>
      <xdr:spPr>
        <a:xfrm>
          <a:off x="7264400" y="2669854325"/>
          <a:ext cx="878840" cy="1183640"/>
        </a:xfrm>
        <a:prstGeom prst="rect">
          <a:avLst/>
        </a:prstGeom>
      </xdr:spPr>
    </xdr:pic>
    <xdr:clientData/>
  </xdr:twoCellAnchor>
  <xdr:twoCellAnchor>
    <xdr:from>
      <xdr:col>8</xdr:col>
      <xdr:colOff>6350</xdr:colOff>
      <xdr:row>2694</xdr:row>
      <xdr:rowOff>25400</xdr:rowOff>
    </xdr:from>
    <xdr:to>
      <xdr:col>8</xdr:col>
      <xdr:colOff>885190</xdr:colOff>
      <xdr:row>2694</xdr:row>
      <xdr:rowOff>1209040</xdr:rowOff>
    </xdr:to>
    <xdr:pic>
      <xdr:nvPicPr>
        <xdr:cNvPr id="6318" name="Изображение 6317" descr="resizeПП-00251869"/>
        <xdr:cNvPicPr>
          <a:picLocks noChangeAspect="1"/>
        </xdr:cNvPicPr>
      </xdr:nvPicPr>
      <xdr:blipFill>
        <a:blip xmlns:r="http://schemas.openxmlformats.org/officeDocument/2006/relationships" r:embed="rId2031"/>
        <a:stretch>
          <a:fillRect/>
        </a:stretch>
      </xdr:blipFill>
      <xdr:spPr>
        <a:xfrm>
          <a:off x="7264400" y="2671533900"/>
          <a:ext cx="878840" cy="1183640"/>
        </a:xfrm>
        <a:prstGeom prst="rect">
          <a:avLst/>
        </a:prstGeom>
      </xdr:spPr>
    </xdr:pic>
    <xdr:clientData/>
  </xdr:twoCellAnchor>
  <xdr:twoCellAnchor>
    <xdr:from>
      <xdr:col>8</xdr:col>
      <xdr:colOff>6350</xdr:colOff>
      <xdr:row>2695</xdr:row>
      <xdr:rowOff>25400</xdr:rowOff>
    </xdr:from>
    <xdr:to>
      <xdr:col>8</xdr:col>
      <xdr:colOff>885190</xdr:colOff>
      <xdr:row>2695</xdr:row>
      <xdr:rowOff>1209040</xdr:rowOff>
    </xdr:to>
    <xdr:pic>
      <xdr:nvPicPr>
        <xdr:cNvPr id="6319" name="Изображение 6318" descr="resizeПП-00251872"/>
        <xdr:cNvPicPr>
          <a:picLocks noChangeAspect="1"/>
        </xdr:cNvPicPr>
      </xdr:nvPicPr>
      <xdr:blipFill>
        <a:blip xmlns:r="http://schemas.openxmlformats.org/officeDocument/2006/relationships" r:embed="rId2032"/>
        <a:stretch>
          <a:fillRect/>
        </a:stretch>
      </xdr:blipFill>
      <xdr:spPr>
        <a:xfrm>
          <a:off x="7264400" y="2672756275"/>
          <a:ext cx="878840" cy="1183640"/>
        </a:xfrm>
        <a:prstGeom prst="rect">
          <a:avLst/>
        </a:prstGeom>
      </xdr:spPr>
    </xdr:pic>
    <xdr:clientData/>
  </xdr:twoCellAnchor>
  <xdr:twoCellAnchor>
    <xdr:from>
      <xdr:col>8</xdr:col>
      <xdr:colOff>6350</xdr:colOff>
      <xdr:row>2696</xdr:row>
      <xdr:rowOff>25400</xdr:rowOff>
    </xdr:from>
    <xdr:to>
      <xdr:col>8</xdr:col>
      <xdr:colOff>885190</xdr:colOff>
      <xdr:row>2696</xdr:row>
      <xdr:rowOff>1209040</xdr:rowOff>
    </xdr:to>
    <xdr:pic>
      <xdr:nvPicPr>
        <xdr:cNvPr id="6320" name="Изображение 6319" descr="resizeПП-00251870"/>
        <xdr:cNvPicPr>
          <a:picLocks noChangeAspect="1"/>
        </xdr:cNvPicPr>
      </xdr:nvPicPr>
      <xdr:blipFill>
        <a:blip xmlns:r="http://schemas.openxmlformats.org/officeDocument/2006/relationships" r:embed="rId2033"/>
        <a:stretch>
          <a:fillRect/>
        </a:stretch>
      </xdr:blipFill>
      <xdr:spPr>
        <a:xfrm>
          <a:off x="7264400" y="2673978650"/>
          <a:ext cx="878840" cy="1183640"/>
        </a:xfrm>
        <a:prstGeom prst="rect">
          <a:avLst/>
        </a:prstGeom>
      </xdr:spPr>
    </xdr:pic>
    <xdr:clientData/>
  </xdr:twoCellAnchor>
  <xdr:twoCellAnchor>
    <xdr:from>
      <xdr:col>8</xdr:col>
      <xdr:colOff>6350</xdr:colOff>
      <xdr:row>2697</xdr:row>
      <xdr:rowOff>25400</xdr:rowOff>
    </xdr:from>
    <xdr:to>
      <xdr:col>8</xdr:col>
      <xdr:colOff>885190</xdr:colOff>
      <xdr:row>2697</xdr:row>
      <xdr:rowOff>1209040</xdr:rowOff>
    </xdr:to>
    <xdr:pic>
      <xdr:nvPicPr>
        <xdr:cNvPr id="6321" name="Изображение 6320" descr="resizeПП-00251873"/>
        <xdr:cNvPicPr>
          <a:picLocks noChangeAspect="1"/>
        </xdr:cNvPicPr>
      </xdr:nvPicPr>
      <xdr:blipFill>
        <a:blip xmlns:r="http://schemas.openxmlformats.org/officeDocument/2006/relationships" r:embed="rId2034"/>
        <a:stretch>
          <a:fillRect/>
        </a:stretch>
      </xdr:blipFill>
      <xdr:spPr>
        <a:xfrm>
          <a:off x="7264400" y="2675201025"/>
          <a:ext cx="878840" cy="1183640"/>
        </a:xfrm>
        <a:prstGeom prst="rect">
          <a:avLst/>
        </a:prstGeom>
      </xdr:spPr>
    </xdr:pic>
    <xdr:clientData/>
  </xdr:twoCellAnchor>
  <xdr:twoCellAnchor>
    <xdr:from>
      <xdr:col>8</xdr:col>
      <xdr:colOff>6350</xdr:colOff>
      <xdr:row>2698</xdr:row>
      <xdr:rowOff>25400</xdr:rowOff>
    </xdr:from>
    <xdr:to>
      <xdr:col>8</xdr:col>
      <xdr:colOff>885190</xdr:colOff>
      <xdr:row>2698</xdr:row>
      <xdr:rowOff>1209040</xdr:rowOff>
    </xdr:to>
    <xdr:pic>
      <xdr:nvPicPr>
        <xdr:cNvPr id="6322" name="Изображение 6321" descr="resizeПП-00251874"/>
        <xdr:cNvPicPr>
          <a:picLocks noChangeAspect="1"/>
        </xdr:cNvPicPr>
      </xdr:nvPicPr>
      <xdr:blipFill>
        <a:blip xmlns:r="http://schemas.openxmlformats.org/officeDocument/2006/relationships" r:embed="rId2035"/>
        <a:stretch>
          <a:fillRect/>
        </a:stretch>
      </xdr:blipFill>
      <xdr:spPr>
        <a:xfrm>
          <a:off x="7264400" y="2676423400"/>
          <a:ext cx="878840" cy="1183640"/>
        </a:xfrm>
        <a:prstGeom prst="rect">
          <a:avLst/>
        </a:prstGeom>
      </xdr:spPr>
    </xdr:pic>
    <xdr:clientData/>
  </xdr:twoCellAnchor>
  <xdr:twoCellAnchor>
    <xdr:from>
      <xdr:col>8</xdr:col>
      <xdr:colOff>6350</xdr:colOff>
      <xdr:row>2699</xdr:row>
      <xdr:rowOff>25400</xdr:rowOff>
    </xdr:from>
    <xdr:to>
      <xdr:col>8</xdr:col>
      <xdr:colOff>885190</xdr:colOff>
      <xdr:row>2699</xdr:row>
      <xdr:rowOff>1209040</xdr:rowOff>
    </xdr:to>
    <xdr:pic>
      <xdr:nvPicPr>
        <xdr:cNvPr id="6323" name="Изображение 6322" descr="resizeПП-00270782"/>
        <xdr:cNvPicPr>
          <a:picLocks noChangeAspect="1"/>
        </xdr:cNvPicPr>
      </xdr:nvPicPr>
      <xdr:blipFill>
        <a:blip xmlns:r="http://schemas.openxmlformats.org/officeDocument/2006/relationships" r:embed="rId2036"/>
        <a:stretch>
          <a:fillRect/>
        </a:stretch>
      </xdr:blipFill>
      <xdr:spPr>
        <a:xfrm>
          <a:off x="7264400" y="2677645775"/>
          <a:ext cx="878840" cy="1183640"/>
        </a:xfrm>
        <a:prstGeom prst="rect">
          <a:avLst/>
        </a:prstGeom>
      </xdr:spPr>
    </xdr:pic>
    <xdr:clientData/>
  </xdr:twoCellAnchor>
  <xdr:twoCellAnchor>
    <xdr:from>
      <xdr:col>8</xdr:col>
      <xdr:colOff>6350</xdr:colOff>
      <xdr:row>2701</xdr:row>
      <xdr:rowOff>25400</xdr:rowOff>
    </xdr:from>
    <xdr:to>
      <xdr:col>8</xdr:col>
      <xdr:colOff>885190</xdr:colOff>
      <xdr:row>2701</xdr:row>
      <xdr:rowOff>1209040</xdr:rowOff>
    </xdr:to>
    <xdr:pic>
      <xdr:nvPicPr>
        <xdr:cNvPr id="6324" name="Изображение 6323" descr="resizeПП-00275335"/>
        <xdr:cNvPicPr>
          <a:picLocks noChangeAspect="1"/>
        </xdr:cNvPicPr>
      </xdr:nvPicPr>
      <xdr:blipFill>
        <a:blip xmlns:r="http://schemas.openxmlformats.org/officeDocument/2006/relationships" r:embed="rId2037"/>
        <a:stretch>
          <a:fillRect/>
        </a:stretch>
      </xdr:blipFill>
      <xdr:spPr>
        <a:xfrm>
          <a:off x="7264400" y="2679020550"/>
          <a:ext cx="878840" cy="1183640"/>
        </a:xfrm>
        <a:prstGeom prst="rect">
          <a:avLst/>
        </a:prstGeom>
      </xdr:spPr>
    </xdr:pic>
    <xdr:clientData/>
  </xdr:twoCellAnchor>
  <xdr:twoCellAnchor>
    <xdr:from>
      <xdr:col>8</xdr:col>
      <xdr:colOff>6350</xdr:colOff>
      <xdr:row>2702</xdr:row>
      <xdr:rowOff>25400</xdr:rowOff>
    </xdr:from>
    <xdr:to>
      <xdr:col>8</xdr:col>
      <xdr:colOff>885190</xdr:colOff>
      <xdr:row>2702</xdr:row>
      <xdr:rowOff>1209040</xdr:rowOff>
    </xdr:to>
    <xdr:pic>
      <xdr:nvPicPr>
        <xdr:cNvPr id="6325" name="Изображение 6324" descr="resizeПП-00275336"/>
        <xdr:cNvPicPr>
          <a:picLocks noChangeAspect="1"/>
        </xdr:cNvPicPr>
      </xdr:nvPicPr>
      <xdr:blipFill>
        <a:blip xmlns:r="http://schemas.openxmlformats.org/officeDocument/2006/relationships" r:embed="rId2038"/>
        <a:stretch>
          <a:fillRect/>
        </a:stretch>
      </xdr:blipFill>
      <xdr:spPr>
        <a:xfrm>
          <a:off x="7264400" y="2680242925"/>
          <a:ext cx="878840" cy="1183640"/>
        </a:xfrm>
        <a:prstGeom prst="rect">
          <a:avLst/>
        </a:prstGeom>
      </xdr:spPr>
    </xdr:pic>
    <xdr:clientData/>
  </xdr:twoCellAnchor>
  <xdr:twoCellAnchor>
    <xdr:from>
      <xdr:col>8</xdr:col>
      <xdr:colOff>6350</xdr:colOff>
      <xdr:row>2703</xdr:row>
      <xdr:rowOff>25400</xdr:rowOff>
    </xdr:from>
    <xdr:to>
      <xdr:col>8</xdr:col>
      <xdr:colOff>885190</xdr:colOff>
      <xdr:row>2703</xdr:row>
      <xdr:rowOff>1209040</xdr:rowOff>
    </xdr:to>
    <xdr:pic>
      <xdr:nvPicPr>
        <xdr:cNvPr id="6326" name="Изображение 6325" descr="resizeПП-00275334"/>
        <xdr:cNvPicPr>
          <a:picLocks noChangeAspect="1"/>
        </xdr:cNvPicPr>
      </xdr:nvPicPr>
      <xdr:blipFill>
        <a:blip xmlns:r="http://schemas.openxmlformats.org/officeDocument/2006/relationships" r:embed="rId2039"/>
        <a:stretch>
          <a:fillRect/>
        </a:stretch>
      </xdr:blipFill>
      <xdr:spPr>
        <a:xfrm>
          <a:off x="7264400" y="2681465300"/>
          <a:ext cx="878840" cy="1183640"/>
        </a:xfrm>
        <a:prstGeom prst="rect">
          <a:avLst/>
        </a:prstGeom>
      </xdr:spPr>
    </xdr:pic>
    <xdr:clientData/>
  </xdr:twoCellAnchor>
  <xdr:twoCellAnchor>
    <xdr:from>
      <xdr:col>8</xdr:col>
      <xdr:colOff>6350</xdr:colOff>
      <xdr:row>2704</xdr:row>
      <xdr:rowOff>25400</xdr:rowOff>
    </xdr:from>
    <xdr:to>
      <xdr:col>8</xdr:col>
      <xdr:colOff>885190</xdr:colOff>
      <xdr:row>2704</xdr:row>
      <xdr:rowOff>1209040</xdr:rowOff>
    </xdr:to>
    <xdr:pic>
      <xdr:nvPicPr>
        <xdr:cNvPr id="6327" name="Изображение 6326" descr="resizeПП-00275333"/>
        <xdr:cNvPicPr>
          <a:picLocks noChangeAspect="1"/>
        </xdr:cNvPicPr>
      </xdr:nvPicPr>
      <xdr:blipFill>
        <a:blip xmlns:r="http://schemas.openxmlformats.org/officeDocument/2006/relationships" r:embed="rId2040"/>
        <a:stretch>
          <a:fillRect/>
        </a:stretch>
      </xdr:blipFill>
      <xdr:spPr>
        <a:xfrm>
          <a:off x="7264400" y="2682687675"/>
          <a:ext cx="878840" cy="1183640"/>
        </a:xfrm>
        <a:prstGeom prst="rect">
          <a:avLst/>
        </a:prstGeom>
      </xdr:spPr>
    </xdr:pic>
    <xdr:clientData/>
  </xdr:twoCellAnchor>
  <xdr:twoCellAnchor>
    <xdr:from>
      <xdr:col>8</xdr:col>
      <xdr:colOff>6350</xdr:colOff>
      <xdr:row>2707</xdr:row>
      <xdr:rowOff>25400</xdr:rowOff>
    </xdr:from>
    <xdr:to>
      <xdr:col>8</xdr:col>
      <xdr:colOff>885190</xdr:colOff>
      <xdr:row>2707</xdr:row>
      <xdr:rowOff>1209040</xdr:rowOff>
    </xdr:to>
    <xdr:pic>
      <xdr:nvPicPr>
        <xdr:cNvPr id="6328" name="Изображение 6327" descr="resizeПП-00270789"/>
        <xdr:cNvPicPr>
          <a:picLocks noChangeAspect="1"/>
        </xdr:cNvPicPr>
      </xdr:nvPicPr>
      <xdr:blipFill>
        <a:blip xmlns:r="http://schemas.openxmlformats.org/officeDocument/2006/relationships" r:embed="rId2041"/>
        <a:stretch>
          <a:fillRect/>
        </a:stretch>
      </xdr:blipFill>
      <xdr:spPr>
        <a:xfrm>
          <a:off x="7264400" y="2684214850"/>
          <a:ext cx="878840" cy="1183640"/>
        </a:xfrm>
        <a:prstGeom prst="rect">
          <a:avLst/>
        </a:prstGeom>
      </xdr:spPr>
    </xdr:pic>
    <xdr:clientData/>
  </xdr:twoCellAnchor>
  <xdr:twoCellAnchor>
    <xdr:from>
      <xdr:col>8</xdr:col>
      <xdr:colOff>6350</xdr:colOff>
      <xdr:row>2708</xdr:row>
      <xdr:rowOff>25400</xdr:rowOff>
    </xdr:from>
    <xdr:to>
      <xdr:col>8</xdr:col>
      <xdr:colOff>885190</xdr:colOff>
      <xdr:row>2708</xdr:row>
      <xdr:rowOff>1209040</xdr:rowOff>
    </xdr:to>
    <xdr:pic>
      <xdr:nvPicPr>
        <xdr:cNvPr id="6329" name="Изображение 6328" descr="resizeПП-00270788"/>
        <xdr:cNvPicPr>
          <a:picLocks noChangeAspect="1"/>
        </xdr:cNvPicPr>
      </xdr:nvPicPr>
      <xdr:blipFill>
        <a:blip xmlns:r="http://schemas.openxmlformats.org/officeDocument/2006/relationships" r:embed="rId2042"/>
        <a:stretch>
          <a:fillRect/>
        </a:stretch>
      </xdr:blipFill>
      <xdr:spPr>
        <a:xfrm>
          <a:off x="7264400" y="2685437225"/>
          <a:ext cx="878840" cy="1183640"/>
        </a:xfrm>
        <a:prstGeom prst="rect">
          <a:avLst/>
        </a:prstGeom>
      </xdr:spPr>
    </xdr:pic>
    <xdr:clientData/>
  </xdr:twoCellAnchor>
  <xdr:twoCellAnchor>
    <xdr:from>
      <xdr:col>8</xdr:col>
      <xdr:colOff>6350</xdr:colOff>
      <xdr:row>2709</xdr:row>
      <xdr:rowOff>25400</xdr:rowOff>
    </xdr:from>
    <xdr:to>
      <xdr:col>8</xdr:col>
      <xdr:colOff>885190</xdr:colOff>
      <xdr:row>2709</xdr:row>
      <xdr:rowOff>1209040</xdr:rowOff>
    </xdr:to>
    <xdr:pic>
      <xdr:nvPicPr>
        <xdr:cNvPr id="6330" name="Изображение 6329" descr="resizeПП-00251887"/>
        <xdr:cNvPicPr>
          <a:picLocks noChangeAspect="1"/>
        </xdr:cNvPicPr>
      </xdr:nvPicPr>
      <xdr:blipFill>
        <a:blip xmlns:r="http://schemas.openxmlformats.org/officeDocument/2006/relationships" r:embed="rId2043"/>
        <a:stretch>
          <a:fillRect/>
        </a:stretch>
      </xdr:blipFill>
      <xdr:spPr>
        <a:xfrm>
          <a:off x="7264400" y="2686659600"/>
          <a:ext cx="878840" cy="1183640"/>
        </a:xfrm>
        <a:prstGeom prst="rect">
          <a:avLst/>
        </a:prstGeom>
      </xdr:spPr>
    </xdr:pic>
    <xdr:clientData/>
  </xdr:twoCellAnchor>
  <xdr:twoCellAnchor>
    <xdr:from>
      <xdr:col>8</xdr:col>
      <xdr:colOff>6350</xdr:colOff>
      <xdr:row>2710</xdr:row>
      <xdr:rowOff>25400</xdr:rowOff>
    </xdr:from>
    <xdr:to>
      <xdr:col>8</xdr:col>
      <xdr:colOff>885190</xdr:colOff>
      <xdr:row>2710</xdr:row>
      <xdr:rowOff>1209040</xdr:rowOff>
    </xdr:to>
    <xdr:pic>
      <xdr:nvPicPr>
        <xdr:cNvPr id="6331" name="Изображение 6330" descr="resizeПП-00270793"/>
        <xdr:cNvPicPr>
          <a:picLocks noChangeAspect="1"/>
        </xdr:cNvPicPr>
      </xdr:nvPicPr>
      <xdr:blipFill>
        <a:blip xmlns:r="http://schemas.openxmlformats.org/officeDocument/2006/relationships" r:embed="rId2044"/>
        <a:stretch>
          <a:fillRect/>
        </a:stretch>
      </xdr:blipFill>
      <xdr:spPr>
        <a:xfrm>
          <a:off x="7264400" y="2687881975"/>
          <a:ext cx="878840" cy="1183640"/>
        </a:xfrm>
        <a:prstGeom prst="rect">
          <a:avLst/>
        </a:prstGeom>
      </xdr:spPr>
    </xdr:pic>
    <xdr:clientData/>
  </xdr:twoCellAnchor>
  <xdr:twoCellAnchor>
    <xdr:from>
      <xdr:col>8</xdr:col>
      <xdr:colOff>6350</xdr:colOff>
      <xdr:row>2711</xdr:row>
      <xdr:rowOff>25400</xdr:rowOff>
    </xdr:from>
    <xdr:to>
      <xdr:col>8</xdr:col>
      <xdr:colOff>885190</xdr:colOff>
      <xdr:row>2711</xdr:row>
      <xdr:rowOff>1209040</xdr:rowOff>
    </xdr:to>
    <xdr:pic>
      <xdr:nvPicPr>
        <xdr:cNvPr id="6332" name="Изображение 6331" descr="resizeПП-00270791"/>
        <xdr:cNvPicPr>
          <a:picLocks noChangeAspect="1"/>
        </xdr:cNvPicPr>
      </xdr:nvPicPr>
      <xdr:blipFill>
        <a:blip xmlns:r="http://schemas.openxmlformats.org/officeDocument/2006/relationships" r:embed="rId2045"/>
        <a:stretch>
          <a:fillRect/>
        </a:stretch>
      </xdr:blipFill>
      <xdr:spPr>
        <a:xfrm>
          <a:off x="7264400" y="2689104350"/>
          <a:ext cx="878840" cy="1183640"/>
        </a:xfrm>
        <a:prstGeom prst="rect">
          <a:avLst/>
        </a:prstGeom>
      </xdr:spPr>
    </xdr:pic>
    <xdr:clientData/>
  </xdr:twoCellAnchor>
  <xdr:twoCellAnchor>
    <xdr:from>
      <xdr:col>8</xdr:col>
      <xdr:colOff>6350</xdr:colOff>
      <xdr:row>2713</xdr:row>
      <xdr:rowOff>25400</xdr:rowOff>
    </xdr:from>
    <xdr:to>
      <xdr:col>8</xdr:col>
      <xdr:colOff>885190</xdr:colOff>
      <xdr:row>2713</xdr:row>
      <xdr:rowOff>1209040</xdr:rowOff>
    </xdr:to>
    <xdr:pic>
      <xdr:nvPicPr>
        <xdr:cNvPr id="6333" name="Изображение 6332" descr="resizeПП-00275338"/>
        <xdr:cNvPicPr>
          <a:picLocks noChangeAspect="1"/>
        </xdr:cNvPicPr>
      </xdr:nvPicPr>
      <xdr:blipFill>
        <a:blip xmlns:r="http://schemas.openxmlformats.org/officeDocument/2006/relationships" r:embed="rId2046"/>
        <a:stretch>
          <a:fillRect/>
        </a:stretch>
      </xdr:blipFill>
      <xdr:spPr>
        <a:xfrm>
          <a:off x="7264400" y="2690479125"/>
          <a:ext cx="878840" cy="1183640"/>
        </a:xfrm>
        <a:prstGeom prst="rect">
          <a:avLst/>
        </a:prstGeom>
      </xdr:spPr>
    </xdr:pic>
    <xdr:clientData/>
  </xdr:twoCellAnchor>
  <xdr:twoCellAnchor>
    <xdr:from>
      <xdr:col>8</xdr:col>
      <xdr:colOff>6350</xdr:colOff>
      <xdr:row>2714</xdr:row>
      <xdr:rowOff>25400</xdr:rowOff>
    </xdr:from>
    <xdr:to>
      <xdr:col>8</xdr:col>
      <xdr:colOff>885190</xdr:colOff>
      <xdr:row>2714</xdr:row>
      <xdr:rowOff>1209040</xdr:rowOff>
    </xdr:to>
    <xdr:pic>
      <xdr:nvPicPr>
        <xdr:cNvPr id="6334" name="Изображение 6333" descr="resizeПП-00275340"/>
        <xdr:cNvPicPr>
          <a:picLocks noChangeAspect="1"/>
        </xdr:cNvPicPr>
      </xdr:nvPicPr>
      <xdr:blipFill>
        <a:blip xmlns:r="http://schemas.openxmlformats.org/officeDocument/2006/relationships" r:embed="rId2047"/>
        <a:stretch>
          <a:fillRect/>
        </a:stretch>
      </xdr:blipFill>
      <xdr:spPr>
        <a:xfrm>
          <a:off x="7264400" y="2691701500"/>
          <a:ext cx="878840" cy="1183640"/>
        </a:xfrm>
        <a:prstGeom prst="rect">
          <a:avLst/>
        </a:prstGeom>
      </xdr:spPr>
    </xdr:pic>
    <xdr:clientData/>
  </xdr:twoCellAnchor>
  <xdr:twoCellAnchor>
    <xdr:from>
      <xdr:col>8</xdr:col>
      <xdr:colOff>6350</xdr:colOff>
      <xdr:row>2716</xdr:row>
      <xdr:rowOff>25400</xdr:rowOff>
    </xdr:from>
    <xdr:to>
      <xdr:col>8</xdr:col>
      <xdr:colOff>885190</xdr:colOff>
      <xdr:row>2716</xdr:row>
      <xdr:rowOff>1209040</xdr:rowOff>
    </xdr:to>
    <xdr:pic>
      <xdr:nvPicPr>
        <xdr:cNvPr id="6335" name="Изображение 6334" descr="resizeПП-00270799"/>
        <xdr:cNvPicPr>
          <a:picLocks noChangeAspect="1"/>
        </xdr:cNvPicPr>
      </xdr:nvPicPr>
      <xdr:blipFill>
        <a:blip xmlns:r="http://schemas.openxmlformats.org/officeDocument/2006/relationships" r:embed="rId2048"/>
        <a:stretch>
          <a:fillRect/>
        </a:stretch>
      </xdr:blipFill>
      <xdr:spPr>
        <a:xfrm>
          <a:off x="7264400" y="2693076275"/>
          <a:ext cx="878840" cy="1183640"/>
        </a:xfrm>
        <a:prstGeom prst="rect">
          <a:avLst/>
        </a:prstGeom>
      </xdr:spPr>
    </xdr:pic>
    <xdr:clientData/>
  </xdr:twoCellAnchor>
  <xdr:twoCellAnchor>
    <xdr:from>
      <xdr:col>8</xdr:col>
      <xdr:colOff>6350</xdr:colOff>
      <xdr:row>2717</xdr:row>
      <xdr:rowOff>25400</xdr:rowOff>
    </xdr:from>
    <xdr:to>
      <xdr:col>8</xdr:col>
      <xdr:colOff>885190</xdr:colOff>
      <xdr:row>2717</xdr:row>
      <xdr:rowOff>1209040</xdr:rowOff>
    </xdr:to>
    <xdr:pic>
      <xdr:nvPicPr>
        <xdr:cNvPr id="6336" name="Изображение 6335" descr="resizeПП-00252113"/>
        <xdr:cNvPicPr>
          <a:picLocks noChangeAspect="1"/>
        </xdr:cNvPicPr>
      </xdr:nvPicPr>
      <xdr:blipFill>
        <a:blip xmlns:r="http://schemas.openxmlformats.org/officeDocument/2006/relationships" r:embed="rId2049"/>
        <a:stretch>
          <a:fillRect/>
        </a:stretch>
      </xdr:blipFill>
      <xdr:spPr>
        <a:xfrm>
          <a:off x="7264400" y="2694298650"/>
          <a:ext cx="878840" cy="1183640"/>
        </a:xfrm>
        <a:prstGeom prst="rect">
          <a:avLst/>
        </a:prstGeom>
      </xdr:spPr>
    </xdr:pic>
    <xdr:clientData/>
  </xdr:twoCellAnchor>
  <xdr:twoCellAnchor>
    <xdr:from>
      <xdr:col>8</xdr:col>
      <xdr:colOff>6350</xdr:colOff>
      <xdr:row>2718</xdr:row>
      <xdr:rowOff>25400</xdr:rowOff>
    </xdr:from>
    <xdr:to>
      <xdr:col>8</xdr:col>
      <xdr:colOff>885190</xdr:colOff>
      <xdr:row>2718</xdr:row>
      <xdr:rowOff>1209040</xdr:rowOff>
    </xdr:to>
    <xdr:pic>
      <xdr:nvPicPr>
        <xdr:cNvPr id="6337" name="Изображение 6336" descr="resizeПП-00227949"/>
        <xdr:cNvPicPr>
          <a:picLocks noChangeAspect="1"/>
        </xdr:cNvPicPr>
      </xdr:nvPicPr>
      <xdr:blipFill>
        <a:blip xmlns:r="http://schemas.openxmlformats.org/officeDocument/2006/relationships" r:embed="rId2050"/>
        <a:stretch>
          <a:fillRect/>
        </a:stretch>
      </xdr:blipFill>
      <xdr:spPr>
        <a:xfrm>
          <a:off x="7264400" y="2695521025"/>
          <a:ext cx="878840" cy="1183640"/>
        </a:xfrm>
        <a:prstGeom prst="rect">
          <a:avLst/>
        </a:prstGeom>
      </xdr:spPr>
    </xdr:pic>
    <xdr:clientData/>
  </xdr:twoCellAnchor>
  <xdr:twoCellAnchor>
    <xdr:from>
      <xdr:col>8</xdr:col>
      <xdr:colOff>6350</xdr:colOff>
      <xdr:row>2719</xdr:row>
      <xdr:rowOff>25400</xdr:rowOff>
    </xdr:from>
    <xdr:to>
      <xdr:col>8</xdr:col>
      <xdr:colOff>885190</xdr:colOff>
      <xdr:row>2719</xdr:row>
      <xdr:rowOff>1209040</xdr:rowOff>
    </xdr:to>
    <xdr:pic>
      <xdr:nvPicPr>
        <xdr:cNvPr id="6338" name="Изображение 6337" descr="resizeПП-00270794"/>
        <xdr:cNvPicPr>
          <a:picLocks noChangeAspect="1"/>
        </xdr:cNvPicPr>
      </xdr:nvPicPr>
      <xdr:blipFill>
        <a:blip xmlns:r="http://schemas.openxmlformats.org/officeDocument/2006/relationships" r:embed="rId2051"/>
        <a:stretch>
          <a:fillRect/>
        </a:stretch>
      </xdr:blipFill>
      <xdr:spPr>
        <a:xfrm>
          <a:off x="7264400" y="2696743400"/>
          <a:ext cx="878840" cy="1183640"/>
        </a:xfrm>
        <a:prstGeom prst="rect">
          <a:avLst/>
        </a:prstGeom>
      </xdr:spPr>
    </xdr:pic>
    <xdr:clientData/>
  </xdr:twoCellAnchor>
  <xdr:twoCellAnchor>
    <xdr:from>
      <xdr:col>8</xdr:col>
      <xdr:colOff>6350</xdr:colOff>
      <xdr:row>2720</xdr:row>
      <xdr:rowOff>25400</xdr:rowOff>
    </xdr:from>
    <xdr:to>
      <xdr:col>8</xdr:col>
      <xdr:colOff>885190</xdr:colOff>
      <xdr:row>2720</xdr:row>
      <xdr:rowOff>1209040</xdr:rowOff>
    </xdr:to>
    <xdr:pic>
      <xdr:nvPicPr>
        <xdr:cNvPr id="6339" name="Изображение 6338" descr="resizeПП-00270795"/>
        <xdr:cNvPicPr>
          <a:picLocks noChangeAspect="1"/>
        </xdr:cNvPicPr>
      </xdr:nvPicPr>
      <xdr:blipFill>
        <a:blip xmlns:r="http://schemas.openxmlformats.org/officeDocument/2006/relationships" r:embed="rId2052"/>
        <a:stretch>
          <a:fillRect/>
        </a:stretch>
      </xdr:blipFill>
      <xdr:spPr>
        <a:xfrm>
          <a:off x="7264400" y="2697965775"/>
          <a:ext cx="878840" cy="1183640"/>
        </a:xfrm>
        <a:prstGeom prst="rect">
          <a:avLst/>
        </a:prstGeom>
      </xdr:spPr>
    </xdr:pic>
    <xdr:clientData/>
  </xdr:twoCellAnchor>
  <xdr:twoCellAnchor>
    <xdr:from>
      <xdr:col>8</xdr:col>
      <xdr:colOff>6350</xdr:colOff>
      <xdr:row>2722</xdr:row>
      <xdr:rowOff>25400</xdr:rowOff>
    </xdr:from>
    <xdr:to>
      <xdr:col>8</xdr:col>
      <xdr:colOff>885190</xdr:colOff>
      <xdr:row>2722</xdr:row>
      <xdr:rowOff>1209040</xdr:rowOff>
    </xdr:to>
    <xdr:pic>
      <xdr:nvPicPr>
        <xdr:cNvPr id="6340" name="Изображение 6339" descr="resizeПП-00270805"/>
        <xdr:cNvPicPr>
          <a:picLocks noChangeAspect="1"/>
        </xdr:cNvPicPr>
      </xdr:nvPicPr>
      <xdr:blipFill>
        <a:blip xmlns:r="http://schemas.openxmlformats.org/officeDocument/2006/relationships" r:embed="rId2053"/>
        <a:stretch>
          <a:fillRect/>
        </a:stretch>
      </xdr:blipFill>
      <xdr:spPr>
        <a:xfrm>
          <a:off x="7264400" y="2699340550"/>
          <a:ext cx="878840" cy="1183640"/>
        </a:xfrm>
        <a:prstGeom prst="rect">
          <a:avLst/>
        </a:prstGeom>
      </xdr:spPr>
    </xdr:pic>
    <xdr:clientData/>
  </xdr:twoCellAnchor>
  <xdr:twoCellAnchor>
    <xdr:from>
      <xdr:col>8</xdr:col>
      <xdr:colOff>6350</xdr:colOff>
      <xdr:row>2723</xdr:row>
      <xdr:rowOff>25400</xdr:rowOff>
    </xdr:from>
    <xdr:to>
      <xdr:col>8</xdr:col>
      <xdr:colOff>885190</xdr:colOff>
      <xdr:row>2723</xdr:row>
      <xdr:rowOff>1209040</xdr:rowOff>
    </xdr:to>
    <xdr:pic>
      <xdr:nvPicPr>
        <xdr:cNvPr id="6341" name="Изображение 6340" descr="resizeПП-00270803"/>
        <xdr:cNvPicPr>
          <a:picLocks noChangeAspect="1"/>
        </xdr:cNvPicPr>
      </xdr:nvPicPr>
      <xdr:blipFill>
        <a:blip xmlns:r="http://schemas.openxmlformats.org/officeDocument/2006/relationships" r:embed="rId2054"/>
        <a:stretch>
          <a:fillRect/>
        </a:stretch>
      </xdr:blipFill>
      <xdr:spPr>
        <a:xfrm>
          <a:off x="7264400" y="2700562925"/>
          <a:ext cx="878840" cy="1183640"/>
        </a:xfrm>
        <a:prstGeom prst="rect">
          <a:avLst/>
        </a:prstGeom>
      </xdr:spPr>
    </xdr:pic>
    <xdr:clientData/>
  </xdr:twoCellAnchor>
  <xdr:twoCellAnchor>
    <xdr:from>
      <xdr:col>8</xdr:col>
      <xdr:colOff>6350</xdr:colOff>
      <xdr:row>2724</xdr:row>
      <xdr:rowOff>25400</xdr:rowOff>
    </xdr:from>
    <xdr:to>
      <xdr:col>8</xdr:col>
      <xdr:colOff>885190</xdr:colOff>
      <xdr:row>2724</xdr:row>
      <xdr:rowOff>1209040</xdr:rowOff>
    </xdr:to>
    <xdr:pic>
      <xdr:nvPicPr>
        <xdr:cNvPr id="6342" name="Изображение 6341" descr="resizeПП-00270804"/>
        <xdr:cNvPicPr>
          <a:picLocks noChangeAspect="1"/>
        </xdr:cNvPicPr>
      </xdr:nvPicPr>
      <xdr:blipFill>
        <a:blip xmlns:r="http://schemas.openxmlformats.org/officeDocument/2006/relationships" r:embed="rId2055"/>
        <a:stretch>
          <a:fillRect/>
        </a:stretch>
      </xdr:blipFill>
      <xdr:spPr>
        <a:xfrm>
          <a:off x="7264400" y="2701785300"/>
          <a:ext cx="878840" cy="1183640"/>
        </a:xfrm>
        <a:prstGeom prst="rect">
          <a:avLst/>
        </a:prstGeom>
      </xdr:spPr>
    </xdr:pic>
    <xdr:clientData/>
  </xdr:twoCellAnchor>
  <xdr:twoCellAnchor>
    <xdr:from>
      <xdr:col>8</xdr:col>
      <xdr:colOff>6350</xdr:colOff>
      <xdr:row>2725</xdr:row>
      <xdr:rowOff>25400</xdr:rowOff>
    </xdr:from>
    <xdr:to>
      <xdr:col>8</xdr:col>
      <xdr:colOff>885190</xdr:colOff>
      <xdr:row>2725</xdr:row>
      <xdr:rowOff>1209040</xdr:rowOff>
    </xdr:to>
    <xdr:pic>
      <xdr:nvPicPr>
        <xdr:cNvPr id="6343" name="Изображение 6342" descr="resizeПП-00257963"/>
        <xdr:cNvPicPr>
          <a:picLocks noChangeAspect="1"/>
        </xdr:cNvPicPr>
      </xdr:nvPicPr>
      <xdr:blipFill>
        <a:blip xmlns:r="http://schemas.openxmlformats.org/officeDocument/2006/relationships" r:embed="rId2056"/>
        <a:stretch>
          <a:fillRect/>
        </a:stretch>
      </xdr:blipFill>
      <xdr:spPr>
        <a:xfrm>
          <a:off x="7264400" y="2703007675"/>
          <a:ext cx="878840" cy="1183640"/>
        </a:xfrm>
        <a:prstGeom prst="rect">
          <a:avLst/>
        </a:prstGeom>
      </xdr:spPr>
    </xdr:pic>
    <xdr:clientData/>
  </xdr:twoCellAnchor>
  <xdr:twoCellAnchor>
    <xdr:from>
      <xdr:col>8</xdr:col>
      <xdr:colOff>6350</xdr:colOff>
      <xdr:row>2726</xdr:row>
      <xdr:rowOff>25400</xdr:rowOff>
    </xdr:from>
    <xdr:to>
      <xdr:col>8</xdr:col>
      <xdr:colOff>885190</xdr:colOff>
      <xdr:row>2726</xdr:row>
      <xdr:rowOff>1209040</xdr:rowOff>
    </xdr:to>
    <xdr:pic>
      <xdr:nvPicPr>
        <xdr:cNvPr id="6344" name="Изображение 6343" descr="resizeПП-00257955"/>
        <xdr:cNvPicPr>
          <a:picLocks noChangeAspect="1"/>
        </xdr:cNvPicPr>
      </xdr:nvPicPr>
      <xdr:blipFill>
        <a:blip xmlns:r="http://schemas.openxmlformats.org/officeDocument/2006/relationships" r:embed="rId2057"/>
        <a:stretch>
          <a:fillRect/>
        </a:stretch>
      </xdr:blipFill>
      <xdr:spPr>
        <a:xfrm>
          <a:off x="7264400" y="2704230050"/>
          <a:ext cx="878840" cy="1183640"/>
        </a:xfrm>
        <a:prstGeom prst="rect">
          <a:avLst/>
        </a:prstGeom>
      </xdr:spPr>
    </xdr:pic>
    <xdr:clientData/>
  </xdr:twoCellAnchor>
  <xdr:twoCellAnchor>
    <xdr:from>
      <xdr:col>8</xdr:col>
      <xdr:colOff>6350</xdr:colOff>
      <xdr:row>2727</xdr:row>
      <xdr:rowOff>25400</xdr:rowOff>
    </xdr:from>
    <xdr:to>
      <xdr:col>8</xdr:col>
      <xdr:colOff>885190</xdr:colOff>
      <xdr:row>2727</xdr:row>
      <xdr:rowOff>1209040</xdr:rowOff>
    </xdr:to>
    <xdr:pic>
      <xdr:nvPicPr>
        <xdr:cNvPr id="6345" name="Изображение 6344" descr="resizeПП-00275322"/>
        <xdr:cNvPicPr>
          <a:picLocks noChangeAspect="1"/>
        </xdr:cNvPicPr>
      </xdr:nvPicPr>
      <xdr:blipFill>
        <a:blip xmlns:r="http://schemas.openxmlformats.org/officeDocument/2006/relationships" r:embed="rId2058"/>
        <a:stretch>
          <a:fillRect/>
        </a:stretch>
      </xdr:blipFill>
      <xdr:spPr>
        <a:xfrm>
          <a:off x="7264400" y="2705452425"/>
          <a:ext cx="878840" cy="1183640"/>
        </a:xfrm>
        <a:prstGeom prst="rect">
          <a:avLst/>
        </a:prstGeom>
      </xdr:spPr>
    </xdr:pic>
    <xdr:clientData/>
  </xdr:twoCellAnchor>
  <xdr:twoCellAnchor>
    <xdr:from>
      <xdr:col>8</xdr:col>
      <xdr:colOff>6350</xdr:colOff>
      <xdr:row>2728</xdr:row>
      <xdr:rowOff>25400</xdr:rowOff>
    </xdr:from>
    <xdr:to>
      <xdr:col>8</xdr:col>
      <xdr:colOff>885190</xdr:colOff>
      <xdr:row>2728</xdr:row>
      <xdr:rowOff>1209040</xdr:rowOff>
    </xdr:to>
    <xdr:pic>
      <xdr:nvPicPr>
        <xdr:cNvPr id="6346" name="Изображение 6345" descr="resizeПП-00252126"/>
        <xdr:cNvPicPr>
          <a:picLocks noChangeAspect="1"/>
        </xdr:cNvPicPr>
      </xdr:nvPicPr>
      <xdr:blipFill>
        <a:blip xmlns:r="http://schemas.openxmlformats.org/officeDocument/2006/relationships" r:embed="rId2059"/>
        <a:stretch>
          <a:fillRect/>
        </a:stretch>
      </xdr:blipFill>
      <xdr:spPr>
        <a:xfrm>
          <a:off x="7264400" y="2706674800"/>
          <a:ext cx="878840" cy="1183640"/>
        </a:xfrm>
        <a:prstGeom prst="rect">
          <a:avLst/>
        </a:prstGeom>
      </xdr:spPr>
    </xdr:pic>
    <xdr:clientData/>
  </xdr:twoCellAnchor>
  <xdr:twoCellAnchor>
    <xdr:from>
      <xdr:col>8</xdr:col>
      <xdr:colOff>6350</xdr:colOff>
      <xdr:row>2729</xdr:row>
      <xdr:rowOff>25400</xdr:rowOff>
    </xdr:from>
    <xdr:to>
      <xdr:col>8</xdr:col>
      <xdr:colOff>885190</xdr:colOff>
      <xdr:row>2729</xdr:row>
      <xdr:rowOff>1209040</xdr:rowOff>
    </xdr:to>
    <xdr:pic>
      <xdr:nvPicPr>
        <xdr:cNvPr id="6347" name="Изображение 6346" descr="resizeПП-00252128"/>
        <xdr:cNvPicPr>
          <a:picLocks noChangeAspect="1"/>
        </xdr:cNvPicPr>
      </xdr:nvPicPr>
      <xdr:blipFill>
        <a:blip xmlns:r="http://schemas.openxmlformats.org/officeDocument/2006/relationships" r:embed="rId2060"/>
        <a:stretch>
          <a:fillRect/>
        </a:stretch>
      </xdr:blipFill>
      <xdr:spPr>
        <a:xfrm>
          <a:off x="7264400" y="2707897175"/>
          <a:ext cx="878840" cy="1183640"/>
        </a:xfrm>
        <a:prstGeom prst="rect">
          <a:avLst/>
        </a:prstGeom>
      </xdr:spPr>
    </xdr:pic>
    <xdr:clientData/>
  </xdr:twoCellAnchor>
  <xdr:twoCellAnchor>
    <xdr:from>
      <xdr:col>8</xdr:col>
      <xdr:colOff>6350</xdr:colOff>
      <xdr:row>2730</xdr:row>
      <xdr:rowOff>25400</xdr:rowOff>
    </xdr:from>
    <xdr:to>
      <xdr:col>8</xdr:col>
      <xdr:colOff>885190</xdr:colOff>
      <xdr:row>2730</xdr:row>
      <xdr:rowOff>1209040</xdr:rowOff>
    </xdr:to>
    <xdr:pic>
      <xdr:nvPicPr>
        <xdr:cNvPr id="6348" name="Изображение 6347" descr="resizeПП-00252129"/>
        <xdr:cNvPicPr>
          <a:picLocks noChangeAspect="1"/>
        </xdr:cNvPicPr>
      </xdr:nvPicPr>
      <xdr:blipFill>
        <a:blip xmlns:r="http://schemas.openxmlformats.org/officeDocument/2006/relationships" r:embed="rId2061"/>
        <a:stretch>
          <a:fillRect/>
        </a:stretch>
      </xdr:blipFill>
      <xdr:spPr>
        <a:xfrm>
          <a:off x="7264400" y="2709119550"/>
          <a:ext cx="878840" cy="1183640"/>
        </a:xfrm>
        <a:prstGeom prst="rect">
          <a:avLst/>
        </a:prstGeom>
      </xdr:spPr>
    </xdr:pic>
    <xdr:clientData/>
  </xdr:twoCellAnchor>
  <xdr:twoCellAnchor>
    <xdr:from>
      <xdr:col>8</xdr:col>
      <xdr:colOff>6350</xdr:colOff>
      <xdr:row>2731</xdr:row>
      <xdr:rowOff>25400</xdr:rowOff>
    </xdr:from>
    <xdr:to>
      <xdr:col>8</xdr:col>
      <xdr:colOff>885190</xdr:colOff>
      <xdr:row>2731</xdr:row>
      <xdr:rowOff>1209040</xdr:rowOff>
    </xdr:to>
    <xdr:pic>
      <xdr:nvPicPr>
        <xdr:cNvPr id="6349" name="Изображение 6348" descr="resizeПП-00252127"/>
        <xdr:cNvPicPr>
          <a:picLocks noChangeAspect="1"/>
        </xdr:cNvPicPr>
      </xdr:nvPicPr>
      <xdr:blipFill>
        <a:blip xmlns:r="http://schemas.openxmlformats.org/officeDocument/2006/relationships" r:embed="rId2062"/>
        <a:stretch>
          <a:fillRect/>
        </a:stretch>
      </xdr:blipFill>
      <xdr:spPr>
        <a:xfrm>
          <a:off x="7264400" y="2710341925"/>
          <a:ext cx="878840" cy="1183640"/>
        </a:xfrm>
        <a:prstGeom prst="rect">
          <a:avLst/>
        </a:prstGeom>
      </xdr:spPr>
    </xdr:pic>
    <xdr:clientData/>
  </xdr:twoCellAnchor>
  <xdr:twoCellAnchor>
    <xdr:from>
      <xdr:col>8</xdr:col>
      <xdr:colOff>6350</xdr:colOff>
      <xdr:row>2732</xdr:row>
      <xdr:rowOff>25400</xdr:rowOff>
    </xdr:from>
    <xdr:to>
      <xdr:col>8</xdr:col>
      <xdr:colOff>885190</xdr:colOff>
      <xdr:row>2732</xdr:row>
      <xdr:rowOff>1209040</xdr:rowOff>
    </xdr:to>
    <xdr:pic>
      <xdr:nvPicPr>
        <xdr:cNvPr id="6350" name="Изображение 6349" descr="resizeПП-00252130"/>
        <xdr:cNvPicPr>
          <a:picLocks noChangeAspect="1"/>
        </xdr:cNvPicPr>
      </xdr:nvPicPr>
      <xdr:blipFill>
        <a:blip xmlns:r="http://schemas.openxmlformats.org/officeDocument/2006/relationships" r:embed="rId2063"/>
        <a:stretch>
          <a:fillRect/>
        </a:stretch>
      </xdr:blipFill>
      <xdr:spPr>
        <a:xfrm>
          <a:off x="7264400" y="2711564300"/>
          <a:ext cx="878840" cy="1183640"/>
        </a:xfrm>
        <a:prstGeom prst="rect">
          <a:avLst/>
        </a:prstGeom>
      </xdr:spPr>
    </xdr:pic>
    <xdr:clientData/>
  </xdr:twoCellAnchor>
  <xdr:twoCellAnchor>
    <xdr:from>
      <xdr:col>8</xdr:col>
      <xdr:colOff>6350</xdr:colOff>
      <xdr:row>2733</xdr:row>
      <xdr:rowOff>25400</xdr:rowOff>
    </xdr:from>
    <xdr:to>
      <xdr:col>8</xdr:col>
      <xdr:colOff>885190</xdr:colOff>
      <xdr:row>2733</xdr:row>
      <xdr:rowOff>1209040</xdr:rowOff>
    </xdr:to>
    <xdr:pic>
      <xdr:nvPicPr>
        <xdr:cNvPr id="6351" name="Изображение 6350" descr="resizeПП-00252131"/>
        <xdr:cNvPicPr>
          <a:picLocks noChangeAspect="1"/>
        </xdr:cNvPicPr>
      </xdr:nvPicPr>
      <xdr:blipFill>
        <a:blip xmlns:r="http://schemas.openxmlformats.org/officeDocument/2006/relationships" r:embed="rId2064"/>
        <a:stretch>
          <a:fillRect/>
        </a:stretch>
      </xdr:blipFill>
      <xdr:spPr>
        <a:xfrm>
          <a:off x="7264400" y="2712786675"/>
          <a:ext cx="878840" cy="1183640"/>
        </a:xfrm>
        <a:prstGeom prst="rect">
          <a:avLst/>
        </a:prstGeom>
      </xdr:spPr>
    </xdr:pic>
    <xdr:clientData/>
  </xdr:twoCellAnchor>
  <xdr:twoCellAnchor>
    <xdr:from>
      <xdr:col>8</xdr:col>
      <xdr:colOff>6350</xdr:colOff>
      <xdr:row>2734</xdr:row>
      <xdr:rowOff>25400</xdr:rowOff>
    </xdr:from>
    <xdr:to>
      <xdr:col>8</xdr:col>
      <xdr:colOff>885190</xdr:colOff>
      <xdr:row>2734</xdr:row>
      <xdr:rowOff>1209040</xdr:rowOff>
    </xdr:to>
    <xdr:pic>
      <xdr:nvPicPr>
        <xdr:cNvPr id="6352" name="Изображение 6351" descr="resizeПП-00270801"/>
        <xdr:cNvPicPr>
          <a:picLocks noChangeAspect="1"/>
        </xdr:cNvPicPr>
      </xdr:nvPicPr>
      <xdr:blipFill>
        <a:blip xmlns:r="http://schemas.openxmlformats.org/officeDocument/2006/relationships" r:embed="rId2065"/>
        <a:stretch>
          <a:fillRect/>
        </a:stretch>
      </xdr:blipFill>
      <xdr:spPr>
        <a:xfrm>
          <a:off x="7264400" y="2714009050"/>
          <a:ext cx="878840" cy="1183640"/>
        </a:xfrm>
        <a:prstGeom prst="rect">
          <a:avLst/>
        </a:prstGeom>
      </xdr:spPr>
    </xdr:pic>
    <xdr:clientData/>
  </xdr:twoCellAnchor>
  <xdr:twoCellAnchor>
    <xdr:from>
      <xdr:col>8</xdr:col>
      <xdr:colOff>6350</xdr:colOff>
      <xdr:row>2735</xdr:row>
      <xdr:rowOff>25400</xdr:rowOff>
    </xdr:from>
    <xdr:to>
      <xdr:col>8</xdr:col>
      <xdr:colOff>885190</xdr:colOff>
      <xdr:row>2735</xdr:row>
      <xdr:rowOff>1209040</xdr:rowOff>
    </xdr:to>
    <xdr:pic>
      <xdr:nvPicPr>
        <xdr:cNvPr id="6353" name="Изображение 6352" descr="resizeПП-00270800"/>
        <xdr:cNvPicPr>
          <a:picLocks noChangeAspect="1"/>
        </xdr:cNvPicPr>
      </xdr:nvPicPr>
      <xdr:blipFill>
        <a:blip xmlns:r="http://schemas.openxmlformats.org/officeDocument/2006/relationships" r:embed="rId2066"/>
        <a:stretch>
          <a:fillRect/>
        </a:stretch>
      </xdr:blipFill>
      <xdr:spPr>
        <a:xfrm>
          <a:off x="7264400" y="2715231425"/>
          <a:ext cx="878840" cy="1183640"/>
        </a:xfrm>
        <a:prstGeom prst="rect">
          <a:avLst/>
        </a:prstGeom>
      </xdr:spPr>
    </xdr:pic>
    <xdr:clientData/>
  </xdr:twoCellAnchor>
  <xdr:twoCellAnchor>
    <xdr:from>
      <xdr:col>8</xdr:col>
      <xdr:colOff>6350</xdr:colOff>
      <xdr:row>2736</xdr:row>
      <xdr:rowOff>25400</xdr:rowOff>
    </xdr:from>
    <xdr:to>
      <xdr:col>8</xdr:col>
      <xdr:colOff>885190</xdr:colOff>
      <xdr:row>2736</xdr:row>
      <xdr:rowOff>1209040</xdr:rowOff>
    </xdr:to>
    <xdr:pic>
      <xdr:nvPicPr>
        <xdr:cNvPr id="6354" name="Изображение 6353" descr="resizeПП-00227962"/>
        <xdr:cNvPicPr>
          <a:picLocks noChangeAspect="1"/>
        </xdr:cNvPicPr>
      </xdr:nvPicPr>
      <xdr:blipFill>
        <a:blip xmlns:r="http://schemas.openxmlformats.org/officeDocument/2006/relationships" r:embed="rId2067"/>
        <a:stretch>
          <a:fillRect/>
        </a:stretch>
      </xdr:blipFill>
      <xdr:spPr>
        <a:xfrm>
          <a:off x="7264400" y="2716453800"/>
          <a:ext cx="878840" cy="1183640"/>
        </a:xfrm>
        <a:prstGeom prst="rect">
          <a:avLst/>
        </a:prstGeom>
      </xdr:spPr>
    </xdr:pic>
    <xdr:clientData/>
  </xdr:twoCellAnchor>
  <xdr:twoCellAnchor>
    <xdr:from>
      <xdr:col>8</xdr:col>
      <xdr:colOff>6350</xdr:colOff>
      <xdr:row>2738</xdr:row>
      <xdr:rowOff>25400</xdr:rowOff>
    </xdr:from>
    <xdr:to>
      <xdr:col>8</xdr:col>
      <xdr:colOff>885190</xdr:colOff>
      <xdr:row>2738</xdr:row>
      <xdr:rowOff>1209040</xdr:rowOff>
    </xdr:to>
    <xdr:pic>
      <xdr:nvPicPr>
        <xdr:cNvPr id="6355" name="Изображение 6354" descr="resizeПП-00251894"/>
        <xdr:cNvPicPr>
          <a:picLocks noChangeAspect="1"/>
        </xdr:cNvPicPr>
      </xdr:nvPicPr>
      <xdr:blipFill>
        <a:blip xmlns:r="http://schemas.openxmlformats.org/officeDocument/2006/relationships" r:embed="rId2068"/>
        <a:stretch>
          <a:fillRect/>
        </a:stretch>
      </xdr:blipFill>
      <xdr:spPr>
        <a:xfrm>
          <a:off x="7264400" y="2717828575"/>
          <a:ext cx="878840" cy="1183640"/>
        </a:xfrm>
        <a:prstGeom prst="rect">
          <a:avLst/>
        </a:prstGeom>
      </xdr:spPr>
    </xdr:pic>
    <xdr:clientData/>
  </xdr:twoCellAnchor>
  <xdr:twoCellAnchor>
    <xdr:from>
      <xdr:col>8</xdr:col>
      <xdr:colOff>6350</xdr:colOff>
      <xdr:row>2739</xdr:row>
      <xdr:rowOff>25400</xdr:rowOff>
    </xdr:from>
    <xdr:to>
      <xdr:col>8</xdr:col>
      <xdr:colOff>885190</xdr:colOff>
      <xdr:row>2739</xdr:row>
      <xdr:rowOff>1209040</xdr:rowOff>
    </xdr:to>
    <xdr:pic>
      <xdr:nvPicPr>
        <xdr:cNvPr id="6356" name="Изображение 6355" descr="resizeПП-00251897"/>
        <xdr:cNvPicPr>
          <a:picLocks noChangeAspect="1"/>
        </xdr:cNvPicPr>
      </xdr:nvPicPr>
      <xdr:blipFill>
        <a:blip xmlns:r="http://schemas.openxmlformats.org/officeDocument/2006/relationships" r:embed="rId2069"/>
        <a:stretch>
          <a:fillRect/>
        </a:stretch>
      </xdr:blipFill>
      <xdr:spPr>
        <a:xfrm>
          <a:off x="7264400" y="2719050950"/>
          <a:ext cx="878840" cy="1183640"/>
        </a:xfrm>
        <a:prstGeom prst="rect">
          <a:avLst/>
        </a:prstGeom>
      </xdr:spPr>
    </xdr:pic>
    <xdr:clientData/>
  </xdr:twoCellAnchor>
  <xdr:twoCellAnchor>
    <xdr:from>
      <xdr:col>8</xdr:col>
      <xdr:colOff>6350</xdr:colOff>
      <xdr:row>2740</xdr:row>
      <xdr:rowOff>25400</xdr:rowOff>
    </xdr:from>
    <xdr:to>
      <xdr:col>8</xdr:col>
      <xdr:colOff>885190</xdr:colOff>
      <xdr:row>2740</xdr:row>
      <xdr:rowOff>1209040</xdr:rowOff>
    </xdr:to>
    <xdr:pic>
      <xdr:nvPicPr>
        <xdr:cNvPr id="6357" name="Изображение 6356" descr="resizeПП-00129980"/>
        <xdr:cNvPicPr>
          <a:picLocks noChangeAspect="1"/>
        </xdr:cNvPicPr>
      </xdr:nvPicPr>
      <xdr:blipFill>
        <a:blip xmlns:r="http://schemas.openxmlformats.org/officeDocument/2006/relationships" r:embed="rId2070"/>
        <a:stretch>
          <a:fillRect/>
        </a:stretch>
      </xdr:blipFill>
      <xdr:spPr>
        <a:xfrm>
          <a:off x="7264400" y="2720273325"/>
          <a:ext cx="878840" cy="1183640"/>
        </a:xfrm>
        <a:prstGeom prst="rect">
          <a:avLst/>
        </a:prstGeom>
      </xdr:spPr>
    </xdr:pic>
    <xdr:clientData/>
  </xdr:twoCellAnchor>
  <xdr:twoCellAnchor>
    <xdr:from>
      <xdr:col>8</xdr:col>
      <xdr:colOff>6350</xdr:colOff>
      <xdr:row>2741</xdr:row>
      <xdr:rowOff>25400</xdr:rowOff>
    </xdr:from>
    <xdr:to>
      <xdr:col>8</xdr:col>
      <xdr:colOff>885190</xdr:colOff>
      <xdr:row>2741</xdr:row>
      <xdr:rowOff>1209040</xdr:rowOff>
    </xdr:to>
    <xdr:pic>
      <xdr:nvPicPr>
        <xdr:cNvPr id="6358" name="Изображение 6357" descr="resizeПП-00251898"/>
        <xdr:cNvPicPr>
          <a:picLocks noChangeAspect="1"/>
        </xdr:cNvPicPr>
      </xdr:nvPicPr>
      <xdr:blipFill>
        <a:blip xmlns:r="http://schemas.openxmlformats.org/officeDocument/2006/relationships" r:embed="rId2071"/>
        <a:stretch>
          <a:fillRect/>
        </a:stretch>
      </xdr:blipFill>
      <xdr:spPr>
        <a:xfrm>
          <a:off x="7264400" y="2721495700"/>
          <a:ext cx="878840" cy="1183640"/>
        </a:xfrm>
        <a:prstGeom prst="rect">
          <a:avLst/>
        </a:prstGeom>
      </xdr:spPr>
    </xdr:pic>
    <xdr:clientData/>
  </xdr:twoCellAnchor>
  <xdr:twoCellAnchor>
    <xdr:from>
      <xdr:col>8</xdr:col>
      <xdr:colOff>6350</xdr:colOff>
      <xdr:row>2742</xdr:row>
      <xdr:rowOff>25400</xdr:rowOff>
    </xdr:from>
    <xdr:to>
      <xdr:col>8</xdr:col>
      <xdr:colOff>885190</xdr:colOff>
      <xdr:row>2742</xdr:row>
      <xdr:rowOff>1209040</xdr:rowOff>
    </xdr:to>
    <xdr:pic>
      <xdr:nvPicPr>
        <xdr:cNvPr id="6359" name="Изображение 6358" descr="resizeПП-00251896"/>
        <xdr:cNvPicPr>
          <a:picLocks noChangeAspect="1"/>
        </xdr:cNvPicPr>
      </xdr:nvPicPr>
      <xdr:blipFill>
        <a:blip xmlns:r="http://schemas.openxmlformats.org/officeDocument/2006/relationships" r:embed="rId2072"/>
        <a:stretch>
          <a:fillRect/>
        </a:stretch>
      </xdr:blipFill>
      <xdr:spPr>
        <a:xfrm>
          <a:off x="7264400" y="2722718075"/>
          <a:ext cx="878840" cy="1183640"/>
        </a:xfrm>
        <a:prstGeom prst="rect">
          <a:avLst/>
        </a:prstGeom>
      </xdr:spPr>
    </xdr:pic>
    <xdr:clientData/>
  </xdr:twoCellAnchor>
  <xdr:twoCellAnchor>
    <xdr:from>
      <xdr:col>8</xdr:col>
      <xdr:colOff>6350</xdr:colOff>
      <xdr:row>2743</xdr:row>
      <xdr:rowOff>25400</xdr:rowOff>
    </xdr:from>
    <xdr:to>
      <xdr:col>8</xdr:col>
      <xdr:colOff>885190</xdr:colOff>
      <xdr:row>2743</xdr:row>
      <xdr:rowOff>1209040</xdr:rowOff>
    </xdr:to>
    <xdr:pic>
      <xdr:nvPicPr>
        <xdr:cNvPr id="6360" name="Изображение 6359" descr="resizeПП-00251899"/>
        <xdr:cNvPicPr>
          <a:picLocks noChangeAspect="1"/>
        </xdr:cNvPicPr>
      </xdr:nvPicPr>
      <xdr:blipFill>
        <a:blip xmlns:r="http://schemas.openxmlformats.org/officeDocument/2006/relationships" r:embed="rId2073"/>
        <a:stretch>
          <a:fillRect/>
        </a:stretch>
      </xdr:blipFill>
      <xdr:spPr>
        <a:xfrm>
          <a:off x="7264400" y="2723940450"/>
          <a:ext cx="878840" cy="1183640"/>
        </a:xfrm>
        <a:prstGeom prst="rect">
          <a:avLst/>
        </a:prstGeom>
      </xdr:spPr>
    </xdr:pic>
    <xdr:clientData/>
  </xdr:twoCellAnchor>
  <xdr:twoCellAnchor>
    <xdr:from>
      <xdr:col>8</xdr:col>
      <xdr:colOff>6350</xdr:colOff>
      <xdr:row>2744</xdr:row>
      <xdr:rowOff>25400</xdr:rowOff>
    </xdr:from>
    <xdr:to>
      <xdr:col>8</xdr:col>
      <xdr:colOff>885190</xdr:colOff>
      <xdr:row>2744</xdr:row>
      <xdr:rowOff>1209040</xdr:rowOff>
    </xdr:to>
    <xdr:pic>
      <xdr:nvPicPr>
        <xdr:cNvPr id="6361" name="Изображение 6360" descr="resizeПП-00251901"/>
        <xdr:cNvPicPr>
          <a:picLocks noChangeAspect="1"/>
        </xdr:cNvPicPr>
      </xdr:nvPicPr>
      <xdr:blipFill>
        <a:blip xmlns:r="http://schemas.openxmlformats.org/officeDocument/2006/relationships" r:embed="rId2074"/>
        <a:stretch>
          <a:fillRect/>
        </a:stretch>
      </xdr:blipFill>
      <xdr:spPr>
        <a:xfrm>
          <a:off x="7264400" y="2725162825"/>
          <a:ext cx="878840" cy="1183640"/>
        </a:xfrm>
        <a:prstGeom prst="rect">
          <a:avLst/>
        </a:prstGeom>
      </xdr:spPr>
    </xdr:pic>
    <xdr:clientData/>
  </xdr:twoCellAnchor>
  <xdr:twoCellAnchor>
    <xdr:from>
      <xdr:col>8</xdr:col>
      <xdr:colOff>6350</xdr:colOff>
      <xdr:row>2745</xdr:row>
      <xdr:rowOff>25400</xdr:rowOff>
    </xdr:from>
    <xdr:to>
      <xdr:col>8</xdr:col>
      <xdr:colOff>885190</xdr:colOff>
      <xdr:row>2745</xdr:row>
      <xdr:rowOff>1209040</xdr:rowOff>
    </xdr:to>
    <xdr:pic>
      <xdr:nvPicPr>
        <xdr:cNvPr id="6362" name="Изображение 6361" descr="resizeПП-00230329"/>
        <xdr:cNvPicPr>
          <a:picLocks noChangeAspect="1"/>
        </xdr:cNvPicPr>
      </xdr:nvPicPr>
      <xdr:blipFill>
        <a:blip xmlns:r="http://schemas.openxmlformats.org/officeDocument/2006/relationships" r:embed="rId2075"/>
        <a:stretch>
          <a:fillRect/>
        </a:stretch>
      </xdr:blipFill>
      <xdr:spPr>
        <a:xfrm>
          <a:off x="7264400" y="2726385200"/>
          <a:ext cx="878840" cy="1183640"/>
        </a:xfrm>
        <a:prstGeom prst="rect">
          <a:avLst/>
        </a:prstGeom>
      </xdr:spPr>
    </xdr:pic>
    <xdr:clientData/>
  </xdr:twoCellAnchor>
  <xdr:twoCellAnchor>
    <xdr:from>
      <xdr:col>8</xdr:col>
      <xdr:colOff>6350</xdr:colOff>
      <xdr:row>2749</xdr:row>
      <xdr:rowOff>25400</xdr:rowOff>
    </xdr:from>
    <xdr:to>
      <xdr:col>8</xdr:col>
      <xdr:colOff>885190</xdr:colOff>
      <xdr:row>2749</xdr:row>
      <xdr:rowOff>1209040</xdr:rowOff>
    </xdr:to>
    <xdr:pic>
      <xdr:nvPicPr>
        <xdr:cNvPr id="6363" name="Изображение 6362" descr="resizeПП-00208250"/>
        <xdr:cNvPicPr>
          <a:picLocks noChangeAspect="1"/>
        </xdr:cNvPicPr>
      </xdr:nvPicPr>
      <xdr:blipFill>
        <a:blip xmlns:r="http://schemas.openxmlformats.org/officeDocument/2006/relationships" r:embed="rId2076"/>
        <a:stretch>
          <a:fillRect/>
        </a:stretch>
      </xdr:blipFill>
      <xdr:spPr>
        <a:xfrm>
          <a:off x="7264400" y="2728064775"/>
          <a:ext cx="878840" cy="1183640"/>
        </a:xfrm>
        <a:prstGeom prst="rect">
          <a:avLst/>
        </a:prstGeom>
      </xdr:spPr>
    </xdr:pic>
    <xdr:clientData/>
  </xdr:twoCellAnchor>
  <xdr:twoCellAnchor>
    <xdr:from>
      <xdr:col>8</xdr:col>
      <xdr:colOff>6350</xdr:colOff>
      <xdr:row>2750</xdr:row>
      <xdr:rowOff>25400</xdr:rowOff>
    </xdr:from>
    <xdr:to>
      <xdr:col>8</xdr:col>
      <xdr:colOff>885190</xdr:colOff>
      <xdr:row>2750</xdr:row>
      <xdr:rowOff>1209040</xdr:rowOff>
    </xdr:to>
    <xdr:pic>
      <xdr:nvPicPr>
        <xdr:cNvPr id="6364" name="Изображение 6363" descr="resizeПП-00230473"/>
        <xdr:cNvPicPr>
          <a:picLocks noChangeAspect="1"/>
        </xdr:cNvPicPr>
      </xdr:nvPicPr>
      <xdr:blipFill>
        <a:blip xmlns:r="http://schemas.openxmlformats.org/officeDocument/2006/relationships" r:embed="rId2077"/>
        <a:stretch>
          <a:fillRect/>
        </a:stretch>
      </xdr:blipFill>
      <xdr:spPr>
        <a:xfrm>
          <a:off x="7264400" y="2729287150"/>
          <a:ext cx="878840" cy="1183640"/>
        </a:xfrm>
        <a:prstGeom prst="rect">
          <a:avLst/>
        </a:prstGeom>
      </xdr:spPr>
    </xdr:pic>
    <xdr:clientData/>
  </xdr:twoCellAnchor>
  <xdr:twoCellAnchor>
    <xdr:from>
      <xdr:col>8</xdr:col>
      <xdr:colOff>6350</xdr:colOff>
      <xdr:row>2752</xdr:row>
      <xdr:rowOff>25400</xdr:rowOff>
    </xdr:from>
    <xdr:to>
      <xdr:col>8</xdr:col>
      <xdr:colOff>885190</xdr:colOff>
      <xdr:row>2752</xdr:row>
      <xdr:rowOff>1209040</xdr:rowOff>
    </xdr:to>
    <xdr:pic>
      <xdr:nvPicPr>
        <xdr:cNvPr id="6365" name="Изображение 6364" descr="resizeПП-00258619"/>
        <xdr:cNvPicPr>
          <a:picLocks noChangeAspect="1"/>
        </xdr:cNvPicPr>
      </xdr:nvPicPr>
      <xdr:blipFill>
        <a:blip xmlns:r="http://schemas.openxmlformats.org/officeDocument/2006/relationships" r:embed="rId2078"/>
        <a:stretch>
          <a:fillRect/>
        </a:stretch>
      </xdr:blipFill>
      <xdr:spPr>
        <a:xfrm>
          <a:off x="7264400" y="2730661925"/>
          <a:ext cx="878840" cy="1183640"/>
        </a:xfrm>
        <a:prstGeom prst="rect">
          <a:avLst/>
        </a:prstGeom>
      </xdr:spPr>
    </xdr:pic>
    <xdr:clientData/>
  </xdr:twoCellAnchor>
  <xdr:twoCellAnchor>
    <xdr:from>
      <xdr:col>8</xdr:col>
      <xdr:colOff>6350</xdr:colOff>
      <xdr:row>2753</xdr:row>
      <xdr:rowOff>25400</xdr:rowOff>
    </xdr:from>
    <xdr:to>
      <xdr:col>8</xdr:col>
      <xdr:colOff>885190</xdr:colOff>
      <xdr:row>2753</xdr:row>
      <xdr:rowOff>1209040</xdr:rowOff>
    </xdr:to>
    <xdr:pic>
      <xdr:nvPicPr>
        <xdr:cNvPr id="6366" name="Изображение 6365" descr="resizeПП-00258609"/>
        <xdr:cNvPicPr>
          <a:picLocks noChangeAspect="1"/>
        </xdr:cNvPicPr>
      </xdr:nvPicPr>
      <xdr:blipFill>
        <a:blip xmlns:r="http://schemas.openxmlformats.org/officeDocument/2006/relationships" r:embed="rId2079"/>
        <a:stretch>
          <a:fillRect/>
        </a:stretch>
      </xdr:blipFill>
      <xdr:spPr>
        <a:xfrm>
          <a:off x="7264400" y="2731884300"/>
          <a:ext cx="878840" cy="1183640"/>
        </a:xfrm>
        <a:prstGeom prst="rect">
          <a:avLst/>
        </a:prstGeom>
      </xdr:spPr>
    </xdr:pic>
    <xdr:clientData/>
  </xdr:twoCellAnchor>
  <xdr:twoCellAnchor>
    <xdr:from>
      <xdr:col>8</xdr:col>
      <xdr:colOff>6350</xdr:colOff>
      <xdr:row>2755</xdr:row>
      <xdr:rowOff>25400</xdr:rowOff>
    </xdr:from>
    <xdr:to>
      <xdr:col>8</xdr:col>
      <xdr:colOff>885190</xdr:colOff>
      <xdr:row>2755</xdr:row>
      <xdr:rowOff>1209040</xdr:rowOff>
    </xdr:to>
    <xdr:pic>
      <xdr:nvPicPr>
        <xdr:cNvPr id="6367" name="Изображение 6366" descr="resizeПП-00258624"/>
        <xdr:cNvPicPr>
          <a:picLocks noChangeAspect="1"/>
        </xdr:cNvPicPr>
      </xdr:nvPicPr>
      <xdr:blipFill>
        <a:blip xmlns:r="http://schemas.openxmlformats.org/officeDocument/2006/relationships" r:embed="rId2080"/>
        <a:stretch>
          <a:fillRect/>
        </a:stretch>
      </xdr:blipFill>
      <xdr:spPr>
        <a:xfrm>
          <a:off x="7264400" y="2733246375"/>
          <a:ext cx="878840" cy="1183640"/>
        </a:xfrm>
        <a:prstGeom prst="rect">
          <a:avLst/>
        </a:prstGeom>
      </xdr:spPr>
    </xdr:pic>
    <xdr:clientData/>
  </xdr:twoCellAnchor>
  <xdr:twoCellAnchor>
    <xdr:from>
      <xdr:col>8</xdr:col>
      <xdr:colOff>6350</xdr:colOff>
      <xdr:row>2756</xdr:row>
      <xdr:rowOff>25400</xdr:rowOff>
    </xdr:from>
    <xdr:to>
      <xdr:col>8</xdr:col>
      <xdr:colOff>885190</xdr:colOff>
      <xdr:row>2756</xdr:row>
      <xdr:rowOff>1209040</xdr:rowOff>
    </xdr:to>
    <xdr:pic>
      <xdr:nvPicPr>
        <xdr:cNvPr id="6368" name="Изображение 6367" descr="resizeПП-00258637"/>
        <xdr:cNvPicPr>
          <a:picLocks noChangeAspect="1"/>
        </xdr:cNvPicPr>
      </xdr:nvPicPr>
      <xdr:blipFill>
        <a:blip xmlns:r="http://schemas.openxmlformats.org/officeDocument/2006/relationships" r:embed="rId2081"/>
        <a:stretch>
          <a:fillRect/>
        </a:stretch>
      </xdr:blipFill>
      <xdr:spPr>
        <a:xfrm>
          <a:off x="7264400" y="2734468750"/>
          <a:ext cx="878840" cy="1183640"/>
        </a:xfrm>
        <a:prstGeom prst="rect">
          <a:avLst/>
        </a:prstGeom>
      </xdr:spPr>
    </xdr:pic>
    <xdr:clientData/>
  </xdr:twoCellAnchor>
  <xdr:twoCellAnchor>
    <xdr:from>
      <xdr:col>8</xdr:col>
      <xdr:colOff>6350</xdr:colOff>
      <xdr:row>2757</xdr:row>
      <xdr:rowOff>25400</xdr:rowOff>
    </xdr:from>
    <xdr:to>
      <xdr:col>8</xdr:col>
      <xdr:colOff>885190</xdr:colOff>
      <xdr:row>2757</xdr:row>
      <xdr:rowOff>1209040</xdr:rowOff>
    </xdr:to>
    <xdr:pic>
      <xdr:nvPicPr>
        <xdr:cNvPr id="6369" name="Изображение 6368" descr="resizeПП-00258632"/>
        <xdr:cNvPicPr>
          <a:picLocks noChangeAspect="1"/>
        </xdr:cNvPicPr>
      </xdr:nvPicPr>
      <xdr:blipFill>
        <a:blip xmlns:r="http://schemas.openxmlformats.org/officeDocument/2006/relationships" r:embed="rId2081"/>
        <a:stretch>
          <a:fillRect/>
        </a:stretch>
      </xdr:blipFill>
      <xdr:spPr>
        <a:xfrm>
          <a:off x="7264400" y="2735691125"/>
          <a:ext cx="878840" cy="1183640"/>
        </a:xfrm>
        <a:prstGeom prst="rect">
          <a:avLst/>
        </a:prstGeom>
      </xdr:spPr>
    </xdr:pic>
    <xdr:clientData/>
  </xdr:twoCellAnchor>
  <xdr:twoCellAnchor>
    <xdr:from>
      <xdr:col>8</xdr:col>
      <xdr:colOff>6350</xdr:colOff>
      <xdr:row>2758</xdr:row>
      <xdr:rowOff>25400</xdr:rowOff>
    </xdr:from>
    <xdr:to>
      <xdr:col>8</xdr:col>
      <xdr:colOff>885190</xdr:colOff>
      <xdr:row>2758</xdr:row>
      <xdr:rowOff>1209040</xdr:rowOff>
    </xdr:to>
    <xdr:pic>
      <xdr:nvPicPr>
        <xdr:cNvPr id="6370" name="Изображение 6369" descr="resizeПП-00258638"/>
        <xdr:cNvPicPr>
          <a:picLocks noChangeAspect="1"/>
        </xdr:cNvPicPr>
      </xdr:nvPicPr>
      <xdr:blipFill>
        <a:blip xmlns:r="http://schemas.openxmlformats.org/officeDocument/2006/relationships" r:embed="rId2082"/>
        <a:stretch>
          <a:fillRect/>
        </a:stretch>
      </xdr:blipFill>
      <xdr:spPr>
        <a:xfrm>
          <a:off x="7264400" y="2736913500"/>
          <a:ext cx="878840" cy="1183640"/>
        </a:xfrm>
        <a:prstGeom prst="rect">
          <a:avLst/>
        </a:prstGeom>
      </xdr:spPr>
    </xdr:pic>
    <xdr:clientData/>
  </xdr:twoCellAnchor>
  <xdr:twoCellAnchor>
    <xdr:from>
      <xdr:col>8</xdr:col>
      <xdr:colOff>6350</xdr:colOff>
      <xdr:row>2759</xdr:row>
      <xdr:rowOff>25400</xdr:rowOff>
    </xdr:from>
    <xdr:to>
      <xdr:col>8</xdr:col>
      <xdr:colOff>885190</xdr:colOff>
      <xdr:row>2759</xdr:row>
      <xdr:rowOff>1209040</xdr:rowOff>
    </xdr:to>
    <xdr:pic>
      <xdr:nvPicPr>
        <xdr:cNvPr id="6371" name="Изображение 6370" descr="resizeПП-00258631"/>
        <xdr:cNvPicPr>
          <a:picLocks noChangeAspect="1"/>
        </xdr:cNvPicPr>
      </xdr:nvPicPr>
      <xdr:blipFill>
        <a:blip xmlns:r="http://schemas.openxmlformats.org/officeDocument/2006/relationships" r:embed="rId2083"/>
        <a:stretch>
          <a:fillRect/>
        </a:stretch>
      </xdr:blipFill>
      <xdr:spPr>
        <a:xfrm>
          <a:off x="7264400" y="2738135875"/>
          <a:ext cx="878840" cy="1183640"/>
        </a:xfrm>
        <a:prstGeom prst="rect">
          <a:avLst/>
        </a:prstGeom>
      </xdr:spPr>
    </xdr:pic>
    <xdr:clientData/>
  </xdr:twoCellAnchor>
  <xdr:twoCellAnchor>
    <xdr:from>
      <xdr:col>8</xdr:col>
      <xdr:colOff>6350</xdr:colOff>
      <xdr:row>2762</xdr:row>
      <xdr:rowOff>25400</xdr:rowOff>
    </xdr:from>
    <xdr:to>
      <xdr:col>8</xdr:col>
      <xdr:colOff>885190</xdr:colOff>
      <xdr:row>2762</xdr:row>
      <xdr:rowOff>1209040</xdr:rowOff>
    </xdr:to>
    <xdr:pic>
      <xdr:nvPicPr>
        <xdr:cNvPr id="6372" name="Изображение 6371" descr="resizeПП-00208311"/>
        <xdr:cNvPicPr>
          <a:picLocks noChangeAspect="1"/>
        </xdr:cNvPicPr>
      </xdr:nvPicPr>
      <xdr:blipFill>
        <a:blip xmlns:r="http://schemas.openxmlformats.org/officeDocument/2006/relationships" r:embed="rId2084"/>
        <a:stretch>
          <a:fillRect/>
        </a:stretch>
      </xdr:blipFill>
      <xdr:spPr>
        <a:xfrm>
          <a:off x="7264400" y="2739663050"/>
          <a:ext cx="878840" cy="1183640"/>
        </a:xfrm>
        <a:prstGeom prst="rect">
          <a:avLst/>
        </a:prstGeom>
      </xdr:spPr>
    </xdr:pic>
    <xdr:clientData/>
  </xdr:twoCellAnchor>
  <xdr:twoCellAnchor>
    <xdr:from>
      <xdr:col>8</xdr:col>
      <xdr:colOff>6350</xdr:colOff>
      <xdr:row>2765</xdr:row>
      <xdr:rowOff>25400</xdr:rowOff>
    </xdr:from>
    <xdr:to>
      <xdr:col>8</xdr:col>
      <xdr:colOff>885190</xdr:colOff>
      <xdr:row>2765</xdr:row>
      <xdr:rowOff>1209040</xdr:rowOff>
    </xdr:to>
    <xdr:pic>
      <xdr:nvPicPr>
        <xdr:cNvPr id="6373" name="Изображение 6372" descr="resizeПП-00252187"/>
        <xdr:cNvPicPr>
          <a:picLocks noChangeAspect="1"/>
        </xdr:cNvPicPr>
      </xdr:nvPicPr>
      <xdr:blipFill>
        <a:blip xmlns:r="http://schemas.openxmlformats.org/officeDocument/2006/relationships" r:embed="rId2085"/>
        <a:stretch>
          <a:fillRect/>
        </a:stretch>
      </xdr:blipFill>
      <xdr:spPr>
        <a:xfrm>
          <a:off x="7264400" y="2741190225"/>
          <a:ext cx="878840" cy="1183640"/>
        </a:xfrm>
        <a:prstGeom prst="rect">
          <a:avLst/>
        </a:prstGeom>
      </xdr:spPr>
    </xdr:pic>
    <xdr:clientData/>
  </xdr:twoCellAnchor>
  <xdr:twoCellAnchor>
    <xdr:from>
      <xdr:col>8</xdr:col>
      <xdr:colOff>6350</xdr:colOff>
      <xdr:row>2766</xdr:row>
      <xdr:rowOff>25400</xdr:rowOff>
    </xdr:from>
    <xdr:to>
      <xdr:col>8</xdr:col>
      <xdr:colOff>885190</xdr:colOff>
      <xdr:row>2766</xdr:row>
      <xdr:rowOff>1209040</xdr:rowOff>
    </xdr:to>
    <xdr:pic>
      <xdr:nvPicPr>
        <xdr:cNvPr id="6374" name="Изображение 6373" descr="resizeПП-00252185"/>
        <xdr:cNvPicPr>
          <a:picLocks noChangeAspect="1"/>
        </xdr:cNvPicPr>
      </xdr:nvPicPr>
      <xdr:blipFill>
        <a:blip xmlns:r="http://schemas.openxmlformats.org/officeDocument/2006/relationships" r:embed="rId2086"/>
        <a:stretch>
          <a:fillRect/>
        </a:stretch>
      </xdr:blipFill>
      <xdr:spPr>
        <a:xfrm>
          <a:off x="7264400" y="2742412600"/>
          <a:ext cx="878840" cy="1183640"/>
        </a:xfrm>
        <a:prstGeom prst="rect">
          <a:avLst/>
        </a:prstGeom>
      </xdr:spPr>
    </xdr:pic>
    <xdr:clientData/>
  </xdr:twoCellAnchor>
  <xdr:twoCellAnchor>
    <xdr:from>
      <xdr:col>8</xdr:col>
      <xdr:colOff>6350</xdr:colOff>
      <xdr:row>2767</xdr:row>
      <xdr:rowOff>25400</xdr:rowOff>
    </xdr:from>
    <xdr:to>
      <xdr:col>8</xdr:col>
      <xdr:colOff>885190</xdr:colOff>
      <xdr:row>2767</xdr:row>
      <xdr:rowOff>1209040</xdr:rowOff>
    </xdr:to>
    <xdr:pic>
      <xdr:nvPicPr>
        <xdr:cNvPr id="6375" name="Изображение 6374" descr="resizeПП-00271853"/>
        <xdr:cNvPicPr>
          <a:picLocks noChangeAspect="1"/>
        </xdr:cNvPicPr>
      </xdr:nvPicPr>
      <xdr:blipFill>
        <a:blip xmlns:r="http://schemas.openxmlformats.org/officeDocument/2006/relationships" r:embed="rId2087"/>
        <a:stretch>
          <a:fillRect/>
        </a:stretch>
      </xdr:blipFill>
      <xdr:spPr>
        <a:xfrm>
          <a:off x="7264400" y="2743634975"/>
          <a:ext cx="878840" cy="1183640"/>
        </a:xfrm>
        <a:prstGeom prst="rect">
          <a:avLst/>
        </a:prstGeom>
      </xdr:spPr>
    </xdr:pic>
    <xdr:clientData/>
  </xdr:twoCellAnchor>
  <xdr:twoCellAnchor>
    <xdr:from>
      <xdr:col>8</xdr:col>
      <xdr:colOff>6350</xdr:colOff>
      <xdr:row>2768</xdr:row>
      <xdr:rowOff>25400</xdr:rowOff>
    </xdr:from>
    <xdr:to>
      <xdr:col>8</xdr:col>
      <xdr:colOff>885190</xdr:colOff>
      <xdr:row>2768</xdr:row>
      <xdr:rowOff>1209040</xdr:rowOff>
    </xdr:to>
    <xdr:pic>
      <xdr:nvPicPr>
        <xdr:cNvPr id="6376" name="Изображение 6375" descr="resizeПП-00252191"/>
        <xdr:cNvPicPr>
          <a:picLocks noChangeAspect="1"/>
        </xdr:cNvPicPr>
      </xdr:nvPicPr>
      <xdr:blipFill>
        <a:blip xmlns:r="http://schemas.openxmlformats.org/officeDocument/2006/relationships" r:embed="rId2088"/>
        <a:stretch>
          <a:fillRect/>
        </a:stretch>
      </xdr:blipFill>
      <xdr:spPr>
        <a:xfrm>
          <a:off x="7264400" y="2744857350"/>
          <a:ext cx="878840" cy="1183640"/>
        </a:xfrm>
        <a:prstGeom prst="rect">
          <a:avLst/>
        </a:prstGeom>
      </xdr:spPr>
    </xdr:pic>
    <xdr:clientData/>
  </xdr:twoCellAnchor>
  <xdr:twoCellAnchor>
    <xdr:from>
      <xdr:col>8</xdr:col>
      <xdr:colOff>6350</xdr:colOff>
      <xdr:row>2769</xdr:row>
      <xdr:rowOff>25400</xdr:rowOff>
    </xdr:from>
    <xdr:to>
      <xdr:col>8</xdr:col>
      <xdr:colOff>885190</xdr:colOff>
      <xdr:row>2769</xdr:row>
      <xdr:rowOff>1209040</xdr:rowOff>
    </xdr:to>
    <xdr:pic>
      <xdr:nvPicPr>
        <xdr:cNvPr id="6377" name="Изображение 6376" descr="resizeПП-00252181"/>
        <xdr:cNvPicPr>
          <a:picLocks noChangeAspect="1"/>
        </xdr:cNvPicPr>
      </xdr:nvPicPr>
      <xdr:blipFill>
        <a:blip xmlns:r="http://schemas.openxmlformats.org/officeDocument/2006/relationships" r:embed="rId2089"/>
        <a:stretch>
          <a:fillRect/>
        </a:stretch>
      </xdr:blipFill>
      <xdr:spPr>
        <a:xfrm>
          <a:off x="7264400" y="2746079725"/>
          <a:ext cx="878840" cy="1183640"/>
        </a:xfrm>
        <a:prstGeom prst="rect">
          <a:avLst/>
        </a:prstGeom>
      </xdr:spPr>
    </xdr:pic>
    <xdr:clientData/>
  </xdr:twoCellAnchor>
  <xdr:twoCellAnchor>
    <xdr:from>
      <xdr:col>8</xdr:col>
      <xdr:colOff>6350</xdr:colOff>
      <xdr:row>2770</xdr:row>
      <xdr:rowOff>25400</xdr:rowOff>
    </xdr:from>
    <xdr:to>
      <xdr:col>8</xdr:col>
      <xdr:colOff>885190</xdr:colOff>
      <xdr:row>2770</xdr:row>
      <xdr:rowOff>1209040</xdr:rowOff>
    </xdr:to>
    <xdr:pic>
      <xdr:nvPicPr>
        <xdr:cNvPr id="6378" name="Изображение 6377" descr="resizeПП-00271849"/>
        <xdr:cNvPicPr>
          <a:picLocks noChangeAspect="1"/>
        </xdr:cNvPicPr>
      </xdr:nvPicPr>
      <xdr:blipFill>
        <a:blip xmlns:r="http://schemas.openxmlformats.org/officeDocument/2006/relationships" r:embed="rId2090"/>
        <a:stretch>
          <a:fillRect/>
        </a:stretch>
      </xdr:blipFill>
      <xdr:spPr>
        <a:xfrm>
          <a:off x="7264400" y="2747302100"/>
          <a:ext cx="878840" cy="1183640"/>
        </a:xfrm>
        <a:prstGeom prst="rect">
          <a:avLst/>
        </a:prstGeom>
      </xdr:spPr>
    </xdr:pic>
    <xdr:clientData/>
  </xdr:twoCellAnchor>
  <xdr:twoCellAnchor>
    <xdr:from>
      <xdr:col>8</xdr:col>
      <xdr:colOff>6350</xdr:colOff>
      <xdr:row>2771</xdr:row>
      <xdr:rowOff>25400</xdr:rowOff>
    </xdr:from>
    <xdr:to>
      <xdr:col>8</xdr:col>
      <xdr:colOff>885190</xdr:colOff>
      <xdr:row>2771</xdr:row>
      <xdr:rowOff>1209040</xdr:rowOff>
    </xdr:to>
    <xdr:pic>
      <xdr:nvPicPr>
        <xdr:cNvPr id="6379" name="Изображение 6378" descr="resizeПП-00271851"/>
        <xdr:cNvPicPr>
          <a:picLocks noChangeAspect="1"/>
        </xdr:cNvPicPr>
      </xdr:nvPicPr>
      <xdr:blipFill>
        <a:blip xmlns:r="http://schemas.openxmlformats.org/officeDocument/2006/relationships" r:embed="rId2091"/>
        <a:stretch>
          <a:fillRect/>
        </a:stretch>
      </xdr:blipFill>
      <xdr:spPr>
        <a:xfrm>
          <a:off x="7264400" y="2748524475"/>
          <a:ext cx="878840" cy="1183640"/>
        </a:xfrm>
        <a:prstGeom prst="rect">
          <a:avLst/>
        </a:prstGeom>
      </xdr:spPr>
    </xdr:pic>
    <xdr:clientData/>
  </xdr:twoCellAnchor>
  <xdr:twoCellAnchor>
    <xdr:from>
      <xdr:col>8</xdr:col>
      <xdr:colOff>6350</xdr:colOff>
      <xdr:row>2772</xdr:row>
      <xdr:rowOff>25400</xdr:rowOff>
    </xdr:from>
    <xdr:to>
      <xdr:col>8</xdr:col>
      <xdr:colOff>885190</xdr:colOff>
      <xdr:row>2772</xdr:row>
      <xdr:rowOff>1209040</xdr:rowOff>
    </xdr:to>
    <xdr:pic>
      <xdr:nvPicPr>
        <xdr:cNvPr id="6380" name="Изображение 6379" descr="resizeПП-00252192"/>
        <xdr:cNvPicPr>
          <a:picLocks noChangeAspect="1"/>
        </xdr:cNvPicPr>
      </xdr:nvPicPr>
      <xdr:blipFill>
        <a:blip xmlns:r="http://schemas.openxmlformats.org/officeDocument/2006/relationships" r:embed="rId2092"/>
        <a:stretch>
          <a:fillRect/>
        </a:stretch>
      </xdr:blipFill>
      <xdr:spPr>
        <a:xfrm>
          <a:off x="7264400" y="2749746850"/>
          <a:ext cx="878840" cy="1183640"/>
        </a:xfrm>
        <a:prstGeom prst="rect">
          <a:avLst/>
        </a:prstGeom>
      </xdr:spPr>
    </xdr:pic>
    <xdr:clientData/>
  </xdr:twoCellAnchor>
  <xdr:twoCellAnchor>
    <xdr:from>
      <xdr:col>8</xdr:col>
      <xdr:colOff>6350</xdr:colOff>
      <xdr:row>2773</xdr:row>
      <xdr:rowOff>25400</xdr:rowOff>
    </xdr:from>
    <xdr:to>
      <xdr:col>8</xdr:col>
      <xdr:colOff>885190</xdr:colOff>
      <xdr:row>2773</xdr:row>
      <xdr:rowOff>1209040</xdr:rowOff>
    </xdr:to>
    <xdr:pic>
      <xdr:nvPicPr>
        <xdr:cNvPr id="6381" name="Изображение 6380" descr="resizeПП-00271846"/>
        <xdr:cNvPicPr>
          <a:picLocks noChangeAspect="1"/>
        </xdr:cNvPicPr>
      </xdr:nvPicPr>
      <xdr:blipFill>
        <a:blip xmlns:r="http://schemas.openxmlformats.org/officeDocument/2006/relationships" r:embed="rId2093"/>
        <a:stretch>
          <a:fillRect/>
        </a:stretch>
      </xdr:blipFill>
      <xdr:spPr>
        <a:xfrm>
          <a:off x="7264400" y="2750969225"/>
          <a:ext cx="878840" cy="1183640"/>
        </a:xfrm>
        <a:prstGeom prst="rect">
          <a:avLst/>
        </a:prstGeom>
      </xdr:spPr>
    </xdr:pic>
    <xdr:clientData/>
  </xdr:twoCellAnchor>
  <xdr:twoCellAnchor>
    <xdr:from>
      <xdr:col>8</xdr:col>
      <xdr:colOff>6350</xdr:colOff>
      <xdr:row>2774</xdr:row>
      <xdr:rowOff>25400</xdr:rowOff>
    </xdr:from>
    <xdr:to>
      <xdr:col>8</xdr:col>
      <xdr:colOff>885190</xdr:colOff>
      <xdr:row>2774</xdr:row>
      <xdr:rowOff>1209040</xdr:rowOff>
    </xdr:to>
    <xdr:pic>
      <xdr:nvPicPr>
        <xdr:cNvPr id="6382" name="Изображение 6381" descr="resizeПП-00252184"/>
        <xdr:cNvPicPr>
          <a:picLocks noChangeAspect="1"/>
        </xdr:cNvPicPr>
      </xdr:nvPicPr>
      <xdr:blipFill>
        <a:blip xmlns:r="http://schemas.openxmlformats.org/officeDocument/2006/relationships" r:embed="rId2094"/>
        <a:stretch>
          <a:fillRect/>
        </a:stretch>
      </xdr:blipFill>
      <xdr:spPr>
        <a:xfrm>
          <a:off x="7264400" y="2752191600"/>
          <a:ext cx="878840" cy="1183640"/>
        </a:xfrm>
        <a:prstGeom prst="rect">
          <a:avLst/>
        </a:prstGeom>
      </xdr:spPr>
    </xdr:pic>
    <xdr:clientData/>
  </xdr:twoCellAnchor>
  <xdr:twoCellAnchor>
    <xdr:from>
      <xdr:col>8</xdr:col>
      <xdr:colOff>6350</xdr:colOff>
      <xdr:row>2775</xdr:row>
      <xdr:rowOff>25400</xdr:rowOff>
    </xdr:from>
    <xdr:to>
      <xdr:col>8</xdr:col>
      <xdr:colOff>885190</xdr:colOff>
      <xdr:row>2775</xdr:row>
      <xdr:rowOff>1209040</xdr:rowOff>
    </xdr:to>
    <xdr:pic>
      <xdr:nvPicPr>
        <xdr:cNvPr id="6383" name="Изображение 6382" descr="resizeПП-00230105"/>
        <xdr:cNvPicPr>
          <a:picLocks noChangeAspect="1"/>
        </xdr:cNvPicPr>
      </xdr:nvPicPr>
      <xdr:blipFill>
        <a:blip xmlns:r="http://schemas.openxmlformats.org/officeDocument/2006/relationships" r:embed="rId2095"/>
        <a:stretch>
          <a:fillRect/>
        </a:stretch>
      </xdr:blipFill>
      <xdr:spPr>
        <a:xfrm>
          <a:off x="7264400" y="2753413975"/>
          <a:ext cx="878840" cy="1183640"/>
        </a:xfrm>
        <a:prstGeom prst="rect">
          <a:avLst/>
        </a:prstGeom>
      </xdr:spPr>
    </xdr:pic>
    <xdr:clientData/>
  </xdr:twoCellAnchor>
  <xdr:twoCellAnchor>
    <xdr:from>
      <xdr:col>8</xdr:col>
      <xdr:colOff>6350</xdr:colOff>
      <xdr:row>2777</xdr:row>
      <xdr:rowOff>25400</xdr:rowOff>
    </xdr:from>
    <xdr:to>
      <xdr:col>8</xdr:col>
      <xdr:colOff>885190</xdr:colOff>
      <xdr:row>2777</xdr:row>
      <xdr:rowOff>1209040</xdr:rowOff>
    </xdr:to>
    <xdr:pic>
      <xdr:nvPicPr>
        <xdr:cNvPr id="6384" name="Изображение 6383" descr="resizeПП-00272034"/>
        <xdr:cNvPicPr>
          <a:picLocks noChangeAspect="1"/>
        </xdr:cNvPicPr>
      </xdr:nvPicPr>
      <xdr:blipFill>
        <a:blip xmlns:r="http://schemas.openxmlformats.org/officeDocument/2006/relationships" r:embed="rId2096"/>
        <a:stretch>
          <a:fillRect/>
        </a:stretch>
      </xdr:blipFill>
      <xdr:spPr>
        <a:xfrm>
          <a:off x="7264400" y="2754788750"/>
          <a:ext cx="878840" cy="1183640"/>
        </a:xfrm>
        <a:prstGeom prst="rect">
          <a:avLst/>
        </a:prstGeom>
      </xdr:spPr>
    </xdr:pic>
    <xdr:clientData/>
  </xdr:twoCellAnchor>
  <xdr:twoCellAnchor>
    <xdr:from>
      <xdr:col>8</xdr:col>
      <xdr:colOff>6350</xdr:colOff>
      <xdr:row>2778</xdr:row>
      <xdr:rowOff>25400</xdr:rowOff>
    </xdr:from>
    <xdr:to>
      <xdr:col>8</xdr:col>
      <xdr:colOff>885190</xdr:colOff>
      <xdr:row>2778</xdr:row>
      <xdr:rowOff>1209040</xdr:rowOff>
    </xdr:to>
    <xdr:pic>
      <xdr:nvPicPr>
        <xdr:cNvPr id="6385" name="Изображение 6384" descr="resizeПП-00272021"/>
        <xdr:cNvPicPr>
          <a:picLocks noChangeAspect="1"/>
        </xdr:cNvPicPr>
      </xdr:nvPicPr>
      <xdr:blipFill>
        <a:blip xmlns:r="http://schemas.openxmlformats.org/officeDocument/2006/relationships" r:embed="rId2097"/>
        <a:stretch>
          <a:fillRect/>
        </a:stretch>
      </xdr:blipFill>
      <xdr:spPr>
        <a:xfrm>
          <a:off x="7264400" y="2756011125"/>
          <a:ext cx="878840" cy="1183640"/>
        </a:xfrm>
        <a:prstGeom prst="rect">
          <a:avLst/>
        </a:prstGeom>
      </xdr:spPr>
    </xdr:pic>
    <xdr:clientData/>
  </xdr:twoCellAnchor>
  <xdr:twoCellAnchor>
    <xdr:from>
      <xdr:col>8</xdr:col>
      <xdr:colOff>6350</xdr:colOff>
      <xdr:row>2780</xdr:row>
      <xdr:rowOff>25400</xdr:rowOff>
    </xdr:from>
    <xdr:to>
      <xdr:col>8</xdr:col>
      <xdr:colOff>885190</xdr:colOff>
      <xdr:row>2780</xdr:row>
      <xdr:rowOff>1209040</xdr:rowOff>
    </xdr:to>
    <xdr:pic>
      <xdr:nvPicPr>
        <xdr:cNvPr id="6386" name="Изображение 6385" descr="resizeПП-00270681"/>
        <xdr:cNvPicPr>
          <a:picLocks noChangeAspect="1"/>
        </xdr:cNvPicPr>
      </xdr:nvPicPr>
      <xdr:blipFill>
        <a:blip xmlns:r="http://schemas.openxmlformats.org/officeDocument/2006/relationships" r:embed="rId2098"/>
        <a:stretch>
          <a:fillRect/>
        </a:stretch>
      </xdr:blipFill>
      <xdr:spPr>
        <a:xfrm>
          <a:off x="7264400" y="2757385900"/>
          <a:ext cx="878840" cy="1183640"/>
        </a:xfrm>
        <a:prstGeom prst="rect">
          <a:avLst/>
        </a:prstGeom>
      </xdr:spPr>
    </xdr:pic>
    <xdr:clientData/>
  </xdr:twoCellAnchor>
  <xdr:twoCellAnchor>
    <xdr:from>
      <xdr:col>8</xdr:col>
      <xdr:colOff>6350</xdr:colOff>
      <xdr:row>2781</xdr:row>
      <xdr:rowOff>25400</xdr:rowOff>
    </xdr:from>
    <xdr:to>
      <xdr:col>8</xdr:col>
      <xdr:colOff>885190</xdr:colOff>
      <xdr:row>2781</xdr:row>
      <xdr:rowOff>1209040</xdr:rowOff>
    </xdr:to>
    <xdr:pic>
      <xdr:nvPicPr>
        <xdr:cNvPr id="6387" name="Изображение 6386" descr="resizeПП-00249883"/>
        <xdr:cNvPicPr>
          <a:picLocks noChangeAspect="1"/>
        </xdr:cNvPicPr>
      </xdr:nvPicPr>
      <xdr:blipFill>
        <a:blip xmlns:r="http://schemas.openxmlformats.org/officeDocument/2006/relationships" r:embed="rId2099"/>
        <a:stretch>
          <a:fillRect/>
        </a:stretch>
      </xdr:blipFill>
      <xdr:spPr>
        <a:xfrm>
          <a:off x="7264400" y="2758608275"/>
          <a:ext cx="878840" cy="1183640"/>
        </a:xfrm>
        <a:prstGeom prst="rect">
          <a:avLst/>
        </a:prstGeom>
      </xdr:spPr>
    </xdr:pic>
    <xdr:clientData/>
  </xdr:twoCellAnchor>
  <xdr:twoCellAnchor>
    <xdr:from>
      <xdr:col>8</xdr:col>
      <xdr:colOff>6350</xdr:colOff>
      <xdr:row>2782</xdr:row>
      <xdr:rowOff>25400</xdr:rowOff>
    </xdr:from>
    <xdr:to>
      <xdr:col>8</xdr:col>
      <xdr:colOff>885190</xdr:colOff>
      <xdr:row>2782</xdr:row>
      <xdr:rowOff>1209040</xdr:rowOff>
    </xdr:to>
    <xdr:pic>
      <xdr:nvPicPr>
        <xdr:cNvPr id="6388" name="Изображение 6387" descr="resizeПП-00269218"/>
        <xdr:cNvPicPr>
          <a:picLocks noChangeAspect="1"/>
        </xdr:cNvPicPr>
      </xdr:nvPicPr>
      <xdr:blipFill>
        <a:blip xmlns:r="http://schemas.openxmlformats.org/officeDocument/2006/relationships" r:embed="rId2100"/>
        <a:stretch>
          <a:fillRect/>
        </a:stretch>
      </xdr:blipFill>
      <xdr:spPr>
        <a:xfrm>
          <a:off x="7264400" y="2759830650"/>
          <a:ext cx="878840" cy="1183640"/>
        </a:xfrm>
        <a:prstGeom prst="rect">
          <a:avLst/>
        </a:prstGeom>
      </xdr:spPr>
    </xdr:pic>
    <xdr:clientData/>
  </xdr:twoCellAnchor>
  <xdr:twoCellAnchor>
    <xdr:from>
      <xdr:col>8</xdr:col>
      <xdr:colOff>6350</xdr:colOff>
      <xdr:row>2783</xdr:row>
      <xdr:rowOff>25400</xdr:rowOff>
    </xdr:from>
    <xdr:to>
      <xdr:col>8</xdr:col>
      <xdr:colOff>885190</xdr:colOff>
      <xdr:row>2783</xdr:row>
      <xdr:rowOff>1209040</xdr:rowOff>
    </xdr:to>
    <xdr:pic>
      <xdr:nvPicPr>
        <xdr:cNvPr id="6389" name="Изображение 6388" descr="resizeПП-00249884"/>
        <xdr:cNvPicPr>
          <a:picLocks noChangeAspect="1"/>
        </xdr:cNvPicPr>
      </xdr:nvPicPr>
      <xdr:blipFill>
        <a:blip xmlns:r="http://schemas.openxmlformats.org/officeDocument/2006/relationships" r:embed="rId2101"/>
        <a:stretch>
          <a:fillRect/>
        </a:stretch>
      </xdr:blipFill>
      <xdr:spPr>
        <a:xfrm>
          <a:off x="7264400" y="2761053025"/>
          <a:ext cx="878840" cy="1183640"/>
        </a:xfrm>
        <a:prstGeom prst="rect">
          <a:avLst/>
        </a:prstGeom>
      </xdr:spPr>
    </xdr:pic>
    <xdr:clientData/>
  </xdr:twoCellAnchor>
  <xdr:twoCellAnchor>
    <xdr:from>
      <xdr:col>8</xdr:col>
      <xdr:colOff>6350</xdr:colOff>
      <xdr:row>2784</xdr:row>
      <xdr:rowOff>25400</xdr:rowOff>
    </xdr:from>
    <xdr:to>
      <xdr:col>8</xdr:col>
      <xdr:colOff>885190</xdr:colOff>
      <xdr:row>2784</xdr:row>
      <xdr:rowOff>1209040</xdr:rowOff>
    </xdr:to>
    <xdr:pic>
      <xdr:nvPicPr>
        <xdr:cNvPr id="6390" name="Изображение 6389" descr="resizeПП-00249882"/>
        <xdr:cNvPicPr>
          <a:picLocks noChangeAspect="1"/>
        </xdr:cNvPicPr>
      </xdr:nvPicPr>
      <xdr:blipFill>
        <a:blip xmlns:r="http://schemas.openxmlformats.org/officeDocument/2006/relationships" r:embed="rId2102"/>
        <a:stretch>
          <a:fillRect/>
        </a:stretch>
      </xdr:blipFill>
      <xdr:spPr>
        <a:xfrm>
          <a:off x="7264400" y="2762275400"/>
          <a:ext cx="878840" cy="1183640"/>
        </a:xfrm>
        <a:prstGeom prst="rect">
          <a:avLst/>
        </a:prstGeom>
      </xdr:spPr>
    </xdr:pic>
    <xdr:clientData/>
  </xdr:twoCellAnchor>
  <xdr:twoCellAnchor>
    <xdr:from>
      <xdr:col>8</xdr:col>
      <xdr:colOff>6350</xdr:colOff>
      <xdr:row>2785</xdr:row>
      <xdr:rowOff>25400</xdr:rowOff>
    </xdr:from>
    <xdr:to>
      <xdr:col>8</xdr:col>
      <xdr:colOff>885190</xdr:colOff>
      <xdr:row>2785</xdr:row>
      <xdr:rowOff>1209040</xdr:rowOff>
    </xdr:to>
    <xdr:pic>
      <xdr:nvPicPr>
        <xdr:cNvPr id="6391" name="Изображение 6390" descr="resizeПП-00269221"/>
        <xdr:cNvPicPr>
          <a:picLocks noChangeAspect="1"/>
        </xdr:cNvPicPr>
      </xdr:nvPicPr>
      <xdr:blipFill>
        <a:blip xmlns:r="http://schemas.openxmlformats.org/officeDocument/2006/relationships" r:embed="rId2103"/>
        <a:stretch>
          <a:fillRect/>
        </a:stretch>
      </xdr:blipFill>
      <xdr:spPr>
        <a:xfrm>
          <a:off x="7264400" y="2763497775"/>
          <a:ext cx="878840" cy="1183640"/>
        </a:xfrm>
        <a:prstGeom prst="rect">
          <a:avLst/>
        </a:prstGeom>
      </xdr:spPr>
    </xdr:pic>
    <xdr:clientData/>
  </xdr:twoCellAnchor>
  <xdr:twoCellAnchor>
    <xdr:from>
      <xdr:col>8</xdr:col>
      <xdr:colOff>6350</xdr:colOff>
      <xdr:row>2786</xdr:row>
      <xdr:rowOff>25400</xdr:rowOff>
    </xdr:from>
    <xdr:to>
      <xdr:col>8</xdr:col>
      <xdr:colOff>885190</xdr:colOff>
      <xdr:row>2786</xdr:row>
      <xdr:rowOff>1209040</xdr:rowOff>
    </xdr:to>
    <xdr:pic>
      <xdr:nvPicPr>
        <xdr:cNvPr id="6392" name="Изображение 6391" descr="resizeПП-00249885"/>
        <xdr:cNvPicPr>
          <a:picLocks noChangeAspect="1"/>
        </xdr:cNvPicPr>
      </xdr:nvPicPr>
      <xdr:blipFill>
        <a:blip xmlns:r="http://schemas.openxmlformats.org/officeDocument/2006/relationships" r:embed="rId2104"/>
        <a:stretch>
          <a:fillRect/>
        </a:stretch>
      </xdr:blipFill>
      <xdr:spPr>
        <a:xfrm>
          <a:off x="7264400" y="2764720150"/>
          <a:ext cx="878840" cy="1183640"/>
        </a:xfrm>
        <a:prstGeom prst="rect">
          <a:avLst/>
        </a:prstGeom>
      </xdr:spPr>
    </xdr:pic>
    <xdr:clientData/>
  </xdr:twoCellAnchor>
  <xdr:twoCellAnchor>
    <xdr:from>
      <xdr:col>8</xdr:col>
      <xdr:colOff>6350</xdr:colOff>
      <xdr:row>2787</xdr:row>
      <xdr:rowOff>25400</xdr:rowOff>
    </xdr:from>
    <xdr:to>
      <xdr:col>8</xdr:col>
      <xdr:colOff>885190</xdr:colOff>
      <xdr:row>2787</xdr:row>
      <xdr:rowOff>1209040</xdr:rowOff>
    </xdr:to>
    <xdr:pic>
      <xdr:nvPicPr>
        <xdr:cNvPr id="6393" name="Изображение 6392" descr="resizeПП-00269219"/>
        <xdr:cNvPicPr>
          <a:picLocks noChangeAspect="1"/>
        </xdr:cNvPicPr>
      </xdr:nvPicPr>
      <xdr:blipFill>
        <a:blip xmlns:r="http://schemas.openxmlformats.org/officeDocument/2006/relationships" r:embed="rId2105"/>
        <a:stretch>
          <a:fillRect/>
        </a:stretch>
      </xdr:blipFill>
      <xdr:spPr>
        <a:xfrm>
          <a:off x="7264400" y="2765942525"/>
          <a:ext cx="878840" cy="1183640"/>
        </a:xfrm>
        <a:prstGeom prst="rect">
          <a:avLst/>
        </a:prstGeom>
      </xdr:spPr>
    </xdr:pic>
    <xdr:clientData/>
  </xdr:twoCellAnchor>
  <xdr:twoCellAnchor>
    <xdr:from>
      <xdr:col>8</xdr:col>
      <xdr:colOff>6350</xdr:colOff>
      <xdr:row>2788</xdr:row>
      <xdr:rowOff>25400</xdr:rowOff>
    </xdr:from>
    <xdr:to>
      <xdr:col>8</xdr:col>
      <xdr:colOff>885190</xdr:colOff>
      <xdr:row>2788</xdr:row>
      <xdr:rowOff>1209040</xdr:rowOff>
    </xdr:to>
    <xdr:pic>
      <xdr:nvPicPr>
        <xdr:cNvPr id="6394" name="Изображение 6393" descr="resizeПП-00230053"/>
        <xdr:cNvPicPr>
          <a:picLocks noChangeAspect="1"/>
        </xdr:cNvPicPr>
      </xdr:nvPicPr>
      <xdr:blipFill>
        <a:blip xmlns:r="http://schemas.openxmlformats.org/officeDocument/2006/relationships" r:embed="rId2106"/>
        <a:stretch>
          <a:fillRect/>
        </a:stretch>
      </xdr:blipFill>
      <xdr:spPr>
        <a:xfrm>
          <a:off x="7264400" y="2767164900"/>
          <a:ext cx="878840" cy="1183640"/>
        </a:xfrm>
        <a:prstGeom prst="rect">
          <a:avLst/>
        </a:prstGeom>
      </xdr:spPr>
    </xdr:pic>
    <xdr:clientData/>
  </xdr:twoCellAnchor>
  <xdr:twoCellAnchor>
    <xdr:from>
      <xdr:col>8</xdr:col>
      <xdr:colOff>6350</xdr:colOff>
      <xdr:row>2790</xdr:row>
      <xdr:rowOff>25400</xdr:rowOff>
    </xdr:from>
    <xdr:to>
      <xdr:col>8</xdr:col>
      <xdr:colOff>885190</xdr:colOff>
      <xdr:row>2790</xdr:row>
      <xdr:rowOff>1209040</xdr:rowOff>
    </xdr:to>
    <xdr:pic>
      <xdr:nvPicPr>
        <xdr:cNvPr id="6395" name="Изображение 6394" descr="resizeПП-00168734"/>
        <xdr:cNvPicPr>
          <a:picLocks noChangeAspect="1"/>
        </xdr:cNvPicPr>
      </xdr:nvPicPr>
      <xdr:blipFill>
        <a:blip xmlns:r="http://schemas.openxmlformats.org/officeDocument/2006/relationships" r:embed="rId2107"/>
        <a:stretch>
          <a:fillRect/>
        </a:stretch>
      </xdr:blipFill>
      <xdr:spPr>
        <a:xfrm>
          <a:off x="7264400" y="2768539675"/>
          <a:ext cx="878840" cy="1183640"/>
        </a:xfrm>
        <a:prstGeom prst="rect">
          <a:avLst/>
        </a:prstGeom>
      </xdr:spPr>
    </xdr:pic>
    <xdr:clientData/>
  </xdr:twoCellAnchor>
  <xdr:twoCellAnchor>
    <xdr:from>
      <xdr:col>8</xdr:col>
      <xdr:colOff>6350</xdr:colOff>
      <xdr:row>2791</xdr:row>
      <xdr:rowOff>25400</xdr:rowOff>
    </xdr:from>
    <xdr:to>
      <xdr:col>8</xdr:col>
      <xdr:colOff>885190</xdr:colOff>
      <xdr:row>2791</xdr:row>
      <xdr:rowOff>1209040</xdr:rowOff>
    </xdr:to>
    <xdr:pic>
      <xdr:nvPicPr>
        <xdr:cNvPr id="6396" name="Изображение 6395" descr="resizeПП-00168731"/>
        <xdr:cNvPicPr>
          <a:picLocks noChangeAspect="1"/>
        </xdr:cNvPicPr>
      </xdr:nvPicPr>
      <xdr:blipFill>
        <a:blip xmlns:r="http://schemas.openxmlformats.org/officeDocument/2006/relationships" r:embed="rId2108"/>
        <a:stretch>
          <a:fillRect/>
        </a:stretch>
      </xdr:blipFill>
      <xdr:spPr>
        <a:xfrm>
          <a:off x="7264400" y="2769762050"/>
          <a:ext cx="878840" cy="1183640"/>
        </a:xfrm>
        <a:prstGeom prst="rect">
          <a:avLst/>
        </a:prstGeom>
      </xdr:spPr>
    </xdr:pic>
    <xdr:clientData/>
  </xdr:twoCellAnchor>
  <xdr:twoCellAnchor>
    <xdr:from>
      <xdr:col>8</xdr:col>
      <xdr:colOff>6350</xdr:colOff>
      <xdr:row>2792</xdr:row>
      <xdr:rowOff>25400</xdr:rowOff>
    </xdr:from>
    <xdr:to>
      <xdr:col>8</xdr:col>
      <xdr:colOff>885190</xdr:colOff>
      <xdr:row>2792</xdr:row>
      <xdr:rowOff>1209040</xdr:rowOff>
    </xdr:to>
    <xdr:pic>
      <xdr:nvPicPr>
        <xdr:cNvPr id="6397" name="Изображение 6396" descr="resizeПП-00168736"/>
        <xdr:cNvPicPr>
          <a:picLocks noChangeAspect="1"/>
        </xdr:cNvPicPr>
      </xdr:nvPicPr>
      <xdr:blipFill>
        <a:blip xmlns:r="http://schemas.openxmlformats.org/officeDocument/2006/relationships" r:embed="rId2109"/>
        <a:stretch>
          <a:fillRect/>
        </a:stretch>
      </xdr:blipFill>
      <xdr:spPr>
        <a:xfrm>
          <a:off x="7264400" y="2770984425"/>
          <a:ext cx="878840" cy="1183640"/>
        </a:xfrm>
        <a:prstGeom prst="rect">
          <a:avLst/>
        </a:prstGeom>
      </xdr:spPr>
    </xdr:pic>
    <xdr:clientData/>
  </xdr:twoCellAnchor>
  <xdr:twoCellAnchor>
    <xdr:from>
      <xdr:col>8</xdr:col>
      <xdr:colOff>6350</xdr:colOff>
      <xdr:row>2794</xdr:row>
      <xdr:rowOff>25400</xdr:rowOff>
    </xdr:from>
    <xdr:to>
      <xdr:col>8</xdr:col>
      <xdr:colOff>885190</xdr:colOff>
      <xdr:row>2794</xdr:row>
      <xdr:rowOff>1209040</xdr:rowOff>
    </xdr:to>
    <xdr:pic>
      <xdr:nvPicPr>
        <xdr:cNvPr id="6398" name="Изображение 6397" descr="resizeПП-00227018"/>
        <xdr:cNvPicPr>
          <a:picLocks noChangeAspect="1"/>
        </xdr:cNvPicPr>
      </xdr:nvPicPr>
      <xdr:blipFill>
        <a:blip xmlns:r="http://schemas.openxmlformats.org/officeDocument/2006/relationships" r:embed="rId2110"/>
        <a:stretch>
          <a:fillRect/>
        </a:stretch>
      </xdr:blipFill>
      <xdr:spPr>
        <a:xfrm>
          <a:off x="7264400" y="2772359200"/>
          <a:ext cx="878840" cy="1183640"/>
        </a:xfrm>
        <a:prstGeom prst="rect">
          <a:avLst/>
        </a:prstGeom>
      </xdr:spPr>
    </xdr:pic>
    <xdr:clientData/>
  </xdr:twoCellAnchor>
  <xdr:twoCellAnchor>
    <xdr:from>
      <xdr:col>8</xdr:col>
      <xdr:colOff>6350</xdr:colOff>
      <xdr:row>2795</xdr:row>
      <xdr:rowOff>25400</xdr:rowOff>
    </xdr:from>
    <xdr:to>
      <xdr:col>8</xdr:col>
      <xdr:colOff>885190</xdr:colOff>
      <xdr:row>2795</xdr:row>
      <xdr:rowOff>1209040</xdr:rowOff>
    </xdr:to>
    <xdr:pic>
      <xdr:nvPicPr>
        <xdr:cNvPr id="6399" name="Изображение 6398" descr="resizeПП-00163333"/>
        <xdr:cNvPicPr>
          <a:picLocks noChangeAspect="1"/>
        </xdr:cNvPicPr>
      </xdr:nvPicPr>
      <xdr:blipFill>
        <a:blip xmlns:r="http://schemas.openxmlformats.org/officeDocument/2006/relationships" r:embed="rId2111"/>
        <a:stretch>
          <a:fillRect/>
        </a:stretch>
      </xdr:blipFill>
      <xdr:spPr>
        <a:xfrm>
          <a:off x="7264400" y="2773581575"/>
          <a:ext cx="878840" cy="1183640"/>
        </a:xfrm>
        <a:prstGeom prst="rect">
          <a:avLst/>
        </a:prstGeom>
      </xdr:spPr>
    </xdr:pic>
    <xdr:clientData/>
  </xdr:twoCellAnchor>
  <xdr:twoCellAnchor>
    <xdr:from>
      <xdr:col>8</xdr:col>
      <xdr:colOff>6350</xdr:colOff>
      <xdr:row>2796</xdr:row>
      <xdr:rowOff>25400</xdr:rowOff>
    </xdr:from>
    <xdr:to>
      <xdr:col>8</xdr:col>
      <xdr:colOff>885190</xdr:colOff>
      <xdr:row>2796</xdr:row>
      <xdr:rowOff>1209040</xdr:rowOff>
    </xdr:to>
    <xdr:pic>
      <xdr:nvPicPr>
        <xdr:cNvPr id="6400" name="Изображение 6399" descr="resizeПП-00227019"/>
        <xdr:cNvPicPr>
          <a:picLocks noChangeAspect="1"/>
        </xdr:cNvPicPr>
      </xdr:nvPicPr>
      <xdr:blipFill>
        <a:blip xmlns:r="http://schemas.openxmlformats.org/officeDocument/2006/relationships" r:embed="rId2112"/>
        <a:stretch>
          <a:fillRect/>
        </a:stretch>
      </xdr:blipFill>
      <xdr:spPr>
        <a:xfrm>
          <a:off x="7264400" y="2774803950"/>
          <a:ext cx="878840" cy="1183640"/>
        </a:xfrm>
        <a:prstGeom prst="rect">
          <a:avLst/>
        </a:prstGeom>
      </xdr:spPr>
    </xdr:pic>
    <xdr:clientData/>
  </xdr:twoCellAnchor>
  <xdr:twoCellAnchor>
    <xdr:from>
      <xdr:col>8</xdr:col>
      <xdr:colOff>6350</xdr:colOff>
      <xdr:row>2797</xdr:row>
      <xdr:rowOff>25400</xdr:rowOff>
    </xdr:from>
    <xdr:to>
      <xdr:col>8</xdr:col>
      <xdr:colOff>885190</xdr:colOff>
      <xdr:row>2797</xdr:row>
      <xdr:rowOff>1209040</xdr:rowOff>
    </xdr:to>
    <xdr:pic>
      <xdr:nvPicPr>
        <xdr:cNvPr id="6401" name="Изображение 6400" descr="resizeПП-00227020"/>
        <xdr:cNvPicPr>
          <a:picLocks noChangeAspect="1"/>
        </xdr:cNvPicPr>
      </xdr:nvPicPr>
      <xdr:blipFill>
        <a:blip xmlns:r="http://schemas.openxmlformats.org/officeDocument/2006/relationships" r:embed="rId2113"/>
        <a:stretch>
          <a:fillRect/>
        </a:stretch>
      </xdr:blipFill>
      <xdr:spPr>
        <a:xfrm>
          <a:off x="7264400" y="2776026325"/>
          <a:ext cx="878840" cy="1183640"/>
        </a:xfrm>
        <a:prstGeom prst="rect">
          <a:avLst/>
        </a:prstGeom>
      </xdr:spPr>
    </xdr:pic>
    <xdr:clientData/>
  </xdr:twoCellAnchor>
  <xdr:twoCellAnchor>
    <xdr:from>
      <xdr:col>8</xdr:col>
      <xdr:colOff>6350</xdr:colOff>
      <xdr:row>2798</xdr:row>
      <xdr:rowOff>25400</xdr:rowOff>
    </xdr:from>
    <xdr:to>
      <xdr:col>8</xdr:col>
      <xdr:colOff>885190</xdr:colOff>
      <xdr:row>2798</xdr:row>
      <xdr:rowOff>1209040</xdr:rowOff>
    </xdr:to>
    <xdr:pic>
      <xdr:nvPicPr>
        <xdr:cNvPr id="6402" name="Изображение 6401" descr="resizeПП-00227017"/>
        <xdr:cNvPicPr>
          <a:picLocks noChangeAspect="1"/>
        </xdr:cNvPicPr>
      </xdr:nvPicPr>
      <xdr:blipFill>
        <a:blip xmlns:r="http://schemas.openxmlformats.org/officeDocument/2006/relationships" r:embed="rId2114"/>
        <a:stretch>
          <a:fillRect/>
        </a:stretch>
      </xdr:blipFill>
      <xdr:spPr>
        <a:xfrm>
          <a:off x="7264400" y="2777248700"/>
          <a:ext cx="878840" cy="1183640"/>
        </a:xfrm>
        <a:prstGeom prst="rect">
          <a:avLst/>
        </a:prstGeom>
      </xdr:spPr>
    </xdr:pic>
    <xdr:clientData/>
  </xdr:twoCellAnchor>
  <xdr:twoCellAnchor>
    <xdr:from>
      <xdr:col>8</xdr:col>
      <xdr:colOff>6350</xdr:colOff>
      <xdr:row>2799</xdr:row>
      <xdr:rowOff>25400</xdr:rowOff>
    </xdr:from>
    <xdr:to>
      <xdr:col>8</xdr:col>
      <xdr:colOff>885190</xdr:colOff>
      <xdr:row>2799</xdr:row>
      <xdr:rowOff>1209040</xdr:rowOff>
    </xdr:to>
    <xdr:pic>
      <xdr:nvPicPr>
        <xdr:cNvPr id="6403" name="Изображение 6402" descr="resizeПП-00227014"/>
        <xdr:cNvPicPr>
          <a:picLocks noChangeAspect="1"/>
        </xdr:cNvPicPr>
      </xdr:nvPicPr>
      <xdr:blipFill>
        <a:blip xmlns:r="http://schemas.openxmlformats.org/officeDocument/2006/relationships" r:embed="rId2115"/>
        <a:stretch>
          <a:fillRect/>
        </a:stretch>
      </xdr:blipFill>
      <xdr:spPr>
        <a:xfrm>
          <a:off x="7264400" y="2778471075"/>
          <a:ext cx="878840" cy="1183640"/>
        </a:xfrm>
        <a:prstGeom prst="rect">
          <a:avLst/>
        </a:prstGeom>
      </xdr:spPr>
    </xdr:pic>
    <xdr:clientData/>
  </xdr:twoCellAnchor>
  <xdr:twoCellAnchor>
    <xdr:from>
      <xdr:col>8</xdr:col>
      <xdr:colOff>6350</xdr:colOff>
      <xdr:row>2800</xdr:row>
      <xdr:rowOff>25400</xdr:rowOff>
    </xdr:from>
    <xdr:to>
      <xdr:col>8</xdr:col>
      <xdr:colOff>885190</xdr:colOff>
      <xdr:row>2800</xdr:row>
      <xdr:rowOff>1209040</xdr:rowOff>
    </xdr:to>
    <xdr:pic>
      <xdr:nvPicPr>
        <xdr:cNvPr id="6404" name="Изображение 6403" descr="resizeПП-00163296"/>
        <xdr:cNvPicPr>
          <a:picLocks noChangeAspect="1"/>
        </xdr:cNvPicPr>
      </xdr:nvPicPr>
      <xdr:blipFill>
        <a:blip xmlns:r="http://schemas.openxmlformats.org/officeDocument/2006/relationships" r:embed="rId2116"/>
        <a:stretch>
          <a:fillRect/>
        </a:stretch>
      </xdr:blipFill>
      <xdr:spPr>
        <a:xfrm>
          <a:off x="7264400" y="2779693450"/>
          <a:ext cx="878840" cy="1183640"/>
        </a:xfrm>
        <a:prstGeom prst="rect">
          <a:avLst/>
        </a:prstGeom>
      </xdr:spPr>
    </xdr:pic>
    <xdr:clientData/>
  </xdr:twoCellAnchor>
  <xdr:twoCellAnchor>
    <xdr:from>
      <xdr:col>8</xdr:col>
      <xdr:colOff>6350</xdr:colOff>
      <xdr:row>2805</xdr:row>
      <xdr:rowOff>25400</xdr:rowOff>
    </xdr:from>
    <xdr:to>
      <xdr:col>8</xdr:col>
      <xdr:colOff>885190</xdr:colOff>
      <xdr:row>2805</xdr:row>
      <xdr:rowOff>1209040</xdr:rowOff>
    </xdr:to>
    <xdr:pic>
      <xdr:nvPicPr>
        <xdr:cNvPr id="6405" name="Изображение 6404" descr="resizeПП-00274483"/>
        <xdr:cNvPicPr>
          <a:picLocks noChangeAspect="1"/>
        </xdr:cNvPicPr>
      </xdr:nvPicPr>
      <xdr:blipFill>
        <a:blip xmlns:r="http://schemas.openxmlformats.org/officeDocument/2006/relationships" r:embed="rId2117"/>
        <a:stretch>
          <a:fillRect/>
        </a:stretch>
      </xdr:blipFill>
      <xdr:spPr>
        <a:xfrm>
          <a:off x="7264400" y="2781525425"/>
          <a:ext cx="878840" cy="1183640"/>
        </a:xfrm>
        <a:prstGeom prst="rect">
          <a:avLst/>
        </a:prstGeom>
      </xdr:spPr>
    </xdr:pic>
    <xdr:clientData/>
  </xdr:twoCellAnchor>
  <xdr:twoCellAnchor>
    <xdr:from>
      <xdr:col>8</xdr:col>
      <xdr:colOff>6350</xdr:colOff>
      <xdr:row>2806</xdr:row>
      <xdr:rowOff>25400</xdr:rowOff>
    </xdr:from>
    <xdr:to>
      <xdr:col>8</xdr:col>
      <xdr:colOff>885190</xdr:colOff>
      <xdr:row>2806</xdr:row>
      <xdr:rowOff>1209040</xdr:rowOff>
    </xdr:to>
    <xdr:pic>
      <xdr:nvPicPr>
        <xdr:cNvPr id="6406" name="Изображение 6405" descr="resizeПП-00274480"/>
        <xdr:cNvPicPr>
          <a:picLocks noChangeAspect="1"/>
        </xdr:cNvPicPr>
      </xdr:nvPicPr>
      <xdr:blipFill>
        <a:blip xmlns:r="http://schemas.openxmlformats.org/officeDocument/2006/relationships" r:embed="rId2118"/>
        <a:stretch>
          <a:fillRect/>
        </a:stretch>
      </xdr:blipFill>
      <xdr:spPr>
        <a:xfrm>
          <a:off x="7264400" y="2782747800"/>
          <a:ext cx="878840" cy="1183640"/>
        </a:xfrm>
        <a:prstGeom prst="rect">
          <a:avLst/>
        </a:prstGeom>
      </xdr:spPr>
    </xdr:pic>
    <xdr:clientData/>
  </xdr:twoCellAnchor>
  <xdr:twoCellAnchor>
    <xdr:from>
      <xdr:col>8</xdr:col>
      <xdr:colOff>6350</xdr:colOff>
      <xdr:row>2807</xdr:row>
      <xdr:rowOff>25400</xdr:rowOff>
    </xdr:from>
    <xdr:to>
      <xdr:col>8</xdr:col>
      <xdr:colOff>885190</xdr:colOff>
      <xdr:row>2807</xdr:row>
      <xdr:rowOff>1209040</xdr:rowOff>
    </xdr:to>
    <xdr:pic>
      <xdr:nvPicPr>
        <xdr:cNvPr id="6407" name="Изображение 6406" descr="resizeПП-00274478"/>
        <xdr:cNvPicPr>
          <a:picLocks noChangeAspect="1"/>
        </xdr:cNvPicPr>
      </xdr:nvPicPr>
      <xdr:blipFill>
        <a:blip xmlns:r="http://schemas.openxmlformats.org/officeDocument/2006/relationships" r:embed="rId2119"/>
        <a:stretch>
          <a:fillRect/>
        </a:stretch>
      </xdr:blipFill>
      <xdr:spPr>
        <a:xfrm>
          <a:off x="7264400" y="2783970175"/>
          <a:ext cx="878840" cy="1183640"/>
        </a:xfrm>
        <a:prstGeom prst="rect">
          <a:avLst/>
        </a:prstGeom>
      </xdr:spPr>
    </xdr:pic>
    <xdr:clientData/>
  </xdr:twoCellAnchor>
  <xdr:twoCellAnchor>
    <xdr:from>
      <xdr:col>8</xdr:col>
      <xdr:colOff>6350</xdr:colOff>
      <xdr:row>2808</xdr:row>
      <xdr:rowOff>25400</xdr:rowOff>
    </xdr:from>
    <xdr:to>
      <xdr:col>8</xdr:col>
      <xdr:colOff>885190</xdr:colOff>
      <xdr:row>2808</xdr:row>
      <xdr:rowOff>1209040</xdr:rowOff>
    </xdr:to>
    <xdr:pic>
      <xdr:nvPicPr>
        <xdr:cNvPr id="6408" name="Изображение 6407" descr="resizeПП-00274482"/>
        <xdr:cNvPicPr>
          <a:picLocks noChangeAspect="1"/>
        </xdr:cNvPicPr>
      </xdr:nvPicPr>
      <xdr:blipFill>
        <a:blip xmlns:r="http://schemas.openxmlformats.org/officeDocument/2006/relationships" r:embed="rId2120"/>
        <a:stretch>
          <a:fillRect/>
        </a:stretch>
      </xdr:blipFill>
      <xdr:spPr>
        <a:xfrm>
          <a:off x="7264400" y="2785192550"/>
          <a:ext cx="878840" cy="1183640"/>
        </a:xfrm>
        <a:prstGeom prst="rect">
          <a:avLst/>
        </a:prstGeom>
      </xdr:spPr>
    </xdr:pic>
    <xdr:clientData/>
  </xdr:twoCellAnchor>
  <xdr:twoCellAnchor>
    <xdr:from>
      <xdr:col>8</xdr:col>
      <xdr:colOff>6350</xdr:colOff>
      <xdr:row>2811</xdr:row>
      <xdr:rowOff>25400</xdr:rowOff>
    </xdr:from>
    <xdr:to>
      <xdr:col>8</xdr:col>
      <xdr:colOff>885190</xdr:colOff>
      <xdr:row>2811</xdr:row>
      <xdr:rowOff>1209040</xdr:rowOff>
    </xdr:to>
    <xdr:pic>
      <xdr:nvPicPr>
        <xdr:cNvPr id="6409" name="Изображение 6408" descr="resizeПП-00274463"/>
        <xdr:cNvPicPr>
          <a:picLocks noChangeAspect="1"/>
        </xdr:cNvPicPr>
      </xdr:nvPicPr>
      <xdr:blipFill>
        <a:blip xmlns:r="http://schemas.openxmlformats.org/officeDocument/2006/relationships" r:embed="rId2121"/>
        <a:stretch>
          <a:fillRect/>
        </a:stretch>
      </xdr:blipFill>
      <xdr:spPr>
        <a:xfrm>
          <a:off x="7264400" y="2786719725"/>
          <a:ext cx="878840" cy="1183640"/>
        </a:xfrm>
        <a:prstGeom prst="rect">
          <a:avLst/>
        </a:prstGeom>
      </xdr:spPr>
    </xdr:pic>
    <xdr:clientData/>
  </xdr:twoCellAnchor>
  <xdr:twoCellAnchor>
    <xdr:from>
      <xdr:col>8</xdr:col>
      <xdr:colOff>6350</xdr:colOff>
      <xdr:row>2812</xdr:row>
      <xdr:rowOff>25400</xdr:rowOff>
    </xdr:from>
    <xdr:to>
      <xdr:col>8</xdr:col>
      <xdr:colOff>885190</xdr:colOff>
      <xdr:row>2812</xdr:row>
      <xdr:rowOff>1209040</xdr:rowOff>
    </xdr:to>
    <xdr:pic>
      <xdr:nvPicPr>
        <xdr:cNvPr id="6410" name="Изображение 6409" descr="resizeПП-00274465"/>
        <xdr:cNvPicPr>
          <a:picLocks noChangeAspect="1"/>
        </xdr:cNvPicPr>
      </xdr:nvPicPr>
      <xdr:blipFill>
        <a:blip xmlns:r="http://schemas.openxmlformats.org/officeDocument/2006/relationships" r:embed="rId2122"/>
        <a:stretch>
          <a:fillRect/>
        </a:stretch>
      </xdr:blipFill>
      <xdr:spPr>
        <a:xfrm>
          <a:off x="7264400" y="2787942100"/>
          <a:ext cx="878840" cy="1183640"/>
        </a:xfrm>
        <a:prstGeom prst="rect">
          <a:avLst/>
        </a:prstGeom>
      </xdr:spPr>
    </xdr:pic>
    <xdr:clientData/>
  </xdr:twoCellAnchor>
  <xdr:twoCellAnchor>
    <xdr:from>
      <xdr:col>8</xdr:col>
      <xdr:colOff>6350</xdr:colOff>
      <xdr:row>2813</xdr:row>
      <xdr:rowOff>25400</xdr:rowOff>
    </xdr:from>
    <xdr:to>
      <xdr:col>8</xdr:col>
      <xdr:colOff>885190</xdr:colOff>
      <xdr:row>2813</xdr:row>
      <xdr:rowOff>1209040</xdr:rowOff>
    </xdr:to>
    <xdr:pic>
      <xdr:nvPicPr>
        <xdr:cNvPr id="6411" name="Изображение 6410" descr="resizeПП-00274467"/>
        <xdr:cNvPicPr>
          <a:picLocks noChangeAspect="1"/>
        </xdr:cNvPicPr>
      </xdr:nvPicPr>
      <xdr:blipFill>
        <a:blip xmlns:r="http://schemas.openxmlformats.org/officeDocument/2006/relationships" r:embed="rId2123"/>
        <a:stretch>
          <a:fillRect/>
        </a:stretch>
      </xdr:blipFill>
      <xdr:spPr>
        <a:xfrm>
          <a:off x="7264400" y="2789164475"/>
          <a:ext cx="878840" cy="1183640"/>
        </a:xfrm>
        <a:prstGeom prst="rect">
          <a:avLst/>
        </a:prstGeom>
      </xdr:spPr>
    </xdr:pic>
    <xdr:clientData/>
  </xdr:twoCellAnchor>
  <xdr:twoCellAnchor>
    <xdr:from>
      <xdr:col>8</xdr:col>
      <xdr:colOff>6350</xdr:colOff>
      <xdr:row>2815</xdr:row>
      <xdr:rowOff>25400</xdr:rowOff>
    </xdr:from>
    <xdr:to>
      <xdr:col>8</xdr:col>
      <xdr:colOff>885190</xdr:colOff>
      <xdr:row>2815</xdr:row>
      <xdr:rowOff>1209040</xdr:rowOff>
    </xdr:to>
    <xdr:pic>
      <xdr:nvPicPr>
        <xdr:cNvPr id="6412" name="Изображение 6411" descr="resizeПП-00274459"/>
        <xdr:cNvPicPr>
          <a:picLocks noChangeAspect="1"/>
        </xdr:cNvPicPr>
      </xdr:nvPicPr>
      <xdr:blipFill>
        <a:blip xmlns:r="http://schemas.openxmlformats.org/officeDocument/2006/relationships" r:embed="rId2124"/>
        <a:stretch>
          <a:fillRect/>
        </a:stretch>
      </xdr:blipFill>
      <xdr:spPr>
        <a:xfrm>
          <a:off x="7264400" y="2790539250"/>
          <a:ext cx="878840" cy="1183640"/>
        </a:xfrm>
        <a:prstGeom prst="rect">
          <a:avLst/>
        </a:prstGeom>
      </xdr:spPr>
    </xdr:pic>
    <xdr:clientData/>
  </xdr:twoCellAnchor>
  <xdr:twoCellAnchor>
    <xdr:from>
      <xdr:col>8</xdr:col>
      <xdr:colOff>6350</xdr:colOff>
      <xdr:row>2816</xdr:row>
      <xdr:rowOff>25400</xdr:rowOff>
    </xdr:from>
    <xdr:to>
      <xdr:col>8</xdr:col>
      <xdr:colOff>885190</xdr:colOff>
      <xdr:row>2816</xdr:row>
      <xdr:rowOff>1209040</xdr:rowOff>
    </xdr:to>
    <xdr:pic>
      <xdr:nvPicPr>
        <xdr:cNvPr id="6413" name="Изображение 6412" descr="resizeПП-00274460"/>
        <xdr:cNvPicPr>
          <a:picLocks noChangeAspect="1"/>
        </xdr:cNvPicPr>
      </xdr:nvPicPr>
      <xdr:blipFill>
        <a:blip xmlns:r="http://schemas.openxmlformats.org/officeDocument/2006/relationships" r:embed="rId2125"/>
        <a:stretch>
          <a:fillRect/>
        </a:stretch>
      </xdr:blipFill>
      <xdr:spPr>
        <a:xfrm>
          <a:off x="7264400" y="2791761625"/>
          <a:ext cx="878840" cy="1183640"/>
        </a:xfrm>
        <a:prstGeom prst="rect">
          <a:avLst/>
        </a:prstGeom>
      </xdr:spPr>
    </xdr:pic>
    <xdr:clientData/>
  </xdr:twoCellAnchor>
  <xdr:twoCellAnchor>
    <xdr:from>
      <xdr:col>8</xdr:col>
      <xdr:colOff>6350</xdr:colOff>
      <xdr:row>2817</xdr:row>
      <xdr:rowOff>25400</xdr:rowOff>
    </xdr:from>
    <xdr:to>
      <xdr:col>8</xdr:col>
      <xdr:colOff>885190</xdr:colOff>
      <xdr:row>2817</xdr:row>
      <xdr:rowOff>1209040</xdr:rowOff>
    </xdr:to>
    <xdr:pic>
      <xdr:nvPicPr>
        <xdr:cNvPr id="6414" name="Изображение 6413" descr="resizeПП-00274462"/>
        <xdr:cNvPicPr>
          <a:picLocks noChangeAspect="1"/>
        </xdr:cNvPicPr>
      </xdr:nvPicPr>
      <xdr:blipFill>
        <a:blip xmlns:r="http://schemas.openxmlformats.org/officeDocument/2006/relationships" r:embed="rId2126"/>
        <a:stretch>
          <a:fillRect/>
        </a:stretch>
      </xdr:blipFill>
      <xdr:spPr>
        <a:xfrm>
          <a:off x="7264400" y="2792984000"/>
          <a:ext cx="878840" cy="1183640"/>
        </a:xfrm>
        <a:prstGeom prst="rect">
          <a:avLst/>
        </a:prstGeom>
      </xdr:spPr>
    </xdr:pic>
    <xdr:clientData/>
  </xdr:twoCellAnchor>
  <xdr:twoCellAnchor>
    <xdr:from>
      <xdr:col>8</xdr:col>
      <xdr:colOff>6350</xdr:colOff>
      <xdr:row>2819</xdr:row>
      <xdr:rowOff>25400</xdr:rowOff>
    </xdr:from>
    <xdr:to>
      <xdr:col>8</xdr:col>
      <xdr:colOff>885190</xdr:colOff>
      <xdr:row>2819</xdr:row>
      <xdr:rowOff>1209040</xdr:rowOff>
    </xdr:to>
    <xdr:pic>
      <xdr:nvPicPr>
        <xdr:cNvPr id="6415" name="Изображение 6414" descr="resizeПП-00274468"/>
        <xdr:cNvPicPr>
          <a:picLocks noChangeAspect="1"/>
        </xdr:cNvPicPr>
      </xdr:nvPicPr>
      <xdr:blipFill>
        <a:blip xmlns:r="http://schemas.openxmlformats.org/officeDocument/2006/relationships" r:embed="rId2127"/>
        <a:stretch>
          <a:fillRect/>
        </a:stretch>
      </xdr:blipFill>
      <xdr:spPr>
        <a:xfrm>
          <a:off x="7264400" y="2794358775"/>
          <a:ext cx="878840" cy="1183640"/>
        </a:xfrm>
        <a:prstGeom prst="rect">
          <a:avLst/>
        </a:prstGeom>
      </xdr:spPr>
    </xdr:pic>
    <xdr:clientData/>
  </xdr:twoCellAnchor>
  <xdr:twoCellAnchor>
    <xdr:from>
      <xdr:col>8</xdr:col>
      <xdr:colOff>6350</xdr:colOff>
      <xdr:row>2820</xdr:row>
      <xdr:rowOff>25400</xdr:rowOff>
    </xdr:from>
    <xdr:to>
      <xdr:col>8</xdr:col>
      <xdr:colOff>885190</xdr:colOff>
      <xdr:row>2820</xdr:row>
      <xdr:rowOff>1209040</xdr:rowOff>
    </xdr:to>
    <xdr:pic>
      <xdr:nvPicPr>
        <xdr:cNvPr id="6416" name="Изображение 6415" descr="resizeПП-00274470"/>
        <xdr:cNvPicPr>
          <a:picLocks noChangeAspect="1"/>
        </xdr:cNvPicPr>
      </xdr:nvPicPr>
      <xdr:blipFill>
        <a:blip xmlns:r="http://schemas.openxmlformats.org/officeDocument/2006/relationships" r:embed="rId2128"/>
        <a:stretch>
          <a:fillRect/>
        </a:stretch>
      </xdr:blipFill>
      <xdr:spPr>
        <a:xfrm>
          <a:off x="7264400" y="2795581150"/>
          <a:ext cx="878840" cy="1183640"/>
        </a:xfrm>
        <a:prstGeom prst="rect">
          <a:avLst/>
        </a:prstGeom>
      </xdr:spPr>
    </xdr:pic>
    <xdr:clientData/>
  </xdr:twoCellAnchor>
  <xdr:twoCellAnchor>
    <xdr:from>
      <xdr:col>8</xdr:col>
      <xdr:colOff>6350</xdr:colOff>
      <xdr:row>2821</xdr:row>
      <xdr:rowOff>25400</xdr:rowOff>
    </xdr:from>
    <xdr:to>
      <xdr:col>8</xdr:col>
      <xdr:colOff>885190</xdr:colOff>
      <xdr:row>2821</xdr:row>
      <xdr:rowOff>1209040</xdr:rowOff>
    </xdr:to>
    <xdr:pic>
      <xdr:nvPicPr>
        <xdr:cNvPr id="6417" name="Изображение 6416" descr="resizeПП-00274471"/>
        <xdr:cNvPicPr>
          <a:picLocks noChangeAspect="1"/>
        </xdr:cNvPicPr>
      </xdr:nvPicPr>
      <xdr:blipFill>
        <a:blip xmlns:r="http://schemas.openxmlformats.org/officeDocument/2006/relationships" r:embed="rId2129"/>
        <a:stretch>
          <a:fillRect/>
        </a:stretch>
      </xdr:blipFill>
      <xdr:spPr>
        <a:xfrm>
          <a:off x="7264400" y="2796803525"/>
          <a:ext cx="878840" cy="1183640"/>
        </a:xfrm>
        <a:prstGeom prst="rect">
          <a:avLst/>
        </a:prstGeom>
      </xdr:spPr>
    </xdr:pic>
    <xdr:clientData/>
  </xdr:twoCellAnchor>
  <xdr:twoCellAnchor>
    <xdr:from>
      <xdr:col>8</xdr:col>
      <xdr:colOff>6350</xdr:colOff>
      <xdr:row>2823</xdr:row>
      <xdr:rowOff>25400</xdr:rowOff>
    </xdr:from>
    <xdr:to>
      <xdr:col>8</xdr:col>
      <xdr:colOff>885190</xdr:colOff>
      <xdr:row>2823</xdr:row>
      <xdr:rowOff>1209040</xdr:rowOff>
    </xdr:to>
    <xdr:pic>
      <xdr:nvPicPr>
        <xdr:cNvPr id="6418" name="Изображение 6417" descr="resizeПП-00274452"/>
        <xdr:cNvPicPr>
          <a:picLocks noChangeAspect="1"/>
        </xdr:cNvPicPr>
      </xdr:nvPicPr>
      <xdr:blipFill>
        <a:blip xmlns:r="http://schemas.openxmlformats.org/officeDocument/2006/relationships" r:embed="rId2130"/>
        <a:stretch>
          <a:fillRect/>
        </a:stretch>
      </xdr:blipFill>
      <xdr:spPr>
        <a:xfrm>
          <a:off x="7264400" y="2798178300"/>
          <a:ext cx="878840" cy="1183640"/>
        </a:xfrm>
        <a:prstGeom prst="rect">
          <a:avLst/>
        </a:prstGeom>
      </xdr:spPr>
    </xdr:pic>
    <xdr:clientData/>
  </xdr:twoCellAnchor>
  <xdr:twoCellAnchor>
    <xdr:from>
      <xdr:col>8</xdr:col>
      <xdr:colOff>6350</xdr:colOff>
      <xdr:row>2824</xdr:row>
      <xdr:rowOff>25400</xdr:rowOff>
    </xdr:from>
    <xdr:to>
      <xdr:col>8</xdr:col>
      <xdr:colOff>885190</xdr:colOff>
      <xdr:row>2824</xdr:row>
      <xdr:rowOff>1209040</xdr:rowOff>
    </xdr:to>
    <xdr:pic>
      <xdr:nvPicPr>
        <xdr:cNvPr id="6419" name="Изображение 6418" descr="resizeПП-00274456"/>
        <xdr:cNvPicPr>
          <a:picLocks noChangeAspect="1"/>
        </xdr:cNvPicPr>
      </xdr:nvPicPr>
      <xdr:blipFill>
        <a:blip xmlns:r="http://schemas.openxmlformats.org/officeDocument/2006/relationships" r:embed="rId2131"/>
        <a:stretch>
          <a:fillRect/>
        </a:stretch>
      </xdr:blipFill>
      <xdr:spPr>
        <a:xfrm>
          <a:off x="7264400" y="2799400675"/>
          <a:ext cx="878840" cy="1183640"/>
        </a:xfrm>
        <a:prstGeom prst="rect">
          <a:avLst/>
        </a:prstGeom>
      </xdr:spPr>
    </xdr:pic>
    <xdr:clientData/>
  </xdr:twoCellAnchor>
  <xdr:twoCellAnchor>
    <xdr:from>
      <xdr:col>8</xdr:col>
      <xdr:colOff>6350</xdr:colOff>
      <xdr:row>2825</xdr:row>
      <xdr:rowOff>25400</xdr:rowOff>
    </xdr:from>
    <xdr:to>
      <xdr:col>8</xdr:col>
      <xdr:colOff>885190</xdr:colOff>
      <xdr:row>2825</xdr:row>
      <xdr:rowOff>1209040</xdr:rowOff>
    </xdr:to>
    <xdr:pic>
      <xdr:nvPicPr>
        <xdr:cNvPr id="6420" name="Изображение 6419" descr="resizeПП-00274457"/>
        <xdr:cNvPicPr>
          <a:picLocks noChangeAspect="1"/>
        </xdr:cNvPicPr>
      </xdr:nvPicPr>
      <xdr:blipFill>
        <a:blip xmlns:r="http://schemas.openxmlformats.org/officeDocument/2006/relationships" r:embed="rId2132"/>
        <a:stretch>
          <a:fillRect/>
        </a:stretch>
      </xdr:blipFill>
      <xdr:spPr>
        <a:xfrm>
          <a:off x="7264400" y="2800623050"/>
          <a:ext cx="878840" cy="1183640"/>
        </a:xfrm>
        <a:prstGeom prst="rect">
          <a:avLst/>
        </a:prstGeom>
      </xdr:spPr>
    </xdr:pic>
    <xdr:clientData/>
  </xdr:twoCellAnchor>
  <xdr:twoCellAnchor>
    <xdr:from>
      <xdr:col>8</xdr:col>
      <xdr:colOff>6350</xdr:colOff>
      <xdr:row>2828</xdr:row>
      <xdr:rowOff>25400</xdr:rowOff>
    </xdr:from>
    <xdr:to>
      <xdr:col>8</xdr:col>
      <xdr:colOff>885190</xdr:colOff>
      <xdr:row>2828</xdr:row>
      <xdr:rowOff>1209040</xdr:rowOff>
    </xdr:to>
    <xdr:pic>
      <xdr:nvPicPr>
        <xdr:cNvPr id="6421" name="Изображение 6420" descr="resizeПП-00256682"/>
        <xdr:cNvPicPr>
          <a:picLocks noChangeAspect="1"/>
        </xdr:cNvPicPr>
      </xdr:nvPicPr>
      <xdr:blipFill>
        <a:blip xmlns:r="http://schemas.openxmlformats.org/officeDocument/2006/relationships" r:embed="rId2133"/>
        <a:stretch>
          <a:fillRect/>
        </a:stretch>
      </xdr:blipFill>
      <xdr:spPr>
        <a:xfrm>
          <a:off x="7264400" y="2802150225"/>
          <a:ext cx="878840" cy="1183640"/>
        </a:xfrm>
        <a:prstGeom prst="rect">
          <a:avLst/>
        </a:prstGeom>
      </xdr:spPr>
    </xdr:pic>
    <xdr:clientData/>
  </xdr:twoCellAnchor>
  <xdr:twoCellAnchor>
    <xdr:from>
      <xdr:col>8</xdr:col>
      <xdr:colOff>6350</xdr:colOff>
      <xdr:row>2829</xdr:row>
      <xdr:rowOff>25400</xdr:rowOff>
    </xdr:from>
    <xdr:to>
      <xdr:col>8</xdr:col>
      <xdr:colOff>885190</xdr:colOff>
      <xdr:row>2829</xdr:row>
      <xdr:rowOff>1209040</xdr:rowOff>
    </xdr:to>
    <xdr:pic>
      <xdr:nvPicPr>
        <xdr:cNvPr id="6422" name="Изображение 6421" descr="resizeПП-00256683"/>
        <xdr:cNvPicPr>
          <a:picLocks noChangeAspect="1"/>
        </xdr:cNvPicPr>
      </xdr:nvPicPr>
      <xdr:blipFill>
        <a:blip xmlns:r="http://schemas.openxmlformats.org/officeDocument/2006/relationships" r:embed="rId2134"/>
        <a:stretch>
          <a:fillRect/>
        </a:stretch>
      </xdr:blipFill>
      <xdr:spPr>
        <a:xfrm>
          <a:off x="7264400" y="2803372600"/>
          <a:ext cx="878840" cy="1183640"/>
        </a:xfrm>
        <a:prstGeom prst="rect">
          <a:avLst/>
        </a:prstGeom>
      </xdr:spPr>
    </xdr:pic>
    <xdr:clientData/>
  </xdr:twoCellAnchor>
  <xdr:twoCellAnchor>
    <xdr:from>
      <xdr:col>8</xdr:col>
      <xdr:colOff>6350</xdr:colOff>
      <xdr:row>2830</xdr:row>
      <xdr:rowOff>25400</xdr:rowOff>
    </xdr:from>
    <xdr:to>
      <xdr:col>8</xdr:col>
      <xdr:colOff>885190</xdr:colOff>
      <xdr:row>2830</xdr:row>
      <xdr:rowOff>1209040</xdr:rowOff>
    </xdr:to>
    <xdr:pic>
      <xdr:nvPicPr>
        <xdr:cNvPr id="6423" name="Изображение 6422" descr="resizeПП-00256684"/>
        <xdr:cNvPicPr>
          <a:picLocks noChangeAspect="1"/>
        </xdr:cNvPicPr>
      </xdr:nvPicPr>
      <xdr:blipFill>
        <a:blip xmlns:r="http://schemas.openxmlformats.org/officeDocument/2006/relationships" r:embed="rId2135"/>
        <a:stretch>
          <a:fillRect/>
        </a:stretch>
      </xdr:blipFill>
      <xdr:spPr>
        <a:xfrm>
          <a:off x="7264400" y="2804594975"/>
          <a:ext cx="878840" cy="1183640"/>
        </a:xfrm>
        <a:prstGeom prst="rect">
          <a:avLst/>
        </a:prstGeom>
      </xdr:spPr>
    </xdr:pic>
    <xdr:clientData/>
  </xdr:twoCellAnchor>
  <xdr:twoCellAnchor>
    <xdr:from>
      <xdr:col>8</xdr:col>
      <xdr:colOff>6350</xdr:colOff>
      <xdr:row>2832</xdr:row>
      <xdr:rowOff>25400</xdr:rowOff>
    </xdr:from>
    <xdr:to>
      <xdr:col>8</xdr:col>
      <xdr:colOff>885190</xdr:colOff>
      <xdr:row>2832</xdr:row>
      <xdr:rowOff>1209040</xdr:rowOff>
    </xdr:to>
    <xdr:pic>
      <xdr:nvPicPr>
        <xdr:cNvPr id="6424" name="Изображение 6423" descr="resizeПП-00274443"/>
        <xdr:cNvPicPr>
          <a:picLocks noChangeAspect="1"/>
        </xdr:cNvPicPr>
      </xdr:nvPicPr>
      <xdr:blipFill>
        <a:blip xmlns:r="http://schemas.openxmlformats.org/officeDocument/2006/relationships" r:embed="rId2136"/>
        <a:stretch>
          <a:fillRect/>
        </a:stretch>
      </xdr:blipFill>
      <xdr:spPr>
        <a:xfrm>
          <a:off x="7264400" y="2805969750"/>
          <a:ext cx="878840" cy="1183640"/>
        </a:xfrm>
        <a:prstGeom prst="rect">
          <a:avLst/>
        </a:prstGeom>
      </xdr:spPr>
    </xdr:pic>
    <xdr:clientData/>
  </xdr:twoCellAnchor>
  <xdr:twoCellAnchor>
    <xdr:from>
      <xdr:col>8</xdr:col>
      <xdr:colOff>6350</xdr:colOff>
      <xdr:row>2833</xdr:row>
      <xdr:rowOff>25400</xdr:rowOff>
    </xdr:from>
    <xdr:to>
      <xdr:col>8</xdr:col>
      <xdr:colOff>885190</xdr:colOff>
      <xdr:row>2833</xdr:row>
      <xdr:rowOff>1209040</xdr:rowOff>
    </xdr:to>
    <xdr:pic>
      <xdr:nvPicPr>
        <xdr:cNvPr id="6425" name="Изображение 6424" descr="resizeПП-00274445"/>
        <xdr:cNvPicPr>
          <a:picLocks noChangeAspect="1"/>
        </xdr:cNvPicPr>
      </xdr:nvPicPr>
      <xdr:blipFill>
        <a:blip xmlns:r="http://schemas.openxmlformats.org/officeDocument/2006/relationships" r:embed="rId2137"/>
        <a:stretch>
          <a:fillRect/>
        </a:stretch>
      </xdr:blipFill>
      <xdr:spPr>
        <a:xfrm>
          <a:off x="7264400" y="2807192125"/>
          <a:ext cx="878840" cy="1183640"/>
        </a:xfrm>
        <a:prstGeom prst="rect">
          <a:avLst/>
        </a:prstGeom>
      </xdr:spPr>
    </xdr:pic>
    <xdr:clientData/>
  </xdr:twoCellAnchor>
  <xdr:twoCellAnchor>
    <xdr:from>
      <xdr:col>8</xdr:col>
      <xdr:colOff>6350</xdr:colOff>
      <xdr:row>2834</xdr:row>
      <xdr:rowOff>25400</xdr:rowOff>
    </xdr:from>
    <xdr:to>
      <xdr:col>8</xdr:col>
      <xdr:colOff>885190</xdr:colOff>
      <xdr:row>2834</xdr:row>
      <xdr:rowOff>1209040</xdr:rowOff>
    </xdr:to>
    <xdr:pic>
      <xdr:nvPicPr>
        <xdr:cNvPr id="6426" name="Изображение 6425" descr="resizeПП-00274446"/>
        <xdr:cNvPicPr>
          <a:picLocks noChangeAspect="1"/>
        </xdr:cNvPicPr>
      </xdr:nvPicPr>
      <xdr:blipFill>
        <a:blip xmlns:r="http://schemas.openxmlformats.org/officeDocument/2006/relationships" r:embed="rId2138"/>
        <a:stretch>
          <a:fillRect/>
        </a:stretch>
      </xdr:blipFill>
      <xdr:spPr>
        <a:xfrm>
          <a:off x="7264400" y="2808414500"/>
          <a:ext cx="878840" cy="1183640"/>
        </a:xfrm>
        <a:prstGeom prst="rect">
          <a:avLst/>
        </a:prstGeom>
      </xdr:spPr>
    </xdr:pic>
    <xdr:clientData/>
  </xdr:twoCellAnchor>
  <xdr:twoCellAnchor>
    <xdr:from>
      <xdr:col>8</xdr:col>
      <xdr:colOff>6350</xdr:colOff>
      <xdr:row>2836</xdr:row>
      <xdr:rowOff>25400</xdr:rowOff>
    </xdr:from>
    <xdr:to>
      <xdr:col>8</xdr:col>
      <xdr:colOff>885190</xdr:colOff>
      <xdr:row>2836</xdr:row>
      <xdr:rowOff>1209040</xdr:rowOff>
    </xdr:to>
    <xdr:pic>
      <xdr:nvPicPr>
        <xdr:cNvPr id="6427" name="Изображение 6426" descr="resizeПП-00274438"/>
        <xdr:cNvPicPr>
          <a:picLocks noChangeAspect="1"/>
        </xdr:cNvPicPr>
      </xdr:nvPicPr>
      <xdr:blipFill>
        <a:blip xmlns:r="http://schemas.openxmlformats.org/officeDocument/2006/relationships" r:embed="rId2139"/>
        <a:stretch>
          <a:fillRect/>
        </a:stretch>
      </xdr:blipFill>
      <xdr:spPr>
        <a:xfrm>
          <a:off x="7264400" y="2809789275"/>
          <a:ext cx="878840" cy="1183640"/>
        </a:xfrm>
        <a:prstGeom prst="rect">
          <a:avLst/>
        </a:prstGeom>
      </xdr:spPr>
    </xdr:pic>
    <xdr:clientData/>
  </xdr:twoCellAnchor>
  <xdr:twoCellAnchor>
    <xdr:from>
      <xdr:col>8</xdr:col>
      <xdr:colOff>6350</xdr:colOff>
      <xdr:row>2837</xdr:row>
      <xdr:rowOff>25400</xdr:rowOff>
    </xdr:from>
    <xdr:to>
      <xdr:col>8</xdr:col>
      <xdr:colOff>885190</xdr:colOff>
      <xdr:row>2837</xdr:row>
      <xdr:rowOff>1209040</xdr:rowOff>
    </xdr:to>
    <xdr:pic>
      <xdr:nvPicPr>
        <xdr:cNvPr id="6428" name="Изображение 6427" descr="resizeПП-00274440"/>
        <xdr:cNvPicPr>
          <a:picLocks noChangeAspect="1"/>
        </xdr:cNvPicPr>
      </xdr:nvPicPr>
      <xdr:blipFill>
        <a:blip xmlns:r="http://schemas.openxmlformats.org/officeDocument/2006/relationships" r:embed="rId2140"/>
        <a:stretch>
          <a:fillRect/>
        </a:stretch>
      </xdr:blipFill>
      <xdr:spPr>
        <a:xfrm>
          <a:off x="7264400" y="2811011650"/>
          <a:ext cx="878840" cy="1183640"/>
        </a:xfrm>
        <a:prstGeom prst="rect">
          <a:avLst/>
        </a:prstGeom>
      </xdr:spPr>
    </xdr:pic>
    <xdr:clientData/>
  </xdr:twoCellAnchor>
  <xdr:twoCellAnchor>
    <xdr:from>
      <xdr:col>8</xdr:col>
      <xdr:colOff>6350</xdr:colOff>
      <xdr:row>2838</xdr:row>
      <xdr:rowOff>25400</xdr:rowOff>
    </xdr:from>
    <xdr:to>
      <xdr:col>8</xdr:col>
      <xdr:colOff>885190</xdr:colOff>
      <xdr:row>2838</xdr:row>
      <xdr:rowOff>1209040</xdr:rowOff>
    </xdr:to>
    <xdr:pic>
      <xdr:nvPicPr>
        <xdr:cNvPr id="6429" name="Изображение 6428" descr="resizeПП-00274442"/>
        <xdr:cNvPicPr>
          <a:picLocks noChangeAspect="1"/>
        </xdr:cNvPicPr>
      </xdr:nvPicPr>
      <xdr:blipFill>
        <a:blip xmlns:r="http://schemas.openxmlformats.org/officeDocument/2006/relationships" r:embed="rId2141"/>
        <a:stretch>
          <a:fillRect/>
        </a:stretch>
      </xdr:blipFill>
      <xdr:spPr>
        <a:xfrm>
          <a:off x="7264400" y="2812234025"/>
          <a:ext cx="878840" cy="1183640"/>
        </a:xfrm>
        <a:prstGeom prst="rect">
          <a:avLst/>
        </a:prstGeom>
      </xdr:spPr>
    </xdr:pic>
    <xdr:clientData/>
  </xdr:twoCellAnchor>
  <xdr:twoCellAnchor>
    <xdr:from>
      <xdr:col>8</xdr:col>
      <xdr:colOff>6350</xdr:colOff>
      <xdr:row>2840</xdr:row>
      <xdr:rowOff>25400</xdr:rowOff>
    </xdr:from>
    <xdr:to>
      <xdr:col>8</xdr:col>
      <xdr:colOff>885190</xdr:colOff>
      <xdr:row>2840</xdr:row>
      <xdr:rowOff>1209040</xdr:rowOff>
    </xdr:to>
    <xdr:pic>
      <xdr:nvPicPr>
        <xdr:cNvPr id="6430" name="Изображение 6429" descr="resizeПП-00256685"/>
        <xdr:cNvPicPr>
          <a:picLocks noChangeAspect="1"/>
        </xdr:cNvPicPr>
      </xdr:nvPicPr>
      <xdr:blipFill>
        <a:blip xmlns:r="http://schemas.openxmlformats.org/officeDocument/2006/relationships" r:embed="rId2142"/>
        <a:stretch>
          <a:fillRect/>
        </a:stretch>
      </xdr:blipFill>
      <xdr:spPr>
        <a:xfrm>
          <a:off x="7264400" y="2813608800"/>
          <a:ext cx="878840" cy="1183640"/>
        </a:xfrm>
        <a:prstGeom prst="rect">
          <a:avLst/>
        </a:prstGeom>
      </xdr:spPr>
    </xdr:pic>
    <xdr:clientData/>
  </xdr:twoCellAnchor>
  <xdr:twoCellAnchor>
    <xdr:from>
      <xdr:col>8</xdr:col>
      <xdr:colOff>6350</xdr:colOff>
      <xdr:row>2841</xdr:row>
      <xdr:rowOff>25400</xdr:rowOff>
    </xdr:from>
    <xdr:to>
      <xdr:col>8</xdr:col>
      <xdr:colOff>885190</xdr:colOff>
      <xdr:row>2841</xdr:row>
      <xdr:rowOff>1209040</xdr:rowOff>
    </xdr:to>
    <xdr:pic>
      <xdr:nvPicPr>
        <xdr:cNvPr id="6431" name="Изображение 6430" descr="resizeПП-00256686"/>
        <xdr:cNvPicPr>
          <a:picLocks noChangeAspect="1"/>
        </xdr:cNvPicPr>
      </xdr:nvPicPr>
      <xdr:blipFill>
        <a:blip xmlns:r="http://schemas.openxmlformats.org/officeDocument/2006/relationships" r:embed="rId2143"/>
        <a:stretch>
          <a:fillRect/>
        </a:stretch>
      </xdr:blipFill>
      <xdr:spPr>
        <a:xfrm>
          <a:off x="7264400" y="2814831175"/>
          <a:ext cx="878840" cy="1183640"/>
        </a:xfrm>
        <a:prstGeom prst="rect">
          <a:avLst/>
        </a:prstGeom>
      </xdr:spPr>
    </xdr:pic>
    <xdr:clientData/>
  </xdr:twoCellAnchor>
  <xdr:twoCellAnchor>
    <xdr:from>
      <xdr:col>8</xdr:col>
      <xdr:colOff>6350</xdr:colOff>
      <xdr:row>2842</xdr:row>
      <xdr:rowOff>25400</xdr:rowOff>
    </xdr:from>
    <xdr:to>
      <xdr:col>8</xdr:col>
      <xdr:colOff>885190</xdr:colOff>
      <xdr:row>2842</xdr:row>
      <xdr:rowOff>1209040</xdr:rowOff>
    </xdr:to>
    <xdr:pic>
      <xdr:nvPicPr>
        <xdr:cNvPr id="6432" name="Изображение 6431" descr="resizeПП-00256687"/>
        <xdr:cNvPicPr>
          <a:picLocks noChangeAspect="1"/>
        </xdr:cNvPicPr>
      </xdr:nvPicPr>
      <xdr:blipFill>
        <a:blip xmlns:r="http://schemas.openxmlformats.org/officeDocument/2006/relationships" r:embed="rId2144"/>
        <a:stretch>
          <a:fillRect/>
        </a:stretch>
      </xdr:blipFill>
      <xdr:spPr>
        <a:xfrm>
          <a:off x="7264400" y="2816053550"/>
          <a:ext cx="878840" cy="1183640"/>
        </a:xfrm>
        <a:prstGeom prst="rect">
          <a:avLst/>
        </a:prstGeom>
      </xdr:spPr>
    </xdr:pic>
    <xdr:clientData/>
  </xdr:twoCellAnchor>
  <xdr:twoCellAnchor>
    <xdr:from>
      <xdr:col>8</xdr:col>
      <xdr:colOff>6350</xdr:colOff>
      <xdr:row>2845</xdr:row>
      <xdr:rowOff>25400</xdr:rowOff>
    </xdr:from>
    <xdr:to>
      <xdr:col>8</xdr:col>
      <xdr:colOff>885190</xdr:colOff>
      <xdr:row>2845</xdr:row>
      <xdr:rowOff>1209040</xdr:rowOff>
    </xdr:to>
    <xdr:pic>
      <xdr:nvPicPr>
        <xdr:cNvPr id="6433" name="Изображение 6432" descr="resizeПП-00274475"/>
        <xdr:cNvPicPr>
          <a:picLocks noChangeAspect="1"/>
        </xdr:cNvPicPr>
      </xdr:nvPicPr>
      <xdr:blipFill>
        <a:blip xmlns:r="http://schemas.openxmlformats.org/officeDocument/2006/relationships" r:embed="rId2145"/>
        <a:stretch>
          <a:fillRect/>
        </a:stretch>
      </xdr:blipFill>
      <xdr:spPr>
        <a:xfrm>
          <a:off x="7264400" y="2817580725"/>
          <a:ext cx="878840" cy="1183640"/>
        </a:xfrm>
        <a:prstGeom prst="rect">
          <a:avLst/>
        </a:prstGeom>
      </xdr:spPr>
    </xdr:pic>
    <xdr:clientData/>
  </xdr:twoCellAnchor>
  <xdr:twoCellAnchor>
    <xdr:from>
      <xdr:col>8</xdr:col>
      <xdr:colOff>6350</xdr:colOff>
      <xdr:row>2846</xdr:row>
      <xdr:rowOff>25400</xdr:rowOff>
    </xdr:from>
    <xdr:to>
      <xdr:col>8</xdr:col>
      <xdr:colOff>885190</xdr:colOff>
      <xdr:row>2846</xdr:row>
      <xdr:rowOff>1209040</xdr:rowOff>
    </xdr:to>
    <xdr:pic>
      <xdr:nvPicPr>
        <xdr:cNvPr id="6434" name="Изображение 6433" descr="resizeПП-00274476"/>
        <xdr:cNvPicPr>
          <a:picLocks noChangeAspect="1"/>
        </xdr:cNvPicPr>
      </xdr:nvPicPr>
      <xdr:blipFill>
        <a:blip xmlns:r="http://schemas.openxmlformats.org/officeDocument/2006/relationships" r:embed="rId2146"/>
        <a:stretch>
          <a:fillRect/>
        </a:stretch>
      </xdr:blipFill>
      <xdr:spPr>
        <a:xfrm>
          <a:off x="7264400" y="2818803100"/>
          <a:ext cx="878840" cy="1183640"/>
        </a:xfrm>
        <a:prstGeom prst="rect">
          <a:avLst/>
        </a:prstGeom>
      </xdr:spPr>
    </xdr:pic>
    <xdr:clientData/>
  </xdr:twoCellAnchor>
  <xdr:twoCellAnchor>
    <xdr:from>
      <xdr:col>8</xdr:col>
      <xdr:colOff>6350</xdr:colOff>
      <xdr:row>2847</xdr:row>
      <xdr:rowOff>25400</xdr:rowOff>
    </xdr:from>
    <xdr:to>
      <xdr:col>8</xdr:col>
      <xdr:colOff>885190</xdr:colOff>
      <xdr:row>2847</xdr:row>
      <xdr:rowOff>1209040</xdr:rowOff>
    </xdr:to>
    <xdr:pic>
      <xdr:nvPicPr>
        <xdr:cNvPr id="6435" name="Изображение 6434" descr="resizeПП-00274477"/>
        <xdr:cNvPicPr>
          <a:picLocks noChangeAspect="1"/>
        </xdr:cNvPicPr>
      </xdr:nvPicPr>
      <xdr:blipFill>
        <a:blip xmlns:r="http://schemas.openxmlformats.org/officeDocument/2006/relationships" r:embed="rId2147"/>
        <a:stretch>
          <a:fillRect/>
        </a:stretch>
      </xdr:blipFill>
      <xdr:spPr>
        <a:xfrm>
          <a:off x="7264400" y="2820025475"/>
          <a:ext cx="878840" cy="1183640"/>
        </a:xfrm>
        <a:prstGeom prst="rect">
          <a:avLst/>
        </a:prstGeom>
      </xdr:spPr>
    </xdr:pic>
    <xdr:clientData/>
  </xdr:twoCellAnchor>
  <xdr:twoCellAnchor>
    <xdr:from>
      <xdr:col>8</xdr:col>
      <xdr:colOff>6350</xdr:colOff>
      <xdr:row>2849</xdr:row>
      <xdr:rowOff>25400</xdr:rowOff>
    </xdr:from>
    <xdr:to>
      <xdr:col>8</xdr:col>
      <xdr:colOff>885190</xdr:colOff>
      <xdr:row>2849</xdr:row>
      <xdr:rowOff>1209040</xdr:rowOff>
    </xdr:to>
    <xdr:pic>
      <xdr:nvPicPr>
        <xdr:cNvPr id="6436" name="Изображение 6435" descr="resizeПП-00274472"/>
        <xdr:cNvPicPr>
          <a:picLocks noChangeAspect="1"/>
        </xdr:cNvPicPr>
      </xdr:nvPicPr>
      <xdr:blipFill>
        <a:blip xmlns:r="http://schemas.openxmlformats.org/officeDocument/2006/relationships" r:embed="rId2148"/>
        <a:stretch>
          <a:fillRect/>
        </a:stretch>
      </xdr:blipFill>
      <xdr:spPr>
        <a:xfrm>
          <a:off x="7264400" y="2821400250"/>
          <a:ext cx="878840" cy="1183640"/>
        </a:xfrm>
        <a:prstGeom prst="rect">
          <a:avLst/>
        </a:prstGeom>
      </xdr:spPr>
    </xdr:pic>
    <xdr:clientData/>
  </xdr:twoCellAnchor>
  <xdr:twoCellAnchor>
    <xdr:from>
      <xdr:col>8</xdr:col>
      <xdr:colOff>6350</xdr:colOff>
      <xdr:row>2850</xdr:row>
      <xdr:rowOff>25400</xdr:rowOff>
    </xdr:from>
    <xdr:to>
      <xdr:col>8</xdr:col>
      <xdr:colOff>885190</xdr:colOff>
      <xdr:row>2850</xdr:row>
      <xdr:rowOff>1209040</xdr:rowOff>
    </xdr:to>
    <xdr:pic>
      <xdr:nvPicPr>
        <xdr:cNvPr id="6437" name="Изображение 6436" descr="resizeПП-00274473"/>
        <xdr:cNvPicPr>
          <a:picLocks noChangeAspect="1"/>
        </xdr:cNvPicPr>
      </xdr:nvPicPr>
      <xdr:blipFill>
        <a:blip xmlns:r="http://schemas.openxmlformats.org/officeDocument/2006/relationships" r:embed="rId2149"/>
        <a:stretch>
          <a:fillRect/>
        </a:stretch>
      </xdr:blipFill>
      <xdr:spPr>
        <a:xfrm>
          <a:off x="7264400" y="2822622625"/>
          <a:ext cx="878840" cy="1183640"/>
        </a:xfrm>
        <a:prstGeom prst="rect">
          <a:avLst/>
        </a:prstGeom>
      </xdr:spPr>
    </xdr:pic>
    <xdr:clientData/>
  </xdr:twoCellAnchor>
  <xdr:twoCellAnchor>
    <xdr:from>
      <xdr:col>8</xdr:col>
      <xdr:colOff>6350</xdr:colOff>
      <xdr:row>2851</xdr:row>
      <xdr:rowOff>25400</xdr:rowOff>
    </xdr:from>
    <xdr:to>
      <xdr:col>8</xdr:col>
      <xdr:colOff>885190</xdr:colOff>
      <xdr:row>2851</xdr:row>
      <xdr:rowOff>1209040</xdr:rowOff>
    </xdr:to>
    <xdr:pic>
      <xdr:nvPicPr>
        <xdr:cNvPr id="6438" name="Изображение 6437" descr="resizeПП-00274474"/>
        <xdr:cNvPicPr>
          <a:picLocks noChangeAspect="1"/>
        </xdr:cNvPicPr>
      </xdr:nvPicPr>
      <xdr:blipFill>
        <a:blip xmlns:r="http://schemas.openxmlformats.org/officeDocument/2006/relationships" r:embed="rId2150"/>
        <a:stretch>
          <a:fillRect/>
        </a:stretch>
      </xdr:blipFill>
      <xdr:spPr>
        <a:xfrm>
          <a:off x="7264400" y="2823845000"/>
          <a:ext cx="878840" cy="1183640"/>
        </a:xfrm>
        <a:prstGeom prst="rect">
          <a:avLst/>
        </a:prstGeom>
      </xdr:spPr>
    </xdr:pic>
    <xdr:clientData/>
  </xdr:twoCellAnchor>
  <xdr:twoCellAnchor>
    <xdr:from>
      <xdr:col>8</xdr:col>
      <xdr:colOff>6350</xdr:colOff>
      <xdr:row>2853</xdr:row>
      <xdr:rowOff>25400</xdr:rowOff>
    </xdr:from>
    <xdr:to>
      <xdr:col>8</xdr:col>
      <xdr:colOff>885190</xdr:colOff>
      <xdr:row>2853</xdr:row>
      <xdr:rowOff>1209040</xdr:rowOff>
    </xdr:to>
    <xdr:pic>
      <xdr:nvPicPr>
        <xdr:cNvPr id="6439" name="Изображение 6438" descr="resizeПП-00237433"/>
        <xdr:cNvPicPr>
          <a:picLocks noChangeAspect="1"/>
        </xdr:cNvPicPr>
      </xdr:nvPicPr>
      <xdr:blipFill>
        <a:blip xmlns:r="http://schemas.openxmlformats.org/officeDocument/2006/relationships" r:embed="rId2151"/>
        <a:stretch>
          <a:fillRect/>
        </a:stretch>
      </xdr:blipFill>
      <xdr:spPr>
        <a:xfrm>
          <a:off x="7264400" y="2825219775"/>
          <a:ext cx="878840" cy="1183640"/>
        </a:xfrm>
        <a:prstGeom prst="rect">
          <a:avLst/>
        </a:prstGeom>
      </xdr:spPr>
    </xdr:pic>
    <xdr:clientData/>
  </xdr:twoCellAnchor>
  <xdr:twoCellAnchor>
    <xdr:from>
      <xdr:col>8</xdr:col>
      <xdr:colOff>6350</xdr:colOff>
      <xdr:row>2854</xdr:row>
      <xdr:rowOff>25400</xdr:rowOff>
    </xdr:from>
    <xdr:to>
      <xdr:col>8</xdr:col>
      <xdr:colOff>885190</xdr:colOff>
      <xdr:row>2854</xdr:row>
      <xdr:rowOff>1209040</xdr:rowOff>
    </xdr:to>
    <xdr:pic>
      <xdr:nvPicPr>
        <xdr:cNvPr id="6440" name="Изображение 6439" descr="resizeПП-00237432"/>
        <xdr:cNvPicPr>
          <a:picLocks noChangeAspect="1"/>
        </xdr:cNvPicPr>
      </xdr:nvPicPr>
      <xdr:blipFill>
        <a:blip xmlns:r="http://schemas.openxmlformats.org/officeDocument/2006/relationships" r:embed="rId2152"/>
        <a:stretch>
          <a:fillRect/>
        </a:stretch>
      </xdr:blipFill>
      <xdr:spPr>
        <a:xfrm>
          <a:off x="7264400" y="2826442150"/>
          <a:ext cx="878840" cy="1183640"/>
        </a:xfrm>
        <a:prstGeom prst="rect">
          <a:avLst/>
        </a:prstGeom>
      </xdr:spPr>
    </xdr:pic>
    <xdr:clientData/>
  </xdr:twoCellAnchor>
  <xdr:twoCellAnchor>
    <xdr:from>
      <xdr:col>8</xdr:col>
      <xdr:colOff>6350</xdr:colOff>
      <xdr:row>2855</xdr:row>
      <xdr:rowOff>25400</xdr:rowOff>
    </xdr:from>
    <xdr:to>
      <xdr:col>8</xdr:col>
      <xdr:colOff>885190</xdr:colOff>
      <xdr:row>2855</xdr:row>
      <xdr:rowOff>1209040</xdr:rowOff>
    </xdr:to>
    <xdr:pic>
      <xdr:nvPicPr>
        <xdr:cNvPr id="6441" name="Изображение 6440" descr="resizeПП-00237431"/>
        <xdr:cNvPicPr>
          <a:picLocks noChangeAspect="1"/>
        </xdr:cNvPicPr>
      </xdr:nvPicPr>
      <xdr:blipFill>
        <a:blip xmlns:r="http://schemas.openxmlformats.org/officeDocument/2006/relationships" r:embed="rId2153"/>
        <a:stretch>
          <a:fillRect/>
        </a:stretch>
      </xdr:blipFill>
      <xdr:spPr>
        <a:xfrm>
          <a:off x="7264400" y="2827664525"/>
          <a:ext cx="878840" cy="1183640"/>
        </a:xfrm>
        <a:prstGeom prst="rect">
          <a:avLst/>
        </a:prstGeom>
      </xdr:spPr>
    </xdr:pic>
    <xdr:clientData/>
  </xdr:twoCellAnchor>
  <xdr:twoCellAnchor>
    <xdr:from>
      <xdr:col>8</xdr:col>
      <xdr:colOff>6350</xdr:colOff>
      <xdr:row>2858</xdr:row>
      <xdr:rowOff>25400</xdr:rowOff>
    </xdr:from>
    <xdr:to>
      <xdr:col>8</xdr:col>
      <xdr:colOff>885190</xdr:colOff>
      <xdr:row>2858</xdr:row>
      <xdr:rowOff>1209040</xdr:rowOff>
    </xdr:to>
    <xdr:pic>
      <xdr:nvPicPr>
        <xdr:cNvPr id="6442" name="Изображение 6441" descr="resizeПП-00274485"/>
        <xdr:cNvPicPr>
          <a:picLocks noChangeAspect="1"/>
        </xdr:cNvPicPr>
      </xdr:nvPicPr>
      <xdr:blipFill>
        <a:blip xmlns:r="http://schemas.openxmlformats.org/officeDocument/2006/relationships" r:embed="rId2154"/>
        <a:stretch>
          <a:fillRect/>
        </a:stretch>
      </xdr:blipFill>
      <xdr:spPr>
        <a:xfrm>
          <a:off x="7264400" y="2829191700"/>
          <a:ext cx="878840" cy="1183640"/>
        </a:xfrm>
        <a:prstGeom prst="rect">
          <a:avLst/>
        </a:prstGeom>
      </xdr:spPr>
    </xdr:pic>
    <xdr:clientData/>
  </xdr:twoCellAnchor>
  <xdr:twoCellAnchor>
    <xdr:from>
      <xdr:col>8</xdr:col>
      <xdr:colOff>6350</xdr:colOff>
      <xdr:row>2859</xdr:row>
      <xdr:rowOff>25400</xdr:rowOff>
    </xdr:from>
    <xdr:to>
      <xdr:col>8</xdr:col>
      <xdr:colOff>885190</xdr:colOff>
      <xdr:row>2859</xdr:row>
      <xdr:rowOff>1209040</xdr:rowOff>
    </xdr:to>
    <xdr:pic>
      <xdr:nvPicPr>
        <xdr:cNvPr id="6443" name="Изображение 6442" descr="resizeПП-00274487"/>
        <xdr:cNvPicPr>
          <a:picLocks noChangeAspect="1"/>
        </xdr:cNvPicPr>
      </xdr:nvPicPr>
      <xdr:blipFill>
        <a:blip xmlns:r="http://schemas.openxmlformats.org/officeDocument/2006/relationships" r:embed="rId2155"/>
        <a:stretch>
          <a:fillRect/>
        </a:stretch>
      </xdr:blipFill>
      <xdr:spPr>
        <a:xfrm>
          <a:off x="7264400" y="2830414075"/>
          <a:ext cx="878840" cy="1183640"/>
        </a:xfrm>
        <a:prstGeom prst="rect">
          <a:avLst/>
        </a:prstGeom>
      </xdr:spPr>
    </xdr:pic>
    <xdr:clientData/>
  </xdr:twoCellAnchor>
  <xdr:twoCellAnchor>
    <xdr:from>
      <xdr:col>8</xdr:col>
      <xdr:colOff>6350</xdr:colOff>
      <xdr:row>2860</xdr:row>
      <xdr:rowOff>25400</xdr:rowOff>
    </xdr:from>
    <xdr:to>
      <xdr:col>8</xdr:col>
      <xdr:colOff>885190</xdr:colOff>
      <xdr:row>2860</xdr:row>
      <xdr:rowOff>1209040</xdr:rowOff>
    </xdr:to>
    <xdr:pic>
      <xdr:nvPicPr>
        <xdr:cNvPr id="6444" name="Изображение 6443" descr="resizeПП-00274488"/>
        <xdr:cNvPicPr>
          <a:picLocks noChangeAspect="1"/>
        </xdr:cNvPicPr>
      </xdr:nvPicPr>
      <xdr:blipFill>
        <a:blip xmlns:r="http://schemas.openxmlformats.org/officeDocument/2006/relationships" r:embed="rId2156"/>
        <a:stretch>
          <a:fillRect/>
        </a:stretch>
      </xdr:blipFill>
      <xdr:spPr>
        <a:xfrm>
          <a:off x="7264400" y="2831636450"/>
          <a:ext cx="878840" cy="1183640"/>
        </a:xfrm>
        <a:prstGeom prst="rect">
          <a:avLst/>
        </a:prstGeom>
      </xdr:spPr>
    </xdr:pic>
    <xdr:clientData/>
  </xdr:twoCellAnchor>
  <xdr:twoCellAnchor>
    <xdr:from>
      <xdr:col>8</xdr:col>
      <xdr:colOff>6350</xdr:colOff>
      <xdr:row>2862</xdr:row>
      <xdr:rowOff>25400</xdr:rowOff>
    </xdr:from>
    <xdr:to>
      <xdr:col>8</xdr:col>
      <xdr:colOff>885190</xdr:colOff>
      <xdr:row>2862</xdr:row>
      <xdr:rowOff>1209040</xdr:rowOff>
    </xdr:to>
    <xdr:pic>
      <xdr:nvPicPr>
        <xdr:cNvPr id="6445" name="Изображение 6444" descr="resizeПП-00274490"/>
        <xdr:cNvPicPr>
          <a:picLocks noChangeAspect="1"/>
        </xdr:cNvPicPr>
      </xdr:nvPicPr>
      <xdr:blipFill>
        <a:blip xmlns:r="http://schemas.openxmlformats.org/officeDocument/2006/relationships" r:embed="rId2157"/>
        <a:stretch>
          <a:fillRect/>
        </a:stretch>
      </xdr:blipFill>
      <xdr:spPr>
        <a:xfrm>
          <a:off x="7264400" y="2833011225"/>
          <a:ext cx="878840" cy="1183640"/>
        </a:xfrm>
        <a:prstGeom prst="rect">
          <a:avLst/>
        </a:prstGeom>
      </xdr:spPr>
    </xdr:pic>
    <xdr:clientData/>
  </xdr:twoCellAnchor>
  <xdr:twoCellAnchor>
    <xdr:from>
      <xdr:col>8</xdr:col>
      <xdr:colOff>6350</xdr:colOff>
      <xdr:row>2863</xdr:row>
      <xdr:rowOff>25400</xdr:rowOff>
    </xdr:from>
    <xdr:to>
      <xdr:col>8</xdr:col>
      <xdr:colOff>885190</xdr:colOff>
      <xdr:row>2863</xdr:row>
      <xdr:rowOff>1209040</xdr:rowOff>
    </xdr:to>
    <xdr:pic>
      <xdr:nvPicPr>
        <xdr:cNvPr id="6446" name="Изображение 6445" descr="resizeПП-00274491"/>
        <xdr:cNvPicPr>
          <a:picLocks noChangeAspect="1"/>
        </xdr:cNvPicPr>
      </xdr:nvPicPr>
      <xdr:blipFill>
        <a:blip xmlns:r="http://schemas.openxmlformats.org/officeDocument/2006/relationships" r:embed="rId2158"/>
        <a:stretch>
          <a:fillRect/>
        </a:stretch>
      </xdr:blipFill>
      <xdr:spPr>
        <a:xfrm>
          <a:off x="7264400" y="2834233600"/>
          <a:ext cx="878840" cy="1183640"/>
        </a:xfrm>
        <a:prstGeom prst="rect">
          <a:avLst/>
        </a:prstGeom>
      </xdr:spPr>
    </xdr:pic>
    <xdr:clientData/>
  </xdr:twoCellAnchor>
  <xdr:twoCellAnchor>
    <xdr:from>
      <xdr:col>8</xdr:col>
      <xdr:colOff>6350</xdr:colOff>
      <xdr:row>2864</xdr:row>
      <xdr:rowOff>25400</xdr:rowOff>
    </xdr:from>
    <xdr:to>
      <xdr:col>8</xdr:col>
      <xdr:colOff>885190</xdr:colOff>
      <xdr:row>2864</xdr:row>
      <xdr:rowOff>1209040</xdr:rowOff>
    </xdr:to>
    <xdr:pic>
      <xdr:nvPicPr>
        <xdr:cNvPr id="6447" name="Изображение 6446" descr="resizeПП-00274493"/>
        <xdr:cNvPicPr>
          <a:picLocks noChangeAspect="1"/>
        </xdr:cNvPicPr>
      </xdr:nvPicPr>
      <xdr:blipFill>
        <a:blip xmlns:r="http://schemas.openxmlformats.org/officeDocument/2006/relationships" r:embed="rId2159"/>
        <a:stretch>
          <a:fillRect/>
        </a:stretch>
      </xdr:blipFill>
      <xdr:spPr>
        <a:xfrm>
          <a:off x="7264400" y="2835455975"/>
          <a:ext cx="878840" cy="1183640"/>
        </a:xfrm>
        <a:prstGeom prst="rect">
          <a:avLst/>
        </a:prstGeom>
      </xdr:spPr>
    </xdr:pic>
    <xdr:clientData/>
  </xdr:twoCellAnchor>
  <xdr:twoCellAnchor>
    <xdr:from>
      <xdr:col>8</xdr:col>
      <xdr:colOff>6350</xdr:colOff>
      <xdr:row>2866</xdr:row>
      <xdr:rowOff>25400</xdr:rowOff>
    </xdr:from>
    <xdr:to>
      <xdr:col>8</xdr:col>
      <xdr:colOff>885190</xdr:colOff>
      <xdr:row>2866</xdr:row>
      <xdr:rowOff>1209040</xdr:rowOff>
    </xdr:to>
    <xdr:pic>
      <xdr:nvPicPr>
        <xdr:cNvPr id="6448" name="Изображение 6447" descr="resizeПП-00274495"/>
        <xdr:cNvPicPr>
          <a:picLocks noChangeAspect="1"/>
        </xdr:cNvPicPr>
      </xdr:nvPicPr>
      <xdr:blipFill>
        <a:blip xmlns:r="http://schemas.openxmlformats.org/officeDocument/2006/relationships" r:embed="rId2160"/>
        <a:stretch>
          <a:fillRect/>
        </a:stretch>
      </xdr:blipFill>
      <xdr:spPr>
        <a:xfrm>
          <a:off x="7264400" y="2836830750"/>
          <a:ext cx="878840" cy="1183640"/>
        </a:xfrm>
        <a:prstGeom prst="rect">
          <a:avLst/>
        </a:prstGeom>
      </xdr:spPr>
    </xdr:pic>
    <xdr:clientData/>
  </xdr:twoCellAnchor>
  <xdr:twoCellAnchor>
    <xdr:from>
      <xdr:col>8</xdr:col>
      <xdr:colOff>6350</xdr:colOff>
      <xdr:row>2867</xdr:row>
      <xdr:rowOff>25400</xdr:rowOff>
    </xdr:from>
    <xdr:to>
      <xdr:col>8</xdr:col>
      <xdr:colOff>885190</xdr:colOff>
      <xdr:row>2867</xdr:row>
      <xdr:rowOff>1209040</xdr:rowOff>
    </xdr:to>
    <xdr:pic>
      <xdr:nvPicPr>
        <xdr:cNvPr id="6449" name="Изображение 6448" descr="resizeПП-00274497"/>
        <xdr:cNvPicPr>
          <a:picLocks noChangeAspect="1"/>
        </xdr:cNvPicPr>
      </xdr:nvPicPr>
      <xdr:blipFill>
        <a:blip xmlns:r="http://schemas.openxmlformats.org/officeDocument/2006/relationships" r:embed="rId2161"/>
        <a:stretch>
          <a:fillRect/>
        </a:stretch>
      </xdr:blipFill>
      <xdr:spPr>
        <a:xfrm>
          <a:off x="7264400" y="2838053125"/>
          <a:ext cx="878840" cy="1183640"/>
        </a:xfrm>
        <a:prstGeom prst="rect">
          <a:avLst/>
        </a:prstGeom>
      </xdr:spPr>
    </xdr:pic>
    <xdr:clientData/>
  </xdr:twoCellAnchor>
  <xdr:twoCellAnchor>
    <xdr:from>
      <xdr:col>8</xdr:col>
      <xdr:colOff>6350</xdr:colOff>
      <xdr:row>2868</xdr:row>
      <xdr:rowOff>25400</xdr:rowOff>
    </xdr:from>
    <xdr:to>
      <xdr:col>8</xdr:col>
      <xdr:colOff>885190</xdr:colOff>
      <xdr:row>2868</xdr:row>
      <xdr:rowOff>1209040</xdr:rowOff>
    </xdr:to>
    <xdr:pic>
      <xdr:nvPicPr>
        <xdr:cNvPr id="6450" name="Изображение 6449" descr="resizeПП-00274499"/>
        <xdr:cNvPicPr>
          <a:picLocks noChangeAspect="1"/>
        </xdr:cNvPicPr>
      </xdr:nvPicPr>
      <xdr:blipFill>
        <a:blip xmlns:r="http://schemas.openxmlformats.org/officeDocument/2006/relationships" r:embed="rId2162"/>
        <a:stretch>
          <a:fillRect/>
        </a:stretch>
      </xdr:blipFill>
      <xdr:spPr>
        <a:xfrm>
          <a:off x="7264400" y="2839275500"/>
          <a:ext cx="878840" cy="1183640"/>
        </a:xfrm>
        <a:prstGeom prst="rect">
          <a:avLst/>
        </a:prstGeom>
      </xdr:spPr>
    </xdr:pic>
    <xdr:clientData/>
  </xdr:twoCellAnchor>
  <xdr:twoCellAnchor>
    <xdr:from>
      <xdr:col>8</xdr:col>
      <xdr:colOff>6350</xdr:colOff>
      <xdr:row>2870</xdr:row>
      <xdr:rowOff>25400</xdr:rowOff>
    </xdr:from>
    <xdr:to>
      <xdr:col>8</xdr:col>
      <xdr:colOff>885190</xdr:colOff>
      <xdr:row>2870</xdr:row>
      <xdr:rowOff>1209040</xdr:rowOff>
    </xdr:to>
    <xdr:pic>
      <xdr:nvPicPr>
        <xdr:cNvPr id="6451" name="Изображение 6450" descr="resizeПП-00235291"/>
        <xdr:cNvPicPr>
          <a:picLocks noChangeAspect="1"/>
        </xdr:cNvPicPr>
      </xdr:nvPicPr>
      <xdr:blipFill>
        <a:blip xmlns:r="http://schemas.openxmlformats.org/officeDocument/2006/relationships" r:embed="rId2163"/>
        <a:stretch>
          <a:fillRect/>
        </a:stretch>
      </xdr:blipFill>
      <xdr:spPr>
        <a:xfrm>
          <a:off x="7264400" y="2840650275"/>
          <a:ext cx="878840" cy="1183640"/>
        </a:xfrm>
        <a:prstGeom prst="rect">
          <a:avLst/>
        </a:prstGeom>
      </xdr:spPr>
    </xdr:pic>
    <xdr:clientData/>
  </xdr:twoCellAnchor>
  <xdr:twoCellAnchor>
    <xdr:from>
      <xdr:col>8</xdr:col>
      <xdr:colOff>6350</xdr:colOff>
      <xdr:row>2871</xdr:row>
      <xdr:rowOff>25400</xdr:rowOff>
    </xdr:from>
    <xdr:to>
      <xdr:col>8</xdr:col>
      <xdr:colOff>885190</xdr:colOff>
      <xdr:row>2871</xdr:row>
      <xdr:rowOff>1209040</xdr:rowOff>
    </xdr:to>
    <xdr:pic>
      <xdr:nvPicPr>
        <xdr:cNvPr id="6452" name="Изображение 6451" descr="resizeПП-00239021"/>
        <xdr:cNvPicPr>
          <a:picLocks noChangeAspect="1"/>
        </xdr:cNvPicPr>
      </xdr:nvPicPr>
      <xdr:blipFill>
        <a:blip xmlns:r="http://schemas.openxmlformats.org/officeDocument/2006/relationships" r:embed="rId2164"/>
        <a:stretch>
          <a:fillRect/>
        </a:stretch>
      </xdr:blipFill>
      <xdr:spPr>
        <a:xfrm>
          <a:off x="7264400" y="2841872650"/>
          <a:ext cx="878840" cy="1183640"/>
        </a:xfrm>
        <a:prstGeom prst="rect">
          <a:avLst/>
        </a:prstGeom>
      </xdr:spPr>
    </xdr:pic>
    <xdr:clientData/>
  </xdr:twoCellAnchor>
  <xdr:twoCellAnchor>
    <xdr:from>
      <xdr:col>8</xdr:col>
      <xdr:colOff>6350</xdr:colOff>
      <xdr:row>2872</xdr:row>
      <xdr:rowOff>25400</xdr:rowOff>
    </xdr:from>
    <xdr:to>
      <xdr:col>8</xdr:col>
      <xdr:colOff>885190</xdr:colOff>
      <xdr:row>2872</xdr:row>
      <xdr:rowOff>1209040</xdr:rowOff>
    </xdr:to>
    <xdr:pic>
      <xdr:nvPicPr>
        <xdr:cNvPr id="6453" name="Изображение 6452" descr="resizeПП-00239022"/>
        <xdr:cNvPicPr>
          <a:picLocks noChangeAspect="1"/>
        </xdr:cNvPicPr>
      </xdr:nvPicPr>
      <xdr:blipFill>
        <a:blip xmlns:r="http://schemas.openxmlformats.org/officeDocument/2006/relationships" r:embed="rId2165"/>
        <a:stretch>
          <a:fillRect/>
        </a:stretch>
      </xdr:blipFill>
      <xdr:spPr>
        <a:xfrm>
          <a:off x="7264400" y="2843095025"/>
          <a:ext cx="878840" cy="1183640"/>
        </a:xfrm>
        <a:prstGeom prst="rect">
          <a:avLst/>
        </a:prstGeom>
      </xdr:spPr>
    </xdr:pic>
    <xdr:clientData/>
  </xdr:twoCellAnchor>
  <xdr:twoCellAnchor>
    <xdr:from>
      <xdr:col>8</xdr:col>
      <xdr:colOff>6350</xdr:colOff>
      <xdr:row>2873</xdr:row>
      <xdr:rowOff>25400</xdr:rowOff>
    </xdr:from>
    <xdr:to>
      <xdr:col>8</xdr:col>
      <xdr:colOff>885190</xdr:colOff>
      <xdr:row>2873</xdr:row>
      <xdr:rowOff>1209040</xdr:rowOff>
    </xdr:to>
    <xdr:pic>
      <xdr:nvPicPr>
        <xdr:cNvPr id="6454" name="Изображение 6453" descr="resizeПП-00239023"/>
        <xdr:cNvPicPr>
          <a:picLocks noChangeAspect="1"/>
        </xdr:cNvPicPr>
      </xdr:nvPicPr>
      <xdr:blipFill>
        <a:blip xmlns:r="http://schemas.openxmlformats.org/officeDocument/2006/relationships" r:embed="rId2166"/>
        <a:stretch>
          <a:fillRect/>
        </a:stretch>
      </xdr:blipFill>
      <xdr:spPr>
        <a:xfrm>
          <a:off x="7264400" y="2844317400"/>
          <a:ext cx="878840" cy="1183640"/>
        </a:xfrm>
        <a:prstGeom prst="rect">
          <a:avLst/>
        </a:prstGeom>
      </xdr:spPr>
    </xdr:pic>
    <xdr:clientData/>
  </xdr:twoCellAnchor>
  <xdr:twoCellAnchor>
    <xdr:from>
      <xdr:col>8</xdr:col>
      <xdr:colOff>6350</xdr:colOff>
      <xdr:row>2876</xdr:row>
      <xdr:rowOff>25400</xdr:rowOff>
    </xdr:from>
    <xdr:to>
      <xdr:col>8</xdr:col>
      <xdr:colOff>885190</xdr:colOff>
      <xdr:row>2876</xdr:row>
      <xdr:rowOff>1209040</xdr:rowOff>
    </xdr:to>
    <xdr:pic>
      <xdr:nvPicPr>
        <xdr:cNvPr id="6455" name="Изображение 6454" descr="resizeПП-00256681"/>
        <xdr:cNvPicPr>
          <a:picLocks noChangeAspect="1"/>
        </xdr:cNvPicPr>
      </xdr:nvPicPr>
      <xdr:blipFill>
        <a:blip xmlns:r="http://schemas.openxmlformats.org/officeDocument/2006/relationships" r:embed="rId2167"/>
        <a:stretch>
          <a:fillRect/>
        </a:stretch>
      </xdr:blipFill>
      <xdr:spPr>
        <a:xfrm>
          <a:off x="7264400" y="2845844575"/>
          <a:ext cx="878840" cy="1183640"/>
        </a:xfrm>
        <a:prstGeom prst="rect">
          <a:avLst/>
        </a:prstGeom>
      </xdr:spPr>
    </xdr:pic>
    <xdr:clientData/>
  </xdr:twoCellAnchor>
  <xdr:twoCellAnchor>
    <xdr:from>
      <xdr:col>8</xdr:col>
      <xdr:colOff>6350</xdr:colOff>
      <xdr:row>2877</xdr:row>
      <xdr:rowOff>25400</xdr:rowOff>
    </xdr:from>
    <xdr:to>
      <xdr:col>8</xdr:col>
      <xdr:colOff>885190</xdr:colOff>
      <xdr:row>2877</xdr:row>
      <xdr:rowOff>1209040</xdr:rowOff>
    </xdr:to>
    <xdr:pic>
      <xdr:nvPicPr>
        <xdr:cNvPr id="6456" name="Изображение 6455" descr="resizeПП-00274435"/>
        <xdr:cNvPicPr>
          <a:picLocks noChangeAspect="1"/>
        </xdr:cNvPicPr>
      </xdr:nvPicPr>
      <xdr:blipFill>
        <a:blip xmlns:r="http://schemas.openxmlformats.org/officeDocument/2006/relationships" r:embed="rId2168"/>
        <a:stretch>
          <a:fillRect/>
        </a:stretch>
      </xdr:blipFill>
      <xdr:spPr>
        <a:xfrm>
          <a:off x="7264400" y="2847066950"/>
          <a:ext cx="878840" cy="1183640"/>
        </a:xfrm>
        <a:prstGeom prst="rect">
          <a:avLst/>
        </a:prstGeom>
      </xdr:spPr>
    </xdr:pic>
    <xdr:clientData/>
  </xdr:twoCellAnchor>
  <xdr:twoCellAnchor>
    <xdr:from>
      <xdr:col>8</xdr:col>
      <xdr:colOff>6350</xdr:colOff>
      <xdr:row>2878</xdr:row>
      <xdr:rowOff>25400</xdr:rowOff>
    </xdr:from>
    <xdr:to>
      <xdr:col>8</xdr:col>
      <xdr:colOff>885190</xdr:colOff>
      <xdr:row>2878</xdr:row>
      <xdr:rowOff>1209040</xdr:rowOff>
    </xdr:to>
    <xdr:pic>
      <xdr:nvPicPr>
        <xdr:cNvPr id="6457" name="Изображение 6456" descr="resizeПП-00274436"/>
        <xdr:cNvPicPr>
          <a:picLocks noChangeAspect="1"/>
        </xdr:cNvPicPr>
      </xdr:nvPicPr>
      <xdr:blipFill>
        <a:blip xmlns:r="http://schemas.openxmlformats.org/officeDocument/2006/relationships" r:embed="rId2169"/>
        <a:stretch>
          <a:fillRect/>
        </a:stretch>
      </xdr:blipFill>
      <xdr:spPr>
        <a:xfrm>
          <a:off x="7264400" y="2848289325"/>
          <a:ext cx="878840" cy="1183640"/>
        </a:xfrm>
        <a:prstGeom prst="rect">
          <a:avLst/>
        </a:prstGeom>
      </xdr:spPr>
    </xdr:pic>
    <xdr:clientData/>
  </xdr:twoCellAnchor>
  <xdr:twoCellAnchor>
    <xdr:from>
      <xdr:col>8</xdr:col>
      <xdr:colOff>6350</xdr:colOff>
      <xdr:row>2879</xdr:row>
      <xdr:rowOff>25400</xdr:rowOff>
    </xdr:from>
    <xdr:to>
      <xdr:col>8</xdr:col>
      <xdr:colOff>885190</xdr:colOff>
      <xdr:row>2879</xdr:row>
      <xdr:rowOff>1209040</xdr:rowOff>
    </xdr:to>
    <xdr:pic>
      <xdr:nvPicPr>
        <xdr:cNvPr id="6458" name="Изображение 6457" descr="resizeПП-00274432"/>
        <xdr:cNvPicPr>
          <a:picLocks noChangeAspect="1"/>
        </xdr:cNvPicPr>
      </xdr:nvPicPr>
      <xdr:blipFill>
        <a:blip xmlns:r="http://schemas.openxmlformats.org/officeDocument/2006/relationships" r:embed="rId2170"/>
        <a:stretch>
          <a:fillRect/>
        </a:stretch>
      </xdr:blipFill>
      <xdr:spPr>
        <a:xfrm>
          <a:off x="7264400" y="2849511700"/>
          <a:ext cx="878840" cy="1183640"/>
        </a:xfrm>
        <a:prstGeom prst="rect">
          <a:avLst/>
        </a:prstGeom>
      </xdr:spPr>
    </xdr:pic>
    <xdr:clientData/>
  </xdr:twoCellAnchor>
  <xdr:twoCellAnchor>
    <xdr:from>
      <xdr:col>8</xdr:col>
      <xdr:colOff>6350</xdr:colOff>
      <xdr:row>2881</xdr:row>
      <xdr:rowOff>25400</xdr:rowOff>
    </xdr:from>
    <xdr:to>
      <xdr:col>8</xdr:col>
      <xdr:colOff>885190</xdr:colOff>
      <xdr:row>2881</xdr:row>
      <xdr:rowOff>1209040</xdr:rowOff>
    </xdr:to>
    <xdr:pic>
      <xdr:nvPicPr>
        <xdr:cNvPr id="6459" name="Изображение 6458" descr="resizeПП-00262397"/>
        <xdr:cNvPicPr>
          <a:picLocks noChangeAspect="1"/>
        </xdr:cNvPicPr>
      </xdr:nvPicPr>
      <xdr:blipFill>
        <a:blip xmlns:r="http://schemas.openxmlformats.org/officeDocument/2006/relationships" r:embed="rId2171"/>
        <a:stretch>
          <a:fillRect/>
        </a:stretch>
      </xdr:blipFill>
      <xdr:spPr>
        <a:xfrm>
          <a:off x="7264400" y="2850886475"/>
          <a:ext cx="878840" cy="1183640"/>
        </a:xfrm>
        <a:prstGeom prst="rect">
          <a:avLst/>
        </a:prstGeom>
      </xdr:spPr>
    </xdr:pic>
    <xdr:clientData/>
  </xdr:twoCellAnchor>
  <xdr:twoCellAnchor>
    <xdr:from>
      <xdr:col>8</xdr:col>
      <xdr:colOff>6350</xdr:colOff>
      <xdr:row>2882</xdr:row>
      <xdr:rowOff>25400</xdr:rowOff>
    </xdr:from>
    <xdr:to>
      <xdr:col>8</xdr:col>
      <xdr:colOff>885190</xdr:colOff>
      <xdr:row>2882</xdr:row>
      <xdr:rowOff>1209040</xdr:rowOff>
    </xdr:to>
    <xdr:pic>
      <xdr:nvPicPr>
        <xdr:cNvPr id="6460" name="Изображение 6459" descr="resizeПП-00257867"/>
        <xdr:cNvPicPr>
          <a:picLocks noChangeAspect="1"/>
        </xdr:cNvPicPr>
      </xdr:nvPicPr>
      <xdr:blipFill>
        <a:blip xmlns:r="http://schemas.openxmlformats.org/officeDocument/2006/relationships" r:embed="rId2172"/>
        <a:stretch>
          <a:fillRect/>
        </a:stretch>
      </xdr:blipFill>
      <xdr:spPr>
        <a:xfrm>
          <a:off x="7264400" y="2852108850"/>
          <a:ext cx="878840" cy="1183640"/>
        </a:xfrm>
        <a:prstGeom prst="rect">
          <a:avLst/>
        </a:prstGeom>
      </xdr:spPr>
    </xdr:pic>
    <xdr:clientData/>
  </xdr:twoCellAnchor>
  <xdr:twoCellAnchor>
    <xdr:from>
      <xdr:col>8</xdr:col>
      <xdr:colOff>6350</xdr:colOff>
      <xdr:row>2883</xdr:row>
      <xdr:rowOff>25400</xdr:rowOff>
    </xdr:from>
    <xdr:to>
      <xdr:col>8</xdr:col>
      <xdr:colOff>885190</xdr:colOff>
      <xdr:row>2883</xdr:row>
      <xdr:rowOff>1209040</xdr:rowOff>
    </xdr:to>
    <xdr:pic>
      <xdr:nvPicPr>
        <xdr:cNvPr id="6461" name="Изображение 6460" descr="resizeПП-00275218"/>
        <xdr:cNvPicPr>
          <a:picLocks noChangeAspect="1"/>
        </xdr:cNvPicPr>
      </xdr:nvPicPr>
      <xdr:blipFill>
        <a:blip xmlns:r="http://schemas.openxmlformats.org/officeDocument/2006/relationships" r:embed="rId2173"/>
        <a:stretch>
          <a:fillRect/>
        </a:stretch>
      </xdr:blipFill>
      <xdr:spPr>
        <a:xfrm>
          <a:off x="7264400" y="2853331225"/>
          <a:ext cx="878840" cy="1183640"/>
        </a:xfrm>
        <a:prstGeom prst="rect">
          <a:avLst/>
        </a:prstGeom>
      </xdr:spPr>
    </xdr:pic>
    <xdr:clientData/>
  </xdr:twoCellAnchor>
  <xdr:twoCellAnchor>
    <xdr:from>
      <xdr:col>8</xdr:col>
      <xdr:colOff>6350</xdr:colOff>
      <xdr:row>2884</xdr:row>
      <xdr:rowOff>25400</xdr:rowOff>
    </xdr:from>
    <xdr:to>
      <xdr:col>8</xdr:col>
      <xdr:colOff>885190</xdr:colOff>
      <xdr:row>2884</xdr:row>
      <xdr:rowOff>1209040</xdr:rowOff>
    </xdr:to>
    <xdr:pic>
      <xdr:nvPicPr>
        <xdr:cNvPr id="6462" name="Изображение 6461" descr="resizeПП-00235283"/>
        <xdr:cNvPicPr>
          <a:picLocks noChangeAspect="1"/>
        </xdr:cNvPicPr>
      </xdr:nvPicPr>
      <xdr:blipFill>
        <a:blip xmlns:r="http://schemas.openxmlformats.org/officeDocument/2006/relationships" r:embed="rId2174"/>
        <a:stretch>
          <a:fillRect/>
        </a:stretch>
      </xdr:blipFill>
      <xdr:spPr>
        <a:xfrm>
          <a:off x="7264400" y="2854553600"/>
          <a:ext cx="878840" cy="1183640"/>
        </a:xfrm>
        <a:prstGeom prst="rect">
          <a:avLst/>
        </a:prstGeom>
      </xdr:spPr>
    </xdr:pic>
    <xdr:clientData/>
  </xdr:twoCellAnchor>
  <xdr:twoCellAnchor>
    <xdr:from>
      <xdr:col>8</xdr:col>
      <xdr:colOff>6350</xdr:colOff>
      <xdr:row>2885</xdr:row>
      <xdr:rowOff>25400</xdr:rowOff>
    </xdr:from>
    <xdr:to>
      <xdr:col>8</xdr:col>
      <xdr:colOff>885190</xdr:colOff>
      <xdr:row>2885</xdr:row>
      <xdr:rowOff>1209040</xdr:rowOff>
    </xdr:to>
    <xdr:pic>
      <xdr:nvPicPr>
        <xdr:cNvPr id="6463" name="Изображение 6462" descr="resizeПП-00257869"/>
        <xdr:cNvPicPr>
          <a:picLocks noChangeAspect="1"/>
        </xdr:cNvPicPr>
      </xdr:nvPicPr>
      <xdr:blipFill>
        <a:blip xmlns:r="http://schemas.openxmlformats.org/officeDocument/2006/relationships" r:embed="rId2175"/>
        <a:stretch>
          <a:fillRect/>
        </a:stretch>
      </xdr:blipFill>
      <xdr:spPr>
        <a:xfrm>
          <a:off x="7264400" y="2855775975"/>
          <a:ext cx="878840" cy="1183640"/>
        </a:xfrm>
        <a:prstGeom prst="rect">
          <a:avLst/>
        </a:prstGeom>
      </xdr:spPr>
    </xdr:pic>
    <xdr:clientData/>
  </xdr:twoCellAnchor>
  <xdr:twoCellAnchor>
    <xdr:from>
      <xdr:col>8</xdr:col>
      <xdr:colOff>6350</xdr:colOff>
      <xdr:row>2886</xdr:row>
      <xdr:rowOff>25400</xdr:rowOff>
    </xdr:from>
    <xdr:to>
      <xdr:col>8</xdr:col>
      <xdr:colOff>885190</xdr:colOff>
      <xdr:row>2886</xdr:row>
      <xdr:rowOff>1209040</xdr:rowOff>
    </xdr:to>
    <xdr:pic>
      <xdr:nvPicPr>
        <xdr:cNvPr id="6464" name="Изображение 6463" descr="resizeПП-00235288"/>
        <xdr:cNvPicPr>
          <a:picLocks noChangeAspect="1"/>
        </xdr:cNvPicPr>
      </xdr:nvPicPr>
      <xdr:blipFill>
        <a:blip xmlns:r="http://schemas.openxmlformats.org/officeDocument/2006/relationships" r:embed="rId2176"/>
        <a:stretch>
          <a:fillRect/>
        </a:stretch>
      </xdr:blipFill>
      <xdr:spPr>
        <a:xfrm>
          <a:off x="7264400" y="2856998350"/>
          <a:ext cx="878840" cy="1183640"/>
        </a:xfrm>
        <a:prstGeom prst="rect">
          <a:avLst/>
        </a:prstGeom>
      </xdr:spPr>
    </xdr:pic>
    <xdr:clientData/>
  </xdr:twoCellAnchor>
  <xdr:twoCellAnchor>
    <xdr:from>
      <xdr:col>8</xdr:col>
      <xdr:colOff>6350</xdr:colOff>
      <xdr:row>2887</xdr:row>
      <xdr:rowOff>25400</xdr:rowOff>
    </xdr:from>
    <xdr:to>
      <xdr:col>8</xdr:col>
      <xdr:colOff>885190</xdr:colOff>
      <xdr:row>2887</xdr:row>
      <xdr:rowOff>1209040</xdr:rowOff>
    </xdr:to>
    <xdr:pic>
      <xdr:nvPicPr>
        <xdr:cNvPr id="6465" name="Изображение 6464" descr="resizeПП-00235287"/>
        <xdr:cNvPicPr>
          <a:picLocks noChangeAspect="1"/>
        </xdr:cNvPicPr>
      </xdr:nvPicPr>
      <xdr:blipFill>
        <a:blip xmlns:r="http://schemas.openxmlformats.org/officeDocument/2006/relationships" r:embed="rId2177"/>
        <a:stretch>
          <a:fillRect/>
        </a:stretch>
      </xdr:blipFill>
      <xdr:spPr>
        <a:xfrm>
          <a:off x="7264400" y="2858220725"/>
          <a:ext cx="878840" cy="1183640"/>
        </a:xfrm>
        <a:prstGeom prst="rect">
          <a:avLst/>
        </a:prstGeom>
      </xdr:spPr>
    </xdr:pic>
    <xdr:clientData/>
  </xdr:twoCellAnchor>
  <xdr:twoCellAnchor>
    <xdr:from>
      <xdr:col>8</xdr:col>
      <xdr:colOff>6350</xdr:colOff>
      <xdr:row>2888</xdr:row>
      <xdr:rowOff>25400</xdr:rowOff>
    </xdr:from>
    <xdr:to>
      <xdr:col>8</xdr:col>
      <xdr:colOff>885190</xdr:colOff>
      <xdr:row>2888</xdr:row>
      <xdr:rowOff>1209040</xdr:rowOff>
    </xdr:to>
    <xdr:pic>
      <xdr:nvPicPr>
        <xdr:cNvPr id="6466" name="Изображение 6465" descr="resizeПП-00257871"/>
        <xdr:cNvPicPr>
          <a:picLocks noChangeAspect="1"/>
        </xdr:cNvPicPr>
      </xdr:nvPicPr>
      <xdr:blipFill>
        <a:blip xmlns:r="http://schemas.openxmlformats.org/officeDocument/2006/relationships" r:embed="rId2178"/>
        <a:stretch>
          <a:fillRect/>
        </a:stretch>
      </xdr:blipFill>
      <xdr:spPr>
        <a:xfrm>
          <a:off x="7264400" y="2859443100"/>
          <a:ext cx="878840" cy="1183640"/>
        </a:xfrm>
        <a:prstGeom prst="rect">
          <a:avLst/>
        </a:prstGeom>
      </xdr:spPr>
    </xdr:pic>
    <xdr:clientData/>
  </xdr:twoCellAnchor>
  <xdr:twoCellAnchor>
    <xdr:from>
      <xdr:col>8</xdr:col>
      <xdr:colOff>6350</xdr:colOff>
      <xdr:row>2889</xdr:row>
      <xdr:rowOff>25400</xdr:rowOff>
    </xdr:from>
    <xdr:to>
      <xdr:col>8</xdr:col>
      <xdr:colOff>885190</xdr:colOff>
      <xdr:row>2889</xdr:row>
      <xdr:rowOff>1209040</xdr:rowOff>
    </xdr:to>
    <xdr:pic>
      <xdr:nvPicPr>
        <xdr:cNvPr id="6467" name="Изображение 6466" descr="resizeПП-00257855"/>
        <xdr:cNvPicPr>
          <a:picLocks noChangeAspect="1"/>
        </xdr:cNvPicPr>
      </xdr:nvPicPr>
      <xdr:blipFill>
        <a:blip xmlns:r="http://schemas.openxmlformats.org/officeDocument/2006/relationships" r:embed="rId2179"/>
        <a:stretch>
          <a:fillRect/>
        </a:stretch>
      </xdr:blipFill>
      <xdr:spPr>
        <a:xfrm>
          <a:off x="7264400" y="2860665475"/>
          <a:ext cx="878840" cy="1183640"/>
        </a:xfrm>
        <a:prstGeom prst="rect">
          <a:avLst/>
        </a:prstGeom>
      </xdr:spPr>
    </xdr:pic>
    <xdr:clientData/>
  </xdr:twoCellAnchor>
  <xdr:twoCellAnchor>
    <xdr:from>
      <xdr:col>8</xdr:col>
      <xdr:colOff>6350</xdr:colOff>
      <xdr:row>2890</xdr:row>
      <xdr:rowOff>25400</xdr:rowOff>
    </xdr:from>
    <xdr:to>
      <xdr:col>8</xdr:col>
      <xdr:colOff>1189990</xdr:colOff>
      <xdr:row>2890</xdr:row>
      <xdr:rowOff>904240</xdr:rowOff>
    </xdr:to>
    <xdr:pic>
      <xdr:nvPicPr>
        <xdr:cNvPr id="6468" name="Изображение 6467" descr="resizeПП-00275253"/>
        <xdr:cNvPicPr>
          <a:picLocks noChangeAspect="1"/>
        </xdr:cNvPicPr>
      </xdr:nvPicPr>
      <xdr:blipFill>
        <a:blip xmlns:r="http://schemas.openxmlformats.org/officeDocument/2006/relationships" r:embed="rId2180"/>
        <a:stretch>
          <a:fillRect/>
        </a:stretch>
      </xdr:blipFill>
      <xdr:spPr>
        <a:xfrm>
          <a:off x="7264400" y="2861887850"/>
          <a:ext cx="1183640" cy="878840"/>
        </a:xfrm>
        <a:prstGeom prst="rect">
          <a:avLst/>
        </a:prstGeom>
      </xdr:spPr>
    </xdr:pic>
    <xdr:clientData/>
  </xdr:twoCellAnchor>
  <xdr:twoCellAnchor>
    <xdr:from>
      <xdr:col>8</xdr:col>
      <xdr:colOff>6350</xdr:colOff>
      <xdr:row>2891</xdr:row>
      <xdr:rowOff>25400</xdr:rowOff>
    </xdr:from>
    <xdr:to>
      <xdr:col>8</xdr:col>
      <xdr:colOff>885190</xdr:colOff>
      <xdr:row>2891</xdr:row>
      <xdr:rowOff>1209040</xdr:rowOff>
    </xdr:to>
    <xdr:pic>
      <xdr:nvPicPr>
        <xdr:cNvPr id="6469" name="Изображение 6468" descr="resizeПП-00275252"/>
        <xdr:cNvPicPr>
          <a:picLocks noChangeAspect="1"/>
        </xdr:cNvPicPr>
      </xdr:nvPicPr>
      <xdr:blipFill>
        <a:blip xmlns:r="http://schemas.openxmlformats.org/officeDocument/2006/relationships" r:embed="rId2181"/>
        <a:stretch>
          <a:fillRect/>
        </a:stretch>
      </xdr:blipFill>
      <xdr:spPr>
        <a:xfrm>
          <a:off x="7264400" y="2863110225"/>
          <a:ext cx="878840" cy="1183640"/>
        </a:xfrm>
        <a:prstGeom prst="rect">
          <a:avLst/>
        </a:prstGeom>
      </xdr:spPr>
    </xdr:pic>
    <xdr:clientData/>
  </xdr:twoCellAnchor>
  <xdr:twoCellAnchor>
    <xdr:from>
      <xdr:col>8</xdr:col>
      <xdr:colOff>6350</xdr:colOff>
      <xdr:row>2892</xdr:row>
      <xdr:rowOff>25400</xdr:rowOff>
    </xdr:from>
    <xdr:to>
      <xdr:col>8</xdr:col>
      <xdr:colOff>885190</xdr:colOff>
      <xdr:row>2892</xdr:row>
      <xdr:rowOff>1209040</xdr:rowOff>
    </xdr:to>
    <xdr:pic>
      <xdr:nvPicPr>
        <xdr:cNvPr id="6470" name="Изображение 6469" descr="resizeПП-00275246"/>
        <xdr:cNvPicPr>
          <a:picLocks noChangeAspect="1"/>
        </xdr:cNvPicPr>
      </xdr:nvPicPr>
      <xdr:blipFill>
        <a:blip xmlns:r="http://schemas.openxmlformats.org/officeDocument/2006/relationships" r:embed="rId2182"/>
        <a:stretch>
          <a:fillRect/>
        </a:stretch>
      </xdr:blipFill>
      <xdr:spPr>
        <a:xfrm>
          <a:off x="7264400" y="2864332600"/>
          <a:ext cx="878840" cy="1183640"/>
        </a:xfrm>
        <a:prstGeom prst="rect">
          <a:avLst/>
        </a:prstGeom>
      </xdr:spPr>
    </xdr:pic>
    <xdr:clientData/>
  </xdr:twoCellAnchor>
  <xdr:twoCellAnchor>
    <xdr:from>
      <xdr:col>8</xdr:col>
      <xdr:colOff>6350</xdr:colOff>
      <xdr:row>2893</xdr:row>
      <xdr:rowOff>25400</xdr:rowOff>
    </xdr:from>
    <xdr:to>
      <xdr:col>8</xdr:col>
      <xdr:colOff>885190</xdr:colOff>
      <xdr:row>2893</xdr:row>
      <xdr:rowOff>1209040</xdr:rowOff>
    </xdr:to>
    <xdr:pic>
      <xdr:nvPicPr>
        <xdr:cNvPr id="6471" name="Изображение 6470" descr="resizeПП-00235292"/>
        <xdr:cNvPicPr>
          <a:picLocks noChangeAspect="1"/>
        </xdr:cNvPicPr>
      </xdr:nvPicPr>
      <xdr:blipFill>
        <a:blip xmlns:r="http://schemas.openxmlformats.org/officeDocument/2006/relationships" r:embed="rId2183"/>
        <a:stretch>
          <a:fillRect/>
        </a:stretch>
      </xdr:blipFill>
      <xdr:spPr>
        <a:xfrm>
          <a:off x="7264400" y="2865554975"/>
          <a:ext cx="878840" cy="1183640"/>
        </a:xfrm>
        <a:prstGeom prst="rect">
          <a:avLst/>
        </a:prstGeom>
      </xdr:spPr>
    </xdr:pic>
    <xdr:clientData/>
  </xdr:twoCellAnchor>
  <xdr:twoCellAnchor>
    <xdr:from>
      <xdr:col>8</xdr:col>
      <xdr:colOff>6350</xdr:colOff>
      <xdr:row>2894</xdr:row>
      <xdr:rowOff>25400</xdr:rowOff>
    </xdr:from>
    <xdr:to>
      <xdr:col>8</xdr:col>
      <xdr:colOff>885190</xdr:colOff>
      <xdr:row>2894</xdr:row>
      <xdr:rowOff>1209040</xdr:rowOff>
    </xdr:to>
    <xdr:pic>
      <xdr:nvPicPr>
        <xdr:cNvPr id="6472" name="Изображение 6471" descr="resizeПП-00257872"/>
        <xdr:cNvPicPr>
          <a:picLocks noChangeAspect="1"/>
        </xdr:cNvPicPr>
      </xdr:nvPicPr>
      <xdr:blipFill>
        <a:blip xmlns:r="http://schemas.openxmlformats.org/officeDocument/2006/relationships" r:embed="rId2184"/>
        <a:stretch>
          <a:fillRect/>
        </a:stretch>
      </xdr:blipFill>
      <xdr:spPr>
        <a:xfrm>
          <a:off x="7264400" y="2866777350"/>
          <a:ext cx="878840" cy="1183640"/>
        </a:xfrm>
        <a:prstGeom prst="rect">
          <a:avLst/>
        </a:prstGeom>
      </xdr:spPr>
    </xdr:pic>
    <xdr:clientData/>
  </xdr:twoCellAnchor>
  <xdr:twoCellAnchor>
    <xdr:from>
      <xdr:col>8</xdr:col>
      <xdr:colOff>6350</xdr:colOff>
      <xdr:row>2895</xdr:row>
      <xdr:rowOff>25400</xdr:rowOff>
    </xdr:from>
    <xdr:to>
      <xdr:col>8</xdr:col>
      <xdr:colOff>885190</xdr:colOff>
      <xdr:row>2895</xdr:row>
      <xdr:rowOff>1209040</xdr:rowOff>
    </xdr:to>
    <xdr:pic>
      <xdr:nvPicPr>
        <xdr:cNvPr id="6473" name="Изображение 6472" descr="resizeПП-00257868"/>
        <xdr:cNvPicPr>
          <a:picLocks noChangeAspect="1"/>
        </xdr:cNvPicPr>
      </xdr:nvPicPr>
      <xdr:blipFill>
        <a:blip xmlns:r="http://schemas.openxmlformats.org/officeDocument/2006/relationships" r:embed="rId2185"/>
        <a:stretch>
          <a:fillRect/>
        </a:stretch>
      </xdr:blipFill>
      <xdr:spPr>
        <a:xfrm>
          <a:off x="7264400" y="2867999725"/>
          <a:ext cx="878840" cy="1183640"/>
        </a:xfrm>
        <a:prstGeom prst="rect">
          <a:avLst/>
        </a:prstGeom>
      </xdr:spPr>
    </xdr:pic>
    <xdr:clientData/>
  </xdr:twoCellAnchor>
  <xdr:twoCellAnchor>
    <xdr:from>
      <xdr:col>8</xdr:col>
      <xdr:colOff>6350</xdr:colOff>
      <xdr:row>2896</xdr:row>
      <xdr:rowOff>25400</xdr:rowOff>
    </xdr:from>
    <xdr:to>
      <xdr:col>8</xdr:col>
      <xdr:colOff>885190</xdr:colOff>
      <xdr:row>2896</xdr:row>
      <xdr:rowOff>1209040</xdr:rowOff>
    </xdr:to>
    <xdr:pic>
      <xdr:nvPicPr>
        <xdr:cNvPr id="6474" name="Изображение 6473" descr="resizeПП-00275219"/>
        <xdr:cNvPicPr>
          <a:picLocks noChangeAspect="1"/>
        </xdr:cNvPicPr>
      </xdr:nvPicPr>
      <xdr:blipFill>
        <a:blip xmlns:r="http://schemas.openxmlformats.org/officeDocument/2006/relationships" r:embed="rId2186"/>
        <a:stretch>
          <a:fillRect/>
        </a:stretch>
      </xdr:blipFill>
      <xdr:spPr>
        <a:xfrm>
          <a:off x="7264400" y="2869222100"/>
          <a:ext cx="878840" cy="1183640"/>
        </a:xfrm>
        <a:prstGeom prst="rect">
          <a:avLst/>
        </a:prstGeom>
      </xdr:spPr>
    </xdr:pic>
    <xdr:clientData/>
  </xdr:twoCellAnchor>
  <xdr:twoCellAnchor>
    <xdr:from>
      <xdr:col>8</xdr:col>
      <xdr:colOff>6350</xdr:colOff>
      <xdr:row>2897</xdr:row>
      <xdr:rowOff>25400</xdr:rowOff>
    </xdr:from>
    <xdr:to>
      <xdr:col>8</xdr:col>
      <xdr:colOff>885190</xdr:colOff>
      <xdr:row>2897</xdr:row>
      <xdr:rowOff>1209040</xdr:rowOff>
    </xdr:to>
    <xdr:pic>
      <xdr:nvPicPr>
        <xdr:cNvPr id="6475" name="Изображение 6474" descr="resizeПП-00235284"/>
        <xdr:cNvPicPr>
          <a:picLocks noChangeAspect="1"/>
        </xdr:cNvPicPr>
      </xdr:nvPicPr>
      <xdr:blipFill>
        <a:blip xmlns:r="http://schemas.openxmlformats.org/officeDocument/2006/relationships" r:embed="rId2187"/>
        <a:stretch>
          <a:fillRect/>
        </a:stretch>
      </xdr:blipFill>
      <xdr:spPr>
        <a:xfrm>
          <a:off x="7264400" y="2870444475"/>
          <a:ext cx="878840" cy="1183640"/>
        </a:xfrm>
        <a:prstGeom prst="rect">
          <a:avLst/>
        </a:prstGeom>
      </xdr:spPr>
    </xdr:pic>
    <xdr:clientData/>
  </xdr:twoCellAnchor>
  <xdr:twoCellAnchor>
    <xdr:from>
      <xdr:col>8</xdr:col>
      <xdr:colOff>6350</xdr:colOff>
      <xdr:row>2898</xdr:row>
      <xdr:rowOff>25400</xdr:rowOff>
    </xdr:from>
    <xdr:to>
      <xdr:col>8</xdr:col>
      <xdr:colOff>885190</xdr:colOff>
      <xdr:row>2898</xdr:row>
      <xdr:rowOff>1209040</xdr:rowOff>
    </xdr:to>
    <xdr:pic>
      <xdr:nvPicPr>
        <xdr:cNvPr id="6476" name="Изображение 6475" descr="resizeПП-00235279"/>
        <xdr:cNvPicPr>
          <a:picLocks noChangeAspect="1"/>
        </xdr:cNvPicPr>
      </xdr:nvPicPr>
      <xdr:blipFill>
        <a:blip xmlns:r="http://schemas.openxmlformats.org/officeDocument/2006/relationships" r:embed="rId2188"/>
        <a:stretch>
          <a:fillRect/>
        </a:stretch>
      </xdr:blipFill>
      <xdr:spPr>
        <a:xfrm>
          <a:off x="7264400" y="2871666850"/>
          <a:ext cx="878840" cy="1183640"/>
        </a:xfrm>
        <a:prstGeom prst="rect">
          <a:avLst/>
        </a:prstGeom>
      </xdr:spPr>
    </xdr:pic>
    <xdr:clientData/>
  </xdr:twoCellAnchor>
  <xdr:twoCellAnchor>
    <xdr:from>
      <xdr:col>8</xdr:col>
      <xdr:colOff>6350</xdr:colOff>
      <xdr:row>2899</xdr:row>
      <xdr:rowOff>25400</xdr:rowOff>
    </xdr:from>
    <xdr:to>
      <xdr:col>8</xdr:col>
      <xdr:colOff>885190</xdr:colOff>
      <xdr:row>2899</xdr:row>
      <xdr:rowOff>1209040</xdr:rowOff>
    </xdr:to>
    <xdr:pic>
      <xdr:nvPicPr>
        <xdr:cNvPr id="6477" name="Изображение 6476" descr="resizeПП-00255924"/>
        <xdr:cNvPicPr>
          <a:picLocks noChangeAspect="1"/>
        </xdr:cNvPicPr>
      </xdr:nvPicPr>
      <xdr:blipFill>
        <a:blip xmlns:r="http://schemas.openxmlformats.org/officeDocument/2006/relationships" r:embed="rId2189"/>
        <a:stretch>
          <a:fillRect/>
        </a:stretch>
      </xdr:blipFill>
      <xdr:spPr>
        <a:xfrm>
          <a:off x="7264400" y="2872889225"/>
          <a:ext cx="878840" cy="1183640"/>
        </a:xfrm>
        <a:prstGeom prst="rect">
          <a:avLst/>
        </a:prstGeom>
      </xdr:spPr>
    </xdr:pic>
    <xdr:clientData/>
  </xdr:twoCellAnchor>
  <xdr:twoCellAnchor>
    <xdr:from>
      <xdr:col>8</xdr:col>
      <xdr:colOff>6350</xdr:colOff>
      <xdr:row>2900</xdr:row>
      <xdr:rowOff>25400</xdr:rowOff>
    </xdr:from>
    <xdr:to>
      <xdr:col>8</xdr:col>
      <xdr:colOff>885190</xdr:colOff>
      <xdr:row>2900</xdr:row>
      <xdr:rowOff>1209040</xdr:rowOff>
    </xdr:to>
    <xdr:pic>
      <xdr:nvPicPr>
        <xdr:cNvPr id="6478" name="Изображение 6477" descr="resizeПП-00257870"/>
        <xdr:cNvPicPr>
          <a:picLocks noChangeAspect="1"/>
        </xdr:cNvPicPr>
      </xdr:nvPicPr>
      <xdr:blipFill>
        <a:blip xmlns:r="http://schemas.openxmlformats.org/officeDocument/2006/relationships" r:embed="rId2190"/>
        <a:stretch>
          <a:fillRect/>
        </a:stretch>
      </xdr:blipFill>
      <xdr:spPr>
        <a:xfrm>
          <a:off x="7264400" y="2874111600"/>
          <a:ext cx="878840" cy="1183640"/>
        </a:xfrm>
        <a:prstGeom prst="rect">
          <a:avLst/>
        </a:prstGeom>
      </xdr:spPr>
    </xdr:pic>
    <xdr:clientData/>
  </xdr:twoCellAnchor>
  <xdr:twoCellAnchor>
    <xdr:from>
      <xdr:col>8</xdr:col>
      <xdr:colOff>6350</xdr:colOff>
      <xdr:row>2902</xdr:row>
      <xdr:rowOff>25400</xdr:rowOff>
    </xdr:from>
    <xdr:to>
      <xdr:col>8</xdr:col>
      <xdr:colOff>885190</xdr:colOff>
      <xdr:row>2902</xdr:row>
      <xdr:rowOff>1209040</xdr:rowOff>
    </xdr:to>
    <xdr:pic>
      <xdr:nvPicPr>
        <xdr:cNvPr id="6479" name="Изображение 6478" descr="resizeПП-00207756"/>
        <xdr:cNvPicPr>
          <a:picLocks noChangeAspect="1"/>
        </xdr:cNvPicPr>
      </xdr:nvPicPr>
      <xdr:blipFill>
        <a:blip xmlns:r="http://schemas.openxmlformats.org/officeDocument/2006/relationships" r:embed="rId2191"/>
        <a:stretch>
          <a:fillRect/>
        </a:stretch>
      </xdr:blipFill>
      <xdr:spPr>
        <a:xfrm>
          <a:off x="7264400" y="2875486375"/>
          <a:ext cx="878840" cy="1183640"/>
        </a:xfrm>
        <a:prstGeom prst="rect">
          <a:avLst/>
        </a:prstGeom>
      </xdr:spPr>
    </xdr:pic>
    <xdr:clientData/>
  </xdr:twoCellAnchor>
  <xdr:twoCellAnchor>
    <xdr:from>
      <xdr:col>8</xdr:col>
      <xdr:colOff>6350</xdr:colOff>
      <xdr:row>2903</xdr:row>
      <xdr:rowOff>25400</xdr:rowOff>
    </xdr:from>
    <xdr:to>
      <xdr:col>8</xdr:col>
      <xdr:colOff>885190</xdr:colOff>
      <xdr:row>2903</xdr:row>
      <xdr:rowOff>1209040</xdr:rowOff>
    </xdr:to>
    <xdr:pic>
      <xdr:nvPicPr>
        <xdr:cNvPr id="6480" name="Изображение 6479" descr="resizeПП-00207750"/>
        <xdr:cNvPicPr>
          <a:picLocks noChangeAspect="1"/>
        </xdr:cNvPicPr>
      </xdr:nvPicPr>
      <xdr:blipFill>
        <a:blip xmlns:r="http://schemas.openxmlformats.org/officeDocument/2006/relationships" r:embed="rId2192"/>
        <a:stretch>
          <a:fillRect/>
        </a:stretch>
      </xdr:blipFill>
      <xdr:spPr>
        <a:xfrm>
          <a:off x="7264400" y="2876708750"/>
          <a:ext cx="878840" cy="1183640"/>
        </a:xfrm>
        <a:prstGeom prst="rect">
          <a:avLst/>
        </a:prstGeom>
      </xdr:spPr>
    </xdr:pic>
    <xdr:clientData/>
  </xdr:twoCellAnchor>
  <xdr:twoCellAnchor>
    <xdr:from>
      <xdr:col>8</xdr:col>
      <xdr:colOff>6350</xdr:colOff>
      <xdr:row>2904</xdr:row>
      <xdr:rowOff>25400</xdr:rowOff>
    </xdr:from>
    <xdr:to>
      <xdr:col>8</xdr:col>
      <xdr:colOff>885190</xdr:colOff>
      <xdr:row>2904</xdr:row>
      <xdr:rowOff>1209040</xdr:rowOff>
    </xdr:to>
    <xdr:pic>
      <xdr:nvPicPr>
        <xdr:cNvPr id="6481" name="Изображение 6480" descr="resizeПП-00207751"/>
        <xdr:cNvPicPr>
          <a:picLocks noChangeAspect="1"/>
        </xdr:cNvPicPr>
      </xdr:nvPicPr>
      <xdr:blipFill>
        <a:blip xmlns:r="http://schemas.openxmlformats.org/officeDocument/2006/relationships" r:embed="rId2193"/>
        <a:stretch>
          <a:fillRect/>
        </a:stretch>
      </xdr:blipFill>
      <xdr:spPr>
        <a:xfrm>
          <a:off x="7264400" y="2877931125"/>
          <a:ext cx="878840" cy="1183640"/>
        </a:xfrm>
        <a:prstGeom prst="rect">
          <a:avLst/>
        </a:prstGeom>
      </xdr:spPr>
    </xdr:pic>
    <xdr:clientData/>
  </xdr:twoCellAnchor>
  <xdr:twoCellAnchor>
    <xdr:from>
      <xdr:col>8</xdr:col>
      <xdr:colOff>6350</xdr:colOff>
      <xdr:row>2905</xdr:row>
      <xdr:rowOff>25400</xdr:rowOff>
    </xdr:from>
    <xdr:to>
      <xdr:col>8</xdr:col>
      <xdr:colOff>885190</xdr:colOff>
      <xdr:row>2905</xdr:row>
      <xdr:rowOff>1209040</xdr:rowOff>
    </xdr:to>
    <xdr:pic>
      <xdr:nvPicPr>
        <xdr:cNvPr id="6482" name="Изображение 6481" descr="resizeПП-00247980"/>
        <xdr:cNvPicPr>
          <a:picLocks noChangeAspect="1"/>
        </xdr:cNvPicPr>
      </xdr:nvPicPr>
      <xdr:blipFill>
        <a:blip xmlns:r="http://schemas.openxmlformats.org/officeDocument/2006/relationships" r:embed="rId2194"/>
        <a:stretch>
          <a:fillRect/>
        </a:stretch>
      </xdr:blipFill>
      <xdr:spPr>
        <a:xfrm>
          <a:off x="7264400" y="2879153500"/>
          <a:ext cx="878840" cy="1183640"/>
        </a:xfrm>
        <a:prstGeom prst="rect">
          <a:avLst/>
        </a:prstGeom>
      </xdr:spPr>
    </xdr:pic>
    <xdr:clientData/>
  </xdr:twoCellAnchor>
  <xdr:twoCellAnchor>
    <xdr:from>
      <xdr:col>8</xdr:col>
      <xdr:colOff>6350</xdr:colOff>
      <xdr:row>2906</xdr:row>
      <xdr:rowOff>25400</xdr:rowOff>
    </xdr:from>
    <xdr:to>
      <xdr:col>8</xdr:col>
      <xdr:colOff>885190</xdr:colOff>
      <xdr:row>2906</xdr:row>
      <xdr:rowOff>1209040</xdr:rowOff>
    </xdr:to>
    <xdr:pic>
      <xdr:nvPicPr>
        <xdr:cNvPr id="6483" name="Изображение 6482" descr="resizeПП-00247986"/>
        <xdr:cNvPicPr>
          <a:picLocks noChangeAspect="1"/>
        </xdr:cNvPicPr>
      </xdr:nvPicPr>
      <xdr:blipFill>
        <a:blip xmlns:r="http://schemas.openxmlformats.org/officeDocument/2006/relationships" r:embed="rId2195"/>
        <a:stretch>
          <a:fillRect/>
        </a:stretch>
      </xdr:blipFill>
      <xdr:spPr>
        <a:xfrm>
          <a:off x="7264400" y="2880375875"/>
          <a:ext cx="878840" cy="1183640"/>
        </a:xfrm>
        <a:prstGeom prst="rect">
          <a:avLst/>
        </a:prstGeom>
      </xdr:spPr>
    </xdr:pic>
    <xdr:clientData/>
  </xdr:twoCellAnchor>
  <xdr:twoCellAnchor>
    <xdr:from>
      <xdr:col>8</xdr:col>
      <xdr:colOff>6350</xdr:colOff>
      <xdr:row>2907</xdr:row>
      <xdr:rowOff>25400</xdr:rowOff>
    </xdr:from>
    <xdr:to>
      <xdr:col>8</xdr:col>
      <xdr:colOff>885190</xdr:colOff>
      <xdr:row>2907</xdr:row>
      <xdr:rowOff>1209040</xdr:rowOff>
    </xdr:to>
    <xdr:pic>
      <xdr:nvPicPr>
        <xdr:cNvPr id="6484" name="Изображение 6483" descr="resizeПП-00271609"/>
        <xdr:cNvPicPr>
          <a:picLocks noChangeAspect="1"/>
        </xdr:cNvPicPr>
      </xdr:nvPicPr>
      <xdr:blipFill>
        <a:blip xmlns:r="http://schemas.openxmlformats.org/officeDocument/2006/relationships" r:embed="rId2196"/>
        <a:stretch>
          <a:fillRect/>
        </a:stretch>
      </xdr:blipFill>
      <xdr:spPr>
        <a:xfrm>
          <a:off x="7264400" y="2881598250"/>
          <a:ext cx="878840" cy="1183640"/>
        </a:xfrm>
        <a:prstGeom prst="rect">
          <a:avLst/>
        </a:prstGeom>
      </xdr:spPr>
    </xdr:pic>
    <xdr:clientData/>
  </xdr:twoCellAnchor>
  <xdr:twoCellAnchor>
    <xdr:from>
      <xdr:col>8</xdr:col>
      <xdr:colOff>6350</xdr:colOff>
      <xdr:row>2908</xdr:row>
      <xdr:rowOff>25400</xdr:rowOff>
    </xdr:from>
    <xdr:to>
      <xdr:col>8</xdr:col>
      <xdr:colOff>885190</xdr:colOff>
      <xdr:row>2908</xdr:row>
      <xdr:rowOff>1209040</xdr:rowOff>
    </xdr:to>
    <xdr:pic>
      <xdr:nvPicPr>
        <xdr:cNvPr id="6485" name="Изображение 6484" descr="resizeПП-00247990"/>
        <xdr:cNvPicPr>
          <a:picLocks noChangeAspect="1"/>
        </xdr:cNvPicPr>
      </xdr:nvPicPr>
      <xdr:blipFill>
        <a:blip xmlns:r="http://schemas.openxmlformats.org/officeDocument/2006/relationships" r:embed="rId2197"/>
        <a:stretch>
          <a:fillRect/>
        </a:stretch>
      </xdr:blipFill>
      <xdr:spPr>
        <a:xfrm>
          <a:off x="7264400" y="2882820625"/>
          <a:ext cx="878840" cy="1183640"/>
        </a:xfrm>
        <a:prstGeom prst="rect">
          <a:avLst/>
        </a:prstGeom>
      </xdr:spPr>
    </xdr:pic>
    <xdr:clientData/>
  </xdr:twoCellAnchor>
  <xdr:twoCellAnchor>
    <xdr:from>
      <xdr:col>8</xdr:col>
      <xdr:colOff>6350</xdr:colOff>
      <xdr:row>2909</xdr:row>
      <xdr:rowOff>25400</xdr:rowOff>
    </xdr:from>
    <xdr:to>
      <xdr:col>8</xdr:col>
      <xdr:colOff>885190</xdr:colOff>
      <xdr:row>2909</xdr:row>
      <xdr:rowOff>1209040</xdr:rowOff>
    </xdr:to>
    <xdr:pic>
      <xdr:nvPicPr>
        <xdr:cNvPr id="6486" name="Изображение 6485" descr="resizeПП-00247984"/>
        <xdr:cNvPicPr>
          <a:picLocks noChangeAspect="1"/>
        </xdr:cNvPicPr>
      </xdr:nvPicPr>
      <xdr:blipFill>
        <a:blip xmlns:r="http://schemas.openxmlformats.org/officeDocument/2006/relationships" r:embed="rId2198"/>
        <a:stretch>
          <a:fillRect/>
        </a:stretch>
      </xdr:blipFill>
      <xdr:spPr>
        <a:xfrm>
          <a:off x="7264400" y="2884043000"/>
          <a:ext cx="878840" cy="1183640"/>
        </a:xfrm>
        <a:prstGeom prst="rect">
          <a:avLst/>
        </a:prstGeom>
      </xdr:spPr>
    </xdr:pic>
    <xdr:clientData/>
  </xdr:twoCellAnchor>
  <xdr:twoCellAnchor>
    <xdr:from>
      <xdr:col>8</xdr:col>
      <xdr:colOff>6350</xdr:colOff>
      <xdr:row>2910</xdr:row>
      <xdr:rowOff>25400</xdr:rowOff>
    </xdr:from>
    <xdr:to>
      <xdr:col>8</xdr:col>
      <xdr:colOff>885190</xdr:colOff>
      <xdr:row>2910</xdr:row>
      <xdr:rowOff>1209040</xdr:rowOff>
    </xdr:to>
    <xdr:pic>
      <xdr:nvPicPr>
        <xdr:cNvPr id="6487" name="Изображение 6486" descr="resizeПП-00271613"/>
        <xdr:cNvPicPr>
          <a:picLocks noChangeAspect="1"/>
        </xdr:cNvPicPr>
      </xdr:nvPicPr>
      <xdr:blipFill>
        <a:blip xmlns:r="http://schemas.openxmlformats.org/officeDocument/2006/relationships" r:embed="rId2199"/>
        <a:stretch>
          <a:fillRect/>
        </a:stretch>
      </xdr:blipFill>
      <xdr:spPr>
        <a:xfrm>
          <a:off x="7264400" y="2885265375"/>
          <a:ext cx="878840" cy="1183640"/>
        </a:xfrm>
        <a:prstGeom prst="rect">
          <a:avLst/>
        </a:prstGeom>
      </xdr:spPr>
    </xdr:pic>
    <xdr:clientData/>
  </xdr:twoCellAnchor>
  <xdr:twoCellAnchor>
    <xdr:from>
      <xdr:col>8</xdr:col>
      <xdr:colOff>6350</xdr:colOff>
      <xdr:row>2911</xdr:row>
      <xdr:rowOff>25400</xdr:rowOff>
    </xdr:from>
    <xdr:to>
      <xdr:col>8</xdr:col>
      <xdr:colOff>885190</xdr:colOff>
      <xdr:row>2911</xdr:row>
      <xdr:rowOff>1209040</xdr:rowOff>
    </xdr:to>
    <xdr:pic>
      <xdr:nvPicPr>
        <xdr:cNvPr id="6488" name="Изображение 6487" descr="resizeПП-00271612"/>
        <xdr:cNvPicPr>
          <a:picLocks noChangeAspect="1"/>
        </xdr:cNvPicPr>
      </xdr:nvPicPr>
      <xdr:blipFill>
        <a:blip xmlns:r="http://schemas.openxmlformats.org/officeDocument/2006/relationships" r:embed="rId2200"/>
        <a:stretch>
          <a:fillRect/>
        </a:stretch>
      </xdr:blipFill>
      <xdr:spPr>
        <a:xfrm>
          <a:off x="7264400" y="2886487750"/>
          <a:ext cx="878840" cy="1183640"/>
        </a:xfrm>
        <a:prstGeom prst="rect">
          <a:avLst/>
        </a:prstGeom>
      </xdr:spPr>
    </xdr:pic>
    <xdr:clientData/>
  </xdr:twoCellAnchor>
  <xdr:twoCellAnchor>
    <xdr:from>
      <xdr:col>8</xdr:col>
      <xdr:colOff>6350</xdr:colOff>
      <xdr:row>2912</xdr:row>
      <xdr:rowOff>25400</xdr:rowOff>
    </xdr:from>
    <xdr:to>
      <xdr:col>8</xdr:col>
      <xdr:colOff>885190</xdr:colOff>
      <xdr:row>2912</xdr:row>
      <xdr:rowOff>1209040</xdr:rowOff>
    </xdr:to>
    <xdr:pic>
      <xdr:nvPicPr>
        <xdr:cNvPr id="6489" name="Изображение 6488" descr="resizeПП-00271610"/>
        <xdr:cNvPicPr>
          <a:picLocks noChangeAspect="1"/>
        </xdr:cNvPicPr>
      </xdr:nvPicPr>
      <xdr:blipFill>
        <a:blip xmlns:r="http://schemas.openxmlformats.org/officeDocument/2006/relationships" r:embed="rId2201"/>
        <a:stretch>
          <a:fillRect/>
        </a:stretch>
      </xdr:blipFill>
      <xdr:spPr>
        <a:xfrm>
          <a:off x="7264400" y="2887710125"/>
          <a:ext cx="878840" cy="1183640"/>
        </a:xfrm>
        <a:prstGeom prst="rect">
          <a:avLst/>
        </a:prstGeom>
      </xdr:spPr>
    </xdr:pic>
    <xdr:clientData/>
  </xdr:twoCellAnchor>
  <xdr:twoCellAnchor>
    <xdr:from>
      <xdr:col>8</xdr:col>
      <xdr:colOff>6350</xdr:colOff>
      <xdr:row>2913</xdr:row>
      <xdr:rowOff>25400</xdr:rowOff>
    </xdr:from>
    <xdr:to>
      <xdr:col>8</xdr:col>
      <xdr:colOff>885190</xdr:colOff>
      <xdr:row>2913</xdr:row>
      <xdr:rowOff>1209040</xdr:rowOff>
    </xdr:to>
    <xdr:pic>
      <xdr:nvPicPr>
        <xdr:cNvPr id="6490" name="Изображение 6489" descr="resizeПП-00247983"/>
        <xdr:cNvPicPr>
          <a:picLocks noChangeAspect="1"/>
        </xdr:cNvPicPr>
      </xdr:nvPicPr>
      <xdr:blipFill>
        <a:blip xmlns:r="http://schemas.openxmlformats.org/officeDocument/2006/relationships" r:embed="rId2202"/>
        <a:stretch>
          <a:fillRect/>
        </a:stretch>
      </xdr:blipFill>
      <xdr:spPr>
        <a:xfrm>
          <a:off x="7264400" y="2888932500"/>
          <a:ext cx="878840" cy="1183640"/>
        </a:xfrm>
        <a:prstGeom prst="rect">
          <a:avLst/>
        </a:prstGeom>
      </xdr:spPr>
    </xdr:pic>
    <xdr:clientData/>
  </xdr:twoCellAnchor>
  <xdr:twoCellAnchor>
    <xdr:from>
      <xdr:col>8</xdr:col>
      <xdr:colOff>6350</xdr:colOff>
      <xdr:row>2914</xdr:row>
      <xdr:rowOff>25400</xdr:rowOff>
    </xdr:from>
    <xdr:to>
      <xdr:col>8</xdr:col>
      <xdr:colOff>885190</xdr:colOff>
      <xdr:row>2914</xdr:row>
      <xdr:rowOff>1209040</xdr:rowOff>
    </xdr:to>
    <xdr:pic>
      <xdr:nvPicPr>
        <xdr:cNvPr id="6491" name="Изображение 6490" descr="resizeПП-00271611"/>
        <xdr:cNvPicPr>
          <a:picLocks noChangeAspect="1"/>
        </xdr:cNvPicPr>
      </xdr:nvPicPr>
      <xdr:blipFill>
        <a:blip xmlns:r="http://schemas.openxmlformats.org/officeDocument/2006/relationships" r:embed="rId2203"/>
        <a:stretch>
          <a:fillRect/>
        </a:stretch>
      </xdr:blipFill>
      <xdr:spPr>
        <a:xfrm>
          <a:off x="7264400" y="2890154875"/>
          <a:ext cx="878840" cy="1183640"/>
        </a:xfrm>
        <a:prstGeom prst="rect">
          <a:avLst/>
        </a:prstGeom>
      </xdr:spPr>
    </xdr:pic>
    <xdr:clientData/>
  </xdr:twoCellAnchor>
  <xdr:twoCellAnchor>
    <xdr:from>
      <xdr:col>8</xdr:col>
      <xdr:colOff>6350</xdr:colOff>
      <xdr:row>2915</xdr:row>
      <xdr:rowOff>25400</xdr:rowOff>
    </xdr:from>
    <xdr:to>
      <xdr:col>8</xdr:col>
      <xdr:colOff>885190</xdr:colOff>
      <xdr:row>2915</xdr:row>
      <xdr:rowOff>1209040</xdr:rowOff>
    </xdr:to>
    <xdr:pic>
      <xdr:nvPicPr>
        <xdr:cNvPr id="6492" name="Изображение 6491" descr="resizeПП-00247987"/>
        <xdr:cNvPicPr>
          <a:picLocks noChangeAspect="1"/>
        </xdr:cNvPicPr>
      </xdr:nvPicPr>
      <xdr:blipFill>
        <a:blip xmlns:r="http://schemas.openxmlformats.org/officeDocument/2006/relationships" r:embed="rId2204"/>
        <a:stretch>
          <a:fillRect/>
        </a:stretch>
      </xdr:blipFill>
      <xdr:spPr>
        <a:xfrm>
          <a:off x="7264400" y="2891377250"/>
          <a:ext cx="878840" cy="1183640"/>
        </a:xfrm>
        <a:prstGeom prst="rect">
          <a:avLst/>
        </a:prstGeom>
      </xdr:spPr>
    </xdr:pic>
    <xdr:clientData/>
  </xdr:twoCellAnchor>
  <xdr:twoCellAnchor>
    <xdr:from>
      <xdr:col>8</xdr:col>
      <xdr:colOff>6350</xdr:colOff>
      <xdr:row>2916</xdr:row>
      <xdr:rowOff>25400</xdr:rowOff>
    </xdr:from>
    <xdr:to>
      <xdr:col>8</xdr:col>
      <xdr:colOff>885190</xdr:colOff>
      <xdr:row>2916</xdr:row>
      <xdr:rowOff>1209040</xdr:rowOff>
    </xdr:to>
    <xdr:pic>
      <xdr:nvPicPr>
        <xdr:cNvPr id="6493" name="Изображение 6492" descr="resizeПП-00247989"/>
        <xdr:cNvPicPr>
          <a:picLocks noChangeAspect="1"/>
        </xdr:cNvPicPr>
      </xdr:nvPicPr>
      <xdr:blipFill>
        <a:blip xmlns:r="http://schemas.openxmlformats.org/officeDocument/2006/relationships" r:embed="rId2205"/>
        <a:stretch>
          <a:fillRect/>
        </a:stretch>
      </xdr:blipFill>
      <xdr:spPr>
        <a:xfrm>
          <a:off x="7264400" y="2892599625"/>
          <a:ext cx="878840" cy="1183640"/>
        </a:xfrm>
        <a:prstGeom prst="rect">
          <a:avLst/>
        </a:prstGeom>
      </xdr:spPr>
    </xdr:pic>
    <xdr:clientData/>
  </xdr:twoCellAnchor>
  <xdr:twoCellAnchor>
    <xdr:from>
      <xdr:col>8</xdr:col>
      <xdr:colOff>6350</xdr:colOff>
      <xdr:row>2917</xdr:row>
      <xdr:rowOff>25400</xdr:rowOff>
    </xdr:from>
    <xdr:to>
      <xdr:col>8</xdr:col>
      <xdr:colOff>885190</xdr:colOff>
      <xdr:row>2917</xdr:row>
      <xdr:rowOff>1209040</xdr:rowOff>
    </xdr:to>
    <xdr:pic>
      <xdr:nvPicPr>
        <xdr:cNvPr id="6494" name="Изображение 6493" descr="resizeПП-00271608"/>
        <xdr:cNvPicPr>
          <a:picLocks noChangeAspect="1"/>
        </xdr:cNvPicPr>
      </xdr:nvPicPr>
      <xdr:blipFill>
        <a:blip xmlns:r="http://schemas.openxmlformats.org/officeDocument/2006/relationships" r:embed="rId2206"/>
        <a:stretch>
          <a:fillRect/>
        </a:stretch>
      </xdr:blipFill>
      <xdr:spPr>
        <a:xfrm>
          <a:off x="7264400" y="2893822000"/>
          <a:ext cx="878840" cy="1183640"/>
        </a:xfrm>
        <a:prstGeom prst="rect">
          <a:avLst/>
        </a:prstGeom>
      </xdr:spPr>
    </xdr:pic>
    <xdr:clientData/>
  </xdr:twoCellAnchor>
  <xdr:twoCellAnchor>
    <xdr:from>
      <xdr:col>8</xdr:col>
      <xdr:colOff>6350</xdr:colOff>
      <xdr:row>2918</xdr:row>
      <xdr:rowOff>25400</xdr:rowOff>
    </xdr:from>
    <xdr:to>
      <xdr:col>8</xdr:col>
      <xdr:colOff>885190</xdr:colOff>
      <xdr:row>2918</xdr:row>
      <xdr:rowOff>1209040</xdr:rowOff>
    </xdr:to>
    <xdr:pic>
      <xdr:nvPicPr>
        <xdr:cNvPr id="6495" name="Изображение 6494" descr="resizeПП-00247978"/>
        <xdr:cNvPicPr>
          <a:picLocks noChangeAspect="1"/>
        </xdr:cNvPicPr>
      </xdr:nvPicPr>
      <xdr:blipFill>
        <a:blip xmlns:r="http://schemas.openxmlformats.org/officeDocument/2006/relationships" r:embed="rId2207"/>
        <a:stretch>
          <a:fillRect/>
        </a:stretch>
      </xdr:blipFill>
      <xdr:spPr>
        <a:xfrm>
          <a:off x="7264400" y="2895044375"/>
          <a:ext cx="878840" cy="1183640"/>
        </a:xfrm>
        <a:prstGeom prst="rect">
          <a:avLst/>
        </a:prstGeom>
      </xdr:spPr>
    </xdr:pic>
    <xdr:clientData/>
  </xdr:twoCellAnchor>
  <xdr:twoCellAnchor>
    <xdr:from>
      <xdr:col>8</xdr:col>
      <xdr:colOff>6350</xdr:colOff>
      <xdr:row>2922</xdr:row>
      <xdr:rowOff>25400</xdr:rowOff>
    </xdr:from>
    <xdr:to>
      <xdr:col>8</xdr:col>
      <xdr:colOff>885190</xdr:colOff>
      <xdr:row>2922</xdr:row>
      <xdr:rowOff>1209040</xdr:rowOff>
    </xdr:to>
    <xdr:pic>
      <xdr:nvPicPr>
        <xdr:cNvPr id="6496" name="Изображение 6495" descr="resizeПП-00268779"/>
        <xdr:cNvPicPr>
          <a:picLocks noChangeAspect="1"/>
        </xdr:cNvPicPr>
      </xdr:nvPicPr>
      <xdr:blipFill>
        <a:blip xmlns:r="http://schemas.openxmlformats.org/officeDocument/2006/relationships" r:embed="rId2208"/>
        <a:stretch>
          <a:fillRect/>
        </a:stretch>
      </xdr:blipFill>
      <xdr:spPr>
        <a:xfrm>
          <a:off x="7264400" y="2896723950"/>
          <a:ext cx="878840" cy="1183640"/>
        </a:xfrm>
        <a:prstGeom prst="rect">
          <a:avLst/>
        </a:prstGeom>
      </xdr:spPr>
    </xdr:pic>
    <xdr:clientData/>
  </xdr:twoCellAnchor>
  <xdr:twoCellAnchor>
    <xdr:from>
      <xdr:col>8</xdr:col>
      <xdr:colOff>6350</xdr:colOff>
      <xdr:row>2923</xdr:row>
      <xdr:rowOff>25400</xdr:rowOff>
    </xdr:from>
    <xdr:to>
      <xdr:col>8</xdr:col>
      <xdr:colOff>885190</xdr:colOff>
      <xdr:row>2923</xdr:row>
      <xdr:rowOff>1209040</xdr:rowOff>
    </xdr:to>
    <xdr:pic>
      <xdr:nvPicPr>
        <xdr:cNvPr id="6497" name="Изображение 6496" descr="resizeПП-00268783"/>
        <xdr:cNvPicPr>
          <a:picLocks noChangeAspect="1"/>
        </xdr:cNvPicPr>
      </xdr:nvPicPr>
      <xdr:blipFill>
        <a:blip xmlns:r="http://schemas.openxmlformats.org/officeDocument/2006/relationships" r:embed="rId2209"/>
        <a:stretch>
          <a:fillRect/>
        </a:stretch>
      </xdr:blipFill>
      <xdr:spPr>
        <a:xfrm>
          <a:off x="7264400" y="2897946325"/>
          <a:ext cx="878840" cy="1183640"/>
        </a:xfrm>
        <a:prstGeom prst="rect">
          <a:avLst/>
        </a:prstGeom>
      </xdr:spPr>
    </xdr:pic>
    <xdr:clientData/>
  </xdr:twoCellAnchor>
  <xdr:twoCellAnchor>
    <xdr:from>
      <xdr:col>8</xdr:col>
      <xdr:colOff>6350</xdr:colOff>
      <xdr:row>2925</xdr:row>
      <xdr:rowOff>25400</xdr:rowOff>
    </xdr:from>
    <xdr:to>
      <xdr:col>8</xdr:col>
      <xdr:colOff>885190</xdr:colOff>
      <xdr:row>2925</xdr:row>
      <xdr:rowOff>1209040</xdr:rowOff>
    </xdr:to>
    <xdr:pic>
      <xdr:nvPicPr>
        <xdr:cNvPr id="6498" name="Изображение 6497" descr="resizeПП-00231389"/>
        <xdr:cNvPicPr>
          <a:picLocks noChangeAspect="1"/>
        </xdr:cNvPicPr>
      </xdr:nvPicPr>
      <xdr:blipFill>
        <a:blip xmlns:r="http://schemas.openxmlformats.org/officeDocument/2006/relationships" r:embed="rId2210"/>
        <a:stretch>
          <a:fillRect/>
        </a:stretch>
      </xdr:blipFill>
      <xdr:spPr>
        <a:xfrm>
          <a:off x="7264400" y="2899321100"/>
          <a:ext cx="878840" cy="1183640"/>
        </a:xfrm>
        <a:prstGeom prst="rect">
          <a:avLst/>
        </a:prstGeom>
      </xdr:spPr>
    </xdr:pic>
    <xdr:clientData/>
  </xdr:twoCellAnchor>
  <xdr:twoCellAnchor>
    <xdr:from>
      <xdr:col>8</xdr:col>
      <xdr:colOff>6350</xdr:colOff>
      <xdr:row>2926</xdr:row>
      <xdr:rowOff>25400</xdr:rowOff>
    </xdr:from>
    <xdr:to>
      <xdr:col>8</xdr:col>
      <xdr:colOff>885190</xdr:colOff>
      <xdr:row>2926</xdr:row>
      <xdr:rowOff>1209040</xdr:rowOff>
    </xdr:to>
    <xdr:pic>
      <xdr:nvPicPr>
        <xdr:cNvPr id="6499" name="Изображение 6498" descr="resizeПП-00231390"/>
        <xdr:cNvPicPr>
          <a:picLocks noChangeAspect="1"/>
        </xdr:cNvPicPr>
      </xdr:nvPicPr>
      <xdr:blipFill>
        <a:blip xmlns:r="http://schemas.openxmlformats.org/officeDocument/2006/relationships" r:embed="rId2211"/>
        <a:stretch>
          <a:fillRect/>
        </a:stretch>
      </xdr:blipFill>
      <xdr:spPr>
        <a:xfrm>
          <a:off x="7264400" y="2900543475"/>
          <a:ext cx="878840" cy="1183640"/>
        </a:xfrm>
        <a:prstGeom prst="rect">
          <a:avLst/>
        </a:prstGeom>
      </xdr:spPr>
    </xdr:pic>
    <xdr:clientData/>
  </xdr:twoCellAnchor>
  <xdr:twoCellAnchor>
    <xdr:from>
      <xdr:col>8</xdr:col>
      <xdr:colOff>6350</xdr:colOff>
      <xdr:row>2927</xdr:row>
      <xdr:rowOff>25400</xdr:rowOff>
    </xdr:from>
    <xdr:to>
      <xdr:col>8</xdr:col>
      <xdr:colOff>885190</xdr:colOff>
      <xdr:row>2927</xdr:row>
      <xdr:rowOff>1209040</xdr:rowOff>
    </xdr:to>
    <xdr:pic>
      <xdr:nvPicPr>
        <xdr:cNvPr id="6500" name="Изображение 6499" descr="resizeПП-00275457"/>
        <xdr:cNvPicPr>
          <a:picLocks noChangeAspect="1"/>
        </xdr:cNvPicPr>
      </xdr:nvPicPr>
      <xdr:blipFill>
        <a:blip xmlns:r="http://schemas.openxmlformats.org/officeDocument/2006/relationships" r:embed="rId2212"/>
        <a:stretch>
          <a:fillRect/>
        </a:stretch>
      </xdr:blipFill>
      <xdr:spPr>
        <a:xfrm>
          <a:off x="7264400" y="2901765850"/>
          <a:ext cx="878840" cy="1183640"/>
        </a:xfrm>
        <a:prstGeom prst="rect">
          <a:avLst/>
        </a:prstGeom>
      </xdr:spPr>
    </xdr:pic>
    <xdr:clientData/>
  </xdr:twoCellAnchor>
  <xdr:twoCellAnchor>
    <xdr:from>
      <xdr:col>8</xdr:col>
      <xdr:colOff>6350</xdr:colOff>
      <xdr:row>2928</xdr:row>
      <xdr:rowOff>25400</xdr:rowOff>
    </xdr:from>
    <xdr:to>
      <xdr:col>8</xdr:col>
      <xdr:colOff>885190</xdr:colOff>
      <xdr:row>2928</xdr:row>
      <xdr:rowOff>1209040</xdr:rowOff>
    </xdr:to>
    <xdr:pic>
      <xdr:nvPicPr>
        <xdr:cNvPr id="6501" name="Изображение 6500" descr="resizeПП-00275458"/>
        <xdr:cNvPicPr>
          <a:picLocks noChangeAspect="1"/>
        </xdr:cNvPicPr>
      </xdr:nvPicPr>
      <xdr:blipFill>
        <a:blip xmlns:r="http://schemas.openxmlformats.org/officeDocument/2006/relationships" r:embed="rId2213"/>
        <a:stretch>
          <a:fillRect/>
        </a:stretch>
      </xdr:blipFill>
      <xdr:spPr>
        <a:xfrm>
          <a:off x="7264400" y="2902988225"/>
          <a:ext cx="878840" cy="1183640"/>
        </a:xfrm>
        <a:prstGeom prst="rect">
          <a:avLst/>
        </a:prstGeom>
      </xdr:spPr>
    </xdr:pic>
    <xdr:clientData/>
  </xdr:twoCellAnchor>
  <xdr:twoCellAnchor>
    <xdr:from>
      <xdr:col>8</xdr:col>
      <xdr:colOff>6350</xdr:colOff>
      <xdr:row>2929</xdr:row>
      <xdr:rowOff>25400</xdr:rowOff>
    </xdr:from>
    <xdr:to>
      <xdr:col>8</xdr:col>
      <xdr:colOff>885190</xdr:colOff>
      <xdr:row>2929</xdr:row>
      <xdr:rowOff>1209040</xdr:rowOff>
    </xdr:to>
    <xdr:pic>
      <xdr:nvPicPr>
        <xdr:cNvPr id="6502" name="Изображение 6501" descr="resizeПП-00275463"/>
        <xdr:cNvPicPr>
          <a:picLocks noChangeAspect="1"/>
        </xdr:cNvPicPr>
      </xdr:nvPicPr>
      <xdr:blipFill>
        <a:blip xmlns:r="http://schemas.openxmlformats.org/officeDocument/2006/relationships" r:embed="rId2214"/>
        <a:stretch>
          <a:fillRect/>
        </a:stretch>
      </xdr:blipFill>
      <xdr:spPr>
        <a:xfrm>
          <a:off x="7264400" y="2904210600"/>
          <a:ext cx="878840" cy="1183640"/>
        </a:xfrm>
        <a:prstGeom prst="rect">
          <a:avLst/>
        </a:prstGeom>
      </xdr:spPr>
    </xdr:pic>
    <xdr:clientData/>
  </xdr:twoCellAnchor>
  <xdr:twoCellAnchor>
    <xdr:from>
      <xdr:col>8</xdr:col>
      <xdr:colOff>6350</xdr:colOff>
      <xdr:row>2930</xdr:row>
      <xdr:rowOff>25400</xdr:rowOff>
    </xdr:from>
    <xdr:to>
      <xdr:col>8</xdr:col>
      <xdr:colOff>885190</xdr:colOff>
      <xdr:row>2930</xdr:row>
      <xdr:rowOff>1209040</xdr:rowOff>
    </xdr:to>
    <xdr:pic>
      <xdr:nvPicPr>
        <xdr:cNvPr id="6503" name="Изображение 6502" descr="resizeПП-00215695"/>
        <xdr:cNvPicPr>
          <a:picLocks noChangeAspect="1"/>
        </xdr:cNvPicPr>
      </xdr:nvPicPr>
      <xdr:blipFill>
        <a:blip xmlns:r="http://schemas.openxmlformats.org/officeDocument/2006/relationships" r:embed="rId2215"/>
        <a:stretch>
          <a:fillRect/>
        </a:stretch>
      </xdr:blipFill>
      <xdr:spPr>
        <a:xfrm>
          <a:off x="7264400" y="2905432975"/>
          <a:ext cx="878840" cy="1183640"/>
        </a:xfrm>
        <a:prstGeom prst="rect">
          <a:avLst/>
        </a:prstGeom>
      </xdr:spPr>
    </xdr:pic>
    <xdr:clientData/>
  </xdr:twoCellAnchor>
  <xdr:twoCellAnchor>
    <xdr:from>
      <xdr:col>8</xdr:col>
      <xdr:colOff>6350</xdr:colOff>
      <xdr:row>2931</xdr:row>
      <xdr:rowOff>25400</xdr:rowOff>
    </xdr:from>
    <xdr:to>
      <xdr:col>8</xdr:col>
      <xdr:colOff>885190</xdr:colOff>
      <xdr:row>2931</xdr:row>
      <xdr:rowOff>1209040</xdr:rowOff>
    </xdr:to>
    <xdr:pic>
      <xdr:nvPicPr>
        <xdr:cNvPr id="6504" name="Изображение 6503" descr="resizeПП-00215693"/>
        <xdr:cNvPicPr>
          <a:picLocks noChangeAspect="1"/>
        </xdr:cNvPicPr>
      </xdr:nvPicPr>
      <xdr:blipFill>
        <a:blip xmlns:r="http://schemas.openxmlformats.org/officeDocument/2006/relationships" r:embed="rId2216"/>
        <a:stretch>
          <a:fillRect/>
        </a:stretch>
      </xdr:blipFill>
      <xdr:spPr>
        <a:xfrm>
          <a:off x="7264400" y="2906655350"/>
          <a:ext cx="878840" cy="1183640"/>
        </a:xfrm>
        <a:prstGeom prst="rect">
          <a:avLst/>
        </a:prstGeom>
      </xdr:spPr>
    </xdr:pic>
    <xdr:clientData/>
  </xdr:twoCellAnchor>
  <xdr:twoCellAnchor>
    <xdr:from>
      <xdr:col>8</xdr:col>
      <xdr:colOff>6350</xdr:colOff>
      <xdr:row>2932</xdr:row>
      <xdr:rowOff>25400</xdr:rowOff>
    </xdr:from>
    <xdr:to>
      <xdr:col>8</xdr:col>
      <xdr:colOff>885190</xdr:colOff>
      <xdr:row>2932</xdr:row>
      <xdr:rowOff>1209040</xdr:rowOff>
    </xdr:to>
    <xdr:pic>
      <xdr:nvPicPr>
        <xdr:cNvPr id="6505" name="Изображение 6504" descr="resizeПП-00215694"/>
        <xdr:cNvPicPr>
          <a:picLocks noChangeAspect="1"/>
        </xdr:cNvPicPr>
      </xdr:nvPicPr>
      <xdr:blipFill>
        <a:blip xmlns:r="http://schemas.openxmlformats.org/officeDocument/2006/relationships" r:embed="rId2217"/>
        <a:stretch>
          <a:fillRect/>
        </a:stretch>
      </xdr:blipFill>
      <xdr:spPr>
        <a:xfrm>
          <a:off x="7264400" y="2907877725"/>
          <a:ext cx="878840" cy="1183640"/>
        </a:xfrm>
        <a:prstGeom prst="rect">
          <a:avLst/>
        </a:prstGeom>
      </xdr:spPr>
    </xdr:pic>
    <xdr:clientData/>
  </xdr:twoCellAnchor>
  <xdr:twoCellAnchor>
    <xdr:from>
      <xdr:col>8</xdr:col>
      <xdr:colOff>6350</xdr:colOff>
      <xdr:row>2934</xdr:row>
      <xdr:rowOff>25400</xdr:rowOff>
    </xdr:from>
    <xdr:to>
      <xdr:col>8</xdr:col>
      <xdr:colOff>885190</xdr:colOff>
      <xdr:row>2934</xdr:row>
      <xdr:rowOff>1209040</xdr:rowOff>
    </xdr:to>
    <xdr:pic>
      <xdr:nvPicPr>
        <xdr:cNvPr id="6506" name="Изображение 6505" descr="resizeПП-00251499"/>
        <xdr:cNvPicPr>
          <a:picLocks noChangeAspect="1"/>
        </xdr:cNvPicPr>
      </xdr:nvPicPr>
      <xdr:blipFill>
        <a:blip xmlns:r="http://schemas.openxmlformats.org/officeDocument/2006/relationships" r:embed="rId2218"/>
        <a:stretch>
          <a:fillRect/>
        </a:stretch>
      </xdr:blipFill>
      <xdr:spPr>
        <a:xfrm>
          <a:off x="7264400" y="2909252500"/>
          <a:ext cx="878840" cy="1183640"/>
        </a:xfrm>
        <a:prstGeom prst="rect">
          <a:avLst/>
        </a:prstGeom>
      </xdr:spPr>
    </xdr:pic>
    <xdr:clientData/>
  </xdr:twoCellAnchor>
  <xdr:twoCellAnchor>
    <xdr:from>
      <xdr:col>8</xdr:col>
      <xdr:colOff>6350</xdr:colOff>
      <xdr:row>2936</xdr:row>
      <xdr:rowOff>25400</xdr:rowOff>
    </xdr:from>
    <xdr:to>
      <xdr:col>8</xdr:col>
      <xdr:colOff>885190</xdr:colOff>
      <xdr:row>2936</xdr:row>
      <xdr:rowOff>1209040</xdr:rowOff>
    </xdr:to>
    <xdr:pic>
      <xdr:nvPicPr>
        <xdr:cNvPr id="6507" name="Изображение 6506" descr="resizeПП-00204856"/>
        <xdr:cNvPicPr>
          <a:picLocks noChangeAspect="1"/>
        </xdr:cNvPicPr>
      </xdr:nvPicPr>
      <xdr:blipFill>
        <a:blip xmlns:r="http://schemas.openxmlformats.org/officeDocument/2006/relationships" r:embed="rId2219"/>
        <a:stretch>
          <a:fillRect/>
        </a:stretch>
      </xdr:blipFill>
      <xdr:spPr>
        <a:xfrm>
          <a:off x="7264400" y="2910627275"/>
          <a:ext cx="878840" cy="1183640"/>
        </a:xfrm>
        <a:prstGeom prst="rect">
          <a:avLst/>
        </a:prstGeom>
      </xdr:spPr>
    </xdr:pic>
    <xdr:clientData/>
  </xdr:twoCellAnchor>
  <xdr:twoCellAnchor>
    <xdr:from>
      <xdr:col>8</xdr:col>
      <xdr:colOff>6350</xdr:colOff>
      <xdr:row>2937</xdr:row>
      <xdr:rowOff>25400</xdr:rowOff>
    </xdr:from>
    <xdr:to>
      <xdr:col>8</xdr:col>
      <xdr:colOff>885190</xdr:colOff>
      <xdr:row>2937</xdr:row>
      <xdr:rowOff>1209040</xdr:rowOff>
    </xdr:to>
    <xdr:pic>
      <xdr:nvPicPr>
        <xdr:cNvPr id="6508" name="Изображение 6507" descr="resizeПП-00204851"/>
        <xdr:cNvPicPr>
          <a:picLocks noChangeAspect="1"/>
        </xdr:cNvPicPr>
      </xdr:nvPicPr>
      <xdr:blipFill>
        <a:blip xmlns:r="http://schemas.openxmlformats.org/officeDocument/2006/relationships" r:embed="rId2220"/>
        <a:stretch>
          <a:fillRect/>
        </a:stretch>
      </xdr:blipFill>
      <xdr:spPr>
        <a:xfrm>
          <a:off x="7264400" y="2911849650"/>
          <a:ext cx="878840" cy="1183640"/>
        </a:xfrm>
        <a:prstGeom prst="rect">
          <a:avLst/>
        </a:prstGeom>
      </xdr:spPr>
    </xdr:pic>
    <xdr:clientData/>
  </xdr:twoCellAnchor>
  <xdr:twoCellAnchor>
    <xdr:from>
      <xdr:col>8</xdr:col>
      <xdr:colOff>6350</xdr:colOff>
      <xdr:row>2938</xdr:row>
      <xdr:rowOff>25400</xdr:rowOff>
    </xdr:from>
    <xdr:to>
      <xdr:col>8</xdr:col>
      <xdr:colOff>885190</xdr:colOff>
      <xdr:row>2938</xdr:row>
      <xdr:rowOff>1209040</xdr:rowOff>
    </xdr:to>
    <xdr:pic>
      <xdr:nvPicPr>
        <xdr:cNvPr id="6509" name="Изображение 6508" descr="resizeПП-00204852"/>
        <xdr:cNvPicPr>
          <a:picLocks noChangeAspect="1"/>
        </xdr:cNvPicPr>
      </xdr:nvPicPr>
      <xdr:blipFill>
        <a:blip xmlns:r="http://schemas.openxmlformats.org/officeDocument/2006/relationships" r:embed="rId2221"/>
        <a:stretch>
          <a:fillRect/>
        </a:stretch>
      </xdr:blipFill>
      <xdr:spPr>
        <a:xfrm>
          <a:off x="7264400" y="2913072025"/>
          <a:ext cx="878840" cy="1183640"/>
        </a:xfrm>
        <a:prstGeom prst="rect">
          <a:avLst/>
        </a:prstGeom>
      </xdr:spPr>
    </xdr:pic>
    <xdr:clientData/>
  </xdr:twoCellAnchor>
  <xdr:twoCellAnchor>
    <xdr:from>
      <xdr:col>8</xdr:col>
      <xdr:colOff>6350</xdr:colOff>
      <xdr:row>2939</xdr:row>
      <xdr:rowOff>25400</xdr:rowOff>
    </xdr:from>
    <xdr:to>
      <xdr:col>8</xdr:col>
      <xdr:colOff>885190</xdr:colOff>
      <xdr:row>2939</xdr:row>
      <xdr:rowOff>1209040</xdr:rowOff>
    </xdr:to>
    <xdr:pic>
      <xdr:nvPicPr>
        <xdr:cNvPr id="6510" name="Изображение 6509" descr="resizeПП-00204854"/>
        <xdr:cNvPicPr>
          <a:picLocks noChangeAspect="1"/>
        </xdr:cNvPicPr>
      </xdr:nvPicPr>
      <xdr:blipFill>
        <a:blip xmlns:r="http://schemas.openxmlformats.org/officeDocument/2006/relationships" r:embed="rId2222"/>
        <a:stretch>
          <a:fillRect/>
        </a:stretch>
      </xdr:blipFill>
      <xdr:spPr>
        <a:xfrm>
          <a:off x="7264400" y="2914294400"/>
          <a:ext cx="878840" cy="1183640"/>
        </a:xfrm>
        <a:prstGeom prst="rect">
          <a:avLst/>
        </a:prstGeom>
      </xdr:spPr>
    </xdr:pic>
    <xdr:clientData/>
  </xdr:twoCellAnchor>
  <xdr:twoCellAnchor>
    <xdr:from>
      <xdr:col>8</xdr:col>
      <xdr:colOff>6350</xdr:colOff>
      <xdr:row>2940</xdr:row>
      <xdr:rowOff>25400</xdr:rowOff>
    </xdr:from>
    <xdr:to>
      <xdr:col>8</xdr:col>
      <xdr:colOff>885190</xdr:colOff>
      <xdr:row>2940</xdr:row>
      <xdr:rowOff>1209040</xdr:rowOff>
    </xdr:to>
    <xdr:pic>
      <xdr:nvPicPr>
        <xdr:cNvPr id="6511" name="Изображение 6510" descr="resizeПП-00204850"/>
        <xdr:cNvPicPr>
          <a:picLocks noChangeAspect="1"/>
        </xdr:cNvPicPr>
      </xdr:nvPicPr>
      <xdr:blipFill>
        <a:blip xmlns:r="http://schemas.openxmlformats.org/officeDocument/2006/relationships" r:embed="rId2223"/>
        <a:stretch>
          <a:fillRect/>
        </a:stretch>
      </xdr:blipFill>
      <xdr:spPr>
        <a:xfrm>
          <a:off x="7264400" y="2915516775"/>
          <a:ext cx="878840" cy="1183640"/>
        </a:xfrm>
        <a:prstGeom prst="rect">
          <a:avLst/>
        </a:prstGeom>
      </xdr:spPr>
    </xdr:pic>
    <xdr:clientData/>
  </xdr:twoCellAnchor>
  <xdr:twoCellAnchor>
    <xdr:from>
      <xdr:col>8</xdr:col>
      <xdr:colOff>6350</xdr:colOff>
      <xdr:row>2941</xdr:row>
      <xdr:rowOff>25400</xdr:rowOff>
    </xdr:from>
    <xdr:to>
      <xdr:col>8</xdr:col>
      <xdr:colOff>885190</xdr:colOff>
      <xdr:row>2941</xdr:row>
      <xdr:rowOff>1209040</xdr:rowOff>
    </xdr:to>
    <xdr:pic>
      <xdr:nvPicPr>
        <xdr:cNvPr id="6512" name="Изображение 6511" descr="resizeПП-00204853"/>
        <xdr:cNvPicPr>
          <a:picLocks noChangeAspect="1"/>
        </xdr:cNvPicPr>
      </xdr:nvPicPr>
      <xdr:blipFill>
        <a:blip xmlns:r="http://schemas.openxmlformats.org/officeDocument/2006/relationships" r:embed="rId2224"/>
        <a:stretch>
          <a:fillRect/>
        </a:stretch>
      </xdr:blipFill>
      <xdr:spPr>
        <a:xfrm>
          <a:off x="7264400" y="2916739150"/>
          <a:ext cx="878840" cy="1183640"/>
        </a:xfrm>
        <a:prstGeom prst="rect">
          <a:avLst/>
        </a:prstGeom>
      </xdr:spPr>
    </xdr:pic>
    <xdr:clientData/>
  </xdr:twoCellAnchor>
  <xdr:twoCellAnchor>
    <xdr:from>
      <xdr:col>8</xdr:col>
      <xdr:colOff>6350</xdr:colOff>
      <xdr:row>2942</xdr:row>
      <xdr:rowOff>25400</xdr:rowOff>
    </xdr:from>
    <xdr:to>
      <xdr:col>8</xdr:col>
      <xdr:colOff>885190</xdr:colOff>
      <xdr:row>2942</xdr:row>
      <xdr:rowOff>1209040</xdr:rowOff>
    </xdr:to>
    <xdr:pic>
      <xdr:nvPicPr>
        <xdr:cNvPr id="6513" name="Изображение 6512" descr="resizeПП-00204855"/>
        <xdr:cNvPicPr>
          <a:picLocks noChangeAspect="1"/>
        </xdr:cNvPicPr>
      </xdr:nvPicPr>
      <xdr:blipFill>
        <a:blip xmlns:r="http://schemas.openxmlformats.org/officeDocument/2006/relationships" r:embed="rId2225"/>
        <a:stretch>
          <a:fillRect/>
        </a:stretch>
      </xdr:blipFill>
      <xdr:spPr>
        <a:xfrm>
          <a:off x="7264400" y="2917961525"/>
          <a:ext cx="878840" cy="1183640"/>
        </a:xfrm>
        <a:prstGeom prst="rect">
          <a:avLst/>
        </a:prstGeom>
      </xdr:spPr>
    </xdr:pic>
    <xdr:clientData/>
  </xdr:twoCellAnchor>
  <xdr:twoCellAnchor>
    <xdr:from>
      <xdr:col>8</xdr:col>
      <xdr:colOff>6350</xdr:colOff>
      <xdr:row>2943</xdr:row>
      <xdr:rowOff>25400</xdr:rowOff>
    </xdr:from>
    <xdr:to>
      <xdr:col>8</xdr:col>
      <xdr:colOff>885190</xdr:colOff>
      <xdr:row>2943</xdr:row>
      <xdr:rowOff>1209040</xdr:rowOff>
    </xdr:to>
    <xdr:pic>
      <xdr:nvPicPr>
        <xdr:cNvPr id="6514" name="Изображение 6513" descr="resizeПП-00204849"/>
        <xdr:cNvPicPr>
          <a:picLocks noChangeAspect="1"/>
        </xdr:cNvPicPr>
      </xdr:nvPicPr>
      <xdr:blipFill>
        <a:blip xmlns:r="http://schemas.openxmlformats.org/officeDocument/2006/relationships" r:embed="rId2226"/>
        <a:stretch>
          <a:fillRect/>
        </a:stretch>
      </xdr:blipFill>
      <xdr:spPr>
        <a:xfrm>
          <a:off x="7264400" y="2919183900"/>
          <a:ext cx="878840" cy="1183640"/>
        </a:xfrm>
        <a:prstGeom prst="rect">
          <a:avLst/>
        </a:prstGeom>
      </xdr:spPr>
    </xdr:pic>
    <xdr:clientData/>
  </xdr:twoCellAnchor>
  <xdr:twoCellAnchor>
    <xdr:from>
      <xdr:col>8</xdr:col>
      <xdr:colOff>6350</xdr:colOff>
      <xdr:row>2944</xdr:row>
      <xdr:rowOff>25400</xdr:rowOff>
    </xdr:from>
    <xdr:to>
      <xdr:col>8</xdr:col>
      <xdr:colOff>885190</xdr:colOff>
      <xdr:row>2944</xdr:row>
      <xdr:rowOff>1209040</xdr:rowOff>
    </xdr:to>
    <xdr:pic>
      <xdr:nvPicPr>
        <xdr:cNvPr id="6515" name="Изображение 6514" descr="resizeПП-00204845"/>
        <xdr:cNvPicPr>
          <a:picLocks noChangeAspect="1"/>
        </xdr:cNvPicPr>
      </xdr:nvPicPr>
      <xdr:blipFill>
        <a:blip xmlns:r="http://schemas.openxmlformats.org/officeDocument/2006/relationships" r:embed="rId2227"/>
        <a:stretch>
          <a:fillRect/>
        </a:stretch>
      </xdr:blipFill>
      <xdr:spPr>
        <a:xfrm>
          <a:off x="7264400" y="2920406275"/>
          <a:ext cx="878840" cy="1183640"/>
        </a:xfrm>
        <a:prstGeom prst="rect">
          <a:avLst/>
        </a:prstGeom>
      </xdr:spPr>
    </xdr:pic>
    <xdr:clientData/>
  </xdr:twoCellAnchor>
  <xdr:twoCellAnchor>
    <xdr:from>
      <xdr:col>8</xdr:col>
      <xdr:colOff>6350</xdr:colOff>
      <xdr:row>2945</xdr:row>
      <xdr:rowOff>25400</xdr:rowOff>
    </xdr:from>
    <xdr:to>
      <xdr:col>8</xdr:col>
      <xdr:colOff>885190</xdr:colOff>
      <xdr:row>2945</xdr:row>
      <xdr:rowOff>1209040</xdr:rowOff>
    </xdr:to>
    <xdr:pic>
      <xdr:nvPicPr>
        <xdr:cNvPr id="6516" name="Изображение 6515" descr="resizeПП-00204838"/>
        <xdr:cNvPicPr>
          <a:picLocks noChangeAspect="1"/>
        </xdr:cNvPicPr>
      </xdr:nvPicPr>
      <xdr:blipFill>
        <a:blip xmlns:r="http://schemas.openxmlformats.org/officeDocument/2006/relationships" r:embed="rId2228"/>
        <a:stretch>
          <a:fillRect/>
        </a:stretch>
      </xdr:blipFill>
      <xdr:spPr>
        <a:xfrm>
          <a:off x="7264400" y="2921628650"/>
          <a:ext cx="878840" cy="1183640"/>
        </a:xfrm>
        <a:prstGeom prst="rect">
          <a:avLst/>
        </a:prstGeom>
      </xdr:spPr>
    </xdr:pic>
    <xdr:clientData/>
  </xdr:twoCellAnchor>
  <xdr:twoCellAnchor>
    <xdr:from>
      <xdr:col>8</xdr:col>
      <xdr:colOff>6350</xdr:colOff>
      <xdr:row>2946</xdr:row>
      <xdr:rowOff>25400</xdr:rowOff>
    </xdr:from>
    <xdr:to>
      <xdr:col>8</xdr:col>
      <xdr:colOff>885190</xdr:colOff>
      <xdr:row>2946</xdr:row>
      <xdr:rowOff>1209040</xdr:rowOff>
    </xdr:to>
    <xdr:pic>
      <xdr:nvPicPr>
        <xdr:cNvPr id="6517" name="Изображение 6516" descr="resizeПП-00204846"/>
        <xdr:cNvPicPr>
          <a:picLocks noChangeAspect="1"/>
        </xdr:cNvPicPr>
      </xdr:nvPicPr>
      <xdr:blipFill>
        <a:blip xmlns:r="http://schemas.openxmlformats.org/officeDocument/2006/relationships" r:embed="rId2229"/>
        <a:stretch>
          <a:fillRect/>
        </a:stretch>
      </xdr:blipFill>
      <xdr:spPr>
        <a:xfrm>
          <a:off x="7264400" y="2922851025"/>
          <a:ext cx="878840" cy="1183640"/>
        </a:xfrm>
        <a:prstGeom prst="rect">
          <a:avLst/>
        </a:prstGeom>
      </xdr:spPr>
    </xdr:pic>
    <xdr:clientData/>
  </xdr:twoCellAnchor>
  <xdr:twoCellAnchor>
    <xdr:from>
      <xdr:col>8</xdr:col>
      <xdr:colOff>6350</xdr:colOff>
      <xdr:row>2947</xdr:row>
      <xdr:rowOff>25400</xdr:rowOff>
    </xdr:from>
    <xdr:to>
      <xdr:col>8</xdr:col>
      <xdr:colOff>885190</xdr:colOff>
      <xdr:row>2947</xdr:row>
      <xdr:rowOff>1209040</xdr:rowOff>
    </xdr:to>
    <xdr:pic>
      <xdr:nvPicPr>
        <xdr:cNvPr id="6518" name="Изображение 6517" descr="resizeПП-00204848"/>
        <xdr:cNvPicPr>
          <a:picLocks noChangeAspect="1"/>
        </xdr:cNvPicPr>
      </xdr:nvPicPr>
      <xdr:blipFill>
        <a:blip xmlns:r="http://schemas.openxmlformats.org/officeDocument/2006/relationships" r:embed="rId2230"/>
        <a:stretch>
          <a:fillRect/>
        </a:stretch>
      </xdr:blipFill>
      <xdr:spPr>
        <a:xfrm>
          <a:off x="7264400" y="2924073400"/>
          <a:ext cx="878840" cy="1183640"/>
        </a:xfrm>
        <a:prstGeom prst="rect">
          <a:avLst/>
        </a:prstGeom>
      </xdr:spPr>
    </xdr:pic>
    <xdr:clientData/>
  </xdr:twoCellAnchor>
  <xdr:twoCellAnchor>
    <xdr:from>
      <xdr:col>8</xdr:col>
      <xdr:colOff>6350</xdr:colOff>
      <xdr:row>2948</xdr:row>
      <xdr:rowOff>25400</xdr:rowOff>
    </xdr:from>
    <xdr:to>
      <xdr:col>8</xdr:col>
      <xdr:colOff>885190</xdr:colOff>
      <xdr:row>2948</xdr:row>
      <xdr:rowOff>1209040</xdr:rowOff>
    </xdr:to>
    <xdr:pic>
      <xdr:nvPicPr>
        <xdr:cNvPr id="6519" name="Изображение 6518" descr="resizeПП-00204847"/>
        <xdr:cNvPicPr>
          <a:picLocks noChangeAspect="1"/>
        </xdr:cNvPicPr>
      </xdr:nvPicPr>
      <xdr:blipFill>
        <a:blip xmlns:r="http://schemas.openxmlformats.org/officeDocument/2006/relationships" r:embed="rId2231"/>
        <a:stretch>
          <a:fillRect/>
        </a:stretch>
      </xdr:blipFill>
      <xdr:spPr>
        <a:xfrm>
          <a:off x="7264400" y="2925295775"/>
          <a:ext cx="878840" cy="1183640"/>
        </a:xfrm>
        <a:prstGeom prst="rect">
          <a:avLst/>
        </a:prstGeom>
      </xdr:spPr>
    </xdr:pic>
    <xdr:clientData/>
  </xdr:twoCellAnchor>
  <xdr:twoCellAnchor>
    <xdr:from>
      <xdr:col>8</xdr:col>
      <xdr:colOff>6350</xdr:colOff>
      <xdr:row>2949</xdr:row>
      <xdr:rowOff>25400</xdr:rowOff>
    </xdr:from>
    <xdr:to>
      <xdr:col>8</xdr:col>
      <xdr:colOff>885190</xdr:colOff>
      <xdr:row>2949</xdr:row>
      <xdr:rowOff>1209040</xdr:rowOff>
    </xdr:to>
    <xdr:pic>
      <xdr:nvPicPr>
        <xdr:cNvPr id="6520" name="Изображение 6519" descr="resizeПП-00227521"/>
        <xdr:cNvPicPr>
          <a:picLocks noChangeAspect="1"/>
        </xdr:cNvPicPr>
      </xdr:nvPicPr>
      <xdr:blipFill>
        <a:blip xmlns:r="http://schemas.openxmlformats.org/officeDocument/2006/relationships" r:embed="rId2232"/>
        <a:stretch>
          <a:fillRect/>
        </a:stretch>
      </xdr:blipFill>
      <xdr:spPr>
        <a:xfrm>
          <a:off x="7264400" y="2926518150"/>
          <a:ext cx="878840" cy="1183640"/>
        </a:xfrm>
        <a:prstGeom prst="rect">
          <a:avLst/>
        </a:prstGeom>
      </xdr:spPr>
    </xdr:pic>
    <xdr:clientData/>
  </xdr:twoCellAnchor>
  <xdr:twoCellAnchor>
    <xdr:from>
      <xdr:col>8</xdr:col>
      <xdr:colOff>6350</xdr:colOff>
      <xdr:row>2951</xdr:row>
      <xdr:rowOff>25400</xdr:rowOff>
    </xdr:from>
    <xdr:to>
      <xdr:col>8</xdr:col>
      <xdr:colOff>885190</xdr:colOff>
      <xdr:row>2951</xdr:row>
      <xdr:rowOff>1209040</xdr:rowOff>
    </xdr:to>
    <xdr:pic>
      <xdr:nvPicPr>
        <xdr:cNvPr id="6521" name="Изображение 6520" descr="resizeПП-00251526"/>
        <xdr:cNvPicPr>
          <a:picLocks noChangeAspect="1"/>
        </xdr:cNvPicPr>
      </xdr:nvPicPr>
      <xdr:blipFill>
        <a:blip xmlns:r="http://schemas.openxmlformats.org/officeDocument/2006/relationships" r:embed="rId2233"/>
        <a:stretch>
          <a:fillRect/>
        </a:stretch>
      </xdr:blipFill>
      <xdr:spPr>
        <a:xfrm>
          <a:off x="7264400" y="2927892925"/>
          <a:ext cx="878840" cy="1183640"/>
        </a:xfrm>
        <a:prstGeom prst="rect">
          <a:avLst/>
        </a:prstGeom>
      </xdr:spPr>
    </xdr:pic>
    <xdr:clientData/>
  </xdr:twoCellAnchor>
  <xdr:twoCellAnchor>
    <xdr:from>
      <xdr:col>8</xdr:col>
      <xdr:colOff>6350</xdr:colOff>
      <xdr:row>2952</xdr:row>
      <xdr:rowOff>25400</xdr:rowOff>
    </xdr:from>
    <xdr:to>
      <xdr:col>8</xdr:col>
      <xdr:colOff>885190</xdr:colOff>
      <xdr:row>2952</xdr:row>
      <xdr:rowOff>1209040</xdr:rowOff>
    </xdr:to>
    <xdr:pic>
      <xdr:nvPicPr>
        <xdr:cNvPr id="6522" name="Изображение 6521" descr="resizeПП-00251522"/>
        <xdr:cNvPicPr>
          <a:picLocks noChangeAspect="1"/>
        </xdr:cNvPicPr>
      </xdr:nvPicPr>
      <xdr:blipFill>
        <a:blip xmlns:r="http://schemas.openxmlformats.org/officeDocument/2006/relationships" r:embed="rId2234"/>
        <a:stretch>
          <a:fillRect/>
        </a:stretch>
      </xdr:blipFill>
      <xdr:spPr>
        <a:xfrm>
          <a:off x="7264400" y="2929115300"/>
          <a:ext cx="878840" cy="1183640"/>
        </a:xfrm>
        <a:prstGeom prst="rect">
          <a:avLst/>
        </a:prstGeom>
      </xdr:spPr>
    </xdr:pic>
    <xdr:clientData/>
  </xdr:twoCellAnchor>
  <xdr:twoCellAnchor>
    <xdr:from>
      <xdr:col>8</xdr:col>
      <xdr:colOff>6350</xdr:colOff>
      <xdr:row>2955</xdr:row>
      <xdr:rowOff>25400</xdr:rowOff>
    </xdr:from>
    <xdr:to>
      <xdr:col>8</xdr:col>
      <xdr:colOff>885190</xdr:colOff>
      <xdr:row>2955</xdr:row>
      <xdr:rowOff>1209040</xdr:rowOff>
    </xdr:to>
    <xdr:pic>
      <xdr:nvPicPr>
        <xdr:cNvPr id="6523" name="Изображение 6522" descr="resizeПП-00244811"/>
        <xdr:cNvPicPr>
          <a:picLocks noChangeAspect="1"/>
        </xdr:cNvPicPr>
      </xdr:nvPicPr>
      <xdr:blipFill>
        <a:blip xmlns:r="http://schemas.openxmlformats.org/officeDocument/2006/relationships" r:embed="rId2235"/>
        <a:stretch>
          <a:fillRect/>
        </a:stretch>
      </xdr:blipFill>
      <xdr:spPr>
        <a:xfrm>
          <a:off x="7264400" y="2930693275"/>
          <a:ext cx="878840" cy="1183640"/>
        </a:xfrm>
        <a:prstGeom prst="rect">
          <a:avLst/>
        </a:prstGeom>
      </xdr:spPr>
    </xdr:pic>
    <xdr:clientData/>
  </xdr:twoCellAnchor>
  <xdr:twoCellAnchor>
    <xdr:from>
      <xdr:col>8</xdr:col>
      <xdr:colOff>6350</xdr:colOff>
      <xdr:row>2956</xdr:row>
      <xdr:rowOff>25400</xdr:rowOff>
    </xdr:from>
    <xdr:to>
      <xdr:col>8</xdr:col>
      <xdr:colOff>885190</xdr:colOff>
      <xdr:row>2956</xdr:row>
      <xdr:rowOff>1209040</xdr:rowOff>
    </xdr:to>
    <xdr:pic>
      <xdr:nvPicPr>
        <xdr:cNvPr id="6524" name="Изображение 6523" descr="resizeПП-00259451"/>
        <xdr:cNvPicPr>
          <a:picLocks noChangeAspect="1"/>
        </xdr:cNvPicPr>
      </xdr:nvPicPr>
      <xdr:blipFill>
        <a:blip xmlns:r="http://schemas.openxmlformats.org/officeDocument/2006/relationships" r:embed="rId2236"/>
        <a:stretch>
          <a:fillRect/>
        </a:stretch>
      </xdr:blipFill>
      <xdr:spPr>
        <a:xfrm>
          <a:off x="7264400" y="2931915650"/>
          <a:ext cx="878840" cy="1183640"/>
        </a:xfrm>
        <a:prstGeom prst="rect">
          <a:avLst/>
        </a:prstGeom>
      </xdr:spPr>
    </xdr:pic>
    <xdr:clientData/>
  </xdr:twoCellAnchor>
  <xdr:twoCellAnchor>
    <xdr:from>
      <xdr:col>8</xdr:col>
      <xdr:colOff>6350</xdr:colOff>
      <xdr:row>2957</xdr:row>
      <xdr:rowOff>25400</xdr:rowOff>
    </xdr:from>
    <xdr:to>
      <xdr:col>8</xdr:col>
      <xdr:colOff>885190</xdr:colOff>
      <xdr:row>2957</xdr:row>
      <xdr:rowOff>1209040</xdr:rowOff>
    </xdr:to>
    <xdr:pic>
      <xdr:nvPicPr>
        <xdr:cNvPr id="6525" name="Изображение 6524" descr="resizeПП-00259452"/>
        <xdr:cNvPicPr>
          <a:picLocks noChangeAspect="1"/>
        </xdr:cNvPicPr>
      </xdr:nvPicPr>
      <xdr:blipFill>
        <a:blip xmlns:r="http://schemas.openxmlformats.org/officeDocument/2006/relationships" r:embed="rId2237"/>
        <a:stretch>
          <a:fillRect/>
        </a:stretch>
      </xdr:blipFill>
      <xdr:spPr>
        <a:xfrm>
          <a:off x="7264400" y="2933138025"/>
          <a:ext cx="878840" cy="1183640"/>
        </a:xfrm>
        <a:prstGeom prst="rect">
          <a:avLst/>
        </a:prstGeom>
      </xdr:spPr>
    </xdr:pic>
    <xdr:clientData/>
  </xdr:twoCellAnchor>
  <xdr:twoCellAnchor>
    <xdr:from>
      <xdr:col>8</xdr:col>
      <xdr:colOff>6350</xdr:colOff>
      <xdr:row>2958</xdr:row>
      <xdr:rowOff>25400</xdr:rowOff>
    </xdr:from>
    <xdr:to>
      <xdr:col>8</xdr:col>
      <xdr:colOff>885190</xdr:colOff>
      <xdr:row>2958</xdr:row>
      <xdr:rowOff>1209040</xdr:rowOff>
    </xdr:to>
    <xdr:pic>
      <xdr:nvPicPr>
        <xdr:cNvPr id="6526" name="Изображение 6525" descr="resizeПП-00259687"/>
        <xdr:cNvPicPr>
          <a:picLocks noChangeAspect="1"/>
        </xdr:cNvPicPr>
      </xdr:nvPicPr>
      <xdr:blipFill>
        <a:blip xmlns:r="http://schemas.openxmlformats.org/officeDocument/2006/relationships" r:embed="rId2238"/>
        <a:stretch>
          <a:fillRect/>
        </a:stretch>
      </xdr:blipFill>
      <xdr:spPr>
        <a:xfrm>
          <a:off x="7264400" y="2934360400"/>
          <a:ext cx="878840" cy="1183640"/>
        </a:xfrm>
        <a:prstGeom prst="rect">
          <a:avLst/>
        </a:prstGeom>
      </xdr:spPr>
    </xdr:pic>
    <xdr:clientData/>
  </xdr:twoCellAnchor>
  <xdr:twoCellAnchor>
    <xdr:from>
      <xdr:col>8</xdr:col>
      <xdr:colOff>6350</xdr:colOff>
      <xdr:row>2959</xdr:row>
      <xdr:rowOff>25400</xdr:rowOff>
    </xdr:from>
    <xdr:to>
      <xdr:col>8</xdr:col>
      <xdr:colOff>885190</xdr:colOff>
      <xdr:row>2959</xdr:row>
      <xdr:rowOff>1209040</xdr:rowOff>
    </xdr:to>
    <xdr:pic>
      <xdr:nvPicPr>
        <xdr:cNvPr id="6527" name="Изображение 6526" descr="resizeПП-00259689"/>
        <xdr:cNvPicPr>
          <a:picLocks noChangeAspect="1"/>
        </xdr:cNvPicPr>
      </xdr:nvPicPr>
      <xdr:blipFill>
        <a:blip xmlns:r="http://schemas.openxmlformats.org/officeDocument/2006/relationships" r:embed="rId2239"/>
        <a:stretch>
          <a:fillRect/>
        </a:stretch>
      </xdr:blipFill>
      <xdr:spPr>
        <a:xfrm>
          <a:off x="7264400" y="2935582775"/>
          <a:ext cx="878840" cy="1183640"/>
        </a:xfrm>
        <a:prstGeom prst="rect">
          <a:avLst/>
        </a:prstGeom>
      </xdr:spPr>
    </xdr:pic>
    <xdr:clientData/>
  </xdr:twoCellAnchor>
  <xdr:twoCellAnchor>
    <xdr:from>
      <xdr:col>8</xdr:col>
      <xdr:colOff>6350</xdr:colOff>
      <xdr:row>2960</xdr:row>
      <xdr:rowOff>25400</xdr:rowOff>
    </xdr:from>
    <xdr:to>
      <xdr:col>8</xdr:col>
      <xdr:colOff>885190</xdr:colOff>
      <xdr:row>2960</xdr:row>
      <xdr:rowOff>1209040</xdr:rowOff>
    </xdr:to>
    <xdr:pic>
      <xdr:nvPicPr>
        <xdr:cNvPr id="6528" name="Изображение 6527" descr="resizeПП-00259688"/>
        <xdr:cNvPicPr>
          <a:picLocks noChangeAspect="1"/>
        </xdr:cNvPicPr>
      </xdr:nvPicPr>
      <xdr:blipFill>
        <a:blip xmlns:r="http://schemas.openxmlformats.org/officeDocument/2006/relationships" r:embed="rId2240"/>
        <a:stretch>
          <a:fillRect/>
        </a:stretch>
      </xdr:blipFill>
      <xdr:spPr>
        <a:xfrm>
          <a:off x="7264400" y="2936805150"/>
          <a:ext cx="878840" cy="1183640"/>
        </a:xfrm>
        <a:prstGeom prst="rect">
          <a:avLst/>
        </a:prstGeom>
      </xdr:spPr>
    </xdr:pic>
    <xdr:clientData/>
  </xdr:twoCellAnchor>
  <xdr:twoCellAnchor>
    <xdr:from>
      <xdr:col>8</xdr:col>
      <xdr:colOff>6350</xdr:colOff>
      <xdr:row>2962</xdr:row>
      <xdr:rowOff>25400</xdr:rowOff>
    </xdr:from>
    <xdr:to>
      <xdr:col>8</xdr:col>
      <xdr:colOff>885190</xdr:colOff>
      <xdr:row>2962</xdr:row>
      <xdr:rowOff>1209040</xdr:rowOff>
    </xdr:to>
    <xdr:pic>
      <xdr:nvPicPr>
        <xdr:cNvPr id="6529" name="Изображение 6528" descr="resizeПП-00259445"/>
        <xdr:cNvPicPr>
          <a:picLocks noChangeAspect="1"/>
        </xdr:cNvPicPr>
      </xdr:nvPicPr>
      <xdr:blipFill>
        <a:blip xmlns:r="http://schemas.openxmlformats.org/officeDocument/2006/relationships" r:embed="rId2241"/>
        <a:stretch>
          <a:fillRect/>
        </a:stretch>
      </xdr:blipFill>
      <xdr:spPr>
        <a:xfrm>
          <a:off x="7264400" y="2938179925"/>
          <a:ext cx="878840" cy="1183640"/>
        </a:xfrm>
        <a:prstGeom prst="rect">
          <a:avLst/>
        </a:prstGeom>
      </xdr:spPr>
    </xdr:pic>
    <xdr:clientData/>
  </xdr:twoCellAnchor>
  <xdr:twoCellAnchor>
    <xdr:from>
      <xdr:col>8</xdr:col>
      <xdr:colOff>6350</xdr:colOff>
      <xdr:row>2963</xdr:row>
      <xdr:rowOff>25400</xdr:rowOff>
    </xdr:from>
    <xdr:to>
      <xdr:col>8</xdr:col>
      <xdr:colOff>885190</xdr:colOff>
      <xdr:row>2963</xdr:row>
      <xdr:rowOff>1209040</xdr:rowOff>
    </xdr:to>
    <xdr:pic>
      <xdr:nvPicPr>
        <xdr:cNvPr id="6530" name="Изображение 6529" descr="resizeПП-00259449"/>
        <xdr:cNvPicPr>
          <a:picLocks noChangeAspect="1"/>
        </xdr:cNvPicPr>
      </xdr:nvPicPr>
      <xdr:blipFill>
        <a:blip xmlns:r="http://schemas.openxmlformats.org/officeDocument/2006/relationships" r:embed="rId2242"/>
        <a:stretch>
          <a:fillRect/>
        </a:stretch>
      </xdr:blipFill>
      <xdr:spPr>
        <a:xfrm>
          <a:off x="7264400" y="2939402300"/>
          <a:ext cx="878840" cy="1183640"/>
        </a:xfrm>
        <a:prstGeom prst="rect">
          <a:avLst/>
        </a:prstGeom>
      </xdr:spPr>
    </xdr:pic>
    <xdr:clientData/>
  </xdr:twoCellAnchor>
  <xdr:twoCellAnchor>
    <xdr:from>
      <xdr:col>8</xdr:col>
      <xdr:colOff>6350</xdr:colOff>
      <xdr:row>2964</xdr:row>
      <xdr:rowOff>25400</xdr:rowOff>
    </xdr:from>
    <xdr:to>
      <xdr:col>8</xdr:col>
      <xdr:colOff>885190</xdr:colOff>
      <xdr:row>2964</xdr:row>
      <xdr:rowOff>1209040</xdr:rowOff>
    </xdr:to>
    <xdr:pic>
      <xdr:nvPicPr>
        <xdr:cNvPr id="6531" name="Изображение 6530" descr="resizeПП-00259679"/>
        <xdr:cNvPicPr>
          <a:picLocks noChangeAspect="1"/>
        </xdr:cNvPicPr>
      </xdr:nvPicPr>
      <xdr:blipFill>
        <a:blip xmlns:r="http://schemas.openxmlformats.org/officeDocument/2006/relationships" r:embed="rId2243"/>
        <a:stretch>
          <a:fillRect/>
        </a:stretch>
      </xdr:blipFill>
      <xdr:spPr>
        <a:xfrm>
          <a:off x="7264400" y="2940624675"/>
          <a:ext cx="878840" cy="1183640"/>
        </a:xfrm>
        <a:prstGeom prst="rect">
          <a:avLst/>
        </a:prstGeom>
      </xdr:spPr>
    </xdr:pic>
    <xdr:clientData/>
  </xdr:twoCellAnchor>
  <xdr:twoCellAnchor>
    <xdr:from>
      <xdr:col>8</xdr:col>
      <xdr:colOff>6350</xdr:colOff>
      <xdr:row>2965</xdr:row>
      <xdr:rowOff>25400</xdr:rowOff>
    </xdr:from>
    <xdr:to>
      <xdr:col>8</xdr:col>
      <xdr:colOff>885190</xdr:colOff>
      <xdr:row>2965</xdr:row>
      <xdr:rowOff>1209040</xdr:rowOff>
    </xdr:to>
    <xdr:pic>
      <xdr:nvPicPr>
        <xdr:cNvPr id="6532" name="Изображение 6531" descr="resizeПП-00259436"/>
        <xdr:cNvPicPr>
          <a:picLocks noChangeAspect="1"/>
        </xdr:cNvPicPr>
      </xdr:nvPicPr>
      <xdr:blipFill>
        <a:blip xmlns:r="http://schemas.openxmlformats.org/officeDocument/2006/relationships" r:embed="rId2244"/>
        <a:stretch>
          <a:fillRect/>
        </a:stretch>
      </xdr:blipFill>
      <xdr:spPr>
        <a:xfrm>
          <a:off x="7264400" y="2941847050"/>
          <a:ext cx="878840" cy="1183640"/>
        </a:xfrm>
        <a:prstGeom prst="rect">
          <a:avLst/>
        </a:prstGeom>
      </xdr:spPr>
    </xdr:pic>
    <xdr:clientData/>
  </xdr:twoCellAnchor>
  <xdr:twoCellAnchor>
    <xdr:from>
      <xdr:col>8</xdr:col>
      <xdr:colOff>6350</xdr:colOff>
      <xdr:row>2966</xdr:row>
      <xdr:rowOff>25400</xdr:rowOff>
    </xdr:from>
    <xdr:to>
      <xdr:col>8</xdr:col>
      <xdr:colOff>885190</xdr:colOff>
      <xdr:row>2966</xdr:row>
      <xdr:rowOff>1209040</xdr:rowOff>
    </xdr:to>
    <xdr:pic>
      <xdr:nvPicPr>
        <xdr:cNvPr id="6533" name="Изображение 6532" descr="resizeПП-00265215"/>
        <xdr:cNvPicPr>
          <a:picLocks noChangeAspect="1"/>
        </xdr:cNvPicPr>
      </xdr:nvPicPr>
      <xdr:blipFill>
        <a:blip xmlns:r="http://schemas.openxmlformats.org/officeDocument/2006/relationships" r:embed="rId2245"/>
        <a:stretch>
          <a:fillRect/>
        </a:stretch>
      </xdr:blipFill>
      <xdr:spPr>
        <a:xfrm>
          <a:off x="7264400" y="2943069425"/>
          <a:ext cx="878840" cy="1183640"/>
        </a:xfrm>
        <a:prstGeom prst="rect">
          <a:avLst/>
        </a:prstGeom>
      </xdr:spPr>
    </xdr:pic>
    <xdr:clientData/>
  </xdr:twoCellAnchor>
  <xdr:twoCellAnchor>
    <xdr:from>
      <xdr:col>8</xdr:col>
      <xdr:colOff>6350</xdr:colOff>
      <xdr:row>2971</xdr:row>
      <xdr:rowOff>25400</xdr:rowOff>
    </xdr:from>
    <xdr:to>
      <xdr:col>8</xdr:col>
      <xdr:colOff>885190</xdr:colOff>
      <xdr:row>2971</xdr:row>
      <xdr:rowOff>1209040</xdr:rowOff>
    </xdr:to>
    <xdr:pic>
      <xdr:nvPicPr>
        <xdr:cNvPr id="6534" name="Изображение 6533" descr="resizeПП-00278738"/>
        <xdr:cNvPicPr>
          <a:picLocks noChangeAspect="1"/>
        </xdr:cNvPicPr>
      </xdr:nvPicPr>
      <xdr:blipFill>
        <a:blip xmlns:r="http://schemas.openxmlformats.org/officeDocument/2006/relationships" r:embed="rId2246"/>
        <a:stretch>
          <a:fillRect/>
        </a:stretch>
      </xdr:blipFill>
      <xdr:spPr>
        <a:xfrm>
          <a:off x="7264400" y="2944952200"/>
          <a:ext cx="878840" cy="1183640"/>
        </a:xfrm>
        <a:prstGeom prst="rect">
          <a:avLst/>
        </a:prstGeom>
      </xdr:spPr>
    </xdr:pic>
    <xdr:clientData/>
  </xdr:twoCellAnchor>
  <xdr:twoCellAnchor>
    <xdr:from>
      <xdr:col>8</xdr:col>
      <xdr:colOff>6350</xdr:colOff>
      <xdr:row>2975</xdr:row>
      <xdr:rowOff>25400</xdr:rowOff>
    </xdr:from>
    <xdr:to>
      <xdr:col>8</xdr:col>
      <xdr:colOff>885190</xdr:colOff>
      <xdr:row>2975</xdr:row>
      <xdr:rowOff>1209040</xdr:rowOff>
    </xdr:to>
    <xdr:pic>
      <xdr:nvPicPr>
        <xdr:cNvPr id="6535" name="Изображение 6534" descr="resizeПП-00278737"/>
        <xdr:cNvPicPr>
          <a:picLocks noChangeAspect="1"/>
        </xdr:cNvPicPr>
      </xdr:nvPicPr>
      <xdr:blipFill>
        <a:blip xmlns:r="http://schemas.openxmlformats.org/officeDocument/2006/relationships" r:embed="rId2247"/>
        <a:stretch>
          <a:fillRect/>
        </a:stretch>
      </xdr:blipFill>
      <xdr:spPr>
        <a:xfrm>
          <a:off x="7264400" y="2946631775"/>
          <a:ext cx="878840" cy="1183640"/>
        </a:xfrm>
        <a:prstGeom prst="rect">
          <a:avLst/>
        </a:prstGeom>
      </xdr:spPr>
    </xdr:pic>
    <xdr:clientData/>
  </xdr:twoCellAnchor>
  <xdr:twoCellAnchor>
    <xdr:from>
      <xdr:col>8</xdr:col>
      <xdr:colOff>6350</xdr:colOff>
      <xdr:row>2977</xdr:row>
      <xdr:rowOff>25400</xdr:rowOff>
    </xdr:from>
    <xdr:to>
      <xdr:col>8</xdr:col>
      <xdr:colOff>885190</xdr:colOff>
      <xdr:row>2977</xdr:row>
      <xdr:rowOff>1209040</xdr:rowOff>
    </xdr:to>
    <xdr:pic>
      <xdr:nvPicPr>
        <xdr:cNvPr id="6536" name="Изображение 6535" descr="resizeПП-00280393"/>
        <xdr:cNvPicPr>
          <a:picLocks noChangeAspect="1"/>
        </xdr:cNvPicPr>
      </xdr:nvPicPr>
      <xdr:blipFill>
        <a:blip xmlns:r="http://schemas.openxmlformats.org/officeDocument/2006/relationships" r:embed="rId2248"/>
        <a:stretch>
          <a:fillRect/>
        </a:stretch>
      </xdr:blipFill>
      <xdr:spPr>
        <a:xfrm>
          <a:off x="7264400" y="2948006550"/>
          <a:ext cx="878840" cy="1183640"/>
        </a:xfrm>
        <a:prstGeom prst="rect">
          <a:avLst/>
        </a:prstGeom>
      </xdr:spPr>
    </xdr:pic>
    <xdr:clientData/>
  </xdr:twoCellAnchor>
  <xdr:twoCellAnchor>
    <xdr:from>
      <xdr:col>8</xdr:col>
      <xdr:colOff>6350</xdr:colOff>
      <xdr:row>2982</xdr:row>
      <xdr:rowOff>25400</xdr:rowOff>
    </xdr:from>
    <xdr:to>
      <xdr:col>8</xdr:col>
      <xdr:colOff>885190</xdr:colOff>
      <xdr:row>2982</xdr:row>
      <xdr:rowOff>1209040</xdr:rowOff>
    </xdr:to>
    <xdr:pic>
      <xdr:nvPicPr>
        <xdr:cNvPr id="6537" name="Изображение 6536" descr="resizeПП-00254267"/>
        <xdr:cNvPicPr>
          <a:picLocks noChangeAspect="1"/>
        </xdr:cNvPicPr>
      </xdr:nvPicPr>
      <xdr:blipFill>
        <a:blip xmlns:r="http://schemas.openxmlformats.org/officeDocument/2006/relationships" r:embed="rId2249"/>
        <a:stretch>
          <a:fillRect/>
        </a:stretch>
      </xdr:blipFill>
      <xdr:spPr>
        <a:xfrm>
          <a:off x="7264400" y="2949838525"/>
          <a:ext cx="878840" cy="1183640"/>
        </a:xfrm>
        <a:prstGeom prst="rect">
          <a:avLst/>
        </a:prstGeom>
      </xdr:spPr>
    </xdr:pic>
    <xdr:clientData/>
  </xdr:twoCellAnchor>
  <xdr:twoCellAnchor>
    <xdr:from>
      <xdr:col>8</xdr:col>
      <xdr:colOff>6350</xdr:colOff>
      <xdr:row>2986</xdr:row>
      <xdr:rowOff>25400</xdr:rowOff>
    </xdr:from>
    <xdr:to>
      <xdr:col>8</xdr:col>
      <xdr:colOff>885190</xdr:colOff>
      <xdr:row>2986</xdr:row>
      <xdr:rowOff>1209040</xdr:rowOff>
    </xdr:to>
    <xdr:pic>
      <xdr:nvPicPr>
        <xdr:cNvPr id="6538" name="Изображение 6537" descr="resizeПП-00254260"/>
        <xdr:cNvPicPr>
          <a:picLocks noChangeAspect="1"/>
        </xdr:cNvPicPr>
      </xdr:nvPicPr>
      <xdr:blipFill>
        <a:blip xmlns:r="http://schemas.openxmlformats.org/officeDocument/2006/relationships" r:embed="rId2250"/>
        <a:stretch>
          <a:fillRect/>
        </a:stretch>
      </xdr:blipFill>
      <xdr:spPr>
        <a:xfrm>
          <a:off x="7264400" y="2951518100"/>
          <a:ext cx="878840" cy="1183640"/>
        </a:xfrm>
        <a:prstGeom prst="rect">
          <a:avLst/>
        </a:prstGeom>
      </xdr:spPr>
    </xdr:pic>
    <xdr:clientData/>
  </xdr:twoCellAnchor>
  <xdr:twoCellAnchor>
    <xdr:from>
      <xdr:col>8</xdr:col>
      <xdr:colOff>6350</xdr:colOff>
      <xdr:row>2990</xdr:row>
      <xdr:rowOff>25400</xdr:rowOff>
    </xdr:from>
    <xdr:to>
      <xdr:col>8</xdr:col>
      <xdr:colOff>885190</xdr:colOff>
      <xdr:row>2990</xdr:row>
      <xdr:rowOff>1209040</xdr:rowOff>
    </xdr:to>
    <xdr:pic>
      <xdr:nvPicPr>
        <xdr:cNvPr id="6539" name="Изображение 6538" descr="resizeПП-00266037"/>
        <xdr:cNvPicPr>
          <a:picLocks noChangeAspect="1"/>
        </xdr:cNvPicPr>
      </xdr:nvPicPr>
      <xdr:blipFill>
        <a:blip xmlns:r="http://schemas.openxmlformats.org/officeDocument/2006/relationships" r:embed="rId2251"/>
        <a:stretch>
          <a:fillRect/>
        </a:stretch>
      </xdr:blipFill>
      <xdr:spPr>
        <a:xfrm>
          <a:off x="7264400" y="2953197675"/>
          <a:ext cx="878840" cy="1183640"/>
        </a:xfrm>
        <a:prstGeom prst="rect">
          <a:avLst/>
        </a:prstGeom>
      </xdr:spPr>
    </xdr:pic>
    <xdr:clientData/>
  </xdr:twoCellAnchor>
  <xdr:twoCellAnchor>
    <xdr:from>
      <xdr:col>8</xdr:col>
      <xdr:colOff>6350</xdr:colOff>
      <xdr:row>2994</xdr:row>
      <xdr:rowOff>25400</xdr:rowOff>
    </xdr:from>
    <xdr:to>
      <xdr:col>8</xdr:col>
      <xdr:colOff>885190</xdr:colOff>
      <xdr:row>2994</xdr:row>
      <xdr:rowOff>1209040</xdr:rowOff>
    </xdr:to>
    <xdr:pic>
      <xdr:nvPicPr>
        <xdr:cNvPr id="6540" name="Изображение 6539" descr="resizeПП-00278728"/>
        <xdr:cNvPicPr>
          <a:picLocks noChangeAspect="1"/>
        </xdr:cNvPicPr>
      </xdr:nvPicPr>
      <xdr:blipFill>
        <a:blip xmlns:r="http://schemas.openxmlformats.org/officeDocument/2006/relationships" r:embed="rId2252"/>
        <a:stretch>
          <a:fillRect/>
        </a:stretch>
      </xdr:blipFill>
      <xdr:spPr>
        <a:xfrm>
          <a:off x="7264400" y="2954877250"/>
          <a:ext cx="878840" cy="1183640"/>
        </a:xfrm>
        <a:prstGeom prst="rect">
          <a:avLst/>
        </a:prstGeom>
      </xdr:spPr>
    </xdr:pic>
    <xdr:clientData/>
  </xdr:twoCellAnchor>
  <xdr:twoCellAnchor>
    <xdr:from>
      <xdr:col>8</xdr:col>
      <xdr:colOff>6350</xdr:colOff>
      <xdr:row>2995</xdr:row>
      <xdr:rowOff>25400</xdr:rowOff>
    </xdr:from>
    <xdr:to>
      <xdr:col>8</xdr:col>
      <xdr:colOff>885190</xdr:colOff>
      <xdr:row>2995</xdr:row>
      <xdr:rowOff>1209040</xdr:rowOff>
    </xdr:to>
    <xdr:pic>
      <xdr:nvPicPr>
        <xdr:cNvPr id="6541" name="Изображение 6540" descr="resizeПП-00251672"/>
        <xdr:cNvPicPr>
          <a:picLocks noChangeAspect="1"/>
        </xdr:cNvPicPr>
      </xdr:nvPicPr>
      <xdr:blipFill>
        <a:blip xmlns:r="http://schemas.openxmlformats.org/officeDocument/2006/relationships" r:embed="rId2253"/>
        <a:stretch>
          <a:fillRect/>
        </a:stretch>
      </xdr:blipFill>
      <xdr:spPr>
        <a:xfrm>
          <a:off x="7264400" y="2956099625"/>
          <a:ext cx="878840" cy="1183640"/>
        </a:xfrm>
        <a:prstGeom prst="rect">
          <a:avLst/>
        </a:prstGeom>
      </xdr:spPr>
    </xdr:pic>
    <xdr:clientData/>
  </xdr:twoCellAnchor>
  <xdr:twoCellAnchor>
    <xdr:from>
      <xdr:col>8</xdr:col>
      <xdr:colOff>6350</xdr:colOff>
      <xdr:row>2997</xdr:row>
      <xdr:rowOff>25400</xdr:rowOff>
    </xdr:from>
    <xdr:to>
      <xdr:col>8</xdr:col>
      <xdr:colOff>885190</xdr:colOff>
      <xdr:row>2997</xdr:row>
      <xdr:rowOff>1209040</xdr:rowOff>
    </xdr:to>
    <xdr:pic>
      <xdr:nvPicPr>
        <xdr:cNvPr id="6542" name="Изображение 6541" descr="resizeПП-00261119"/>
        <xdr:cNvPicPr>
          <a:picLocks noChangeAspect="1"/>
        </xdr:cNvPicPr>
      </xdr:nvPicPr>
      <xdr:blipFill>
        <a:blip xmlns:r="http://schemas.openxmlformats.org/officeDocument/2006/relationships" r:embed="rId2254"/>
        <a:stretch>
          <a:fillRect/>
        </a:stretch>
      </xdr:blipFill>
      <xdr:spPr>
        <a:xfrm>
          <a:off x="7264400" y="2957474400"/>
          <a:ext cx="878840" cy="1183640"/>
        </a:xfrm>
        <a:prstGeom prst="rect">
          <a:avLst/>
        </a:prstGeom>
      </xdr:spPr>
    </xdr:pic>
    <xdr:clientData/>
  </xdr:twoCellAnchor>
  <xdr:twoCellAnchor>
    <xdr:from>
      <xdr:col>8</xdr:col>
      <xdr:colOff>6350</xdr:colOff>
      <xdr:row>3001</xdr:row>
      <xdr:rowOff>25400</xdr:rowOff>
    </xdr:from>
    <xdr:to>
      <xdr:col>8</xdr:col>
      <xdr:colOff>885190</xdr:colOff>
      <xdr:row>3001</xdr:row>
      <xdr:rowOff>1209040</xdr:rowOff>
    </xdr:to>
    <xdr:pic>
      <xdr:nvPicPr>
        <xdr:cNvPr id="6543" name="Изображение 6542" descr="resizeПП-00260021"/>
        <xdr:cNvPicPr>
          <a:picLocks noChangeAspect="1"/>
        </xdr:cNvPicPr>
      </xdr:nvPicPr>
      <xdr:blipFill>
        <a:blip xmlns:r="http://schemas.openxmlformats.org/officeDocument/2006/relationships" r:embed="rId2255"/>
        <a:stretch>
          <a:fillRect/>
        </a:stretch>
      </xdr:blipFill>
      <xdr:spPr>
        <a:xfrm>
          <a:off x="7264400" y="2959204775"/>
          <a:ext cx="878840" cy="1183640"/>
        </a:xfrm>
        <a:prstGeom prst="rect">
          <a:avLst/>
        </a:prstGeom>
      </xdr:spPr>
    </xdr:pic>
    <xdr:clientData/>
  </xdr:twoCellAnchor>
  <xdr:twoCellAnchor>
    <xdr:from>
      <xdr:col>8</xdr:col>
      <xdr:colOff>6350</xdr:colOff>
      <xdr:row>3002</xdr:row>
      <xdr:rowOff>25400</xdr:rowOff>
    </xdr:from>
    <xdr:to>
      <xdr:col>8</xdr:col>
      <xdr:colOff>885190</xdr:colOff>
      <xdr:row>3002</xdr:row>
      <xdr:rowOff>1209040</xdr:rowOff>
    </xdr:to>
    <xdr:pic>
      <xdr:nvPicPr>
        <xdr:cNvPr id="6544" name="Изображение 6543" descr="resizeПП-00260032"/>
        <xdr:cNvPicPr>
          <a:picLocks noChangeAspect="1"/>
        </xdr:cNvPicPr>
      </xdr:nvPicPr>
      <xdr:blipFill>
        <a:blip xmlns:r="http://schemas.openxmlformats.org/officeDocument/2006/relationships" r:embed="rId2256"/>
        <a:stretch>
          <a:fillRect/>
        </a:stretch>
      </xdr:blipFill>
      <xdr:spPr>
        <a:xfrm>
          <a:off x="7264400" y="2960427150"/>
          <a:ext cx="878840" cy="1183640"/>
        </a:xfrm>
        <a:prstGeom prst="rect">
          <a:avLst/>
        </a:prstGeom>
      </xdr:spPr>
    </xdr:pic>
    <xdr:clientData/>
  </xdr:twoCellAnchor>
  <xdr:twoCellAnchor>
    <xdr:from>
      <xdr:col>8</xdr:col>
      <xdr:colOff>6350</xdr:colOff>
      <xdr:row>3003</xdr:row>
      <xdr:rowOff>25400</xdr:rowOff>
    </xdr:from>
    <xdr:to>
      <xdr:col>8</xdr:col>
      <xdr:colOff>885190</xdr:colOff>
      <xdr:row>3003</xdr:row>
      <xdr:rowOff>1209040</xdr:rowOff>
    </xdr:to>
    <xdr:pic>
      <xdr:nvPicPr>
        <xdr:cNvPr id="6545" name="Изображение 6544" descr="resizeПП-00280698"/>
        <xdr:cNvPicPr>
          <a:picLocks noChangeAspect="1"/>
        </xdr:cNvPicPr>
      </xdr:nvPicPr>
      <xdr:blipFill>
        <a:blip xmlns:r="http://schemas.openxmlformats.org/officeDocument/2006/relationships" r:embed="rId2257"/>
        <a:stretch>
          <a:fillRect/>
        </a:stretch>
      </xdr:blipFill>
      <xdr:spPr>
        <a:xfrm>
          <a:off x="7264400" y="2961649525"/>
          <a:ext cx="878840" cy="1183640"/>
        </a:xfrm>
        <a:prstGeom prst="rect">
          <a:avLst/>
        </a:prstGeom>
      </xdr:spPr>
    </xdr:pic>
    <xdr:clientData/>
  </xdr:twoCellAnchor>
  <xdr:twoCellAnchor>
    <xdr:from>
      <xdr:col>8</xdr:col>
      <xdr:colOff>6350</xdr:colOff>
      <xdr:row>3004</xdr:row>
      <xdr:rowOff>25400</xdr:rowOff>
    </xdr:from>
    <xdr:to>
      <xdr:col>8</xdr:col>
      <xdr:colOff>885190</xdr:colOff>
      <xdr:row>3004</xdr:row>
      <xdr:rowOff>1209040</xdr:rowOff>
    </xdr:to>
    <xdr:pic>
      <xdr:nvPicPr>
        <xdr:cNvPr id="6546" name="Изображение 6545" descr="resizeПП-00280693"/>
        <xdr:cNvPicPr>
          <a:picLocks noChangeAspect="1"/>
        </xdr:cNvPicPr>
      </xdr:nvPicPr>
      <xdr:blipFill>
        <a:blip xmlns:r="http://schemas.openxmlformats.org/officeDocument/2006/relationships" r:embed="rId2258"/>
        <a:stretch>
          <a:fillRect/>
        </a:stretch>
      </xdr:blipFill>
      <xdr:spPr>
        <a:xfrm>
          <a:off x="7264400" y="2962871900"/>
          <a:ext cx="878840" cy="1183640"/>
        </a:xfrm>
        <a:prstGeom prst="rect">
          <a:avLst/>
        </a:prstGeom>
      </xdr:spPr>
    </xdr:pic>
    <xdr:clientData/>
  </xdr:twoCellAnchor>
  <xdr:twoCellAnchor>
    <xdr:from>
      <xdr:col>8</xdr:col>
      <xdr:colOff>6350</xdr:colOff>
      <xdr:row>3005</xdr:row>
      <xdr:rowOff>25400</xdr:rowOff>
    </xdr:from>
    <xdr:to>
      <xdr:col>8</xdr:col>
      <xdr:colOff>885190</xdr:colOff>
      <xdr:row>3005</xdr:row>
      <xdr:rowOff>1209040</xdr:rowOff>
    </xdr:to>
    <xdr:pic>
      <xdr:nvPicPr>
        <xdr:cNvPr id="6547" name="Изображение 6546" descr="resizeПП-00280697"/>
        <xdr:cNvPicPr>
          <a:picLocks noChangeAspect="1"/>
        </xdr:cNvPicPr>
      </xdr:nvPicPr>
      <xdr:blipFill>
        <a:blip xmlns:r="http://schemas.openxmlformats.org/officeDocument/2006/relationships" r:embed="rId2259"/>
        <a:stretch>
          <a:fillRect/>
        </a:stretch>
      </xdr:blipFill>
      <xdr:spPr>
        <a:xfrm>
          <a:off x="7264400" y="2964094275"/>
          <a:ext cx="878840" cy="1183640"/>
        </a:xfrm>
        <a:prstGeom prst="rect">
          <a:avLst/>
        </a:prstGeom>
      </xdr:spPr>
    </xdr:pic>
    <xdr:clientData/>
  </xdr:twoCellAnchor>
  <xdr:twoCellAnchor>
    <xdr:from>
      <xdr:col>8</xdr:col>
      <xdr:colOff>6350</xdr:colOff>
      <xdr:row>3006</xdr:row>
      <xdr:rowOff>25400</xdr:rowOff>
    </xdr:from>
    <xdr:to>
      <xdr:col>8</xdr:col>
      <xdr:colOff>885190</xdr:colOff>
      <xdr:row>3006</xdr:row>
      <xdr:rowOff>1209040</xdr:rowOff>
    </xdr:to>
    <xdr:pic>
      <xdr:nvPicPr>
        <xdr:cNvPr id="6548" name="Изображение 6547" descr="resizeПП-00260030"/>
        <xdr:cNvPicPr>
          <a:picLocks noChangeAspect="1"/>
        </xdr:cNvPicPr>
      </xdr:nvPicPr>
      <xdr:blipFill>
        <a:blip xmlns:r="http://schemas.openxmlformats.org/officeDocument/2006/relationships" r:embed="rId2260"/>
        <a:stretch>
          <a:fillRect/>
        </a:stretch>
      </xdr:blipFill>
      <xdr:spPr>
        <a:xfrm>
          <a:off x="7264400" y="2965316650"/>
          <a:ext cx="878840" cy="1183640"/>
        </a:xfrm>
        <a:prstGeom prst="rect">
          <a:avLst/>
        </a:prstGeom>
      </xdr:spPr>
    </xdr:pic>
    <xdr:clientData/>
  </xdr:twoCellAnchor>
  <xdr:twoCellAnchor>
    <xdr:from>
      <xdr:col>8</xdr:col>
      <xdr:colOff>6350</xdr:colOff>
      <xdr:row>3007</xdr:row>
      <xdr:rowOff>25400</xdr:rowOff>
    </xdr:from>
    <xdr:to>
      <xdr:col>8</xdr:col>
      <xdr:colOff>885190</xdr:colOff>
      <xdr:row>3007</xdr:row>
      <xdr:rowOff>1209040</xdr:rowOff>
    </xdr:to>
    <xdr:pic>
      <xdr:nvPicPr>
        <xdr:cNvPr id="6549" name="Изображение 6548" descr="resizeПП-00280690"/>
        <xdr:cNvPicPr>
          <a:picLocks noChangeAspect="1"/>
        </xdr:cNvPicPr>
      </xdr:nvPicPr>
      <xdr:blipFill>
        <a:blip xmlns:r="http://schemas.openxmlformats.org/officeDocument/2006/relationships" r:embed="rId2261"/>
        <a:stretch>
          <a:fillRect/>
        </a:stretch>
      </xdr:blipFill>
      <xdr:spPr>
        <a:xfrm>
          <a:off x="7264400" y="2966539025"/>
          <a:ext cx="878840" cy="1183640"/>
        </a:xfrm>
        <a:prstGeom prst="rect">
          <a:avLst/>
        </a:prstGeom>
      </xdr:spPr>
    </xdr:pic>
    <xdr:clientData/>
  </xdr:twoCellAnchor>
  <xdr:twoCellAnchor>
    <xdr:from>
      <xdr:col>8</xdr:col>
      <xdr:colOff>6350</xdr:colOff>
      <xdr:row>3008</xdr:row>
      <xdr:rowOff>25400</xdr:rowOff>
    </xdr:from>
    <xdr:to>
      <xdr:col>8</xdr:col>
      <xdr:colOff>885190</xdr:colOff>
      <xdr:row>3008</xdr:row>
      <xdr:rowOff>1209040</xdr:rowOff>
    </xdr:to>
    <xdr:pic>
      <xdr:nvPicPr>
        <xdr:cNvPr id="6550" name="Изображение 6549" descr="resizeПП-00260029"/>
        <xdr:cNvPicPr>
          <a:picLocks noChangeAspect="1"/>
        </xdr:cNvPicPr>
      </xdr:nvPicPr>
      <xdr:blipFill>
        <a:blip xmlns:r="http://schemas.openxmlformats.org/officeDocument/2006/relationships" r:embed="rId2262"/>
        <a:stretch>
          <a:fillRect/>
        </a:stretch>
      </xdr:blipFill>
      <xdr:spPr>
        <a:xfrm>
          <a:off x="7264400" y="2967761400"/>
          <a:ext cx="878840" cy="1183640"/>
        </a:xfrm>
        <a:prstGeom prst="rect">
          <a:avLst/>
        </a:prstGeom>
      </xdr:spPr>
    </xdr:pic>
    <xdr:clientData/>
  </xdr:twoCellAnchor>
  <xdr:twoCellAnchor>
    <xdr:from>
      <xdr:col>8</xdr:col>
      <xdr:colOff>6350</xdr:colOff>
      <xdr:row>3009</xdr:row>
      <xdr:rowOff>25400</xdr:rowOff>
    </xdr:from>
    <xdr:to>
      <xdr:col>8</xdr:col>
      <xdr:colOff>885190</xdr:colOff>
      <xdr:row>3009</xdr:row>
      <xdr:rowOff>1209040</xdr:rowOff>
    </xdr:to>
    <xdr:pic>
      <xdr:nvPicPr>
        <xdr:cNvPr id="6551" name="Изображение 6550" descr="resizeПП-00280702"/>
        <xdr:cNvPicPr>
          <a:picLocks noChangeAspect="1"/>
        </xdr:cNvPicPr>
      </xdr:nvPicPr>
      <xdr:blipFill>
        <a:blip xmlns:r="http://schemas.openxmlformats.org/officeDocument/2006/relationships" r:embed="rId2263"/>
        <a:stretch>
          <a:fillRect/>
        </a:stretch>
      </xdr:blipFill>
      <xdr:spPr>
        <a:xfrm>
          <a:off x="7264400" y="2968983775"/>
          <a:ext cx="878840" cy="1183640"/>
        </a:xfrm>
        <a:prstGeom prst="rect">
          <a:avLst/>
        </a:prstGeom>
      </xdr:spPr>
    </xdr:pic>
    <xdr:clientData/>
  </xdr:twoCellAnchor>
  <xdr:twoCellAnchor>
    <xdr:from>
      <xdr:col>8</xdr:col>
      <xdr:colOff>6350</xdr:colOff>
      <xdr:row>3010</xdr:row>
      <xdr:rowOff>25400</xdr:rowOff>
    </xdr:from>
    <xdr:to>
      <xdr:col>8</xdr:col>
      <xdr:colOff>885190</xdr:colOff>
      <xdr:row>3010</xdr:row>
      <xdr:rowOff>1209040</xdr:rowOff>
    </xdr:to>
    <xdr:pic>
      <xdr:nvPicPr>
        <xdr:cNvPr id="6552" name="Изображение 6551" descr="resizeПП-00260034"/>
        <xdr:cNvPicPr>
          <a:picLocks noChangeAspect="1"/>
        </xdr:cNvPicPr>
      </xdr:nvPicPr>
      <xdr:blipFill>
        <a:blip xmlns:r="http://schemas.openxmlformats.org/officeDocument/2006/relationships" r:embed="rId2264"/>
        <a:stretch>
          <a:fillRect/>
        </a:stretch>
      </xdr:blipFill>
      <xdr:spPr>
        <a:xfrm>
          <a:off x="7264400" y="2970206150"/>
          <a:ext cx="878840" cy="1183640"/>
        </a:xfrm>
        <a:prstGeom prst="rect">
          <a:avLst/>
        </a:prstGeom>
      </xdr:spPr>
    </xdr:pic>
    <xdr:clientData/>
  </xdr:twoCellAnchor>
  <xdr:twoCellAnchor>
    <xdr:from>
      <xdr:col>8</xdr:col>
      <xdr:colOff>6350</xdr:colOff>
      <xdr:row>3013</xdr:row>
      <xdr:rowOff>25400</xdr:rowOff>
    </xdr:from>
    <xdr:to>
      <xdr:col>8</xdr:col>
      <xdr:colOff>885190</xdr:colOff>
      <xdr:row>3013</xdr:row>
      <xdr:rowOff>1209040</xdr:rowOff>
    </xdr:to>
    <xdr:pic>
      <xdr:nvPicPr>
        <xdr:cNvPr id="6553" name="Изображение 6552" descr="resizeПП-00121992"/>
        <xdr:cNvPicPr>
          <a:picLocks noChangeAspect="1"/>
        </xdr:cNvPicPr>
      </xdr:nvPicPr>
      <xdr:blipFill>
        <a:blip xmlns:r="http://schemas.openxmlformats.org/officeDocument/2006/relationships" r:embed="rId2265"/>
        <a:stretch>
          <a:fillRect/>
        </a:stretch>
      </xdr:blipFill>
      <xdr:spPr>
        <a:xfrm>
          <a:off x="7264400" y="2971733325"/>
          <a:ext cx="878840" cy="1183640"/>
        </a:xfrm>
        <a:prstGeom prst="rect">
          <a:avLst/>
        </a:prstGeom>
      </xdr:spPr>
    </xdr:pic>
    <xdr:clientData/>
  </xdr:twoCellAnchor>
  <xdr:twoCellAnchor>
    <xdr:from>
      <xdr:col>8</xdr:col>
      <xdr:colOff>6350</xdr:colOff>
      <xdr:row>3014</xdr:row>
      <xdr:rowOff>25400</xdr:rowOff>
    </xdr:from>
    <xdr:to>
      <xdr:col>8</xdr:col>
      <xdr:colOff>885190</xdr:colOff>
      <xdr:row>3014</xdr:row>
      <xdr:rowOff>1209040</xdr:rowOff>
    </xdr:to>
    <xdr:pic>
      <xdr:nvPicPr>
        <xdr:cNvPr id="6554" name="Изображение 6553" descr="resizeПП-00122023"/>
        <xdr:cNvPicPr>
          <a:picLocks noChangeAspect="1"/>
        </xdr:cNvPicPr>
      </xdr:nvPicPr>
      <xdr:blipFill>
        <a:blip xmlns:r="http://schemas.openxmlformats.org/officeDocument/2006/relationships" r:embed="rId2266"/>
        <a:stretch>
          <a:fillRect/>
        </a:stretch>
      </xdr:blipFill>
      <xdr:spPr>
        <a:xfrm>
          <a:off x="7264400" y="2972955700"/>
          <a:ext cx="878840" cy="1183640"/>
        </a:xfrm>
        <a:prstGeom prst="rect">
          <a:avLst/>
        </a:prstGeom>
      </xdr:spPr>
    </xdr:pic>
    <xdr:clientData/>
  </xdr:twoCellAnchor>
  <xdr:twoCellAnchor>
    <xdr:from>
      <xdr:col>8</xdr:col>
      <xdr:colOff>6350</xdr:colOff>
      <xdr:row>3015</xdr:row>
      <xdr:rowOff>25400</xdr:rowOff>
    </xdr:from>
    <xdr:to>
      <xdr:col>8</xdr:col>
      <xdr:colOff>885190</xdr:colOff>
      <xdr:row>3015</xdr:row>
      <xdr:rowOff>1209040</xdr:rowOff>
    </xdr:to>
    <xdr:pic>
      <xdr:nvPicPr>
        <xdr:cNvPr id="6555" name="Изображение 6554" descr="resizeПП-00122025"/>
        <xdr:cNvPicPr>
          <a:picLocks noChangeAspect="1"/>
        </xdr:cNvPicPr>
      </xdr:nvPicPr>
      <xdr:blipFill>
        <a:blip xmlns:r="http://schemas.openxmlformats.org/officeDocument/2006/relationships" r:embed="rId2267"/>
        <a:stretch>
          <a:fillRect/>
        </a:stretch>
      </xdr:blipFill>
      <xdr:spPr>
        <a:xfrm>
          <a:off x="7264400" y="2974178075"/>
          <a:ext cx="878840" cy="1183640"/>
        </a:xfrm>
        <a:prstGeom prst="rect">
          <a:avLst/>
        </a:prstGeom>
      </xdr:spPr>
    </xdr:pic>
    <xdr:clientData/>
  </xdr:twoCellAnchor>
  <xdr:twoCellAnchor>
    <xdr:from>
      <xdr:col>8</xdr:col>
      <xdr:colOff>6350</xdr:colOff>
      <xdr:row>3016</xdr:row>
      <xdr:rowOff>25400</xdr:rowOff>
    </xdr:from>
    <xdr:to>
      <xdr:col>8</xdr:col>
      <xdr:colOff>885190</xdr:colOff>
      <xdr:row>3016</xdr:row>
      <xdr:rowOff>1209040</xdr:rowOff>
    </xdr:to>
    <xdr:pic>
      <xdr:nvPicPr>
        <xdr:cNvPr id="6556" name="Изображение 6555" descr="resizeПП-00122036"/>
        <xdr:cNvPicPr>
          <a:picLocks noChangeAspect="1"/>
        </xdr:cNvPicPr>
      </xdr:nvPicPr>
      <xdr:blipFill>
        <a:blip xmlns:r="http://schemas.openxmlformats.org/officeDocument/2006/relationships" r:embed="rId2268"/>
        <a:stretch>
          <a:fillRect/>
        </a:stretch>
      </xdr:blipFill>
      <xdr:spPr>
        <a:xfrm>
          <a:off x="7264400" y="2975400450"/>
          <a:ext cx="878840" cy="1183640"/>
        </a:xfrm>
        <a:prstGeom prst="rect">
          <a:avLst/>
        </a:prstGeom>
      </xdr:spPr>
    </xdr:pic>
    <xdr:clientData/>
  </xdr:twoCellAnchor>
  <xdr:twoCellAnchor>
    <xdr:from>
      <xdr:col>8</xdr:col>
      <xdr:colOff>6350</xdr:colOff>
      <xdr:row>3018</xdr:row>
      <xdr:rowOff>25400</xdr:rowOff>
    </xdr:from>
    <xdr:to>
      <xdr:col>8</xdr:col>
      <xdr:colOff>885190</xdr:colOff>
      <xdr:row>3018</xdr:row>
      <xdr:rowOff>1209040</xdr:rowOff>
    </xdr:to>
    <xdr:pic>
      <xdr:nvPicPr>
        <xdr:cNvPr id="6557" name="Изображение 6556" descr="resizeПП-00269695"/>
        <xdr:cNvPicPr>
          <a:picLocks noChangeAspect="1"/>
        </xdr:cNvPicPr>
      </xdr:nvPicPr>
      <xdr:blipFill>
        <a:blip xmlns:r="http://schemas.openxmlformats.org/officeDocument/2006/relationships" r:embed="rId2269"/>
        <a:stretch>
          <a:fillRect/>
        </a:stretch>
      </xdr:blipFill>
      <xdr:spPr>
        <a:xfrm>
          <a:off x="7264400" y="2976775225"/>
          <a:ext cx="878840" cy="1183640"/>
        </a:xfrm>
        <a:prstGeom prst="rect">
          <a:avLst/>
        </a:prstGeom>
      </xdr:spPr>
    </xdr:pic>
    <xdr:clientData/>
  </xdr:twoCellAnchor>
  <xdr:twoCellAnchor>
    <xdr:from>
      <xdr:col>8</xdr:col>
      <xdr:colOff>6350</xdr:colOff>
      <xdr:row>3019</xdr:row>
      <xdr:rowOff>25400</xdr:rowOff>
    </xdr:from>
    <xdr:to>
      <xdr:col>8</xdr:col>
      <xdr:colOff>885190</xdr:colOff>
      <xdr:row>3019</xdr:row>
      <xdr:rowOff>1209040</xdr:rowOff>
    </xdr:to>
    <xdr:pic>
      <xdr:nvPicPr>
        <xdr:cNvPr id="6558" name="Изображение 6557" descr="resizeПП-00269694"/>
        <xdr:cNvPicPr>
          <a:picLocks noChangeAspect="1"/>
        </xdr:cNvPicPr>
      </xdr:nvPicPr>
      <xdr:blipFill>
        <a:blip xmlns:r="http://schemas.openxmlformats.org/officeDocument/2006/relationships" r:embed="rId2270"/>
        <a:stretch>
          <a:fillRect/>
        </a:stretch>
      </xdr:blipFill>
      <xdr:spPr>
        <a:xfrm>
          <a:off x="7264400" y="2977997600"/>
          <a:ext cx="878840" cy="1183640"/>
        </a:xfrm>
        <a:prstGeom prst="rect">
          <a:avLst/>
        </a:prstGeom>
      </xdr:spPr>
    </xdr:pic>
    <xdr:clientData/>
  </xdr:twoCellAnchor>
  <xdr:twoCellAnchor>
    <xdr:from>
      <xdr:col>8</xdr:col>
      <xdr:colOff>6350</xdr:colOff>
      <xdr:row>3021</xdr:row>
      <xdr:rowOff>25400</xdr:rowOff>
    </xdr:from>
    <xdr:to>
      <xdr:col>8</xdr:col>
      <xdr:colOff>885190</xdr:colOff>
      <xdr:row>3021</xdr:row>
      <xdr:rowOff>1209040</xdr:rowOff>
    </xdr:to>
    <xdr:pic>
      <xdr:nvPicPr>
        <xdr:cNvPr id="6559" name="Изображение 6558" descr="resizeПП-00260040"/>
        <xdr:cNvPicPr>
          <a:picLocks noChangeAspect="1"/>
        </xdr:cNvPicPr>
      </xdr:nvPicPr>
      <xdr:blipFill>
        <a:blip xmlns:r="http://schemas.openxmlformats.org/officeDocument/2006/relationships" r:embed="rId2271"/>
        <a:stretch>
          <a:fillRect/>
        </a:stretch>
      </xdr:blipFill>
      <xdr:spPr>
        <a:xfrm>
          <a:off x="7264400" y="2979372375"/>
          <a:ext cx="878840" cy="1183640"/>
        </a:xfrm>
        <a:prstGeom prst="rect">
          <a:avLst/>
        </a:prstGeom>
      </xdr:spPr>
    </xdr:pic>
    <xdr:clientData/>
  </xdr:twoCellAnchor>
  <xdr:twoCellAnchor>
    <xdr:from>
      <xdr:col>8</xdr:col>
      <xdr:colOff>6350</xdr:colOff>
      <xdr:row>3022</xdr:row>
      <xdr:rowOff>25400</xdr:rowOff>
    </xdr:from>
    <xdr:to>
      <xdr:col>8</xdr:col>
      <xdr:colOff>885190</xdr:colOff>
      <xdr:row>3022</xdr:row>
      <xdr:rowOff>1209040</xdr:rowOff>
    </xdr:to>
    <xdr:pic>
      <xdr:nvPicPr>
        <xdr:cNvPr id="6560" name="Изображение 6559" descr="resizeПП-00235131"/>
        <xdr:cNvPicPr>
          <a:picLocks noChangeAspect="1"/>
        </xdr:cNvPicPr>
      </xdr:nvPicPr>
      <xdr:blipFill>
        <a:blip xmlns:r="http://schemas.openxmlformats.org/officeDocument/2006/relationships" r:embed="rId2272"/>
        <a:stretch>
          <a:fillRect/>
        </a:stretch>
      </xdr:blipFill>
      <xdr:spPr>
        <a:xfrm>
          <a:off x="7264400" y="2980594750"/>
          <a:ext cx="878840" cy="1183640"/>
        </a:xfrm>
        <a:prstGeom prst="rect">
          <a:avLst/>
        </a:prstGeom>
      </xdr:spPr>
    </xdr:pic>
    <xdr:clientData/>
  </xdr:twoCellAnchor>
  <xdr:twoCellAnchor>
    <xdr:from>
      <xdr:col>8</xdr:col>
      <xdr:colOff>6350</xdr:colOff>
      <xdr:row>3023</xdr:row>
      <xdr:rowOff>25400</xdr:rowOff>
    </xdr:from>
    <xdr:to>
      <xdr:col>8</xdr:col>
      <xdr:colOff>885190</xdr:colOff>
      <xdr:row>3023</xdr:row>
      <xdr:rowOff>1209040</xdr:rowOff>
    </xdr:to>
    <xdr:pic>
      <xdr:nvPicPr>
        <xdr:cNvPr id="6561" name="Изображение 6560" descr="resizeПП-00274576"/>
        <xdr:cNvPicPr>
          <a:picLocks noChangeAspect="1"/>
        </xdr:cNvPicPr>
      </xdr:nvPicPr>
      <xdr:blipFill>
        <a:blip xmlns:r="http://schemas.openxmlformats.org/officeDocument/2006/relationships" r:embed="rId2273"/>
        <a:stretch>
          <a:fillRect/>
        </a:stretch>
      </xdr:blipFill>
      <xdr:spPr>
        <a:xfrm>
          <a:off x="7264400" y="2981817125"/>
          <a:ext cx="878840" cy="1183640"/>
        </a:xfrm>
        <a:prstGeom prst="rect">
          <a:avLst/>
        </a:prstGeom>
      </xdr:spPr>
    </xdr:pic>
    <xdr:clientData/>
  </xdr:twoCellAnchor>
  <xdr:twoCellAnchor>
    <xdr:from>
      <xdr:col>8</xdr:col>
      <xdr:colOff>6350</xdr:colOff>
      <xdr:row>3024</xdr:row>
      <xdr:rowOff>25400</xdr:rowOff>
    </xdr:from>
    <xdr:to>
      <xdr:col>8</xdr:col>
      <xdr:colOff>885190</xdr:colOff>
      <xdr:row>3024</xdr:row>
      <xdr:rowOff>1209040</xdr:rowOff>
    </xdr:to>
    <xdr:pic>
      <xdr:nvPicPr>
        <xdr:cNvPr id="6562" name="Изображение 6561" descr="resizeПП-00274575"/>
        <xdr:cNvPicPr>
          <a:picLocks noChangeAspect="1"/>
        </xdr:cNvPicPr>
      </xdr:nvPicPr>
      <xdr:blipFill>
        <a:blip xmlns:r="http://schemas.openxmlformats.org/officeDocument/2006/relationships" r:embed="rId2274"/>
        <a:stretch>
          <a:fillRect/>
        </a:stretch>
      </xdr:blipFill>
      <xdr:spPr>
        <a:xfrm>
          <a:off x="7264400" y="2983039500"/>
          <a:ext cx="878840" cy="1183640"/>
        </a:xfrm>
        <a:prstGeom prst="rect">
          <a:avLst/>
        </a:prstGeom>
      </xdr:spPr>
    </xdr:pic>
    <xdr:clientData/>
  </xdr:twoCellAnchor>
  <xdr:twoCellAnchor>
    <xdr:from>
      <xdr:col>8</xdr:col>
      <xdr:colOff>6350</xdr:colOff>
      <xdr:row>3025</xdr:row>
      <xdr:rowOff>25400</xdr:rowOff>
    </xdr:from>
    <xdr:to>
      <xdr:col>8</xdr:col>
      <xdr:colOff>885190</xdr:colOff>
      <xdr:row>3025</xdr:row>
      <xdr:rowOff>1209040</xdr:rowOff>
    </xdr:to>
    <xdr:pic>
      <xdr:nvPicPr>
        <xdr:cNvPr id="6563" name="Изображение 6562" descr="resizeПП-00274579"/>
        <xdr:cNvPicPr>
          <a:picLocks noChangeAspect="1"/>
        </xdr:cNvPicPr>
      </xdr:nvPicPr>
      <xdr:blipFill>
        <a:blip xmlns:r="http://schemas.openxmlformats.org/officeDocument/2006/relationships" r:embed="rId2275"/>
        <a:stretch>
          <a:fillRect/>
        </a:stretch>
      </xdr:blipFill>
      <xdr:spPr>
        <a:xfrm>
          <a:off x="7264400" y="2984261875"/>
          <a:ext cx="878840" cy="1183640"/>
        </a:xfrm>
        <a:prstGeom prst="rect">
          <a:avLst/>
        </a:prstGeom>
      </xdr:spPr>
    </xdr:pic>
    <xdr:clientData/>
  </xdr:twoCellAnchor>
  <xdr:twoCellAnchor>
    <xdr:from>
      <xdr:col>8</xdr:col>
      <xdr:colOff>6350</xdr:colOff>
      <xdr:row>3026</xdr:row>
      <xdr:rowOff>25400</xdr:rowOff>
    </xdr:from>
    <xdr:to>
      <xdr:col>8</xdr:col>
      <xdr:colOff>885190</xdr:colOff>
      <xdr:row>3026</xdr:row>
      <xdr:rowOff>1209040</xdr:rowOff>
    </xdr:to>
    <xdr:pic>
      <xdr:nvPicPr>
        <xdr:cNvPr id="6564" name="Изображение 6563" descr="resizeПП-00274572"/>
        <xdr:cNvPicPr>
          <a:picLocks noChangeAspect="1"/>
        </xdr:cNvPicPr>
      </xdr:nvPicPr>
      <xdr:blipFill>
        <a:blip xmlns:r="http://schemas.openxmlformats.org/officeDocument/2006/relationships" r:embed="rId2276"/>
        <a:stretch>
          <a:fillRect/>
        </a:stretch>
      </xdr:blipFill>
      <xdr:spPr>
        <a:xfrm>
          <a:off x="7264400" y="2985484250"/>
          <a:ext cx="878840" cy="1183640"/>
        </a:xfrm>
        <a:prstGeom prst="rect">
          <a:avLst/>
        </a:prstGeom>
      </xdr:spPr>
    </xdr:pic>
    <xdr:clientData/>
  </xdr:twoCellAnchor>
  <xdr:twoCellAnchor>
    <xdr:from>
      <xdr:col>8</xdr:col>
      <xdr:colOff>6350</xdr:colOff>
      <xdr:row>3027</xdr:row>
      <xdr:rowOff>25400</xdr:rowOff>
    </xdr:from>
    <xdr:to>
      <xdr:col>8</xdr:col>
      <xdr:colOff>885190</xdr:colOff>
      <xdr:row>3027</xdr:row>
      <xdr:rowOff>1209040</xdr:rowOff>
    </xdr:to>
    <xdr:pic>
      <xdr:nvPicPr>
        <xdr:cNvPr id="6565" name="Изображение 6564" descr="resizeПП-00260037"/>
        <xdr:cNvPicPr>
          <a:picLocks noChangeAspect="1"/>
        </xdr:cNvPicPr>
      </xdr:nvPicPr>
      <xdr:blipFill>
        <a:blip xmlns:r="http://schemas.openxmlformats.org/officeDocument/2006/relationships" r:embed="rId2277"/>
        <a:stretch>
          <a:fillRect/>
        </a:stretch>
      </xdr:blipFill>
      <xdr:spPr>
        <a:xfrm>
          <a:off x="7264400" y="2986706625"/>
          <a:ext cx="878840" cy="1183640"/>
        </a:xfrm>
        <a:prstGeom prst="rect">
          <a:avLst/>
        </a:prstGeom>
      </xdr:spPr>
    </xdr:pic>
    <xdr:clientData/>
  </xdr:twoCellAnchor>
  <xdr:twoCellAnchor>
    <xdr:from>
      <xdr:col>8</xdr:col>
      <xdr:colOff>6350</xdr:colOff>
      <xdr:row>3028</xdr:row>
      <xdr:rowOff>25400</xdr:rowOff>
    </xdr:from>
    <xdr:to>
      <xdr:col>8</xdr:col>
      <xdr:colOff>885190</xdr:colOff>
      <xdr:row>3028</xdr:row>
      <xdr:rowOff>1209040</xdr:rowOff>
    </xdr:to>
    <xdr:pic>
      <xdr:nvPicPr>
        <xdr:cNvPr id="6566" name="Изображение 6565" descr="resizeПП-00274577"/>
        <xdr:cNvPicPr>
          <a:picLocks noChangeAspect="1"/>
        </xdr:cNvPicPr>
      </xdr:nvPicPr>
      <xdr:blipFill>
        <a:blip xmlns:r="http://schemas.openxmlformats.org/officeDocument/2006/relationships" r:embed="rId2278"/>
        <a:stretch>
          <a:fillRect/>
        </a:stretch>
      </xdr:blipFill>
      <xdr:spPr>
        <a:xfrm>
          <a:off x="7264400" y="2987929000"/>
          <a:ext cx="878840" cy="1183640"/>
        </a:xfrm>
        <a:prstGeom prst="rect">
          <a:avLst/>
        </a:prstGeom>
      </xdr:spPr>
    </xdr:pic>
    <xdr:clientData/>
  </xdr:twoCellAnchor>
  <xdr:twoCellAnchor>
    <xdr:from>
      <xdr:col>8</xdr:col>
      <xdr:colOff>6350</xdr:colOff>
      <xdr:row>3029</xdr:row>
      <xdr:rowOff>25400</xdr:rowOff>
    </xdr:from>
    <xdr:to>
      <xdr:col>8</xdr:col>
      <xdr:colOff>885190</xdr:colOff>
      <xdr:row>3029</xdr:row>
      <xdr:rowOff>1209040</xdr:rowOff>
    </xdr:to>
    <xdr:pic>
      <xdr:nvPicPr>
        <xdr:cNvPr id="6567" name="Изображение 6566" descr="resizeПП-00260043"/>
        <xdr:cNvPicPr>
          <a:picLocks noChangeAspect="1"/>
        </xdr:cNvPicPr>
      </xdr:nvPicPr>
      <xdr:blipFill>
        <a:blip xmlns:r="http://schemas.openxmlformats.org/officeDocument/2006/relationships" r:embed="rId2279"/>
        <a:stretch>
          <a:fillRect/>
        </a:stretch>
      </xdr:blipFill>
      <xdr:spPr>
        <a:xfrm>
          <a:off x="7264400" y="2989151375"/>
          <a:ext cx="878840" cy="1183640"/>
        </a:xfrm>
        <a:prstGeom prst="rect">
          <a:avLst/>
        </a:prstGeom>
      </xdr:spPr>
    </xdr:pic>
    <xdr:clientData/>
  </xdr:twoCellAnchor>
  <xdr:twoCellAnchor>
    <xdr:from>
      <xdr:col>8</xdr:col>
      <xdr:colOff>6350</xdr:colOff>
      <xdr:row>3030</xdr:row>
      <xdr:rowOff>25400</xdr:rowOff>
    </xdr:from>
    <xdr:to>
      <xdr:col>8</xdr:col>
      <xdr:colOff>885190</xdr:colOff>
      <xdr:row>3030</xdr:row>
      <xdr:rowOff>1209040</xdr:rowOff>
    </xdr:to>
    <xdr:pic>
      <xdr:nvPicPr>
        <xdr:cNvPr id="6568" name="Изображение 6567" descr="resizeПП-00260036"/>
        <xdr:cNvPicPr>
          <a:picLocks noChangeAspect="1"/>
        </xdr:cNvPicPr>
      </xdr:nvPicPr>
      <xdr:blipFill>
        <a:blip xmlns:r="http://schemas.openxmlformats.org/officeDocument/2006/relationships" r:embed="rId2280"/>
        <a:stretch>
          <a:fillRect/>
        </a:stretch>
      </xdr:blipFill>
      <xdr:spPr>
        <a:xfrm>
          <a:off x="7264400" y="2990373750"/>
          <a:ext cx="878840" cy="1183640"/>
        </a:xfrm>
        <a:prstGeom prst="rect">
          <a:avLst/>
        </a:prstGeom>
      </xdr:spPr>
    </xdr:pic>
    <xdr:clientData/>
  </xdr:twoCellAnchor>
  <xdr:twoCellAnchor>
    <xdr:from>
      <xdr:col>8</xdr:col>
      <xdr:colOff>6350</xdr:colOff>
      <xdr:row>3031</xdr:row>
      <xdr:rowOff>25400</xdr:rowOff>
    </xdr:from>
    <xdr:to>
      <xdr:col>8</xdr:col>
      <xdr:colOff>885190</xdr:colOff>
      <xdr:row>3031</xdr:row>
      <xdr:rowOff>1209040</xdr:rowOff>
    </xdr:to>
    <xdr:pic>
      <xdr:nvPicPr>
        <xdr:cNvPr id="6569" name="Изображение 6568" descr="resizeПП-00260025"/>
        <xdr:cNvPicPr>
          <a:picLocks noChangeAspect="1"/>
        </xdr:cNvPicPr>
      </xdr:nvPicPr>
      <xdr:blipFill>
        <a:blip xmlns:r="http://schemas.openxmlformats.org/officeDocument/2006/relationships" r:embed="rId2281"/>
        <a:stretch>
          <a:fillRect/>
        </a:stretch>
      </xdr:blipFill>
      <xdr:spPr>
        <a:xfrm>
          <a:off x="7264400" y="2991596125"/>
          <a:ext cx="878840" cy="1183640"/>
        </a:xfrm>
        <a:prstGeom prst="rect">
          <a:avLst/>
        </a:prstGeom>
      </xdr:spPr>
    </xdr:pic>
    <xdr:clientData/>
  </xdr:twoCellAnchor>
  <xdr:twoCellAnchor>
    <xdr:from>
      <xdr:col>8</xdr:col>
      <xdr:colOff>6350</xdr:colOff>
      <xdr:row>3032</xdr:row>
      <xdr:rowOff>25400</xdr:rowOff>
    </xdr:from>
    <xdr:to>
      <xdr:col>8</xdr:col>
      <xdr:colOff>885190</xdr:colOff>
      <xdr:row>3032</xdr:row>
      <xdr:rowOff>1209040</xdr:rowOff>
    </xdr:to>
    <xdr:pic>
      <xdr:nvPicPr>
        <xdr:cNvPr id="6570" name="Изображение 6569" descr="resizeПП-00260027"/>
        <xdr:cNvPicPr>
          <a:picLocks noChangeAspect="1"/>
        </xdr:cNvPicPr>
      </xdr:nvPicPr>
      <xdr:blipFill>
        <a:blip xmlns:r="http://schemas.openxmlformats.org/officeDocument/2006/relationships" r:embed="rId2282"/>
        <a:stretch>
          <a:fillRect/>
        </a:stretch>
      </xdr:blipFill>
      <xdr:spPr>
        <a:xfrm>
          <a:off x="7264400" y="2992818500"/>
          <a:ext cx="878840" cy="1183640"/>
        </a:xfrm>
        <a:prstGeom prst="rect">
          <a:avLst/>
        </a:prstGeom>
      </xdr:spPr>
    </xdr:pic>
    <xdr:clientData/>
  </xdr:twoCellAnchor>
  <xdr:twoCellAnchor>
    <xdr:from>
      <xdr:col>8</xdr:col>
      <xdr:colOff>6350</xdr:colOff>
      <xdr:row>3033</xdr:row>
      <xdr:rowOff>25400</xdr:rowOff>
    </xdr:from>
    <xdr:to>
      <xdr:col>8</xdr:col>
      <xdr:colOff>885190</xdr:colOff>
      <xdr:row>3033</xdr:row>
      <xdr:rowOff>1209040</xdr:rowOff>
    </xdr:to>
    <xdr:pic>
      <xdr:nvPicPr>
        <xdr:cNvPr id="6571" name="Изображение 6570" descr="resizeПП-00215004"/>
        <xdr:cNvPicPr>
          <a:picLocks noChangeAspect="1"/>
        </xdr:cNvPicPr>
      </xdr:nvPicPr>
      <xdr:blipFill>
        <a:blip xmlns:r="http://schemas.openxmlformats.org/officeDocument/2006/relationships" r:embed="rId2283"/>
        <a:stretch>
          <a:fillRect/>
        </a:stretch>
      </xdr:blipFill>
      <xdr:spPr>
        <a:xfrm>
          <a:off x="7264400" y="2994040875"/>
          <a:ext cx="878840" cy="1183640"/>
        </a:xfrm>
        <a:prstGeom prst="rect">
          <a:avLst/>
        </a:prstGeom>
      </xdr:spPr>
    </xdr:pic>
    <xdr:clientData/>
  </xdr:twoCellAnchor>
  <xdr:twoCellAnchor>
    <xdr:from>
      <xdr:col>8</xdr:col>
      <xdr:colOff>6350</xdr:colOff>
      <xdr:row>3034</xdr:row>
      <xdr:rowOff>25400</xdr:rowOff>
    </xdr:from>
    <xdr:to>
      <xdr:col>8</xdr:col>
      <xdr:colOff>885190</xdr:colOff>
      <xdr:row>3034</xdr:row>
      <xdr:rowOff>1209040</xdr:rowOff>
    </xdr:to>
    <xdr:pic>
      <xdr:nvPicPr>
        <xdr:cNvPr id="6572" name="Изображение 6571" descr="resizeПП-00235138"/>
        <xdr:cNvPicPr>
          <a:picLocks noChangeAspect="1"/>
        </xdr:cNvPicPr>
      </xdr:nvPicPr>
      <xdr:blipFill>
        <a:blip xmlns:r="http://schemas.openxmlformats.org/officeDocument/2006/relationships" r:embed="rId2284"/>
        <a:stretch>
          <a:fillRect/>
        </a:stretch>
      </xdr:blipFill>
      <xdr:spPr>
        <a:xfrm>
          <a:off x="7264400" y="2995263250"/>
          <a:ext cx="878840" cy="1183640"/>
        </a:xfrm>
        <a:prstGeom prst="rect">
          <a:avLst/>
        </a:prstGeom>
      </xdr:spPr>
    </xdr:pic>
    <xdr:clientData/>
  </xdr:twoCellAnchor>
  <xdr:twoCellAnchor>
    <xdr:from>
      <xdr:col>8</xdr:col>
      <xdr:colOff>6350</xdr:colOff>
      <xdr:row>3035</xdr:row>
      <xdr:rowOff>25400</xdr:rowOff>
    </xdr:from>
    <xdr:to>
      <xdr:col>8</xdr:col>
      <xdr:colOff>885190</xdr:colOff>
      <xdr:row>3035</xdr:row>
      <xdr:rowOff>1209040</xdr:rowOff>
    </xdr:to>
    <xdr:pic>
      <xdr:nvPicPr>
        <xdr:cNvPr id="6573" name="Изображение 6572" descr="resizeПП-00235137"/>
        <xdr:cNvPicPr>
          <a:picLocks noChangeAspect="1"/>
        </xdr:cNvPicPr>
      </xdr:nvPicPr>
      <xdr:blipFill>
        <a:blip xmlns:r="http://schemas.openxmlformats.org/officeDocument/2006/relationships" r:embed="rId2285"/>
        <a:stretch>
          <a:fillRect/>
        </a:stretch>
      </xdr:blipFill>
      <xdr:spPr>
        <a:xfrm>
          <a:off x="7264400" y="2996485625"/>
          <a:ext cx="878840" cy="1183640"/>
        </a:xfrm>
        <a:prstGeom prst="rect">
          <a:avLst/>
        </a:prstGeom>
      </xdr:spPr>
    </xdr:pic>
    <xdr:clientData/>
  </xdr:twoCellAnchor>
  <xdr:twoCellAnchor>
    <xdr:from>
      <xdr:col>8</xdr:col>
      <xdr:colOff>6350</xdr:colOff>
      <xdr:row>3037</xdr:row>
      <xdr:rowOff>25400</xdr:rowOff>
    </xdr:from>
    <xdr:to>
      <xdr:col>8</xdr:col>
      <xdr:colOff>885190</xdr:colOff>
      <xdr:row>3037</xdr:row>
      <xdr:rowOff>1209040</xdr:rowOff>
    </xdr:to>
    <xdr:pic>
      <xdr:nvPicPr>
        <xdr:cNvPr id="6574" name="Изображение 6573" descr="resizeПП-00047574"/>
        <xdr:cNvPicPr>
          <a:picLocks noChangeAspect="1"/>
        </xdr:cNvPicPr>
      </xdr:nvPicPr>
      <xdr:blipFill>
        <a:blip xmlns:r="http://schemas.openxmlformats.org/officeDocument/2006/relationships" r:embed="rId2286"/>
        <a:stretch>
          <a:fillRect/>
        </a:stretch>
      </xdr:blipFill>
      <xdr:spPr>
        <a:xfrm>
          <a:off x="7264400" y="2997860400"/>
          <a:ext cx="878840" cy="1183640"/>
        </a:xfrm>
        <a:prstGeom prst="rect">
          <a:avLst/>
        </a:prstGeom>
      </xdr:spPr>
    </xdr:pic>
    <xdr:clientData/>
  </xdr:twoCellAnchor>
  <xdr:twoCellAnchor>
    <xdr:from>
      <xdr:col>8</xdr:col>
      <xdr:colOff>6350</xdr:colOff>
      <xdr:row>3038</xdr:row>
      <xdr:rowOff>25400</xdr:rowOff>
    </xdr:from>
    <xdr:to>
      <xdr:col>8</xdr:col>
      <xdr:colOff>885190</xdr:colOff>
      <xdr:row>3038</xdr:row>
      <xdr:rowOff>1209040</xdr:rowOff>
    </xdr:to>
    <xdr:pic>
      <xdr:nvPicPr>
        <xdr:cNvPr id="6575" name="Изображение 6574" descr="resizeПП-00047581"/>
        <xdr:cNvPicPr>
          <a:picLocks noChangeAspect="1"/>
        </xdr:cNvPicPr>
      </xdr:nvPicPr>
      <xdr:blipFill>
        <a:blip xmlns:r="http://schemas.openxmlformats.org/officeDocument/2006/relationships" r:embed="rId2287"/>
        <a:stretch>
          <a:fillRect/>
        </a:stretch>
      </xdr:blipFill>
      <xdr:spPr>
        <a:xfrm>
          <a:off x="7264400" y="2999082775"/>
          <a:ext cx="878840" cy="1183640"/>
        </a:xfrm>
        <a:prstGeom prst="rect">
          <a:avLst/>
        </a:prstGeom>
      </xdr:spPr>
    </xdr:pic>
    <xdr:clientData/>
  </xdr:twoCellAnchor>
  <xdr:twoCellAnchor>
    <xdr:from>
      <xdr:col>8</xdr:col>
      <xdr:colOff>6350</xdr:colOff>
      <xdr:row>3039</xdr:row>
      <xdr:rowOff>25400</xdr:rowOff>
    </xdr:from>
    <xdr:to>
      <xdr:col>8</xdr:col>
      <xdr:colOff>885190</xdr:colOff>
      <xdr:row>3039</xdr:row>
      <xdr:rowOff>1209040</xdr:rowOff>
    </xdr:to>
    <xdr:pic>
      <xdr:nvPicPr>
        <xdr:cNvPr id="6576" name="Изображение 6575" descr="resizeПП-00047580"/>
        <xdr:cNvPicPr>
          <a:picLocks noChangeAspect="1"/>
        </xdr:cNvPicPr>
      </xdr:nvPicPr>
      <xdr:blipFill>
        <a:blip xmlns:r="http://schemas.openxmlformats.org/officeDocument/2006/relationships" r:embed="rId2288"/>
        <a:stretch>
          <a:fillRect/>
        </a:stretch>
      </xdr:blipFill>
      <xdr:spPr>
        <a:xfrm>
          <a:off x="7264400" y="3000305150"/>
          <a:ext cx="878840" cy="1183640"/>
        </a:xfrm>
        <a:prstGeom prst="rect">
          <a:avLst/>
        </a:prstGeom>
      </xdr:spPr>
    </xdr:pic>
    <xdr:clientData/>
  </xdr:twoCellAnchor>
  <xdr:twoCellAnchor>
    <xdr:from>
      <xdr:col>8</xdr:col>
      <xdr:colOff>6350</xdr:colOff>
      <xdr:row>3040</xdr:row>
      <xdr:rowOff>25400</xdr:rowOff>
    </xdr:from>
    <xdr:to>
      <xdr:col>8</xdr:col>
      <xdr:colOff>885190</xdr:colOff>
      <xdr:row>3040</xdr:row>
      <xdr:rowOff>1209040</xdr:rowOff>
    </xdr:to>
    <xdr:pic>
      <xdr:nvPicPr>
        <xdr:cNvPr id="6577" name="Изображение 6576" descr="resizeПП-00047584"/>
        <xdr:cNvPicPr>
          <a:picLocks noChangeAspect="1"/>
        </xdr:cNvPicPr>
      </xdr:nvPicPr>
      <xdr:blipFill>
        <a:blip xmlns:r="http://schemas.openxmlformats.org/officeDocument/2006/relationships" r:embed="rId2289"/>
        <a:stretch>
          <a:fillRect/>
        </a:stretch>
      </xdr:blipFill>
      <xdr:spPr>
        <a:xfrm>
          <a:off x="7264400" y="3001527525"/>
          <a:ext cx="878840" cy="1183640"/>
        </a:xfrm>
        <a:prstGeom prst="rect">
          <a:avLst/>
        </a:prstGeom>
      </xdr:spPr>
    </xdr:pic>
    <xdr:clientData/>
  </xdr:twoCellAnchor>
  <xdr:twoCellAnchor>
    <xdr:from>
      <xdr:col>8</xdr:col>
      <xdr:colOff>6350</xdr:colOff>
      <xdr:row>3041</xdr:row>
      <xdr:rowOff>25400</xdr:rowOff>
    </xdr:from>
    <xdr:to>
      <xdr:col>8</xdr:col>
      <xdr:colOff>885190</xdr:colOff>
      <xdr:row>3041</xdr:row>
      <xdr:rowOff>1209040</xdr:rowOff>
    </xdr:to>
    <xdr:pic>
      <xdr:nvPicPr>
        <xdr:cNvPr id="6578" name="Изображение 6577" descr="resizeПП-00090370"/>
        <xdr:cNvPicPr>
          <a:picLocks noChangeAspect="1"/>
        </xdr:cNvPicPr>
      </xdr:nvPicPr>
      <xdr:blipFill>
        <a:blip xmlns:r="http://schemas.openxmlformats.org/officeDocument/2006/relationships" r:embed="rId2290"/>
        <a:stretch>
          <a:fillRect/>
        </a:stretch>
      </xdr:blipFill>
      <xdr:spPr>
        <a:xfrm>
          <a:off x="7264400" y="3002749900"/>
          <a:ext cx="878840" cy="1183640"/>
        </a:xfrm>
        <a:prstGeom prst="rect">
          <a:avLst/>
        </a:prstGeom>
      </xdr:spPr>
    </xdr:pic>
    <xdr:clientData/>
  </xdr:twoCellAnchor>
  <xdr:twoCellAnchor>
    <xdr:from>
      <xdr:col>8</xdr:col>
      <xdr:colOff>6350</xdr:colOff>
      <xdr:row>3042</xdr:row>
      <xdr:rowOff>25400</xdr:rowOff>
    </xdr:from>
    <xdr:to>
      <xdr:col>8</xdr:col>
      <xdr:colOff>885190</xdr:colOff>
      <xdr:row>3042</xdr:row>
      <xdr:rowOff>1209040</xdr:rowOff>
    </xdr:to>
    <xdr:pic>
      <xdr:nvPicPr>
        <xdr:cNvPr id="6579" name="Изображение 6578" descr="resizeПП-00090372"/>
        <xdr:cNvPicPr>
          <a:picLocks noChangeAspect="1"/>
        </xdr:cNvPicPr>
      </xdr:nvPicPr>
      <xdr:blipFill>
        <a:blip xmlns:r="http://schemas.openxmlformats.org/officeDocument/2006/relationships" r:embed="rId2291"/>
        <a:stretch>
          <a:fillRect/>
        </a:stretch>
      </xdr:blipFill>
      <xdr:spPr>
        <a:xfrm>
          <a:off x="7264400" y="3003972275"/>
          <a:ext cx="878840" cy="1183640"/>
        </a:xfrm>
        <a:prstGeom prst="rect">
          <a:avLst/>
        </a:prstGeom>
      </xdr:spPr>
    </xdr:pic>
    <xdr:clientData/>
  </xdr:twoCellAnchor>
  <xdr:twoCellAnchor>
    <xdr:from>
      <xdr:col>8</xdr:col>
      <xdr:colOff>6350</xdr:colOff>
      <xdr:row>3043</xdr:row>
      <xdr:rowOff>25400</xdr:rowOff>
    </xdr:from>
    <xdr:to>
      <xdr:col>8</xdr:col>
      <xdr:colOff>885190</xdr:colOff>
      <xdr:row>3043</xdr:row>
      <xdr:rowOff>1209040</xdr:rowOff>
    </xdr:to>
    <xdr:pic>
      <xdr:nvPicPr>
        <xdr:cNvPr id="6580" name="Изображение 6579" descr="resizeПП-00047579"/>
        <xdr:cNvPicPr>
          <a:picLocks noChangeAspect="1"/>
        </xdr:cNvPicPr>
      </xdr:nvPicPr>
      <xdr:blipFill>
        <a:blip xmlns:r="http://schemas.openxmlformats.org/officeDocument/2006/relationships" r:embed="rId2292"/>
        <a:stretch>
          <a:fillRect/>
        </a:stretch>
      </xdr:blipFill>
      <xdr:spPr>
        <a:xfrm>
          <a:off x="7264400" y="3005194650"/>
          <a:ext cx="878840" cy="1183640"/>
        </a:xfrm>
        <a:prstGeom prst="rect">
          <a:avLst/>
        </a:prstGeom>
      </xdr:spPr>
    </xdr:pic>
    <xdr:clientData/>
  </xdr:twoCellAnchor>
  <xdr:twoCellAnchor>
    <xdr:from>
      <xdr:col>8</xdr:col>
      <xdr:colOff>6350</xdr:colOff>
      <xdr:row>3044</xdr:row>
      <xdr:rowOff>25400</xdr:rowOff>
    </xdr:from>
    <xdr:to>
      <xdr:col>8</xdr:col>
      <xdr:colOff>885190</xdr:colOff>
      <xdr:row>3044</xdr:row>
      <xdr:rowOff>1209040</xdr:rowOff>
    </xdr:to>
    <xdr:pic>
      <xdr:nvPicPr>
        <xdr:cNvPr id="6581" name="Изображение 6580" descr="resizeПП-00278527"/>
        <xdr:cNvPicPr>
          <a:picLocks noChangeAspect="1"/>
        </xdr:cNvPicPr>
      </xdr:nvPicPr>
      <xdr:blipFill>
        <a:blip xmlns:r="http://schemas.openxmlformats.org/officeDocument/2006/relationships" r:embed="rId2293"/>
        <a:stretch>
          <a:fillRect/>
        </a:stretch>
      </xdr:blipFill>
      <xdr:spPr>
        <a:xfrm>
          <a:off x="7264400" y="3006417025"/>
          <a:ext cx="878840" cy="1183640"/>
        </a:xfrm>
        <a:prstGeom prst="rect">
          <a:avLst/>
        </a:prstGeom>
      </xdr:spPr>
    </xdr:pic>
    <xdr:clientData/>
  </xdr:twoCellAnchor>
  <xdr:twoCellAnchor>
    <xdr:from>
      <xdr:col>8</xdr:col>
      <xdr:colOff>6350</xdr:colOff>
      <xdr:row>3045</xdr:row>
      <xdr:rowOff>25400</xdr:rowOff>
    </xdr:from>
    <xdr:to>
      <xdr:col>8</xdr:col>
      <xdr:colOff>885190</xdr:colOff>
      <xdr:row>3045</xdr:row>
      <xdr:rowOff>1209040</xdr:rowOff>
    </xdr:to>
    <xdr:pic>
      <xdr:nvPicPr>
        <xdr:cNvPr id="6582" name="Изображение 6581" descr="resizeПП-00278529"/>
        <xdr:cNvPicPr>
          <a:picLocks noChangeAspect="1"/>
        </xdr:cNvPicPr>
      </xdr:nvPicPr>
      <xdr:blipFill>
        <a:blip xmlns:r="http://schemas.openxmlformats.org/officeDocument/2006/relationships" r:embed="rId2294"/>
        <a:stretch>
          <a:fillRect/>
        </a:stretch>
      </xdr:blipFill>
      <xdr:spPr>
        <a:xfrm>
          <a:off x="7264400" y="3007639400"/>
          <a:ext cx="878840" cy="1183640"/>
        </a:xfrm>
        <a:prstGeom prst="rect">
          <a:avLst/>
        </a:prstGeom>
      </xdr:spPr>
    </xdr:pic>
    <xdr:clientData/>
  </xdr:twoCellAnchor>
  <xdr:twoCellAnchor>
    <xdr:from>
      <xdr:col>8</xdr:col>
      <xdr:colOff>6350</xdr:colOff>
      <xdr:row>3046</xdr:row>
      <xdr:rowOff>25400</xdr:rowOff>
    </xdr:from>
    <xdr:to>
      <xdr:col>8</xdr:col>
      <xdr:colOff>885190</xdr:colOff>
      <xdr:row>3046</xdr:row>
      <xdr:rowOff>1209040</xdr:rowOff>
    </xdr:to>
    <xdr:pic>
      <xdr:nvPicPr>
        <xdr:cNvPr id="6583" name="Изображение 6582" descr="resizeПП-00278531"/>
        <xdr:cNvPicPr>
          <a:picLocks noChangeAspect="1"/>
        </xdr:cNvPicPr>
      </xdr:nvPicPr>
      <xdr:blipFill>
        <a:blip xmlns:r="http://schemas.openxmlformats.org/officeDocument/2006/relationships" r:embed="rId2295"/>
        <a:stretch>
          <a:fillRect/>
        </a:stretch>
      </xdr:blipFill>
      <xdr:spPr>
        <a:xfrm>
          <a:off x="7264400" y="3008861775"/>
          <a:ext cx="878840" cy="1183640"/>
        </a:xfrm>
        <a:prstGeom prst="rect">
          <a:avLst/>
        </a:prstGeom>
      </xdr:spPr>
    </xdr:pic>
    <xdr:clientData/>
  </xdr:twoCellAnchor>
  <xdr:twoCellAnchor>
    <xdr:from>
      <xdr:col>8</xdr:col>
      <xdr:colOff>6350</xdr:colOff>
      <xdr:row>3047</xdr:row>
      <xdr:rowOff>25400</xdr:rowOff>
    </xdr:from>
    <xdr:to>
      <xdr:col>8</xdr:col>
      <xdr:colOff>885190</xdr:colOff>
      <xdr:row>3047</xdr:row>
      <xdr:rowOff>1209040</xdr:rowOff>
    </xdr:to>
    <xdr:pic>
      <xdr:nvPicPr>
        <xdr:cNvPr id="6584" name="Изображение 6583" descr="resizeПП-00278530"/>
        <xdr:cNvPicPr>
          <a:picLocks noChangeAspect="1"/>
        </xdr:cNvPicPr>
      </xdr:nvPicPr>
      <xdr:blipFill>
        <a:blip xmlns:r="http://schemas.openxmlformats.org/officeDocument/2006/relationships" r:embed="rId2296"/>
        <a:stretch>
          <a:fillRect/>
        </a:stretch>
      </xdr:blipFill>
      <xdr:spPr>
        <a:xfrm>
          <a:off x="7264400" y="3010084150"/>
          <a:ext cx="878840" cy="1183640"/>
        </a:xfrm>
        <a:prstGeom prst="rect">
          <a:avLst/>
        </a:prstGeom>
      </xdr:spPr>
    </xdr:pic>
    <xdr:clientData/>
  </xdr:twoCellAnchor>
  <xdr:twoCellAnchor>
    <xdr:from>
      <xdr:col>8</xdr:col>
      <xdr:colOff>6350</xdr:colOff>
      <xdr:row>3048</xdr:row>
      <xdr:rowOff>25400</xdr:rowOff>
    </xdr:from>
    <xdr:to>
      <xdr:col>8</xdr:col>
      <xdr:colOff>885190</xdr:colOff>
      <xdr:row>3048</xdr:row>
      <xdr:rowOff>1209040</xdr:rowOff>
    </xdr:to>
    <xdr:pic>
      <xdr:nvPicPr>
        <xdr:cNvPr id="6585" name="Изображение 6584" descr="resizeПП-00278528"/>
        <xdr:cNvPicPr>
          <a:picLocks noChangeAspect="1"/>
        </xdr:cNvPicPr>
      </xdr:nvPicPr>
      <xdr:blipFill>
        <a:blip xmlns:r="http://schemas.openxmlformats.org/officeDocument/2006/relationships" r:embed="rId2297"/>
        <a:stretch>
          <a:fillRect/>
        </a:stretch>
      </xdr:blipFill>
      <xdr:spPr>
        <a:xfrm>
          <a:off x="7264400" y="3011306525"/>
          <a:ext cx="878840" cy="1183640"/>
        </a:xfrm>
        <a:prstGeom prst="rect">
          <a:avLst/>
        </a:prstGeom>
      </xdr:spPr>
    </xdr:pic>
    <xdr:clientData/>
  </xdr:twoCellAnchor>
  <xdr:twoCellAnchor>
    <xdr:from>
      <xdr:col>8</xdr:col>
      <xdr:colOff>6350</xdr:colOff>
      <xdr:row>3050</xdr:row>
      <xdr:rowOff>25400</xdr:rowOff>
    </xdr:from>
    <xdr:to>
      <xdr:col>8</xdr:col>
      <xdr:colOff>885190</xdr:colOff>
      <xdr:row>3050</xdr:row>
      <xdr:rowOff>1209040</xdr:rowOff>
    </xdr:to>
    <xdr:pic>
      <xdr:nvPicPr>
        <xdr:cNvPr id="6586" name="Изображение 6585" descr="resizeПП-00084738"/>
        <xdr:cNvPicPr>
          <a:picLocks noChangeAspect="1"/>
        </xdr:cNvPicPr>
      </xdr:nvPicPr>
      <xdr:blipFill>
        <a:blip xmlns:r="http://schemas.openxmlformats.org/officeDocument/2006/relationships" r:embed="rId2298"/>
        <a:stretch>
          <a:fillRect/>
        </a:stretch>
      </xdr:blipFill>
      <xdr:spPr>
        <a:xfrm>
          <a:off x="7264400" y="3012681300"/>
          <a:ext cx="878840" cy="1183640"/>
        </a:xfrm>
        <a:prstGeom prst="rect">
          <a:avLst/>
        </a:prstGeom>
      </xdr:spPr>
    </xdr:pic>
    <xdr:clientData/>
  </xdr:twoCellAnchor>
  <xdr:twoCellAnchor>
    <xdr:from>
      <xdr:col>8</xdr:col>
      <xdr:colOff>6350</xdr:colOff>
      <xdr:row>3051</xdr:row>
      <xdr:rowOff>25400</xdr:rowOff>
    </xdr:from>
    <xdr:to>
      <xdr:col>8</xdr:col>
      <xdr:colOff>885190</xdr:colOff>
      <xdr:row>3051</xdr:row>
      <xdr:rowOff>1209040</xdr:rowOff>
    </xdr:to>
    <xdr:pic>
      <xdr:nvPicPr>
        <xdr:cNvPr id="6587" name="Изображение 6586" descr="resizeПП-00084736"/>
        <xdr:cNvPicPr>
          <a:picLocks noChangeAspect="1"/>
        </xdr:cNvPicPr>
      </xdr:nvPicPr>
      <xdr:blipFill>
        <a:blip xmlns:r="http://schemas.openxmlformats.org/officeDocument/2006/relationships" r:embed="rId2299"/>
        <a:stretch>
          <a:fillRect/>
        </a:stretch>
      </xdr:blipFill>
      <xdr:spPr>
        <a:xfrm>
          <a:off x="7264400" y="3013903675"/>
          <a:ext cx="878840" cy="1183640"/>
        </a:xfrm>
        <a:prstGeom prst="rect">
          <a:avLst/>
        </a:prstGeom>
      </xdr:spPr>
    </xdr:pic>
    <xdr:clientData/>
  </xdr:twoCellAnchor>
  <xdr:twoCellAnchor>
    <xdr:from>
      <xdr:col>8</xdr:col>
      <xdr:colOff>6350</xdr:colOff>
      <xdr:row>3052</xdr:row>
      <xdr:rowOff>25400</xdr:rowOff>
    </xdr:from>
    <xdr:to>
      <xdr:col>8</xdr:col>
      <xdr:colOff>885190</xdr:colOff>
      <xdr:row>3052</xdr:row>
      <xdr:rowOff>1209040</xdr:rowOff>
    </xdr:to>
    <xdr:pic>
      <xdr:nvPicPr>
        <xdr:cNvPr id="6588" name="Изображение 6587" descr="resizeПП-00215750"/>
        <xdr:cNvPicPr>
          <a:picLocks noChangeAspect="1"/>
        </xdr:cNvPicPr>
      </xdr:nvPicPr>
      <xdr:blipFill>
        <a:blip xmlns:r="http://schemas.openxmlformats.org/officeDocument/2006/relationships" r:embed="rId2300"/>
        <a:stretch>
          <a:fillRect/>
        </a:stretch>
      </xdr:blipFill>
      <xdr:spPr>
        <a:xfrm>
          <a:off x="7264400" y="3015126050"/>
          <a:ext cx="878840" cy="1183640"/>
        </a:xfrm>
        <a:prstGeom prst="rect">
          <a:avLst/>
        </a:prstGeom>
      </xdr:spPr>
    </xdr:pic>
    <xdr:clientData/>
  </xdr:twoCellAnchor>
  <xdr:twoCellAnchor>
    <xdr:from>
      <xdr:col>8</xdr:col>
      <xdr:colOff>6350</xdr:colOff>
      <xdr:row>3053</xdr:row>
      <xdr:rowOff>25400</xdr:rowOff>
    </xdr:from>
    <xdr:to>
      <xdr:col>8</xdr:col>
      <xdr:colOff>885190</xdr:colOff>
      <xdr:row>3053</xdr:row>
      <xdr:rowOff>1209040</xdr:rowOff>
    </xdr:to>
    <xdr:pic>
      <xdr:nvPicPr>
        <xdr:cNvPr id="6589" name="Изображение 6588" descr="resizeПП-00215752"/>
        <xdr:cNvPicPr>
          <a:picLocks noChangeAspect="1"/>
        </xdr:cNvPicPr>
      </xdr:nvPicPr>
      <xdr:blipFill>
        <a:blip xmlns:r="http://schemas.openxmlformats.org/officeDocument/2006/relationships" r:embed="rId2301"/>
        <a:stretch>
          <a:fillRect/>
        </a:stretch>
      </xdr:blipFill>
      <xdr:spPr>
        <a:xfrm>
          <a:off x="7264400" y="3016348425"/>
          <a:ext cx="878840" cy="1183640"/>
        </a:xfrm>
        <a:prstGeom prst="rect">
          <a:avLst/>
        </a:prstGeom>
      </xdr:spPr>
    </xdr:pic>
    <xdr:clientData/>
  </xdr:twoCellAnchor>
  <xdr:twoCellAnchor>
    <xdr:from>
      <xdr:col>8</xdr:col>
      <xdr:colOff>6350</xdr:colOff>
      <xdr:row>3055</xdr:row>
      <xdr:rowOff>25400</xdr:rowOff>
    </xdr:from>
    <xdr:to>
      <xdr:col>8</xdr:col>
      <xdr:colOff>885190</xdr:colOff>
      <xdr:row>3055</xdr:row>
      <xdr:rowOff>1209040</xdr:rowOff>
    </xdr:to>
    <xdr:pic>
      <xdr:nvPicPr>
        <xdr:cNvPr id="6590" name="Изображение 6589" descr="resizeПП-00234683"/>
        <xdr:cNvPicPr>
          <a:picLocks noChangeAspect="1"/>
        </xdr:cNvPicPr>
      </xdr:nvPicPr>
      <xdr:blipFill>
        <a:blip xmlns:r="http://schemas.openxmlformats.org/officeDocument/2006/relationships" r:embed="rId2302"/>
        <a:stretch>
          <a:fillRect/>
        </a:stretch>
      </xdr:blipFill>
      <xdr:spPr>
        <a:xfrm>
          <a:off x="7264400" y="3017723200"/>
          <a:ext cx="878840" cy="1183640"/>
        </a:xfrm>
        <a:prstGeom prst="rect">
          <a:avLst/>
        </a:prstGeom>
      </xdr:spPr>
    </xdr:pic>
    <xdr:clientData/>
  </xdr:twoCellAnchor>
  <xdr:twoCellAnchor>
    <xdr:from>
      <xdr:col>8</xdr:col>
      <xdr:colOff>6350</xdr:colOff>
      <xdr:row>3056</xdr:row>
      <xdr:rowOff>25400</xdr:rowOff>
    </xdr:from>
    <xdr:to>
      <xdr:col>8</xdr:col>
      <xdr:colOff>885190</xdr:colOff>
      <xdr:row>3056</xdr:row>
      <xdr:rowOff>1209040</xdr:rowOff>
    </xdr:to>
    <xdr:pic>
      <xdr:nvPicPr>
        <xdr:cNvPr id="6591" name="Изображение 6590" descr="resizeПП-00234684"/>
        <xdr:cNvPicPr>
          <a:picLocks noChangeAspect="1"/>
        </xdr:cNvPicPr>
      </xdr:nvPicPr>
      <xdr:blipFill>
        <a:blip xmlns:r="http://schemas.openxmlformats.org/officeDocument/2006/relationships" r:embed="rId2303"/>
        <a:stretch>
          <a:fillRect/>
        </a:stretch>
      </xdr:blipFill>
      <xdr:spPr>
        <a:xfrm>
          <a:off x="7264400" y="3018945575"/>
          <a:ext cx="878840" cy="1183640"/>
        </a:xfrm>
        <a:prstGeom prst="rect">
          <a:avLst/>
        </a:prstGeom>
      </xdr:spPr>
    </xdr:pic>
    <xdr:clientData/>
  </xdr:twoCellAnchor>
  <xdr:twoCellAnchor>
    <xdr:from>
      <xdr:col>8</xdr:col>
      <xdr:colOff>6350</xdr:colOff>
      <xdr:row>3057</xdr:row>
      <xdr:rowOff>25400</xdr:rowOff>
    </xdr:from>
    <xdr:to>
      <xdr:col>8</xdr:col>
      <xdr:colOff>885190</xdr:colOff>
      <xdr:row>3057</xdr:row>
      <xdr:rowOff>1209040</xdr:rowOff>
    </xdr:to>
    <xdr:pic>
      <xdr:nvPicPr>
        <xdr:cNvPr id="6592" name="Изображение 6591" descr="resizeПП-00234681"/>
        <xdr:cNvPicPr>
          <a:picLocks noChangeAspect="1"/>
        </xdr:cNvPicPr>
      </xdr:nvPicPr>
      <xdr:blipFill>
        <a:blip xmlns:r="http://schemas.openxmlformats.org/officeDocument/2006/relationships" r:embed="rId2304"/>
        <a:stretch>
          <a:fillRect/>
        </a:stretch>
      </xdr:blipFill>
      <xdr:spPr>
        <a:xfrm>
          <a:off x="7264400" y="3020167950"/>
          <a:ext cx="878840" cy="1183640"/>
        </a:xfrm>
        <a:prstGeom prst="rect">
          <a:avLst/>
        </a:prstGeom>
      </xdr:spPr>
    </xdr:pic>
    <xdr:clientData/>
  </xdr:twoCellAnchor>
  <xdr:twoCellAnchor>
    <xdr:from>
      <xdr:col>8</xdr:col>
      <xdr:colOff>6350</xdr:colOff>
      <xdr:row>3058</xdr:row>
      <xdr:rowOff>25400</xdr:rowOff>
    </xdr:from>
    <xdr:to>
      <xdr:col>8</xdr:col>
      <xdr:colOff>885190</xdr:colOff>
      <xdr:row>3058</xdr:row>
      <xdr:rowOff>1209040</xdr:rowOff>
    </xdr:to>
    <xdr:pic>
      <xdr:nvPicPr>
        <xdr:cNvPr id="6593" name="Изображение 6592" descr="resizeПП-00234682"/>
        <xdr:cNvPicPr>
          <a:picLocks noChangeAspect="1"/>
        </xdr:cNvPicPr>
      </xdr:nvPicPr>
      <xdr:blipFill>
        <a:blip xmlns:r="http://schemas.openxmlformats.org/officeDocument/2006/relationships" r:embed="rId2305"/>
        <a:stretch>
          <a:fillRect/>
        </a:stretch>
      </xdr:blipFill>
      <xdr:spPr>
        <a:xfrm>
          <a:off x="7264400" y="3021390325"/>
          <a:ext cx="878840" cy="1183640"/>
        </a:xfrm>
        <a:prstGeom prst="rect">
          <a:avLst/>
        </a:prstGeom>
      </xdr:spPr>
    </xdr:pic>
    <xdr:clientData/>
  </xdr:twoCellAnchor>
  <xdr:twoCellAnchor>
    <xdr:from>
      <xdr:col>8</xdr:col>
      <xdr:colOff>6350</xdr:colOff>
      <xdr:row>3059</xdr:row>
      <xdr:rowOff>25400</xdr:rowOff>
    </xdr:from>
    <xdr:to>
      <xdr:col>8</xdr:col>
      <xdr:colOff>885190</xdr:colOff>
      <xdr:row>3059</xdr:row>
      <xdr:rowOff>1209040</xdr:rowOff>
    </xdr:to>
    <xdr:pic>
      <xdr:nvPicPr>
        <xdr:cNvPr id="6594" name="Изображение 6593" descr="resizeПП-00234660"/>
        <xdr:cNvPicPr>
          <a:picLocks noChangeAspect="1"/>
        </xdr:cNvPicPr>
      </xdr:nvPicPr>
      <xdr:blipFill>
        <a:blip xmlns:r="http://schemas.openxmlformats.org/officeDocument/2006/relationships" r:embed="rId2306"/>
        <a:stretch>
          <a:fillRect/>
        </a:stretch>
      </xdr:blipFill>
      <xdr:spPr>
        <a:xfrm>
          <a:off x="7264400" y="3022612700"/>
          <a:ext cx="878840" cy="1183640"/>
        </a:xfrm>
        <a:prstGeom prst="rect">
          <a:avLst/>
        </a:prstGeom>
      </xdr:spPr>
    </xdr:pic>
    <xdr:clientData/>
  </xdr:twoCellAnchor>
  <xdr:twoCellAnchor>
    <xdr:from>
      <xdr:col>8</xdr:col>
      <xdr:colOff>6350</xdr:colOff>
      <xdr:row>3060</xdr:row>
      <xdr:rowOff>25400</xdr:rowOff>
    </xdr:from>
    <xdr:to>
      <xdr:col>8</xdr:col>
      <xdr:colOff>885190</xdr:colOff>
      <xdr:row>3060</xdr:row>
      <xdr:rowOff>1209040</xdr:rowOff>
    </xdr:to>
    <xdr:pic>
      <xdr:nvPicPr>
        <xdr:cNvPr id="6595" name="Изображение 6594" descr="resizeПП-00234661"/>
        <xdr:cNvPicPr>
          <a:picLocks noChangeAspect="1"/>
        </xdr:cNvPicPr>
      </xdr:nvPicPr>
      <xdr:blipFill>
        <a:blip xmlns:r="http://schemas.openxmlformats.org/officeDocument/2006/relationships" r:embed="rId2307"/>
        <a:stretch>
          <a:fillRect/>
        </a:stretch>
      </xdr:blipFill>
      <xdr:spPr>
        <a:xfrm>
          <a:off x="7264400" y="3023835075"/>
          <a:ext cx="878840" cy="1183640"/>
        </a:xfrm>
        <a:prstGeom prst="rect">
          <a:avLst/>
        </a:prstGeom>
      </xdr:spPr>
    </xdr:pic>
    <xdr:clientData/>
  </xdr:twoCellAnchor>
  <xdr:twoCellAnchor>
    <xdr:from>
      <xdr:col>8</xdr:col>
      <xdr:colOff>6350</xdr:colOff>
      <xdr:row>3061</xdr:row>
      <xdr:rowOff>25400</xdr:rowOff>
    </xdr:from>
    <xdr:to>
      <xdr:col>8</xdr:col>
      <xdr:colOff>885190</xdr:colOff>
      <xdr:row>3061</xdr:row>
      <xdr:rowOff>1209040</xdr:rowOff>
    </xdr:to>
    <xdr:pic>
      <xdr:nvPicPr>
        <xdr:cNvPr id="6596" name="Изображение 6595" descr="resizeПП-00234659"/>
        <xdr:cNvPicPr>
          <a:picLocks noChangeAspect="1"/>
        </xdr:cNvPicPr>
      </xdr:nvPicPr>
      <xdr:blipFill>
        <a:blip xmlns:r="http://schemas.openxmlformats.org/officeDocument/2006/relationships" r:embed="rId2308"/>
        <a:stretch>
          <a:fillRect/>
        </a:stretch>
      </xdr:blipFill>
      <xdr:spPr>
        <a:xfrm>
          <a:off x="7264400" y="3025057450"/>
          <a:ext cx="878840" cy="1183640"/>
        </a:xfrm>
        <a:prstGeom prst="rect">
          <a:avLst/>
        </a:prstGeom>
      </xdr:spPr>
    </xdr:pic>
    <xdr:clientData/>
  </xdr:twoCellAnchor>
  <xdr:twoCellAnchor>
    <xdr:from>
      <xdr:col>8</xdr:col>
      <xdr:colOff>6350</xdr:colOff>
      <xdr:row>3062</xdr:row>
      <xdr:rowOff>25400</xdr:rowOff>
    </xdr:from>
    <xdr:to>
      <xdr:col>8</xdr:col>
      <xdr:colOff>885190</xdr:colOff>
      <xdr:row>3062</xdr:row>
      <xdr:rowOff>1209040</xdr:rowOff>
    </xdr:to>
    <xdr:pic>
      <xdr:nvPicPr>
        <xdr:cNvPr id="6597" name="Изображение 6596" descr="resizeПП-00234655"/>
        <xdr:cNvPicPr>
          <a:picLocks noChangeAspect="1"/>
        </xdr:cNvPicPr>
      </xdr:nvPicPr>
      <xdr:blipFill>
        <a:blip xmlns:r="http://schemas.openxmlformats.org/officeDocument/2006/relationships" r:embed="rId2309"/>
        <a:stretch>
          <a:fillRect/>
        </a:stretch>
      </xdr:blipFill>
      <xdr:spPr>
        <a:xfrm>
          <a:off x="7264400" y="3026279825"/>
          <a:ext cx="878840" cy="1183640"/>
        </a:xfrm>
        <a:prstGeom prst="rect">
          <a:avLst/>
        </a:prstGeom>
      </xdr:spPr>
    </xdr:pic>
    <xdr:clientData/>
  </xdr:twoCellAnchor>
  <xdr:twoCellAnchor>
    <xdr:from>
      <xdr:col>8</xdr:col>
      <xdr:colOff>6350</xdr:colOff>
      <xdr:row>3063</xdr:row>
      <xdr:rowOff>25400</xdr:rowOff>
    </xdr:from>
    <xdr:to>
      <xdr:col>8</xdr:col>
      <xdr:colOff>885190</xdr:colOff>
      <xdr:row>3063</xdr:row>
      <xdr:rowOff>1209040</xdr:rowOff>
    </xdr:to>
    <xdr:pic>
      <xdr:nvPicPr>
        <xdr:cNvPr id="6598" name="Изображение 6597" descr="resizeПП-00234666"/>
        <xdr:cNvPicPr>
          <a:picLocks noChangeAspect="1"/>
        </xdr:cNvPicPr>
      </xdr:nvPicPr>
      <xdr:blipFill>
        <a:blip xmlns:r="http://schemas.openxmlformats.org/officeDocument/2006/relationships" r:embed="rId2310"/>
        <a:stretch>
          <a:fillRect/>
        </a:stretch>
      </xdr:blipFill>
      <xdr:spPr>
        <a:xfrm>
          <a:off x="7264400" y="3027502200"/>
          <a:ext cx="878840" cy="1183640"/>
        </a:xfrm>
        <a:prstGeom prst="rect">
          <a:avLst/>
        </a:prstGeom>
      </xdr:spPr>
    </xdr:pic>
    <xdr:clientData/>
  </xdr:twoCellAnchor>
  <xdr:twoCellAnchor>
    <xdr:from>
      <xdr:col>8</xdr:col>
      <xdr:colOff>6350</xdr:colOff>
      <xdr:row>3064</xdr:row>
      <xdr:rowOff>25400</xdr:rowOff>
    </xdr:from>
    <xdr:to>
      <xdr:col>8</xdr:col>
      <xdr:colOff>885190</xdr:colOff>
      <xdr:row>3064</xdr:row>
      <xdr:rowOff>1209040</xdr:rowOff>
    </xdr:to>
    <xdr:pic>
      <xdr:nvPicPr>
        <xdr:cNvPr id="6599" name="Изображение 6598" descr="resizeПП-00234667"/>
        <xdr:cNvPicPr>
          <a:picLocks noChangeAspect="1"/>
        </xdr:cNvPicPr>
      </xdr:nvPicPr>
      <xdr:blipFill>
        <a:blip xmlns:r="http://schemas.openxmlformats.org/officeDocument/2006/relationships" r:embed="rId2311"/>
        <a:stretch>
          <a:fillRect/>
        </a:stretch>
      </xdr:blipFill>
      <xdr:spPr>
        <a:xfrm>
          <a:off x="7264400" y="3028724575"/>
          <a:ext cx="878840" cy="1183640"/>
        </a:xfrm>
        <a:prstGeom prst="rect">
          <a:avLst/>
        </a:prstGeom>
      </xdr:spPr>
    </xdr:pic>
    <xdr:clientData/>
  </xdr:twoCellAnchor>
  <xdr:twoCellAnchor>
    <xdr:from>
      <xdr:col>8</xdr:col>
      <xdr:colOff>6350</xdr:colOff>
      <xdr:row>3068</xdr:row>
      <xdr:rowOff>25400</xdr:rowOff>
    </xdr:from>
    <xdr:to>
      <xdr:col>8</xdr:col>
      <xdr:colOff>885190</xdr:colOff>
      <xdr:row>3068</xdr:row>
      <xdr:rowOff>1209040</xdr:rowOff>
    </xdr:to>
    <xdr:pic>
      <xdr:nvPicPr>
        <xdr:cNvPr id="6600" name="Изображение 6599" descr="resizeПП-00047588"/>
        <xdr:cNvPicPr>
          <a:picLocks noChangeAspect="1"/>
        </xdr:cNvPicPr>
      </xdr:nvPicPr>
      <xdr:blipFill>
        <a:blip xmlns:r="http://schemas.openxmlformats.org/officeDocument/2006/relationships" r:embed="rId2312"/>
        <a:stretch>
          <a:fillRect/>
        </a:stretch>
      </xdr:blipFill>
      <xdr:spPr>
        <a:xfrm>
          <a:off x="7264400" y="3030404150"/>
          <a:ext cx="878840" cy="1183640"/>
        </a:xfrm>
        <a:prstGeom prst="rect">
          <a:avLst/>
        </a:prstGeom>
      </xdr:spPr>
    </xdr:pic>
    <xdr:clientData/>
  </xdr:twoCellAnchor>
  <xdr:twoCellAnchor>
    <xdr:from>
      <xdr:col>8</xdr:col>
      <xdr:colOff>6350</xdr:colOff>
      <xdr:row>3069</xdr:row>
      <xdr:rowOff>25400</xdr:rowOff>
    </xdr:from>
    <xdr:to>
      <xdr:col>8</xdr:col>
      <xdr:colOff>885190</xdr:colOff>
      <xdr:row>3069</xdr:row>
      <xdr:rowOff>1209040</xdr:rowOff>
    </xdr:to>
    <xdr:pic>
      <xdr:nvPicPr>
        <xdr:cNvPr id="6601" name="Изображение 6600" descr="resizeПП-00071906"/>
        <xdr:cNvPicPr>
          <a:picLocks noChangeAspect="1"/>
        </xdr:cNvPicPr>
      </xdr:nvPicPr>
      <xdr:blipFill>
        <a:blip xmlns:r="http://schemas.openxmlformats.org/officeDocument/2006/relationships" r:embed="rId2313"/>
        <a:stretch>
          <a:fillRect/>
        </a:stretch>
      </xdr:blipFill>
      <xdr:spPr>
        <a:xfrm>
          <a:off x="7264400" y="3031626525"/>
          <a:ext cx="878840" cy="1183640"/>
        </a:xfrm>
        <a:prstGeom prst="rect">
          <a:avLst/>
        </a:prstGeom>
      </xdr:spPr>
    </xdr:pic>
    <xdr:clientData/>
  </xdr:twoCellAnchor>
  <xdr:twoCellAnchor>
    <xdr:from>
      <xdr:col>8</xdr:col>
      <xdr:colOff>6350</xdr:colOff>
      <xdr:row>3070</xdr:row>
      <xdr:rowOff>25400</xdr:rowOff>
    </xdr:from>
    <xdr:to>
      <xdr:col>8</xdr:col>
      <xdr:colOff>885190</xdr:colOff>
      <xdr:row>3070</xdr:row>
      <xdr:rowOff>1209040</xdr:rowOff>
    </xdr:to>
    <xdr:pic>
      <xdr:nvPicPr>
        <xdr:cNvPr id="6602" name="Изображение 6601" descr="resizeПП-00047587"/>
        <xdr:cNvPicPr>
          <a:picLocks noChangeAspect="1"/>
        </xdr:cNvPicPr>
      </xdr:nvPicPr>
      <xdr:blipFill>
        <a:blip xmlns:r="http://schemas.openxmlformats.org/officeDocument/2006/relationships" r:embed="rId2314"/>
        <a:stretch>
          <a:fillRect/>
        </a:stretch>
      </xdr:blipFill>
      <xdr:spPr>
        <a:xfrm>
          <a:off x="7264400" y="3032848900"/>
          <a:ext cx="878840" cy="1183640"/>
        </a:xfrm>
        <a:prstGeom prst="rect">
          <a:avLst/>
        </a:prstGeom>
      </xdr:spPr>
    </xdr:pic>
    <xdr:clientData/>
  </xdr:twoCellAnchor>
  <xdr:twoCellAnchor>
    <xdr:from>
      <xdr:col>8</xdr:col>
      <xdr:colOff>6350</xdr:colOff>
      <xdr:row>3072</xdr:row>
      <xdr:rowOff>25400</xdr:rowOff>
    </xdr:from>
    <xdr:to>
      <xdr:col>8</xdr:col>
      <xdr:colOff>885190</xdr:colOff>
      <xdr:row>3072</xdr:row>
      <xdr:rowOff>1209040</xdr:rowOff>
    </xdr:to>
    <xdr:pic>
      <xdr:nvPicPr>
        <xdr:cNvPr id="6603" name="Изображение 6602" descr="resizeПП-00252495"/>
        <xdr:cNvPicPr>
          <a:picLocks noChangeAspect="1"/>
        </xdr:cNvPicPr>
      </xdr:nvPicPr>
      <xdr:blipFill>
        <a:blip xmlns:r="http://schemas.openxmlformats.org/officeDocument/2006/relationships" r:embed="rId2315"/>
        <a:stretch>
          <a:fillRect/>
        </a:stretch>
      </xdr:blipFill>
      <xdr:spPr>
        <a:xfrm>
          <a:off x="7264400" y="3034223675"/>
          <a:ext cx="878840" cy="1183640"/>
        </a:xfrm>
        <a:prstGeom prst="rect">
          <a:avLst/>
        </a:prstGeom>
      </xdr:spPr>
    </xdr:pic>
    <xdr:clientData/>
  </xdr:twoCellAnchor>
  <xdr:twoCellAnchor>
    <xdr:from>
      <xdr:col>8</xdr:col>
      <xdr:colOff>6350</xdr:colOff>
      <xdr:row>3073</xdr:row>
      <xdr:rowOff>25400</xdr:rowOff>
    </xdr:from>
    <xdr:to>
      <xdr:col>8</xdr:col>
      <xdr:colOff>885190</xdr:colOff>
      <xdr:row>3073</xdr:row>
      <xdr:rowOff>1209040</xdr:rowOff>
    </xdr:to>
    <xdr:pic>
      <xdr:nvPicPr>
        <xdr:cNvPr id="6604" name="Изображение 6603" descr="resizeПП-00221128"/>
        <xdr:cNvPicPr>
          <a:picLocks noChangeAspect="1"/>
        </xdr:cNvPicPr>
      </xdr:nvPicPr>
      <xdr:blipFill>
        <a:blip xmlns:r="http://schemas.openxmlformats.org/officeDocument/2006/relationships" r:embed="rId2316"/>
        <a:stretch>
          <a:fillRect/>
        </a:stretch>
      </xdr:blipFill>
      <xdr:spPr>
        <a:xfrm>
          <a:off x="7264400" y="3035446050"/>
          <a:ext cx="878840" cy="1183640"/>
        </a:xfrm>
        <a:prstGeom prst="rect">
          <a:avLst/>
        </a:prstGeom>
      </xdr:spPr>
    </xdr:pic>
    <xdr:clientData/>
  </xdr:twoCellAnchor>
  <xdr:twoCellAnchor>
    <xdr:from>
      <xdr:col>8</xdr:col>
      <xdr:colOff>6350</xdr:colOff>
      <xdr:row>3074</xdr:row>
      <xdr:rowOff>25400</xdr:rowOff>
    </xdr:from>
    <xdr:to>
      <xdr:col>8</xdr:col>
      <xdr:colOff>885190</xdr:colOff>
      <xdr:row>3074</xdr:row>
      <xdr:rowOff>1209040</xdr:rowOff>
    </xdr:to>
    <xdr:pic>
      <xdr:nvPicPr>
        <xdr:cNvPr id="6605" name="Изображение 6604" descr="resizeПП-00252497"/>
        <xdr:cNvPicPr>
          <a:picLocks noChangeAspect="1"/>
        </xdr:cNvPicPr>
      </xdr:nvPicPr>
      <xdr:blipFill>
        <a:blip xmlns:r="http://schemas.openxmlformats.org/officeDocument/2006/relationships" r:embed="rId2317"/>
        <a:stretch>
          <a:fillRect/>
        </a:stretch>
      </xdr:blipFill>
      <xdr:spPr>
        <a:xfrm>
          <a:off x="7264400" y="3036668425"/>
          <a:ext cx="878840" cy="1183640"/>
        </a:xfrm>
        <a:prstGeom prst="rect">
          <a:avLst/>
        </a:prstGeom>
      </xdr:spPr>
    </xdr:pic>
    <xdr:clientData/>
  </xdr:twoCellAnchor>
  <xdr:twoCellAnchor>
    <xdr:from>
      <xdr:col>8</xdr:col>
      <xdr:colOff>6350</xdr:colOff>
      <xdr:row>3075</xdr:row>
      <xdr:rowOff>25400</xdr:rowOff>
    </xdr:from>
    <xdr:to>
      <xdr:col>8</xdr:col>
      <xdr:colOff>885190</xdr:colOff>
      <xdr:row>3075</xdr:row>
      <xdr:rowOff>1209040</xdr:rowOff>
    </xdr:to>
    <xdr:pic>
      <xdr:nvPicPr>
        <xdr:cNvPr id="6606" name="Изображение 6605" descr="resizeПП-00252498"/>
        <xdr:cNvPicPr>
          <a:picLocks noChangeAspect="1"/>
        </xdr:cNvPicPr>
      </xdr:nvPicPr>
      <xdr:blipFill>
        <a:blip xmlns:r="http://schemas.openxmlformats.org/officeDocument/2006/relationships" r:embed="rId2318"/>
        <a:stretch>
          <a:fillRect/>
        </a:stretch>
      </xdr:blipFill>
      <xdr:spPr>
        <a:xfrm>
          <a:off x="7264400" y="3037890800"/>
          <a:ext cx="878840" cy="1183640"/>
        </a:xfrm>
        <a:prstGeom prst="rect">
          <a:avLst/>
        </a:prstGeom>
      </xdr:spPr>
    </xdr:pic>
    <xdr:clientData/>
  </xdr:twoCellAnchor>
  <xdr:twoCellAnchor>
    <xdr:from>
      <xdr:col>8</xdr:col>
      <xdr:colOff>6350</xdr:colOff>
      <xdr:row>3076</xdr:row>
      <xdr:rowOff>25400</xdr:rowOff>
    </xdr:from>
    <xdr:to>
      <xdr:col>8</xdr:col>
      <xdr:colOff>885190</xdr:colOff>
      <xdr:row>3076</xdr:row>
      <xdr:rowOff>1209040</xdr:rowOff>
    </xdr:to>
    <xdr:pic>
      <xdr:nvPicPr>
        <xdr:cNvPr id="6607" name="Изображение 6606" descr="resizeПП-00252496"/>
        <xdr:cNvPicPr>
          <a:picLocks noChangeAspect="1"/>
        </xdr:cNvPicPr>
      </xdr:nvPicPr>
      <xdr:blipFill>
        <a:blip xmlns:r="http://schemas.openxmlformats.org/officeDocument/2006/relationships" r:embed="rId2319"/>
        <a:stretch>
          <a:fillRect/>
        </a:stretch>
      </xdr:blipFill>
      <xdr:spPr>
        <a:xfrm>
          <a:off x="7264400" y="3039113175"/>
          <a:ext cx="878840" cy="1183640"/>
        </a:xfrm>
        <a:prstGeom prst="rect">
          <a:avLst/>
        </a:prstGeom>
      </xdr:spPr>
    </xdr:pic>
    <xdr:clientData/>
  </xdr:twoCellAnchor>
  <xdr:twoCellAnchor>
    <xdr:from>
      <xdr:col>8</xdr:col>
      <xdr:colOff>6350</xdr:colOff>
      <xdr:row>3078</xdr:row>
      <xdr:rowOff>25400</xdr:rowOff>
    </xdr:from>
    <xdr:to>
      <xdr:col>8</xdr:col>
      <xdr:colOff>885190</xdr:colOff>
      <xdr:row>3078</xdr:row>
      <xdr:rowOff>1209040</xdr:rowOff>
    </xdr:to>
    <xdr:pic>
      <xdr:nvPicPr>
        <xdr:cNvPr id="6608" name="Изображение 6607" descr="resizeПП-00281104"/>
        <xdr:cNvPicPr>
          <a:picLocks noChangeAspect="1"/>
        </xdr:cNvPicPr>
      </xdr:nvPicPr>
      <xdr:blipFill>
        <a:blip xmlns:r="http://schemas.openxmlformats.org/officeDocument/2006/relationships" r:embed="rId2320"/>
        <a:stretch>
          <a:fillRect/>
        </a:stretch>
      </xdr:blipFill>
      <xdr:spPr>
        <a:xfrm>
          <a:off x="7264400" y="3040487950"/>
          <a:ext cx="878840" cy="1183640"/>
        </a:xfrm>
        <a:prstGeom prst="rect">
          <a:avLst/>
        </a:prstGeom>
      </xdr:spPr>
    </xdr:pic>
    <xdr:clientData/>
  </xdr:twoCellAnchor>
  <xdr:twoCellAnchor>
    <xdr:from>
      <xdr:col>8</xdr:col>
      <xdr:colOff>6350</xdr:colOff>
      <xdr:row>3079</xdr:row>
      <xdr:rowOff>25400</xdr:rowOff>
    </xdr:from>
    <xdr:to>
      <xdr:col>8</xdr:col>
      <xdr:colOff>885190</xdr:colOff>
      <xdr:row>3079</xdr:row>
      <xdr:rowOff>1209040</xdr:rowOff>
    </xdr:to>
    <xdr:pic>
      <xdr:nvPicPr>
        <xdr:cNvPr id="6609" name="Изображение 6608" descr="resizeПП-00281105"/>
        <xdr:cNvPicPr>
          <a:picLocks noChangeAspect="1"/>
        </xdr:cNvPicPr>
      </xdr:nvPicPr>
      <xdr:blipFill>
        <a:blip xmlns:r="http://schemas.openxmlformats.org/officeDocument/2006/relationships" r:embed="rId2321"/>
        <a:stretch>
          <a:fillRect/>
        </a:stretch>
      </xdr:blipFill>
      <xdr:spPr>
        <a:xfrm>
          <a:off x="7264400" y="3041710325"/>
          <a:ext cx="878840" cy="1183640"/>
        </a:xfrm>
        <a:prstGeom prst="rect">
          <a:avLst/>
        </a:prstGeom>
      </xdr:spPr>
    </xdr:pic>
    <xdr:clientData/>
  </xdr:twoCellAnchor>
  <xdr:twoCellAnchor>
    <xdr:from>
      <xdr:col>8</xdr:col>
      <xdr:colOff>6350</xdr:colOff>
      <xdr:row>3080</xdr:row>
      <xdr:rowOff>25400</xdr:rowOff>
    </xdr:from>
    <xdr:to>
      <xdr:col>8</xdr:col>
      <xdr:colOff>885190</xdr:colOff>
      <xdr:row>3080</xdr:row>
      <xdr:rowOff>1209040</xdr:rowOff>
    </xdr:to>
    <xdr:pic>
      <xdr:nvPicPr>
        <xdr:cNvPr id="6610" name="Изображение 6609" descr="resizeПП-00254797"/>
        <xdr:cNvPicPr>
          <a:picLocks noChangeAspect="1"/>
        </xdr:cNvPicPr>
      </xdr:nvPicPr>
      <xdr:blipFill>
        <a:blip xmlns:r="http://schemas.openxmlformats.org/officeDocument/2006/relationships" r:embed="rId2322"/>
        <a:stretch>
          <a:fillRect/>
        </a:stretch>
      </xdr:blipFill>
      <xdr:spPr>
        <a:xfrm>
          <a:off x="7264400" y="3042932700"/>
          <a:ext cx="878840" cy="1183640"/>
        </a:xfrm>
        <a:prstGeom prst="rect">
          <a:avLst/>
        </a:prstGeom>
      </xdr:spPr>
    </xdr:pic>
    <xdr:clientData/>
  </xdr:twoCellAnchor>
  <xdr:twoCellAnchor>
    <xdr:from>
      <xdr:col>8</xdr:col>
      <xdr:colOff>6350</xdr:colOff>
      <xdr:row>3081</xdr:row>
      <xdr:rowOff>25400</xdr:rowOff>
    </xdr:from>
    <xdr:to>
      <xdr:col>8</xdr:col>
      <xdr:colOff>885190</xdr:colOff>
      <xdr:row>3081</xdr:row>
      <xdr:rowOff>1209040</xdr:rowOff>
    </xdr:to>
    <xdr:pic>
      <xdr:nvPicPr>
        <xdr:cNvPr id="6611" name="Изображение 6610" descr="resizeПП-00281106"/>
        <xdr:cNvPicPr>
          <a:picLocks noChangeAspect="1"/>
        </xdr:cNvPicPr>
      </xdr:nvPicPr>
      <xdr:blipFill>
        <a:blip xmlns:r="http://schemas.openxmlformats.org/officeDocument/2006/relationships" r:embed="rId2323"/>
        <a:stretch>
          <a:fillRect/>
        </a:stretch>
      </xdr:blipFill>
      <xdr:spPr>
        <a:xfrm>
          <a:off x="7264400" y="3044155075"/>
          <a:ext cx="878840" cy="1183640"/>
        </a:xfrm>
        <a:prstGeom prst="rect">
          <a:avLst/>
        </a:prstGeom>
      </xdr:spPr>
    </xdr:pic>
    <xdr:clientData/>
  </xdr:twoCellAnchor>
  <xdr:twoCellAnchor>
    <xdr:from>
      <xdr:col>8</xdr:col>
      <xdr:colOff>6350</xdr:colOff>
      <xdr:row>3082</xdr:row>
      <xdr:rowOff>25400</xdr:rowOff>
    </xdr:from>
    <xdr:to>
      <xdr:col>8</xdr:col>
      <xdr:colOff>885190</xdr:colOff>
      <xdr:row>3082</xdr:row>
      <xdr:rowOff>1209040</xdr:rowOff>
    </xdr:to>
    <xdr:pic>
      <xdr:nvPicPr>
        <xdr:cNvPr id="6612" name="Изображение 6611" descr="resizeПП-00281107"/>
        <xdr:cNvPicPr>
          <a:picLocks noChangeAspect="1"/>
        </xdr:cNvPicPr>
      </xdr:nvPicPr>
      <xdr:blipFill>
        <a:blip xmlns:r="http://schemas.openxmlformats.org/officeDocument/2006/relationships" r:embed="rId2324"/>
        <a:stretch>
          <a:fillRect/>
        </a:stretch>
      </xdr:blipFill>
      <xdr:spPr>
        <a:xfrm>
          <a:off x="7264400" y="3045377450"/>
          <a:ext cx="878840" cy="1183640"/>
        </a:xfrm>
        <a:prstGeom prst="rect">
          <a:avLst/>
        </a:prstGeom>
      </xdr:spPr>
    </xdr:pic>
    <xdr:clientData/>
  </xdr:twoCellAnchor>
  <xdr:twoCellAnchor>
    <xdr:from>
      <xdr:col>8</xdr:col>
      <xdr:colOff>6350</xdr:colOff>
      <xdr:row>3083</xdr:row>
      <xdr:rowOff>25400</xdr:rowOff>
    </xdr:from>
    <xdr:to>
      <xdr:col>8</xdr:col>
      <xdr:colOff>885190</xdr:colOff>
      <xdr:row>3083</xdr:row>
      <xdr:rowOff>1209040</xdr:rowOff>
    </xdr:to>
    <xdr:pic>
      <xdr:nvPicPr>
        <xdr:cNvPr id="6613" name="Изображение 6612" descr="resizeПП-00254799"/>
        <xdr:cNvPicPr>
          <a:picLocks noChangeAspect="1"/>
        </xdr:cNvPicPr>
      </xdr:nvPicPr>
      <xdr:blipFill>
        <a:blip xmlns:r="http://schemas.openxmlformats.org/officeDocument/2006/relationships" r:embed="rId2325"/>
        <a:stretch>
          <a:fillRect/>
        </a:stretch>
      </xdr:blipFill>
      <xdr:spPr>
        <a:xfrm>
          <a:off x="7264400" y="3046599825"/>
          <a:ext cx="878840" cy="1183640"/>
        </a:xfrm>
        <a:prstGeom prst="rect">
          <a:avLst/>
        </a:prstGeom>
      </xdr:spPr>
    </xdr:pic>
    <xdr:clientData/>
  </xdr:twoCellAnchor>
  <xdr:twoCellAnchor>
    <xdr:from>
      <xdr:col>8</xdr:col>
      <xdr:colOff>6350</xdr:colOff>
      <xdr:row>3087</xdr:row>
      <xdr:rowOff>25400</xdr:rowOff>
    </xdr:from>
    <xdr:to>
      <xdr:col>8</xdr:col>
      <xdr:colOff>885190</xdr:colOff>
      <xdr:row>3087</xdr:row>
      <xdr:rowOff>1209040</xdr:rowOff>
    </xdr:to>
    <xdr:pic>
      <xdr:nvPicPr>
        <xdr:cNvPr id="6614" name="Изображение 6613" descr="resizeПП-00257834"/>
        <xdr:cNvPicPr>
          <a:picLocks noChangeAspect="1"/>
        </xdr:cNvPicPr>
      </xdr:nvPicPr>
      <xdr:blipFill>
        <a:blip xmlns:r="http://schemas.openxmlformats.org/officeDocument/2006/relationships" r:embed="rId2326"/>
        <a:stretch>
          <a:fillRect/>
        </a:stretch>
      </xdr:blipFill>
      <xdr:spPr>
        <a:xfrm>
          <a:off x="7264400" y="3048279400"/>
          <a:ext cx="878840" cy="1183640"/>
        </a:xfrm>
        <a:prstGeom prst="rect">
          <a:avLst/>
        </a:prstGeom>
      </xdr:spPr>
    </xdr:pic>
    <xdr:clientData/>
  </xdr:twoCellAnchor>
  <xdr:twoCellAnchor>
    <xdr:from>
      <xdr:col>8</xdr:col>
      <xdr:colOff>6350</xdr:colOff>
      <xdr:row>3088</xdr:row>
      <xdr:rowOff>25400</xdr:rowOff>
    </xdr:from>
    <xdr:to>
      <xdr:col>8</xdr:col>
      <xdr:colOff>885190</xdr:colOff>
      <xdr:row>3088</xdr:row>
      <xdr:rowOff>1209040</xdr:rowOff>
    </xdr:to>
    <xdr:pic>
      <xdr:nvPicPr>
        <xdr:cNvPr id="6615" name="Изображение 6614" descr="resizeПП-00257838"/>
        <xdr:cNvPicPr>
          <a:picLocks noChangeAspect="1"/>
        </xdr:cNvPicPr>
      </xdr:nvPicPr>
      <xdr:blipFill>
        <a:blip xmlns:r="http://schemas.openxmlformats.org/officeDocument/2006/relationships" r:embed="rId2327"/>
        <a:stretch>
          <a:fillRect/>
        </a:stretch>
      </xdr:blipFill>
      <xdr:spPr>
        <a:xfrm>
          <a:off x="7264400" y="3049501775"/>
          <a:ext cx="878840" cy="1183640"/>
        </a:xfrm>
        <a:prstGeom prst="rect">
          <a:avLst/>
        </a:prstGeom>
      </xdr:spPr>
    </xdr:pic>
    <xdr:clientData/>
  </xdr:twoCellAnchor>
  <xdr:twoCellAnchor>
    <xdr:from>
      <xdr:col>8</xdr:col>
      <xdr:colOff>6350</xdr:colOff>
      <xdr:row>3089</xdr:row>
      <xdr:rowOff>25400</xdr:rowOff>
    </xdr:from>
    <xdr:to>
      <xdr:col>8</xdr:col>
      <xdr:colOff>885190</xdr:colOff>
      <xdr:row>3089</xdr:row>
      <xdr:rowOff>1209040</xdr:rowOff>
    </xdr:to>
    <xdr:pic>
      <xdr:nvPicPr>
        <xdr:cNvPr id="6616" name="Изображение 6615" descr="resizeПП-00275119"/>
        <xdr:cNvPicPr>
          <a:picLocks noChangeAspect="1"/>
        </xdr:cNvPicPr>
      </xdr:nvPicPr>
      <xdr:blipFill>
        <a:blip xmlns:r="http://schemas.openxmlformats.org/officeDocument/2006/relationships" r:embed="rId2328"/>
        <a:stretch>
          <a:fillRect/>
        </a:stretch>
      </xdr:blipFill>
      <xdr:spPr>
        <a:xfrm>
          <a:off x="7264400" y="3050724150"/>
          <a:ext cx="878840" cy="1183640"/>
        </a:xfrm>
        <a:prstGeom prst="rect">
          <a:avLst/>
        </a:prstGeom>
      </xdr:spPr>
    </xdr:pic>
    <xdr:clientData/>
  </xdr:twoCellAnchor>
  <xdr:twoCellAnchor>
    <xdr:from>
      <xdr:col>8</xdr:col>
      <xdr:colOff>6350</xdr:colOff>
      <xdr:row>3090</xdr:row>
      <xdr:rowOff>25400</xdr:rowOff>
    </xdr:from>
    <xdr:to>
      <xdr:col>8</xdr:col>
      <xdr:colOff>885190</xdr:colOff>
      <xdr:row>3090</xdr:row>
      <xdr:rowOff>1209040</xdr:rowOff>
    </xdr:to>
    <xdr:pic>
      <xdr:nvPicPr>
        <xdr:cNvPr id="6617" name="Изображение 6616" descr="resizeПП-00266851"/>
        <xdr:cNvPicPr>
          <a:picLocks noChangeAspect="1"/>
        </xdr:cNvPicPr>
      </xdr:nvPicPr>
      <xdr:blipFill>
        <a:blip xmlns:r="http://schemas.openxmlformats.org/officeDocument/2006/relationships" r:embed="rId2329"/>
        <a:stretch>
          <a:fillRect/>
        </a:stretch>
      </xdr:blipFill>
      <xdr:spPr>
        <a:xfrm>
          <a:off x="7264400" y="3051946525"/>
          <a:ext cx="878840" cy="1183640"/>
        </a:xfrm>
        <a:prstGeom prst="rect">
          <a:avLst/>
        </a:prstGeom>
      </xdr:spPr>
    </xdr:pic>
    <xdr:clientData/>
  </xdr:twoCellAnchor>
  <xdr:twoCellAnchor>
    <xdr:from>
      <xdr:col>8</xdr:col>
      <xdr:colOff>6350</xdr:colOff>
      <xdr:row>3091</xdr:row>
      <xdr:rowOff>25400</xdr:rowOff>
    </xdr:from>
    <xdr:to>
      <xdr:col>8</xdr:col>
      <xdr:colOff>885190</xdr:colOff>
      <xdr:row>3091</xdr:row>
      <xdr:rowOff>1209040</xdr:rowOff>
    </xdr:to>
    <xdr:pic>
      <xdr:nvPicPr>
        <xdr:cNvPr id="6618" name="Изображение 6617" descr="resizeПП-00266850"/>
        <xdr:cNvPicPr>
          <a:picLocks noChangeAspect="1"/>
        </xdr:cNvPicPr>
      </xdr:nvPicPr>
      <xdr:blipFill>
        <a:blip xmlns:r="http://schemas.openxmlformats.org/officeDocument/2006/relationships" r:embed="rId2330"/>
        <a:stretch>
          <a:fillRect/>
        </a:stretch>
      </xdr:blipFill>
      <xdr:spPr>
        <a:xfrm>
          <a:off x="7264400" y="3053168900"/>
          <a:ext cx="878840" cy="1183640"/>
        </a:xfrm>
        <a:prstGeom prst="rect">
          <a:avLst/>
        </a:prstGeom>
      </xdr:spPr>
    </xdr:pic>
    <xdr:clientData/>
  </xdr:twoCellAnchor>
  <xdr:twoCellAnchor>
    <xdr:from>
      <xdr:col>8</xdr:col>
      <xdr:colOff>6350</xdr:colOff>
      <xdr:row>3092</xdr:row>
      <xdr:rowOff>25400</xdr:rowOff>
    </xdr:from>
    <xdr:to>
      <xdr:col>8</xdr:col>
      <xdr:colOff>885190</xdr:colOff>
      <xdr:row>3092</xdr:row>
      <xdr:rowOff>1209040</xdr:rowOff>
    </xdr:to>
    <xdr:pic>
      <xdr:nvPicPr>
        <xdr:cNvPr id="6619" name="Изображение 6618" descr="resizeПП-00266853"/>
        <xdr:cNvPicPr>
          <a:picLocks noChangeAspect="1"/>
        </xdr:cNvPicPr>
      </xdr:nvPicPr>
      <xdr:blipFill>
        <a:blip xmlns:r="http://schemas.openxmlformats.org/officeDocument/2006/relationships" r:embed="rId2331"/>
        <a:stretch>
          <a:fillRect/>
        </a:stretch>
      </xdr:blipFill>
      <xdr:spPr>
        <a:xfrm>
          <a:off x="7264400" y="3054391275"/>
          <a:ext cx="878840" cy="1183640"/>
        </a:xfrm>
        <a:prstGeom prst="rect">
          <a:avLst/>
        </a:prstGeom>
      </xdr:spPr>
    </xdr:pic>
    <xdr:clientData/>
  </xdr:twoCellAnchor>
  <xdr:twoCellAnchor>
    <xdr:from>
      <xdr:col>8</xdr:col>
      <xdr:colOff>6350</xdr:colOff>
      <xdr:row>3093</xdr:row>
      <xdr:rowOff>25400</xdr:rowOff>
    </xdr:from>
    <xdr:to>
      <xdr:col>8</xdr:col>
      <xdr:colOff>885190</xdr:colOff>
      <xdr:row>3093</xdr:row>
      <xdr:rowOff>1209040</xdr:rowOff>
    </xdr:to>
    <xdr:pic>
      <xdr:nvPicPr>
        <xdr:cNvPr id="6620" name="Изображение 6619" descr="resizeПП-00266852"/>
        <xdr:cNvPicPr>
          <a:picLocks noChangeAspect="1"/>
        </xdr:cNvPicPr>
      </xdr:nvPicPr>
      <xdr:blipFill>
        <a:blip xmlns:r="http://schemas.openxmlformats.org/officeDocument/2006/relationships" r:embed="rId2332"/>
        <a:stretch>
          <a:fillRect/>
        </a:stretch>
      </xdr:blipFill>
      <xdr:spPr>
        <a:xfrm>
          <a:off x="7264400" y="3055613650"/>
          <a:ext cx="878840" cy="1183640"/>
        </a:xfrm>
        <a:prstGeom prst="rect">
          <a:avLst/>
        </a:prstGeom>
      </xdr:spPr>
    </xdr:pic>
    <xdr:clientData/>
  </xdr:twoCellAnchor>
  <xdr:twoCellAnchor>
    <xdr:from>
      <xdr:col>8</xdr:col>
      <xdr:colOff>6350</xdr:colOff>
      <xdr:row>3094</xdr:row>
      <xdr:rowOff>25400</xdr:rowOff>
    </xdr:from>
    <xdr:to>
      <xdr:col>8</xdr:col>
      <xdr:colOff>885190</xdr:colOff>
      <xdr:row>3094</xdr:row>
      <xdr:rowOff>1209040</xdr:rowOff>
    </xdr:to>
    <xdr:pic>
      <xdr:nvPicPr>
        <xdr:cNvPr id="6621" name="Изображение 6620" descr="resizeПП-00266854"/>
        <xdr:cNvPicPr>
          <a:picLocks noChangeAspect="1"/>
        </xdr:cNvPicPr>
      </xdr:nvPicPr>
      <xdr:blipFill>
        <a:blip xmlns:r="http://schemas.openxmlformats.org/officeDocument/2006/relationships" r:embed="rId2333"/>
        <a:stretch>
          <a:fillRect/>
        </a:stretch>
      </xdr:blipFill>
      <xdr:spPr>
        <a:xfrm>
          <a:off x="7264400" y="3056836025"/>
          <a:ext cx="878840" cy="1183640"/>
        </a:xfrm>
        <a:prstGeom prst="rect">
          <a:avLst/>
        </a:prstGeom>
      </xdr:spPr>
    </xdr:pic>
    <xdr:clientData/>
  </xdr:twoCellAnchor>
  <xdr:twoCellAnchor>
    <xdr:from>
      <xdr:col>8</xdr:col>
      <xdr:colOff>6350</xdr:colOff>
      <xdr:row>3095</xdr:row>
      <xdr:rowOff>25400</xdr:rowOff>
    </xdr:from>
    <xdr:to>
      <xdr:col>8</xdr:col>
      <xdr:colOff>885190</xdr:colOff>
      <xdr:row>3095</xdr:row>
      <xdr:rowOff>1209040</xdr:rowOff>
    </xdr:to>
    <xdr:pic>
      <xdr:nvPicPr>
        <xdr:cNvPr id="6622" name="Изображение 6621" descr="resizeПП-00274404"/>
        <xdr:cNvPicPr>
          <a:picLocks noChangeAspect="1"/>
        </xdr:cNvPicPr>
      </xdr:nvPicPr>
      <xdr:blipFill>
        <a:blip xmlns:r="http://schemas.openxmlformats.org/officeDocument/2006/relationships" r:embed="rId2334"/>
        <a:stretch>
          <a:fillRect/>
        </a:stretch>
      </xdr:blipFill>
      <xdr:spPr>
        <a:xfrm>
          <a:off x="7264400" y="3058058400"/>
          <a:ext cx="878840" cy="1183640"/>
        </a:xfrm>
        <a:prstGeom prst="rect">
          <a:avLst/>
        </a:prstGeom>
      </xdr:spPr>
    </xdr:pic>
    <xdr:clientData/>
  </xdr:twoCellAnchor>
  <xdr:twoCellAnchor>
    <xdr:from>
      <xdr:col>8</xdr:col>
      <xdr:colOff>6350</xdr:colOff>
      <xdr:row>3096</xdr:row>
      <xdr:rowOff>25400</xdr:rowOff>
    </xdr:from>
    <xdr:to>
      <xdr:col>8</xdr:col>
      <xdr:colOff>885190</xdr:colOff>
      <xdr:row>3096</xdr:row>
      <xdr:rowOff>1209040</xdr:rowOff>
    </xdr:to>
    <xdr:pic>
      <xdr:nvPicPr>
        <xdr:cNvPr id="6623" name="Изображение 6622" descr="resizeПП-00211810"/>
        <xdr:cNvPicPr>
          <a:picLocks noChangeAspect="1"/>
        </xdr:cNvPicPr>
      </xdr:nvPicPr>
      <xdr:blipFill>
        <a:blip xmlns:r="http://schemas.openxmlformats.org/officeDocument/2006/relationships" r:embed="rId2335"/>
        <a:stretch>
          <a:fillRect/>
        </a:stretch>
      </xdr:blipFill>
      <xdr:spPr>
        <a:xfrm>
          <a:off x="7264400" y="3059280775"/>
          <a:ext cx="878840" cy="1183640"/>
        </a:xfrm>
        <a:prstGeom prst="rect">
          <a:avLst/>
        </a:prstGeom>
      </xdr:spPr>
    </xdr:pic>
    <xdr:clientData/>
  </xdr:twoCellAnchor>
  <xdr:twoCellAnchor>
    <xdr:from>
      <xdr:col>8</xdr:col>
      <xdr:colOff>6350</xdr:colOff>
      <xdr:row>3097</xdr:row>
      <xdr:rowOff>25400</xdr:rowOff>
    </xdr:from>
    <xdr:to>
      <xdr:col>8</xdr:col>
      <xdr:colOff>885190</xdr:colOff>
      <xdr:row>3097</xdr:row>
      <xdr:rowOff>1209040</xdr:rowOff>
    </xdr:to>
    <xdr:pic>
      <xdr:nvPicPr>
        <xdr:cNvPr id="6624" name="Изображение 6623" descr="resizeПП-00257725"/>
        <xdr:cNvPicPr>
          <a:picLocks noChangeAspect="1"/>
        </xdr:cNvPicPr>
      </xdr:nvPicPr>
      <xdr:blipFill>
        <a:blip xmlns:r="http://schemas.openxmlformats.org/officeDocument/2006/relationships" r:embed="rId2336"/>
        <a:stretch>
          <a:fillRect/>
        </a:stretch>
      </xdr:blipFill>
      <xdr:spPr>
        <a:xfrm>
          <a:off x="7264400" y="3060503150"/>
          <a:ext cx="878840" cy="1183640"/>
        </a:xfrm>
        <a:prstGeom prst="rect">
          <a:avLst/>
        </a:prstGeom>
      </xdr:spPr>
    </xdr:pic>
    <xdr:clientData/>
  </xdr:twoCellAnchor>
  <xdr:twoCellAnchor>
    <xdr:from>
      <xdr:col>8</xdr:col>
      <xdr:colOff>6350</xdr:colOff>
      <xdr:row>3098</xdr:row>
      <xdr:rowOff>25400</xdr:rowOff>
    </xdr:from>
    <xdr:to>
      <xdr:col>8</xdr:col>
      <xdr:colOff>885190</xdr:colOff>
      <xdr:row>3098</xdr:row>
      <xdr:rowOff>1209040</xdr:rowOff>
    </xdr:to>
    <xdr:pic>
      <xdr:nvPicPr>
        <xdr:cNvPr id="6625" name="Изображение 6624" descr="resizeПП-00257727"/>
        <xdr:cNvPicPr>
          <a:picLocks noChangeAspect="1"/>
        </xdr:cNvPicPr>
      </xdr:nvPicPr>
      <xdr:blipFill>
        <a:blip xmlns:r="http://schemas.openxmlformats.org/officeDocument/2006/relationships" r:embed="rId2337"/>
        <a:stretch>
          <a:fillRect/>
        </a:stretch>
      </xdr:blipFill>
      <xdr:spPr>
        <a:xfrm>
          <a:off x="7264400" y="3061725525"/>
          <a:ext cx="878840" cy="1183640"/>
        </a:xfrm>
        <a:prstGeom prst="rect">
          <a:avLst/>
        </a:prstGeom>
      </xdr:spPr>
    </xdr:pic>
    <xdr:clientData/>
  </xdr:twoCellAnchor>
  <xdr:twoCellAnchor>
    <xdr:from>
      <xdr:col>8</xdr:col>
      <xdr:colOff>6350</xdr:colOff>
      <xdr:row>3099</xdr:row>
      <xdr:rowOff>25400</xdr:rowOff>
    </xdr:from>
    <xdr:to>
      <xdr:col>8</xdr:col>
      <xdr:colOff>885190</xdr:colOff>
      <xdr:row>3099</xdr:row>
      <xdr:rowOff>1209040</xdr:rowOff>
    </xdr:to>
    <xdr:pic>
      <xdr:nvPicPr>
        <xdr:cNvPr id="6626" name="Изображение 6625" descr="resizeПП-00266859"/>
        <xdr:cNvPicPr>
          <a:picLocks noChangeAspect="1"/>
        </xdr:cNvPicPr>
      </xdr:nvPicPr>
      <xdr:blipFill>
        <a:blip xmlns:r="http://schemas.openxmlformats.org/officeDocument/2006/relationships" r:embed="rId2338"/>
        <a:stretch>
          <a:fillRect/>
        </a:stretch>
      </xdr:blipFill>
      <xdr:spPr>
        <a:xfrm>
          <a:off x="7264400" y="3062947900"/>
          <a:ext cx="878840" cy="1183640"/>
        </a:xfrm>
        <a:prstGeom prst="rect">
          <a:avLst/>
        </a:prstGeom>
      </xdr:spPr>
    </xdr:pic>
    <xdr:clientData/>
  </xdr:twoCellAnchor>
  <xdr:twoCellAnchor>
    <xdr:from>
      <xdr:col>8</xdr:col>
      <xdr:colOff>6350</xdr:colOff>
      <xdr:row>3100</xdr:row>
      <xdr:rowOff>25400</xdr:rowOff>
    </xdr:from>
    <xdr:to>
      <xdr:col>8</xdr:col>
      <xdr:colOff>885190</xdr:colOff>
      <xdr:row>3100</xdr:row>
      <xdr:rowOff>1209040</xdr:rowOff>
    </xdr:to>
    <xdr:pic>
      <xdr:nvPicPr>
        <xdr:cNvPr id="6627" name="Изображение 6626" descr="resizeПП-00275223"/>
        <xdr:cNvPicPr>
          <a:picLocks noChangeAspect="1"/>
        </xdr:cNvPicPr>
      </xdr:nvPicPr>
      <xdr:blipFill>
        <a:blip xmlns:r="http://schemas.openxmlformats.org/officeDocument/2006/relationships" r:embed="rId2339"/>
        <a:stretch>
          <a:fillRect/>
        </a:stretch>
      </xdr:blipFill>
      <xdr:spPr>
        <a:xfrm>
          <a:off x="7264400" y="3064170275"/>
          <a:ext cx="878840" cy="1183640"/>
        </a:xfrm>
        <a:prstGeom prst="rect">
          <a:avLst/>
        </a:prstGeom>
      </xdr:spPr>
    </xdr:pic>
    <xdr:clientData/>
  </xdr:twoCellAnchor>
  <xdr:twoCellAnchor>
    <xdr:from>
      <xdr:col>8</xdr:col>
      <xdr:colOff>6350</xdr:colOff>
      <xdr:row>3101</xdr:row>
      <xdr:rowOff>25400</xdr:rowOff>
    </xdr:from>
    <xdr:to>
      <xdr:col>8</xdr:col>
      <xdr:colOff>885190</xdr:colOff>
      <xdr:row>3101</xdr:row>
      <xdr:rowOff>1209040</xdr:rowOff>
    </xdr:to>
    <xdr:pic>
      <xdr:nvPicPr>
        <xdr:cNvPr id="6628" name="Изображение 6627" descr="resizeПП-00233947"/>
        <xdr:cNvPicPr>
          <a:picLocks noChangeAspect="1"/>
        </xdr:cNvPicPr>
      </xdr:nvPicPr>
      <xdr:blipFill>
        <a:blip xmlns:r="http://schemas.openxmlformats.org/officeDocument/2006/relationships" r:embed="rId2340"/>
        <a:stretch>
          <a:fillRect/>
        </a:stretch>
      </xdr:blipFill>
      <xdr:spPr>
        <a:xfrm>
          <a:off x="7264400" y="3065392650"/>
          <a:ext cx="878840" cy="1183640"/>
        </a:xfrm>
        <a:prstGeom prst="rect">
          <a:avLst/>
        </a:prstGeom>
      </xdr:spPr>
    </xdr:pic>
    <xdr:clientData/>
  </xdr:twoCellAnchor>
  <xdr:twoCellAnchor>
    <xdr:from>
      <xdr:col>8</xdr:col>
      <xdr:colOff>6350</xdr:colOff>
      <xdr:row>3102</xdr:row>
      <xdr:rowOff>25400</xdr:rowOff>
    </xdr:from>
    <xdr:to>
      <xdr:col>8</xdr:col>
      <xdr:colOff>885190</xdr:colOff>
      <xdr:row>3102</xdr:row>
      <xdr:rowOff>1209040</xdr:rowOff>
    </xdr:to>
    <xdr:pic>
      <xdr:nvPicPr>
        <xdr:cNvPr id="6629" name="Изображение 6628" descr="resizeПП-00233945"/>
        <xdr:cNvPicPr>
          <a:picLocks noChangeAspect="1"/>
        </xdr:cNvPicPr>
      </xdr:nvPicPr>
      <xdr:blipFill>
        <a:blip xmlns:r="http://schemas.openxmlformats.org/officeDocument/2006/relationships" r:embed="rId2341"/>
        <a:stretch>
          <a:fillRect/>
        </a:stretch>
      </xdr:blipFill>
      <xdr:spPr>
        <a:xfrm>
          <a:off x="7264400" y="3066615025"/>
          <a:ext cx="878840" cy="1183640"/>
        </a:xfrm>
        <a:prstGeom prst="rect">
          <a:avLst/>
        </a:prstGeom>
      </xdr:spPr>
    </xdr:pic>
    <xdr:clientData/>
  </xdr:twoCellAnchor>
  <xdr:twoCellAnchor>
    <xdr:from>
      <xdr:col>8</xdr:col>
      <xdr:colOff>6350</xdr:colOff>
      <xdr:row>3103</xdr:row>
      <xdr:rowOff>25400</xdr:rowOff>
    </xdr:from>
    <xdr:to>
      <xdr:col>8</xdr:col>
      <xdr:colOff>885190</xdr:colOff>
      <xdr:row>3103</xdr:row>
      <xdr:rowOff>1209040</xdr:rowOff>
    </xdr:to>
    <xdr:pic>
      <xdr:nvPicPr>
        <xdr:cNvPr id="6630" name="Изображение 6629" descr="resizeПП-00257731"/>
        <xdr:cNvPicPr>
          <a:picLocks noChangeAspect="1"/>
        </xdr:cNvPicPr>
      </xdr:nvPicPr>
      <xdr:blipFill>
        <a:blip xmlns:r="http://schemas.openxmlformats.org/officeDocument/2006/relationships" r:embed="rId2342"/>
        <a:stretch>
          <a:fillRect/>
        </a:stretch>
      </xdr:blipFill>
      <xdr:spPr>
        <a:xfrm>
          <a:off x="7264400" y="3067837400"/>
          <a:ext cx="878840" cy="1183640"/>
        </a:xfrm>
        <a:prstGeom prst="rect">
          <a:avLst/>
        </a:prstGeom>
      </xdr:spPr>
    </xdr:pic>
    <xdr:clientData/>
  </xdr:twoCellAnchor>
  <xdr:twoCellAnchor>
    <xdr:from>
      <xdr:col>8</xdr:col>
      <xdr:colOff>6350</xdr:colOff>
      <xdr:row>3104</xdr:row>
      <xdr:rowOff>25400</xdr:rowOff>
    </xdr:from>
    <xdr:to>
      <xdr:col>8</xdr:col>
      <xdr:colOff>885190</xdr:colOff>
      <xdr:row>3104</xdr:row>
      <xdr:rowOff>1209040</xdr:rowOff>
    </xdr:to>
    <xdr:pic>
      <xdr:nvPicPr>
        <xdr:cNvPr id="6631" name="Изображение 6630" descr="resizeПП-00257734"/>
        <xdr:cNvPicPr>
          <a:picLocks noChangeAspect="1"/>
        </xdr:cNvPicPr>
      </xdr:nvPicPr>
      <xdr:blipFill>
        <a:blip xmlns:r="http://schemas.openxmlformats.org/officeDocument/2006/relationships" r:embed="rId2343"/>
        <a:stretch>
          <a:fillRect/>
        </a:stretch>
      </xdr:blipFill>
      <xdr:spPr>
        <a:xfrm>
          <a:off x="7264400" y="3069059775"/>
          <a:ext cx="878840" cy="1183640"/>
        </a:xfrm>
        <a:prstGeom prst="rect">
          <a:avLst/>
        </a:prstGeom>
      </xdr:spPr>
    </xdr:pic>
    <xdr:clientData/>
  </xdr:twoCellAnchor>
  <xdr:twoCellAnchor>
    <xdr:from>
      <xdr:col>8</xdr:col>
      <xdr:colOff>6350</xdr:colOff>
      <xdr:row>3105</xdr:row>
      <xdr:rowOff>25400</xdr:rowOff>
    </xdr:from>
    <xdr:to>
      <xdr:col>8</xdr:col>
      <xdr:colOff>885190</xdr:colOff>
      <xdr:row>3105</xdr:row>
      <xdr:rowOff>1209040</xdr:rowOff>
    </xdr:to>
    <xdr:pic>
      <xdr:nvPicPr>
        <xdr:cNvPr id="6632" name="Изображение 6631" descr="resizeПП-00257737"/>
        <xdr:cNvPicPr>
          <a:picLocks noChangeAspect="1"/>
        </xdr:cNvPicPr>
      </xdr:nvPicPr>
      <xdr:blipFill>
        <a:blip xmlns:r="http://schemas.openxmlformats.org/officeDocument/2006/relationships" r:embed="rId2344"/>
        <a:stretch>
          <a:fillRect/>
        </a:stretch>
      </xdr:blipFill>
      <xdr:spPr>
        <a:xfrm>
          <a:off x="7264400" y="3070282150"/>
          <a:ext cx="878840" cy="1183640"/>
        </a:xfrm>
        <a:prstGeom prst="rect">
          <a:avLst/>
        </a:prstGeom>
      </xdr:spPr>
    </xdr:pic>
    <xdr:clientData/>
  </xdr:twoCellAnchor>
  <xdr:twoCellAnchor>
    <xdr:from>
      <xdr:col>8</xdr:col>
      <xdr:colOff>6350</xdr:colOff>
      <xdr:row>3106</xdr:row>
      <xdr:rowOff>25400</xdr:rowOff>
    </xdr:from>
    <xdr:to>
      <xdr:col>8</xdr:col>
      <xdr:colOff>885190</xdr:colOff>
      <xdr:row>3106</xdr:row>
      <xdr:rowOff>1209040</xdr:rowOff>
    </xdr:to>
    <xdr:pic>
      <xdr:nvPicPr>
        <xdr:cNvPr id="6633" name="Изображение 6632" descr="resizeПП-00257740"/>
        <xdr:cNvPicPr>
          <a:picLocks noChangeAspect="1"/>
        </xdr:cNvPicPr>
      </xdr:nvPicPr>
      <xdr:blipFill>
        <a:blip xmlns:r="http://schemas.openxmlformats.org/officeDocument/2006/relationships" r:embed="rId2345"/>
        <a:stretch>
          <a:fillRect/>
        </a:stretch>
      </xdr:blipFill>
      <xdr:spPr>
        <a:xfrm>
          <a:off x="7264400" y="3071504525"/>
          <a:ext cx="878840" cy="1183640"/>
        </a:xfrm>
        <a:prstGeom prst="rect">
          <a:avLst/>
        </a:prstGeom>
      </xdr:spPr>
    </xdr:pic>
    <xdr:clientData/>
  </xdr:twoCellAnchor>
  <xdr:twoCellAnchor>
    <xdr:from>
      <xdr:col>8</xdr:col>
      <xdr:colOff>6350</xdr:colOff>
      <xdr:row>3111</xdr:row>
      <xdr:rowOff>25400</xdr:rowOff>
    </xdr:from>
    <xdr:to>
      <xdr:col>8</xdr:col>
      <xdr:colOff>885190</xdr:colOff>
      <xdr:row>3111</xdr:row>
      <xdr:rowOff>1209040</xdr:rowOff>
    </xdr:to>
    <xdr:pic>
      <xdr:nvPicPr>
        <xdr:cNvPr id="6634" name="Изображение 6633" descr="resizeПП-00266696"/>
        <xdr:cNvPicPr>
          <a:picLocks noChangeAspect="1"/>
        </xdr:cNvPicPr>
      </xdr:nvPicPr>
      <xdr:blipFill>
        <a:blip xmlns:r="http://schemas.openxmlformats.org/officeDocument/2006/relationships" r:embed="rId2346"/>
        <a:stretch>
          <a:fillRect/>
        </a:stretch>
      </xdr:blipFill>
      <xdr:spPr>
        <a:xfrm>
          <a:off x="7264400" y="3073336500"/>
          <a:ext cx="878840" cy="1183640"/>
        </a:xfrm>
        <a:prstGeom prst="rect">
          <a:avLst/>
        </a:prstGeom>
      </xdr:spPr>
    </xdr:pic>
    <xdr:clientData/>
  </xdr:twoCellAnchor>
  <xdr:twoCellAnchor>
    <xdr:from>
      <xdr:col>8</xdr:col>
      <xdr:colOff>6350</xdr:colOff>
      <xdr:row>3114</xdr:row>
      <xdr:rowOff>25400</xdr:rowOff>
    </xdr:from>
    <xdr:to>
      <xdr:col>8</xdr:col>
      <xdr:colOff>885190</xdr:colOff>
      <xdr:row>3114</xdr:row>
      <xdr:rowOff>1209040</xdr:rowOff>
    </xdr:to>
    <xdr:pic>
      <xdr:nvPicPr>
        <xdr:cNvPr id="6635" name="Изображение 6634" descr="resizeПП-00236397"/>
        <xdr:cNvPicPr>
          <a:picLocks noChangeAspect="1"/>
        </xdr:cNvPicPr>
      </xdr:nvPicPr>
      <xdr:blipFill>
        <a:blip xmlns:r="http://schemas.openxmlformats.org/officeDocument/2006/relationships" r:embed="rId2347"/>
        <a:stretch>
          <a:fillRect/>
        </a:stretch>
      </xdr:blipFill>
      <xdr:spPr>
        <a:xfrm>
          <a:off x="7264400" y="3074863675"/>
          <a:ext cx="878840" cy="1183640"/>
        </a:xfrm>
        <a:prstGeom prst="rect">
          <a:avLst/>
        </a:prstGeom>
      </xdr:spPr>
    </xdr:pic>
    <xdr:clientData/>
  </xdr:twoCellAnchor>
  <xdr:twoCellAnchor>
    <xdr:from>
      <xdr:col>8</xdr:col>
      <xdr:colOff>6350</xdr:colOff>
      <xdr:row>3115</xdr:row>
      <xdr:rowOff>25400</xdr:rowOff>
    </xdr:from>
    <xdr:to>
      <xdr:col>8</xdr:col>
      <xdr:colOff>885190</xdr:colOff>
      <xdr:row>3115</xdr:row>
      <xdr:rowOff>1209040</xdr:rowOff>
    </xdr:to>
    <xdr:pic>
      <xdr:nvPicPr>
        <xdr:cNvPr id="6636" name="Изображение 6635" descr="resizeПП-00212844"/>
        <xdr:cNvPicPr>
          <a:picLocks noChangeAspect="1"/>
        </xdr:cNvPicPr>
      </xdr:nvPicPr>
      <xdr:blipFill>
        <a:blip xmlns:r="http://schemas.openxmlformats.org/officeDocument/2006/relationships" r:embed="rId2348"/>
        <a:stretch>
          <a:fillRect/>
        </a:stretch>
      </xdr:blipFill>
      <xdr:spPr>
        <a:xfrm>
          <a:off x="7264400" y="3076086050"/>
          <a:ext cx="878840" cy="1183640"/>
        </a:xfrm>
        <a:prstGeom prst="rect">
          <a:avLst/>
        </a:prstGeom>
      </xdr:spPr>
    </xdr:pic>
    <xdr:clientData/>
  </xdr:twoCellAnchor>
  <xdr:twoCellAnchor>
    <xdr:from>
      <xdr:col>8</xdr:col>
      <xdr:colOff>6350</xdr:colOff>
      <xdr:row>3116</xdr:row>
      <xdr:rowOff>25400</xdr:rowOff>
    </xdr:from>
    <xdr:to>
      <xdr:col>8</xdr:col>
      <xdr:colOff>885190</xdr:colOff>
      <xdr:row>3116</xdr:row>
      <xdr:rowOff>1209040</xdr:rowOff>
    </xdr:to>
    <xdr:pic>
      <xdr:nvPicPr>
        <xdr:cNvPr id="6637" name="Изображение 6636" descr="resizeПП-00212847"/>
        <xdr:cNvPicPr>
          <a:picLocks noChangeAspect="1"/>
        </xdr:cNvPicPr>
      </xdr:nvPicPr>
      <xdr:blipFill>
        <a:blip xmlns:r="http://schemas.openxmlformats.org/officeDocument/2006/relationships" r:embed="rId2349"/>
        <a:stretch>
          <a:fillRect/>
        </a:stretch>
      </xdr:blipFill>
      <xdr:spPr>
        <a:xfrm>
          <a:off x="7264400" y="3077308425"/>
          <a:ext cx="878840" cy="1183640"/>
        </a:xfrm>
        <a:prstGeom prst="rect">
          <a:avLst/>
        </a:prstGeom>
      </xdr:spPr>
    </xdr:pic>
    <xdr:clientData/>
  </xdr:twoCellAnchor>
  <xdr:twoCellAnchor>
    <xdr:from>
      <xdr:col>8</xdr:col>
      <xdr:colOff>6350</xdr:colOff>
      <xdr:row>3117</xdr:row>
      <xdr:rowOff>25400</xdr:rowOff>
    </xdr:from>
    <xdr:to>
      <xdr:col>8</xdr:col>
      <xdr:colOff>885190</xdr:colOff>
      <xdr:row>3117</xdr:row>
      <xdr:rowOff>1209040</xdr:rowOff>
    </xdr:to>
    <xdr:pic>
      <xdr:nvPicPr>
        <xdr:cNvPr id="6638" name="Изображение 6637" descr="resizeПП-00212867"/>
        <xdr:cNvPicPr>
          <a:picLocks noChangeAspect="1"/>
        </xdr:cNvPicPr>
      </xdr:nvPicPr>
      <xdr:blipFill>
        <a:blip xmlns:r="http://schemas.openxmlformats.org/officeDocument/2006/relationships" r:embed="rId2350"/>
        <a:stretch>
          <a:fillRect/>
        </a:stretch>
      </xdr:blipFill>
      <xdr:spPr>
        <a:xfrm>
          <a:off x="7264400" y="3078530800"/>
          <a:ext cx="878840" cy="1183640"/>
        </a:xfrm>
        <a:prstGeom prst="rect">
          <a:avLst/>
        </a:prstGeom>
      </xdr:spPr>
    </xdr:pic>
    <xdr:clientData/>
  </xdr:twoCellAnchor>
  <xdr:twoCellAnchor>
    <xdr:from>
      <xdr:col>8</xdr:col>
      <xdr:colOff>6350</xdr:colOff>
      <xdr:row>3118</xdr:row>
      <xdr:rowOff>25400</xdr:rowOff>
    </xdr:from>
    <xdr:to>
      <xdr:col>8</xdr:col>
      <xdr:colOff>885190</xdr:colOff>
      <xdr:row>3118</xdr:row>
      <xdr:rowOff>1209040</xdr:rowOff>
    </xdr:to>
    <xdr:pic>
      <xdr:nvPicPr>
        <xdr:cNvPr id="6639" name="Изображение 6638" descr="resizeПП-00212865"/>
        <xdr:cNvPicPr>
          <a:picLocks noChangeAspect="1"/>
        </xdr:cNvPicPr>
      </xdr:nvPicPr>
      <xdr:blipFill>
        <a:blip xmlns:r="http://schemas.openxmlformats.org/officeDocument/2006/relationships" r:embed="rId2351"/>
        <a:stretch>
          <a:fillRect/>
        </a:stretch>
      </xdr:blipFill>
      <xdr:spPr>
        <a:xfrm>
          <a:off x="7264400" y="3079753175"/>
          <a:ext cx="878840" cy="1183640"/>
        </a:xfrm>
        <a:prstGeom prst="rect">
          <a:avLst/>
        </a:prstGeom>
      </xdr:spPr>
    </xdr:pic>
    <xdr:clientData/>
  </xdr:twoCellAnchor>
  <xdr:twoCellAnchor>
    <xdr:from>
      <xdr:col>8</xdr:col>
      <xdr:colOff>6350</xdr:colOff>
      <xdr:row>3119</xdr:row>
      <xdr:rowOff>25400</xdr:rowOff>
    </xdr:from>
    <xdr:to>
      <xdr:col>8</xdr:col>
      <xdr:colOff>885190</xdr:colOff>
      <xdr:row>3119</xdr:row>
      <xdr:rowOff>1209040</xdr:rowOff>
    </xdr:to>
    <xdr:pic>
      <xdr:nvPicPr>
        <xdr:cNvPr id="6640" name="Изображение 6639" descr="resizeПП-00203879"/>
        <xdr:cNvPicPr>
          <a:picLocks noChangeAspect="1"/>
        </xdr:cNvPicPr>
      </xdr:nvPicPr>
      <xdr:blipFill>
        <a:blip xmlns:r="http://schemas.openxmlformats.org/officeDocument/2006/relationships" r:embed="rId2352"/>
        <a:stretch>
          <a:fillRect/>
        </a:stretch>
      </xdr:blipFill>
      <xdr:spPr>
        <a:xfrm>
          <a:off x="7264400" y="3080975550"/>
          <a:ext cx="878840" cy="1183640"/>
        </a:xfrm>
        <a:prstGeom prst="rect">
          <a:avLst/>
        </a:prstGeom>
      </xdr:spPr>
    </xdr:pic>
    <xdr:clientData/>
  </xdr:twoCellAnchor>
  <xdr:twoCellAnchor>
    <xdr:from>
      <xdr:col>8</xdr:col>
      <xdr:colOff>6350</xdr:colOff>
      <xdr:row>3120</xdr:row>
      <xdr:rowOff>25400</xdr:rowOff>
    </xdr:from>
    <xdr:to>
      <xdr:col>8</xdr:col>
      <xdr:colOff>885190</xdr:colOff>
      <xdr:row>3120</xdr:row>
      <xdr:rowOff>1209040</xdr:rowOff>
    </xdr:to>
    <xdr:pic>
      <xdr:nvPicPr>
        <xdr:cNvPr id="6641" name="Изображение 6640" descr="resizeПП-00203876"/>
        <xdr:cNvPicPr>
          <a:picLocks noChangeAspect="1"/>
        </xdr:cNvPicPr>
      </xdr:nvPicPr>
      <xdr:blipFill>
        <a:blip xmlns:r="http://schemas.openxmlformats.org/officeDocument/2006/relationships" r:embed="rId2353"/>
        <a:stretch>
          <a:fillRect/>
        </a:stretch>
      </xdr:blipFill>
      <xdr:spPr>
        <a:xfrm>
          <a:off x="7264400" y="3082197925"/>
          <a:ext cx="878840" cy="1183640"/>
        </a:xfrm>
        <a:prstGeom prst="rect">
          <a:avLst/>
        </a:prstGeom>
      </xdr:spPr>
    </xdr:pic>
    <xdr:clientData/>
  </xdr:twoCellAnchor>
  <xdr:twoCellAnchor>
    <xdr:from>
      <xdr:col>8</xdr:col>
      <xdr:colOff>6350</xdr:colOff>
      <xdr:row>3121</xdr:row>
      <xdr:rowOff>25400</xdr:rowOff>
    </xdr:from>
    <xdr:to>
      <xdr:col>8</xdr:col>
      <xdr:colOff>885190</xdr:colOff>
      <xdr:row>3121</xdr:row>
      <xdr:rowOff>1209040</xdr:rowOff>
    </xdr:to>
    <xdr:pic>
      <xdr:nvPicPr>
        <xdr:cNvPr id="6642" name="Изображение 6641" descr="resizeПП-00246480"/>
        <xdr:cNvPicPr>
          <a:picLocks noChangeAspect="1"/>
        </xdr:cNvPicPr>
      </xdr:nvPicPr>
      <xdr:blipFill>
        <a:blip xmlns:r="http://schemas.openxmlformats.org/officeDocument/2006/relationships" r:embed="rId2354"/>
        <a:stretch>
          <a:fillRect/>
        </a:stretch>
      </xdr:blipFill>
      <xdr:spPr>
        <a:xfrm>
          <a:off x="7264400" y="3083420300"/>
          <a:ext cx="878840" cy="1183640"/>
        </a:xfrm>
        <a:prstGeom prst="rect">
          <a:avLst/>
        </a:prstGeom>
      </xdr:spPr>
    </xdr:pic>
    <xdr:clientData/>
  </xdr:twoCellAnchor>
  <xdr:twoCellAnchor>
    <xdr:from>
      <xdr:col>8</xdr:col>
      <xdr:colOff>6350</xdr:colOff>
      <xdr:row>3123</xdr:row>
      <xdr:rowOff>25400</xdr:rowOff>
    </xdr:from>
    <xdr:to>
      <xdr:col>8</xdr:col>
      <xdr:colOff>885190</xdr:colOff>
      <xdr:row>3123</xdr:row>
      <xdr:rowOff>1209040</xdr:rowOff>
    </xdr:to>
    <xdr:pic>
      <xdr:nvPicPr>
        <xdr:cNvPr id="6643" name="Изображение 6642" descr="resizeПП-00236393"/>
        <xdr:cNvPicPr>
          <a:picLocks noChangeAspect="1"/>
        </xdr:cNvPicPr>
      </xdr:nvPicPr>
      <xdr:blipFill>
        <a:blip xmlns:r="http://schemas.openxmlformats.org/officeDocument/2006/relationships" r:embed="rId2355"/>
        <a:stretch>
          <a:fillRect/>
        </a:stretch>
      </xdr:blipFill>
      <xdr:spPr>
        <a:xfrm>
          <a:off x="7264400" y="3084795075"/>
          <a:ext cx="878840" cy="1183640"/>
        </a:xfrm>
        <a:prstGeom prst="rect">
          <a:avLst/>
        </a:prstGeom>
      </xdr:spPr>
    </xdr:pic>
    <xdr:clientData/>
  </xdr:twoCellAnchor>
  <xdr:twoCellAnchor>
    <xdr:from>
      <xdr:col>8</xdr:col>
      <xdr:colOff>6350</xdr:colOff>
      <xdr:row>3124</xdr:row>
      <xdr:rowOff>25400</xdr:rowOff>
    </xdr:from>
    <xdr:to>
      <xdr:col>8</xdr:col>
      <xdr:colOff>885190</xdr:colOff>
      <xdr:row>3124</xdr:row>
      <xdr:rowOff>1209040</xdr:rowOff>
    </xdr:to>
    <xdr:pic>
      <xdr:nvPicPr>
        <xdr:cNvPr id="6644" name="Изображение 6643" descr="resizeПП-00246483"/>
        <xdr:cNvPicPr>
          <a:picLocks noChangeAspect="1"/>
        </xdr:cNvPicPr>
      </xdr:nvPicPr>
      <xdr:blipFill>
        <a:blip xmlns:r="http://schemas.openxmlformats.org/officeDocument/2006/relationships" r:embed="rId2356"/>
        <a:stretch>
          <a:fillRect/>
        </a:stretch>
      </xdr:blipFill>
      <xdr:spPr>
        <a:xfrm>
          <a:off x="7264400" y="3086017450"/>
          <a:ext cx="878840" cy="1183640"/>
        </a:xfrm>
        <a:prstGeom prst="rect">
          <a:avLst/>
        </a:prstGeom>
      </xdr:spPr>
    </xdr:pic>
    <xdr:clientData/>
  </xdr:twoCellAnchor>
  <xdr:twoCellAnchor>
    <xdr:from>
      <xdr:col>8</xdr:col>
      <xdr:colOff>6350</xdr:colOff>
      <xdr:row>3125</xdr:row>
      <xdr:rowOff>25400</xdr:rowOff>
    </xdr:from>
    <xdr:to>
      <xdr:col>8</xdr:col>
      <xdr:colOff>885190</xdr:colOff>
      <xdr:row>3125</xdr:row>
      <xdr:rowOff>1209040</xdr:rowOff>
    </xdr:to>
    <xdr:pic>
      <xdr:nvPicPr>
        <xdr:cNvPr id="6645" name="Изображение 6644" descr="resizeПП-00246482"/>
        <xdr:cNvPicPr>
          <a:picLocks noChangeAspect="1"/>
        </xdr:cNvPicPr>
      </xdr:nvPicPr>
      <xdr:blipFill>
        <a:blip xmlns:r="http://schemas.openxmlformats.org/officeDocument/2006/relationships" r:embed="rId2357"/>
        <a:stretch>
          <a:fillRect/>
        </a:stretch>
      </xdr:blipFill>
      <xdr:spPr>
        <a:xfrm>
          <a:off x="7264400" y="3087239825"/>
          <a:ext cx="878840" cy="1183640"/>
        </a:xfrm>
        <a:prstGeom prst="rect">
          <a:avLst/>
        </a:prstGeom>
      </xdr:spPr>
    </xdr:pic>
    <xdr:clientData/>
  </xdr:twoCellAnchor>
  <xdr:twoCellAnchor>
    <xdr:from>
      <xdr:col>8</xdr:col>
      <xdr:colOff>6350</xdr:colOff>
      <xdr:row>3127</xdr:row>
      <xdr:rowOff>25400</xdr:rowOff>
    </xdr:from>
    <xdr:to>
      <xdr:col>8</xdr:col>
      <xdr:colOff>885190</xdr:colOff>
      <xdr:row>3127</xdr:row>
      <xdr:rowOff>1209040</xdr:rowOff>
    </xdr:to>
    <xdr:pic>
      <xdr:nvPicPr>
        <xdr:cNvPr id="6646" name="Изображение 6645" descr="resizeПП-00246486"/>
        <xdr:cNvPicPr>
          <a:picLocks noChangeAspect="1"/>
        </xdr:cNvPicPr>
      </xdr:nvPicPr>
      <xdr:blipFill>
        <a:blip xmlns:r="http://schemas.openxmlformats.org/officeDocument/2006/relationships" r:embed="rId2358"/>
        <a:stretch>
          <a:fillRect/>
        </a:stretch>
      </xdr:blipFill>
      <xdr:spPr>
        <a:xfrm>
          <a:off x="7264400" y="3088614600"/>
          <a:ext cx="878840" cy="1183640"/>
        </a:xfrm>
        <a:prstGeom prst="rect">
          <a:avLst/>
        </a:prstGeom>
      </xdr:spPr>
    </xdr:pic>
    <xdr:clientData/>
  </xdr:twoCellAnchor>
  <xdr:twoCellAnchor>
    <xdr:from>
      <xdr:col>8</xdr:col>
      <xdr:colOff>6350</xdr:colOff>
      <xdr:row>3128</xdr:row>
      <xdr:rowOff>25400</xdr:rowOff>
    </xdr:from>
    <xdr:to>
      <xdr:col>8</xdr:col>
      <xdr:colOff>885190</xdr:colOff>
      <xdr:row>3128</xdr:row>
      <xdr:rowOff>1209040</xdr:rowOff>
    </xdr:to>
    <xdr:pic>
      <xdr:nvPicPr>
        <xdr:cNvPr id="6647" name="Изображение 6646" descr="resizeПП-00246485"/>
        <xdr:cNvPicPr>
          <a:picLocks noChangeAspect="1"/>
        </xdr:cNvPicPr>
      </xdr:nvPicPr>
      <xdr:blipFill>
        <a:blip xmlns:r="http://schemas.openxmlformats.org/officeDocument/2006/relationships" r:embed="rId2359"/>
        <a:stretch>
          <a:fillRect/>
        </a:stretch>
      </xdr:blipFill>
      <xdr:spPr>
        <a:xfrm>
          <a:off x="7264400" y="3089836975"/>
          <a:ext cx="878840" cy="1183640"/>
        </a:xfrm>
        <a:prstGeom prst="rect">
          <a:avLst/>
        </a:prstGeom>
      </xdr:spPr>
    </xdr:pic>
    <xdr:clientData/>
  </xdr:twoCellAnchor>
  <xdr:twoCellAnchor>
    <xdr:from>
      <xdr:col>8</xdr:col>
      <xdr:colOff>6350</xdr:colOff>
      <xdr:row>3131</xdr:row>
      <xdr:rowOff>25400</xdr:rowOff>
    </xdr:from>
    <xdr:to>
      <xdr:col>8</xdr:col>
      <xdr:colOff>885190</xdr:colOff>
      <xdr:row>3131</xdr:row>
      <xdr:rowOff>1209040</xdr:rowOff>
    </xdr:to>
    <xdr:pic>
      <xdr:nvPicPr>
        <xdr:cNvPr id="6648" name="Изображение 6647" descr="resizeПП-00203843"/>
        <xdr:cNvPicPr>
          <a:picLocks noChangeAspect="1"/>
        </xdr:cNvPicPr>
      </xdr:nvPicPr>
      <xdr:blipFill>
        <a:blip xmlns:r="http://schemas.openxmlformats.org/officeDocument/2006/relationships" r:embed="rId2360"/>
        <a:stretch>
          <a:fillRect/>
        </a:stretch>
      </xdr:blipFill>
      <xdr:spPr>
        <a:xfrm>
          <a:off x="7264400" y="3091364150"/>
          <a:ext cx="878840" cy="1183640"/>
        </a:xfrm>
        <a:prstGeom prst="rect">
          <a:avLst/>
        </a:prstGeom>
      </xdr:spPr>
    </xdr:pic>
    <xdr:clientData/>
  </xdr:twoCellAnchor>
  <xdr:twoCellAnchor>
    <xdr:from>
      <xdr:col>8</xdr:col>
      <xdr:colOff>6350</xdr:colOff>
      <xdr:row>3134</xdr:row>
      <xdr:rowOff>25400</xdr:rowOff>
    </xdr:from>
    <xdr:to>
      <xdr:col>8</xdr:col>
      <xdr:colOff>885190</xdr:colOff>
      <xdr:row>3134</xdr:row>
      <xdr:rowOff>1209040</xdr:rowOff>
    </xdr:to>
    <xdr:pic>
      <xdr:nvPicPr>
        <xdr:cNvPr id="6649" name="Изображение 6648" descr="resizeПП-00203884"/>
        <xdr:cNvPicPr>
          <a:picLocks noChangeAspect="1"/>
        </xdr:cNvPicPr>
      </xdr:nvPicPr>
      <xdr:blipFill>
        <a:blip xmlns:r="http://schemas.openxmlformats.org/officeDocument/2006/relationships" r:embed="rId2361"/>
        <a:stretch>
          <a:fillRect/>
        </a:stretch>
      </xdr:blipFill>
      <xdr:spPr>
        <a:xfrm>
          <a:off x="7264400" y="3092891325"/>
          <a:ext cx="878840" cy="1183640"/>
        </a:xfrm>
        <a:prstGeom prst="rect">
          <a:avLst/>
        </a:prstGeom>
      </xdr:spPr>
    </xdr:pic>
    <xdr:clientData/>
  </xdr:twoCellAnchor>
  <xdr:twoCellAnchor>
    <xdr:from>
      <xdr:col>8</xdr:col>
      <xdr:colOff>6350</xdr:colOff>
      <xdr:row>3135</xdr:row>
      <xdr:rowOff>25400</xdr:rowOff>
    </xdr:from>
    <xdr:to>
      <xdr:col>8</xdr:col>
      <xdr:colOff>885190</xdr:colOff>
      <xdr:row>3135</xdr:row>
      <xdr:rowOff>1209040</xdr:rowOff>
    </xdr:to>
    <xdr:pic>
      <xdr:nvPicPr>
        <xdr:cNvPr id="6650" name="Изображение 6649" descr="resizeПП-00203885"/>
        <xdr:cNvPicPr>
          <a:picLocks noChangeAspect="1"/>
        </xdr:cNvPicPr>
      </xdr:nvPicPr>
      <xdr:blipFill>
        <a:blip xmlns:r="http://schemas.openxmlformats.org/officeDocument/2006/relationships" r:embed="rId2362"/>
        <a:stretch>
          <a:fillRect/>
        </a:stretch>
      </xdr:blipFill>
      <xdr:spPr>
        <a:xfrm>
          <a:off x="7264400" y="3094113700"/>
          <a:ext cx="878840" cy="1183640"/>
        </a:xfrm>
        <a:prstGeom prst="rect">
          <a:avLst/>
        </a:prstGeom>
      </xdr:spPr>
    </xdr:pic>
    <xdr:clientData/>
  </xdr:twoCellAnchor>
  <xdr:twoCellAnchor>
    <xdr:from>
      <xdr:col>8</xdr:col>
      <xdr:colOff>6350</xdr:colOff>
      <xdr:row>3136</xdr:row>
      <xdr:rowOff>25400</xdr:rowOff>
    </xdr:from>
    <xdr:to>
      <xdr:col>8</xdr:col>
      <xdr:colOff>885190</xdr:colOff>
      <xdr:row>3136</xdr:row>
      <xdr:rowOff>1209040</xdr:rowOff>
    </xdr:to>
    <xdr:pic>
      <xdr:nvPicPr>
        <xdr:cNvPr id="6651" name="Изображение 6650" descr="resizeПП-00203850"/>
        <xdr:cNvPicPr>
          <a:picLocks noChangeAspect="1"/>
        </xdr:cNvPicPr>
      </xdr:nvPicPr>
      <xdr:blipFill>
        <a:blip xmlns:r="http://schemas.openxmlformats.org/officeDocument/2006/relationships" r:embed="rId2363"/>
        <a:stretch>
          <a:fillRect/>
        </a:stretch>
      </xdr:blipFill>
      <xdr:spPr>
        <a:xfrm>
          <a:off x="7264400" y="3095336075"/>
          <a:ext cx="878840" cy="1183640"/>
        </a:xfrm>
        <a:prstGeom prst="rect">
          <a:avLst/>
        </a:prstGeom>
      </xdr:spPr>
    </xdr:pic>
    <xdr:clientData/>
  </xdr:twoCellAnchor>
  <xdr:twoCellAnchor>
    <xdr:from>
      <xdr:col>8</xdr:col>
      <xdr:colOff>6350</xdr:colOff>
      <xdr:row>3138</xdr:row>
      <xdr:rowOff>25400</xdr:rowOff>
    </xdr:from>
    <xdr:to>
      <xdr:col>8</xdr:col>
      <xdr:colOff>885190</xdr:colOff>
      <xdr:row>3138</xdr:row>
      <xdr:rowOff>1209040</xdr:rowOff>
    </xdr:to>
    <xdr:pic>
      <xdr:nvPicPr>
        <xdr:cNvPr id="6652" name="Изображение 6651" descr="resizeПП-00203878"/>
        <xdr:cNvPicPr>
          <a:picLocks noChangeAspect="1"/>
        </xdr:cNvPicPr>
      </xdr:nvPicPr>
      <xdr:blipFill>
        <a:blip xmlns:r="http://schemas.openxmlformats.org/officeDocument/2006/relationships" r:embed="rId2364"/>
        <a:stretch>
          <a:fillRect/>
        </a:stretch>
      </xdr:blipFill>
      <xdr:spPr>
        <a:xfrm>
          <a:off x="7264400" y="3096710850"/>
          <a:ext cx="878840" cy="1183640"/>
        </a:xfrm>
        <a:prstGeom prst="rect">
          <a:avLst/>
        </a:prstGeom>
      </xdr:spPr>
    </xdr:pic>
    <xdr:clientData/>
  </xdr:twoCellAnchor>
  <xdr:twoCellAnchor>
    <xdr:from>
      <xdr:col>8</xdr:col>
      <xdr:colOff>6350</xdr:colOff>
      <xdr:row>3142</xdr:row>
      <xdr:rowOff>25400</xdr:rowOff>
    </xdr:from>
    <xdr:to>
      <xdr:col>8</xdr:col>
      <xdr:colOff>885190</xdr:colOff>
      <xdr:row>3142</xdr:row>
      <xdr:rowOff>1209040</xdr:rowOff>
    </xdr:to>
    <xdr:pic>
      <xdr:nvPicPr>
        <xdr:cNvPr id="6653" name="Изображение 6652" descr="resizeПП-00262795"/>
        <xdr:cNvPicPr>
          <a:picLocks noChangeAspect="1"/>
        </xdr:cNvPicPr>
      </xdr:nvPicPr>
      <xdr:blipFill>
        <a:blip xmlns:r="http://schemas.openxmlformats.org/officeDocument/2006/relationships" r:embed="rId2365"/>
        <a:stretch>
          <a:fillRect/>
        </a:stretch>
      </xdr:blipFill>
      <xdr:spPr>
        <a:xfrm>
          <a:off x="7264400" y="3098390425"/>
          <a:ext cx="878840" cy="1183640"/>
        </a:xfrm>
        <a:prstGeom prst="rect">
          <a:avLst/>
        </a:prstGeom>
      </xdr:spPr>
    </xdr:pic>
    <xdr:clientData/>
  </xdr:twoCellAnchor>
  <xdr:twoCellAnchor>
    <xdr:from>
      <xdr:col>8</xdr:col>
      <xdr:colOff>6350</xdr:colOff>
      <xdr:row>3143</xdr:row>
      <xdr:rowOff>25400</xdr:rowOff>
    </xdr:from>
    <xdr:to>
      <xdr:col>8</xdr:col>
      <xdr:colOff>885190</xdr:colOff>
      <xdr:row>3143</xdr:row>
      <xdr:rowOff>1209040</xdr:rowOff>
    </xdr:to>
    <xdr:pic>
      <xdr:nvPicPr>
        <xdr:cNvPr id="6654" name="Изображение 6653" descr="resizeПП-00262798"/>
        <xdr:cNvPicPr>
          <a:picLocks noChangeAspect="1"/>
        </xdr:cNvPicPr>
      </xdr:nvPicPr>
      <xdr:blipFill>
        <a:blip xmlns:r="http://schemas.openxmlformats.org/officeDocument/2006/relationships" r:embed="rId2366"/>
        <a:stretch>
          <a:fillRect/>
        </a:stretch>
      </xdr:blipFill>
      <xdr:spPr>
        <a:xfrm>
          <a:off x="7264400" y="3099612800"/>
          <a:ext cx="878840" cy="1183640"/>
        </a:xfrm>
        <a:prstGeom prst="rect">
          <a:avLst/>
        </a:prstGeom>
      </xdr:spPr>
    </xdr:pic>
    <xdr:clientData/>
  </xdr:twoCellAnchor>
  <xdr:twoCellAnchor>
    <xdr:from>
      <xdr:col>8</xdr:col>
      <xdr:colOff>6350</xdr:colOff>
      <xdr:row>3144</xdr:row>
      <xdr:rowOff>25400</xdr:rowOff>
    </xdr:from>
    <xdr:to>
      <xdr:col>8</xdr:col>
      <xdr:colOff>885190</xdr:colOff>
      <xdr:row>3144</xdr:row>
      <xdr:rowOff>1209040</xdr:rowOff>
    </xdr:to>
    <xdr:pic>
      <xdr:nvPicPr>
        <xdr:cNvPr id="6655" name="Изображение 6654" descr="resizeПП-00262799"/>
        <xdr:cNvPicPr>
          <a:picLocks noChangeAspect="1"/>
        </xdr:cNvPicPr>
      </xdr:nvPicPr>
      <xdr:blipFill>
        <a:blip xmlns:r="http://schemas.openxmlformats.org/officeDocument/2006/relationships" r:embed="rId2367"/>
        <a:stretch>
          <a:fillRect/>
        </a:stretch>
      </xdr:blipFill>
      <xdr:spPr>
        <a:xfrm>
          <a:off x="7264400" y="3100835175"/>
          <a:ext cx="878840" cy="1183640"/>
        </a:xfrm>
        <a:prstGeom prst="rect">
          <a:avLst/>
        </a:prstGeom>
      </xdr:spPr>
    </xdr:pic>
    <xdr:clientData/>
  </xdr:twoCellAnchor>
  <xdr:twoCellAnchor>
    <xdr:from>
      <xdr:col>8</xdr:col>
      <xdr:colOff>6350</xdr:colOff>
      <xdr:row>3145</xdr:row>
      <xdr:rowOff>25400</xdr:rowOff>
    </xdr:from>
    <xdr:to>
      <xdr:col>8</xdr:col>
      <xdr:colOff>885190</xdr:colOff>
      <xdr:row>3145</xdr:row>
      <xdr:rowOff>1209040</xdr:rowOff>
    </xdr:to>
    <xdr:pic>
      <xdr:nvPicPr>
        <xdr:cNvPr id="6656" name="Изображение 6655" descr="resizeПП-00262796"/>
        <xdr:cNvPicPr>
          <a:picLocks noChangeAspect="1"/>
        </xdr:cNvPicPr>
      </xdr:nvPicPr>
      <xdr:blipFill>
        <a:blip xmlns:r="http://schemas.openxmlformats.org/officeDocument/2006/relationships" r:embed="rId2368"/>
        <a:stretch>
          <a:fillRect/>
        </a:stretch>
      </xdr:blipFill>
      <xdr:spPr>
        <a:xfrm>
          <a:off x="7264400" y="3102057550"/>
          <a:ext cx="878840" cy="1183640"/>
        </a:xfrm>
        <a:prstGeom prst="rect">
          <a:avLst/>
        </a:prstGeom>
      </xdr:spPr>
    </xdr:pic>
    <xdr:clientData/>
  </xdr:twoCellAnchor>
  <xdr:twoCellAnchor>
    <xdr:from>
      <xdr:col>8</xdr:col>
      <xdr:colOff>6350</xdr:colOff>
      <xdr:row>3146</xdr:row>
      <xdr:rowOff>25400</xdr:rowOff>
    </xdr:from>
    <xdr:to>
      <xdr:col>8</xdr:col>
      <xdr:colOff>885190</xdr:colOff>
      <xdr:row>3146</xdr:row>
      <xdr:rowOff>1209040</xdr:rowOff>
    </xdr:to>
    <xdr:pic>
      <xdr:nvPicPr>
        <xdr:cNvPr id="6657" name="Изображение 6656" descr="resizeПП-00262797"/>
        <xdr:cNvPicPr>
          <a:picLocks noChangeAspect="1"/>
        </xdr:cNvPicPr>
      </xdr:nvPicPr>
      <xdr:blipFill>
        <a:blip xmlns:r="http://schemas.openxmlformats.org/officeDocument/2006/relationships" r:embed="rId2369"/>
        <a:stretch>
          <a:fillRect/>
        </a:stretch>
      </xdr:blipFill>
      <xdr:spPr>
        <a:xfrm>
          <a:off x="7264400" y="3103279925"/>
          <a:ext cx="878840" cy="1183640"/>
        </a:xfrm>
        <a:prstGeom prst="rect">
          <a:avLst/>
        </a:prstGeom>
      </xdr:spPr>
    </xdr:pic>
    <xdr:clientData/>
  </xdr:twoCellAnchor>
  <xdr:twoCellAnchor>
    <xdr:from>
      <xdr:col>8</xdr:col>
      <xdr:colOff>6350</xdr:colOff>
      <xdr:row>3148</xdr:row>
      <xdr:rowOff>25400</xdr:rowOff>
    </xdr:from>
    <xdr:to>
      <xdr:col>8</xdr:col>
      <xdr:colOff>885190</xdr:colOff>
      <xdr:row>3148</xdr:row>
      <xdr:rowOff>1209040</xdr:rowOff>
    </xdr:to>
    <xdr:pic>
      <xdr:nvPicPr>
        <xdr:cNvPr id="6658" name="Изображение 6657" descr="resizeПП-00262800"/>
        <xdr:cNvPicPr>
          <a:picLocks noChangeAspect="1"/>
        </xdr:cNvPicPr>
      </xdr:nvPicPr>
      <xdr:blipFill>
        <a:blip xmlns:r="http://schemas.openxmlformats.org/officeDocument/2006/relationships" r:embed="rId2370"/>
        <a:stretch>
          <a:fillRect/>
        </a:stretch>
      </xdr:blipFill>
      <xdr:spPr>
        <a:xfrm>
          <a:off x="7264400" y="3104654700"/>
          <a:ext cx="878840" cy="1183640"/>
        </a:xfrm>
        <a:prstGeom prst="rect">
          <a:avLst/>
        </a:prstGeom>
      </xdr:spPr>
    </xdr:pic>
    <xdr:clientData/>
  </xdr:twoCellAnchor>
  <xdr:twoCellAnchor>
    <xdr:from>
      <xdr:col>8</xdr:col>
      <xdr:colOff>6350</xdr:colOff>
      <xdr:row>3149</xdr:row>
      <xdr:rowOff>25400</xdr:rowOff>
    </xdr:from>
    <xdr:to>
      <xdr:col>8</xdr:col>
      <xdr:colOff>885190</xdr:colOff>
      <xdr:row>3149</xdr:row>
      <xdr:rowOff>1209040</xdr:rowOff>
    </xdr:to>
    <xdr:pic>
      <xdr:nvPicPr>
        <xdr:cNvPr id="6659" name="Изображение 6658" descr="resizeПП-00262801"/>
        <xdr:cNvPicPr>
          <a:picLocks noChangeAspect="1"/>
        </xdr:cNvPicPr>
      </xdr:nvPicPr>
      <xdr:blipFill>
        <a:blip xmlns:r="http://schemas.openxmlformats.org/officeDocument/2006/relationships" r:embed="rId2371"/>
        <a:stretch>
          <a:fillRect/>
        </a:stretch>
      </xdr:blipFill>
      <xdr:spPr>
        <a:xfrm>
          <a:off x="7264400" y="3105877075"/>
          <a:ext cx="878840" cy="1183640"/>
        </a:xfrm>
        <a:prstGeom prst="rect">
          <a:avLst/>
        </a:prstGeom>
      </xdr:spPr>
    </xdr:pic>
    <xdr:clientData/>
  </xdr:twoCellAnchor>
  <xdr:twoCellAnchor>
    <xdr:from>
      <xdr:col>8</xdr:col>
      <xdr:colOff>6350</xdr:colOff>
      <xdr:row>3150</xdr:row>
      <xdr:rowOff>25400</xdr:rowOff>
    </xdr:from>
    <xdr:to>
      <xdr:col>8</xdr:col>
      <xdr:colOff>885190</xdr:colOff>
      <xdr:row>3150</xdr:row>
      <xdr:rowOff>1209040</xdr:rowOff>
    </xdr:to>
    <xdr:pic>
      <xdr:nvPicPr>
        <xdr:cNvPr id="6660" name="Изображение 6659" descr="resizeПП-00262804"/>
        <xdr:cNvPicPr>
          <a:picLocks noChangeAspect="1"/>
        </xdr:cNvPicPr>
      </xdr:nvPicPr>
      <xdr:blipFill>
        <a:blip xmlns:r="http://schemas.openxmlformats.org/officeDocument/2006/relationships" r:embed="rId2372"/>
        <a:stretch>
          <a:fillRect/>
        </a:stretch>
      </xdr:blipFill>
      <xdr:spPr>
        <a:xfrm>
          <a:off x="7264400" y="3107099450"/>
          <a:ext cx="878840" cy="1183640"/>
        </a:xfrm>
        <a:prstGeom prst="rect">
          <a:avLst/>
        </a:prstGeom>
      </xdr:spPr>
    </xdr:pic>
    <xdr:clientData/>
  </xdr:twoCellAnchor>
  <xdr:twoCellAnchor>
    <xdr:from>
      <xdr:col>8</xdr:col>
      <xdr:colOff>6350</xdr:colOff>
      <xdr:row>3151</xdr:row>
      <xdr:rowOff>25400</xdr:rowOff>
    </xdr:from>
    <xdr:to>
      <xdr:col>8</xdr:col>
      <xdr:colOff>885190</xdr:colOff>
      <xdr:row>3151</xdr:row>
      <xdr:rowOff>1209040</xdr:rowOff>
    </xdr:to>
    <xdr:pic>
      <xdr:nvPicPr>
        <xdr:cNvPr id="6661" name="Изображение 6660" descr="resizeПП-00262802"/>
        <xdr:cNvPicPr>
          <a:picLocks noChangeAspect="1"/>
        </xdr:cNvPicPr>
      </xdr:nvPicPr>
      <xdr:blipFill>
        <a:blip xmlns:r="http://schemas.openxmlformats.org/officeDocument/2006/relationships" r:embed="rId2373"/>
        <a:stretch>
          <a:fillRect/>
        </a:stretch>
      </xdr:blipFill>
      <xdr:spPr>
        <a:xfrm>
          <a:off x="7264400" y="3108321825"/>
          <a:ext cx="878840" cy="1183640"/>
        </a:xfrm>
        <a:prstGeom prst="rect">
          <a:avLst/>
        </a:prstGeom>
      </xdr:spPr>
    </xdr:pic>
    <xdr:clientData/>
  </xdr:twoCellAnchor>
  <xdr:twoCellAnchor>
    <xdr:from>
      <xdr:col>8</xdr:col>
      <xdr:colOff>6350</xdr:colOff>
      <xdr:row>3152</xdr:row>
      <xdr:rowOff>25400</xdr:rowOff>
    </xdr:from>
    <xdr:to>
      <xdr:col>8</xdr:col>
      <xdr:colOff>885190</xdr:colOff>
      <xdr:row>3152</xdr:row>
      <xdr:rowOff>1209040</xdr:rowOff>
    </xdr:to>
    <xdr:pic>
      <xdr:nvPicPr>
        <xdr:cNvPr id="6662" name="Изображение 6661" descr="resizeПП-00262806"/>
        <xdr:cNvPicPr>
          <a:picLocks noChangeAspect="1"/>
        </xdr:cNvPicPr>
      </xdr:nvPicPr>
      <xdr:blipFill>
        <a:blip xmlns:r="http://schemas.openxmlformats.org/officeDocument/2006/relationships" r:embed="rId2374"/>
        <a:stretch>
          <a:fillRect/>
        </a:stretch>
      </xdr:blipFill>
      <xdr:spPr>
        <a:xfrm>
          <a:off x="7264400" y="3109544200"/>
          <a:ext cx="878840" cy="1183640"/>
        </a:xfrm>
        <a:prstGeom prst="rect">
          <a:avLst/>
        </a:prstGeom>
      </xdr:spPr>
    </xdr:pic>
    <xdr:clientData/>
  </xdr:twoCellAnchor>
  <xdr:twoCellAnchor>
    <xdr:from>
      <xdr:col>8</xdr:col>
      <xdr:colOff>6350</xdr:colOff>
      <xdr:row>3154</xdr:row>
      <xdr:rowOff>25400</xdr:rowOff>
    </xdr:from>
    <xdr:to>
      <xdr:col>8</xdr:col>
      <xdr:colOff>885190</xdr:colOff>
      <xdr:row>3154</xdr:row>
      <xdr:rowOff>1209040</xdr:rowOff>
    </xdr:to>
    <xdr:pic>
      <xdr:nvPicPr>
        <xdr:cNvPr id="6663" name="Изображение 6662" descr="resizeПП-00249212"/>
        <xdr:cNvPicPr>
          <a:picLocks noChangeAspect="1"/>
        </xdr:cNvPicPr>
      </xdr:nvPicPr>
      <xdr:blipFill>
        <a:blip xmlns:r="http://schemas.openxmlformats.org/officeDocument/2006/relationships" r:embed="rId2375"/>
        <a:stretch>
          <a:fillRect/>
        </a:stretch>
      </xdr:blipFill>
      <xdr:spPr>
        <a:xfrm>
          <a:off x="7264400" y="3110918975"/>
          <a:ext cx="878840" cy="1183640"/>
        </a:xfrm>
        <a:prstGeom prst="rect">
          <a:avLst/>
        </a:prstGeom>
      </xdr:spPr>
    </xdr:pic>
    <xdr:clientData/>
  </xdr:twoCellAnchor>
  <xdr:twoCellAnchor>
    <xdr:from>
      <xdr:col>8</xdr:col>
      <xdr:colOff>6350</xdr:colOff>
      <xdr:row>3155</xdr:row>
      <xdr:rowOff>25400</xdr:rowOff>
    </xdr:from>
    <xdr:to>
      <xdr:col>8</xdr:col>
      <xdr:colOff>885190</xdr:colOff>
      <xdr:row>3155</xdr:row>
      <xdr:rowOff>1209040</xdr:rowOff>
    </xdr:to>
    <xdr:pic>
      <xdr:nvPicPr>
        <xdr:cNvPr id="6664" name="Изображение 6663" descr="resizeПП-00249213"/>
        <xdr:cNvPicPr>
          <a:picLocks noChangeAspect="1"/>
        </xdr:cNvPicPr>
      </xdr:nvPicPr>
      <xdr:blipFill>
        <a:blip xmlns:r="http://schemas.openxmlformats.org/officeDocument/2006/relationships" r:embed="rId2376"/>
        <a:stretch>
          <a:fillRect/>
        </a:stretch>
      </xdr:blipFill>
      <xdr:spPr>
        <a:xfrm>
          <a:off x="7264400" y="3112141350"/>
          <a:ext cx="878840" cy="1183640"/>
        </a:xfrm>
        <a:prstGeom prst="rect">
          <a:avLst/>
        </a:prstGeom>
      </xdr:spPr>
    </xdr:pic>
    <xdr:clientData/>
  </xdr:twoCellAnchor>
  <xdr:twoCellAnchor>
    <xdr:from>
      <xdr:col>8</xdr:col>
      <xdr:colOff>6350</xdr:colOff>
      <xdr:row>3156</xdr:row>
      <xdr:rowOff>25400</xdr:rowOff>
    </xdr:from>
    <xdr:to>
      <xdr:col>8</xdr:col>
      <xdr:colOff>885190</xdr:colOff>
      <xdr:row>3156</xdr:row>
      <xdr:rowOff>1209040</xdr:rowOff>
    </xdr:to>
    <xdr:pic>
      <xdr:nvPicPr>
        <xdr:cNvPr id="6665" name="Изображение 6664" descr="resizeПП-00249211"/>
        <xdr:cNvPicPr>
          <a:picLocks noChangeAspect="1"/>
        </xdr:cNvPicPr>
      </xdr:nvPicPr>
      <xdr:blipFill>
        <a:blip xmlns:r="http://schemas.openxmlformats.org/officeDocument/2006/relationships" r:embed="rId2375"/>
        <a:stretch>
          <a:fillRect/>
        </a:stretch>
      </xdr:blipFill>
      <xdr:spPr>
        <a:xfrm>
          <a:off x="7264400" y="3113363725"/>
          <a:ext cx="878840" cy="1183640"/>
        </a:xfrm>
        <a:prstGeom prst="rect">
          <a:avLst/>
        </a:prstGeom>
      </xdr:spPr>
    </xdr:pic>
    <xdr:clientData/>
  </xdr:twoCellAnchor>
  <xdr:twoCellAnchor>
    <xdr:from>
      <xdr:col>8</xdr:col>
      <xdr:colOff>6350</xdr:colOff>
      <xdr:row>3159</xdr:row>
      <xdr:rowOff>25400</xdr:rowOff>
    </xdr:from>
    <xdr:to>
      <xdr:col>8</xdr:col>
      <xdr:colOff>885190</xdr:colOff>
      <xdr:row>3159</xdr:row>
      <xdr:rowOff>1209040</xdr:rowOff>
    </xdr:to>
    <xdr:pic>
      <xdr:nvPicPr>
        <xdr:cNvPr id="6666" name="Изображение 6665" descr="resizeПП-00122630"/>
        <xdr:cNvPicPr>
          <a:picLocks noChangeAspect="1"/>
        </xdr:cNvPicPr>
      </xdr:nvPicPr>
      <xdr:blipFill>
        <a:blip xmlns:r="http://schemas.openxmlformats.org/officeDocument/2006/relationships" r:embed="rId2377"/>
        <a:stretch>
          <a:fillRect/>
        </a:stretch>
      </xdr:blipFill>
      <xdr:spPr>
        <a:xfrm>
          <a:off x="7264400" y="3114890900"/>
          <a:ext cx="878840" cy="1183640"/>
        </a:xfrm>
        <a:prstGeom prst="rect">
          <a:avLst/>
        </a:prstGeom>
      </xdr:spPr>
    </xdr:pic>
    <xdr:clientData/>
  </xdr:twoCellAnchor>
  <xdr:twoCellAnchor>
    <xdr:from>
      <xdr:col>8</xdr:col>
      <xdr:colOff>6350</xdr:colOff>
      <xdr:row>3160</xdr:row>
      <xdr:rowOff>25400</xdr:rowOff>
    </xdr:from>
    <xdr:to>
      <xdr:col>8</xdr:col>
      <xdr:colOff>885190</xdr:colOff>
      <xdr:row>3160</xdr:row>
      <xdr:rowOff>1209040</xdr:rowOff>
    </xdr:to>
    <xdr:pic>
      <xdr:nvPicPr>
        <xdr:cNvPr id="6667" name="Изображение 6666" descr="resizeПП-00122629"/>
        <xdr:cNvPicPr>
          <a:picLocks noChangeAspect="1"/>
        </xdr:cNvPicPr>
      </xdr:nvPicPr>
      <xdr:blipFill>
        <a:blip xmlns:r="http://schemas.openxmlformats.org/officeDocument/2006/relationships" r:embed="rId2378"/>
        <a:stretch>
          <a:fillRect/>
        </a:stretch>
      </xdr:blipFill>
      <xdr:spPr>
        <a:xfrm>
          <a:off x="7264400" y="3116113275"/>
          <a:ext cx="878840" cy="1183640"/>
        </a:xfrm>
        <a:prstGeom prst="rect">
          <a:avLst/>
        </a:prstGeom>
      </xdr:spPr>
    </xdr:pic>
    <xdr:clientData/>
  </xdr:twoCellAnchor>
  <xdr:twoCellAnchor>
    <xdr:from>
      <xdr:col>8</xdr:col>
      <xdr:colOff>6350</xdr:colOff>
      <xdr:row>3161</xdr:row>
      <xdr:rowOff>25400</xdr:rowOff>
    </xdr:from>
    <xdr:to>
      <xdr:col>8</xdr:col>
      <xdr:colOff>885190</xdr:colOff>
      <xdr:row>3161</xdr:row>
      <xdr:rowOff>1209040</xdr:rowOff>
    </xdr:to>
    <xdr:pic>
      <xdr:nvPicPr>
        <xdr:cNvPr id="6668" name="Изображение 6667" descr="resizeПП-00122631"/>
        <xdr:cNvPicPr>
          <a:picLocks noChangeAspect="1"/>
        </xdr:cNvPicPr>
      </xdr:nvPicPr>
      <xdr:blipFill>
        <a:blip xmlns:r="http://schemas.openxmlformats.org/officeDocument/2006/relationships" r:embed="rId2379"/>
        <a:stretch>
          <a:fillRect/>
        </a:stretch>
      </xdr:blipFill>
      <xdr:spPr>
        <a:xfrm>
          <a:off x="7264400" y="3117335650"/>
          <a:ext cx="878840" cy="1183640"/>
        </a:xfrm>
        <a:prstGeom prst="rect">
          <a:avLst/>
        </a:prstGeom>
      </xdr:spPr>
    </xdr:pic>
    <xdr:clientData/>
  </xdr:twoCellAnchor>
  <xdr:twoCellAnchor>
    <xdr:from>
      <xdr:col>8</xdr:col>
      <xdr:colOff>6350</xdr:colOff>
      <xdr:row>3162</xdr:row>
      <xdr:rowOff>25400</xdr:rowOff>
    </xdr:from>
    <xdr:to>
      <xdr:col>8</xdr:col>
      <xdr:colOff>885190</xdr:colOff>
      <xdr:row>3162</xdr:row>
      <xdr:rowOff>1209040</xdr:rowOff>
    </xdr:to>
    <xdr:pic>
      <xdr:nvPicPr>
        <xdr:cNvPr id="6669" name="Изображение 6668" descr="resizeПП-00122632"/>
        <xdr:cNvPicPr>
          <a:picLocks noChangeAspect="1"/>
        </xdr:cNvPicPr>
      </xdr:nvPicPr>
      <xdr:blipFill>
        <a:blip xmlns:r="http://schemas.openxmlformats.org/officeDocument/2006/relationships" r:embed="rId2380"/>
        <a:stretch>
          <a:fillRect/>
        </a:stretch>
      </xdr:blipFill>
      <xdr:spPr>
        <a:xfrm>
          <a:off x="7264400" y="3118558025"/>
          <a:ext cx="878840" cy="1183640"/>
        </a:xfrm>
        <a:prstGeom prst="rect">
          <a:avLst/>
        </a:prstGeom>
      </xdr:spPr>
    </xdr:pic>
    <xdr:clientData/>
  </xdr:twoCellAnchor>
  <xdr:twoCellAnchor>
    <xdr:from>
      <xdr:col>8</xdr:col>
      <xdr:colOff>6350</xdr:colOff>
      <xdr:row>3164</xdr:row>
      <xdr:rowOff>25400</xdr:rowOff>
    </xdr:from>
    <xdr:to>
      <xdr:col>8</xdr:col>
      <xdr:colOff>885190</xdr:colOff>
      <xdr:row>3164</xdr:row>
      <xdr:rowOff>1209040</xdr:rowOff>
    </xdr:to>
    <xdr:pic>
      <xdr:nvPicPr>
        <xdr:cNvPr id="6670" name="Изображение 6669" descr="resizeПП-00122626"/>
        <xdr:cNvPicPr>
          <a:picLocks noChangeAspect="1"/>
        </xdr:cNvPicPr>
      </xdr:nvPicPr>
      <xdr:blipFill>
        <a:blip xmlns:r="http://schemas.openxmlformats.org/officeDocument/2006/relationships" r:embed="rId2377"/>
        <a:stretch>
          <a:fillRect/>
        </a:stretch>
      </xdr:blipFill>
      <xdr:spPr>
        <a:xfrm>
          <a:off x="7264400" y="3119932800"/>
          <a:ext cx="878840" cy="1183640"/>
        </a:xfrm>
        <a:prstGeom prst="rect">
          <a:avLst/>
        </a:prstGeom>
      </xdr:spPr>
    </xdr:pic>
    <xdr:clientData/>
  </xdr:twoCellAnchor>
  <xdr:twoCellAnchor>
    <xdr:from>
      <xdr:col>8</xdr:col>
      <xdr:colOff>6350</xdr:colOff>
      <xdr:row>3165</xdr:row>
      <xdr:rowOff>25400</xdr:rowOff>
    </xdr:from>
    <xdr:to>
      <xdr:col>8</xdr:col>
      <xdr:colOff>885190</xdr:colOff>
      <xdr:row>3165</xdr:row>
      <xdr:rowOff>1209040</xdr:rowOff>
    </xdr:to>
    <xdr:pic>
      <xdr:nvPicPr>
        <xdr:cNvPr id="6671" name="Изображение 6670" descr="resizeПП-00122624"/>
        <xdr:cNvPicPr>
          <a:picLocks noChangeAspect="1"/>
        </xdr:cNvPicPr>
      </xdr:nvPicPr>
      <xdr:blipFill>
        <a:blip xmlns:r="http://schemas.openxmlformats.org/officeDocument/2006/relationships" r:embed="rId2378"/>
        <a:stretch>
          <a:fillRect/>
        </a:stretch>
      </xdr:blipFill>
      <xdr:spPr>
        <a:xfrm>
          <a:off x="7264400" y="3121155175"/>
          <a:ext cx="878840" cy="1183640"/>
        </a:xfrm>
        <a:prstGeom prst="rect">
          <a:avLst/>
        </a:prstGeom>
      </xdr:spPr>
    </xdr:pic>
    <xdr:clientData/>
  </xdr:twoCellAnchor>
  <xdr:twoCellAnchor>
    <xdr:from>
      <xdr:col>8</xdr:col>
      <xdr:colOff>6350</xdr:colOff>
      <xdr:row>3166</xdr:row>
      <xdr:rowOff>25400</xdr:rowOff>
    </xdr:from>
    <xdr:to>
      <xdr:col>8</xdr:col>
      <xdr:colOff>885190</xdr:colOff>
      <xdr:row>3166</xdr:row>
      <xdr:rowOff>1209040</xdr:rowOff>
    </xdr:to>
    <xdr:pic>
      <xdr:nvPicPr>
        <xdr:cNvPr id="6672" name="Изображение 6671" descr="resizeПП-00262832"/>
        <xdr:cNvPicPr>
          <a:picLocks noChangeAspect="1"/>
        </xdr:cNvPicPr>
      </xdr:nvPicPr>
      <xdr:blipFill>
        <a:blip xmlns:r="http://schemas.openxmlformats.org/officeDocument/2006/relationships" r:embed="rId2381"/>
        <a:stretch>
          <a:fillRect/>
        </a:stretch>
      </xdr:blipFill>
      <xdr:spPr>
        <a:xfrm>
          <a:off x="7264400" y="3122377550"/>
          <a:ext cx="878840" cy="1183640"/>
        </a:xfrm>
        <a:prstGeom prst="rect">
          <a:avLst/>
        </a:prstGeom>
      </xdr:spPr>
    </xdr:pic>
    <xdr:clientData/>
  </xdr:twoCellAnchor>
  <xdr:twoCellAnchor>
    <xdr:from>
      <xdr:col>8</xdr:col>
      <xdr:colOff>6350</xdr:colOff>
      <xdr:row>3167</xdr:row>
      <xdr:rowOff>25400</xdr:rowOff>
    </xdr:from>
    <xdr:to>
      <xdr:col>8</xdr:col>
      <xdr:colOff>885190</xdr:colOff>
      <xdr:row>3167</xdr:row>
      <xdr:rowOff>1209040</xdr:rowOff>
    </xdr:to>
    <xdr:pic>
      <xdr:nvPicPr>
        <xdr:cNvPr id="6673" name="Изображение 6672" descr="resizeПП-00122627"/>
        <xdr:cNvPicPr>
          <a:picLocks noChangeAspect="1"/>
        </xdr:cNvPicPr>
      </xdr:nvPicPr>
      <xdr:blipFill>
        <a:blip xmlns:r="http://schemas.openxmlformats.org/officeDocument/2006/relationships" r:embed="rId2379"/>
        <a:stretch>
          <a:fillRect/>
        </a:stretch>
      </xdr:blipFill>
      <xdr:spPr>
        <a:xfrm>
          <a:off x="7264400" y="3123599925"/>
          <a:ext cx="878840" cy="1183640"/>
        </a:xfrm>
        <a:prstGeom prst="rect">
          <a:avLst/>
        </a:prstGeom>
      </xdr:spPr>
    </xdr:pic>
    <xdr:clientData/>
  </xdr:twoCellAnchor>
  <xdr:twoCellAnchor>
    <xdr:from>
      <xdr:col>8</xdr:col>
      <xdr:colOff>6350</xdr:colOff>
      <xdr:row>3168</xdr:row>
      <xdr:rowOff>25400</xdr:rowOff>
    </xdr:from>
    <xdr:to>
      <xdr:col>8</xdr:col>
      <xdr:colOff>885190</xdr:colOff>
      <xdr:row>3168</xdr:row>
      <xdr:rowOff>1209040</xdr:rowOff>
    </xdr:to>
    <xdr:pic>
      <xdr:nvPicPr>
        <xdr:cNvPr id="6674" name="Изображение 6673" descr="resizeПП-00122628"/>
        <xdr:cNvPicPr>
          <a:picLocks noChangeAspect="1"/>
        </xdr:cNvPicPr>
      </xdr:nvPicPr>
      <xdr:blipFill>
        <a:blip xmlns:r="http://schemas.openxmlformats.org/officeDocument/2006/relationships" r:embed="rId2380"/>
        <a:stretch>
          <a:fillRect/>
        </a:stretch>
      </xdr:blipFill>
      <xdr:spPr>
        <a:xfrm>
          <a:off x="7264400" y="3124822300"/>
          <a:ext cx="878840" cy="1183640"/>
        </a:xfrm>
        <a:prstGeom prst="rect">
          <a:avLst/>
        </a:prstGeom>
      </xdr:spPr>
    </xdr:pic>
    <xdr:clientData/>
  </xdr:twoCellAnchor>
  <xdr:twoCellAnchor>
    <xdr:from>
      <xdr:col>8</xdr:col>
      <xdr:colOff>6350</xdr:colOff>
      <xdr:row>3169</xdr:row>
      <xdr:rowOff>25400</xdr:rowOff>
    </xdr:from>
    <xdr:to>
      <xdr:col>8</xdr:col>
      <xdr:colOff>885190</xdr:colOff>
      <xdr:row>3169</xdr:row>
      <xdr:rowOff>1209040</xdr:rowOff>
    </xdr:to>
    <xdr:pic>
      <xdr:nvPicPr>
        <xdr:cNvPr id="6675" name="Изображение 6674" descr="resizeПП-00262834"/>
        <xdr:cNvPicPr>
          <a:picLocks noChangeAspect="1"/>
        </xdr:cNvPicPr>
      </xdr:nvPicPr>
      <xdr:blipFill>
        <a:blip xmlns:r="http://schemas.openxmlformats.org/officeDocument/2006/relationships" r:embed="rId2382"/>
        <a:stretch>
          <a:fillRect/>
        </a:stretch>
      </xdr:blipFill>
      <xdr:spPr>
        <a:xfrm>
          <a:off x="7264400" y="3126044675"/>
          <a:ext cx="878840" cy="1183640"/>
        </a:xfrm>
        <a:prstGeom prst="rect">
          <a:avLst/>
        </a:prstGeom>
      </xdr:spPr>
    </xdr:pic>
    <xdr:clientData/>
  </xdr:twoCellAnchor>
  <xdr:twoCellAnchor>
    <xdr:from>
      <xdr:col>8</xdr:col>
      <xdr:colOff>6350</xdr:colOff>
      <xdr:row>3171</xdr:row>
      <xdr:rowOff>25400</xdr:rowOff>
    </xdr:from>
    <xdr:to>
      <xdr:col>8</xdr:col>
      <xdr:colOff>885190</xdr:colOff>
      <xdr:row>3171</xdr:row>
      <xdr:rowOff>1209040</xdr:rowOff>
    </xdr:to>
    <xdr:pic>
      <xdr:nvPicPr>
        <xdr:cNvPr id="6676" name="Изображение 6675" descr="resizeПП-00258498"/>
        <xdr:cNvPicPr>
          <a:picLocks noChangeAspect="1"/>
        </xdr:cNvPicPr>
      </xdr:nvPicPr>
      <xdr:blipFill>
        <a:blip xmlns:r="http://schemas.openxmlformats.org/officeDocument/2006/relationships" r:embed="rId2383"/>
        <a:stretch>
          <a:fillRect/>
        </a:stretch>
      </xdr:blipFill>
      <xdr:spPr>
        <a:xfrm>
          <a:off x="7264400" y="3127419450"/>
          <a:ext cx="878840" cy="1183640"/>
        </a:xfrm>
        <a:prstGeom prst="rect">
          <a:avLst/>
        </a:prstGeom>
      </xdr:spPr>
    </xdr:pic>
    <xdr:clientData/>
  </xdr:twoCellAnchor>
  <xdr:twoCellAnchor>
    <xdr:from>
      <xdr:col>8</xdr:col>
      <xdr:colOff>6350</xdr:colOff>
      <xdr:row>3174</xdr:row>
      <xdr:rowOff>25400</xdr:rowOff>
    </xdr:from>
    <xdr:to>
      <xdr:col>8</xdr:col>
      <xdr:colOff>885190</xdr:colOff>
      <xdr:row>3174</xdr:row>
      <xdr:rowOff>1209040</xdr:rowOff>
    </xdr:to>
    <xdr:pic>
      <xdr:nvPicPr>
        <xdr:cNvPr id="6677" name="Изображение 6676" descr="resizeПП-00258483"/>
        <xdr:cNvPicPr>
          <a:picLocks noChangeAspect="1"/>
        </xdr:cNvPicPr>
      </xdr:nvPicPr>
      <xdr:blipFill>
        <a:blip xmlns:r="http://schemas.openxmlformats.org/officeDocument/2006/relationships" r:embed="rId2384"/>
        <a:stretch>
          <a:fillRect/>
        </a:stretch>
      </xdr:blipFill>
      <xdr:spPr>
        <a:xfrm>
          <a:off x="7264400" y="3128946625"/>
          <a:ext cx="878840" cy="1183640"/>
        </a:xfrm>
        <a:prstGeom prst="rect">
          <a:avLst/>
        </a:prstGeom>
      </xdr:spPr>
    </xdr:pic>
    <xdr:clientData/>
  </xdr:twoCellAnchor>
  <xdr:twoCellAnchor>
    <xdr:from>
      <xdr:col>8</xdr:col>
      <xdr:colOff>6350</xdr:colOff>
      <xdr:row>3175</xdr:row>
      <xdr:rowOff>25400</xdr:rowOff>
    </xdr:from>
    <xdr:to>
      <xdr:col>8</xdr:col>
      <xdr:colOff>885190</xdr:colOff>
      <xdr:row>3175</xdr:row>
      <xdr:rowOff>1209040</xdr:rowOff>
    </xdr:to>
    <xdr:pic>
      <xdr:nvPicPr>
        <xdr:cNvPr id="6678" name="Изображение 6677" descr="resizeПП-00258486"/>
        <xdr:cNvPicPr>
          <a:picLocks noChangeAspect="1"/>
        </xdr:cNvPicPr>
      </xdr:nvPicPr>
      <xdr:blipFill>
        <a:blip xmlns:r="http://schemas.openxmlformats.org/officeDocument/2006/relationships" r:embed="rId2385"/>
        <a:stretch>
          <a:fillRect/>
        </a:stretch>
      </xdr:blipFill>
      <xdr:spPr>
        <a:xfrm>
          <a:off x="7264400" y="3130169000"/>
          <a:ext cx="878840" cy="1183640"/>
        </a:xfrm>
        <a:prstGeom prst="rect">
          <a:avLst/>
        </a:prstGeom>
      </xdr:spPr>
    </xdr:pic>
    <xdr:clientData/>
  </xdr:twoCellAnchor>
  <xdr:twoCellAnchor>
    <xdr:from>
      <xdr:col>8</xdr:col>
      <xdr:colOff>6350</xdr:colOff>
      <xdr:row>3176</xdr:row>
      <xdr:rowOff>25400</xdr:rowOff>
    </xdr:from>
    <xdr:to>
      <xdr:col>8</xdr:col>
      <xdr:colOff>885190</xdr:colOff>
      <xdr:row>3176</xdr:row>
      <xdr:rowOff>1209040</xdr:rowOff>
    </xdr:to>
    <xdr:pic>
      <xdr:nvPicPr>
        <xdr:cNvPr id="6679" name="Изображение 6678" descr="resizeПП-00258485"/>
        <xdr:cNvPicPr>
          <a:picLocks noChangeAspect="1"/>
        </xdr:cNvPicPr>
      </xdr:nvPicPr>
      <xdr:blipFill>
        <a:blip xmlns:r="http://schemas.openxmlformats.org/officeDocument/2006/relationships" r:embed="rId2386"/>
        <a:stretch>
          <a:fillRect/>
        </a:stretch>
      </xdr:blipFill>
      <xdr:spPr>
        <a:xfrm>
          <a:off x="7264400" y="3131391375"/>
          <a:ext cx="878840" cy="1183640"/>
        </a:xfrm>
        <a:prstGeom prst="rect">
          <a:avLst/>
        </a:prstGeom>
      </xdr:spPr>
    </xdr:pic>
    <xdr:clientData/>
  </xdr:twoCellAnchor>
  <xdr:twoCellAnchor>
    <xdr:from>
      <xdr:col>8</xdr:col>
      <xdr:colOff>6350</xdr:colOff>
      <xdr:row>3177</xdr:row>
      <xdr:rowOff>25400</xdr:rowOff>
    </xdr:from>
    <xdr:to>
      <xdr:col>8</xdr:col>
      <xdr:colOff>885190</xdr:colOff>
      <xdr:row>3177</xdr:row>
      <xdr:rowOff>1209040</xdr:rowOff>
    </xdr:to>
    <xdr:pic>
      <xdr:nvPicPr>
        <xdr:cNvPr id="6680" name="Изображение 6679" descr="resizeПП-00258484"/>
        <xdr:cNvPicPr>
          <a:picLocks noChangeAspect="1"/>
        </xdr:cNvPicPr>
      </xdr:nvPicPr>
      <xdr:blipFill>
        <a:blip xmlns:r="http://schemas.openxmlformats.org/officeDocument/2006/relationships" r:embed="rId2387"/>
        <a:stretch>
          <a:fillRect/>
        </a:stretch>
      </xdr:blipFill>
      <xdr:spPr>
        <a:xfrm>
          <a:off x="7264400" y="3132613750"/>
          <a:ext cx="878840" cy="1183640"/>
        </a:xfrm>
        <a:prstGeom prst="rect">
          <a:avLst/>
        </a:prstGeom>
      </xdr:spPr>
    </xdr:pic>
    <xdr:clientData/>
  </xdr:twoCellAnchor>
  <xdr:twoCellAnchor>
    <xdr:from>
      <xdr:col>8</xdr:col>
      <xdr:colOff>6350</xdr:colOff>
      <xdr:row>3178</xdr:row>
      <xdr:rowOff>25400</xdr:rowOff>
    </xdr:from>
    <xdr:to>
      <xdr:col>8</xdr:col>
      <xdr:colOff>885190</xdr:colOff>
      <xdr:row>3178</xdr:row>
      <xdr:rowOff>1209040</xdr:rowOff>
    </xdr:to>
    <xdr:pic>
      <xdr:nvPicPr>
        <xdr:cNvPr id="6681" name="Изображение 6680" descr="resizeПП-00262830"/>
        <xdr:cNvPicPr>
          <a:picLocks noChangeAspect="1"/>
        </xdr:cNvPicPr>
      </xdr:nvPicPr>
      <xdr:blipFill>
        <a:blip xmlns:r="http://schemas.openxmlformats.org/officeDocument/2006/relationships" r:embed="rId2388"/>
        <a:stretch>
          <a:fillRect/>
        </a:stretch>
      </xdr:blipFill>
      <xdr:spPr>
        <a:xfrm>
          <a:off x="7264400" y="3133836125"/>
          <a:ext cx="878840" cy="1183640"/>
        </a:xfrm>
        <a:prstGeom prst="rect">
          <a:avLst/>
        </a:prstGeom>
      </xdr:spPr>
    </xdr:pic>
    <xdr:clientData/>
  </xdr:twoCellAnchor>
  <xdr:twoCellAnchor>
    <xdr:from>
      <xdr:col>8</xdr:col>
      <xdr:colOff>6350</xdr:colOff>
      <xdr:row>3180</xdr:row>
      <xdr:rowOff>25400</xdr:rowOff>
    </xdr:from>
    <xdr:to>
      <xdr:col>8</xdr:col>
      <xdr:colOff>885190</xdr:colOff>
      <xdr:row>3180</xdr:row>
      <xdr:rowOff>1209040</xdr:rowOff>
    </xdr:to>
    <xdr:pic>
      <xdr:nvPicPr>
        <xdr:cNvPr id="6682" name="Изображение 6681" descr="resizeПП-00258489"/>
        <xdr:cNvPicPr>
          <a:picLocks noChangeAspect="1"/>
        </xdr:cNvPicPr>
      </xdr:nvPicPr>
      <xdr:blipFill>
        <a:blip xmlns:r="http://schemas.openxmlformats.org/officeDocument/2006/relationships" r:embed="rId2389"/>
        <a:stretch>
          <a:fillRect/>
        </a:stretch>
      </xdr:blipFill>
      <xdr:spPr>
        <a:xfrm>
          <a:off x="7264400" y="3135210900"/>
          <a:ext cx="878840" cy="1183640"/>
        </a:xfrm>
        <a:prstGeom prst="rect">
          <a:avLst/>
        </a:prstGeom>
      </xdr:spPr>
    </xdr:pic>
    <xdr:clientData/>
  </xdr:twoCellAnchor>
  <xdr:twoCellAnchor>
    <xdr:from>
      <xdr:col>8</xdr:col>
      <xdr:colOff>6350</xdr:colOff>
      <xdr:row>3181</xdr:row>
      <xdr:rowOff>25400</xdr:rowOff>
    </xdr:from>
    <xdr:to>
      <xdr:col>8</xdr:col>
      <xdr:colOff>885190</xdr:colOff>
      <xdr:row>3181</xdr:row>
      <xdr:rowOff>1209040</xdr:rowOff>
    </xdr:to>
    <xdr:pic>
      <xdr:nvPicPr>
        <xdr:cNvPr id="6683" name="Изображение 6682" descr="resizeПП-00258499"/>
        <xdr:cNvPicPr>
          <a:picLocks noChangeAspect="1"/>
        </xdr:cNvPicPr>
      </xdr:nvPicPr>
      <xdr:blipFill>
        <a:blip xmlns:r="http://schemas.openxmlformats.org/officeDocument/2006/relationships" r:embed="rId2390"/>
        <a:stretch>
          <a:fillRect/>
        </a:stretch>
      </xdr:blipFill>
      <xdr:spPr>
        <a:xfrm>
          <a:off x="7264400" y="3136433275"/>
          <a:ext cx="878840" cy="1183640"/>
        </a:xfrm>
        <a:prstGeom prst="rect">
          <a:avLst/>
        </a:prstGeom>
      </xdr:spPr>
    </xdr:pic>
    <xdr:clientData/>
  </xdr:twoCellAnchor>
  <xdr:twoCellAnchor>
    <xdr:from>
      <xdr:col>8</xdr:col>
      <xdr:colOff>6350</xdr:colOff>
      <xdr:row>3182</xdr:row>
      <xdr:rowOff>25400</xdr:rowOff>
    </xdr:from>
    <xdr:to>
      <xdr:col>8</xdr:col>
      <xdr:colOff>885190</xdr:colOff>
      <xdr:row>3182</xdr:row>
      <xdr:rowOff>1209040</xdr:rowOff>
    </xdr:to>
    <xdr:pic>
      <xdr:nvPicPr>
        <xdr:cNvPr id="6684" name="Изображение 6683" descr="resizeПП-00258488"/>
        <xdr:cNvPicPr>
          <a:picLocks noChangeAspect="1"/>
        </xdr:cNvPicPr>
      </xdr:nvPicPr>
      <xdr:blipFill>
        <a:blip xmlns:r="http://schemas.openxmlformats.org/officeDocument/2006/relationships" r:embed="rId2391"/>
        <a:stretch>
          <a:fillRect/>
        </a:stretch>
      </xdr:blipFill>
      <xdr:spPr>
        <a:xfrm>
          <a:off x="7264400" y="3137655650"/>
          <a:ext cx="878840" cy="1183640"/>
        </a:xfrm>
        <a:prstGeom prst="rect">
          <a:avLst/>
        </a:prstGeom>
      </xdr:spPr>
    </xdr:pic>
    <xdr:clientData/>
  </xdr:twoCellAnchor>
  <xdr:twoCellAnchor>
    <xdr:from>
      <xdr:col>8</xdr:col>
      <xdr:colOff>6350</xdr:colOff>
      <xdr:row>3183</xdr:row>
      <xdr:rowOff>25400</xdr:rowOff>
    </xdr:from>
    <xdr:to>
      <xdr:col>8</xdr:col>
      <xdr:colOff>885190</xdr:colOff>
      <xdr:row>3183</xdr:row>
      <xdr:rowOff>1209040</xdr:rowOff>
    </xdr:to>
    <xdr:pic>
      <xdr:nvPicPr>
        <xdr:cNvPr id="6685" name="Изображение 6684" descr="resizeПП-00258487"/>
        <xdr:cNvPicPr>
          <a:picLocks noChangeAspect="1"/>
        </xdr:cNvPicPr>
      </xdr:nvPicPr>
      <xdr:blipFill>
        <a:blip xmlns:r="http://schemas.openxmlformats.org/officeDocument/2006/relationships" r:embed="rId2392"/>
        <a:stretch>
          <a:fillRect/>
        </a:stretch>
      </xdr:blipFill>
      <xdr:spPr>
        <a:xfrm>
          <a:off x="7264400" y="3138878025"/>
          <a:ext cx="878840" cy="1183640"/>
        </a:xfrm>
        <a:prstGeom prst="rect">
          <a:avLst/>
        </a:prstGeom>
      </xdr:spPr>
    </xdr:pic>
    <xdr:clientData/>
  </xdr:twoCellAnchor>
  <xdr:twoCellAnchor>
    <xdr:from>
      <xdr:col>8</xdr:col>
      <xdr:colOff>6350</xdr:colOff>
      <xdr:row>3184</xdr:row>
      <xdr:rowOff>25400</xdr:rowOff>
    </xdr:from>
    <xdr:to>
      <xdr:col>8</xdr:col>
      <xdr:colOff>885190</xdr:colOff>
      <xdr:row>3184</xdr:row>
      <xdr:rowOff>1209040</xdr:rowOff>
    </xdr:to>
    <xdr:pic>
      <xdr:nvPicPr>
        <xdr:cNvPr id="6686" name="Изображение 6685" descr="resizeПП-00258500"/>
        <xdr:cNvPicPr>
          <a:picLocks noChangeAspect="1"/>
        </xdr:cNvPicPr>
      </xdr:nvPicPr>
      <xdr:blipFill>
        <a:blip xmlns:r="http://schemas.openxmlformats.org/officeDocument/2006/relationships" r:embed="rId2393"/>
        <a:stretch>
          <a:fillRect/>
        </a:stretch>
      </xdr:blipFill>
      <xdr:spPr>
        <a:xfrm>
          <a:off x="7264400" y="3140100400"/>
          <a:ext cx="878840" cy="1183640"/>
        </a:xfrm>
        <a:prstGeom prst="rect">
          <a:avLst/>
        </a:prstGeom>
      </xdr:spPr>
    </xdr:pic>
    <xdr:clientData/>
  </xdr:twoCellAnchor>
  <xdr:twoCellAnchor>
    <xdr:from>
      <xdr:col>8</xdr:col>
      <xdr:colOff>6350</xdr:colOff>
      <xdr:row>3185</xdr:row>
      <xdr:rowOff>25400</xdr:rowOff>
    </xdr:from>
    <xdr:to>
      <xdr:col>8</xdr:col>
      <xdr:colOff>885190</xdr:colOff>
      <xdr:row>3185</xdr:row>
      <xdr:rowOff>1209040</xdr:rowOff>
    </xdr:to>
    <xdr:pic>
      <xdr:nvPicPr>
        <xdr:cNvPr id="6687" name="Изображение 6686" descr="resizeПП-00257841"/>
        <xdr:cNvPicPr>
          <a:picLocks noChangeAspect="1"/>
        </xdr:cNvPicPr>
      </xdr:nvPicPr>
      <xdr:blipFill>
        <a:blip xmlns:r="http://schemas.openxmlformats.org/officeDocument/2006/relationships" r:embed="rId2394"/>
        <a:stretch>
          <a:fillRect/>
        </a:stretch>
      </xdr:blipFill>
      <xdr:spPr>
        <a:xfrm>
          <a:off x="7264400" y="3141322775"/>
          <a:ext cx="878840" cy="1183640"/>
        </a:xfrm>
        <a:prstGeom prst="rect">
          <a:avLst/>
        </a:prstGeom>
      </xdr:spPr>
    </xdr:pic>
    <xdr:clientData/>
  </xdr:twoCellAnchor>
  <xdr:twoCellAnchor>
    <xdr:from>
      <xdr:col>8</xdr:col>
      <xdr:colOff>6350</xdr:colOff>
      <xdr:row>3186</xdr:row>
      <xdr:rowOff>25400</xdr:rowOff>
    </xdr:from>
    <xdr:to>
      <xdr:col>8</xdr:col>
      <xdr:colOff>885190</xdr:colOff>
      <xdr:row>3186</xdr:row>
      <xdr:rowOff>1209040</xdr:rowOff>
    </xdr:to>
    <xdr:pic>
      <xdr:nvPicPr>
        <xdr:cNvPr id="6688" name="Изображение 6687" descr="resizeПП-00257844"/>
        <xdr:cNvPicPr>
          <a:picLocks noChangeAspect="1"/>
        </xdr:cNvPicPr>
      </xdr:nvPicPr>
      <xdr:blipFill>
        <a:blip xmlns:r="http://schemas.openxmlformats.org/officeDocument/2006/relationships" r:embed="rId2395"/>
        <a:stretch>
          <a:fillRect/>
        </a:stretch>
      </xdr:blipFill>
      <xdr:spPr>
        <a:xfrm>
          <a:off x="7264400" y="3142545150"/>
          <a:ext cx="878840" cy="1183640"/>
        </a:xfrm>
        <a:prstGeom prst="rect">
          <a:avLst/>
        </a:prstGeom>
      </xdr:spPr>
    </xdr:pic>
    <xdr:clientData/>
  </xdr:twoCellAnchor>
  <xdr:twoCellAnchor>
    <xdr:from>
      <xdr:col>8</xdr:col>
      <xdr:colOff>6350</xdr:colOff>
      <xdr:row>3187</xdr:row>
      <xdr:rowOff>25400</xdr:rowOff>
    </xdr:from>
    <xdr:to>
      <xdr:col>8</xdr:col>
      <xdr:colOff>885190</xdr:colOff>
      <xdr:row>3187</xdr:row>
      <xdr:rowOff>1209040</xdr:rowOff>
    </xdr:to>
    <xdr:pic>
      <xdr:nvPicPr>
        <xdr:cNvPr id="6689" name="Изображение 6688" descr="resizeПП-00257845"/>
        <xdr:cNvPicPr>
          <a:picLocks noChangeAspect="1"/>
        </xdr:cNvPicPr>
      </xdr:nvPicPr>
      <xdr:blipFill>
        <a:blip xmlns:r="http://schemas.openxmlformats.org/officeDocument/2006/relationships" r:embed="rId2396"/>
        <a:stretch>
          <a:fillRect/>
        </a:stretch>
      </xdr:blipFill>
      <xdr:spPr>
        <a:xfrm>
          <a:off x="7264400" y="3143767525"/>
          <a:ext cx="878840" cy="1183640"/>
        </a:xfrm>
        <a:prstGeom prst="rect">
          <a:avLst/>
        </a:prstGeom>
      </xdr:spPr>
    </xdr:pic>
    <xdr:clientData/>
  </xdr:twoCellAnchor>
  <xdr:twoCellAnchor>
    <xdr:from>
      <xdr:col>8</xdr:col>
      <xdr:colOff>6350</xdr:colOff>
      <xdr:row>3189</xdr:row>
      <xdr:rowOff>25400</xdr:rowOff>
    </xdr:from>
    <xdr:to>
      <xdr:col>8</xdr:col>
      <xdr:colOff>885190</xdr:colOff>
      <xdr:row>3189</xdr:row>
      <xdr:rowOff>1209040</xdr:rowOff>
    </xdr:to>
    <xdr:pic>
      <xdr:nvPicPr>
        <xdr:cNvPr id="6690" name="Изображение 6689" descr="resizeПП-00257843"/>
        <xdr:cNvPicPr>
          <a:picLocks noChangeAspect="1"/>
        </xdr:cNvPicPr>
      </xdr:nvPicPr>
      <xdr:blipFill>
        <a:blip xmlns:r="http://schemas.openxmlformats.org/officeDocument/2006/relationships" r:embed="rId2397"/>
        <a:stretch>
          <a:fillRect/>
        </a:stretch>
      </xdr:blipFill>
      <xdr:spPr>
        <a:xfrm>
          <a:off x="7264400" y="3145142300"/>
          <a:ext cx="878840" cy="1183640"/>
        </a:xfrm>
        <a:prstGeom prst="rect">
          <a:avLst/>
        </a:prstGeom>
      </xdr:spPr>
    </xdr:pic>
    <xdr:clientData/>
  </xdr:twoCellAnchor>
  <xdr:twoCellAnchor>
    <xdr:from>
      <xdr:col>8</xdr:col>
      <xdr:colOff>6350</xdr:colOff>
      <xdr:row>3190</xdr:row>
      <xdr:rowOff>25400</xdr:rowOff>
    </xdr:from>
    <xdr:to>
      <xdr:col>8</xdr:col>
      <xdr:colOff>885190</xdr:colOff>
      <xdr:row>3190</xdr:row>
      <xdr:rowOff>1209040</xdr:rowOff>
    </xdr:to>
    <xdr:pic>
      <xdr:nvPicPr>
        <xdr:cNvPr id="6691" name="Изображение 6690" descr="resizeПП-00257842"/>
        <xdr:cNvPicPr>
          <a:picLocks noChangeAspect="1"/>
        </xdr:cNvPicPr>
      </xdr:nvPicPr>
      <xdr:blipFill>
        <a:blip xmlns:r="http://schemas.openxmlformats.org/officeDocument/2006/relationships" r:embed="rId2398"/>
        <a:stretch>
          <a:fillRect/>
        </a:stretch>
      </xdr:blipFill>
      <xdr:spPr>
        <a:xfrm>
          <a:off x="7264400" y="3146364675"/>
          <a:ext cx="878840" cy="1183640"/>
        </a:xfrm>
        <a:prstGeom prst="rect">
          <a:avLst/>
        </a:prstGeom>
      </xdr:spPr>
    </xdr:pic>
    <xdr:clientData/>
  </xdr:twoCellAnchor>
  <xdr:twoCellAnchor>
    <xdr:from>
      <xdr:col>8</xdr:col>
      <xdr:colOff>6350</xdr:colOff>
      <xdr:row>3193</xdr:row>
      <xdr:rowOff>25400</xdr:rowOff>
    </xdr:from>
    <xdr:to>
      <xdr:col>8</xdr:col>
      <xdr:colOff>885190</xdr:colOff>
      <xdr:row>3193</xdr:row>
      <xdr:rowOff>1209040</xdr:rowOff>
    </xdr:to>
    <xdr:pic>
      <xdr:nvPicPr>
        <xdr:cNvPr id="6692" name="Изображение 6691" descr="resizeПП-00265894"/>
        <xdr:cNvPicPr>
          <a:picLocks noChangeAspect="1"/>
        </xdr:cNvPicPr>
      </xdr:nvPicPr>
      <xdr:blipFill>
        <a:blip xmlns:r="http://schemas.openxmlformats.org/officeDocument/2006/relationships" r:embed="rId2399"/>
        <a:stretch>
          <a:fillRect/>
        </a:stretch>
      </xdr:blipFill>
      <xdr:spPr>
        <a:xfrm>
          <a:off x="7264400" y="3147891850"/>
          <a:ext cx="878840" cy="1183640"/>
        </a:xfrm>
        <a:prstGeom prst="rect">
          <a:avLst/>
        </a:prstGeom>
      </xdr:spPr>
    </xdr:pic>
    <xdr:clientData/>
  </xdr:twoCellAnchor>
  <xdr:twoCellAnchor>
    <xdr:from>
      <xdr:col>8</xdr:col>
      <xdr:colOff>6350</xdr:colOff>
      <xdr:row>3194</xdr:row>
      <xdr:rowOff>25400</xdr:rowOff>
    </xdr:from>
    <xdr:to>
      <xdr:col>8</xdr:col>
      <xdr:colOff>885190</xdr:colOff>
      <xdr:row>3194</xdr:row>
      <xdr:rowOff>1209040</xdr:rowOff>
    </xdr:to>
    <xdr:pic>
      <xdr:nvPicPr>
        <xdr:cNvPr id="6693" name="Изображение 6692" descr="resizeПП-00265892"/>
        <xdr:cNvPicPr>
          <a:picLocks noChangeAspect="1"/>
        </xdr:cNvPicPr>
      </xdr:nvPicPr>
      <xdr:blipFill>
        <a:blip xmlns:r="http://schemas.openxmlformats.org/officeDocument/2006/relationships" r:embed="rId2400"/>
        <a:stretch>
          <a:fillRect/>
        </a:stretch>
      </xdr:blipFill>
      <xdr:spPr>
        <a:xfrm>
          <a:off x="7264400" y="3149114225"/>
          <a:ext cx="878840" cy="1183640"/>
        </a:xfrm>
        <a:prstGeom prst="rect">
          <a:avLst/>
        </a:prstGeom>
      </xdr:spPr>
    </xdr:pic>
    <xdr:clientData/>
  </xdr:twoCellAnchor>
  <xdr:twoCellAnchor>
    <xdr:from>
      <xdr:col>8</xdr:col>
      <xdr:colOff>6350</xdr:colOff>
      <xdr:row>3195</xdr:row>
      <xdr:rowOff>25400</xdr:rowOff>
    </xdr:from>
    <xdr:to>
      <xdr:col>8</xdr:col>
      <xdr:colOff>885190</xdr:colOff>
      <xdr:row>3195</xdr:row>
      <xdr:rowOff>1209040</xdr:rowOff>
    </xdr:to>
    <xdr:pic>
      <xdr:nvPicPr>
        <xdr:cNvPr id="6694" name="Изображение 6693" descr="resizeПП-00234426"/>
        <xdr:cNvPicPr>
          <a:picLocks noChangeAspect="1"/>
        </xdr:cNvPicPr>
      </xdr:nvPicPr>
      <xdr:blipFill>
        <a:blip xmlns:r="http://schemas.openxmlformats.org/officeDocument/2006/relationships" r:embed="rId2401"/>
        <a:stretch>
          <a:fillRect/>
        </a:stretch>
      </xdr:blipFill>
      <xdr:spPr>
        <a:xfrm>
          <a:off x="7264400" y="3150336600"/>
          <a:ext cx="878840" cy="1183640"/>
        </a:xfrm>
        <a:prstGeom prst="rect">
          <a:avLst/>
        </a:prstGeom>
      </xdr:spPr>
    </xdr:pic>
    <xdr:clientData/>
  </xdr:twoCellAnchor>
  <xdr:twoCellAnchor>
    <xdr:from>
      <xdr:col>8</xdr:col>
      <xdr:colOff>6350</xdr:colOff>
      <xdr:row>3196</xdr:row>
      <xdr:rowOff>25400</xdr:rowOff>
    </xdr:from>
    <xdr:to>
      <xdr:col>8</xdr:col>
      <xdr:colOff>885190</xdr:colOff>
      <xdr:row>3196</xdr:row>
      <xdr:rowOff>1209040</xdr:rowOff>
    </xdr:to>
    <xdr:pic>
      <xdr:nvPicPr>
        <xdr:cNvPr id="6695" name="Изображение 6694" descr="resizeПП-00234425"/>
        <xdr:cNvPicPr>
          <a:picLocks noChangeAspect="1"/>
        </xdr:cNvPicPr>
      </xdr:nvPicPr>
      <xdr:blipFill>
        <a:blip xmlns:r="http://schemas.openxmlformats.org/officeDocument/2006/relationships" r:embed="rId2402"/>
        <a:stretch>
          <a:fillRect/>
        </a:stretch>
      </xdr:blipFill>
      <xdr:spPr>
        <a:xfrm>
          <a:off x="7264400" y="3151558975"/>
          <a:ext cx="878840" cy="1183640"/>
        </a:xfrm>
        <a:prstGeom prst="rect">
          <a:avLst/>
        </a:prstGeom>
      </xdr:spPr>
    </xdr:pic>
    <xdr:clientData/>
  </xdr:twoCellAnchor>
  <xdr:twoCellAnchor>
    <xdr:from>
      <xdr:col>8</xdr:col>
      <xdr:colOff>6350</xdr:colOff>
      <xdr:row>3197</xdr:row>
      <xdr:rowOff>25400</xdr:rowOff>
    </xdr:from>
    <xdr:to>
      <xdr:col>8</xdr:col>
      <xdr:colOff>885190</xdr:colOff>
      <xdr:row>3197</xdr:row>
      <xdr:rowOff>1209040</xdr:rowOff>
    </xdr:to>
    <xdr:pic>
      <xdr:nvPicPr>
        <xdr:cNvPr id="6696" name="Изображение 6695" descr="resizeПП-00210164"/>
        <xdr:cNvPicPr>
          <a:picLocks noChangeAspect="1"/>
        </xdr:cNvPicPr>
      </xdr:nvPicPr>
      <xdr:blipFill>
        <a:blip xmlns:r="http://schemas.openxmlformats.org/officeDocument/2006/relationships" r:embed="rId2403"/>
        <a:stretch>
          <a:fillRect/>
        </a:stretch>
      </xdr:blipFill>
      <xdr:spPr>
        <a:xfrm>
          <a:off x="7264400" y="3152781350"/>
          <a:ext cx="878840" cy="1183640"/>
        </a:xfrm>
        <a:prstGeom prst="rect">
          <a:avLst/>
        </a:prstGeom>
      </xdr:spPr>
    </xdr:pic>
    <xdr:clientData/>
  </xdr:twoCellAnchor>
  <xdr:twoCellAnchor>
    <xdr:from>
      <xdr:col>8</xdr:col>
      <xdr:colOff>6350</xdr:colOff>
      <xdr:row>3198</xdr:row>
      <xdr:rowOff>25400</xdr:rowOff>
    </xdr:from>
    <xdr:to>
      <xdr:col>8</xdr:col>
      <xdr:colOff>885190</xdr:colOff>
      <xdr:row>3198</xdr:row>
      <xdr:rowOff>1209040</xdr:rowOff>
    </xdr:to>
    <xdr:pic>
      <xdr:nvPicPr>
        <xdr:cNvPr id="6697" name="Изображение 6696" descr="resizeПП-00258456"/>
        <xdr:cNvPicPr>
          <a:picLocks noChangeAspect="1"/>
        </xdr:cNvPicPr>
      </xdr:nvPicPr>
      <xdr:blipFill>
        <a:blip xmlns:r="http://schemas.openxmlformats.org/officeDocument/2006/relationships" r:embed="rId2404"/>
        <a:stretch>
          <a:fillRect/>
        </a:stretch>
      </xdr:blipFill>
      <xdr:spPr>
        <a:xfrm>
          <a:off x="7264400" y="3154003725"/>
          <a:ext cx="878840" cy="1183640"/>
        </a:xfrm>
        <a:prstGeom prst="rect">
          <a:avLst/>
        </a:prstGeom>
      </xdr:spPr>
    </xdr:pic>
    <xdr:clientData/>
  </xdr:twoCellAnchor>
  <xdr:twoCellAnchor>
    <xdr:from>
      <xdr:col>8</xdr:col>
      <xdr:colOff>6350</xdr:colOff>
      <xdr:row>3199</xdr:row>
      <xdr:rowOff>25400</xdr:rowOff>
    </xdr:from>
    <xdr:to>
      <xdr:col>8</xdr:col>
      <xdr:colOff>885190</xdr:colOff>
      <xdr:row>3199</xdr:row>
      <xdr:rowOff>1209040</xdr:rowOff>
    </xdr:to>
    <xdr:pic>
      <xdr:nvPicPr>
        <xdr:cNvPr id="6698" name="Изображение 6697" descr="resizeПП-00210159"/>
        <xdr:cNvPicPr>
          <a:picLocks noChangeAspect="1"/>
        </xdr:cNvPicPr>
      </xdr:nvPicPr>
      <xdr:blipFill>
        <a:blip xmlns:r="http://schemas.openxmlformats.org/officeDocument/2006/relationships" r:embed="rId2405"/>
        <a:stretch>
          <a:fillRect/>
        </a:stretch>
      </xdr:blipFill>
      <xdr:spPr>
        <a:xfrm>
          <a:off x="7264400" y="3155226100"/>
          <a:ext cx="878840" cy="1183640"/>
        </a:xfrm>
        <a:prstGeom prst="rect">
          <a:avLst/>
        </a:prstGeom>
      </xdr:spPr>
    </xdr:pic>
    <xdr:clientData/>
  </xdr:twoCellAnchor>
  <xdr:twoCellAnchor>
    <xdr:from>
      <xdr:col>8</xdr:col>
      <xdr:colOff>6350</xdr:colOff>
      <xdr:row>3200</xdr:row>
      <xdr:rowOff>25400</xdr:rowOff>
    </xdr:from>
    <xdr:to>
      <xdr:col>8</xdr:col>
      <xdr:colOff>885190</xdr:colOff>
      <xdr:row>3200</xdr:row>
      <xdr:rowOff>1209040</xdr:rowOff>
    </xdr:to>
    <xdr:pic>
      <xdr:nvPicPr>
        <xdr:cNvPr id="6699" name="Изображение 6698" descr="resizeПП-00210161"/>
        <xdr:cNvPicPr>
          <a:picLocks noChangeAspect="1"/>
        </xdr:cNvPicPr>
      </xdr:nvPicPr>
      <xdr:blipFill>
        <a:blip xmlns:r="http://schemas.openxmlformats.org/officeDocument/2006/relationships" r:embed="rId2406"/>
        <a:stretch>
          <a:fillRect/>
        </a:stretch>
      </xdr:blipFill>
      <xdr:spPr>
        <a:xfrm>
          <a:off x="7264400" y="3156448475"/>
          <a:ext cx="878840" cy="1183640"/>
        </a:xfrm>
        <a:prstGeom prst="rect">
          <a:avLst/>
        </a:prstGeom>
      </xdr:spPr>
    </xdr:pic>
    <xdr:clientData/>
  </xdr:twoCellAnchor>
  <xdr:twoCellAnchor>
    <xdr:from>
      <xdr:col>8</xdr:col>
      <xdr:colOff>6350</xdr:colOff>
      <xdr:row>3201</xdr:row>
      <xdr:rowOff>25400</xdr:rowOff>
    </xdr:from>
    <xdr:to>
      <xdr:col>8</xdr:col>
      <xdr:colOff>885190</xdr:colOff>
      <xdr:row>3201</xdr:row>
      <xdr:rowOff>1209040</xdr:rowOff>
    </xdr:to>
    <xdr:pic>
      <xdr:nvPicPr>
        <xdr:cNvPr id="6700" name="Изображение 6699" descr="resizeПП-00210165"/>
        <xdr:cNvPicPr>
          <a:picLocks noChangeAspect="1"/>
        </xdr:cNvPicPr>
      </xdr:nvPicPr>
      <xdr:blipFill>
        <a:blip xmlns:r="http://schemas.openxmlformats.org/officeDocument/2006/relationships" r:embed="rId2407"/>
        <a:stretch>
          <a:fillRect/>
        </a:stretch>
      </xdr:blipFill>
      <xdr:spPr>
        <a:xfrm>
          <a:off x="7264400" y="3157670850"/>
          <a:ext cx="878840" cy="1183640"/>
        </a:xfrm>
        <a:prstGeom prst="rect">
          <a:avLst/>
        </a:prstGeom>
      </xdr:spPr>
    </xdr:pic>
    <xdr:clientData/>
  </xdr:twoCellAnchor>
  <xdr:twoCellAnchor>
    <xdr:from>
      <xdr:col>8</xdr:col>
      <xdr:colOff>6350</xdr:colOff>
      <xdr:row>3202</xdr:row>
      <xdr:rowOff>25400</xdr:rowOff>
    </xdr:from>
    <xdr:to>
      <xdr:col>8</xdr:col>
      <xdr:colOff>885190</xdr:colOff>
      <xdr:row>3202</xdr:row>
      <xdr:rowOff>1209040</xdr:rowOff>
    </xdr:to>
    <xdr:pic>
      <xdr:nvPicPr>
        <xdr:cNvPr id="6701" name="Изображение 6700" descr="resizeПП-00234423"/>
        <xdr:cNvPicPr>
          <a:picLocks noChangeAspect="1"/>
        </xdr:cNvPicPr>
      </xdr:nvPicPr>
      <xdr:blipFill>
        <a:blip xmlns:r="http://schemas.openxmlformats.org/officeDocument/2006/relationships" r:embed="rId2408"/>
        <a:stretch>
          <a:fillRect/>
        </a:stretch>
      </xdr:blipFill>
      <xdr:spPr>
        <a:xfrm>
          <a:off x="7264400" y="3158893225"/>
          <a:ext cx="878840" cy="1183640"/>
        </a:xfrm>
        <a:prstGeom prst="rect">
          <a:avLst/>
        </a:prstGeom>
      </xdr:spPr>
    </xdr:pic>
    <xdr:clientData/>
  </xdr:twoCellAnchor>
  <xdr:twoCellAnchor>
    <xdr:from>
      <xdr:col>8</xdr:col>
      <xdr:colOff>6350</xdr:colOff>
      <xdr:row>3203</xdr:row>
      <xdr:rowOff>25400</xdr:rowOff>
    </xdr:from>
    <xdr:to>
      <xdr:col>8</xdr:col>
      <xdr:colOff>885190</xdr:colOff>
      <xdr:row>3203</xdr:row>
      <xdr:rowOff>1209040</xdr:rowOff>
    </xdr:to>
    <xdr:pic>
      <xdr:nvPicPr>
        <xdr:cNvPr id="6702" name="Изображение 6701" descr="resizeПП-00210160"/>
        <xdr:cNvPicPr>
          <a:picLocks noChangeAspect="1"/>
        </xdr:cNvPicPr>
      </xdr:nvPicPr>
      <xdr:blipFill>
        <a:blip xmlns:r="http://schemas.openxmlformats.org/officeDocument/2006/relationships" r:embed="rId2409"/>
        <a:stretch>
          <a:fillRect/>
        </a:stretch>
      </xdr:blipFill>
      <xdr:spPr>
        <a:xfrm>
          <a:off x="7264400" y="3160115600"/>
          <a:ext cx="878840" cy="1183640"/>
        </a:xfrm>
        <a:prstGeom prst="rect">
          <a:avLst/>
        </a:prstGeom>
      </xdr:spPr>
    </xdr:pic>
    <xdr:clientData/>
  </xdr:twoCellAnchor>
  <xdr:twoCellAnchor>
    <xdr:from>
      <xdr:col>8</xdr:col>
      <xdr:colOff>6350</xdr:colOff>
      <xdr:row>3204</xdr:row>
      <xdr:rowOff>25400</xdr:rowOff>
    </xdr:from>
    <xdr:to>
      <xdr:col>8</xdr:col>
      <xdr:colOff>885190</xdr:colOff>
      <xdr:row>3204</xdr:row>
      <xdr:rowOff>1209040</xdr:rowOff>
    </xdr:to>
    <xdr:pic>
      <xdr:nvPicPr>
        <xdr:cNvPr id="6703" name="Изображение 6702" descr="resizeПП-00258451"/>
        <xdr:cNvPicPr>
          <a:picLocks noChangeAspect="1"/>
        </xdr:cNvPicPr>
      </xdr:nvPicPr>
      <xdr:blipFill>
        <a:blip xmlns:r="http://schemas.openxmlformats.org/officeDocument/2006/relationships" r:embed="rId2410"/>
        <a:stretch>
          <a:fillRect/>
        </a:stretch>
      </xdr:blipFill>
      <xdr:spPr>
        <a:xfrm>
          <a:off x="7264400" y="3161337975"/>
          <a:ext cx="878840" cy="1183640"/>
        </a:xfrm>
        <a:prstGeom prst="rect">
          <a:avLst/>
        </a:prstGeom>
      </xdr:spPr>
    </xdr:pic>
    <xdr:clientData/>
  </xdr:twoCellAnchor>
  <xdr:twoCellAnchor>
    <xdr:from>
      <xdr:col>8</xdr:col>
      <xdr:colOff>6350</xdr:colOff>
      <xdr:row>3206</xdr:row>
      <xdr:rowOff>25400</xdr:rowOff>
    </xdr:from>
    <xdr:to>
      <xdr:col>8</xdr:col>
      <xdr:colOff>885190</xdr:colOff>
      <xdr:row>3206</xdr:row>
      <xdr:rowOff>1209040</xdr:rowOff>
    </xdr:to>
    <xdr:pic>
      <xdr:nvPicPr>
        <xdr:cNvPr id="6704" name="Изображение 6703" descr="resizeПП-00258477"/>
        <xdr:cNvPicPr>
          <a:picLocks noChangeAspect="1"/>
        </xdr:cNvPicPr>
      </xdr:nvPicPr>
      <xdr:blipFill>
        <a:blip xmlns:r="http://schemas.openxmlformats.org/officeDocument/2006/relationships" r:embed="rId2411"/>
        <a:stretch>
          <a:fillRect/>
        </a:stretch>
      </xdr:blipFill>
      <xdr:spPr>
        <a:xfrm>
          <a:off x="7264400" y="3162712750"/>
          <a:ext cx="878840" cy="1183640"/>
        </a:xfrm>
        <a:prstGeom prst="rect">
          <a:avLst/>
        </a:prstGeom>
      </xdr:spPr>
    </xdr:pic>
    <xdr:clientData/>
  </xdr:twoCellAnchor>
  <xdr:twoCellAnchor>
    <xdr:from>
      <xdr:col>8</xdr:col>
      <xdr:colOff>6350</xdr:colOff>
      <xdr:row>3207</xdr:row>
      <xdr:rowOff>25400</xdr:rowOff>
    </xdr:from>
    <xdr:to>
      <xdr:col>8</xdr:col>
      <xdr:colOff>885190</xdr:colOff>
      <xdr:row>3207</xdr:row>
      <xdr:rowOff>1209040</xdr:rowOff>
    </xdr:to>
    <xdr:pic>
      <xdr:nvPicPr>
        <xdr:cNvPr id="6705" name="Изображение 6704" descr="resizeПП-00258464"/>
        <xdr:cNvPicPr>
          <a:picLocks noChangeAspect="1"/>
        </xdr:cNvPicPr>
      </xdr:nvPicPr>
      <xdr:blipFill>
        <a:blip xmlns:r="http://schemas.openxmlformats.org/officeDocument/2006/relationships" r:embed="rId2412"/>
        <a:stretch>
          <a:fillRect/>
        </a:stretch>
      </xdr:blipFill>
      <xdr:spPr>
        <a:xfrm>
          <a:off x="7264400" y="3163935125"/>
          <a:ext cx="878840" cy="1183640"/>
        </a:xfrm>
        <a:prstGeom prst="rect">
          <a:avLst/>
        </a:prstGeom>
      </xdr:spPr>
    </xdr:pic>
    <xdr:clientData/>
  </xdr:twoCellAnchor>
  <xdr:twoCellAnchor>
    <xdr:from>
      <xdr:col>8</xdr:col>
      <xdr:colOff>6350</xdr:colOff>
      <xdr:row>3208</xdr:row>
      <xdr:rowOff>25400</xdr:rowOff>
    </xdr:from>
    <xdr:to>
      <xdr:col>8</xdr:col>
      <xdr:colOff>885190</xdr:colOff>
      <xdr:row>3208</xdr:row>
      <xdr:rowOff>1209040</xdr:rowOff>
    </xdr:to>
    <xdr:pic>
      <xdr:nvPicPr>
        <xdr:cNvPr id="6706" name="Изображение 6705" descr="resizeПП-00258461"/>
        <xdr:cNvPicPr>
          <a:picLocks noChangeAspect="1"/>
        </xdr:cNvPicPr>
      </xdr:nvPicPr>
      <xdr:blipFill>
        <a:blip xmlns:r="http://schemas.openxmlformats.org/officeDocument/2006/relationships" r:embed="rId2413"/>
        <a:stretch>
          <a:fillRect/>
        </a:stretch>
      </xdr:blipFill>
      <xdr:spPr>
        <a:xfrm>
          <a:off x="7264400" y="3165157500"/>
          <a:ext cx="878840" cy="1183640"/>
        </a:xfrm>
        <a:prstGeom prst="rect">
          <a:avLst/>
        </a:prstGeom>
      </xdr:spPr>
    </xdr:pic>
    <xdr:clientData/>
  </xdr:twoCellAnchor>
  <xdr:twoCellAnchor>
    <xdr:from>
      <xdr:col>8</xdr:col>
      <xdr:colOff>6350</xdr:colOff>
      <xdr:row>3209</xdr:row>
      <xdr:rowOff>25400</xdr:rowOff>
    </xdr:from>
    <xdr:to>
      <xdr:col>8</xdr:col>
      <xdr:colOff>885190</xdr:colOff>
      <xdr:row>3209</xdr:row>
      <xdr:rowOff>1209040</xdr:rowOff>
    </xdr:to>
    <xdr:pic>
      <xdr:nvPicPr>
        <xdr:cNvPr id="6707" name="Изображение 6706" descr="resizeПП-00258472"/>
        <xdr:cNvPicPr>
          <a:picLocks noChangeAspect="1"/>
        </xdr:cNvPicPr>
      </xdr:nvPicPr>
      <xdr:blipFill>
        <a:blip xmlns:r="http://schemas.openxmlformats.org/officeDocument/2006/relationships" r:embed="rId2414"/>
        <a:stretch>
          <a:fillRect/>
        </a:stretch>
      </xdr:blipFill>
      <xdr:spPr>
        <a:xfrm>
          <a:off x="7264400" y="3166379875"/>
          <a:ext cx="878840" cy="1183640"/>
        </a:xfrm>
        <a:prstGeom prst="rect">
          <a:avLst/>
        </a:prstGeom>
      </xdr:spPr>
    </xdr:pic>
    <xdr:clientData/>
  </xdr:twoCellAnchor>
  <xdr:twoCellAnchor>
    <xdr:from>
      <xdr:col>8</xdr:col>
      <xdr:colOff>6350</xdr:colOff>
      <xdr:row>3212</xdr:row>
      <xdr:rowOff>25400</xdr:rowOff>
    </xdr:from>
    <xdr:to>
      <xdr:col>8</xdr:col>
      <xdr:colOff>885190</xdr:colOff>
      <xdr:row>3212</xdr:row>
      <xdr:rowOff>1209040</xdr:rowOff>
    </xdr:to>
    <xdr:pic>
      <xdr:nvPicPr>
        <xdr:cNvPr id="6708" name="Изображение 6707" descr="resizeПП-00236747"/>
        <xdr:cNvPicPr>
          <a:picLocks noChangeAspect="1"/>
        </xdr:cNvPicPr>
      </xdr:nvPicPr>
      <xdr:blipFill>
        <a:blip xmlns:r="http://schemas.openxmlformats.org/officeDocument/2006/relationships" r:embed="rId2415"/>
        <a:stretch>
          <a:fillRect/>
        </a:stretch>
      </xdr:blipFill>
      <xdr:spPr>
        <a:xfrm>
          <a:off x="7264400" y="3167907050"/>
          <a:ext cx="878840" cy="1183640"/>
        </a:xfrm>
        <a:prstGeom prst="rect">
          <a:avLst/>
        </a:prstGeom>
      </xdr:spPr>
    </xdr:pic>
    <xdr:clientData/>
  </xdr:twoCellAnchor>
  <xdr:twoCellAnchor>
    <xdr:from>
      <xdr:col>8</xdr:col>
      <xdr:colOff>6350</xdr:colOff>
      <xdr:row>3213</xdr:row>
      <xdr:rowOff>25400</xdr:rowOff>
    </xdr:from>
    <xdr:to>
      <xdr:col>8</xdr:col>
      <xdr:colOff>885190</xdr:colOff>
      <xdr:row>3213</xdr:row>
      <xdr:rowOff>1209040</xdr:rowOff>
    </xdr:to>
    <xdr:pic>
      <xdr:nvPicPr>
        <xdr:cNvPr id="6709" name="Изображение 6708" descr="resizeПП-00236743"/>
        <xdr:cNvPicPr>
          <a:picLocks noChangeAspect="1"/>
        </xdr:cNvPicPr>
      </xdr:nvPicPr>
      <xdr:blipFill>
        <a:blip xmlns:r="http://schemas.openxmlformats.org/officeDocument/2006/relationships" r:embed="rId2416"/>
        <a:stretch>
          <a:fillRect/>
        </a:stretch>
      </xdr:blipFill>
      <xdr:spPr>
        <a:xfrm>
          <a:off x="7264400" y="3169129425"/>
          <a:ext cx="878840" cy="1183640"/>
        </a:xfrm>
        <a:prstGeom prst="rect">
          <a:avLst/>
        </a:prstGeom>
      </xdr:spPr>
    </xdr:pic>
    <xdr:clientData/>
  </xdr:twoCellAnchor>
  <xdr:twoCellAnchor>
    <xdr:from>
      <xdr:col>8</xdr:col>
      <xdr:colOff>6350</xdr:colOff>
      <xdr:row>3214</xdr:row>
      <xdr:rowOff>25400</xdr:rowOff>
    </xdr:from>
    <xdr:to>
      <xdr:col>8</xdr:col>
      <xdr:colOff>885190</xdr:colOff>
      <xdr:row>3214</xdr:row>
      <xdr:rowOff>1209040</xdr:rowOff>
    </xdr:to>
    <xdr:pic>
      <xdr:nvPicPr>
        <xdr:cNvPr id="6710" name="Изображение 6709" descr="resizeПП-00236745"/>
        <xdr:cNvPicPr>
          <a:picLocks noChangeAspect="1"/>
        </xdr:cNvPicPr>
      </xdr:nvPicPr>
      <xdr:blipFill>
        <a:blip xmlns:r="http://schemas.openxmlformats.org/officeDocument/2006/relationships" r:embed="rId2417"/>
        <a:stretch>
          <a:fillRect/>
        </a:stretch>
      </xdr:blipFill>
      <xdr:spPr>
        <a:xfrm>
          <a:off x="7264400" y="3170351800"/>
          <a:ext cx="878840" cy="1183640"/>
        </a:xfrm>
        <a:prstGeom prst="rect">
          <a:avLst/>
        </a:prstGeom>
      </xdr:spPr>
    </xdr:pic>
    <xdr:clientData/>
  </xdr:twoCellAnchor>
  <xdr:twoCellAnchor>
    <xdr:from>
      <xdr:col>8</xdr:col>
      <xdr:colOff>6350</xdr:colOff>
      <xdr:row>3215</xdr:row>
      <xdr:rowOff>25400</xdr:rowOff>
    </xdr:from>
    <xdr:to>
      <xdr:col>8</xdr:col>
      <xdr:colOff>885190</xdr:colOff>
      <xdr:row>3215</xdr:row>
      <xdr:rowOff>1209040</xdr:rowOff>
    </xdr:to>
    <xdr:pic>
      <xdr:nvPicPr>
        <xdr:cNvPr id="6711" name="Изображение 6710" descr="resizeПП-00236746"/>
        <xdr:cNvPicPr>
          <a:picLocks noChangeAspect="1"/>
        </xdr:cNvPicPr>
      </xdr:nvPicPr>
      <xdr:blipFill>
        <a:blip xmlns:r="http://schemas.openxmlformats.org/officeDocument/2006/relationships" r:embed="rId2418"/>
        <a:stretch>
          <a:fillRect/>
        </a:stretch>
      </xdr:blipFill>
      <xdr:spPr>
        <a:xfrm>
          <a:off x="7264400" y="3171574175"/>
          <a:ext cx="878840" cy="1183640"/>
        </a:xfrm>
        <a:prstGeom prst="rect">
          <a:avLst/>
        </a:prstGeom>
      </xdr:spPr>
    </xdr:pic>
    <xdr:clientData/>
  </xdr:twoCellAnchor>
  <xdr:twoCellAnchor>
    <xdr:from>
      <xdr:col>8</xdr:col>
      <xdr:colOff>6350</xdr:colOff>
      <xdr:row>3216</xdr:row>
      <xdr:rowOff>25400</xdr:rowOff>
    </xdr:from>
    <xdr:to>
      <xdr:col>8</xdr:col>
      <xdr:colOff>885190</xdr:colOff>
      <xdr:row>3216</xdr:row>
      <xdr:rowOff>1209040</xdr:rowOff>
    </xdr:to>
    <xdr:pic>
      <xdr:nvPicPr>
        <xdr:cNvPr id="6712" name="Изображение 6711" descr="resizeПП-00236748"/>
        <xdr:cNvPicPr>
          <a:picLocks noChangeAspect="1"/>
        </xdr:cNvPicPr>
      </xdr:nvPicPr>
      <xdr:blipFill>
        <a:blip xmlns:r="http://schemas.openxmlformats.org/officeDocument/2006/relationships" r:embed="rId2419"/>
        <a:stretch>
          <a:fillRect/>
        </a:stretch>
      </xdr:blipFill>
      <xdr:spPr>
        <a:xfrm>
          <a:off x="7264400" y="3172796550"/>
          <a:ext cx="878840" cy="1183640"/>
        </a:xfrm>
        <a:prstGeom prst="rect">
          <a:avLst/>
        </a:prstGeom>
      </xdr:spPr>
    </xdr:pic>
    <xdr:clientData/>
  </xdr:twoCellAnchor>
  <xdr:twoCellAnchor>
    <xdr:from>
      <xdr:col>8</xdr:col>
      <xdr:colOff>6350</xdr:colOff>
      <xdr:row>3218</xdr:row>
      <xdr:rowOff>25400</xdr:rowOff>
    </xdr:from>
    <xdr:to>
      <xdr:col>8</xdr:col>
      <xdr:colOff>885190</xdr:colOff>
      <xdr:row>3218</xdr:row>
      <xdr:rowOff>1209040</xdr:rowOff>
    </xdr:to>
    <xdr:pic>
      <xdr:nvPicPr>
        <xdr:cNvPr id="6713" name="Изображение 6712" descr="resizeПП-00275962"/>
        <xdr:cNvPicPr>
          <a:picLocks noChangeAspect="1"/>
        </xdr:cNvPicPr>
      </xdr:nvPicPr>
      <xdr:blipFill>
        <a:blip xmlns:r="http://schemas.openxmlformats.org/officeDocument/2006/relationships" r:embed="rId2420"/>
        <a:stretch>
          <a:fillRect/>
        </a:stretch>
      </xdr:blipFill>
      <xdr:spPr>
        <a:xfrm>
          <a:off x="7264400" y="3174171325"/>
          <a:ext cx="878840" cy="1183640"/>
        </a:xfrm>
        <a:prstGeom prst="rect">
          <a:avLst/>
        </a:prstGeom>
      </xdr:spPr>
    </xdr:pic>
    <xdr:clientData/>
  </xdr:twoCellAnchor>
  <xdr:twoCellAnchor>
    <xdr:from>
      <xdr:col>8</xdr:col>
      <xdr:colOff>6350</xdr:colOff>
      <xdr:row>3219</xdr:row>
      <xdr:rowOff>25400</xdr:rowOff>
    </xdr:from>
    <xdr:to>
      <xdr:col>8</xdr:col>
      <xdr:colOff>885190</xdr:colOff>
      <xdr:row>3219</xdr:row>
      <xdr:rowOff>1209040</xdr:rowOff>
    </xdr:to>
    <xdr:pic>
      <xdr:nvPicPr>
        <xdr:cNvPr id="6714" name="Изображение 6713" descr="resizeПП-00275960"/>
        <xdr:cNvPicPr>
          <a:picLocks noChangeAspect="1"/>
        </xdr:cNvPicPr>
      </xdr:nvPicPr>
      <xdr:blipFill>
        <a:blip xmlns:r="http://schemas.openxmlformats.org/officeDocument/2006/relationships" r:embed="rId2421"/>
        <a:stretch>
          <a:fillRect/>
        </a:stretch>
      </xdr:blipFill>
      <xdr:spPr>
        <a:xfrm>
          <a:off x="7264400" y="3175393700"/>
          <a:ext cx="878840" cy="1183640"/>
        </a:xfrm>
        <a:prstGeom prst="rect">
          <a:avLst/>
        </a:prstGeom>
      </xdr:spPr>
    </xdr:pic>
    <xdr:clientData/>
  </xdr:twoCellAnchor>
  <xdr:twoCellAnchor>
    <xdr:from>
      <xdr:col>8</xdr:col>
      <xdr:colOff>6350</xdr:colOff>
      <xdr:row>3220</xdr:row>
      <xdr:rowOff>25400</xdr:rowOff>
    </xdr:from>
    <xdr:to>
      <xdr:col>8</xdr:col>
      <xdr:colOff>885190</xdr:colOff>
      <xdr:row>3220</xdr:row>
      <xdr:rowOff>1209040</xdr:rowOff>
    </xdr:to>
    <xdr:pic>
      <xdr:nvPicPr>
        <xdr:cNvPr id="6715" name="Изображение 6714" descr="resizeПП-00275968"/>
        <xdr:cNvPicPr>
          <a:picLocks noChangeAspect="1"/>
        </xdr:cNvPicPr>
      </xdr:nvPicPr>
      <xdr:blipFill>
        <a:blip xmlns:r="http://schemas.openxmlformats.org/officeDocument/2006/relationships" r:embed="rId2422"/>
        <a:stretch>
          <a:fillRect/>
        </a:stretch>
      </xdr:blipFill>
      <xdr:spPr>
        <a:xfrm>
          <a:off x="7264400" y="3176616075"/>
          <a:ext cx="878840" cy="1183640"/>
        </a:xfrm>
        <a:prstGeom prst="rect">
          <a:avLst/>
        </a:prstGeom>
      </xdr:spPr>
    </xdr:pic>
    <xdr:clientData/>
  </xdr:twoCellAnchor>
  <xdr:twoCellAnchor>
    <xdr:from>
      <xdr:col>8</xdr:col>
      <xdr:colOff>6350</xdr:colOff>
      <xdr:row>3221</xdr:row>
      <xdr:rowOff>25400</xdr:rowOff>
    </xdr:from>
    <xdr:to>
      <xdr:col>8</xdr:col>
      <xdr:colOff>885190</xdr:colOff>
      <xdr:row>3221</xdr:row>
      <xdr:rowOff>1209040</xdr:rowOff>
    </xdr:to>
    <xdr:pic>
      <xdr:nvPicPr>
        <xdr:cNvPr id="6716" name="Изображение 6715" descr="resizeПП-00275963"/>
        <xdr:cNvPicPr>
          <a:picLocks noChangeAspect="1"/>
        </xdr:cNvPicPr>
      </xdr:nvPicPr>
      <xdr:blipFill>
        <a:blip xmlns:r="http://schemas.openxmlformats.org/officeDocument/2006/relationships" r:embed="rId2423"/>
        <a:stretch>
          <a:fillRect/>
        </a:stretch>
      </xdr:blipFill>
      <xdr:spPr>
        <a:xfrm>
          <a:off x="7264400" y="3177838450"/>
          <a:ext cx="878840" cy="1183640"/>
        </a:xfrm>
        <a:prstGeom prst="rect">
          <a:avLst/>
        </a:prstGeom>
      </xdr:spPr>
    </xdr:pic>
    <xdr:clientData/>
  </xdr:twoCellAnchor>
  <xdr:twoCellAnchor>
    <xdr:from>
      <xdr:col>8</xdr:col>
      <xdr:colOff>6350</xdr:colOff>
      <xdr:row>3222</xdr:row>
      <xdr:rowOff>25400</xdr:rowOff>
    </xdr:from>
    <xdr:to>
      <xdr:col>8</xdr:col>
      <xdr:colOff>885190</xdr:colOff>
      <xdr:row>3222</xdr:row>
      <xdr:rowOff>1209040</xdr:rowOff>
    </xdr:to>
    <xdr:pic>
      <xdr:nvPicPr>
        <xdr:cNvPr id="6717" name="Изображение 6716" descr="resizeПП-00275961"/>
        <xdr:cNvPicPr>
          <a:picLocks noChangeAspect="1"/>
        </xdr:cNvPicPr>
      </xdr:nvPicPr>
      <xdr:blipFill>
        <a:blip xmlns:r="http://schemas.openxmlformats.org/officeDocument/2006/relationships" r:embed="rId2424"/>
        <a:stretch>
          <a:fillRect/>
        </a:stretch>
      </xdr:blipFill>
      <xdr:spPr>
        <a:xfrm>
          <a:off x="7264400" y="3179060825"/>
          <a:ext cx="878840" cy="1183640"/>
        </a:xfrm>
        <a:prstGeom prst="rect">
          <a:avLst/>
        </a:prstGeom>
      </xdr:spPr>
    </xdr:pic>
    <xdr:clientData/>
  </xdr:twoCellAnchor>
  <xdr:twoCellAnchor>
    <xdr:from>
      <xdr:col>8</xdr:col>
      <xdr:colOff>6350</xdr:colOff>
      <xdr:row>3223</xdr:row>
      <xdr:rowOff>25400</xdr:rowOff>
    </xdr:from>
    <xdr:to>
      <xdr:col>8</xdr:col>
      <xdr:colOff>885190</xdr:colOff>
      <xdr:row>3223</xdr:row>
      <xdr:rowOff>1209040</xdr:rowOff>
    </xdr:to>
    <xdr:pic>
      <xdr:nvPicPr>
        <xdr:cNvPr id="6718" name="Изображение 6717" descr="resizeПП-00275967"/>
        <xdr:cNvPicPr>
          <a:picLocks noChangeAspect="1"/>
        </xdr:cNvPicPr>
      </xdr:nvPicPr>
      <xdr:blipFill>
        <a:blip xmlns:r="http://schemas.openxmlformats.org/officeDocument/2006/relationships" r:embed="rId2425"/>
        <a:stretch>
          <a:fillRect/>
        </a:stretch>
      </xdr:blipFill>
      <xdr:spPr>
        <a:xfrm>
          <a:off x="7264400" y="3180283200"/>
          <a:ext cx="878840" cy="1183640"/>
        </a:xfrm>
        <a:prstGeom prst="rect">
          <a:avLst/>
        </a:prstGeom>
      </xdr:spPr>
    </xdr:pic>
    <xdr:clientData/>
  </xdr:twoCellAnchor>
  <xdr:twoCellAnchor>
    <xdr:from>
      <xdr:col>8</xdr:col>
      <xdr:colOff>6350</xdr:colOff>
      <xdr:row>3224</xdr:row>
      <xdr:rowOff>25400</xdr:rowOff>
    </xdr:from>
    <xdr:to>
      <xdr:col>8</xdr:col>
      <xdr:colOff>885190</xdr:colOff>
      <xdr:row>3224</xdr:row>
      <xdr:rowOff>1209040</xdr:rowOff>
    </xdr:to>
    <xdr:pic>
      <xdr:nvPicPr>
        <xdr:cNvPr id="6719" name="Изображение 6718" descr="resizeПП-00275958"/>
        <xdr:cNvPicPr>
          <a:picLocks noChangeAspect="1"/>
        </xdr:cNvPicPr>
      </xdr:nvPicPr>
      <xdr:blipFill>
        <a:blip xmlns:r="http://schemas.openxmlformats.org/officeDocument/2006/relationships" r:embed="rId2426"/>
        <a:stretch>
          <a:fillRect/>
        </a:stretch>
      </xdr:blipFill>
      <xdr:spPr>
        <a:xfrm>
          <a:off x="7264400" y="3181505575"/>
          <a:ext cx="878840" cy="1183640"/>
        </a:xfrm>
        <a:prstGeom prst="rect">
          <a:avLst/>
        </a:prstGeom>
      </xdr:spPr>
    </xdr:pic>
    <xdr:clientData/>
  </xdr:twoCellAnchor>
  <xdr:twoCellAnchor>
    <xdr:from>
      <xdr:col>8</xdr:col>
      <xdr:colOff>6350</xdr:colOff>
      <xdr:row>3225</xdr:row>
      <xdr:rowOff>25400</xdr:rowOff>
    </xdr:from>
    <xdr:to>
      <xdr:col>8</xdr:col>
      <xdr:colOff>885190</xdr:colOff>
      <xdr:row>3225</xdr:row>
      <xdr:rowOff>1209040</xdr:rowOff>
    </xdr:to>
    <xdr:pic>
      <xdr:nvPicPr>
        <xdr:cNvPr id="6720" name="Изображение 6719" descr="resizeПП-00275964"/>
        <xdr:cNvPicPr>
          <a:picLocks noChangeAspect="1"/>
        </xdr:cNvPicPr>
      </xdr:nvPicPr>
      <xdr:blipFill>
        <a:blip xmlns:r="http://schemas.openxmlformats.org/officeDocument/2006/relationships" r:embed="rId2427"/>
        <a:stretch>
          <a:fillRect/>
        </a:stretch>
      </xdr:blipFill>
      <xdr:spPr>
        <a:xfrm>
          <a:off x="7264400" y="3182727950"/>
          <a:ext cx="878840" cy="1183640"/>
        </a:xfrm>
        <a:prstGeom prst="rect">
          <a:avLst/>
        </a:prstGeom>
      </xdr:spPr>
    </xdr:pic>
    <xdr:clientData/>
  </xdr:twoCellAnchor>
  <xdr:twoCellAnchor>
    <xdr:from>
      <xdr:col>8</xdr:col>
      <xdr:colOff>6350</xdr:colOff>
      <xdr:row>3226</xdr:row>
      <xdr:rowOff>25400</xdr:rowOff>
    </xdr:from>
    <xdr:to>
      <xdr:col>8</xdr:col>
      <xdr:colOff>885190</xdr:colOff>
      <xdr:row>3226</xdr:row>
      <xdr:rowOff>1209040</xdr:rowOff>
    </xdr:to>
    <xdr:pic>
      <xdr:nvPicPr>
        <xdr:cNvPr id="6721" name="Изображение 6720" descr="resizeПП-00275965"/>
        <xdr:cNvPicPr>
          <a:picLocks noChangeAspect="1"/>
        </xdr:cNvPicPr>
      </xdr:nvPicPr>
      <xdr:blipFill>
        <a:blip xmlns:r="http://schemas.openxmlformats.org/officeDocument/2006/relationships" r:embed="rId2428"/>
        <a:stretch>
          <a:fillRect/>
        </a:stretch>
      </xdr:blipFill>
      <xdr:spPr>
        <a:xfrm>
          <a:off x="7264400" y="3183950325"/>
          <a:ext cx="878840" cy="1183640"/>
        </a:xfrm>
        <a:prstGeom prst="rect">
          <a:avLst/>
        </a:prstGeom>
      </xdr:spPr>
    </xdr:pic>
    <xdr:clientData/>
  </xdr:twoCellAnchor>
  <xdr:twoCellAnchor>
    <xdr:from>
      <xdr:col>8</xdr:col>
      <xdr:colOff>6350</xdr:colOff>
      <xdr:row>3227</xdr:row>
      <xdr:rowOff>25400</xdr:rowOff>
    </xdr:from>
    <xdr:to>
      <xdr:col>8</xdr:col>
      <xdr:colOff>885190</xdr:colOff>
      <xdr:row>3227</xdr:row>
      <xdr:rowOff>1209040</xdr:rowOff>
    </xdr:to>
    <xdr:pic>
      <xdr:nvPicPr>
        <xdr:cNvPr id="6722" name="Изображение 6721" descr="resizeПП-00275966"/>
        <xdr:cNvPicPr>
          <a:picLocks noChangeAspect="1"/>
        </xdr:cNvPicPr>
      </xdr:nvPicPr>
      <xdr:blipFill>
        <a:blip xmlns:r="http://schemas.openxmlformats.org/officeDocument/2006/relationships" r:embed="rId2429"/>
        <a:stretch>
          <a:fillRect/>
        </a:stretch>
      </xdr:blipFill>
      <xdr:spPr>
        <a:xfrm>
          <a:off x="7264400" y="3185172700"/>
          <a:ext cx="878840" cy="1183640"/>
        </a:xfrm>
        <a:prstGeom prst="rect">
          <a:avLst/>
        </a:prstGeom>
      </xdr:spPr>
    </xdr:pic>
    <xdr:clientData/>
  </xdr:twoCellAnchor>
  <xdr:twoCellAnchor>
    <xdr:from>
      <xdr:col>8</xdr:col>
      <xdr:colOff>6350</xdr:colOff>
      <xdr:row>3229</xdr:row>
      <xdr:rowOff>25400</xdr:rowOff>
    </xdr:from>
    <xdr:to>
      <xdr:col>8</xdr:col>
      <xdr:colOff>885190</xdr:colOff>
      <xdr:row>3229</xdr:row>
      <xdr:rowOff>1209040</xdr:rowOff>
    </xdr:to>
    <xdr:pic>
      <xdr:nvPicPr>
        <xdr:cNvPr id="6723" name="Изображение 6722" descr="resizeПП-00216955"/>
        <xdr:cNvPicPr>
          <a:picLocks noChangeAspect="1"/>
        </xdr:cNvPicPr>
      </xdr:nvPicPr>
      <xdr:blipFill>
        <a:blip xmlns:r="http://schemas.openxmlformats.org/officeDocument/2006/relationships" r:embed="rId2430"/>
        <a:stretch>
          <a:fillRect/>
        </a:stretch>
      </xdr:blipFill>
      <xdr:spPr>
        <a:xfrm>
          <a:off x="7264400" y="3186547475"/>
          <a:ext cx="878840" cy="1183640"/>
        </a:xfrm>
        <a:prstGeom prst="rect">
          <a:avLst/>
        </a:prstGeom>
      </xdr:spPr>
    </xdr:pic>
    <xdr:clientData/>
  </xdr:twoCellAnchor>
  <xdr:twoCellAnchor>
    <xdr:from>
      <xdr:col>8</xdr:col>
      <xdr:colOff>6350</xdr:colOff>
      <xdr:row>3230</xdr:row>
      <xdr:rowOff>25400</xdr:rowOff>
    </xdr:from>
    <xdr:to>
      <xdr:col>8</xdr:col>
      <xdr:colOff>885190</xdr:colOff>
      <xdr:row>3230</xdr:row>
      <xdr:rowOff>1209040</xdr:rowOff>
    </xdr:to>
    <xdr:pic>
      <xdr:nvPicPr>
        <xdr:cNvPr id="6724" name="Изображение 6723" descr="resizeПП-00243259"/>
        <xdr:cNvPicPr>
          <a:picLocks noChangeAspect="1"/>
        </xdr:cNvPicPr>
      </xdr:nvPicPr>
      <xdr:blipFill>
        <a:blip xmlns:r="http://schemas.openxmlformats.org/officeDocument/2006/relationships" r:embed="rId2431"/>
        <a:stretch>
          <a:fillRect/>
        </a:stretch>
      </xdr:blipFill>
      <xdr:spPr>
        <a:xfrm>
          <a:off x="7264400" y="3187769850"/>
          <a:ext cx="878840" cy="1183640"/>
        </a:xfrm>
        <a:prstGeom prst="rect">
          <a:avLst/>
        </a:prstGeom>
      </xdr:spPr>
    </xdr:pic>
    <xdr:clientData/>
  </xdr:twoCellAnchor>
  <xdr:twoCellAnchor>
    <xdr:from>
      <xdr:col>8</xdr:col>
      <xdr:colOff>6350</xdr:colOff>
      <xdr:row>3231</xdr:row>
      <xdr:rowOff>25400</xdr:rowOff>
    </xdr:from>
    <xdr:to>
      <xdr:col>8</xdr:col>
      <xdr:colOff>885190</xdr:colOff>
      <xdr:row>3231</xdr:row>
      <xdr:rowOff>1209040</xdr:rowOff>
    </xdr:to>
    <xdr:pic>
      <xdr:nvPicPr>
        <xdr:cNvPr id="6725" name="Изображение 6724" descr="resizeПП-00216958"/>
        <xdr:cNvPicPr>
          <a:picLocks noChangeAspect="1"/>
        </xdr:cNvPicPr>
      </xdr:nvPicPr>
      <xdr:blipFill>
        <a:blip xmlns:r="http://schemas.openxmlformats.org/officeDocument/2006/relationships" r:embed="rId2432"/>
        <a:stretch>
          <a:fillRect/>
        </a:stretch>
      </xdr:blipFill>
      <xdr:spPr>
        <a:xfrm>
          <a:off x="7264400" y="3188992225"/>
          <a:ext cx="878840" cy="1183640"/>
        </a:xfrm>
        <a:prstGeom prst="rect">
          <a:avLst/>
        </a:prstGeom>
      </xdr:spPr>
    </xdr:pic>
    <xdr:clientData/>
  </xdr:twoCellAnchor>
  <xdr:twoCellAnchor>
    <xdr:from>
      <xdr:col>8</xdr:col>
      <xdr:colOff>6350</xdr:colOff>
      <xdr:row>3232</xdr:row>
      <xdr:rowOff>25400</xdr:rowOff>
    </xdr:from>
    <xdr:to>
      <xdr:col>8</xdr:col>
      <xdr:colOff>885190</xdr:colOff>
      <xdr:row>3232</xdr:row>
      <xdr:rowOff>1209040</xdr:rowOff>
    </xdr:to>
    <xdr:pic>
      <xdr:nvPicPr>
        <xdr:cNvPr id="6726" name="Изображение 6725" descr="resizeПП-00216957"/>
        <xdr:cNvPicPr>
          <a:picLocks noChangeAspect="1"/>
        </xdr:cNvPicPr>
      </xdr:nvPicPr>
      <xdr:blipFill>
        <a:blip xmlns:r="http://schemas.openxmlformats.org/officeDocument/2006/relationships" r:embed="rId2433"/>
        <a:stretch>
          <a:fillRect/>
        </a:stretch>
      </xdr:blipFill>
      <xdr:spPr>
        <a:xfrm>
          <a:off x="7264400" y="3190214600"/>
          <a:ext cx="878840" cy="1183640"/>
        </a:xfrm>
        <a:prstGeom prst="rect">
          <a:avLst/>
        </a:prstGeom>
      </xdr:spPr>
    </xdr:pic>
    <xdr:clientData/>
  </xdr:twoCellAnchor>
  <xdr:twoCellAnchor>
    <xdr:from>
      <xdr:col>8</xdr:col>
      <xdr:colOff>6350</xdr:colOff>
      <xdr:row>3233</xdr:row>
      <xdr:rowOff>25400</xdr:rowOff>
    </xdr:from>
    <xdr:to>
      <xdr:col>8</xdr:col>
      <xdr:colOff>885190</xdr:colOff>
      <xdr:row>3233</xdr:row>
      <xdr:rowOff>1209040</xdr:rowOff>
    </xdr:to>
    <xdr:pic>
      <xdr:nvPicPr>
        <xdr:cNvPr id="6727" name="Изображение 6726" descr="resizeПП-00216953"/>
        <xdr:cNvPicPr>
          <a:picLocks noChangeAspect="1"/>
        </xdr:cNvPicPr>
      </xdr:nvPicPr>
      <xdr:blipFill>
        <a:blip xmlns:r="http://schemas.openxmlformats.org/officeDocument/2006/relationships" r:embed="rId2434"/>
        <a:stretch>
          <a:fillRect/>
        </a:stretch>
      </xdr:blipFill>
      <xdr:spPr>
        <a:xfrm>
          <a:off x="7264400" y="3191436975"/>
          <a:ext cx="878840" cy="1183640"/>
        </a:xfrm>
        <a:prstGeom prst="rect">
          <a:avLst/>
        </a:prstGeom>
      </xdr:spPr>
    </xdr:pic>
    <xdr:clientData/>
  </xdr:twoCellAnchor>
  <xdr:twoCellAnchor>
    <xdr:from>
      <xdr:col>8</xdr:col>
      <xdr:colOff>6350</xdr:colOff>
      <xdr:row>3234</xdr:row>
      <xdr:rowOff>25400</xdr:rowOff>
    </xdr:from>
    <xdr:to>
      <xdr:col>8</xdr:col>
      <xdr:colOff>885190</xdr:colOff>
      <xdr:row>3234</xdr:row>
      <xdr:rowOff>1209040</xdr:rowOff>
    </xdr:to>
    <xdr:pic>
      <xdr:nvPicPr>
        <xdr:cNvPr id="6728" name="Изображение 6727" descr="resizeПП-00216952"/>
        <xdr:cNvPicPr>
          <a:picLocks noChangeAspect="1"/>
        </xdr:cNvPicPr>
      </xdr:nvPicPr>
      <xdr:blipFill>
        <a:blip xmlns:r="http://schemas.openxmlformats.org/officeDocument/2006/relationships" r:embed="rId2435"/>
        <a:stretch>
          <a:fillRect/>
        </a:stretch>
      </xdr:blipFill>
      <xdr:spPr>
        <a:xfrm>
          <a:off x="7264400" y="3192659350"/>
          <a:ext cx="878840" cy="1183640"/>
        </a:xfrm>
        <a:prstGeom prst="rect">
          <a:avLst/>
        </a:prstGeom>
      </xdr:spPr>
    </xdr:pic>
    <xdr:clientData/>
  </xdr:twoCellAnchor>
  <xdr:twoCellAnchor>
    <xdr:from>
      <xdr:col>8</xdr:col>
      <xdr:colOff>6350</xdr:colOff>
      <xdr:row>3235</xdr:row>
      <xdr:rowOff>25400</xdr:rowOff>
    </xdr:from>
    <xdr:to>
      <xdr:col>8</xdr:col>
      <xdr:colOff>885190</xdr:colOff>
      <xdr:row>3235</xdr:row>
      <xdr:rowOff>1209040</xdr:rowOff>
    </xdr:to>
    <xdr:pic>
      <xdr:nvPicPr>
        <xdr:cNvPr id="6729" name="Изображение 6728" descr="resizeПП-00243251"/>
        <xdr:cNvPicPr>
          <a:picLocks noChangeAspect="1"/>
        </xdr:cNvPicPr>
      </xdr:nvPicPr>
      <xdr:blipFill>
        <a:blip xmlns:r="http://schemas.openxmlformats.org/officeDocument/2006/relationships" r:embed="rId2436"/>
        <a:stretch>
          <a:fillRect/>
        </a:stretch>
      </xdr:blipFill>
      <xdr:spPr>
        <a:xfrm>
          <a:off x="7264400" y="3193881725"/>
          <a:ext cx="878840" cy="1183640"/>
        </a:xfrm>
        <a:prstGeom prst="rect">
          <a:avLst/>
        </a:prstGeom>
      </xdr:spPr>
    </xdr:pic>
    <xdr:clientData/>
  </xdr:twoCellAnchor>
  <xdr:twoCellAnchor>
    <xdr:from>
      <xdr:col>8</xdr:col>
      <xdr:colOff>6350</xdr:colOff>
      <xdr:row>3236</xdr:row>
      <xdr:rowOff>25400</xdr:rowOff>
    </xdr:from>
    <xdr:to>
      <xdr:col>8</xdr:col>
      <xdr:colOff>885190</xdr:colOff>
      <xdr:row>3236</xdr:row>
      <xdr:rowOff>1209040</xdr:rowOff>
    </xdr:to>
    <xdr:pic>
      <xdr:nvPicPr>
        <xdr:cNvPr id="6730" name="Изображение 6729" descr="resizeПП-00243252"/>
        <xdr:cNvPicPr>
          <a:picLocks noChangeAspect="1"/>
        </xdr:cNvPicPr>
      </xdr:nvPicPr>
      <xdr:blipFill>
        <a:blip xmlns:r="http://schemas.openxmlformats.org/officeDocument/2006/relationships" r:embed="rId2437"/>
        <a:stretch>
          <a:fillRect/>
        </a:stretch>
      </xdr:blipFill>
      <xdr:spPr>
        <a:xfrm>
          <a:off x="7264400" y="3195104100"/>
          <a:ext cx="878840" cy="1183640"/>
        </a:xfrm>
        <a:prstGeom prst="rect">
          <a:avLst/>
        </a:prstGeom>
      </xdr:spPr>
    </xdr:pic>
    <xdr:clientData/>
  </xdr:twoCellAnchor>
  <xdr:twoCellAnchor>
    <xdr:from>
      <xdr:col>8</xdr:col>
      <xdr:colOff>6350</xdr:colOff>
      <xdr:row>3237</xdr:row>
      <xdr:rowOff>25400</xdr:rowOff>
    </xdr:from>
    <xdr:to>
      <xdr:col>8</xdr:col>
      <xdr:colOff>885190</xdr:colOff>
      <xdr:row>3237</xdr:row>
      <xdr:rowOff>1209040</xdr:rowOff>
    </xdr:to>
    <xdr:pic>
      <xdr:nvPicPr>
        <xdr:cNvPr id="6731" name="Изображение 6730" descr="resizeПП-00216949"/>
        <xdr:cNvPicPr>
          <a:picLocks noChangeAspect="1"/>
        </xdr:cNvPicPr>
      </xdr:nvPicPr>
      <xdr:blipFill>
        <a:blip xmlns:r="http://schemas.openxmlformats.org/officeDocument/2006/relationships" r:embed="rId2438"/>
        <a:stretch>
          <a:fillRect/>
        </a:stretch>
      </xdr:blipFill>
      <xdr:spPr>
        <a:xfrm>
          <a:off x="7264400" y="3196326475"/>
          <a:ext cx="878840" cy="1183640"/>
        </a:xfrm>
        <a:prstGeom prst="rect">
          <a:avLst/>
        </a:prstGeom>
      </xdr:spPr>
    </xdr:pic>
    <xdr:clientData/>
  </xdr:twoCellAnchor>
  <xdr:twoCellAnchor>
    <xdr:from>
      <xdr:col>8</xdr:col>
      <xdr:colOff>6350</xdr:colOff>
      <xdr:row>3238</xdr:row>
      <xdr:rowOff>25400</xdr:rowOff>
    </xdr:from>
    <xdr:to>
      <xdr:col>8</xdr:col>
      <xdr:colOff>885190</xdr:colOff>
      <xdr:row>3238</xdr:row>
      <xdr:rowOff>1209040</xdr:rowOff>
    </xdr:to>
    <xdr:pic>
      <xdr:nvPicPr>
        <xdr:cNvPr id="6732" name="Изображение 6731" descr="resizeПП-00194180"/>
        <xdr:cNvPicPr>
          <a:picLocks noChangeAspect="1"/>
        </xdr:cNvPicPr>
      </xdr:nvPicPr>
      <xdr:blipFill>
        <a:blip xmlns:r="http://schemas.openxmlformats.org/officeDocument/2006/relationships" r:embed="rId2439"/>
        <a:stretch>
          <a:fillRect/>
        </a:stretch>
      </xdr:blipFill>
      <xdr:spPr>
        <a:xfrm>
          <a:off x="7264400" y="3197548850"/>
          <a:ext cx="878840" cy="1183640"/>
        </a:xfrm>
        <a:prstGeom prst="rect">
          <a:avLst/>
        </a:prstGeom>
      </xdr:spPr>
    </xdr:pic>
    <xdr:clientData/>
  </xdr:twoCellAnchor>
  <xdr:twoCellAnchor>
    <xdr:from>
      <xdr:col>8</xdr:col>
      <xdr:colOff>6350</xdr:colOff>
      <xdr:row>3239</xdr:row>
      <xdr:rowOff>25400</xdr:rowOff>
    </xdr:from>
    <xdr:to>
      <xdr:col>8</xdr:col>
      <xdr:colOff>885190</xdr:colOff>
      <xdr:row>3239</xdr:row>
      <xdr:rowOff>1209040</xdr:rowOff>
    </xdr:to>
    <xdr:pic>
      <xdr:nvPicPr>
        <xdr:cNvPr id="6733" name="Изображение 6732" descr="resizeПП-00216945"/>
        <xdr:cNvPicPr>
          <a:picLocks noChangeAspect="1"/>
        </xdr:cNvPicPr>
      </xdr:nvPicPr>
      <xdr:blipFill>
        <a:blip xmlns:r="http://schemas.openxmlformats.org/officeDocument/2006/relationships" r:embed="rId2440"/>
        <a:stretch>
          <a:fillRect/>
        </a:stretch>
      </xdr:blipFill>
      <xdr:spPr>
        <a:xfrm>
          <a:off x="7264400" y="3198771225"/>
          <a:ext cx="878840" cy="1183640"/>
        </a:xfrm>
        <a:prstGeom prst="rect">
          <a:avLst/>
        </a:prstGeom>
      </xdr:spPr>
    </xdr:pic>
    <xdr:clientData/>
  </xdr:twoCellAnchor>
  <xdr:twoCellAnchor>
    <xdr:from>
      <xdr:col>8</xdr:col>
      <xdr:colOff>6350</xdr:colOff>
      <xdr:row>3240</xdr:row>
      <xdr:rowOff>25400</xdr:rowOff>
    </xdr:from>
    <xdr:to>
      <xdr:col>8</xdr:col>
      <xdr:colOff>885190</xdr:colOff>
      <xdr:row>3240</xdr:row>
      <xdr:rowOff>1209040</xdr:rowOff>
    </xdr:to>
    <xdr:pic>
      <xdr:nvPicPr>
        <xdr:cNvPr id="6734" name="Изображение 6733" descr="resizeПП-00243253"/>
        <xdr:cNvPicPr>
          <a:picLocks noChangeAspect="1"/>
        </xdr:cNvPicPr>
      </xdr:nvPicPr>
      <xdr:blipFill>
        <a:blip xmlns:r="http://schemas.openxmlformats.org/officeDocument/2006/relationships" r:embed="rId2441"/>
        <a:stretch>
          <a:fillRect/>
        </a:stretch>
      </xdr:blipFill>
      <xdr:spPr>
        <a:xfrm>
          <a:off x="7264400" y="3199993600"/>
          <a:ext cx="878840" cy="1183640"/>
        </a:xfrm>
        <a:prstGeom prst="rect">
          <a:avLst/>
        </a:prstGeom>
      </xdr:spPr>
    </xdr:pic>
    <xdr:clientData/>
  </xdr:twoCellAnchor>
  <xdr:twoCellAnchor>
    <xdr:from>
      <xdr:col>8</xdr:col>
      <xdr:colOff>6350</xdr:colOff>
      <xdr:row>3241</xdr:row>
      <xdr:rowOff>25400</xdr:rowOff>
    </xdr:from>
    <xdr:to>
      <xdr:col>8</xdr:col>
      <xdr:colOff>885190</xdr:colOff>
      <xdr:row>3241</xdr:row>
      <xdr:rowOff>1209040</xdr:rowOff>
    </xdr:to>
    <xdr:pic>
      <xdr:nvPicPr>
        <xdr:cNvPr id="6735" name="Изображение 6734" descr="resizeПП-00243255"/>
        <xdr:cNvPicPr>
          <a:picLocks noChangeAspect="1"/>
        </xdr:cNvPicPr>
      </xdr:nvPicPr>
      <xdr:blipFill>
        <a:blip xmlns:r="http://schemas.openxmlformats.org/officeDocument/2006/relationships" r:embed="rId2442"/>
        <a:stretch>
          <a:fillRect/>
        </a:stretch>
      </xdr:blipFill>
      <xdr:spPr>
        <a:xfrm>
          <a:off x="7264400" y="3201215975"/>
          <a:ext cx="878840" cy="1183640"/>
        </a:xfrm>
        <a:prstGeom prst="rect">
          <a:avLst/>
        </a:prstGeom>
      </xdr:spPr>
    </xdr:pic>
    <xdr:clientData/>
  </xdr:twoCellAnchor>
  <xdr:twoCellAnchor>
    <xdr:from>
      <xdr:col>8</xdr:col>
      <xdr:colOff>6350</xdr:colOff>
      <xdr:row>3242</xdr:row>
      <xdr:rowOff>25400</xdr:rowOff>
    </xdr:from>
    <xdr:to>
      <xdr:col>8</xdr:col>
      <xdr:colOff>885190</xdr:colOff>
      <xdr:row>3242</xdr:row>
      <xdr:rowOff>1209040</xdr:rowOff>
    </xdr:to>
    <xdr:pic>
      <xdr:nvPicPr>
        <xdr:cNvPr id="6736" name="Изображение 6735" descr="resizeПП-00216951"/>
        <xdr:cNvPicPr>
          <a:picLocks noChangeAspect="1"/>
        </xdr:cNvPicPr>
      </xdr:nvPicPr>
      <xdr:blipFill>
        <a:blip xmlns:r="http://schemas.openxmlformats.org/officeDocument/2006/relationships" r:embed="rId2443"/>
        <a:stretch>
          <a:fillRect/>
        </a:stretch>
      </xdr:blipFill>
      <xdr:spPr>
        <a:xfrm>
          <a:off x="7264400" y="3202438350"/>
          <a:ext cx="878840" cy="1183640"/>
        </a:xfrm>
        <a:prstGeom prst="rect">
          <a:avLst/>
        </a:prstGeom>
      </xdr:spPr>
    </xdr:pic>
    <xdr:clientData/>
  </xdr:twoCellAnchor>
  <xdr:twoCellAnchor>
    <xdr:from>
      <xdr:col>8</xdr:col>
      <xdr:colOff>6350</xdr:colOff>
      <xdr:row>3243</xdr:row>
      <xdr:rowOff>25400</xdr:rowOff>
    </xdr:from>
    <xdr:to>
      <xdr:col>8</xdr:col>
      <xdr:colOff>885190</xdr:colOff>
      <xdr:row>3243</xdr:row>
      <xdr:rowOff>1209040</xdr:rowOff>
    </xdr:to>
    <xdr:pic>
      <xdr:nvPicPr>
        <xdr:cNvPr id="6737" name="Изображение 6736" descr="resizeПП-00243254"/>
        <xdr:cNvPicPr>
          <a:picLocks noChangeAspect="1"/>
        </xdr:cNvPicPr>
      </xdr:nvPicPr>
      <xdr:blipFill>
        <a:blip xmlns:r="http://schemas.openxmlformats.org/officeDocument/2006/relationships" r:embed="rId2444"/>
        <a:stretch>
          <a:fillRect/>
        </a:stretch>
      </xdr:blipFill>
      <xdr:spPr>
        <a:xfrm>
          <a:off x="7264400" y="3203660725"/>
          <a:ext cx="878840" cy="1183640"/>
        </a:xfrm>
        <a:prstGeom prst="rect">
          <a:avLst/>
        </a:prstGeom>
      </xdr:spPr>
    </xdr:pic>
    <xdr:clientData/>
  </xdr:twoCellAnchor>
  <xdr:twoCellAnchor>
    <xdr:from>
      <xdr:col>8</xdr:col>
      <xdr:colOff>6350</xdr:colOff>
      <xdr:row>3244</xdr:row>
      <xdr:rowOff>25400</xdr:rowOff>
    </xdr:from>
    <xdr:to>
      <xdr:col>8</xdr:col>
      <xdr:colOff>885190</xdr:colOff>
      <xdr:row>3244</xdr:row>
      <xdr:rowOff>1209040</xdr:rowOff>
    </xdr:to>
    <xdr:pic>
      <xdr:nvPicPr>
        <xdr:cNvPr id="6738" name="Изображение 6737" descr="resizeПП-00243260"/>
        <xdr:cNvPicPr>
          <a:picLocks noChangeAspect="1"/>
        </xdr:cNvPicPr>
      </xdr:nvPicPr>
      <xdr:blipFill>
        <a:blip xmlns:r="http://schemas.openxmlformats.org/officeDocument/2006/relationships" r:embed="rId2445"/>
        <a:stretch>
          <a:fillRect/>
        </a:stretch>
      </xdr:blipFill>
      <xdr:spPr>
        <a:xfrm>
          <a:off x="7264400" y="3204883100"/>
          <a:ext cx="878840" cy="1183640"/>
        </a:xfrm>
        <a:prstGeom prst="rect">
          <a:avLst/>
        </a:prstGeom>
      </xdr:spPr>
    </xdr:pic>
    <xdr:clientData/>
  </xdr:twoCellAnchor>
  <xdr:twoCellAnchor>
    <xdr:from>
      <xdr:col>8</xdr:col>
      <xdr:colOff>6350</xdr:colOff>
      <xdr:row>3245</xdr:row>
      <xdr:rowOff>25400</xdr:rowOff>
    </xdr:from>
    <xdr:to>
      <xdr:col>8</xdr:col>
      <xdr:colOff>885190</xdr:colOff>
      <xdr:row>3245</xdr:row>
      <xdr:rowOff>1209040</xdr:rowOff>
    </xdr:to>
    <xdr:pic>
      <xdr:nvPicPr>
        <xdr:cNvPr id="6739" name="Изображение 6738" descr="resizeПП-00194176"/>
        <xdr:cNvPicPr>
          <a:picLocks noChangeAspect="1"/>
        </xdr:cNvPicPr>
      </xdr:nvPicPr>
      <xdr:blipFill>
        <a:blip xmlns:r="http://schemas.openxmlformats.org/officeDocument/2006/relationships" r:embed="rId2446"/>
        <a:stretch>
          <a:fillRect/>
        </a:stretch>
      </xdr:blipFill>
      <xdr:spPr>
        <a:xfrm>
          <a:off x="7264400" y="3206105475"/>
          <a:ext cx="878840" cy="1183640"/>
        </a:xfrm>
        <a:prstGeom prst="rect">
          <a:avLst/>
        </a:prstGeom>
      </xdr:spPr>
    </xdr:pic>
    <xdr:clientData/>
  </xdr:twoCellAnchor>
  <xdr:twoCellAnchor>
    <xdr:from>
      <xdr:col>8</xdr:col>
      <xdr:colOff>6350</xdr:colOff>
      <xdr:row>3246</xdr:row>
      <xdr:rowOff>25400</xdr:rowOff>
    </xdr:from>
    <xdr:to>
      <xdr:col>8</xdr:col>
      <xdr:colOff>885190</xdr:colOff>
      <xdr:row>3246</xdr:row>
      <xdr:rowOff>1209040</xdr:rowOff>
    </xdr:to>
    <xdr:pic>
      <xdr:nvPicPr>
        <xdr:cNvPr id="6740" name="Изображение 6739" descr="resizeПП-00243257"/>
        <xdr:cNvPicPr>
          <a:picLocks noChangeAspect="1"/>
        </xdr:cNvPicPr>
      </xdr:nvPicPr>
      <xdr:blipFill>
        <a:blip xmlns:r="http://schemas.openxmlformats.org/officeDocument/2006/relationships" r:embed="rId2447"/>
        <a:stretch>
          <a:fillRect/>
        </a:stretch>
      </xdr:blipFill>
      <xdr:spPr>
        <a:xfrm>
          <a:off x="7264400" y="3207327850"/>
          <a:ext cx="878840" cy="1183640"/>
        </a:xfrm>
        <a:prstGeom prst="rect">
          <a:avLst/>
        </a:prstGeom>
      </xdr:spPr>
    </xdr:pic>
    <xdr:clientData/>
  </xdr:twoCellAnchor>
  <xdr:twoCellAnchor>
    <xdr:from>
      <xdr:col>8</xdr:col>
      <xdr:colOff>6350</xdr:colOff>
      <xdr:row>3247</xdr:row>
      <xdr:rowOff>25400</xdr:rowOff>
    </xdr:from>
    <xdr:to>
      <xdr:col>8</xdr:col>
      <xdr:colOff>885190</xdr:colOff>
      <xdr:row>3247</xdr:row>
      <xdr:rowOff>1209040</xdr:rowOff>
    </xdr:to>
    <xdr:pic>
      <xdr:nvPicPr>
        <xdr:cNvPr id="6741" name="Изображение 6740" descr="resizeПП-00243256"/>
        <xdr:cNvPicPr>
          <a:picLocks noChangeAspect="1"/>
        </xdr:cNvPicPr>
      </xdr:nvPicPr>
      <xdr:blipFill>
        <a:blip xmlns:r="http://schemas.openxmlformats.org/officeDocument/2006/relationships" r:embed="rId2448"/>
        <a:stretch>
          <a:fillRect/>
        </a:stretch>
      </xdr:blipFill>
      <xdr:spPr>
        <a:xfrm>
          <a:off x="7264400" y="3208550225"/>
          <a:ext cx="878840" cy="1183640"/>
        </a:xfrm>
        <a:prstGeom prst="rect">
          <a:avLst/>
        </a:prstGeom>
      </xdr:spPr>
    </xdr:pic>
    <xdr:clientData/>
  </xdr:twoCellAnchor>
  <xdr:twoCellAnchor>
    <xdr:from>
      <xdr:col>8</xdr:col>
      <xdr:colOff>6350</xdr:colOff>
      <xdr:row>3248</xdr:row>
      <xdr:rowOff>25400</xdr:rowOff>
    </xdr:from>
    <xdr:to>
      <xdr:col>8</xdr:col>
      <xdr:colOff>885190</xdr:colOff>
      <xdr:row>3248</xdr:row>
      <xdr:rowOff>1209040</xdr:rowOff>
    </xdr:to>
    <xdr:pic>
      <xdr:nvPicPr>
        <xdr:cNvPr id="6742" name="Изображение 6741" descr="resizeПП-00194173"/>
        <xdr:cNvPicPr>
          <a:picLocks noChangeAspect="1"/>
        </xdr:cNvPicPr>
      </xdr:nvPicPr>
      <xdr:blipFill>
        <a:blip xmlns:r="http://schemas.openxmlformats.org/officeDocument/2006/relationships" r:embed="rId2449"/>
        <a:stretch>
          <a:fillRect/>
        </a:stretch>
      </xdr:blipFill>
      <xdr:spPr>
        <a:xfrm>
          <a:off x="7264400" y="3209772600"/>
          <a:ext cx="878840" cy="1183640"/>
        </a:xfrm>
        <a:prstGeom prst="rect">
          <a:avLst/>
        </a:prstGeom>
      </xdr:spPr>
    </xdr:pic>
    <xdr:clientData/>
  </xdr:twoCellAnchor>
  <xdr:twoCellAnchor>
    <xdr:from>
      <xdr:col>8</xdr:col>
      <xdr:colOff>6350</xdr:colOff>
      <xdr:row>3251</xdr:row>
      <xdr:rowOff>25400</xdr:rowOff>
    </xdr:from>
    <xdr:to>
      <xdr:col>8</xdr:col>
      <xdr:colOff>885190</xdr:colOff>
      <xdr:row>3251</xdr:row>
      <xdr:rowOff>1209040</xdr:rowOff>
    </xdr:to>
    <xdr:pic>
      <xdr:nvPicPr>
        <xdr:cNvPr id="6743" name="Изображение 6742" descr="resizeПП-00269608"/>
        <xdr:cNvPicPr>
          <a:picLocks noChangeAspect="1"/>
        </xdr:cNvPicPr>
      </xdr:nvPicPr>
      <xdr:blipFill>
        <a:blip xmlns:r="http://schemas.openxmlformats.org/officeDocument/2006/relationships" r:embed="rId2450"/>
        <a:stretch>
          <a:fillRect/>
        </a:stretch>
      </xdr:blipFill>
      <xdr:spPr>
        <a:xfrm>
          <a:off x="7264400" y="3211299775"/>
          <a:ext cx="878840" cy="1183640"/>
        </a:xfrm>
        <a:prstGeom prst="rect">
          <a:avLst/>
        </a:prstGeom>
      </xdr:spPr>
    </xdr:pic>
    <xdr:clientData/>
  </xdr:twoCellAnchor>
  <xdr:twoCellAnchor>
    <xdr:from>
      <xdr:col>8</xdr:col>
      <xdr:colOff>6350</xdr:colOff>
      <xdr:row>3252</xdr:row>
      <xdr:rowOff>25400</xdr:rowOff>
    </xdr:from>
    <xdr:to>
      <xdr:col>8</xdr:col>
      <xdr:colOff>885190</xdr:colOff>
      <xdr:row>3252</xdr:row>
      <xdr:rowOff>1209040</xdr:rowOff>
    </xdr:to>
    <xdr:pic>
      <xdr:nvPicPr>
        <xdr:cNvPr id="6744" name="Изображение 6743" descr="resizeПП-00269607"/>
        <xdr:cNvPicPr>
          <a:picLocks noChangeAspect="1"/>
        </xdr:cNvPicPr>
      </xdr:nvPicPr>
      <xdr:blipFill>
        <a:blip xmlns:r="http://schemas.openxmlformats.org/officeDocument/2006/relationships" r:embed="rId2451"/>
        <a:stretch>
          <a:fillRect/>
        </a:stretch>
      </xdr:blipFill>
      <xdr:spPr>
        <a:xfrm>
          <a:off x="7264400" y="3212522150"/>
          <a:ext cx="878840" cy="1183640"/>
        </a:xfrm>
        <a:prstGeom prst="rect">
          <a:avLst/>
        </a:prstGeom>
      </xdr:spPr>
    </xdr:pic>
    <xdr:clientData/>
  </xdr:twoCellAnchor>
  <xdr:twoCellAnchor>
    <xdr:from>
      <xdr:col>8</xdr:col>
      <xdr:colOff>6350</xdr:colOff>
      <xdr:row>3254</xdr:row>
      <xdr:rowOff>25400</xdr:rowOff>
    </xdr:from>
    <xdr:to>
      <xdr:col>8</xdr:col>
      <xdr:colOff>885190</xdr:colOff>
      <xdr:row>3254</xdr:row>
      <xdr:rowOff>1209040</xdr:rowOff>
    </xdr:to>
    <xdr:pic>
      <xdr:nvPicPr>
        <xdr:cNvPr id="6745" name="Изображение 6744" descr="resizeПП-00269610"/>
        <xdr:cNvPicPr>
          <a:picLocks noChangeAspect="1"/>
        </xdr:cNvPicPr>
      </xdr:nvPicPr>
      <xdr:blipFill>
        <a:blip xmlns:r="http://schemas.openxmlformats.org/officeDocument/2006/relationships" r:embed="rId2452"/>
        <a:stretch>
          <a:fillRect/>
        </a:stretch>
      </xdr:blipFill>
      <xdr:spPr>
        <a:xfrm>
          <a:off x="7264400" y="3213896925"/>
          <a:ext cx="878840" cy="1183640"/>
        </a:xfrm>
        <a:prstGeom prst="rect">
          <a:avLst/>
        </a:prstGeom>
      </xdr:spPr>
    </xdr:pic>
    <xdr:clientData/>
  </xdr:twoCellAnchor>
  <xdr:twoCellAnchor>
    <xdr:from>
      <xdr:col>8</xdr:col>
      <xdr:colOff>6350</xdr:colOff>
      <xdr:row>3256</xdr:row>
      <xdr:rowOff>25400</xdr:rowOff>
    </xdr:from>
    <xdr:to>
      <xdr:col>8</xdr:col>
      <xdr:colOff>885190</xdr:colOff>
      <xdr:row>3256</xdr:row>
      <xdr:rowOff>1209040</xdr:rowOff>
    </xdr:to>
    <xdr:pic>
      <xdr:nvPicPr>
        <xdr:cNvPr id="6746" name="Изображение 6745" descr="resizeПП-00267288"/>
        <xdr:cNvPicPr>
          <a:picLocks noChangeAspect="1"/>
        </xdr:cNvPicPr>
      </xdr:nvPicPr>
      <xdr:blipFill>
        <a:blip xmlns:r="http://schemas.openxmlformats.org/officeDocument/2006/relationships" r:embed="rId2453"/>
        <a:stretch>
          <a:fillRect/>
        </a:stretch>
      </xdr:blipFill>
      <xdr:spPr>
        <a:xfrm>
          <a:off x="7264400" y="3215271700"/>
          <a:ext cx="878840" cy="1183640"/>
        </a:xfrm>
        <a:prstGeom prst="rect">
          <a:avLst/>
        </a:prstGeom>
      </xdr:spPr>
    </xdr:pic>
    <xdr:clientData/>
  </xdr:twoCellAnchor>
  <xdr:twoCellAnchor>
    <xdr:from>
      <xdr:col>8</xdr:col>
      <xdr:colOff>6350</xdr:colOff>
      <xdr:row>3257</xdr:row>
      <xdr:rowOff>25400</xdr:rowOff>
    </xdr:from>
    <xdr:to>
      <xdr:col>8</xdr:col>
      <xdr:colOff>885190</xdr:colOff>
      <xdr:row>3257</xdr:row>
      <xdr:rowOff>1209040</xdr:rowOff>
    </xdr:to>
    <xdr:pic>
      <xdr:nvPicPr>
        <xdr:cNvPr id="6747" name="Изображение 6746" descr="resizeПП-00267280"/>
        <xdr:cNvPicPr>
          <a:picLocks noChangeAspect="1"/>
        </xdr:cNvPicPr>
      </xdr:nvPicPr>
      <xdr:blipFill>
        <a:blip xmlns:r="http://schemas.openxmlformats.org/officeDocument/2006/relationships" r:embed="rId2454"/>
        <a:stretch>
          <a:fillRect/>
        </a:stretch>
      </xdr:blipFill>
      <xdr:spPr>
        <a:xfrm>
          <a:off x="7264400" y="3216494075"/>
          <a:ext cx="878840" cy="1183640"/>
        </a:xfrm>
        <a:prstGeom prst="rect">
          <a:avLst/>
        </a:prstGeom>
      </xdr:spPr>
    </xdr:pic>
    <xdr:clientData/>
  </xdr:twoCellAnchor>
  <xdr:twoCellAnchor>
    <xdr:from>
      <xdr:col>8</xdr:col>
      <xdr:colOff>6350</xdr:colOff>
      <xdr:row>3258</xdr:row>
      <xdr:rowOff>25400</xdr:rowOff>
    </xdr:from>
    <xdr:to>
      <xdr:col>8</xdr:col>
      <xdr:colOff>885190</xdr:colOff>
      <xdr:row>3258</xdr:row>
      <xdr:rowOff>1209040</xdr:rowOff>
    </xdr:to>
    <xdr:pic>
      <xdr:nvPicPr>
        <xdr:cNvPr id="6748" name="Изображение 6747" descr="resizeПП-00267283"/>
        <xdr:cNvPicPr>
          <a:picLocks noChangeAspect="1"/>
        </xdr:cNvPicPr>
      </xdr:nvPicPr>
      <xdr:blipFill>
        <a:blip xmlns:r="http://schemas.openxmlformats.org/officeDocument/2006/relationships" r:embed="rId2455"/>
        <a:stretch>
          <a:fillRect/>
        </a:stretch>
      </xdr:blipFill>
      <xdr:spPr>
        <a:xfrm>
          <a:off x="7264400" y="3217716450"/>
          <a:ext cx="878840" cy="1183640"/>
        </a:xfrm>
        <a:prstGeom prst="rect">
          <a:avLst/>
        </a:prstGeom>
      </xdr:spPr>
    </xdr:pic>
    <xdr:clientData/>
  </xdr:twoCellAnchor>
  <xdr:twoCellAnchor>
    <xdr:from>
      <xdr:col>8</xdr:col>
      <xdr:colOff>6350</xdr:colOff>
      <xdr:row>3260</xdr:row>
      <xdr:rowOff>25400</xdr:rowOff>
    </xdr:from>
    <xdr:to>
      <xdr:col>8</xdr:col>
      <xdr:colOff>885190</xdr:colOff>
      <xdr:row>3260</xdr:row>
      <xdr:rowOff>1209040</xdr:rowOff>
    </xdr:to>
    <xdr:pic>
      <xdr:nvPicPr>
        <xdr:cNvPr id="6749" name="Изображение 6748" descr="resizeПП-00269597"/>
        <xdr:cNvPicPr>
          <a:picLocks noChangeAspect="1"/>
        </xdr:cNvPicPr>
      </xdr:nvPicPr>
      <xdr:blipFill>
        <a:blip xmlns:r="http://schemas.openxmlformats.org/officeDocument/2006/relationships" r:embed="rId2456"/>
        <a:stretch>
          <a:fillRect/>
        </a:stretch>
      </xdr:blipFill>
      <xdr:spPr>
        <a:xfrm>
          <a:off x="7264400" y="3219091225"/>
          <a:ext cx="878840" cy="1183640"/>
        </a:xfrm>
        <a:prstGeom prst="rect">
          <a:avLst/>
        </a:prstGeom>
      </xdr:spPr>
    </xdr:pic>
    <xdr:clientData/>
  </xdr:twoCellAnchor>
  <xdr:twoCellAnchor>
    <xdr:from>
      <xdr:col>8</xdr:col>
      <xdr:colOff>6350</xdr:colOff>
      <xdr:row>3261</xdr:row>
      <xdr:rowOff>25400</xdr:rowOff>
    </xdr:from>
    <xdr:to>
      <xdr:col>8</xdr:col>
      <xdr:colOff>885190</xdr:colOff>
      <xdr:row>3261</xdr:row>
      <xdr:rowOff>1209040</xdr:rowOff>
    </xdr:to>
    <xdr:pic>
      <xdr:nvPicPr>
        <xdr:cNvPr id="6750" name="Изображение 6749" descr="resizeПП-00269601"/>
        <xdr:cNvPicPr>
          <a:picLocks noChangeAspect="1"/>
        </xdr:cNvPicPr>
      </xdr:nvPicPr>
      <xdr:blipFill>
        <a:blip xmlns:r="http://schemas.openxmlformats.org/officeDocument/2006/relationships" r:embed="rId2457"/>
        <a:stretch>
          <a:fillRect/>
        </a:stretch>
      </xdr:blipFill>
      <xdr:spPr>
        <a:xfrm>
          <a:off x="7264400" y="3220313600"/>
          <a:ext cx="878840" cy="1183640"/>
        </a:xfrm>
        <a:prstGeom prst="rect">
          <a:avLst/>
        </a:prstGeom>
      </xdr:spPr>
    </xdr:pic>
    <xdr:clientData/>
  </xdr:twoCellAnchor>
  <xdr:twoCellAnchor>
    <xdr:from>
      <xdr:col>8</xdr:col>
      <xdr:colOff>6350</xdr:colOff>
      <xdr:row>3262</xdr:row>
      <xdr:rowOff>25400</xdr:rowOff>
    </xdr:from>
    <xdr:to>
      <xdr:col>8</xdr:col>
      <xdr:colOff>885190</xdr:colOff>
      <xdr:row>3262</xdr:row>
      <xdr:rowOff>1209040</xdr:rowOff>
    </xdr:to>
    <xdr:pic>
      <xdr:nvPicPr>
        <xdr:cNvPr id="6751" name="Изображение 6750" descr="resizeПП-00269600"/>
        <xdr:cNvPicPr>
          <a:picLocks noChangeAspect="1"/>
        </xdr:cNvPicPr>
      </xdr:nvPicPr>
      <xdr:blipFill>
        <a:blip xmlns:r="http://schemas.openxmlformats.org/officeDocument/2006/relationships" r:embed="rId2458"/>
        <a:stretch>
          <a:fillRect/>
        </a:stretch>
      </xdr:blipFill>
      <xdr:spPr>
        <a:xfrm>
          <a:off x="7264400" y="3221535975"/>
          <a:ext cx="878840" cy="1183640"/>
        </a:xfrm>
        <a:prstGeom prst="rect">
          <a:avLst/>
        </a:prstGeom>
      </xdr:spPr>
    </xdr:pic>
    <xdr:clientData/>
  </xdr:twoCellAnchor>
  <xdr:twoCellAnchor>
    <xdr:from>
      <xdr:col>8</xdr:col>
      <xdr:colOff>6350</xdr:colOff>
      <xdr:row>3265</xdr:row>
      <xdr:rowOff>25400</xdr:rowOff>
    </xdr:from>
    <xdr:to>
      <xdr:col>8</xdr:col>
      <xdr:colOff>885190</xdr:colOff>
      <xdr:row>3265</xdr:row>
      <xdr:rowOff>1209040</xdr:rowOff>
    </xdr:to>
    <xdr:pic>
      <xdr:nvPicPr>
        <xdr:cNvPr id="6752" name="Изображение 6751" descr="resizeПП-00212872"/>
        <xdr:cNvPicPr>
          <a:picLocks noChangeAspect="1"/>
        </xdr:cNvPicPr>
      </xdr:nvPicPr>
      <xdr:blipFill>
        <a:blip xmlns:r="http://schemas.openxmlformats.org/officeDocument/2006/relationships" r:embed="rId2459"/>
        <a:stretch>
          <a:fillRect/>
        </a:stretch>
      </xdr:blipFill>
      <xdr:spPr>
        <a:xfrm>
          <a:off x="7264400" y="3223063150"/>
          <a:ext cx="878840" cy="1183640"/>
        </a:xfrm>
        <a:prstGeom prst="rect">
          <a:avLst/>
        </a:prstGeom>
      </xdr:spPr>
    </xdr:pic>
    <xdr:clientData/>
  </xdr:twoCellAnchor>
  <xdr:twoCellAnchor>
    <xdr:from>
      <xdr:col>8</xdr:col>
      <xdr:colOff>6350</xdr:colOff>
      <xdr:row>3266</xdr:row>
      <xdr:rowOff>25400</xdr:rowOff>
    </xdr:from>
    <xdr:to>
      <xdr:col>8</xdr:col>
      <xdr:colOff>885190</xdr:colOff>
      <xdr:row>3266</xdr:row>
      <xdr:rowOff>1209040</xdr:rowOff>
    </xdr:to>
    <xdr:pic>
      <xdr:nvPicPr>
        <xdr:cNvPr id="6753" name="Изображение 6752" descr="resizeПП-00246834"/>
        <xdr:cNvPicPr>
          <a:picLocks noChangeAspect="1"/>
        </xdr:cNvPicPr>
      </xdr:nvPicPr>
      <xdr:blipFill>
        <a:blip xmlns:r="http://schemas.openxmlformats.org/officeDocument/2006/relationships" r:embed="rId2460"/>
        <a:stretch>
          <a:fillRect/>
        </a:stretch>
      </xdr:blipFill>
      <xdr:spPr>
        <a:xfrm>
          <a:off x="7264400" y="3224285525"/>
          <a:ext cx="878840" cy="1183640"/>
        </a:xfrm>
        <a:prstGeom prst="rect">
          <a:avLst/>
        </a:prstGeom>
      </xdr:spPr>
    </xdr:pic>
    <xdr:clientData/>
  </xdr:twoCellAnchor>
  <xdr:twoCellAnchor>
    <xdr:from>
      <xdr:col>8</xdr:col>
      <xdr:colOff>6350</xdr:colOff>
      <xdr:row>3267</xdr:row>
      <xdr:rowOff>25400</xdr:rowOff>
    </xdr:from>
    <xdr:to>
      <xdr:col>8</xdr:col>
      <xdr:colOff>885190</xdr:colOff>
      <xdr:row>3267</xdr:row>
      <xdr:rowOff>1209040</xdr:rowOff>
    </xdr:to>
    <xdr:pic>
      <xdr:nvPicPr>
        <xdr:cNvPr id="6754" name="Изображение 6753" descr="resizeПП-00246835"/>
        <xdr:cNvPicPr>
          <a:picLocks noChangeAspect="1"/>
        </xdr:cNvPicPr>
      </xdr:nvPicPr>
      <xdr:blipFill>
        <a:blip xmlns:r="http://schemas.openxmlformats.org/officeDocument/2006/relationships" r:embed="rId2460"/>
        <a:stretch>
          <a:fillRect/>
        </a:stretch>
      </xdr:blipFill>
      <xdr:spPr>
        <a:xfrm>
          <a:off x="7264400" y="3225507900"/>
          <a:ext cx="878840" cy="1183640"/>
        </a:xfrm>
        <a:prstGeom prst="rect">
          <a:avLst/>
        </a:prstGeom>
      </xdr:spPr>
    </xdr:pic>
    <xdr:clientData/>
  </xdr:twoCellAnchor>
  <xdr:twoCellAnchor>
    <xdr:from>
      <xdr:col>8</xdr:col>
      <xdr:colOff>6350</xdr:colOff>
      <xdr:row>3269</xdr:row>
      <xdr:rowOff>25400</xdr:rowOff>
    </xdr:from>
    <xdr:to>
      <xdr:col>8</xdr:col>
      <xdr:colOff>885190</xdr:colOff>
      <xdr:row>3269</xdr:row>
      <xdr:rowOff>1209040</xdr:rowOff>
    </xdr:to>
    <xdr:pic>
      <xdr:nvPicPr>
        <xdr:cNvPr id="6755" name="Изображение 6754" descr="resizeПП-00210844"/>
        <xdr:cNvPicPr>
          <a:picLocks noChangeAspect="1"/>
        </xdr:cNvPicPr>
      </xdr:nvPicPr>
      <xdr:blipFill>
        <a:blip xmlns:r="http://schemas.openxmlformats.org/officeDocument/2006/relationships" r:embed="rId2461"/>
        <a:stretch>
          <a:fillRect/>
        </a:stretch>
      </xdr:blipFill>
      <xdr:spPr>
        <a:xfrm>
          <a:off x="7264400" y="3226882675"/>
          <a:ext cx="878840" cy="1183640"/>
        </a:xfrm>
        <a:prstGeom prst="rect">
          <a:avLst/>
        </a:prstGeom>
      </xdr:spPr>
    </xdr:pic>
    <xdr:clientData/>
  </xdr:twoCellAnchor>
  <xdr:twoCellAnchor>
    <xdr:from>
      <xdr:col>8</xdr:col>
      <xdr:colOff>6350</xdr:colOff>
      <xdr:row>3270</xdr:row>
      <xdr:rowOff>25400</xdr:rowOff>
    </xdr:from>
    <xdr:to>
      <xdr:col>8</xdr:col>
      <xdr:colOff>885190</xdr:colOff>
      <xdr:row>3270</xdr:row>
      <xdr:rowOff>1209040</xdr:rowOff>
    </xdr:to>
    <xdr:pic>
      <xdr:nvPicPr>
        <xdr:cNvPr id="6756" name="Изображение 6755" descr="resizeПП-00210868"/>
        <xdr:cNvPicPr>
          <a:picLocks noChangeAspect="1"/>
        </xdr:cNvPicPr>
      </xdr:nvPicPr>
      <xdr:blipFill>
        <a:blip xmlns:r="http://schemas.openxmlformats.org/officeDocument/2006/relationships" r:embed="rId2462"/>
        <a:stretch>
          <a:fillRect/>
        </a:stretch>
      </xdr:blipFill>
      <xdr:spPr>
        <a:xfrm>
          <a:off x="7264400" y="3228105050"/>
          <a:ext cx="878840" cy="1183640"/>
        </a:xfrm>
        <a:prstGeom prst="rect">
          <a:avLst/>
        </a:prstGeom>
      </xdr:spPr>
    </xdr:pic>
    <xdr:clientData/>
  </xdr:twoCellAnchor>
  <xdr:twoCellAnchor>
    <xdr:from>
      <xdr:col>8</xdr:col>
      <xdr:colOff>6350</xdr:colOff>
      <xdr:row>3272</xdr:row>
      <xdr:rowOff>25400</xdr:rowOff>
    </xdr:from>
    <xdr:to>
      <xdr:col>8</xdr:col>
      <xdr:colOff>885190</xdr:colOff>
      <xdr:row>3272</xdr:row>
      <xdr:rowOff>1209040</xdr:rowOff>
    </xdr:to>
    <xdr:pic>
      <xdr:nvPicPr>
        <xdr:cNvPr id="6757" name="Изображение 6756" descr="resizeПП-00278642"/>
        <xdr:cNvPicPr>
          <a:picLocks noChangeAspect="1"/>
        </xdr:cNvPicPr>
      </xdr:nvPicPr>
      <xdr:blipFill>
        <a:blip xmlns:r="http://schemas.openxmlformats.org/officeDocument/2006/relationships" r:embed="rId2463"/>
        <a:stretch>
          <a:fillRect/>
        </a:stretch>
      </xdr:blipFill>
      <xdr:spPr>
        <a:xfrm>
          <a:off x="7264400" y="3229479825"/>
          <a:ext cx="878840" cy="1183640"/>
        </a:xfrm>
        <a:prstGeom prst="rect">
          <a:avLst/>
        </a:prstGeom>
      </xdr:spPr>
    </xdr:pic>
    <xdr:clientData/>
  </xdr:twoCellAnchor>
  <xdr:twoCellAnchor>
    <xdr:from>
      <xdr:col>8</xdr:col>
      <xdr:colOff>6350</xdr:colOff>
      <xdr:row>3273</xdr:row>
      <xdr:rowOff>25400</xdr:rowOff>
    </xdr:from>
    <xdr:to>
      <xdr:col>8</xdr:col>
      <xdr:colOff>885190</xdr:colOff>
      <xdr:row>3273</xdr:row>
      <xdr:rowOff>1209040</xdr:rowOff>
    </xdr:to>
    <xdr:pic>
      <xdr:nvPicPr>
        <xdr:cNvPr id="6758" name="Изображение 6757" descr="resizeПП-00278646"/>
        <xdr:cNvPicPr>
          <a:picLocks noChangeAspect="1"/>
        </xdr:cNvPicPr>
      </xdr:nvPicPr>
      <xdr:blipFill>
        <a:blip xmlns:r="http://schemas.openxmlformats.org/officeDocument/2006/relationships" r:embed="rId2464"/>
        <a:stretch>
          <a:fillRect/>
        </a:stretch>
      </xdr:blipFill>
      <xdr:spPr>
        <a:xfrm>
          <a:off x="7264400" y="3230702200"/>
          <a:ext cx="878840" cy="1183640"/>
        </a:xfrm>
        <a:prstGeom prst="rect">
          <a:avLst/>
        </a:prstGeom>
      </xdr:spPr>
    </xdr:pic>
    <xdr:clientData/>
  </xdr:twoCellAnchor>
  <xdr:twoCellAnchor>
    <xdr:from>
      <xdr:col>8</xdr:col>
      <xdr:colOff>6350</xdr:colOff>
      <xdr:row>3274</xdr:row>
      <xdr:rowOff>25400</xdr:rowOff>
    </xdr:from>
    <xdr:to>
      <xdr:col>8</xdr:col>
      <xdr:colOff>885190</xdr:colOff>
      <xdr:row>3274</xdr:row>
      <xdr:rowOff>1209040</xdr:rowOff>
    </xdr:to>
    <xdr:pic>
      <xdr:nvPicPr>
        <xdr:cNvPr id="6759" name="Изображение 6758" descr="resizeПП-00278652"/>
        <xdr:cNvPicPr>
          <a:picLocks noChangeAspect="1"/>
        </xdr:cNvPicPr>
      </xdr:nvPicPr>
      <xdr:blipFill>
        <a:blip xmlns:r="http://schemas.openxmlformats.org/officeDocument/2006/relationships" r:embed="rId2465"/>
        <a:stretch>
          <a:fillRect/>
        </a:stretch>
      </xdr:blipFill>
      <xdr:spPr>
        <a:xfrm>
          <a:off x="7264400" y="3231924575"/>
          <a:ext cx="878840" cy="1183640"/>
        </a:xfrm>
        <a:prstGeom prst="rect">
          <a:avLst/>
        </a:prstGeom>
      </xdr:spPr>
    </xdr:pic>
    <xdr:clientData/>
  </xdr:twoCellAnchor>
  <xdr:twoCellAnchor>
    <xdr:from>
      <xdr:col>8</xdr:col>
      <xdr:colOff>6350</xdr:colOff>
      <xdr:row>3275</xdr:row>
      <xdr:rowOff>25400</xdr:rowOff>
    </xdr:from>
    <xdr:to>
      <xdr:col>8</xdr:col>
      <xdr:colOff>885190</xdr:colOff>
      <xdr:row>3275</xdr:row>
      <xdr:rowOff>1209040</xdr:rowOff>
    </xdr:to>
    <xdr:pic>
      <xdr:nvPicPr>
        <xdr:cNvPr id="6760" name="Изображение 6759" descr="resizeПП-00278667"/>
        <xdr:cNvPicPr>
          <a:picLocks noChangeAspect="1"/>
        </xdr:cNvPicPr>
      </xdr:nvPicPr>
      <xdr:blipFill>
        <a:blip xmlns:r="http://schemas.openxmlformats.org/officeDocument/2006/relationships" r:embed="rId2466"/>
        <a:stretch>
          <a:fillRect/>
        </a:stretch>
      </xdr:blipFill>
      <xdr:spPr>
        <a:xfrm>
          <a:off x="7264400" y="3233146950"/>
          <a:ext cx="878840" cy="1183640"/>
        </a:xfrm>
        <a:prstGeom prst="rect">
          <a:avLst/>
        </a:prstGeom>
      </xdr:spPr>
    </xdr:pic>
    <xdr:clientData/>
  </xdr:twoCellAnchor>
  <xdr:twoCellAnchor>
    <xdr:from>
      <xdr:col>8</xdr:col>
      <xdr:colOff>6350</xdr:colOff>
      <xdr:row>3276</xdr:row>
      <xdr:rowOff>25400</xdr:rowOff>
    </xdr:from>
    <xdr:to>
      <xdr:col>8</xdr:col>
      <xdr:colOff>885190</xdr:colOff>
      <xdr:row>3276</xdr:row>
      <xdr:rowOff>1209040</xdr:rowOff>
    </xdr:to>
    <xdr:pic>
      <xdr:nvPicPr>
        <xdr:cNvPr id="6761" name="Изображение 6760" descr="resizeПП-00278668"/>
        <xdr:cNvPicPr>
          <a:picLocks noChangeAspect="1"/>
        </xdr:cNvPicPr>
      </xdr:nvPicPr>
      <xdr:blipFill>
        <a:blip xmlns:r="http://schemas.openxmlformats.org/officeDocument/2006/relationships" r:embed="rId2467"/>
        <a:stretch>
          <a:fillRect/>
        </a:stretch>
      </xdr:blipFill>
      <xdr:spPr>
        <a:xfrm>
          <a:off x="7264400" y="3234369325"/>
          <a:ext cx="878840" cy="1183640"/>
        </a:xfrm>
        <a:prstGeom prst="rect">
          <a:avLst/>
        </a:prstGeom>
      </xdr:spPr>
    </xdr:pic>
    <xdr:clientData/>
  </xdr:twoCellAnchor>
  <xdr:twoCellAnchor>
    <xdr:from>
      <xdr:col>8</xdr:col>
      <xdr:colOff>6350</xdr:colOff>
      <xdr:row>3277</xdr:row>
      <xdr:rowOff>25400</xdr:rowOff>
    </xdr:from>
    <xdr:to>
      <xdr:col>8</xdr:col>
      <xdr:colOff>885190</xdr:colOff>
      <xdr:row>3277</xdr:row>
      <xdr:rowOff>1209040</xdr:rowOff>
    </xdr:to>
    <xdr:pic>
      <xdr:nvPicPr>
        <xdr:cNvPr id="6762" name="Изображение 6761" descr="resizeПП-00214120"/>
        <xdr:cNvPicPr>
          <a:picLocks noChangeAspect="1"/>
        </xdr:cNvPicPr>
      </xdr:nvPicPr>
      <xdr:blipFill>
        <a:blip xmlns:r="http://schemas.openxmlformats.org/officeDocument/2006/relationships" r:embed="rId2468"/>
        <a:stretch>
          <a:fillRect/>
        </a:stretch>
      </xdr:blipFill>
      <xdr:spPr>
        <a:xfrm>
          <a:off x="7264400" y="3235591700"/>
          <a:ext cx="878840" cy="1183640"/>
        </a:xfrm>
        <a:prstGeom prst="rect">
          <a:avLst/>
        </a:prstGeom>
      </xdr:spPr>
    </xdr:pic>
    <xdr:clientData/>
  </xdr:twoCellAnchor>
  <xdr:twoCellAnchor>
    <xdr:from>
      <xdr:col>8</xdr:col>
      <xdr:colOff>6350</xdr:colOff>
      <xdr:row>3278</xdr:row>
      <xdr:rowOff>25400</xdr:rowOff>
    </xdr:from>
    <xdr:to>
      <xdr:col>8</xdr:col>
      <xdr:colOff>885190</xdr:colOff>
      <xdr:row>3278</xdr:row>
      <xdr:rowOff>1209040</xdr:rowOff>
    </xdr:to>
    <xdr:pic>
      <xdr:nvPicPr>
        <xdr:cNvPr id="6763" name="Изображение 6762" descr="resizeПП-00214375"/>
        <xdr:cNvPicPr>
          <a:picLocks noChangeAspect="1"/>
        </xdr:cNvPicPr>
      </xdr:nvPicPr>
      <xdr:blipFill>
        <a:blip xmlns:r="http://schemas.openxmlformats.org/officeDocument/2006/relationships" r:embed="rId2469"/>
        <a:stretch>
          <a:fillRect/>
        </a:stretch>
      </xdr:blipFill>
      <xdr:spPr>
        <a:xfrm>
          <a:off x="7264400" y="3236814075"/>
          <a:ext cx="878840" cy="1183640"/>
        </a:xfrm>
        <a:prstGeom prst="rect">
          <a:avLst/>
        </a:prstGeom>
      </xdr:spPr>
    </xdr:pic>
    <xdr:clientData/>
  </xdr:twoCellAnchor>
  <xdr:twoCellAnchor>
    <xdr:from>
      <xdr:col>8</xdr:col>
      <xdr:colOff>6350</xdr:colOff>
      <xdr:row>3279</xdr:row>
      <xdr:rowOff>25400</xdr:rowOff>
    </xdr:from>
    <xdr:to>
      <xdr:col>8</xdr:col>
      <xdr:colOff>885190</xdr:colOff>
      <xdr:row>3279</xdr:row>
      <xdr:rowOff>1209040</xdr:rowOff>
    </xdr:to>
    <xdr:pic>
      <xdr:nvPicPr>
        <xdr:cNvPr id="6764" name="Изображение 6763" descr="resizeПП-00214122"/>
        <xdr:cNvPicPr>
          <a:picLocks noChangeAspect="1"/>
        </xdr:cNvPicPr>
      </xdr:nvPicPr>
      <xdr:blipFill>
        <a:blip xmlns:r="http://schemas.openxmlformats.org/officeDocument/2006/relationships" r:embed="rId2470"/>
        <a:stretch>
          <a:fillRect/>
        </a:stretch>
      </xdr:blipFill>
      <xdr:spPr>
        <a:xfrm>
          <a:off x="7264400" y="3238036450"/>
          <a:ext cx="878840" cy="1183640"/>
        </a:xfrm>
        <a:prstGeom prst="rect">
          <a:avLst/>
        </a:prstGeom>
      </xdr:spPr>
    </xdr:pic>
    <xdr:clientData/>
  </xdr:twoCellAnchor>
  <xdr:twoCellAnchor>
    <xdr:from>
      <xdr:col>8</xdr:col>
      <xdr:colOff>6350</xdr:colOff>
      <xdr:row>3280</xdr:row>
      <xdr:rowOff>25400</xdr:rowOff>
    </xdr:from>
    <xdr:to>
      <xdr:col>8</xdr:col>
      <xdr:colOff>885190</xdr:colOff>
      <xdr:row>3280</xdr:row>
      <xdr:rowOff>1209040</xdr:rowOff>
    </xdr:to>
    <xdr:pic>
      <xdr:nvPicPr>
        <xdr:cNvPr id="6765" name="Изображение 6764" descr="resizeПП-00214399"/>
        <xdr:cNvPicPr>
          <a:picLocks noChangeAspect="1"/>
        </xdr:cNvPicPr>
      </xdr:nvPicPr>
      <xdr:blipFill>
        <a:blip xmlns:r="http://schemas.openxmlformats.org/officeDocument/2006/relationships" r:embed="rId2471"/>
        <a:stretch>
          <a:fillRect/>
        </a:stretch>
      </xdr:blipFill>
      <xdr:spPr>
        <a:xfrm>
          <a:off x="7264400" y="3239258825"/>
          <a:ext cx="878840" cy="1183640"/>
        </a:xfrm>
        <a:prstGeom prst="rect">
          <a:avLst/>
        </a:prstGeom>
      </xdr:spPr>
    </xdr:pic>
    <xdr:clientData/>
  </xdr:twoCellAnchor>
  <xdr:twoCellAnchor>
    <xdr:from>
      <xdr:col>8</xdr:col>
      <xdr:colOff>6350</xdr:colOff>
      <xdr:row>3281</xdr:row>
      <xdr:rowOff>25400</xdr:rowOff>
    </xdr:from>
    <xdr:to>
      <xdr:col>8</xdr:col>
      <xdr:colOff>885190</xdr:colOff>
      <xdr:row>3281</xdr:row>
      <xdr:rowOff>1209040</xdr:rowOff>
    </xdr:to>
    <xdr:pic>
      <xdr:nvPicPr>
        <xdr:cNvPr id="6766" name="Изображение 6765" descr="resizeПП-00214401"/>
        <xdr:cNvPicPr>
          <a:picLocks noChangeAspect="1"/>
        </xdr:cNvPicPr>
      </xdr:nvPicPr>
      <xdr:blipFill>
        <a:blip xmlns:r="http://schemas.openxmlformats.org/officeDocument/2006/relationships" r:embed="rId2472"/>
        <a:stretch>
          <a:fillRect/>
        </a:stretch>
      </xdr:blipFill>
      <xdr:spPr>
        <a:xfrm>
          <a:off x="7264400" y="3240481200"/>
          <a:ext cx="878840" cy="1183640"/>
        </a:xfrm>
        <a:prstGeom prst="rect">
          <a:avLst/>
        </a:prstGeom>
      </xdr:spPr>
    </xdr:pic>
    <xdr:clientData/>
  </xdr:twoCellAnchor>
  <xdr:twoCellAnchor>
    <xdr:from>
      <xdr:col>8</xdr:col>
      <xdr:colOff>6350</xdr:colOff>
      <xdr:row>3282</xdr:row>
      <xdr:rowOff>25400</xdr:rowOff>
    </xdr:from>
    <xdr:to>
      <xdr:col>8</xdr:col>
      <xdr:colOff>885190</xdr:colOff>
      <xdr:row>3282</xdr:row>
      <xdr:rowOff>1209040</xdr:rowOff>
    </xdr:to>
    <xdr:pic>
      <xdr:nvPicPr>
        <xdr:cNvPr id="6767" name="Изображение 6766" descr="resizeПП-00214402"/>
        <xdr:cNvPicPr>
          <a:picLocks noChangeAspect="1"/>
        </xdr:cNvPicPr>
      </xdr:nvPicPr>
      <xdr:blipFill>
        <a:blip xmlns:r="http://schemas.openxmlformats.org/officeDocument/2006/relationships" r:embed="rId2473"/>
        <a:stretch>
          <a:fillRect/>
        </a:stretch>
      </xdr:blipFill>
      <xdr:spPr>
        <a:xfrm>
          <a:off x="7264400" y="3241703575"/>
          <a:ext cx="878840" cy="1183640"/>
        </a:xfrm>
        <a:prstGeom prst="rect">
          <a:avLst/>
        </a:prstGeom>
      </xdr:spPr>
    </xdr:pic>
    <xdr:clientData/>
  </xdr:twoCellAnchor>
  <xdr:twoCellAnchor>
    <xdr:from>
      <xdr:col>8</xdr:col>
      <xdr:colOff>6350</xdr:colOff>
      <xdr:row>3283</xdr:row>
      <xdr:rowOff>25400</xdr:rowOff>
    </xdr:from>
    <xdr:to>
      <xdr:col>8</xdr:col>
      <xdr:colOff>885190</xdr:colOff>
      <xdr:row>3283</xdr:row>
      <xdr:rowOff>1209040</xdr:rowOff>
    </xdr:to>
    <xdr:pic>
      <xdr:nvPicPr>
        <xdr:cNvPr id="6768" name="Изображение 6767" descr="resizeПП-00214123"/>
        <xdr:cNvPicPr>
          <a:picLocks noChangeAspect="1"/>
        </xdr:cNvPicPr>
      </xdr:nvPicPr>
      <xdr:blipFill>
        <a:blip xmlns:r="http://schemas.openxmlformats.org/officeDocument/2006/relationships" r:embed="rId2474"/>
        <a:stretch>
          <a:fillRect/>
        </a:stretch>
      </xdr:blipFill>
      <xdr:spPr>
        <a:xfrm>
          <a:off x="7264400" y="3242925950"/>
          <a:ext cx="878840" cy="1183640"/>
        </a:xfrm>
        <a:prstGeom prst="rect">
          <a:avLst/>
        </a:prstGeom>
      </xdr:spPr>
    </xdr:pic>
    <xdr:clientData/>
  </xdr:twoCellAnchor>
  <xdr:twoCellAnchor>
    <xdr:from>
      <xdr:col>8</xdr:col>
      <xdr:colOff>6350</xdr:colOff>
      <xdr:row>3284</xdr:row>
      <xdr:rowOff>25400</xdr:rowOff>
    </xdr:from>
    <xdr:to>
      <xdr:col>8</xdr:col>
      <xdr:colOff>885190</xdr:colOff>
      <xdr:row>3284</xdr:row>
      <xdr:rowOff>1209040</xdr:rowOff>
    </xdr:to>
    <xdr:pic>
      <xdr:nvPicPr>
        <xdr:cNvPr id="6769" name="Изображение 6768" descr="resizeПП-00278686"/>
        <xdr:cNvPicPr>
          <a:picLocks noChangeAspect="1"/>
        </xdr:cNvPicPr>
      </xdr:nvPicPr>
      <xdr:blipFill>
        <a:blip xmlns:r="http://schemas.openxmlformats.org/officeDocument/2006/relationships" r:embed="rId2475"/>
        <a:stretch>
          <a:fillRect/>
        </a:stretch>
      </xdr:blipFill>
      <xdr:spPr>
        <a:xfrm>
          <a:off x="7264400" y="3244148325"/>
          <a:ext cx="878840" cy="1183640"/>
        </a:xfrm>
        <a:prstGeom prst="rect">
          <a:avLst/>
        </a:prstGeom>
      </xdr:spPr>
    </xdr:pic>
    <xdr:clientData/>
  </xdr:twoCellAnchor>
  <xdr:twoCellAnchor>
    <xdr:from>
      <xdr:col>8</xdr:col>
      <xdr:colOff>6350</xdr:colOff>
      <xdr:row>3285</xdr:row>
      <xdr:rowOff>25400</xdr:rowOff>
    </xdr:from>
    <xdr:to>
      <xdr:col>8</xdr:col>
      <xdr:colOff>885190</xdr:colOff>
      <xdr:row>3285</xdr:row>
      <xdr:rowOff>1209040</xdr:rowOff>
    </xdr:to>
    <xdr:pic>
      <xdr:nvPicPr>
        <xdr:cNvPr id="6770" name="Изображение 6769" descr="resizeПП-00278691"/>
        <xdr:cNvPicPr>
          <a:picLocks noChangeAspect="1"/>
        </xdr:cNvPicPr>
      </xdr:nvPicPr>
      <xdr:blipFill>
        <a:blip xmlns:r="http://schemas.openxmlformats.org/officeDocument/2006/relationships" r:embed="rId2476"/>
        <a:stretch>
          <a:fillRect/>
        </a:stretch>
      </xdr:blipFill>
      <xdr:spPr>
        <a:xfrm>
          <a:off x="7264400" y="3245370700"/>
          <a:ext cx="878840" cy="1183640"/>
        </a:xfrm>
        <a:prstGeom prst="rect">
          <a:avLst/>
        </a:prstGeom>
      </xdr:spPr>
    </xdr:pic>
    <xdr:clientData/>
  </xdr:twoCellAnchor>
  <xdr:twoCellAnchor>
    <xdr:from>
      <xdr:col>8</xdr:col>
      <xdr:colOff>6350</xdr:colOff>
      <xdr:row>3286</xdr:row>
      <xdr:rowOff>25400</xdr:rowOff>
    </xdr:from>
    <xdr:to>
      <xdr:col>8</xdr:col>
      <xdr:colOff>885190</xdr:colOff>
      <xdr:row>3286</xdr:row>
      <xdr:rowOff>1209040</xdr:rowOff>
    </xdr:to>
    <xdr:pic>
      <xdr:nvPicPr>
        <xdr:cNvPr id="6771" name="Изображение 6770" descr="resizeПП-00278675"/>
        <xdr:cNvPicPr>
          <a:picLocks noChangeAspect="1"/>
        </xdr:cNvPicPr>
      </xdr:nvPicPr>
      <xdr:blipFill>
        <a:blip xmlns:r="http://schemas.openxmlformats.org/officeDocument/2006/relationships" r:embed="rId2477"/>
        <a:stretch>
          <a:fillRect/>
        </a:stretch>
      </xdr:blipFill>
      <xdr:spPr>
        <a:xfrm>
          <a:off x="7264400" y="3246593075"/>
          <a:ext cx="878840" cy="1183640"/>
        </a:xfrm>
        <a:prstGeom prst="rect">
          <a:avLst/>
        </a:prstGeom>
      </xdr:spPr>
    </xdr:pic>
    <xdr:clientData/>
  </xdr:twoCellAnchor>
  <xdr:twoCellAnchor>
    <xdr:from>
      <xdr:col>8</xdr:col>
      <xdr:colOff>6350</xdr:colOff>
      <xdr:row>3287</xdr:row>
      <xdr:rowOff>25400</xdr:rowOff>
    </xdr:from>
    <xdr:to>
      <xdr:col>8</xdr:col>
      <xdr:colOff>885190</xdr:colOff>
      <xdr:row>3287</xdr:row>
      <xdr:rowOff>1209040</xdr:rowOff>
    </xdr:to>
    <xdr:pic>
      <xdr:nvPicPr>
        <xdr:cNvPr id="6772" name="Изображение 6771" descr="resizeПП-00278669"/>
        <xdr:cNvPicPr>
          <a:picLocks noChangeAspect="1"/>
        </xdr:cNvPicPr>
      </xdr:nvPicPr>
      <xdr:blipFill>
        <a:blip xmlns:r="http://schemas.openxmlformats.org/officeDocument/2006/relationships" r:embed="rId2478"/>
        <a:stretch>
          <a:fillRect/>
        </a:stretch>
      </xdr:blipFill>
      <xdr:spPr>
        <a:xfrm>
          <a:off x="7264400" y="3247815450"/>
          <a:ext cx="878840" cy="1183640"/>
        </a:xfrm>
        <a:prstGeom prst="rect">
          <a:avLst/>
        </a:prstGeom>
      </xdr:spPr>
    </xdr:pic>
    <xdr:clientData/>
  </xdr:twoCellAnchor>
  <xdr:twoCellAnchor>
    <xdr:from>
      <xdr:col>8</xdr:col>
      <xdr:colOff>6350</xdr:colOff>
      <xdr:row>3288</xdr:row>
      <xdr:rowOff>25400</xdr:rowOff>
    </xdr:from>
    <xdr:to>
      <xdr:col>8</xdr:col>
      <xdr:colOff>885190</xdr:colOff>
      <xdr:row>3288</xdr:row>
      <xdr:rowOff>1209040</xdr:rowOff>
    </xdr:to>
    <xdr:pic>
      <xdr:nvPicPr>
        <xdr:cNvPr id="6773" name="Изображение 6772" descr="resizeПП-00278672"/>
        <xdr:cNvPicPr>
          <a:picLocks noChangeAspect="1"/>
        </xdr:cNvPicPr>
      </xdr:nvPicPr>
      <xdr:blipFill>
        <a:blip xmlns:r="http://schemas.openxmlformats.org/officeDocument/2006/relationships" r:embed="rId2479"/>
        <a:stretch>
          <a:fillRect/>
        </a:stretch>
      </xdr:blipFill>
      <xdr:spPr>
        <a:xfrm>
          <a:off x="7264400" y="3249037825"/>
          <a:ext cx="878840" cy="1183640"/>
        </a:xfrm>
        <a:prstGeom prst="rect">
          <a:avLst/>
        </a:prstGeom>
      </xdr:spPr>
    </xdr:pic>
    <xdr:clientData/>
  </xdr:twoCellAnchor>
  <xdr:twoCellAnchor>
    <xdr:from>
      <xdr:col>8</xdr:col>
      <xdr:colOff>6350</xdr:colOff>
      <xdr:row>3289</xdr:row>
      <xdr:rowOff>25400</xdr:rowOff>
    </xdr:from>
    <xdr:to>
      <xdr:col>8</xdr:col>
      <xdr:colOff>885190</xdr:colOff>
      <xdr:row>3289</xdr:row>
      <xdr:rowOff>1209040</xdr:rowOff>
    </xdr:to>
    <xdr:pic>
      <xdr:nvPicPr>
        <xdr:cNvPr id="6774" name="Изображение 6773" descr="resizeПП-00278657"/>
        <xdr:cNvPicPr>
          <a:picLocks noChangeAspect="1"/>
        </xdr:cNvPicPr>
      </xdr:nvPicPr>
      <xdr:blipFill>
        <a:blip xmlns:r="http://schemas.openxmlformats.org/officeDocument/2006/relationships" r:embed="rId2480"/>
        <a:stretch>
          <a:fillRect/>
        </a:stretch>
      </xdr:blipFill>
      <xdr:spPr>
        <a:xfrm>
          <a:off x="7264400" y="3250260200"/>
          <a:ext cx="878840" cy="1183640"/>
        </a:xfrm>
        <a:prstGeom prst="rect">
          <a:avLst/>
        </a:prstGeom>
      </xdr:spPr>
    </xdr:pic>
    <xdr:clientData/>
  </xdr:twoCellAnchor>
  <xdr:twoCellAnchor>
    <xdr:from>
      <xdr:col>8</xdr:col>
      <xdr:colOff>6350</xdr:colOff>
      <xdr:row>3290</xdr:row>
      <xdr:rowOff>25400</xdr:rowOff>
    </xdr:from>
    <xdr:to>
      <xdr:col>8</xdr:col>
      <xdr:colOff>885190</xdr:colOff>
      <xdr:row>3290</xdr:row>
      <xdr:rowOff>1209040</xdr:rowOff>
    </xdr:to>
    <xdr:pic>
      <xdr:nvPicPr>
        <xdr:cNvPr id="6775" name="Изображение 6774" descr="resizeПП-00278666"/>
        <xdr:cNvPicPr>
          <a:picLocks noChangeAspect="1"/>
        </xdr:cNvPicPr>
      </xdr:nvPicPr>
      <xdr:blipFill>
        <a:blip xmlns:r="http://schemas.openxmlformats.org/officeDocument/2006/relationships" r:embed="rId2481"/>
        <a:stretch>
          <a:fillRect/>
        </a:stretch>
      </xdr:blipFill>
      <xdr:spPr>
        <a:xfrm>
          <a:off x="7264400" y="3251482575"/>
          <a:ext cx="878840" cy="1183640"/>
        </a:xfrm>
        <a:prstGeom prst="rect">
          <a:avLst/>
        </a:prstGeom>
      </xdr:spPr>
    </xdr:pic>
    <xdr:clientData/>
  </xdr:twoCellAnchor>
  <xdr:twoCellAnchor>
    <xdr:from>
      <xdr:col>8</xdr:col>
      <xdr:colOff>6350</xdr:colOff>
      <xdr:row>3291</xdr:row>
      <xdr:rowOff>25400</xdr:rowOff>
    </xdr:from>
    <xdr:to>
      <xdr:col>8</xdr:col>
      <xdr:colOff>885190</xdr:colOff>
      <xdr:row>3291</xdr:row>
      <xdr:rowOff>1209040</xdr:rowOff>
    </xdr:to>
    <xdr:pic>
      <xdr:nvPicPr>
        <xdr:cNvPr id="6776" name="Изображение 6775" descr="resizeПП-00278680"/>
        <xdr:cNvPicPr>
          <a:picLocks noChangeAspect="1"/>
        </xdr:cNvPicPr>
      </xdr:nvPicPr>
      <xdr:blipFill>
        <a:blip xmlns:r="http://schemas.openxmlformats.org/officeDocument/2006/relationships" r:embed="rId2482"/>
        <a:stretch>
          <a:fillRect/>
        </a:stretch>
      </xdr:blipFill>
      <xdr:spPr>
        <a:xfrm>
          <a:off x="7264400" y="3252704950"/>
          <a:ext cx="878840" cy="1183640"/>
        </a:xfrm>
        <a:prstGeom prst="rect">
          <a:avLst/>
        </a:prstGeom>
      </xdr:spPr>
    </xdr:pic>
    <xdr:clientData/>
  </xdr:twoCellAnchor>
  <xdr:twoCellAnchor>
    <xdr:from>
      <xdr:col>8</xdr:col>
      <xdr:colOff>6350</xdr:colOff>
      <xdr:row>3292</xdr:row>
      <xdr:rowOff>25400</xdr:rowOff>
    </xdr:from>
    <xdr:to>
      <xdr:col>8</xdr:col>
      <xdr:colOff>1189990</xdr:colOff>
      <xdr:row>3292</xdr:row>
      <xdr:rowOff>904240</xdr:rowOff>
    </xdr:to>
    <xdr:pic>
      <xdr:nvPicPr>
        <xdr:cNvPr id="6777" name="Изображение 6776" descr="resizeПП-00278637"/>
        <xdr:cNvPicPr>
          <a:picLocks noChangeAspect="1"/>
        </xdr:cNvPicPr>
      </xdr:nvPicPr>
      <xdr:blipFill>
        <a:blip xmlns:r="http://schemas.openxmlformats.org/officeDocument/2006/relationships" r:embed="rId2483"/>
        <a:stretch>
          <a:fillRect/>
        </a:stretch>
      </xdr:blipFill>
      <xdr:spPr>
        <a:xfrm>
          <a:off x="7264400" y="3253927325"/>
          <a:ext cx="1183640" cy="878840"/>
        </a:xfrm>
        <a:prstGeom prst="rect">
          <a:avLst/>
        </a:prstGeom>
      </xdr:spPr>
    </xdr:pic>
    <xdr:clientData/>
  </xdr:twoCellAnchor>
  <xdr:twoCellAnchor>
    <xdr:from>
      <xdr:col>8</xdr:col>
      <xdr:colOff>6350</xdr:colOff>
      <xdr:row>3293</xdr:row>
      <xdr:rowOff>25400</xdr:rowOff>
    </xdr:from>
    <xdr:to>
      <xdr:col>8</xdr:col>
      <xdr:colOff>885190</xdr:colOff>
      <xdr:row>3293</xdr:row>
      <xdr:rowOff>1209040</xdr:rowOff>
    </xdr:to>
    <xdr:pic>
      <xdr:nvPicPr>
        <xdr:cNvPr id="6778" name="Изображение 6777" descr="resizeПП-00278636"/>
        <xdr:cNvPicPr>
          <a:picLocks noChangeAspect="1"/>
        </xdr:cNvPicPr>
      </xdr:nvPicPr>
      <xdr:blipFill>
        <a:blip xmlns:r="http://schemas.openxmlformats.org/officeDocument/2006/relationships" r:embed="rId2484"/>
        <a:stretch>
          <a:fillRect/>
        </a:stretch>
      </xdr:blipFill>
      <xdr:spPr>
        <a:xfrm>
          <a:off x="7264400" y="3255149700"/>
          <a:ext cx="878840" cy="1183640"/>
        </a:xfrm>
        <a:prstGeom prst="rect">
          <a:avLst/>
        </a:prstGeom>
      </xdr:spPr>
    </xdr:pic>
    <xdr:clientData/>
  </xdr:twoCellAnchor>
  <xdr:twoCellAnchor>
    <xdr:from>
      <xdr:col>8</xdr:col>
      <xdr:colOff>6350</xdr:colOff>
      <xdr:row>3294</xdr:row>
      <xdr:rowOff>25400</xdr:rowOff>
    </xdr:from>
    <xdr:to>
      <xdr:col>8</xdr:col>
      <xdr:colOff>885190</xdr:colOff>
      <xdr:row>3294</xdr:row>
      <xdr:rowOff>1209040</xdr:rowOff>
    </xdr:to>
    <xdr:pic>
      <xdr:nvPicPr>
        <xdr:cNvPr id="6779" name="Изображение 6778" descr="resizeПП-00278633"/>
        <xdr:cNvPicPr>
          <a:picLocks noChangeAspect="1"/>
        </xdr:cNvPicPr>
      </xdr:nvPicPr>
      <xdr:blipFill>
        <a:blip xmlns:r="http://schemas.openxmlformats.org/officeDocument/2006/relationships" r:embed="rId2485"/>
        <a:stretch>
          <a:fillRect/>
        </a:stretch>
      </xdr:blipFill>
      <xdr:spPr>
        <a:xfrm>
          <a:off x="7264400" y="3256372075"/>
          <a:ext cx="878840" cy="1183640"/>
        </a:xfrm>
        <a:prstGeom prst="rect">
          <a:avLst/>
        </a:prstGeom>
      </xdr:spPr>
    </xdr:pic>
    <xdr:clientData/>
  </xdr:twoCellAnchor>
  <xdr:twoCellAnchor>
    <xdr:from>
      <xdr:col>8</xdr:col>
      <xdr:colOff>6350</xdr:colOff>
      <xdr:row>3295</xdr:row>
      <xdr:rowOff>25400</xdr:rowOff>
    </xdr:from>
    <xdr:to>
      <xdr:col>8</xdr:col>
      <xdr:colOff>885190</xdr:colOff>
      <xdr:row>3295</xdr:row>
      <xdr:rowOff>1209040</xdr:rowOff>
    </xdr:to>
    <xdr:pic>
      <xdr:nvPicPr>
        <xdr:cNvPr id="6780" name="Изображение 6779" descr="resizeПП-00278634"/>
        <xdr:cNvPicPr>
          <a:picLocks noChangeAspect="1"/>
        </xdr:cNvPicPr>
      </xdr:nvPicPr>
      <xdr:blipFill>
        <a:blip xmlns:r="http://schemas.openxmlformats.org/officeDocument/2006/relationships" r:embed="rId2486"/>
        <a:stretch>
          <a:fillRect/>
        </a:stretch>
      </xdr:blipFill>
      <xdr:spPr>
        <a:xfrm>
          <a:off x="7264400" y="3257594450"/>
          <a:ext cx="878840" cy="1183640"/>
        </a:xfrm>
        <a:prstGeom prst="rect">
          <a:avLst/>
        </a:prstGeom>
      </xdr:spPr>
    </xdr:pic>
    <xdr:clientData/>
  </xdr:twoCellAnchor>
  <xdr:twoCellAnchor>
    <xdr:from>
      <xdr:col>8</xdr:col>
      <xdr:colOff>6350</xdr:colOff>
      <xdr:row>3296</xdr:row>
      <xdr:rowOff>25400</xdr:rowOff>
    </xdr:from>
    <xdr:to>
      <xdr:col>8</xdr:col>
      <xdr:colOff>885190</xdr:colOff>
      <xdr:row>3296</xdr:row>
      <xdr:rowOff>1209040</xdr:rowOff>
    </xdr:to>
    <xdr:pic>
      <xdr:nvPicPr>
        <xdr:cNvPr id="6781" name="Изображение 6780" descr="resizeПП-00278631"/>
        <xdr:cNvPicPr>
          <a:picLocks noChangeAspect="1"/>
        </xdr:cNvPicPr>
      </xdr:nvPicPr>
      <xdr:blipFill>
        <a:blip xmlns:r="http://schemas.openxmlformats.org/officeDocument/2006/relationships" r:embed="rId2487"/>
        <a:stretch>
          <a:fillRect/>
        </a:stretch>
      </xdr:blipFill>
      <xdr:spPr>
        <a:xfrm>
          <a:off x="7264400" y="3258816825"/>
          <a:ext cx="878840" cy="1183640"/>
        </a:xfrm>
        <a:prstGeom prst="rect">
          <a:avLst/>
        </a:prstGeom>
      </xdr:spPr>
    </xdr:pic>
    <xdr:clientData/>
  </xdr:twoCellAnchor>
  <xdr:twoCellAnchor>
    <xdr:from>
      <xdr:col>8</xdr:col>
      <xdr:colOff>6350</xdr:colOff>
      <xdr:row>3297</xdr:row>
      <xdr:rowOff>25400</xdr:rowOff>
    </xdr:from>
    <xdr:to>
      <xdr:col>8</xdr:col>
      <xdr:colOff>885190</xdr:colOff>
      <xdr:row>3297</xdr:row>
      <xdr:rowOff>1209040</xdr:rowOff>
    </xdr:to>
    <xdr:pic>
      <xdr:nvPicPr>
        <xdr:cNvPr id="6782" name="Изображение 6781" descr="resizeПП-00278639"/>
        <xdr:cNvPicPr>
          <a:picLocks noChangeAspect="1"/>
        </xdr:cNvPicPr>
      </xdr:nvPicPr>
      <xdr:blipFill>
        <a:blip xmlns:r="http://schemas.openxmlformats.org/officeDocument/2006/relationships" r:embed="rId2488"/>
        <a:stretch>
          <a:fillRect/>
        </a:stretch>
      </xdr:blipFill>
      <xdr:spPr>
        <a:xfrm>
          <a:off x="7264400" y="3260039200"/>
          <a:ext cx="878840" cy="1183640"/>
        </a:xfrm>
        <a:prstGeom prst="rect">
          <a:avLst/>
        </a:prstGeom>
      </xdr:spPr>
    </xdr:pic>
    <xdr:clientData/>
  </xdr:twoCellAnchor>
  <xdr:twoCellAnchor>
    <xdr:from>
      <xdr:col>8</xdr:col>
      <xdr:colOff>6350</xdr:colOff>
      <xdr:row>3298</xdr:row>
      <xdr:rowOff>25400</xdr:rowOff>
    </xdr:from>
    <xdr:to>
      <xdr:col>8</xdr:col>
      <xdr:colOff>885190</xdr:colOff>
      <xdr:row>3298</xdr:row>
      <xdr:rowOff>1209040</xdr:rowOff>
    </xdr:to>
    <xdr:pic>
      <xdr:nvPicPr>
        <xdr:cNvPr id="6783" name="Изображение 6782" descr="resizeПП-00278638"/>
        <xdr:cNvPicPr>
          <a:picLocks noChangeAspect="1"/>
        </xdr:cNvPicPr>
      </xdr:nvPicPr>
      <xdr:blipFill>
        <a:blip xmlns:r="http://schemas.openxmlformats.org/officeDocument/2006/relationships" r:embed="rId2489"/>
        <a:stretch>
          <a:fillRect/>
        </a:stretch>
      </xdr:blipFill>
      <xdr:spPr>
        <a:xfrm>
          <a:off x="7264400" y="3261261575"/>
          <a:ext cx="878840" cy="1183640"/>
        </a:xfrm>
        <a:prstGeom prst="rect">
          <a:avLst/>
        </a:prstGeom>
      </xdr:spPr>
    </xdr:pic>
    <xdr:clientData/>
  </xdr:twoCellAnchor>
  <xdr:twoCellAnchor>
    <xdr:from>
      <xdr:col>8</xdr:col>
      <xdr:colOff>6350</xdr:colOff>
      <xdr:row>3299</xdr:row>
      <xdr:rowOff>25400</xdr:rowOff>
    </xdr:from>
    <xdr:to>
      <xdr:col>8</xdr:col>
      <xdr:colOff>885190</xdr:colOff>
      <xdr:row>3299</xdr:row>
      <xdr:rowOff>1209040</xdr:rowOff>
    </xdr:to>
    <xdr:pic>
      <xdr:nvPicPr>
        <xdr:cNvPr id="6784" name="Изображение 6783" descr="resizeПП-00278632"/>
        <xdr:cNvPicPr>
          <a:picLocks noChangeAspect="1"/>
        </xdr:cNvPicPr>
      </xdr:nvPicPr>
      <xdr:blipFill>
        <a:blip xmlns:r="http://schemas.openxmlformats.org/officeDocument/2006/relationships" r:embed="rId2490"/>
        <a:stretch>
          <a:fillRect/>
        </a:stretch>
      </xdr:blipFill>
      <xdr:spPr>
        <a:xfrm>
          <a:off x="7264400" y="3262483950"/>
          <a:ext cx="878840" cy="1183640"/>
        </a:xfrm>
        <a:prstGeom prst="rect">
          <a:avLst/>
        </a:prstGeom>
      </xdr:spPr>
    </xdr:pic>
    <xdr:clientData/>
  </xdr:twoCellAnchor>
  <xdr:twoCellAnchor>
    <xdr:from>
      <xdr:col>8</xdr:col>
      <xdr:colOff>6350</xdr:colOff>
      <xdr:row>3302</xdr:row>
      <xdr:rowOff>25400</xdr:rowOff>
    </xdr:from>
    <xdr:to>
      <xdr:col>8</xdr:col>
      <xdr:colOff>885190</xdr:colOff>
      <xdr:row>3302</xdr:row>
      <xdr:rowOff>1209040</xdr:rowOff>
    </xdr:to>
    <xdr:pic>
      <xdr:nvPicPr>
        <xdr:cNvPr id="6785" name="Изображение 6784" descr="resizeПП-00257348"/>
        <xdr:cNvPicPr>
          <a:picLocks noChangeAspect="1"/>
        </xdr:cNvPicPr>
      </xdr:nvPicPr>
      <xdr:blipFill>
        <a:blip xmlns:r="http://schemas.openxmlformats.org/officeDocument/2006/relationships" r:embed="rId2491"/>
        <a:stretch>
          <a:fillRect/>
        </a:stretch>
      </xdr:blipFill>
      <xdr:spPr>
        <a:xfrm>
          <a:off x="7264400" y="3264011125"/>
          <a:ext cx="878840" cy="1183640"/>
        </a:xfrm>
        <a:prstGeom prst="rect">
          <a:avLst/>
        </a:prstGeom>
      </xdr:spPr>
    </xdr:pic>
    <xdr:clientData/>
  </xdr:twoCellAnchor>
  <xdr:twoCellAnchor>
    <xdr:from>
      <xdr:col>8</xdr:col>
      <xdr:colOff>6350</xdr:colOff>
      <xdr:row>3303</xdr:row>
      <xdr:rowOff>25400</xdr:rowOff>
    </xdr:from>
    <xdr:to>
      <xdr:col>8</xdr:col>
      <xdr:colOff>885190</xdr:colOff>
      <xdr:row>3303</xdr:row>
      <xdr:rowOff>1209040</xdr:rowOff>
    </xdr:to>
    <xdr:pic>
      <xdr:nvPicPr>
        <xdr:cNvPr id="6786" name="Изображение 6785" descr="resizeПП-00221370"/>
        <xdr:cNvPicPr>
          <a:picLocks noChangeAspect="1"/>
        </xdr:cNvPicPr>
      </xdr:nvPicPr>
      <xdr:blipFill>
        <a:blip xmlns:r="http://schemas.openxmlformats.org/officeDocument/2006/relationships" r:embed="rId2492"/>
        <a:stretch>
          <a:fillRect/>
        </a:stretch>
      </xdr:blipFill>
      <xdr:spPr>
        <a:xfrm>
          <a:off x="7264400" y="3265233500"/>
          <a:ext cx="878840" cy="1183640"/>
        </a:xfrm>
        <a:prstGeom prst="rect">
          <a:avLst/>
        </a:prstGeom>
      </xdr:spPr>
    </xdr:pic>
    <xdr:clientData/>
  </xdr:twoCellAnchor>
  <xdr:twoCellAnchor>
    <xdr:from>
      <xdr:col>8</xdr:col>
      <xdr:colOff>6350</xdr:colOff>
      <xdr:row>3304</xdr:row>
      <xdr:rowOff>25400</xdr:rowOff>
    </xdr:from>
    <xdr:to>
      <xdr:col>8</xdr:col>
      <xdr:colOff>885190</xdr:colOff>
      <xdr:row>3304</xdr:row>
      <xdr:rowOff>1209040</xdr:rowOff>
    </xdr:to>
    <xdr:pic>
      <xdr:nvPicPr>
        <xdr:cNvPr id="6787" name="Изображение 6786" descr="resizeПП-00262380"/>
        <xdr:cNvPicPr>
          <a:picLocks noChangeAspect="1"/>
        </xdr:cNvPicPr>
      </xdr:nvPicPr>
      <xdr:blipFill>
        <a:blip xmlns:r="http://schemas.openxmlformats.org/officeDocument/2006/relationships" r:embed="rId2493"/>
        <a:stretch>
          <a:fillRect/>
        </a:stretch>
      </xdr:blipFill>
      <xdr:spPr>
        <a:xfrm>
          <a:off x="7264400" y="3266455875"/>
          <a:ext cx="878840" cy="1183640"/>
        </a:xfrm>
        <a:prstGeom prst="rect">
          <a:avLst/>
        </a:prstGeom>
      </xdr:spPr>
    </xdr:pic>
    <xdr:clientData/>
  </xdr:twoCellAnchor>
  <xdr:twoCellAnchor>
    <xdr:from>
      <xdr:col>8</xdr:col>
      <xdr:colOff>6350</xdr:colOff>
      <xdr:row>3305</xdr:row>
      <xdr:rowOff>25400</xdr:rowOff>
    </xdr:from>
    <xdr:to>
      <xdr:col>8</xdr:col>
      <xdr:colOff>885190</xdr:colOff>
      <xdr:row>3305</xdr:row>
      <xdr:rowOff>1209040</xdr:rowOff>
    </xdr:to>
    <xdr:pic>
      <xdr:nvPicPr>
        <xdr:cNvPr id="6788" name="Изображение 6787" descr="resizeПП-00239010"/>
        <xdr:cNvPicPr>
          <a:picLocks noChangeAspect="1"/>
        </xdr:cNvPicPr>
      </xdr:nvPicPr>
      <xdr:blipFill>
        <a:blip xmlns:r="http://schemas.openxmlformats.org/officeDocument/2006/relationships" r:embed="rId2494"/>
        <a:stretch>
          <a:fillRect/>
        </a:stretch>
      </xdr:blipFill>
      <xdr:spPr>
        <a:xfrm>
          <a:off x="7264400" y="3267678250"/>
          <a:ext cx="878840" cy="1183640"/>
        </a:xfrm>
        <a:prstGeom prst="rect">
          <a:avLst/>
        </a:prstGeom>
      </xdr:spPr>
    </xdr:pic>
    <xdr:clientData/>
  </xdr:twoCellAnchor>
  <xdr:twoCellAnchor>
    <xdr:from>
      <xdr:col>8</xdr:col>
      <xdr:colOff>6350</xdr:colOff>
      <xdr:row>3306</xdr:row>
      <xdr:rowOff>25400</xdr:rowOff>
    </xdr:from>
    <xdr:to>
      <xdr:col>8</xdr:col>
      <xdr:colOff>885190</xdr:colOff>
      <xdr:row>3306</xdr:row>
      <xdr:rowOff>1209040</xdr:rowOff>
    </xdr:to>
    <xdr:pic>
      <xdr:nvPicPr>
        <xdr:cNvPr id="6789" name="Изображение 6788" descr="resizeПП-00239012"/>
        <xdr:cNvPicPr>
          <a:picLocks noChangeAspect="1"/>
        </xdr:cNvPicPr>
      </xdr:nvPicPr>
      <xdr:blipFill>
        <a:blip xmlns:r="http://schemas.openxmlformats.org/officeDocument/2006/relationships" r:embed="rId2495"/>
        <a:stretch>
          <a:fillRect/>
        </a:stretch>
      </xdr:blipFill>
      <xdr:spPr>
        <a:xfrm>
          <a:off x="7264400" y="3268900625"/>
          <a:ext cx="878840" cy="1183640"/>
        </a:xfrm>
        <a:prstGeom prst="rect">
          <a:avLst/>
        </a:prstGeom>
      </xdr:spPr>
    </xdr:pic>
    <xdr:clientData/>
  </xdr:twoCellAnchor>
  <xdr:twoCellAnchor>
    <xdr:from>
      <xdr:col>8</xdr:col>
      <xdr:colOff>6350</xdr:colOff>
      <xdr:row>3307</xdr:row>
      <xdr:rowOff>25400</xdr:rowOff>
    </xdr:from>
    <xdr:to>
      <xdr:col>8</xdr:col>
      <xdr:colOff>885190</xdr:colOff>
      <xdr:row>3307</xdr:row>
      <xdr:rowOff>1209040</xdr:rowOff>
    </xdr:to>
    <xdr:pic>
      <xdr:nvPicPr>
        <xdr:cNvPr id="6790" name="Изображение 6789" descr="resizeПП-00239007"/>
        <xdr:cNvPicPr>
          <a:picLocks noChangeAspect="1"/>
        </xdr:cNvPicPr>
      </xdr:nvPicPr>
      <xdr:blipFill>
        <a:blip xmlns:r="http://schemas.openxmlformats.org/officeDocument/2006/relationships" r:embed="rId2496"/>
        <a:stretch>
          <a:fillRect/>
        </a:stretch>
      </xdr:blipFill>
      <xdr:spPr>
        <a:xfrm>
          <a:off x="7264400" y="3270123000"/>
          <a:ext cx="878840" cy="1183640"/>
        </a:xfrm>
        <a:prstGeom prst="rect">
          <a:avLst/>
        </a:prstGeom>
      </xdr:spPr>
    </xdr:pic>
    <xdr:clientData/>
  </xdr:twoCellAnchor>
  <xdr:twoCellAnchor>
    <xdr:from>
      <xdr:col>8</xdr:col>
      <xdr:colOff>6350</xdr:colOff>
      <xdr:row>3308</xdr:row>
      <xdr:rowOff>25400</xdr:rowOff>
    </xdr:from>
    <xdr:to>
      <xdr:col>8</xdr:col>
      <xdr:colOff>885190</xdr:colOff>
      <xdr:row>3308</xdr:row>
      <xdr:rowOff>1209040</xdr:rowOff>
    </xdr:to>
    <xdr:pic>
      <xdr:nvPicPr>
        <xdr:cNvPr id="6791" name="Изображение 6790" descr="resizeПП-00239020"/>
        <xdr:cNvPicPr>
          <a:picLocks noChangeAspect="1"/>
        </xdr:cNvPicPr>
      </xdr:nvPicPr>
      <xdr:blipFill>
        <a:blip xmlns:r="http://schemas.openxmlformats.org/officeDocument/2006/relationships" r:embed="rId2497"/>
        <a:stretch>
          <a:fillRect/>
        </a:stretch>
      </xdr:blipFill>
      <xdr:spPr>
        <a:xfrm>
          <a:off x="7264400" y="3271345375"/>
          <a:ext cx="878840" cy="1183640"/>
        </a:xfrm>
        <a:prstGeom prst="rect">
          <a:avLst/>
        </a:prstGeom>
      </xdr:spPr>
    </xdr:pic>
    <xdr:clientData/>
  </xdr:twoCellAnchor>
  <xdr:twoCellAnchor>
    <xdr:from>
      <xdr:col>8</xdr:col>
      <xdr:colOff>6350</xdr:colOff>
      <xdr:row>3310</xdr:row>
      <xdr:rowOff>25400</xdr:rowOff>
    </xdr:from>
    <xdr:to>
      <xdr:col>8</xdr:col>
      <xdr:colOff>885190</xdr:colOff>
      <xdr:row>3310</xdr:row>
      <xdr:rowOff>1209040</xdr:rowOff>
    </xdr:to>
    <xdr:pic>
      <xdr:nvPicPr>
        <xdr:cNvPr id="6792" name="Изображение 6791" descr="resizeПП-00257331"/>
        <xdr:cNvPicPr>
          <a:picLocks noChangeAspect="1"/>
        </xdr:cNvPicPr>
      </xdr:nvPicPr>
      <xdr:blipFill>
        <a:blip xmlns:r="http://schemas.openxmlformats.org/officeDocument/2006/relationships" r:embed="rId2498"/>
        <a:stretch>
          <a:fillRect/>
        </a:stretch>
      </xdr:blipFill>
      <xdr:spPr>
        <a:xfrm>
          <a:off x="7264400" y="3272720150"/>
          <a:ext cx="878840" cy="1183640"/>
        </a:xfrm>
        <a:prstGeom prst="rect">
          <a:avLst/>
        </a:prstGeom>
      </xdr:spPr>
    </xdr:pic>
    <xdr:clientData/>
  </xdr:twoCellAnchor>
  <xdr:twoCellAnchor>
    <xdr:from>
      <xdr:col>8</xdr:col>
      <xdr:colOff>6350</xdr:colOff>
      <xdr:row>3311</xdr:row>
      <xdr:rowOff>25400</xdr:rowOff>
    </xdr:from>
    <xdr:to>
      <xdr:col>8</xdr:col>
      <xdr:colOff>885190</xdr:colOff>
      <xdr:row>3311</xdr:row>
      <xdr:rowOff>1209040</xdr:rowOff>
    </xdr:to>
    <xdr:pic>
      <xdr:nvPicPr>
        <xdr:cNvPr id="6793" name="Изображение 6792" descr="resizeПП-00257328"/>
        <xdr:cNvPicPr>
          <a:picLocks noChangeAspect="1"/>
        </xdr:cNvPicPr>
      </xdr:nvPicPr>
      <xdr:blipFill>
        <a:blip xmlns:r="http://schemas.openxmlformats.org/officeDocument/2006/relationships" r:embed="rId2499"/>
        <a:stretch>
          <a:fillRect/>
        </a:stretch>
      </xdr:blipFill>
      <xdr:spPr>
        <a:xfrm>
          <a:off x="7264400" y="3273942525"/>
          <a:ext cx="878840" cy="1183640"/>
        </a:xfrm>
        <a:prstGeom prst="rect">
          <a:avLst/>
        </a:prstGeom>
      </xdr:spPr>
    </xdr:pic>
    <xdr:clientData/>
  </xdr:twoCellAnchor>
  <xdr:twoCellAnchor>
    <xdr:from>
      <xdr:col>8</xdr:col>
      <xdr:colOff>6350</xdr:colOff>
      <xdr:row>3312</xdr:row>
      <xdr:rowOff>25400</xdr:rowOff>
    </xdr:from>
    <xdr:to>
      <xdr:col>8</xdr:col>
      <xdr:colOff>885190</xdr:colOff>
      <xdr:row>3312</xdr:row>
      <xdr:rowOff>1209040</xdr:rowOff>
    </xdr:to>
    <xdr:pic>
      <xdr:nvPicPr>
        <xdr:cNvPr id="6794" name="Изображение 6793" descr="resizeПП-00257329"/>
        <xdr:cNvPicPr>
          <a:picLocks noChangeAspect="1"/>
        </xdr:cNvPicPr>
      </xdr:nvPicPr>
      <xdr:blipFill>
        <a:blip xmlns:r="http://schemas.openxmlformats.org/officeDocument/2006/relationships" r:embed="rId2500"/>
        <a:stretch>
          <a:fillRect/>
        </a:stretch>
      </xdr:blipFill>
      <xdr:spPr>
        <a:xfrm>
          <a:off x="7264400" y="3275164900"/>
          <a:ext cx="878840" cy="1183640"/>
        </a:xfrm>
        <a:prstGeom prst="rect">
          <a:avLst/>
        </a:prstGeom>
      </xdr:spPr>
    </xdr:pic>
    <xdr:clientData/>
  </xdr:twoCellAnchor>
  <xdr:twoCellAnchor>
    <xdr:from>
      <xdr:col>8</xdr:col>
      <xdr:colOff>6350</xdr:colOff>
      <xdr:row>3313</xdr:row>
      <xdr:rowOff>25400</xdr:rowOff>
    </xdr:from>
    <xdr:to>
      <xdr:col>8</xdr:col>
      <xdr:colOff>885190</xdr:colOff>
      <xdr:row>3313</xdr:row>
      <xdr:rowOff>1209040</xdr:rowOff>
    </xdr:to>
    <xdr:pic>
      <xdr:nvPicPr>
        <xdr:cNvPr id="6795" name="Изображение 6794" descr="resizeПП-00267409"/>
        <xdr:cNvPicPr>
          <a:picLocks noChangeAspect="1"/>
        </xdr:cNvPicPr>
      </xdr:nvPicPr>
      <xdr:blipFill>
        <a:blip xmlns:r="http://schemas.openxmlformats.org/officeDocument/2006/relationships" r:embed="rId2501"/>
        <a:stretch>
          <a:fillRect/>
        </a:stretch>
      </xdr:blipFill>
      <xdr:spPr>
        <a:xfrm>
          <a:off x="7264400" y="3276387275"/>
          <a:ext cx="878840" cy="1183640"/>
        </a:xfrm>
        <a:prstGeom prst="rect">
          <a:avLst/>
        </a:prstGeom>
      </xdr:spPr>
    </xdr:pic>
    <xdr:clientData/>
  </xdr:twoCellAnchor>
  <xdr:twoCellAnchor>
    <xdr:from>
      <xdr:col>8</xdr:col>
      <xdr:colOff>6350</xdr:colOff>
      <xdr:row>3314</xdr:row>
      <xdr:rowOff>25400</xdr:rowOff>
    </xdr:from>
    <xdr:to>
      <xdr:col>8</xdr:col>
      <xdr:colOff>885190</xdr:colOff>
      <xdr:row>3314</xdr:row>
      <xdr:rowOff>1209040</xdr:rowOff>
    </xdr:to>
    <xdr:pic>
      <xdr:nvPicPr>
        <xdr:cNvPr id="6796" name="Изображение 6795" descr="resizeПП-00267408"/>
        <xdr:cNvPicPr>
          <a:picLocks noChangeAspect="1"/>
        </xdr:cNvPicPr>
      </xdr:nvPicPr>
      <xdr:blipFill>
        <a:blip xmlns:r="http://schemas.openxmlformats.org/officeDocument/2006/relationships" r:embed="rId2502"/>
        <a:stretch>
          <a:fillRect/>
        </a:stretch>
      </xdr:blipFill>
      <xdr:spPr>
        <a:xfrm>
          <a:off x="7264400" y="3277609650"/>
          <a:ext cx="878840" cy="1183640"/>
        </a:xfrm>
        <a:prstGeom prst="rect">
          <a:avLst/>
        </a:prstGeom>
      </xdr:spPr>
    </xdr:pic>
    <xdr:clientData/>
  </xdr:twoCellAnchor>
  <xdr:twoCellAnchor>
    <xdr:from>
      <xdr:col>8</xdr:col>
      <xdr:colOff>6350</xdr:colOff>
      <xdr:row>3315</xdr:row>
      <xdr:rowOff>25400</xdr:rowOff>
    </xdr:from>
    <xdr:to>
      <xdr:col>8</xdr:col>
      <xdr:colOff>885190</xdr:colOff>
      <xdr:row>3315</xdr:row>
      <xdr:rowOff>1209040</xdr:rowOff>
    </xdr:to>
    <xdr:pic>
      <xdr:nvPicPr>
        <xdr:cNvPr id="6797" name="Изображение 6796" descr="resizeПП-00237283"/>
        <xdr:cNvPicPr>
          <a:picLocks noChangeAspect="1"/>
        </xdr:cNvPicPr>
      </xdr:nvPicPr>
      <xdr:blipFill>
        <a:blip xmlns:r="http://schemas.openxmlformats.org/officeDocument/2006/relationships" r:embed="rId2503"/>
        <a:stretch>
          <a:fillRect/>
        </a:stretch>
      </xdr:blipFill>
      <xdr:spPr>
        <a:xfrm>
          <a:off x="7264400" y="3278832025"/>
          <a:ext cx="878840" cy="1183640"/>
        </a:xfrm>
        <a:prstGeom prst="rect">
          <a:avLst/>
        </a:prstGeom>
      </xdr:spPr>
    </xdr:pic>
    <xdr:clientData/>
  </xdr:twoCellAnchor>
  <xdr:twoCellAnchor>
    <xdr:from>
      <xdr:col>8</xdr:col>
      <xdr:colOff>6350</xdr:colOff>
      <xdr:row>3316</xdr:row>
      <xdr:rowOff>25400</xdr:rowOff>
    </xdr:from>
    <xdr:to>
      <xdr:col>8</xdr:col>
      <xdr:colOff>885190</xdr:colOff>
      <xdr:row>3316</xdr:row>
      <xdr:rowOff>1209040</xdr:rowOff>
    </xdr:to>
    <xdr:pic>
      <xdr:nvPicPr>
        <xdr:cNvPr id="6798" name="Изображение 6797" descr="resizeПП-00221375"/>
        <xdr:cNvPicPr>
          <a:picLocks noChangeAspect="1"/>
        </xdr:cNvPicPr>
      </xdr:nvPicPr>
      <xdr:blipFill>
        <a:blip xmlns:r="http://schemas.openxmlformats.org/officeDocument/2006/relationships" r:embed="rId2504"/>
        <a:stretch>
          <a:fillRect/>
        </a:stretch>
      </xdr:blipFill>
      <xdr:spPr>
        <a:xfrm>
          <a:off x="7264400" y="3280054400"/>
          <a:ext cx="878840" cy="1183640"/>
        </a:xfrm>
        <a:prstGeom prst="rect">
          <a:avLst/>
        </a:prstGeom>
      </xdr:spPr>
    </xdr:pic>
    <xdr:clientData/>
  </xdr:twoCellAnchor>
  <xdr:twoCellAnchor>
    <xdr:from>
      <xdr:col>8</xdr:col>
      <xdr:colOff>6350</xdr:colOff>
      <xdr:row>3317</xdr:row>
      <xdr:rowOff>25400</xdr:rowOff>
    </xdr:from>
    <xdr:to>
      <xdr:col>8</xdr:col>
      <xdr:colOff>885190</xdr:colOff>
      <xdr:row>3317</xdr:row>
      <xdr:rowOff>1209040</xdr:rowOff>
    </xdr:to>
    <xdr:pic>
      <xdr:nvPicPr>
        <xdr:cNvPr id="6799" name="Изображение 6798" descr="resizeПП-00221367"/>
        <xdr:cNvPicPr>
          <a:picLocks noChangeAspect="1"/>
        </xdr:cNvPicPr>
      </xdr:nvPicPr>
      <xdr:blipFill>
        <a:blip xmlns:r="http://schemas.openxmlformats.org/officeDocument/2006/relationships" r:embed="rId2505"/>
        <a:stretch>
          <a:fillRect/>
        </a:stretch>
      </xdr:blipFill>
      <xdr:spPr>
        <a:xfrm>
          <a:off x="7264400" y="3281276775"/>
          <a:ext cx="878840" cy="1183640"/>
        </a:xfrm>
        <a:prstGeom prst="rect">
          <a:avLst/>
        </a:prstGeom>
      </xdr:spPr>
    </xdr:pic>
    <xdr:clientData/>
  </xdr:twoCellAnchor>
  <xdr:twoCellAnchor>
    <xdr:from>
      <xdr:col>8</xdr:col>
      <xdr:colOff>6350</xdr:colOff>
      <xdr:row>3319</xdr:row>
      <xdr:rowOff>25400</xdr:rowOff>
    </xdr:from>
    <xdr:to>
      <xdr:col>8</xdr:col>
      <xdr:colOff>885190</xdr:colOff>
      <xdr:row>3319</xdr:row>
      <xdr:rowOff>1209040</xdr:rowOff>
    </xdr:to>
    <xdr:pic>
      <xdr:nvPicPr>
        <xdr:cNvPr id="6800" name="Изображение 6799" descr="resizeПП-00237266"/>
        <xdr:cNvPicPr>
          <a:picLocks noChangeAspect="1"/>
        </xdr:cNvPicPr>
      </xdr:nvPicPr>
      <xdr:blipFill>
        <a:blip xmlns:r="http://schemas.openxmlformats.org/officeDocument/2006/relationships" r:embed="rId2506"/>
        <a:stretch>
          <a:fillRect/>
        </a:stretch>
      </xdr:blipFill>
      <xdr:spPr>
        <a:xfrm>
          <a:off x="7264400" y="3282651550"/>
          <a:ext cx="878840" cy="1183640"/>
        </a:xfrm>
        <a:prstGeom prst="rect">
          <a:avLst/>
        </a:prstGeom>
      </xdr:spPr>
    </xdr:pic>
    <xdr:clientData/>
  </xdr:twoCellAnchor>
  <xdr:twoCellAnchor>
    <xdr:from>
      <xdr:col>8</xdr:col>
      <xdr:colOff>6350</xdr:colOff>
      <xdr:row>3320</xdr:row>
      <xdr:rowOff>25400</xdr:rowOff>
    </xdr:from>
    <xdr:to>
      <xdr:col>8</xdr:col>
      <xdr:colOff>885190</xdr:colOff>
      <xdr:row>3320</xdr:row>
      <xdr:rowOff>1209040</xdr:rowOff>
    </xdr:to>
    <xdr:pic>
      <xdr:nvPicPr>
        <xdr:cNvPr id="6801" name="Изображение 6800" descr="resizeПП-00231506"/>
        <xdr:cNvPicPr>
          <a:picLocks noChangeAspect="1"/>
        </xdr:cNvPicPr>
      </xdr:nvPicPr>
      <xdr:blipFill>
        <a:blip xmlns:r="http://schemas.openxmlformats.org/officeDocument/2006/relationships" r:embed="rId2507"/>
        <a:stretch>
          <a:fillRect/>
        </a:stretch>
      </xdr:blipFill>
      <xdr:spPr>
        <a:xfrm>
          <a:off x="7264400" y="3283873925"/>
          <a:ext cx="878840" cy="1183640"/>
        </a:xfrm>
        <a:prstGeom prst="rect">
          <a:avLst/>
        </a:prstGeom>
      </xdr:spPr>
    </xdr:pic>
    <xdr:clientData/>
  </xdr:twoCellAnchor>
  <xdr:twoCellAnchor>
    <xdr:from>
      <xdr:col>8</xdr:col>
      <xdr:colOff>6350</xdr:colOff>
      <xdr:row>3321</xdr:row>
      <xdr:rowOff>25400</xdr:rowOff>
    </xdr:from>
    <xdr:to>
      <xdr:col>8</xdr:col>
      <xdr:colOff>885190</xdr:colOff>
      <xdr:row>3321</xdr:row>
      <xdr:rowOff>1209040</xdr:rowOff>
    </xdr:to>
    <xdr:pic>
      <xdr:nvPicPr>
        <xdr:cNvPr id="6802" name="Изображение 6801" descr="resizeПП-00231507"/>
        <xdr:cNvPicPr>
          <a:picLocks noChangeAspect="1"/>
        </xdr:cNvPicPr>
      </xdr:nvPicPr>
      <xdr:blipFill>
        <a:blip xmlns:r="http://schemas.openxmlformats.org/officeDocument/2006/relationships" r:embed="rId2508"/>
        <a:stretch>
          <a:fillRect/>
        </a:stretch>
      </xdr:blipFill>
      <xdr:spPr>
        <a:xfrm>
          <a:off x="7264400" y="3285096300"/>
          <a:ext cx="878840" cy="1183640"/>
        </a:xfrm>
        <a:prstGeom prst="rect">
          <a:avLst/>
        </a:prstGeom>
      </xdr:spPr>
    </xdr:pic>
    <xdr:clientData/>
  </xdr:twoCellAnchor>
  <xdr:twoCellAnchor>
    <xdr:from>
      <xdr:col>8</xdr:col>
      <xdr:colOff>6350</xdr:colOff>
      <xdr:row>3322</xdr:row>
      <xdr:rowOff>25400</xdr:rowOff>
    </xdr:from>
    <xdr:to>
      <xdr:col>8</xdr:col>
      <xdr:colOff>885190</xdr:colOff>
      <xdr:row>3322</xdr:row>
      <xdr:rowOff>1209040</xdr:rowOff>
    </xdr:to>
    <xdr:pic>
      <xdr:nvPicPr>
        <xdr:cNvPr id="6803" name="Изображение 6802" descr="resizeПП-00242594"/>
        <xdr:cNvPicPr>
          <a:picLocks noChangeAspect="1"/>
        </xdr:cNvPicPr>
      </xdr:nvPicPr>
      <xdr:blipFill>
        <a:blip xmlns:r="http://schemas.openxmlformats.org/officeDocument/2006/relationships" r:embed="rId2509"/>
        <a:stretch>
          <a:fillRect/>
        </a:stretch>
      </xdr:blipFill>
      <xdr:spPr>
        <a:xfrm>
          <a:off x="7264400" y="3286318675"/>
          <a:ext cx="878840" cy="1183640"/>
        </a:xfrm>
        <a:prstGeom prst="rect">
          <a:avLst/>
        </a:prstGeom>
      </xdr:spPr>
    </xdr:pic>
    <xdr:clientData/>
  </xdr:twoCellAnchor>
  <xdr:twoCellAnchor>
    <xdr:from>
      <xdr:col>8</xdr:col>
      <xdr:colOff>6350</xdr:colOff>
      <xdr:row>3323</xdr:row>
      <xdr:rowOff>25400</xdr:rowOff>
    </xdr:from>
    <xdr:to>
      <xdr:col>8</xdr:col>
      <xdr:colOff>885190</xdr:colOff>
      <xdr:row>3323</xdr:row>
      <xdr:rowOff>1209040</xdr:rowOff>
    </xdr:to>
    <xdr:pic>
      <xdr:nvPicPr>
        <xdr:cNvPr id="6804" name="Изображение 6803" descr="resizeПП-00215662"/>
        <xdr:cNvPicPr>
          <a:picLocks noChangeAspect="1"/>
        </xdr:cNvPicPr>
      </xdr:nvPicPr>
      <xdr:blipFill>
        <a:blip xmlns:r="http://schemas.openxmlformats.org/officeDocument/2006/relationships" r:embed="rId2510"/>
        <a:stretch>
          <a:fillRect/>
        </a:stretch>
      </xdr:blipFill>
      <xdr:spPr>
        <a:xfrm>
          <a:off x="7264400" y="3287541050"/>
          <a:ext cx="878840" cy="1183640"/>
        </a:xfrm>
        <a:prstGeom prst="rect">
          <a:avLst/>
        </a:prstGeom>
      </xdr:spPr>
    </xdr:pic>
    <xdr:clientData/>
  </xdr:twoCellAnchor>
  <xdr:twoCellAnchor>
    <xdr:from>
      <xdr:col>8</xdr:col>
      <xdr:colOff>6350</xdr:colOff>
      <xdr:row>3324</xdr:row>
      <xdr:rowOff>25400</xdr:rowOff>
    </xdr:from>
    <xdr:to>
      <xdr:col>8</xdr:col>
      <xdr:colOff>885190</xdr:colOff>
      <xdr:row>3324</xdr:row>
      <xdr:rowOff>1209040</xdr:rowOff>
    </xdr:to>
    <xdr:pic>
      <xdr:nvPicPr>
        <xdr:cNvPr id="6805" name="Изображение 6804" descr="resizeПП-00215661"/>
        <xdr:cNvPicPr>
          <a:picLocks noChangeAspect="1"/>
        </xdr:cNvPicPr>
      </xdr:nvPicPr>
      <xdr:blipFill>
        <a:blip xmlns:r="http://schemas.openxmlformats.org/officeDocument/2006/relationships" r:embed="rId2511"/>
        <a:stretch>
          <a:fillRect/>
        </a:stretch>
      </xdr:blipFill>
      <xdr:spPr>
        <a:xfrm>
          <a:off x="7264400" y="3288763425"/>
          <a:ext cx="878840" cy="1183640"/>
        </a:xfrm>
        <a:prstGeom prst="rect">
          <a:avLst/>
        </a:prstGeom>
      </xdr:spPr>
    </xdr:pic>
    <xdr:clientData/>
  </xdr:twoCellAnchor>
  <xdr:twoCellAnchor>
    <xdr:from>
      <xdr:col>8</xdr:col>
      <xdr:colOff>6350</xdr:colOff>
      <xdr:row>3325</xdr:row>
      <xdr:rowOff>25400</xdr:rowOff>
    </xdr:from>
    <xdr:to>
      <xdr:col>8</xdr:col>
      <xdr:colOff>885190</xdr:colOff>
      <xdr:row>3325</xdr:row>
      <xdr:rowOff>1209040</xdr:rowOff>
    </xdr:to>
    <xdr:pic>
      <xdr:nvPicPr>
        <xdr:cNvPr id="6806" name="Изображение 6805" descr="resizeПП-00215671"/>
        <xdr:cNvPicPr>
          <a:picLocks noChangeAspect="1"/>
        </xdr:cNvPicPr>
      </xdr:nvPicPr>
      <xdr:blipFill>
        <a:blip xmlns:r="http://schemas.openxmlformats.org/officeDocument/2006/relationships" r:embed="rId2512"/>
        <a:stretch>
          <a:fillRect/>
        </a:stretch>
      </xdr:blipFill>
      <xdr:spPr>
        <a:xfrm>
          <a:off x="7264400" y="3289985800"/>
          <a:ext cx="878840" cy="1183640"/>
        </a:xfrm>
        <a:prstGeom prst="rect">
          <a:avLst/>
        </a:prstGeom>
      </xdr:spPr>
    </xdr:pic>
    <xdr:clientData/>
  </xdr:twoCellAnchor>
  <xdr:twoCellAnchor>
    <xdr:from>
      <xdr:col>8</xdr:col>
      <xdr:colOff>6350</xdr:colOff>
      <xdr:row>3327</xdr:row>
      <xdr:rowOff>25400</xdr:rowOff>
    </xdr:from>
    <xdr:to>
      <xdr:col>8</xdr:col>
      <xdr:colOff>885190</xdr:colOff>
      <xdr:row>3327</xdr:row>
      <xdr:rowOff>1209040</xdr:rowOff>
    </xdr:to>
    <xdr:pic>
      <xdr:nvPicPr>
        <xdr:cNvPr id="6807" name="Изображение 6806" descr="resizeПП-00263882"/>
        <xdr:cNvPicPr>
          <a:picLocks noChangeAspect="1"/>
        </xdr:cNvPicPr>
      </xdr:nvPicPr>
      <xdr:blipFill>
        <a:blip xmlns:r="http://schemas.openxmlformats.org/officeDocument/2006/relationships" r:embed="rId2513"/>
        <a:stretch>
          <a:fillRect/>
        </a:stretch>
      </xdr:blipFill>
      <xdr:spPr>
        <a:xfrm>
          <a:off x="7264400" y="3291360575"/>
          <a:ext cx="878840" cy="1183640"/>
        </a:xfrm>
        <a:prstGeom prst="rect">
          <a:avLst/>
        </a:prstGeom>
      </xdr:spPr>
    </xdr:pic>
    <xdr:clientData/>
  </xdr:twoCellAnchor>
  <xdr:twoCellAnchor>
    <xdr:from>
      <xdr:col>8</xdr:col>
      <xdr:colOff>6350</xdr:colOff>
      <xdr:row>3328</xdr:row>
      <xdr:rowOff>25400</xdr:rowOff>
    </xdr:from>
    <xdr:to>
      <xdr:col>8</xdr:col>
      <xdr:colOff>885190</xdr:colOff>
      <xdr:row>3328</xdr:row>
      <xdr:rowOff>1209040</xdr:rowOff>
    </xdr:to>
    <xdr:pic>
      <xdr:nvPicPr>
        <xdr:cNvPr id="6808" name="Изображение 6807" descr="resizeПП-00257344"/>
        <xdr:cNvPicPr>
          <a:picLocks noChangeAspect="1"/>
        </xdr:cNvPicPr>
      </xdr:nvPicPr>
      <xdr:blipFill>
        <a:blip xmlns:r="http://schemas.openxmlformats.org/officeDocument/2006/relationships" r:embed="rId2514"/>
        <a:stretch>
          <a:fillRect/>
        </a:stretch>
      </xdr:blipFill>
      <xdr:spPr>
        <a:xfrm>
          <a:off x="7264400" y="3292582950"/>
          <a:ext cx="878840" cy="1183640"/>
        </a:xfrm>
        <a:prstGeom prst="rect">
          <a:avLst/>
        </a:prstGeom>
      </xdr:spPr>
    </xdr:pic>
    <xdr:clientData/>
  </xdr:twoCellAnchor>
  <xdr:twoCellAnchor>
    <xdr:from>
      <xdr:col>8</xdr:col>
      <xdr:colOff>6350</xdr:colOff>
      <xdr:row>3329</xdr:row>
      <xdr:rowOff>25400</xdr:rowOff>
    </xdr:from>
    <xdr:to>
      <xdr:col>8</xdr:col>
      <xdr:colOff>885190</xdr:colOff>
      <xdr:row>3329</xdr:row>
      <xdr:rowOff>1209040</xdr:rowOff>
    </xdr:to>
    <xdr:pic>
      <xdr:nvPicPr>
        <xdr:cNvPr id="6809" name="Изображение 6808" descr="resizeПП-00257346"/>
        <xdr:cNvPicPr>
          <a:picLocks noChangeAspect="1"/>
        </xdr:cNvPicPr>
      </xdr:nvPicPr>
      <xdr:blipFill>
        <a:blip xmlns:r="http://schemas.openxmlformats.org/officeDocument/2006/relationships" r:embed="rId2515"/>
        <a:stretch>
          <a:fillRect/>
        </a:stretch>
      </xdr:blipFill>
      <xdr:spPr>
        <a:xfrm>
          <a:off x="7264400" y="3293805325"/>
          <a:ext cx="878840" cy="1183640"/>
        </a:xfrm>
        <a:prstGeom prst="rect">
          <a:avLst/>
        </a:prstGeom>
      </xdr:spPr>
    </xdr:pic>
    <xdr:clientData/>
  </xdr:twoCellAnchor>
  <xdr:twoCellAnchor>
    <xdr:from>
      <xdr:col>8</xdr:col>
      <xdr:colOff>6350</xdr:colOff>
      <xdr:row>3333</xdr:row>
      <xdr:rowOff>25400</xdr:rowOff>
    </xdr:from>
    <xdr:to>
      <xdr:col>8</xdr:col>
      <xdr:colOff>885190</xdr:colOff>
      <xdr:row>3333</xdr:row>
      <xdr:rowOff>1209040</xdr:rowOff>
    </xdr:to>
    <xdr:pic>
      <xdr:nvPicPr>
        <xdr:cNvPr id="6810" name="Изображение 6809" descr="resizeПП-00274412"/>
        <xdr:cNvPicPr>
          <a:picLocks noChangeAspect="1"/>
        </xdr:cNvPicPr>
      </xdr:nvPicPr>
      <xdr:blipFill>
        <a:blip xmlns:r="http://schemas.openxmlformats.org/officeDocument/2006/relationships" r:embed="rId2516"/>
        <a:stretch>
          <a:fillRect/>
        </a:stretch>
      </xdr:blipFill>
      <xdr:spPr>
        <a:xfrm>
          <a:off x="7264400" y="3295484900"/>
          <a:ext cx="878840" cy="1183640"/>
        </a:xfrm>
        <a:prstGeom prst="rect">
          <a:avLst/>
        </a:prstGeom>
      </xdr:spPr>
    </xdr:pic>
    <xdr:clientData/>
  </xdr:twoCellAnchor>
  <xdr:twoCellAnchor>
    <xdr:from>
      <xdr:col>8</xdr:col>
      <xdr:colOff>6350</xdr:colOff>
      <xdr:row>3334</xdr:row>
      <xdr:rowOff>25400</xdr:rowOff>
    </xdr:from>
    <xdr:to>
      <xdr:col>8</xdr:col>
      <xdr:colOff>885190</xdr:colOff>
      <xdr:row>3334</xdr:row>
      <xdr:rowOff>1209040</xdr:rowOff>
    </xdr:to>
    <xdr:pic>
      <xdr:nvPicPr>
        <xdr:cNvPr id="6811" name="Изображение 6810" descr="resizeПП-00274413"/>
        <xdr:cNvPicPr>
          <a:picLocks noChangeAspect="1"/>
        </xdr:cNvPicPr>
      </xdr:nvPicPr>
      <xdr:blipFill>
        <a:blip xmlns:r="http://schemas.openxmlformats.org/officeDocument/2006/relationships" r:embed="rId2517"/>
        <a:stretch>
          <a:fillRect/>
        </a:stretch>
      </xdr:blipFill>
      <xdr:spPr>
        <a:xfrm>
          <a:off x="7264400" y="3296707275"/>
          <a:ext cx="878840" cy="1183640"/>
        </a:xfrm>
        <a:prstGeom prst="rect">
          <a:avLst/>
        </a:prstGeom>
      </xdr:spPr>
    </xdr:pic>
    <xdr:clientData/>
  </xdr:twoCellAnchor>
  <xdr:twoCellAnchor>
    <xdr:from>
      <xdr:col>8</xdr:col>
      <xdr:colOff>6350</xdr:colOff>
      <xdr:row>3335</xdr:row>
      <xdr:rowOff>25400</xdr:rowOff>
    </xdr:from>
    <xdr:to>
      <xdr:col>8</xdr:col>
      <xdr:colOff>885190</xdr:colOff>
      <xdr:row>3335</xdr:row>
      <xdr:rowOff>1209040</xdr:rowOff>
    </xdr:to>
    <xdr:pic>
      <xdr:nvPicPr>
        <xdr:cNvPr id="6812" name="Изображение 6811" descr="resizeПП-00274415"/>
        <xdr:cNvPicPr>
          <a:picLocks noChangeAspect="1"/>
        </xdr:cNvPicPr>
      </xdr:nvPicPr>
      <xdr:blipFill>
        <a:blip xmlns:r="http://schemas.openxmlformats.org/officeDocument/2006/relationships" r:embed="rId2518"/>
        <a:stretch>
          <a:fillRect/>
        </a:stretch>
      </xdr:blipFill>
      <xdr:spPr>
        <a:xfrm>
          <a:off x="7264400" y="3297929650"/>
          <a:ext cx="878840" cy="1183640"/>
        </a:xfrm>
        <a:prstGeom prst="rect">
          <a:avLst/>
        </a:prstGeom>
      </xdr:spPr>
    </xdr:pic>
    <xdr:clientData/>
  </xdr:twoCellAnchor>
  <xdr:twoCellAnchor>
    <xdr:from>
      <xdr:col>8</xdr:col>
      <xdr:colOff>6350</xdr:colOff>
      <xdr:row>3336</xdr:row>
      <xdr:rowOff>25400</xdr:rowOff>
    </xdr:from>
    <xdr:to>
      <xdr:col>8</xdr:col>
      <xdr:colOff>885190</xdr:colOff>
      <xdr:row>3336</xdr:row>
      <xdr:rowOff>1209040</xdr:rowOff>
    </xdr:to>
    <xdr:pic>
      <xdr:nvPicPr>
        <xdr:cNvPr id="6813" name="Изображение 6812" descr="resizeПП-00274416"/>
        <xdr:cNvPicPr>
          <a:picLocks noChangeAspect="1"/>
        </xdr:cNvPicPr>
      </xdr:nvPicPr>
      <xdr:blipFill>
        <a:blip xmlns:r="http://schemas.openxmlformats.org/officeDocument/2006/relationships" r:embed="rId2519"/>
        <a:stretch>
          <a:fillRect/>
        </a:stretch>
      </xdr:blipFill>
      <xdr:spPr>
        <a:xfrm>
          <a:off x="7264400" y="3299152025"/>
          <a:ext cx="878840" cy="1183640"/>
        </a:xfrm>
        <a:prstGeom prst="rect">
          <a:avLst/>
        </a:prstGeom>
      </xdr:spPr>
    </xdr:pic>
    <xdr:clientData/>
  </xdr:twoCellAnchor>
  <xdr:twoCellAnchor>
    <xdr:from>
      <xdr:col>8</xdr:col>
      <xdr:colOff>6350</xdr:colOff>
      <xdr:row>3338</xdr:row>
      <xdr:rowOff>25400</xdr:rowOff>
    </xdr:from>
    <xdr:to>
      <xdr:col>8</xdr:col>
      <xdr:colOff>885190</xdr:colOff>
      <xdr:row>3338</xdr:row>
      <xdr:rowOff>1209040</xdr:rowOff>
    </xdr:to>
    <xdr:pic>
      <xdr:nvPicPr>
        <xdr:cNvPr id="6814" name="Изображение 6813" descr="resizeПП-00274417"/>
        <xdr:cNvPicPr>
          <a:picLocks noChangeAspect="1"/>
        </xdr:cNvPicPr>
      </xdr:nvPicPr>
      <xdr:blipFill>
        <a:blip xmlns:r="http://schemas.openxmlformats.org/officeDocument/2006/relationships" r:embed="rId2520"/>
        <a:stretch>
          <a:fillRect/>
        </a:stretch>
      </xdr:blipFill>
      <xdr:spPr>
        <a:xfrm>
          <a:off x="7264400" y="3300526800"/>
          <a:ext cx="878840" cy="1183640"/>
        </a:xfrm>
        <a:prstGeom prst="rect">
          <a:avLst/>
        </a:prstGeom>
      </xdr:spPr>
    </xdr:pic>
    <xdr:clientData/>
  </xdr:twoCellAnchor>
  <xdr:twoCellAnchor>
    <xdr:from>
      <xdr:col>8</xdr:col>
      <xdr:colOff>6350</xdr:colOff>
      <xdr:row>3339</xdr:row>
      <xdr:rowOff>25400</xdr:rowOff>
    </xdr:from>
    <xdr:to>
      <xdr:col>8</xdr:col>
      <xdr:colOff>885190</xdr:colOff>
      <xdr:row>3339</xdr:row>
      <xdr:rowOff>1209040</xdr:rowOff>
    </xdr:to>
    <xdr:pic>
      <xdr:nvPicPr>
        <xdr:cNvPr id="6815" name="Изображение 6814" descr="resizeПП-00274419"/>
        <xdr:cNvPicPr>
          <a:picLocks noChangeAspect="1"/>
        </xdr:cNvPicPr>
      </xdr:nvPicPr>
      <xdr:blipFill>
        <a:blip xmlns:r="http://schemas.openxmlformats.org/officeDocument/2006/relationships" r:embed="rId2521"/>
        <a:stretch>
          <a:fillRect/>
        </a:stretch>
      </xdr:blipFill>
      <xdr:spPr>
        <a:xfrm>
          <a:off x="7264400" y="3301749175"/>
          <a:ext cx="878840" cy="1183640"/>
        </a:xfrm>
        <a:prstGeom prst="rect">
          <a:avLst/>
        </a:prstGeom>
      </xdr:spPr>
    </xdr:pic>
    <xdr:clientData/>
  </xdr:twoCellAnchor>
  <xdr:twoCellAnchor>
    <xdr:from>
      <xdr:col>8</xdr:col>
      <xdr:colOff>6350</xdr:colOff>
      <xdr:row>3341</xdr:row>
      <xdr:rowOff>25400</xdr:rowOff>
    </xdr:from>
    <xdr:to>
      <xdr:col>8</xdr:col>
      <xdr:colOff>885190</xdr:colOff>
      <xdr:row>3341</xdr:row>
      <xdr:rowOff>1209040</xdr:rowOff>
    </xdr:to>
    <xdr:pic>
      <xdr:nvPicPr>
        <xdr:cNvPr id="6816" name="Изображение 6815" descr="resizeПП-00274426"/>
        <xdr:cNvPicPr>
          <a:picLocks noChangeAspect="1"/>
        </xdr:cNvPicPr>
      </xdr:nvPicPr>
      <xdr:blipFill>
        <a:blip xmlns:r="http://schemas.openxmlformats.org/officeDocument/2006/relationships" r:embed="rId2522"/>
        <a:stretch>
          <a:fillRect/>
        </a:stretch>
      </xdr:blipFill>
      <xdr:spPr>
        <a:xfrm>
          <a:off x="7264400" y="3303123950"/>
          <a:ext cx="878840" cy="1183640"/>
        </a:xfrm>
        <a:prstGeom prst="rect">
          <a:avLst/>
        </a:prstGeom>
      </xdr:spPr>
    </xdr:pic>
    <xdr:clientData/>
  </xdr:twoCellAnchor>
  <xdr:twoCellAnchor>
    <xdr:from>
      <xdr:col>8</xdr:col>
      <xdr:colOff>6350</xdr:colOff>
      <xdr:row>3342</xdr:row>
      <xdr:rowOff>25400</xdr:rowOff>
    </xdr:from>
    <xdr:to>
      <xdr:col>8</xdr:col>
      <xdr:colOff>885190</xdr:colOff>
      <xdr:row>3342</xdr:row>
      <xdr:rowOff>1209040</xdr:rowOff>
    </xdr:to>
    <xdr:pic>
      <xdr:nvPicPr>
        <xdr:cNvPr id="6817" name="Изображение 6816" descr="resizeПП-00274425"/>
        <xdr:cNvPicPr>
          <a:picLocks noChangeAspect="1"/>
        </xdr:cNvPicPr>
      </xdr:nvPicPr>
      <xdr:blipFill>
        <a:blip xmlns:r="http://schemas.openxmlformats.org/officeDocument/2006/relationships" r:embed="rId2523"/>
        <a:stretch>
          <a:fillRect/>
        </a:stretch>
      </xdr:blipFill>
      <xdr:spPr>
        <a:xfrm>
          <a:off x="7264400" y="3304346325"/>
          <a:ext cx="878840" cy="1183640"/>
        </a:xfrm>
        <a:prstGeom prst="rect">
          <a:avLst/>
        </a:prstGeom>
      </xdr:spPr>
    </xdr:pic>
    <xdr:clientData/>
  </xdr:twoCellAnchor>
  <xdr:twoCellAnchor>
    <xdr:from>
      <xdr:col>8</xdr:col>
      <xdr:colOff>6350</xdr:colOff>
      <xdr:row>3343</xdr:row>
      <xdr:rowOff>25400</xdr:rowOff>
    </xdr:from>
    <xdr:to>
      <xdr:col>8</xdr:col>
      <xdr:colOff>885190</xdr:colOff>
      <xdr:row>3343</xdr:row>
      <xdr:rowOff>1209040</xdr:rowOff>
    </xdr:to>
    <xdr:pic>
      <xdr:nvPicPr>
        <xdr:cNvPr id="6818" name="Изображение 6817" descr="resizeПП-00274427"/>
        <xdr:cNvPicPr>
          <a:picLocks noChangeAspect="1"/>
        </xdr:cNvPicPr>
      </xdr:nvPicPr>
      <xdr:blipFill>
        <a:blip xmlns:r="http://schemas.openxmlformats.org/officeDocument/2006/relationships" r:embed="rId2524"/>
        <a:stretch>
          <a:fillRect/>
        </a:stretch>
      </xdr:blipFill>
      <xdr:spPr>
        <a:xfrm>
          <a:off x="7264400" y="3305568700"/>
          <a:ext cx="878840" cy="1183640"/>
        </a:xfrm>
        <a:prstGeom prst="rect">
          <a:avLst/>
        </a:prstGeom>
      </xdr:spPr>
    </xdr:pic>
    <xdr:clientData/>
  </xdr:twoCellAnchor>
  <xdr:twoCellAnchor>
    <xdr:from>
      <xdr:col>8</xdr:col>
      <xdr:colOff>6350</xdr:colOff>
      <xdr:row>3345</xdr:row>
      <xdr:rowOff>25400</xdr:rowOff>
    </xdr:from>
    <xdr:to>
      <xdr:col>8</xdr:col>
      <xdr:colOff>885190</xdr:colOff>
      <xdr:row>3345</xdr:row>
      <xdr:rowOff>1209040</xdr:rowOff>
    </xdr:to>
    <xdr:pic>
      <xdr:nvPicPr>
        <xdr:cNvPr id="6819" name="Изображение 6818" descr="resizeПП-00274422"/>
        <xdr:cNvPicPr>
          <a:picLocks noChangeAspect="1"/>
        </xdr:cNvPicPr>
      </xdr:nvPicPr>
      <xdr:blipFill>
        <a:blip xmlns:r="http://schemas.openxmlformats.org/officeDocument/2006/relationships" r:embed="rId2525"/>
        <a:stretch>
          <a:fillRect/>
        </a:stretch>
      </xdr:blipFill>
      <xdr:spPr>
        <a:xfrm>
          <a:off x="7264400" y="3306943475"/>
          <a:ext cx="878840" cy="1183640"/>
        </a:xfrm>
        <a:prstGeom prst="rect">
          <a:avLst/>
        </a:prstGeom>
      </xdr:spPr>
    </xdr:pic>
    <xdr:clientData/>
  </xdr:twoCellAnchor>
  <xdr:twoCellAnchor>
    <xdr:from>
      <xdr:col>8</xdr:col>
      <xdr:colOff>6350</xdr:colOff>
      <xdr:row>3346</xdr:row>
      <xdr:rowOff>25400</xdr:rowOff>
    </xdr:from>
    <xdr:to>
      <xdr:col>8</xdr:col>
      <xdr:colOff>885190</xdr:colOff>
      <xdr:row>3346</xdr:row>
      <xdr:rowOff>1209040</xdr:rowOff>
    </xdr:to>
    <xdr:pic>
      <xdr:nvPicPr>
        <xdr:cNvPr id="6820" name="Изображение 6819" descr="resizeПП-00274421"/>
        <xdr:cNvPicPr>
          <a:picLocks noChangeAspect="1"/>
        </xdr:cNvPicPr>
      </xdr:nvPicPr>
      <xdr:blipFill>
        <a:blip xmlns:r="http://schemas.openxmlformats.org/officeDocument/2006/relationships" r:embed="rId2526"/>
        <a:stretch>
          <a:fillRect/>
        </a:stretch>
      </xdr:blipFill>
      <xdr:spPr>
        <a:xfrm>
          <a:off x="7264400" y="3308165850"/>
          <a:ext cx="878840" cy="1183640"/>
        </a:xfrm>
        <a:prstGeom prst="rect">
          <a:avLst/>
        </a:prstGeom>
      </xdr:spPr>
    </xdr:pic>
    <xdr:clientData/>
  </xdr:twoCellAnchor>
  <xdr:twoCellAnchor>
    <xdr:from>
      <xdr:col>8</xdr:col>
      <xdr:colOff>6350</xdr:colOff>
      <xdr:row>3347</xdr:row>
      <xdr:rowOff>25400</xdr:rowOff>
    </xdr:from>
    <xdr:to>
      <xdr:col>8</xdr:col>
      <xdr:colOff>885190</xdr:colOff>
      <xdr:row>3347</xdr:row>
      <xdr:rowOff>1209040</xdr:rowOff>
    </xdr:to>
    <xdr:pic>
      <xdr:nvPicPr>
        <xdr:cNvPr id="6821" name="Изображение 6820" descr="resizeПП-00274420"/>
        <xdr:cNvPicPr>
          <a:picLocks noChangeAspect="1"/>
        </xdr:cNvPicPr>
      </xdr:nvPicPr>
      <xdr:blipFill>
        <a:blip xmlns:r="http://schemas.openxmlformats.org/officeDocument/2006/relationships" r:embed="rId2527"/>
        <a:stretch>
          <a:fillRect/>
        </a:stretch>
      </xdr:blipFill>
      <xdr:spPr>
        <a:xfrm>
          <a:off x="7264400" y="3309388225"/>
          <a:ext cx="878840" cy="1183640"/>
        </a:xfrm>
        <a:prstGeom prst="rect">
          <a:avLst/>
        </a:prstGeom>
      </xdr:spPr>
    </xdr:pic>
    <xdr:clientData/>
  </xdr:twoCellAnchor>
  <xdr:twoCellAnchor>
    <xdr:from>
      <xdr:col>8</xdr:col>
      <xdr:colOff>6350</xdr:colOff>
      <xdr:row>3348</xdr:row>
      <xdr:rowOff>25400</xdr:rowOff>
    </xdr:from>
    <xdr:to>
      <xdr:col>8</xdr:col>
      <xdr:colOff>885190</xdr:colOff>
      <xdr:row>3348</xdr:row>
      <xdr:rowOff>1209040</xdr:rowOff>
    </xdr:to>
    <xdr:pic>
      <xdr:nvPicPr>
        <xdr:cNvPr id="6822" name="Изображение 6821" descr="resizeПП-00274423"/>
        <xdr:cNvPicPr>
          <a:picLocks noChangeAspect="1"/>
        </xdr:cNvPicPr>
      </xdr:nvPicPr>
      <xdr:blipFill>
        <a:blip xmlns:r="http://schemas.openxmlformats.org/officeDocument/2006/relationships" r:embed="rId2528"/>
        <a:stretch>
          <a:fillRect/>
        </a:stretch>
      </xdr:blipFill>
      <xdr:spPr>
        <a:xfrm>
          <a:off x="7264400" y="3310610600"/>
          <a:ext cx="878840" cy="1183640"/>
        </a:xfrm>
        <a:prstGeom prst="rect">
          <a:avLst/>
        </a:prstGeom>
      </xdr:spPr>
    </xdr:pic>
    <xdr:clientData/>
  </xdr:twoCellAnchor>
  <xdr:twoCellAnchor>
    <xdr:from>
      <xdr:col>8</xdr:col>
      <xdr:colOff>6350</xdr:colOff>
      <xdr:row>3350</xdr:row>
      <xdr:rowOff>25400</xdr:rowOff>
    </xdr:from>
    <xdr:to>
      <xdr:col>8</xdr:col>
      <xdr:colOff>885190</xdr:colOff>
      <xdr:row>3350</xdr:row>
      <xdr:rowOff>1209040</xdr:rowOff>
    </xdr:to>
    <xdr:pic>
      <xdr:nvPicPr>
        <xdr:cNvPr id="6823" name="Изображение 6822" descr="resizeПП-00237276"/>
        <xdr:cNvPicPr>
          <a:picLocks noChangeAspect="1"/>
        </xdr:cNvPicPr>
      </xdr:nvPicPr>
      <xdr:blipFill>
        <a:blip xmlns:r="http://schemas.openxmlformats.org/officeDocument/2006/relationships" r:embed="rId2529"/>
        <a:stretch>
          <a:fillRect/>
        </a:stretch>
      </xdr:blipFill>
      <xdr:spPr>
        <a:xfrm>
          <a:off x="7264400" y="3311985375"/>
          <a:ext cx="878840" cy="1183640"/>
        </a:xfrm>
        <a:prstGeom prst="rect">
          <a:avLst/>
        </a:prstGeom>
      </xdr:spPr>
    </xdr:pic>
    <xdr:clientData/>
  </xdr:twoCellAnchor>
  <xdr:twoCellAnchor>
    <xdr:from>
      <xdr:col>8</xdr:col>
      <xdr:colOff>6350</xdr:colOff>
      <xdr:row>3351</xdr:row>
      <xdr:rowOff>25400</xdr:rowOff>
    </xdr:from>
    <xdr:to>
      <xdr:col>8</xdr:col>
      <xdr:colOff>885190</xdr:colOff>
      <xdr:row>3351</xdr:row>
      <xdr:rowOff>1209040</xdr:rowOff>
    </xdr:to>
    <xdr:pic>
      <xdr:nvPicPr>
        <xdr:cNvPr id="6824" name="Изображение 6823" descr="resizeПП-00237275"/>
        <xdr:cNvPicPr>
          <a:picLocks noChangeAspect="1"/>
        </xdr:cNvPicPr>
      </xdr:nvPicPr>
      <xdr:blipFill>
        <a:blip xmlns:r="http://schemas.openxmlformats.org/officeDocument/2006/relationships" r:embed="rId2530"/>
        <a:stretch>
          <a:fillRect/>
        </a:stretch>
      </xdr:blipFill>
      <xdr:spPr>
        <a:xfrm>
          <a:off x="7264400" y="3313207750"/>
          <a:ext cx="878840" cy="1183640"/>
        </a:xfrm>
        <a:prstGeom prst="rect">
          <a:avLst/>
        </a:prstGeom>
      </xdr:spPr>
    </xdr:pic>
    <xdr:clientData/>
  </xdr:twoCellAnchor>
  <xdr:twoCellAnchor>
    <xdr:from>
      <xdr:col>8</xdr:col>
      <xdr:colOff>6350</xdr:colOff>
      <xdr:row>3352</xdr:row>
      <xdr:rowOff>25400</xdr:rowOff>
    </xdr:from>
    <xdr:to>
      <xdr:col>8</xdr:col>
      <xdr:colOff>885190</xdr:colOff>
      <xdr:row>3352</xdr:row>
      <xdr:rowOff>1209040</xdr:rowOff>
    </xdr:to>
    <xdr:pic>
      <xdr:nvPicPr>
        <xdr:cNvPr id="6825" name="Изображение 6824" descr="resizeПП-00237277"/>
        <xdr:cNvPicPr>
          <a:picLocks noChangeAspect="1"/>
        </xdr:cNvPicPr>
      </xdr:nvPicPr>
      <xdr:blipFill>
        <a:blip xmlns:r="http://schemas.openxmlformats.org/officeDocument/2006/relationships" r:embed="rId2531"/>
        <a:stretch>
          <a:fillRect/>
        </a:stretch>
      </xdr:blipFill>
      <xdr:spPr>
        <a:xfrm>
          <a:off x="7264400" y="3314430125"/>
          <a:ext cx="878840" cy="1183640"/>
        </a:xfrm>
        <a:prstGeom prst="rect">
          <a:avLst/>
        </a:prstGeom>
      </xdr:spPr>
    </xdr:pic>
    <xdr:clientData/>
  </xdr:twoCellAnchor>
  <xdr:twoCellAnchor>
    <xdr:from>
      <xdr:col>8</xdr:col>
      <xdr:colOff>6350</xdr:colOff>
      <xdr:row>3353</xdr:row>
      <xdr:rowOff>25400</xdr:rowOff>
    </xdr:from>
    <xdr:to>
      <xdr:col>8</xdr:col>
      <xdr:colOff>885190</xdr:colOff>
      <xdr:row>3353</xdr:row>
      <xdr:rowOff>1209040</xdr:rowOff>
    </xdr:to>
    <xdr:pic>
      <xdr:nvPicPr>
        <xdr:cNvPr id="6826" name="Изображение 6825" descr="resizeПП-00237278"/>
        <xdr:cNvPicPr>
          <a:picLocks noChangeAspect="1"/>
        </xdr:cNvPicPr>
      </xdr:nvPicPr>
      <xdr:blipFill>
        <a:blip xmlns:r="http://schemas.openxmlformats.org/officeDocument/2006/relationships" r:embed="rId2532"/>
        <a:stretch>
          <a:fillRect/>
        </a:stretch>
      </xdr:blipFill>
      <xdr:spPr>
        <a:xfrm>
          <a:off x="7264400" y="3315652500"/>
          <a:ext cx="878840" cy="1183640"/>
        </a:xfrm>
        <a:prstGeom prst="rect">
          <a:avLst/>
        </a:prstGeom>
      </xdr:spPr>
    </xdr:pic>
    <xdr:clientData/>
  </xdr:twoCellAnchor>
  <xdr:twoCellAnchor>
    <xdr:from>
      <xdr:col>8</xdr:col>
      <xdr:colOff>6350</xdr:colOff>
      <xdr:row>3354</xdr:row>
      <xdr:rowOff>25400</xdr:rowOff>
    </xdr:from>
    <xdr:to>
      <xdr:col>8</xdr:col>
      <xdr:colOff>885190</xdr:colOff>
      <xdr:row>3354</xdr:row>
      <xdr:rowOff>1209040</xdr:rowOff>
    </xdr:to>
    <xdr:pic>
      <xdr:nvPicPr>
        <xdr:cNvPr id="6827" name="Изображение 6826" descr="resizeПП-00237280"/>
        <xdr:cNvPicPr>
          <a:picLocks noChangeAspect="1"/>
        </xdr:cNvPicPr>
      </xdr:nvPicPr>
      <xdr:blipFill>
        <a:blip xmlns:r="http://schemas.openxmlformats.org/officeDocument/2006/relationships" r:embed="rId2533"/>
        <a:stretch>
          <a:fillRect/>
        </a:stretch>
      </xdr:blipFill>
      <xdr:spPr>
        <a:xfrm>
          <a:off x="7264400" y="3316874875"/>
          <a:ext cx="878840" cy="1183640"/>
        </a:xfrm>
        <a:prstGeom prst="rect">
          <a:avLst/>
        </a:prstGeom>
      </xdr:spPr>
    </xdr:pic>
    <xdr:clientData/>
  </xdr:twoCellAnchor>
  <xdr:twoCellAnchor>
    <xdr:from>
      <xdr:col>8</xdr:col>
      <xdr:colOff>6350</xdr:colOff>
      <xdr:row>3356</xdr:row>
      <xdr:rowOff>25400</xdr:rowOff>
    </xdr:from>
    <xdr:to>
      <xdr:col>8</xdr:col>
      <xdr:colOff>885190</xdr:colOff>
      <xdr:row>3356</xdr:row>
      <xdr:rowOff>1209040</xdr:rowOff>
    </xdr:to>
    <xdr:pic>
      <xdr:nvPicPr>
        <xdr:cNvPr id="6828" name="Изображение 6827" descr="resizeПП-00221357"/>
        <xdr:cNvPicPr>
          <a:picLocks noChangeAspect="1"/>
        </xdr:cNvPicPr>
      </xdr:nvPicPr>
      <xdr:blipFill>
        <a:blip xmlns:r="http://schemas.openxmlformats.org/officeDocument/2006/relationships" r:embed="rId2534"/>
        <a:stretch>
          <a:fillRect/>
        </a:stretch>
      </xdr:blipFill>
      <xdr:spPr>
        <a:xfrm>
          <a:off x="7264400" y="3318249650"/>
          <a:ext cx="878840" cy="1183640"/>
        </a:xfrm>
        <a:prstGeom prst="rect">
          <a:avLst/>
        </a:prstGeom>
      </xdr:spPr>
    </xdr:pic>
    <xdr:clientData/>
  </xdr:twoCellAnchor>
  <xdr:twoCellAnchor>
    <xdr:from>
      <xdr:col>8</xdr:col>
      <xdr:colOff>6350</xdr:colOff>
      <xdr:row>3357</xdr:row>
      <xdr:rowOff>25400</xdr:rowOff>
    </xdr:from>
    <xdr:to>
      <xdr:col>8</xdr:col>
      <xdr:colOff>885190</xdr:colOff>
      <xdr:row>3357</xdr:row>
      <xdr:rowOff>1209040</xdr:rowOff>
    </xdr:to>
    <xdr:pic>
      <xdr:nvPicPr>
        <xdr:cNvPr id="6829" name="Изображение 6828" descr="resizeПП-00237279"/>
        <xdr:cNvPicPr>
          <a:picLocks noChangeAspect="1"/>
        </xdr:cNvPicPr>
      </xdr:nvPicPr>
      <xdr:blipFill>
        <a:blip xmlns:r="http://schemas.openxmlformats.org/officeDocument/2006/relationships" r:embed="rId2535"/>
        <a:stretch>
          <a:fillRect/>
        </a:stretch>
      </xdr:blipFill>
      <xdr:spPr>
        <a:xfrm>
          <a:off x="7264400" y="3319472025"/>
          <a:ext cx="878840" cy="1183640"/>
        </a:xfrm>
        <a:prstGeom prst="rect">
          <a:avLst/>
        </a:prstGeom>
      </xdr:spPr>
    </xdr:pic>
    <xdr:clientData/>
  </xdr:twoCellAnchor>
  <xdr:twoCellAnchor>
    <xdr:from>
      <xdr:col>8</xdr:col>
      <xdr:colOff>6350</xdr:colOff>
      <xdr:row>3358</xdr:row>
      <xdr:rowOff>25400</xdr:rowOff>
    </xdr:from>
    <xdr:to>
      <xdr:col>8</xdr:col>
      <xdr:colOff>885190</xdr:colOff>
      <xdr:row>3358</xdr:row>
      <xdr:rowOff>1209040</xdr:rowOff>
    </xdr:to>
    <xdr:pic>
      <xdr:nvPicPr>
        <xdr:cNvPr id="6830" name="Изображение 6829" descr="resizeПП-00257338"/>
        <xdr:cNvPicPr>
          <a:picLocks noChangeAspect="1"/>
        </xdr:cNvPicPr>
      </xdr:nvPicPr>
      <xdr:blipFill>
        <a:blip xmlns:r="http://schemas.openxmlformats.org/officeDocument/2006/relationships" r:embed="rId2536"/>
        <a:stretch>
          <a:fillRect/>
        </a:stretch>
      </xdr:blipFill>
      <xdr:spPr>
        <a:xfrm>
          <a:off x="7264400" y="3320694400"/>
          <a:ext cx="878840" cy="1183640"/>
        </a:xfrm>
        <a:prstGeom prst="rect">
          <a:avLst/>
        </a:prstGeom>
      </xdr:spPr>
    </xdr:pic>
    <xdr:clientData/>
  </xdr:twoCellAnchor>
  <xdr:twoCellAnchor>
    <xdr:from>
      <xdr:col>8</xdr:col>
      <xdr:colOff>6350</xdr:colOff>
      <xdr:row>3359</xdr:row>
      <xdr:rowOff>25400</xdr:rowOff>
    </xdr:from>
    <xdr:to>
      <xdr:col>8</xdr:col>
      <xdr:colOff>885190</xdr:colOff>
      <xdr:row>3359</xdr:row>
      <xdr:rowOff>1209040</xdr:rowOff>
    </xdr:to>
    <xdr:pic>
      <xdr:nvPicPr>
        <xdr:cNvPr id="6831" name="Изображение 6830" descr="resizeПП-00262395"/>
        <xdr:cNvPicPr>
          <a:picLocks noChangeAspect="1"/>
        </xdr:cNvPicPr>
      </xdr:nvPicPr>
      <xdr:blipFill>
        <a:blip xmlns:r="http://schemas.openxmlformats.org/officeDocument/2006/relationships" r:embed="rId2537"/>
        <a:stretch>
          <a:fillRect/>
        </a:stretch>
      </xdr:blipFill>
      <xdr:spPr>
        <a:xfrm>
          <a:off x="7264400" y="3321916775"/>
          <a:ext cx="878840" cy="1183640"/>
        </a:xfrm>
        <a:prstGeom prst="rect">
          <a:avLst/>
        </a:prstGeom>
      </xdr:spPr>
    </xdr:pic>
    <xdr:clientData/>
  </xdr:twoCellAnchor>
  <xdr:twoCellAnchor>
    <xdr:from>
      <xdr:col>8</xdr:col>
      <xdr:colOff>6350</xdr:colOff>
      <xdr:row>3360</xdr:row>
      <xdr:rowOff>25400</xdr:rowOff>
    </xdr:from>
    <xdr:to>
      <xdr:col>8</xdr:col>
      <xdr:colOff>885190</xdr:colOff>
      <xdr:row>3360</xdr:row>
      <xdr:rowOff>1209040</xdr:rowOff>
    </xdr:to>
    <xdr:pic>
      <xdr:nvPicPr>
        <xdr:cNvPr id="6832" name="Изображение 6831" descr="resizeПП-00262394"/>
        <xdr:cNvPicPr>
          <a:picLocks noChangeAspect="1"/>
        </xdr:cNvPicPr>
      </xdr:nvPicPr>
      <xdr:blipFill>
        <a:blip xmlns:r="http://schemas.openxmlformats.org/officeDocument/2006/relationships" r:embed="rId2538"/>
        <a:stretch>
          <a:fillRect/>
        </a:stretch>
      </xdr:blipFill>
      <xdr:spPr>
        <a:xfrm>
          <a:off x="7264400" y="3323139150"/>
          <a:ext cx="878840" cy="1183640"/>
        </a:xfrm>
        <a:prstGeom prst="rect">
          <a:avLst/>
        </a:prstGeom>
      </xdr:spPr>
    </xdr:pic>
    <xdr:clientData/>
  </xdr:twoCellAnchor>
  <xdr:twoCellAnchor>
    <xdr:from>
      <xdr:col>8</xdr:col>
      <xdr:colOff>6350</xdr:colOff>
      <xdr:row>3361</xdr:row>
      <xdr:rowOff>25400</xdr:rowOff>
    </xdr:from>
    <xdr:to>
      <xdr:col>8</xdr:col>
      <xdr:colOff>885190</xdr:colOff>
      <xdr:row>3361</xdr:row>
      <xdr:rowOff>1209040</xdr:rowOff>
    </xdr:to>
    <xdr:pic>
      <xdr:nvPicPr>
        <xdr:cNvPr id="6833" name="Изображение 6832" descr="resizeПП-00262396"/>
        <xdr:cNvPicPr>
          <a:picLocks noChangeAspect="1"/>
        </xdr:cNvPicPr>
      </xdr:nvPicPr>
      <xdr:blipFill>
        <a:blip xmlns:r="http://schemas.openxmlformats.org/officeDocument/2006/relationships" r:embed="rId2539"/>
        <a:stretch>
          <a:fillRect/>
        </a:stretch>
      </xdr:blipFill>
      <xdr:spPr>
        <a:xfrm>
          <a:off x="7264400" y="3324361525"/>
          <a:ext cx="878840" cy="1183640"/>
        </a:xfrm>
        <a:prstGeom prst="rect">
          <a:avLst/>
        </a:prstGeom>
      </xdr:spPr>
    </xdr:pic>
    <xdr:clientData/>
  </xdr:twoCellAnchor>
  <xdr:twoCellAnchor>
    <xdr:from>
      <xdr:col>8</xdr:col>
      <xdr:colOff>6350</xdr:colOff>
      <xdr:row>3363</xdr:row>
      <xdr:rowOff>25400</xdr:rowOff>
    </xdr:from>
    <xdr:to>
      <xdr:col>8</xdr:col>
      <xdr:colOff>885190</xdr:colOff>
      <xdr:row>3363</xdr:row>
      <xdr:rowOff>1209040</xdr:rowOff>
    </xdr:to>
    <xdr:pic>
      <xdr:nvPicPr>
        <xdr:cNvPr id="6834" name="Изображение 6833" descr="resizeПП-00257343"/>
        <xdr:cNvPicPr>
          <a:picLocks noChangeAspect="1"/>
        </xdr:cNvPicPr>
      </xdr:nvPicPr>
      <xdr:blipFill>
        <a:blip xmlns:r="http://schemas.openxmlformats.org/officeDocument/2006/relationships" r:embed="rId2540"/>
        <a:stretch>
          <a:fillRect/>
        </a:stretch>
      </xdr:blipFill>
      <xdr:spPr>
        <a:xfrm>
          <a:off x="7264400" y="3325736300"/>
          <a:ext cx="878840" cy="1183640"/>
        </a:xfrm>
        <a:prstGeom prst="rect">
          <a:avLst/>
        </a:prstGeom>
      </xdr:spPr>
    </xdr:pic>
    <xdr:clientData/>
  </xdr:twoCellAnchor>
  <xdr:twoCellAnchor>
    <xdr:from>
      <xdr:col>8</xdr:col>
      <xdr:colOff>6350</xdr:colOff>
      <xdr:row>3364</xdr:row>
      <xdr:rowOff>25400</xdr:rowOff>
    </xdr:from>
    <xdr:to>
      <xdr:col>8</xdr:col>
      <xdr:colOff>885190</xdr:colOff>
      <xdr:row>3364</xdr:row>
      <xdr:rowOff>1209040</xdr:rowOff>
    </xdr:to>
    <xdr:pic>
      <xdr:nvPicPr>
        <xdr:cNvPr id="6835" name="Изображение 6834" descr="resizeПП-00257353"/>
        <xdr:cNvPicPr>
          <a:picLocks noChangeAspect="1"/>
        </xdr:cNvPicPr>
      </xdr:nvPicPr>
      <xdr:blipFill>
        <a:blip xmlns:r="http://schemas.openxmlformats.org/officeDocument/2006/relationships" r:embed="rId2541"/>
        <a:stretch>
          <a:fillRect/>
        </a:stretch>
      </xdr:blipFill>
      <xdr:spPr>
        <a:xfrm>
          <a:off x="7264400" y="3326958675"/>
          <a:ext cx="878840" cy="1183640"/>
        </a:xfrm>
        <a:prstGeom prst="rect">
          <a:avLst/>
        </a:prstGeom>
      </xdr:spPr>
    </xdr:pic>
    <xdr:clientData/>
  </xdr:twoCellAnchor>
  <xdr:twoCellAnchor>
    <xdr:from>
      <xdr:col>8</xdr:col>
      <xdr:colOff>6350</xdr:colOff>
      <xdr:row>3365</xdr:row>
      <xdr:rowOff>25400</xdr:rowOff>
    </xdr:from>
    <xdr:to>
      <xdr:col>8</xdr:col>
      <xdr:colOff>885190</xdr:colOff>
      <xdr:row>3365</xdr:row>
      <xdr:rowOff>1209040</xdr:rowOff>
    </xdr:to>
    <xdr:pic>
      <xdr:nvPicPr>
        <xdr:cNvPr id="6836" name="Изображение 6835" descr="resizeПП-00221360"/>
        <xdr:cNvPicPr>
          <a:picLocks noChangeAspect="1"/>
        </xdr:cNvPicPr>
      </xdr:nvPicPr>
      <xdr:blipFill>
        <a:blip xmlns:r="http://schemas.openxmlformats.org/officeDocument/2006/relationships" r:embed="rId2542"/>
        <a:stretch>
          <a:fillRect/>
        </a:stretch>
      </xdr:blipFill>
      <xdr:spPr>
        <a:xfrm>
          <a:off x="7264400" y="3328181050"/>
          <a:ext cx="878840" cy="1183640"/>
        </a:xfrm>
        <a:prstGeom prst="rect">
          <a:avLst/>
        </a:prstGeom>
      </xdr:spPr>
    </xdr:pic>
    <xdr:clientData/>
  </xdr:twoCellAnchor>
  <xdr:twoCellAnchor>
    <xdr:from>
      <xdr:col>8</xdr:col>
      <xdr:colOff>6350</xdr:colOff>
      <xdr:row>3366</xdr:row>
      <xdr:rowOff>25400</xdr:rowOff>
    </xdr:from>
    <xdr:to>
      <xdr:col>8</xdr:col>
      <xdr:colOff>885190</xdr:colOff>
      <xdr:row>3366</xdr:row>
      <xdr:rowOff>1209040</xdr:rowOff>
    </xdr:to>
    <xdr:pic>
      <xdr:nvPicPr>
        <xdr:cNvPr id="6837" name="Изображение 6836" descr="resizeПП-00257334"/>
        <xdr:cNvPicPr>
          <a:picLocks noChangeAspect="1"/>
        </xdr:cNvPicPr>
      </xdr:nvPicPr>
      <xdr:blipFill>
        <a:blip xmlns:r="http://schemas.openxmlformats.org/officeDocument/2006/relationships" r:embed="rId2543"/>
        <a:stretch>
          <a:fillRect/>
        </a:stretch>
      </xdr:blipFill>
      <xdr:spPr>
        <a:xfrm>
          <a:off x="7264400" y="3329403425"/>
          <a:ext cx="878840" cy="1183640"/>
        </a:xfrm>
        <a:prstGeom prst="rect">
          <a:avLst/>
        </a:prstGeom>
      </xdr:spPr>
    </xdr:pic>
    <xdr:clientData/>
  </xdr:twoCellAnchor>
  <xdr:twoCellAnchor>
    <xdr:from>
      <xdr:col>8</xdr:col>
      <xdr:colOff>6350</xdr:colOff>
      <xdr:row>3368</xdr:row>
      <xdr:rowOff>25400</xdr:rowOff>
    </xdr:from>
    <xdr:to>
      <xdr:col>8</xdr:col>
      <xdr:colOff>885190</xdr:colOff>
      <xdr:row>3368</xdr:row>
      <xdr:rowOff>1209040</xdr:rowOff>
    </xdr:to>
    <xdr:pic>
      <xdr:nvPicPr>
        <xdr:cNvPr id="6838" name="Изображение 6837" descr="resizeПП-00248282"/>
        <xdr:cNvPicPr>
          <a:picLocks noChangeAspect="1"/>
        </xdr:cNvPicPr>
      </xdr:nvPicPr>
      <xdr:blipFill>
        <a:blip xmlns:r="http://schemas.openxmlformats.org/officeDocument/2006/relationships" r:embed="rId2544"/>
        <a:stretch>
          <a:fillRect/>
        </a:stretch>
      </xdr:blipFill>
      <xdr:spPr>
        <a:xfrm>
          <a:off x="7264400" y="3330778200"/>
          <a:ext cx="878840" cy="1183640"/>
        </a:xfrm>
        <a:prstGeom prst="rect">
          <a:avLst/>
        </a:prstGeom>
      </xdr:spPr>
    </xdr:pic>
    <xdr:clientData/>
  </xdr:twoCellAnchor>
  <xdr:twoCellAnchor>
    <xdr:from>
      <xdr:col>8</xdr:col>
      <xdr:colOff>6350</xdr:colOff>
      <xdr:row>3369</xdr:row>
      <xdr:rowOff>25400</xdr:rowOff>
    </xdr:from>
    <xdr:to>
      <xdr:col>8</xdr:col>
      <xdr:colOff>885190</xdr:colOff>
      <xdr:row>3369</xdr:row>
      <xdr:rowOff>1209040</xdr:rowOff>
    </xdr:to>
    <xdr:pic>
      <xdr:nvPicPr>
        <xdr:cNvPr id="6839" name="Изображение 6838" descr="resizeПП-00223395"/>
        <xdr:cNvPicPr>
          <a:picLocks noChangeAspect="1"/>
        </xdr:cNvPicPr>
      </xdr:nvPicPr>
      <xdr:blipFill>
        <a:blip xmlns:r="http://schemas.openxmlformats.org/officeDocument/2006/relationships" r:embed="rId2545"/>
        <a:stretch>
          <a:fillRect/>
        </a:stretch>
      </xdr:blipFill>
      <xdr:spPr>
        <a:xfrm>
          <a:off x="7264400" y="3332000575"/>
          <a:ext cx="878840" cy="1183640"/>
        </a:xfrm>
        <a:prstGeom prst="rect">
          <a:avLst/>
        </a:prstGeom>
      </xdr:spPr>
    </xdr:pic>
    <xdr:clientData/>
  </xdr:twoCellAnchor>
  <xdr:twoCellAnchor>
    <xdr:from>
      <xdr:col>8</xdr:col>
      <xdr:colOff>6350</xdr:colOff>
      <xdr:row>3370</xdr:row>
      <xdr:rowOff>25400</xdr:rowOff>
    </xdr:from>
    <xdr:to>
      <xdr:col>8</xdr:col>
      <xdr:colOff>885190</xdr:colOff>
      <xdr:row>3370</xdr:row>
      <xdr:rowOff>1209040</xdr:rowOff>
    </xdr:to>
    <xdr:pic>
      <xdr:nvPicPr>
        <xdr:cNvPr id="6840" name="Изображение 6839" descr="resizeПП-00248274"/>
        <xdr:cNvPicPr>
          <a:picLocks noChangeAspect="1"/>
        </xdr:cNvPicPr>
      </xdr:nvPicPr>
      <xdr:blipFill>
        <a:blip xmlns:r="http://schemas.openxmlformats.org/officeDocument/2006/relationships" r:embed="rId2546"/>
        <a:stretch>
          <a:fillRect/>
        </a:stretch>
      </xdr:blipFill>
      <xdr:spPr>
        <a:xfrm>
          <a:off x="7264400" y="3333222950"/>
          <a:ext cx="878840" cy="1183640"/>
        </a:xfrm>
        <a:prstGeom prst="rect">
          <a:avLst/>
        </a:prstGeom>
      </xdr:spPr>
    </xdr:pic>
    <xdr:clientData/>
  </xdr:twoCellAnchor>
  <xdr:twoCellAnchor>
    <xdr:from>
      <xdr:col>8</xdr:col>
      <xdr:colOff>6350</xdr:colOff>
      <xdr:row>3371</xdr:row>
      <xdr:rowOff>25400</xdr:rowOff>
    </xdr:from>
    <xdr:to>
      <xdr:col>8</xdr:col>
      <xdr:colOff>885190</xdr:colOff>
      <xdr:row>3371</xdr:row>
      <xdr:rowOff>1209040</xdr:rowOff>
    </xdr:to>
    <xdr:pic>
      <xdr:nvPicPr>
        <xdr:cNvPr id="6841" name="Изображение 6840" descr="resizeПП-00248272"/>
        <xdr:cNvPicPr>
          <a:picLocks noChangeAspect="1"/>
        </xdr:cNvPicPr>
      </xdr:nvPicPr>
      <xdr:blipFill>
        <a:blip xmlns:r="http://schemas.openxmlformats.org/officeDocument/2006/relationships" r:embed="rId2547"/>
        <a:stretch>
          <a:fillRect/>
        </a:stretch>
      </xdr:blipFill>
      <xdr:spPr>
        <a:xfrm>
          <a:off x="7264400" y="3334445325"/>
          <a:ext cx="878840" cy="1183640"/>
        </a:xfrm>
        <a:prstGeom prst="rect">
          <a:avLst/>
        </a:prstGeom>
      </xdr:spPr>
    </xdr:pic>
    <xdr:clientData/>
  </xdr:twoCellAnchor>
  <xdr:twoCellAnchor>
    <xdr:from>
      <xdr:col>8</xdr:col>
      <xdr:colOff>6350</xdr:colOff>
      <xdr:row>3372</xdr:row>
      <xdr:rowOff>25400</xdr:rowOff>
    </xdr:from>
    <xdr:to>
      <xdr:col>8</xdr:col>
      <xdr:colOff>885190</xdr:colOff>
      <xdr:row>3372</xdr:row>
      <xdr:rowOff>1209040</xdr:rowOff>
    </xdr:to>
    <xdr:pic>
      <xdr:nvPicPr>
        <xdr:cNvPr id="6842" name="Изображение 6841" descr="resizeПП-00248265"/>
        <xdr:cNvPicPr>
          <a:picLocks noChangeAspect="1"/>
        </xdr:cNvPicPr>
      </xdr:nvPicPr>
      <xdr:blipFill>
        <a:blip xmlns:r="http://schemas.openxmlformats.org/officeDocument/2006/relationships" r:embed="rId2548"/>
        <a:stretch>
          <a:fillRect/>
        </a:stretch>
      </xdr:blipFill>
      <xdr:spPr>
        <a:xfrm>
          <a:off x="7264400" y="3335667700"/>
          <a:ext cx="878840" cy="1183640"/>
        </a:xfrm>
        <a:prstGeom prst="rect">
          <a:avLst/>
        </a:prstGeom>
      </xdr:spPr>
    </xdr:pic>
    <xdr:clientData/>
  </xdr:twoCellAnchor>
  <xdr:twoCellAnchor>
    <xdr:from>
      <xdr:col>8</xdr:col>
      <xdr:colOff>6350</xdr:colOff>
      <xdr:row>3374</xdr:row>
      <xdr:rowOff>25400</xdr:rowOff>
    </xdr:from>
    <xdr:to>
      <xdr:col>8</xdr:col>
      <xdr:colOff>885190</xdr:colOff>
      <xdr:row>3374</xdr:row>
      <xdr:rowOff>1209040</xdr:rowOff>
    </xdr:to>
    <xdr:pic>
      <xdr:nvPicPr>
        <xdr:cNvPr id="6843" name="Изображение 6842" descr="resizeПП-00231392"/>
        <xdr:cNvPicPr>
          <a:picLocks noChangeAspect="1"/>
        </xdr:cNvPicPr>
      </xdr:nvPicPr>
      <xdr:blipFill>
        <a:blip xmlns:r="http://schemas.openxmlformats.org/officeDocument/2006/relationships" r:embed="rId2549"/>
        <a:stretch>
          <a:fillRect/>
        </a:stretch>
      </xdr:blipFill>
      <xdr:spPr>
        <a:xfrm>
          <a:off x="7264400" y="3337042475"/>
          <a:ext cx="878840" cy="1183640"/>
        </a:xfrm>
        <a:prstGeom prst="rect">
          <a:avLst/>
        </a:prstGeom>
      </xdr:spPr>
    </xdr:pic>
    <xdr:clientData/>
  </xdr:twoCellAnchor>
  <xdr:twoCellAnchor>
    <xdr:from>
      <xdr:col>8</xdr:col>
      <xdr:colOff>6350</xdr:colOff>
      <xdr:row>3376</xdr:row>
      <xdr:rowOff>25400</xdr:rowOff>
    </xdr:from>
    <xdr:to>
      <xdr:col>8</xdr:col>
      <xdr:colOff>885190</xdr:colOff>
      <xdr:row>3376</xdr:row>
      <xdr:rowOff>1209040</xdr:rowOff>
    </xdr:to>
    <xdr:pic>
      <xdr:nvPicPr>
        <xdr:cNvPr id="6844" name="Изображение 6843" descr="resizeПП-00237254"/>
        <xdr:cNvPicPr>
          <a:picLocks noChangeAspect="1"/>
        </xdr:cNvPicPr>
      </xdr:nvPicPr>
      <xdr:blipFill>
        <a:blip xmlns:r="http://schemas.openxmlformats.org/officeDocument/2006/relationships" r:embed="rId2550"/>
        <a:stretch>
          <a:fillRect/>
        </a:stretch>
      </xdr:blipFill>
      <xdr:spPr>
        <a:xfrm>
          <a:off x="7264400" y="3338417250"/>
          <a:ext cx="878840" cy="1183640"/>
        </a:xfrm>
        <a:prstGeom prst="rect">
          <a:avLst/>
        </a:prstGeom>
      </xdr:spPr>
    </xdr:pic>
    <xdr:clientData/>
  </xdr:twoCellAnchor>
  <xdr:twoCellAnchor>
    <xdr:from>
      <xdr:col>8</xdr:col>
      <xdr:colOff>6350</xdr:colOff>
      <xdr:row>3377</xdr:row>
      <xdr:rowOff>25400</xdr:rowOff>
    </xdr:from>
    <xdr:to>
      <xdr:col>8</xdr:col>
      <xdr:colOff>885190</xdr:colOff>
      <xdr:row>3377</xdr:row>
      <xdr:rowOff>1209040</xdr:rowOff>
    </xdr:to>
    <xdr:pic>
      <xdr:nvPicPr>
        <xdr:cNvPr id="6845" name="Изображение 6844" descr="resizeПП-00237253"/>
        <xdr:cNvPicPr>
          <a:picLocks noChangeAspect="1"/>
        </xdr:cNvPicPr>
      </xdr:nvPicPr>
      <xdr:blipFill>
        <a:blip xmlns:r="http://schemas.openxmlformats.org/officeDocument/2006/relationships" r:embed="rId2551"/>
        <a:stretch>
          <a:fillRect/>
        </a:stretch>
      </xdr:blipFill>
      <xdr:spPr>
        <a:xfrm>
          <a:off x="7264400" y="3339639625"/>
          <a:ext cx="878840" cy="1183640"/>
        </a:xfrm>
        <a:prstGeom prst="rect">
          <a:avLst/>
        </a:prstGeom>
      </xdr:spPr>
    </xdr:pic>
    <xdr:clientData/>
  </xdr:twoCellAnchor>
  <xdr:twoCellAnchor>
    <xdr:from>
      <xdr:col>8</xdr:col>
      <xdr:colOff>6350</xdr:colOff>
      <xdr:row>3378</xdr:row>
      <xdr:rowOff>25400</xdr:rowOff>
    </xdr:from>
    <xdr:to>
      <xdr:col>8</xdr:col>
      <xdr:colOff>885190</xdr:colOff>
      <xdr:row>3378</xdr:row>
      <xdr:rowOff>1209040</xdr:rowOff>
    </xdr:to>
    <xdr:pic>
      <xdr:nvPicPr>
        <xdr:cNvPr id="6846" name="Изображение 6845" descr="resizeПП-00237257"/>
        <xdr:cNvPicPr>
          <a:picLocks noChangeAspect="1"/>
        </xdr:cNvPicPr>
      </xdr:nvPicPr>
      <xdr:blipFill>
        <a:blip xmlns:r="http://schemas.openxmlformats.org/officeDocument/2006/relationships" r:embed="rId2552"/>
        <a:stretch>
          <a:fillRect/>
        </a:stretch>
      </xdr:blipFill>
      <xdr:spPr>
        <a:xfrm>
          <a:off x="7264400" y="3340862000"/>
          <a:ext cx="878840" cy="1183640"/>
        </a:xfrm>
        <a:prstGeom prst="rect">
          <a:avLst/>
        </a:prstGeom>
      </xdr:spPr>
    </xdr:pic>
    <xdr:clientData/>
  </xdr:twoCellAnchor>
  <xdr:twoCellAnchor>
    <xdr:from>
      <xdr:col>8</xdr:col>
      <xdr:colOff>6350</xdr:colOff>
      <xdr:row>3379</xdr:row>
      <xdr:rowOff>25400</xdr:rowOff>
    </xdr:from>
    <xdr:to>
      <xdr:col>8</xdr:col>
      <xdr:colOff>885190</xdr:colOff>
      <xdr:row>3379</xdr:row>
      <xdr:rowOff>1209040</xdr:rowOff>
    </xdr:to>
    <xdr:pic>
      <xdr:nvPicPr>
        <xdr:cNvPr id="6847" name="Изображение 6846" descr="resizeПП-00237248"/>
        <xdr:cNvPicPr>
          <a:picLocks noChangeAspect="1"/>
        </xdr:cNvPicPr>
      </xdr:nvPicPr>
      <xdr:blipFill>
        <a:blip xmlns:r="http://schemas.openxmlformats.org/officeDocument/2006/relationships" r:embed="rId2553"/>
        <a:stretch>
          <a:fillRect/>
        </a:stretch>
      </xdr:blipFill>
      <xdr:spPr>
        <a:xfrm>
          <a:off x="7264400" y="3342084375"/>
          <a:ext cx="878840" cy="1183640"/>
        </a:xfrm>
        <a:prstGeom prst="rect">
          <a:avLst/>
        </a:prstGeom>
      </xdr:spPr>
    </xdr:pic>
    <xdr:clientData/>
  </xdr:twoCellAnchor>
  <xdr:twoCellAnchor>
    <xdr:from>
      <xdr:col>8</xdr:col>
      <xdr:colOff>6350</xdr:colOff>
      <xdr:row>3380</xdr:row>
      <xdr:rowOff>25400</xdr:rowOff>
    </xdr:from>
    <xdr:to>
      <xdr:col>8</xdr:col>
      <xdr:colOff>885190</xdr:colOff>
      <xdr:row>3380</xdr:row>
      <xdr:rowOff>1209040</xdr:rowOff>
    </xdr:to>
    <xdr:pic>
      <xdr:nvPicPr>
        <xdr:cNvPr id="6848" name="Изображение 6847" descr="resizeПП-00237261"/>
        <xdr:cNvPicPr>
          <a:picLocks noChangeAspect="1"/>
        </xdr:cNvPicPr>
      </xdr:nvPicPr>
      <xdr:blipFill>
        <a:blip xmlns:r="http://schemas.openxmlformats.org/officeDocument/2006/relationships" r:embed="rId2554"/>
        <a:stretch>
          <a:fillRect/>
        </a:stretch>
      </xdr:blipFill>
      <xdr:spPr>
        <a:xfrm>
          <a:off x="7264400" y="3343306750"/>
          <a:ext cx="878840" cy="1183640"/>
        </a:xfrm>
        <a:prstGeom prst="rect">
          <a:avLst/>
        </a:prstGeom>
      </xdr:spPr>
    </xdr:pic>
    <xdr:clientData/>
  </xdr:twoCellAnchor>
  <xdr:twoCellAnchor>
    <xdr:from>
      <xdr:col>8</xdr:col>
      <xdr:colOff>6350</xdr:colOff>
      <xdr:row>3382</xdr:row>
      <xdr:rowOff>25400</xdr:rowOff>
    </xdr:from>
    <xdr:to>
      <xdr:col>8</xdr:col>
      <xdr:colOff>885190</xdr:colOff>
      <xdr:row>3382</xdr:row>
      <xdr:rowOff>1209040</xdr:rowOff>
    </xdr:to>
    <xdr:pic>
      <xdr:nvPicPr>
        <xdr:cNvPr id="6849" name="Изображение 6848" descr="resizeПП-00257333"/>
        <xdr:cNvPicPr>
          <a:picLocks noChangeAspect="1"/>
        </xdr:cNvPicPr>
      </xdr:nvPicPr>
      <xdr:blipFill>
        <a:blip xmlns:r="http://schemas.openxmlformats.org/officeDocument/2006/relationships" r:embed="rId2555"/>
        <a:stretch>
          <a:fillRect/>
        </a:stretch>
      </xdr:blipFill>
      <xdr:spPr>
        <a:xfrm>
          <a:off x="7264400" y="3344681525"/>
          <a:ext cx="878840" cy="1183640"/>
        </a:xfrm>
        <a:prstGeom prst="rect">
          <a:avLst/>
        </a:prstGeom>
      </xdr:spPr>
    </xdr:pic>
    <xdr:clientData/>
  </xdr:twoCellAnchor>
  <xdr:twoCellAnchor>
    <xdr:from>
      <xdr:col>8</xdr:col>
      <xdr:colOff>6350</xdr:colOff>
      <xdr:row>3384</xdr:row>
      <xdr:rowOff>25400</xdr:rowOff>
    </xdr:from>
    <xdr:to>
      <xdr:col>8</xdr:col>
      <xdr:colOff>885190</xdr:colOff>
      <xdr:row>3384</xdr:row>
      <xdr:rowOff>1209040</xdr:rowOff>
    </xdr:to>
    <xdr:pic>
      <xdr:nvPicPr>
        <xdr:cNvPr id="6850" name="Изображение 6849" descr="resizeПП-00257913"/>
        <xdr:cNvPicPr>
          <a:picLocks noChangeAspect="1"/>
        </xdr:cNvPicPr>
      </xdr:nvPicPr>
      <xdr:blipFill>
        <a:blip xmlns:r="http://schemas.openxmlformats.org/officeDocument/2006/relationships" r:embed="rId2556"/>
        <a:stretch>
          <a:fillRect/>
        </a:stretch>
      </xdr:blipFill>
      <xdr:spPr>
        <a:xfrm>
          <a:off x="7264400" y="3346056300"/>
          <a:ext cx="878840" cy="1183640"/>
        </a:xfrm>
        <a:prstGeom prst="rect">
          <a:avLst/>
        </a:prstGeom>
      </xdr:spPr>
    </xdr:pic>
    <xdr:clientData/>
  </xdr:twoCellAnchor>
  <xdr:twoCellAnchor>
    <xdr:from>
      <xdr:col>8</xdr:col>
      <xdr:colOff>6350</xdr:colOff>
      <xdr:row>3385</xdr:row>
      <xdr:rowOff>25400</xdr:rowOff>
    </xdr:from>
    <xdr:to>
      <xdr:col>8</xdr:col>
      <xdr:colOff>885190</xdr:colOff>
      <xdr:row>3385</xdr:row>
      <xdr:rowOff>1209040</xdr:rowOff>
    </xdr:to>
    <xdr:pic>
      <xdr:nvPicPr>
        <xdr:cNvPr id="6851" name="Изображение 6850" descr="resizeПП-00257909"/>
        <xdr:cNvPicPr>
          <a:picLocks noChangeAspect="1"/>
        </xdr:cNvPicPr>
      </xdr:nvPicPr>
      <xdr:blipFill>
        <a:blip xmlns:r="http://schemas.openxmlformats.org/officeDocument/2006/relationships" r:embed="rId2557"/>
        <a:stretch>
          <a:fillRect/>
        </a:stretch>
      </xdr:blipFill>
      <xdr:spPr>
        <a:xfrm>
          <a:off x="7264400" y="3347278675"/>
          <a:ext cx="878840" cy="1183640"/>
        </a:xfrm>
        <a:prstGeom prst="rect">
          <a:avLst/>
        </a:prstGeom>
      </xdr:spPr>
    </xdr:pic>
    <xdr:clientData/>
  </xdr:twoCellAnchor>
  <xdr:twoCellAnchor>
    <xdr:from>
      <xdr:col>8</xdr:col>
      <xdr:colOff>6350</xdr:colOff>
      <xdr:row>3386</xdr:row>
      <xdr:rowOff>25400</xdr:rowOff>
    </xdr:from>
    <xdr:to>
      <xdr:col>8</xdr:col>
      <xdr:colOff>885190</xdr:colOff>
      <xdr:row>3386</xdr:row>
      <xdr:rowOff>1209040</xdr:rowOff>
    </xdr:to>
    <xdr:pic>
      <xdr:nvPicPr>
        <xdr:cNvPr id="6852" name="Изображение 6851" descr="resizeПП-00257914"/>
        <xdr:cNvPicPr>
          <a:picLocks noChangeAspect="1"/>
        </xdr:cNvPicPr>
      </xdr:nvPicPr>
      <xdr:blipFill>
        <a:blip xmlns:r="http://schemas.openxmlformats.org/officeDocument/2006/relationships" r:embed="rId2558"/>
        <a:stretch>
          <a:fillRect/>
        </a:stretch>
      </xdr:blipFill>
      <xdr:spPr>
        <a:xfrm>
          <a:off x="7264400" y="3348501050"/>
          <a:ext cx="878840" cy="1183640"/>
        </a:xfrm>
        <a:prstGeom prst="rect">
          <a:avLst/>
        </a:prstGeom>
      </xdr:spPr>
    </xdr:pic>
    <xdr:clientData/>
  </xdr:twoCellAnchor>
  <xdr:twoCellAnchor>
    <xdr:from>
      <xdr:col>8</xdr:col>
      <xdr:colOff>6350</xdr:colOff>
      <xdr:row>3387</xdr:row>
      <xdr:rowOff>25400</xdr:rowOff>
    </xdr:from>
    <xdr:to>
      <xdr:col>8</xdr:col>
      <xdr:colOff>885190</xdr:colOff>
      <xdr:row>3387</xdr:row>
      <xdr:rowOff>1209040</xdr:rowOff>
    </xdr:to>
    <xdr:pic>
      <xdr:nvPicPr>
        <xdr:cNvPr id="6853" name="Изображение 6852" descr="resizeПП-00257915"/>
        <xdr:cNvPicPr>
          <a:picLocks noChangeAspect="1"/>
        </xdr:cNvPicPr>
      </xdr:nvPicPr>
      <xdr:blipFill>
        <a:blip xmlns:r="http://schemas.openxmlformats.org/officeDocument/2006/relationships" r:embed="rId2559"/>
        <a:stretch>
          <a:fillRect/>
        </a:stretch>
      </xdr:blipFill>
      <xdr:spPr>
        <a:xfrm>
          <a:off x="7264400" y="3349723425"/>
          <a:ext cx="878840" cy="1183640"/>
        </a:xfrm>
        <a:prstGeom prst="rect">
          <a:avLst/>
        </a:prstGeom>
      </xdr:spPr>
    </xdr:pic>
    <xdr:clientData/>
  </xdr:twoCellAnchor>
  <xdr:twoCellAnchor>
    <xdr:from>
      <xdr:col>8</xdr:col>
      <xdr:colOff>6350</xdr:colOff>
      <xdr:row>3388</xdr:row>
      <xdr:rowOff>25400</xdr:rowOff>
    </xdr:from>
    <xdr:to>
      <xdr:col>8</xdr:col>
      <xdr:colOff>885190</xdr:colOff>
      <xdr:row>3388</xdr:row>
      <xdr:rowOff>1209040</xdr:rowOff>
    </xdr:to>
    <xdr:pic>
      <xdr:nvPicPr>
        <xdr:cNvPr id="6854" name="Изображение 6853" descr="resizeПП-00257911"/>
        <xdr:cNvPicPr>
          <a:picLocks noChangeAspect="1"/>
        </xdr:cNvPicPr>
      </xdr:nvPicPr>
      <xdr:blipFill>
        <a:blip xmlns:r="http://schemas.openxmlformats.org/officeDocument/2006/relationships" r:embed="rId2560"/>
        <a:stretch>
          <a:fillRect/>
        </a:stretch>
      </xdr:blipFill>
      <xdr:spPr>
        <a:xfrm>
          <a:off x="7264400" y="3350945800"/>
          <a:ext cx="878840" cy="1183640"/>
        </a:xfrm>
        <a:prstGeom prst="rect">
          <a:avLst/>
        </a:prstGeom>
      </xdr:spPr>
    </xdr:pic>
    <xdr:clientData/>
  </xdr:twoCellAnchor>
  <xdr:twoCellAnchor>
    <xdr:from>
      <xdr:col>8</xdr:col>
      <xdr:colOff>6350</xdr:colOff>
      <xdr:row>3389</xdr:row>
      <xdr:rowOff>25400</xdr:rowOff>
    </xdr:from>
    <xdr:to>
      <xdr:col>8</xdr:col>
      <xdr:colOff>885190</xdr:colOff>
      <xdr:row>3389</xdr:row>
      <xdr:rowOff>1209040</xdr:rowOff>
    </xdr:to>
    <xdr:pic>
      <xdr:nvPicPr>
        <xdr:cNvPr id="6855" name="Изображение 6854" descr="resizeПП-00257910"/>
        <xdr:cNvPicPr>
          <a:picLocks noChangeAspect="1"/>
        </xdr:cNvPicPr>
      </xdr:nvPicPr>
      <xdr:blipFill>
        <a:blip xmlns:r="http://schemas.openxmlformats.org/officeDocument/2006/relationships" r:embed="rId2561"/>
        <a:stretch>
          <a:fillRect/>
        </a:stretch>
      </xdr:blipFill>
      <xdr:spPr>
        <a:xfrm>
          <a:off x="7264400" y="3352168175"/>
          <a:ext cx="878840" cy="1183640"/>
        </a:xfrm>
        <a:prstGeom prst="rect">
          <a:avLst/>
        </a:prstGeom>
      </xdr:spPr>
    </xdr:pic>
    <xdr:clientData/>
  </xdr:twoCellAnchor>
  <xdr:twoCellAnchor>
    <xdr:from>
      <xdr:col>8</xdr:col>
      <xdr:colOff>6350</xdr:colOff>
      <xdr:row>3392</xdr:row>
      <xdr:rowOff>25400</xdr:rowOff>
    </xdr:from>
    <xdr:to>
      <xdr:col>8</xdr:col>
      <xdr:colOff>885190</xdr:colOff>
      <xdr:row>3392</xdr:row>
      <xdr:rowOff>1209040</xdr:rowOff>
    </xdr:to>
    <xdr:pic>
      <xdr:nvPicPr>
        <xdr:cNvPr id="6856" name="Изображение 6855" descr="resizeПП-00225827"/>
        <xdr:cNvPicPr>
          <a:picLocks noChangeAspect="1"/>
        </xdr:cNvPicPr>
      </xdr:nvPicPr>
      <xdr:blipFill>
        <a:blip xmlns:r="http://schemas.openxmlformats.org/officeDocument/2006/relationships" r:embed="rId2562"/>
        <a:stretch>
          <a:fillRect/>
        </a:stretch>
      </xdr:blipFill>
      <xdr:spPr>
        <a:xfrm>
          <a:off x="7264400" y="3353695350"/>
          <a:ext cx="878840" cy="1183640"/>
        </a:xfrm>
        <a:prstGeom prst="rect">
          <a:avLst/>
        </a:prstGeom>
      </xdr:spPr>
    </xdr:pic>
    <xdr:clientData/>
  </xdr:twoCellAnchor>
  <xdr:twoCellAnchor>
    <xdr:from>
      <xdr:col>8</xdr:col>
      <xdr:colOff>6350</xdr:colOff>
      <xdr:row>3393</xdr:row>
      <xdr:rowOff>25400</xdr:rowOff>
    </xdr:from>
    <xdr:to>
      <xdr:col>8</xdr:col>
      <xdr:colOff>885190</xdr:colOff>
      <xdr:row>3393</xdr:row>
      <xdr:rowOff>1209040</xdr:rowOff>
    </xdr:to>
    <xdr:pic>
      <xdr:nvPicPr>
        <xdr:cNvPr id="6857" name="Изображение 6856" descr="resizeПП-00240457"/>
        <xdr:cNvPicPr>
          <a:picLocks noChangeAspect="1"/>
        </xdr:cNvPicPr>
      </xdr:nvPicPr>
      <xdr:blipFill>
        <a:blip xmlns:r="http://schemas.openxmlformats.org/officeDocument/2006/relationships" r:embed="rId2563"/>
        <a:stretch>
          <a:fillRect/>
        </a:stretch>
      </xdr:blipFill>
      <xdr:spPr>
        <a:xfrm>
          <a:off x="7264400" y="3354917725"/>
          <a:ext cx="878840" cy="1183640"/>
        </a:xfrm>
        <a:prstGeom prst="rect">
          <a:avLst/>
        </a:prstGeom>
      </xdr:spPr>
    </xdr:pic>
    <xdr:clientData/>
  </xdr:twoCellAnchor>
  <xdr:twoCellAnchor>
    <xdr:from>
      <xdr:col>8</xdr:col>
      <xdr:colOff>6350</xdr:colOff>
      <xdr:row>3395</xdr:row>
      <xdr:rowOff>25400</xdr:rowOff>
    </xdr:from>
    <xdr:to>
      <xdr:col>8</xdr:col>
      <xdr:colOff>885190</xdr:colOff>
      <xdr:row>3395</xdr:row>
      <xdr:rowOff>1209040</xdr:rowOff>
    </xdr:to>
    <xdr:pic>
      <xdr:nvPicPr>
        <xdr:cNvPr id="6858" name="Изображение 6857" descr="resizeПП-00257827"/>
        <xdr:cNvPicPr>
          <a:picLocks noChangeAspect="1"/>
        </xdr:cNvPicPr>
      </xdr:nvPicPr>
      <xdr:blipFill>
        <a:blip xmlns:r="http://schemas.openxmlformats.org/officeDocument/2006/relationships" r:embed="rId2564"/>
        <a:stretch>
          <a:fillRect/>
        </a:stretch>
      </xdr:blipFill>
      <xdr:spPr>
        <a:xfrm>
          <a:off x="7264400" y="3356292500"/>
          <a:ext cx="878840" cy="1183640"/>
        </a:xfrm>
        <a:prstGeom prst="rect">
          <a:avLst/>
        </a:prstGeom>
      </xdr:spPr>
    </xdr:pic>
    <xdr:clientData/>
  </xdr:twoCellAnchor>
  <xdr:twoCellAnchor>
    <xdr:from>
      <xdr:col>8</xdr:col>
      <xdr:colOff>6350</xdr:colOff>
      <xdr:row>3396</xdr:row>
      <xdr:rowOff>25400</xdr:rowOff>
    </xdr:from>
    <xdr:to>
      <xdr:col>8</xdr:col>
      <xdr:colOff>885190</xdr:colOff>
      <xdr:row>3396</xdr:row>
      <xdr:rowOff>1209040</xdr:rowOff>
    </xdr:to>
    <xdr:pic>
      <xdr:nvPicPr>
        <xdr:cNvPr id="6859" name="Изображение 6858" descr="resizeПП-00257828"/>
        <xdr:cNvPicPr>
          <a:picLocks noChangeAspect="1"/>
        </xdr:cNvPicPr>
      </xdr:nvPicPr>
      <xdr:blipFill>
        <a:blip xmlns:r="http://schemas.openxmlformats.org/officeDocument/2006/relationships" r:embed="rId2565"/>
        <a:stretch>
          <a:fillRect/>
        </a:stretch>
      </xdr:blipFill>
      <xdr:spPr>
        <a:xfrm>
          <a:off x="7264400" y="3357514875"/>
          <a:ext cx="878840" cy="1183640"/>
        </a:xfrm>
        <a:prstGeom prst="rect">
          <a:avLst/>
        </a:prstGeom>
      </xdr:spPr>
    </xdr:pic>
    <xdr:clientData/>
  </xdr:twoCellAnchor>
  <xdr:twoCellAnchor>
    <xdr:from>
      <xdr:col>8</xdr:col>
      <xdr:colOff>6350</xdr:colOff>
      <xdr:row>3397</xdr:row>
      <xdr:rowOff>25400</xdr:rowOff>
    </xdr:from>
    <xdr:to>
      <xdr:col>8</xdr:col>
      <xdr:colOff>885190</xdr:colOff>
      <xdr:row>3397</xdr:row>
      <xdr:rowOff>1209040</xdr:rowOff>
    </xdr:to>
    <xdr:pic>
      <xdr:nvPicPr>
        <xdr:cNvPr id="6860" name="Изображение 6859" descr="resizeПП-00257829"/>
        <xdr:cNvPicPr>
          <a:picLocks noChangeAspect="1"/>
        </xdr:cNvPicPr>
      </xdr:nvPicPr>
      <xdr:blipFill>
        <a:blip xmlns:r="http://schemas.openxmlformats.org/officeDocument/2006/relationships" r:embed="rId2566"/>
        <a:stretch>
          <a:fillRect/>
        </a:stretch>
      </xdr:blipFill>
      <xdr:spPr>
        <a:xfrm>
          <a:off x="7264400" y="3358737250"/>
          <a:ext cx="878840" cy="1183640"/>
        </a:xfrm>
        <a:prstGeom prst="rect">
          <a:avLst/>
        </a:prstGeom>
      </xdr:spPr>
    </xdr:pic>
    <xdr:clientData/>
  </xdr:twoCellAnchor>
  <xdr:twoCellAnchor>
    <xdr:from>
      <xdr:col>8</xdr:col>
      <xdr:colOff>6350</xdr:colOff>
      <xdr:row>3398</xdr:row>
      <xdr:rowOff>25400</xdr:rowOff>
    </xdr:from>
    <xdr:to>
      <xdr:col>8</xdr:col>
      <xdr:colOff>885190</xdr:colOff>
      <xdr:row>3398</xdr:row>
      <xdr:rowOff>1209040</xdr:rowOff>
    </xdr:to>
    <xdr:pic>
      <xdr:nvPicPr>
        <xdr:cNvPr id="6861" name="Изображение 6860" descr="resizeПП-00257831"/>
        <xdr:cNvPicPr>
          <a:picLocks noChangeAspect="1"/>
        </xdr:cNvPicPr>
      </xdr:nvPicPr>
      <xdr:blipFill>
        <a:blip xmlns:r="http://schemas.openxmlformats.org/officeDocument/2006/relationships" r:embed="rId2567"/>
        <a:stretch>
          <a:fillRect/>
        </a:stretch>
      </xdr:blipFill>
      <xdr:spPr>
        <a:xfrm>
          <a:off x="7264400" y="3359959625"/>
          <a:ext cx="878840" cy="1183640"/>
        </a:xfrm>
        <a:prstGeom prst="rect">
          <a:avLst/>
        </a:prstGeom>
      </xdr:spPr>
    </xdr:pic>
    <xdr:clientData/>
  </xdr:twoCellAnchor>
  <xdr:twoCellAnchor>
    <xdr:from>
      <xdr:col>8</xdr:col>
      <xdr:colOff>6350</xdr:colOff>
      <xdr:row>3399</xdr:row>
      <xdr:rowOff>25400</xdr:rowOff>
    </xdr:from>
    <xdr:to>
      <xdr:col>8</xdr:col>
      <xdr:colOff>885190</xdr:colOff>
      <xdr:row>3399</xdr:row>
      <xdr:rowOff>1209040</xdr:rowOff>
    </xdr:to>
    <xdr:pic>
      <xdr:nvPicPr>
        <xdr:cNvPr id="6862" name="Изображение 6861" descr="resizeПП-00233535"/>
        <xdr:cNvPicPr>
          <a:picLocks noChangeAspect="1"/>
        </xdr:cNvPicPr>
      </xdr:nvPicPr>
      <xdr:blipFill>
        <a:blip xmlns:r="http://schemas.openxmlformats.org/officeDocument/2006/relationships" r:embed="rId2568"/>
        <a:stretch>
          <a:fillRect/>
        </a:stretch>
      </xdr:blipFill>
      <xdr:spPr>
        <a:xfrm>
          <a:off x="7264400" y="3361182000"/>
          <a:ext cx="878840" cy="1183640"/>
        </a:xfrm>
        <a:prstGeom prst="rect">
          <a:avLst/>
        </a:prstGeom>
      </xdr:spPr>
    </xdr:pic>
    <xdr:clientData/>
  </xdr:twoCellAnchor>
  <xdr:twoCellAnchor>
    <xdr:from>
      <xdr:col>8</xdr:col>
      <xdr:colOff>6350</xdr:colOff>
      <xdr:row>3400</xdr:row>
      <xdr:rowOff>25400</xdr:rowOff>
    </xdr:from>
    <xdr:to>
      <xdr:col>8</xdr:col>
      <xdr:colOff>885190</xdr:colOff>
      <xdr:row>3400</xdr:row>
      <xdr:rowOff>1209040</xdr:rowOff>
    </xdr:to>
    <xdr:pic>
      <xdr:nvPicPr>
        <xdr:cNvPr id="6863" name="Изображение 6862" descr="resizeПП-00233536"/>
        <xdr:cNvPicPr>
          <a:picLocks noChangeAspect="1"/>
        </xdr:cNvPicPr>
      </xdr:nvPicPr>
      <xdr:blipFill>
        <a:blip xmlns:r="http://schemas.openxmlformats.org/officeDocument/2006/relationships" r:embed="rId2569"/>
        <a:stretch>
          <a:fillRect/>
        </a:stretch>
      </xdr:blipFill>
      <xdr:spPr>
        <a:xfrm>
          <a:off x="7264400" y="3362404375"/>
          <a:ext cx="878840" cy="1183640"/>
        </a:xfrm>
        <a:prstGeom prst="rect">
          <a:avLst/>
        </a:prstGeom>
      </xdr:spPr>
    </xdr:pic>
    <xdr:clientData/>
  </xdr:twoCellAnchor>
  <xdr:twoCellAnchor>
    <xdr:from>
      <xdr:col>8</xdr:col>
      <xdr:colOff>6350</xdr:colOff>
      <xdr:row>3401</xdr:row>
      <xdr:rowOff>25400</xdr:rowOff>
    </xdr:from>
    <xdr:to>
      <xdr:col>8</xdr:col>
      <xdr:colOff>885190</xdr:colOff>
      <xdr:row>3401</xdr:row>
      <xdr:rowOff>1209040</xdr:rowOff>
    </xdr:to>
    <xdr:pic>
      <xdr:nvPicPr>
        <xdr:cNvPr id="6864" name="Изображение 6863" descr="resizeПП-00233531"/>
        <xdr:cNvPicPr>
          <a:picLocks noChangeAspect="1"/>
        </xdr:cNvPicPr>
      </xdr:nvPicPr>
      <xdr:blipFill>
        <a:blip xmlns:r="http://schemas.openxmlformats.org/officeDocument/2006/relationships" r:embed="rId2570"/>
        <a:stretch>
          <a:fillRect/>
        </a:stretch>
      </xdr:blipFill>
      <xdr:spPr>
        <a:xfrm>
          <a:off x="7264400" y="3363626750"/>
          <a:ext cx="878840" cy="1183640"/>
        </a:xfrm>
        <a:prstGeom prst="rect">
          <a:avLst/>
        </a:prstGeom>
      </xdr:spPr>
    </xdr:pic>
    <xdr:clientData/>
  </xdr:twoCellAnchor>
  <xdr:twoCellAnchor>
    <xdr:from>
      <xdr:col>8</xdr:col>
      <xdr:colOff>6350</xdr:colOff>
      <xdr:row>3402</xdr:row>
      <xdr:rowOff>25400</xdr:rowOff>
    </xdr:from>
    <xdr:to>
      <xdr:col>8</xdr:col>
      <xdr:colOff>885190</xdr:colOff>
      <xdr:row>3402</xdr:row>
      <xdr:rowOff>1209040</xdr:rowOff>
    </xdr:to>
    <xdr:pic>
      <xdr:nvPicPr>
        <xdr:cNvPr id="6865" name="Изображение 6864" descr="resizeПП-00209778"/>
        <xdr:cNvPicPr>
          <a:picLocks noChangeAspect="1"/>
        </xdr:cNvPicPr>
      </xdr:nvPicPr>
      <xdr:blipFill>
        <a:blip xmlns:r="http://schemas.openxmlformats.org/officeDocument/2006/relationships" r:embed="rId2571"/>
        <a:stretch>
          <a:fillRect/>
        </a:stretch>
      </xdr:blipFill>
      <xdr:spPr>
        <a:xfrm>
          <a:off x="7264400" y="3364849125"/>
          <a:ext cx="878840" cy="1183640"/>
        </a:xfrm>
        <a:prstGeom prst="rect">
          <a:avLst/>
        </a:prstGeom>
      </xdr:spPr>
    </xdr:pic>
    <xdr:clientData/>
  </xdr:twoCellAnchor>
  <xdr:twoCellAnchor>
    <xdr:from>
      <xdr:col>8</xdr:col>
      <xdr:colOff>6350</xdr:colOff>
      <xdr:row>3403</xdr:row>
      <xdr:rowOff>25400</xdr:rowOff>
    </xdr:from>
    <xdr:to>
      <xdr:col>8</xdr:col>
      <xdr:colOff>885190</xdr:colOff>
      <xdr:row>3403</xdr:row>
      <xdr:rowOff>1209040</xdr:rowOff>
    </xdr:to>
    <xdr:pic>
      <xdr:nvPicPr>
        <xdr:cNvPr id="6866" name="Изображение 6865" descr="resizeПП-00233530"/>
        <xdr:cNvPicPr>
          <a:picLocks noChangeAspect="1"/>
        </xdr:cNvPicPr>
      </xdr:nvPicPr>
      <xdr:blipFill>
        <a:blip xmlns:r="http://schemas.openxmlformats.org/officeDocument/2006/relationships" r:embed="rId2572"/>
        <a:stretch>
          <a:fillRect/>
        </a:stretch>
      </xdr:blipFill>
      <xdr:spPr>
        <a:xfrm>
          <a:off x="7264400" y="3366071500"/>
          <a:ext cx="878840" cy="1183640"/>
        </a:xfrm>
        <a:prstGeom prst="rect">
          <a:avLst/>
        </a:prstGeom>
      </xdr:spPr>
    </xdr:pic>
    <xdr:clientData/>
  </xdr:twoCellAnchor>
  <xdr:twoCellAnchor>
    <xdr:from>
      <xdr:col>8</xdr:col>
      <xdr:colOff>6350</xdr:colOff>
      <xdr:row>3404</xdr:row>
      <xdr:rowOff>25400</xdr:rowOff>
    </xdr:from>
    <xdr:to>
      <xdr:col>8</xdr:col>
      <xdr:colOff>885190</xdr:colOff>
      <xdr:row>3404</xdr:row>
      <xdr:rowOff>1209040</xdr:rowOff>
    </xdr:to>
    <xdr:pic>
      <xdr:nvPicPr>
        <xdr:cNvPr id="6867" name="Изображение 6866" descr="resizeПП-00274999"/>
        <xdr:cNvPicPr>
          <a:picLocks noChangeAspect="1"/>
        </xdr:cNvPicPr>
      </xdr:nvPicPr>
      <xdr:blipFill>
        <a:blip xmlns:r="http://schemas.openxmlformats.org/officeDocument/2006/relationships" r:embed="rId2573"/>
        <a:stretch>
          <a:fillRect/>
        </a:stretch>
      </xdr:blipFill>
      <xdr:spPr>
        <a:xfrm>
          <a:off x="7264400" y="3367293875"/>
          <a:ext cx="878840" cy="1183640"/>
        </a:xfrm>
        <a:prstGeom prst="rect">
          <a:avLst/>
        </a:prstGeom>
      </xdr:spPr>
    </xdr:pic>
    <xdr:clientData/>
  </xdr:twoCellAnchor>
  <xdr:twoCellAnchor>
    <xdr:from>
      <xdr:col>8</xdr:col>
      <xdr:colOff>6350</xdr:colOff>
      <xdr:row>3407</xdr:row>
      <xdr:rowOff>25400</xdr:rowOff>
    </xdr:from>
    <xdr:to>
      <xdr:col>8</xdr:col>
      <xdr:colOff>885190</xdr:colOff>
      <xdr:row>3407</xdr:row>
      <xdr:rowOff>1209040</xdr:rowOff>
    </xdr:to>
    <xdr:pic>
      <xdr:nvPicPr>
        <xdr:cNvPr id="6868" name="Изображение 6867" descr="resizeПП-00118951"/>
        <xdr:cNvPicPr>
          <a:picLocks noChangeAspect="1"/>
        </xdr:cNvPicPr>
      </xdr:nvPicPr>
      <xdr:blipFill>
        <a:blip xmlns:r="http://schemas.openxmlformats.org/officeDocument/2006/relationships" r:embed="rId2574"/>
        <a:stretch>
          <a:fillRect/>
        </a:stretch>
      </xdr:blipFill>
      <xdr:spPr>
        <a:xfrm>
          <a:off x="7264400" y="3368821050"/>
          <a:ext cx="878840" cy="1183640"/>
        </a:xfrm>
        <a:prstGeom prst="rect">
          <a:avLst/>
        </a:prstGeom>
      </xdr:spPr>
    </xdr:pic>
    <xdr:clientData/>
  </xdr:twoCellAnchor>
  <xdr:twoCellAnchor>
    <xdr:from>
      <xdr:col>8</xdr:col>
      <xdr:colOff>6350</xdr:colOff>
      <xdr:row>3409</xdr:row>
      <xdr:rowOff>25400</xdr:rowOff>
    </xdr:from>
    <xdr:to>
      <xdr:col>8</xdr:col>
      <xdr:colOff>885190</xdr:colOff>
      <xdr:row>3409</xdr:row>
      <xdr:rowOff>1209040</xdr:rowOff>
    </xdr:to>
    <xdr:pic>
      <xdr:nvPicPr>
        <xdr:cNvPr id="6869" name="Изображение 6868" descr="resizeПП-00278062"/>
        <xdr:cNvPicPr>
          <a:picLocks noChangeAspect="1"/>
        </xdr:cNvPicPr>
      </xdr:nvPicPr>
      <xdr:blipFill>
        <a:blip xmlns:r="http://schemas.openxmlformats.org/officeDocument/2006/relationships" r:embed="rId2575"/>
        <a:stretch>
          <a:fillRect/>
        </a:stretch>
      </xdr:blipFill>
      <xdr:spPr>
        <a:xfrm>
          <a:off x="7264400" y="3370195825"/>
          <a:ext cx="878840" cy="1183640"/>
        </a:xfrm>
        <a:prstGeom prst="rect">
          <a:avLst/>
        </a:prstGeom>
      </xdr:spPr>
    </xdr:pic>
    <xdr:clientData/>
  </xdr:twoCellAnchor>
  <xdr:twoCellAnchor>
    <xdr:from>
      <xdr:col>8</xdr:col>
      <xdr:colOff>6350</xdr:colOff>
      <xdr:row>3410</xdr:row>
      <xdr:rowOff>25400</xdr:rowOff>
    </xdr:from>
    <xdr:to>
      <xdr:col>8</xdr:col>
      <xdr:colOff>885190</xdr:colOff>
      <xdr:row>3410</xdr:row>
      <xdr:rowOff>1209040</xdr:rowOff>
    </xdr:to>
    <xdr:pic>
      <xdr:nvPicPr>
        <xdr:cNvPr id="6870" name="Изображение 6869" descr="resizeПП-00278068"/>
        <xdr:cNvPicPr>
          <a:picLocks noChangeAspect="1"/>
        </xdr:cNvPicPr>
      </xdr:nvPicPr>
      <xdr:blipFill>
        <a:blip xmlns:r="http://schemas.openxmlformats.org/officeDocument/2006/relationships" r:embed="rId2576"/>
        <a:stretch>
          <a:fillRect/>
        </a:stretch>
      </xdr:blipFill>
      <xdr:spPr>
        <a:xfrm>
          <a:off x="7264400" y="3371418200"/>
          <a:ext cx="878840" cy="1183640"/>
        </a:xfrm>
        <a:prstGeom prst="rect">
          <a:avLst/>
        </a:prstGeom>
      </xdr:spPr>
    </xdr:pic>
    <xdr:clientData/>
  </xdr:twoCellAnchor>
  <xdr:twoCellAnchor>
    <xdr:from>
      <xdr:col>8</xdr:col>
      <xdr:colOff>6350</xdr:colOff>
      <xdr:row>3411</xdr:row>
      <xdr:rowOff>25400</xdr:rowOff>
    </xdr:from>
    <xdr:to>
      <xdr:col>8</xdr:col>
      <xdr:colOff>885190</xdr:colOff>
      <xdr:row>3411</xdr:row>
      <xdr:rowOff>1209040</xdr:rowOff>
    </xdr:to>
    <xdr:pic>
      <xdr:nvPicPr>
        <xdr:cNvPr id="6871" name="Изображение 6870" descr="resizeПП-00278061"/>
        <xdr:cNvPicPr>
          <a:picLocks noChangeAspect="1"/>
        </xdr:cNvPicPr>
      </xdr:nvPicPr>
      <xdr:blipFill>
        <a:blip xmlns:r="http://schemas.openxmlformats.org/officeDocument/2006/relationships" r:embed="rId2577"/>
        <a:stretch>
          <a:fillRect/>
        </a:stretch>
      </xdr:blipFill>
      <xdr:spPr>
        <a:xfrm>
          <a:off x="7264400" y="3372640575"/>
          <a:ext cx="878840" cy="1183640"/>
        </a:xfrm>
        <a:prstGeom prst="rect">
          <a:avLst/>
        </a:prstGeom>
      </xdr:spPr>
    </xdr:pic>
    <xdr:clientData/>
  </xdr:twoCellAnchor>
  <xdr:twoCellAnchor>
    <xdr:from>
      <xdr:col>8</xdr:col>
      <xdr:colOff>6350</xdr:colOff>
      <xdr:row>3412</xdr:row>
      <xdr:rowOff>25400</xdr:rowOff>
    </xdr:from>
    <xdr:to>
      <xdr:col>8</xdr:col>
      <xdr:colOff>885190</xdr:colOff>
      <xdr:row>3412</xdr:row>
      <xdr:rowOff>1209040</xdr:rowOff>
    </xdr:to>
    <xdr:pic>
      <xdr:nvPicPr>
        <xdr:cNvPr id="6872" name="Изображение 6871" descr="resizeПП-00278057"/>
        <xdr:cNvPicPr>
          <a:picLocks noChangeAspect="1"/>
        </xdr:cNvPicPr>
      </xdr:nvPicPr>
      <xdr:blipFill>
        <a:blip xmlns:r="http://schemas.openxmlformats.org/officeDocument/2006/relationships" r:embed="rId2578"/>
        <a:stretch>
          <a:fillRect/>
        </a:stretch>
      </xdr:blipFill>
      <xdr:spPr>
        <a:xfrm>
          <a:off x="7264400" y="3373862950"/>
          <a:ext cx="878840" cy="1183640"/>
        </a:xfrm>
        <a:prstGeom prst="rect">
          <a:avLst/>
        </a:prstGeom>
      </xdr:spPr>
    </xdr:pic>
    <xdr:clientData/>
  </xdr:twoCellAnchor>
  <xdr:twoCellAnchor>
    <xdr:from>
      <xdr:col>8</xdr:col>
      <xdr:colOff>6350</xdr:colOff>
      <xdr:row>3413</xdr:row>
      <xdr:rowOff>25400</xdr:rowOff>
    </xdr:from>
    <xdr:to>
      <xdr:col>8</xdr:col>
      <xdr:colOff>885190</xdr:colOff>
      <xdr:row>3413</xdr:row>
      <xdr:rowOff>1209040</xdr:rowOff>
    </xdr:to>
    <xdr:pic>
      <xdr:nvPicPr>
        <xdr:cNvPr id="6873" name="Изображение 6872" descr="resizeПП-00278058"/>
        <xdr:cNvPicPr>
          <a:picLocks noChangeAspect="1"/>
        </xdr:cNvPicPr>
      </xdr:nvPicPr>
      <xdr:blipFill>
        <a:blip xmlns:r="http://schemas.openxmlformats.org/officeDocument/2006/relationships" r:embed="rId2579"/>
        <a:stretch>
          <a:fillRect/>
        </a:stretch>
      </xdr:blipFill>
      <xdr:spPr>
        <a:xfrm>
          <a:off x="7264400" y="3375085325"/>
          <a:ext cx="878840" cy="1183640"/>
        </a:xfrm>
        <a:prstGeom prst="rect">
          <a:avLst/>
        </a:prstGeom>
      </xdr:spPr>
    </xdr:pic>
    <xdr:clientData/>
  </xdr:twoCellAnchor>
  <xdr:twoCellAnchor>
    <xdr:from>
      <xdr:col>8</xdr:col>
      <xdr:colOff>6350</xdr:colOff>
      <xdr:row>3414</xdr:row>
      <xdr:rowOff>25400</xdr:rowOff>
    </xdr:from>
    <xdr:to>
      <xdr:col>8</xdr:col>
      <xdr:colOff>885190</xdr:colOff>
      <xdr:row>3414</xdr:row>
      <xdr:rowOff>1209040</xdr:rowOff>
    </xdr:to>
    <xdr:pic>
      <xdr:nvPicPr>
        <xdr:cNvPr id="6874" name="Изображение 6873" descr="resizeПП-00118941"/>
        <xdr:cNvPicPr>
          <a:picLocks noChangeAspect="1"/>
        </xdr:cNvPicPr>
      </xdr:nvPicPr>
      <xdr:blipFill>
        <a:blip xmlns:r="http://schemas.openxmlformats.org/officeDocument/2006/relationships" r:embed="rId2580"/>
        <a:stretch>
          <a:fillRect/>
        </a:stretch>
      </xdr:blipFill>
      <xdr:spPr>
        <a:xfrm>
          <a:off x="7264400" y="3376307700"/>
          <a:ext cx="878840" cy="1183640"/>
        </a:xfrm>
        <a:prstGeom prst="rect">
          <a:avLst/>
        </a:prstGeom>
      </xdr:spPr>
    </xdr:pic>
    <xdr:clientData/>
  </xdr:twoCellAnchor>
  <xdr:twoCellAnchor>
    <xdr:from>
      <xdr:col>8</xdr:col>
      <xdr:colOff>6350</xdr:colOff>
      <xdr:row>3415</xdr:row>
      <xdr:rowOff>25400</xdr:rowOff>
    </xdr:from>
    <xdr:to>
      <xdr:col>8</xdr:col>
      <xdr:colOff>885190</xdr:colOff>
      <xdr:row>3415</xdr:row>
      <xdr:rowOff>1209040</xdr:rowOff>
    </xdr:to>
    <xdr:pic>
      <xdr:nvPicPr>
        <xdr:cNvPr id="6875" name="Изображение 6874" descr="resizeПП-00278059"/>
        <xdr:cNvPicPr>
          <a:picLocks noChangeAspect="1"/>
        </xdr:cNvPicPr>
      </xdr:nvPicPr>
      <xdr:blipFill>
        <a:blip xmlns:r="http://schemas.openxmlformats.org/officeDocument/2006/relationships" r:embed="rId2581"/>
        <a:stretch>
          <a:fillRect/>
        </a:stretch>
      </xdr:blipFill>
      <xdr:spPr>
        <a:xfrm>
          <a:off x="7264400" y="3377530075"/>
          <a:ext cx="878840" cy="1183640"/>
        </a:xfrm>
        <a:prstGeom prst="rect">
          <a:avLst/>
        </a:prstGeom>
      </xdr:spPr>
    </xdr:pic>
    <xdr:clientData/>
  </xdr:twoCellAnchor>
  <xdr:twoCellAnchor>
    <xdr:from>
      <xdr:col>8</xdr:col>
      <xdr:colOff>6350</xdr:colOff>
      <xdr:row>3416</xdr:row>
      <xdr:rowOff>25400</xdr:rowOff>
    </xdr:from>
    <xdr:to>
      <xdr:col>8</xdr:col>
      <xdr:colOff>885190</xdr:colOff>
      <xdr:row>3416</xdr:row>
      <xdr:rowOff>1209040</xdr:rowOff>
    </xdr:to>
    <xdr:pic>
      <xdr:nvPicPr>
        <xdr:cNvPr id="6876" name="Изображение 6875" descr="resizeПП-00278060"/>
        <xdr:cNvPicPr>
          <a:picLocks noChangeAspect="1"/>
        </xdr:cNvPicPr>
      </xdr:nvPicPr>
      <xdr:blipFill>
        <a:blip xmlns:r="http://schemas.openxmlformats.org/officeDocument/2006/relationships" r:embed="rId2582"/>
        <a:stretch>
          <a:fillRect/>
        </a:stretch>
      </xdr:blipFill>
      <xdr:spPr>
        <a:xfrm>
          <a:off x="7264400" y="3378752450"/>
          <a:ext cx="878840" cy="1183640"/>
        </a:xfrm>
        <a:prstGeom prst="rect">
          <a:avLst/>
        </a:prstGeom>
      </xdr:spPr>
    </xdr:pic>
    <xdr:clientData/>
  </xdr:twoCellAnchor>
  <xdr:twoCellAnchor>
    <xdr:from>
      <xdr:col>8</xdr:col>
      <xdr:colOff>6350</xdr:colOff>
      <xdr:row>3417</xdr:row>
      <xdr:rowOff>25400</xdr:rowOff>
    </xdr:from>
    <xdr:to>
      <xdr:col>8</xdr:col>
      <xdr:colOff>885190</xdr:colOff>
      <xdr:row>3417</xdr:row>
      <xdr:rowOff>1209040</xdr:rowOff>
    </xdr:to>
    <xdr:pic>
      <xdr:nvPicPr>
        <xdr:cNvPr id="6877" name="Изображение 6876" descr="resizeПП-00278067"/>
        <xdr:cNvPicPr>
          <a:picLocks noChangeAspect="1"/>
        </xdr:cNvPicPr>
      </xdr:nvPicPr>
      <xdr:blipFill>
        <a:blip xmlns:r="http://schemas.openxmlformats.org/officeDocument/2006/relationships" r:embed="rId2583"/>
        <a:stretch>
          <a:fillRect/>
        </a:stretch>
      </xdr:blipFill>
      <xdr:spPr>
        <a:xfrm>
          <a:off x="7264400" y="3379974825"/>
          <a:ext cx="878840" cy="1183640"/>
        </a:xfrm>
        <a:prstGeom prst="rect">
          <a:avLst/>
        </a:prstGeom>
      </xdr:spPr>
    </xdr:pic>
    <xdr:clientData/>
  </xdr:twoCellAnchor>
  <xdr:twoCellAnchor>
    <xdr:from>
      <xdr:col>8</xdr:col>
      <xdr:colOff>6350</xdr:colOff>
      <xdr:row>3418</xdr:row>
      <xdr:rowOff>25400</xdr:rowOff>
    </xdr:from>
    <xdr:to>
      <xdr:col>8</xdr:col>
      <xdr:colOff>885190</xdr:colOff>
      <xdr:row>3418</xdr:row>
      <xdr:rowOff>1209040</xdr:rowOff>
    </xdr:to>
    <xdr:pic>
      <xdr:nvPicPr>
        <xdr:cNvPr id="6878" name="Изображение 6877" descr="resizeПП-00118943"/>
        <xdr:cNvPicPr>
          <a:picLocks noChangeAspect="1"/>
        </xdr:cNvPicPr>
      </xdr:nvPicPr>
      <xdr:blipFill>
        <a:blip xmlns:r="http://schemas.openxmlformats.org/officeDocument/2006/relationships" r:embed="rId2584"/>
        <a:stretch>
          <a:fillRect/>
        </a:stretch>
      </xdr:blipFill>
      <xdr:spPr>
        <a:xfrm>
          <a:off x="7264400" y="3381197200"/>
          <a:ext cx="878840" cy="1183640"/>
        </a:xfrm>
        <a:prstGeom prst="rect">
          <a:avLst/>
        </a:prstGeom>
      </xdr:spPr>
    </xdr:pic>
    <xdr:clientData/>
  </xdr:twoCellAnchor>
  <xdr:twoCellAnchor>
    <xdr:from>
      <xdr:col>8</xdr:col>
      <xdr:colOff>6350</xdr:colOff>
      <xdr:row>3419</xdr:row>
      <xdr:rowOff>25400</xdr:rowOff>
    </xdr:from>
    <xdr:to>
      <xdr:col>8</xdr:col>
      <xdr:colOff>885190</xdr:colOff>
      <xdr:row>3419</xdr:row>
      <xdr:rowOff>1209040</xdr:rowOff>
    </xdr:to>
    <xdr:pic>
      <xdr:nvPicPr>
        <xdr:cNvPr id="6879" name="Изображение 6878" descr="resizeПП-00199910"/>
        <xdr:cNvPicPr>
          <a:picLocks noChangeAspect="1"/>
        </xdr:cNvPicPr>
      </xdr:nvPicPr>
      <xdr:blipFill>
        <a:blip xmlns:r="http://schemas.openxmlformats.org/officeDocument/2006/relationships" r:embed="rId2585"/>
        <a:stretch>
          <a:fillRect/>
        </a:stretch>
      </xdr:blipFill>
      <xdr:spPr>
        <a:xfrm>
          <a:off x="7264400" y="3382419575"/>
          <a:ext cx="878840" cy="1183640"/>
        </a:xfrm>
        <a:prstGeom prst="rect">
          <a:avLst/>
        </a:prstGeom>
      </xdr:spPr>
    </xdr:pic>
    <xdr:clientData/>
  </xdr:twoCellAnchor>
  <xdr:twoCellAnchor>
    <xdr:from>
      <xdr:col>8</xdr:col>
      <xdr:colOff>6350</xdr:colOff>
      <xdr:row>3420</xdr:row>
      <xdr:rowOff>25400</xdr:rowOff>
    </xdr:from>
    <xdr:to>
      <xdr:col>8</xdr:col>
      <xdr:colOff>885190</xdr:colOff>
      <xdr:row>3420</xdr:row>
      <xdr:rowOff>1209040</xdr:rowOff>
    </xdr:to>
    <xdr:pic>
      <xdr:nvPicPr>
        <xdr:cNvPr id="6880" name="Изображение 6879" descr="resizeПП-00278071"/>
        <xdr:cNvPicPr>
          <a:picLocks noChangeAspect="1"/>
        </xdr:cNvPicPr>
      </xdr:nvPicPr>
      <xdr:blipFill>
        <a:blip xmlns:r="http://schemas.openxmlformats.org/officeDocument/2006/relationships" r:embed="rId2586"/>
        <a:stretch>
          <a:fillRect/>
        </a:stretch>
      </xdr:blipFill>
      <xdr:spPr>
        <a:xfrm>
          <a:off x="7264400" y="3383641950"/>
          <a:ext cx="878840" cy="1183640"/>
        </a:xfrm>
        <a:prstGeom prst="rect">
          <a:avLst/>
        </a:prstGeom>
      </xdr:spPr>
    </xdr:pic>
    <xdr:clientData/>
  </xdr:twoCellAnchor>
  <xdr:twoCellAnchor>
    <xdr:from>
      <xdr:col>8</xdr:col>
      <xdr:colOff>6350</xdr:colOff>
      <xdr:row>3421</xdr:row>
      <xdr:rowOff>25400</xdr:rowOff>
    </xdr:from>
    <xdr:to>
      <xdr:col>8</xdr:col>
      <xdr:colOff>885190</xdr:colOff>
      <xdr:row>3421</xdr:row>
      <xdr:rowOff>1209040</xdr:rowOff>
    </xdr:to>
    <xdr:pic>
      <xdr:nvPicPr>
        <xdr:cNvPr id="6881" name="Изображение 6880" descr="resizeПП-00278073"/>
        <xdr:cNvPicPr>
          <a:picLocks noChangeAspect="1"/>
        </xdr:cNvPicPr>
      </xdr:nvPicPr>
      <xdr:blipFill>
        <a:blip xmlns:r="http://schemas.openxmlformats.org/officeDocument/2006/relationships" r:embed="rId2587"/>
        <a:stretch>
          <a:fillRect/>
        </a:stretch>
      </xdr:blipFill>
      <xdr:spPr>
        <a:xfrm>
          <a:off x="7264400" y="3384864325"/>
          <a:ext cx="878840" cy="1183640"/>
        </a:xfrm>
        <a:prstGeom prst="rect">
          <a:avLst/>
        </a:prstGeom>
      </xdr:spPr>
    </xdr:pic>
    <xdr:clientData/>
  </xdr:twoCellAnchor>
  <xdr:twoCellAnchor>
    <xdr:from>
      <xdr:col>8</xdr:col>
      <xdr:colOff>6350</xdr:colOff>
      <xdr:row>3422</xdr:row>
      <xdr:rowOff>25400</xdr:rowOff>
    </xdr:from>
    <xdr:to>
      <xdr:col>8</xdr:col>
      <xdr:colOff>885190</xdr:colOff>
      <xdr:row>3422</xdr:row>
      <xdr:rowOff>1209040</xdr:rowOff>
    </xdr:to>
    <xdr:pic>
      <xdr:nvPicPr>
        <xdr:cNvPr id="6882" name="Изображение 6881" descr="resizeПП-00278070"/>
        <xdr:cNvPicPr>
          <a:picLocks noChangeAspect="1"/>
        </xdr:cNvPicPr>
      </xdr:nvPicPr>
      <xdr:blipFill>
        <a:blip xmlns:r="http://schemas.openxmlformats.org/officeDocument/2006/relationships" r:embed="rId2588"/>
        <a:stretch>
          <a:fillRect/>
        </a:stretch>
      </xdr:blipFill>
      <xdr:spPr>
        <a:xfrm>
          <a:off x="7264400" y="3386086700"/>
          <a:ext cx="878840" cy="1183640"/>
        </a:xfrm>
        <a:prstGeom prst="rect">
          <a:avLst/>
        </a:prstGeom>
      </xdr:spPr>
    </xdr:pic>
    <xdr:clientData/>
  </xdr:twoCellAnchor>
  <xdr:twoCellAnchor>
    <xdr:from>
      <xdr:col>8</xdr:col>
      <xdr:colOff>6350</xdr:colOff>
      <xdr:row>3423</xdr:row>
      <xdr:rowOff>25400</xdr:rowOff>
    </xdr:from>
    <xdr:to>
      <xdr:col>8</xdr:col>
      <xdr:colOff>885190</xdr:colOff>
      <xdr:row>3423</xdr:row>
      <xdr:rowOff>1209040</xdr:rowOff>
    </xdr:to>
    <xdr:pic>
      <xdr:nvPicPr>
        <xdr:cNvPr id="6883" name="Изображение 6882" descr="resizeПП-00199913"/>
        <xdr:cNvPicPr>
          <a:picLocks noChangeAspect="1"/>
        </xdr:cNvPicPr>
      </xdr:nvPicPr>
      <xdr:blipFill>
        <a:blip xmlns:r="http://schemas.openxmlformats.org/officeDocument/2006/relationships" r:embed="rId2589"/>
        <a:stretch>
          <a:fillRect/>
        </a:stretch>
      </xdr:blipFill>
      <xdr:spPr>
        <a:xfrm>
          <a:off x="7264400" y="3387309075"/>
          <a:ext cx="878840" cy="1183640"/>
        </a:xfrm>
        <a:prstGeom prst="rect">
          <a:avLst/>
        </a:prstGeom>
      </xdr:spPr>
    </xdr:pic>
    <xdr:clientData/>
  </xdr:twoCellAnchor>
  <xdr:twoCellAnchor>
    <xdr:from>
      <xdr:col>8</xdr:col>
      <xdr:colOff>6350</xdr:colOff>
      <xdr:row>3424</xdr:row>
      <xdr:rowOff>25400</xdr:rowOff>
    </xdr:from>
    <xdr:to>
      <xdr:col>8</xdr:col>
      <xdr:colOff>885190</xdr:colOff>
      <xdr:row>3424</xdr:row>
      <xdr:rowOff>1209040</xdr:rowOff>
    </xdr:to>
    <xdr:pic>
      <xdr:nvPicPr>
        <xdr:cNvPr id="6884" name="Изображение 6883" descr="resizeПП-00199914"/>
        <xdr:cNvPicPr>
          <a:picLocks noChangeAspect="1"/>
        </xdr:cNvPicPr>
      </xdr:nvPicPr>
      <xdr:blipFill>
        <a:blip xmlns:r="http://schemas.openxmlformats.org/officeDocument/2006/relationships" r:embed="rId2589"/>
        <a:stretch>
          <a:fillRect/>
        </a:stretch>
      </xdr:blipFill>
      <xdr:spPr>
        <a:xfrm>
          <a:off x="7264400" y="3388531450"/>
          <a:ext cx="878840" cy="1183640"/>
        </a:xfrm>
        <a:prstGeom prst="rect">
          <a:avLst/>
        </a:prstGeom>
      </xdr:spPr>
    </xdr:pic>
    <xdr:clientData/>
  </xdr:twoCellAnchor>
  <xdr:twoCellAnchor>
    <xdr:from>
      <xdr:col>8</xdr:col>
      <xdr:colOff>6350</xdr:colOff>
      <xdr:row>3425</xdr:row>
      <xdr:rowOff>25400</xdr:rowOff>
    </xdr:from>
    <xdr:to>
      <xdr:col>8</xdr:col>
      <xdr:colOff>885190</xdr:colOff>
      <xdr:row>3425</xdr:row>
      <xdr:rowOff>1209040</xdr:rowOff>
    </xdr:to>
    <xdr:pic>
      <xdr:nvPicPr>
        <xdr:cNvPr id="6885" name="Изображение 6884" descr="resizeПП-00278069"/>
        <xdr:cNvPicPr>
          <a:picLocks noChangeAspect="1"/>
        </xdr:cNvPicPr>
      </xdr:nvPicPr>
      <xdr:blipFill>
        <a:blip xmlns:r="http://schemas.openxmlformats.org/officeDocument/2006/relationships" r:embed="rId2590"/>
        <a:stretch>
          <a:fillRect/>
        </a:stretch>
      </xdr:blipFill>
      <xdr:spPr>
        <a:xfrm>
          <a:off x="7264400" y="3389753825"/>
          <a:ext cx="878840" cy="1183640"/>
        </a:xfrm>
        <a:prstGeom prst="rect">
          <a:avLst/>
        </a:prstGeom>
      </xdr:spPr>
    </xdr:pic>
    <xdr:clientData/>
  </xdr:twoCellAnchor>
  <xdr:twoCellAnchor>
    <xdr:from>
      <xdr:col>8</xdr:col>
      <xdr:colOff>6350</xdr:colOff>
      <xdr:row>3426</xdr:row>
      <xdr:rowOff>25400</xdr:rowOff>
    </xdr:from>
    <xdr:to>
      <xdr:col>8</xdr:col>
      <xdr:colOff>885190</xdr:colOff>
      <xdr:row>3426</xdr:row>
      <xdr:rowOff>1209040</xdr:rowOff>
    </xdr:to>
    <xdr:pic>
      <xdr:nvPicPr>
        <xdr:cNvPr id="6886" name="Изображение 6885" descr="resizeПП-00278072"/>
        <xdr:cNvPicPr>
          <a:picLocks noChangeAspect="1"/>
        </xdr:cNvPicPr>
      </xdr:nvPicPr>
      <xdr:blipFill>
        <a:blip xmlns:r="http://schemas.openxmlformats.org/officeDocument/2006/relationships" r:embed="rId2591"/>
        <a:stretch>
          <a:fillRect/>
        </a:stretch>
      </xdr:blipFill>
      <xdr:spPr>
        <a:xfrm>
          <a:off x="7264400" y="3390976200"/>
          <a:ext cx="878840" cy="1183640"/>
        </a:xfrm>
        <a:prstGeom prst="rect">
          <a:avLst/>
        </a:prstGeom>
      </xdr:spPr>
    </xdr:pic>
    <xdr:clientData/>
  </xdr:twoCellAnchor>
  <xdr:twoCellAnchor>
    <xdr:from>
      <xdr:col>8</xdr:col>
      <xdr:colOff>6350</xdr:colOff>
      <xdr:row>3427</xdr:row>
      <xdr:rowOff>25400</xdr:rowOff>
    </xdr:from>
    <xdr:to>
      <xdr:col>8</xdr:col>
      <xdr:colOff>885190</xdr:colOff>
      <xdr:row>3427</xdr:row>
      <xdr:rowOff>1209040</xdr:rowOff>
    </xdr:to>
    <xdr:pic>
      <xdr:nvPicPr>
        <xdr:cNvPr id="6887" name="Изображение 6886" descr="resizeПП-00118942"/>
        <xdr:cNvPicPr>
          <a:picLocks noChangeAspect="1"/>
        </xdr:cNvPicPr>
      </xdr:nvPicPr>
      <xdr:blipFill>
        <a:blip xmlns:r="http://schemas.openxmlformats.org/officeDocument/2006/relationships" r:embed="rId2592"/>
        <a:stretch>
          <a:fillRect/>
        </a:stretch>
      </xdr:blipFill>
      <xdr:spPr>
        <a:xfrm>
          <a:off x="7264400" y="3392198575"/>
          <a:ext cx="878840" cy="1183640"/>
        </a:xfrm>
        <a:prstGeom prst="rect">
          <a:avLst/>
        </a:prstGeom>
      </xdr:spPr>
    </xdr:pic>
    <xdr:clientData/>
  </xdr:twoCellAnchor>
  <xdr:twoCellAnchor>
    <xdr:from>
      <xdr:col>8</xdr:col>
      <xdr:colOff>6350</xdr:colOff>
      <xdr:row>3429</xdr:row>
      <xdr:rowOff>25400</xdr:rowOff>
    </xdr:from>
    <xdr:to>
      <xdr:col>8</xdr:col>
      <xdr:colOff>885190</xdr:colOff>
      <xdr:row>3429</xdr:row>
      <xdr:rowOff>1209040</xdr:rowOff>
    </xdr:to>
    <xdr:pic>
      <xdr:nvPicPr>
        <xdr:cNvPr id="6888" name="Изображение 6887" descr="resizeПП-00275137"/>
        <xdr:cNvPicPr>
          <a:picLocks noChangeAspect="1"/>
        </xdr:cNvPicPr>
      </xdr:nvPicPr>
      <xdr:blipFill>
        <a:blip xmlns:r="http://schemas.openxmlformats.org/officeDocument/2006/relationships" r:embed="rId2593"/>
        <a:stretch>
          <a:fillRect/>
        </a:stretch>
      </xdr:blipFill>
      <xdr:spPr>
        <a:xfrm>
          <a:off x="7264400" y="3393573350"/>
          <a:ext cx="878840" cy="1183640"/>
        </a:xfrm>
        <a:prstGeom prst="rect">
          <a:avLst/>
        </a:prstGeom>
      </xdr:spPr>
    </xdr:pic>
    <xdr:clientData/>
  </xdr:twoCellAnchor>
  <xdr:twoCellAnchor>
    <xdr:from>
      <xdr:col>8</xdr:col>
      <xdr:colOff>6350</xdr:colOff>
      <xdr:row>3430</xdr:row>
      <xdr:rowOff>25400</xdr:rowOff>
    </xdr:from>
    <xdr:to>
      <xdr:col>8</xdr:col>
      <xdr:colOff>885190</xdr:colOff>
      <xdr:row>3430</xdr:row>
      <xdr:rowOff>1209040</xdr:rowOff>
    </xdr:to>
    <xdr:pic>
      <xdr:nvPicPr>
        <xdr:cNvPr id="6889" name="Изображение 6888" descr="resizeПП-00275136"/>
        <xdr:cNvPicPr>
          <a:picLocks noChangeAspect="1"/>
        </xdr:cNvPicPr>
      </xdr:nvPicPr>
      <xdr:blipFill>
        <a:blip xmlns:r="http://schemas.openxmlformats.org/officeDocument/2006/relationships" r:embed="rId2594"/>
        <a:stretch>
          <a:fillRect/>
        </a:stretch>
      </xdr:blipFill>
      <xdr:spPr>
        <a:xfrm>
          <a:off x="7264400" y="3394795725"/>
          <a:ext cx="878840" cy="1183640"/>
        </a:xfrm>
        <a:prstGeom prst="rect">
          <a:avLst/>
        </a:prstGeom>
      </xdr:spPr>
    </xdr:pic>
    <xdr:clientData/>
  </xdr:twoCellAnchor>
  <xdr:twoCellAnchor>
    <xdr:from>
      <xdr:col>8</xdr:col>
      <xdr:colOff>6350</xdr:colOff>
      <xdr:row>3431</xdr:row>
      <xdr:rowOff>25400</xdr:rowOff>
    </xdr:from>
    <xdr:to>
      <xdr:col>8</xdr:col>
      <xdr:colOff>885190</xdr:colOff>
      <xdr:row>3431</xdr:row>
      <xdr:rowOff>1209040</xdr:rowOff>
    </xdr:to>
    <xdr:pic>
      <xdr:nvPicPr>
        <xdr:cNvPr id="6890" name="Изображение 6889" descr="resizeПП-00257879"/>
        <xdr:cNvPicPr>
          <a:picLocks noChangeAspect="1"/>
        </xdr:cNvPicPr>
      </xdr:nvPicPr>
      <xdr:blipFill>
        <a:blip xmlns:r="http://schemas.openxmlformats.org/officeDocument/2006/relationships" r:embed="rId2595"/>
        <a:stretch>
          <a:fillRect/>
        </a:stretch>
      </xdr:blipFill>
      <xdr:spPr>
        <a:xfrm>
          <a:off x="7264400" y="3396018100"/>
          <a:ext cx="878840" cy="1183640"/>
        </a:xfrm>
        <a:prstGeom prst="rect">
          <a:avLst/>
        </a:prstGeom>
      </xdr:spPr>
    </xdr:pic>
    <xdr:clientData/>
  </xdr:twoCellAnchor>
  <xdr:twoCellAnchor>
    <xdr:from>
      <xdr:col>8</xdr:col>
      <xdr:colOff>6350</xdr:colOff>
      <xdr:row>3432</xdr:row>
      <xdr:rowOff>25400</xdr:rowOff>
    </xdr:from>
    <xdr:to>
      <xdr:col>8</xdr:col>
      <xdr:colOff>885190</xdr:colOff>
      <xdr:row>3432</xdr:row>
      <xdr:rowOff>1209040</xdr:rowOff>
    </xdr:to>
    <xdr:pic>
      <xdr:nvPicPr>
        <xdr:cNvPr id="6891" name="Изображение 6890" descr="resizeПП-00257882"/>
        <xdr:cNvPicPr>
          <a:picLocks noChangeAspect="1"/>
        </xdr:cNvPicPr>
      </xdr:nvPicPr>
      <xdr:blipFill>
        <a:blip xmlns:r="http://schemas.openxmlformats.org/officeDocument/2006/relationships" r:embed="rId2596"/>
        <a:stretch>
          <a:fillRect/>
        </a:stretch>
      </xdr:blipFill>
      <xdr:spPr>
        <a:xfrm>
          <a:off x="7264400" y="3397240475"/>
          <a:ext cx="878840" cy="1183640"/>
        </a:xfrm>
        <a:prstGeom prst="rect">
          <a:avLst/>
        </a:prstGeom>
      </xdr:spPr>
    </xdr:pic>
    <xdr:clientData/>
  </xdr:twoCellAnchor>
  <xdr:twoCellAnchor>
    <xdr:from>
      <xdr:col>8</xdr:col>
      <xdr:colOff>6350</xdr:colOff>
      <xdr:row>3433</xdr:row>
      <xdr:rowOff>25400</xdr:rowOff>
    </xdr:from>
    <xdr:to>
      <xdr:col>8</xdr:col>
      <xdr:colOff>885190</xdr:colOff>
      <xdr:row>3433</xdr:row>
      <xdr:rowOff>1209040</xdr:rowOff>
    </xdr:to>
    <xdr:pic>
      <xdr:nvPicPr>
        <xdr:cNvPr id="6892" name="Изображение 6891" descr="resizeПП-00236380"/>
        <xdr:cNvPicPr>
          <a:picLocks noChangeAspect="1"/>
        </xdr:cNvPicPr>
      </xdr:nvPicPr>
      <xdr:blipFill>
        <a:blip xmlns:r="http://schemas.openxmlformats.org/officeDocument/2006/relationships" r:embed="rId2597"/>
        <a:stretch>
          <a:fillRect/>
        </a:stretch>
      </xdr:blipFill>
      <xdr:spPr>
        <a:xfrm>
          <a:off x="7264400" y="3398462850"/>
          <a:ext cx="878840" cy="1183640"/>
        </a:xfrm>
        <a:prstGeom prst="rect">
          <a:avLst/>
        </a:prstGeom>
      </xdr:spPr>
    </xdr:pic>
    <xdr:clientData/>
  </xdr:twoCellAnchor>
  <xdr:twoCellAnchor>
    <xdr:from>
      <xdr:col>8</xdr:col>
      <xdr:colOff>6350</xdr:colOff>
      <xdr:row>3434</xdr:row>
      <xdr:rowOff>25400</xdr:rowOff>
    </xdr:from>
    <xdr:to>
      <xdr:col>8</xdr:col>
      <xdr:colOff>885190</xdr:colOff>
      <xdr:row>3434</xdr:row>
      <xdr:rowOff>1209040</xdr:rowOff>
    </xdr:to>
    <xdr:pic>
      <xdr:nvPicPr>
        <xdr:cNvPr id="6893" name="Изображение 6892" descr="resizeПП-00257880"/>
        <xdr:cNvPicPr>
          <a:picLocks noChangeAspect="1"/>
        </xdr:cNvPicPr>
      </xdr:nvPicPr>
      <xdr:blipFill>
        <a:blip xmlns:r="http://schemas.openxmlformats.org/officeDocument/2006/relationships" r:embed="rId2598"/>
        <a:stretch>
          <a:fillRect/>
        </a:stretch>
      </xdr:blipFill>
      <xdr:spPr>
        <a:xfrm>
          <a:off x="7264400" y="3399685225"/>
          <a:ext cx="878840" cy="1183640"/>
        </a:xfrm>
        <a:prstGeom prst="rect">
          <a:avLst/>
        </a:prstGeom>
      </xdr:spPr>
    </xdr:pic>
    <xdr:clientData/>
  </xdr:twoCellAnchor>
  <xdr:twoCellAnchor>
    <xdr:from>
      <xdr:col>8</xdr:col>
      <xdr:colOff>6350</xdr:colOff>
      <xdr:row>3435</xdr:row>
      <xdr:rowOff>25400</xdr:rowOff>
    </xdr:from>
    <xdr:to>
      <xdr:col>8</xdr:col>
      <xdr:colOff>885190</xdr:colOff>
      <xdr:row>3435</xdr:row>
      <xdr:rowOff>1209040</xdr:rowOff>
    </xdr:to>
    <xdr:pic>
      <xdr:nvPicPr>
        <xdr:cNvPr id="6894" name="Изображение 6893" descr="resizeПП-00257883"/>
        <xdr:cNvPicPr>
          <a:picLocks noChangeAspect="1"/>
        </xdr:cNvPicPr>
      </xdr:nvPicPr>
      <xdr:blipFill>
        <a:blip xmlns:r="http://schemas.openxmlformats.org/officeDocument/2006/relationships" r:embed="rId2599"/>
        <a:stretch>
          <a:fillRect/>
        </a:stretch>
      </xdr:blipFill>
      <xdr:spPr>
        <a:xfrm>
          <a:off x="7264400" y="3400907600"/>
          <a:ext cx="878840" cy="1183640"/>
        </a:xfrm>
        <a:prstGeom prst="rect">
          <a:avLst/>
        </a:prstGeom>
      </xdr:spPr>
    </xdr:pic>
    <xdr:clientData/>
  </xdr:twoCellAnchor>
  <xdr:twoCellAnchor>
    <xdr:from>
      <xdr:col>8</xdr:col>
      <xdr:colOff>6350</xdr:colOff>
      <xdr:row>3436</xdr:row>
      <xdr:rowOff>25400</xdr:rowOff>
    </xdr:from>
    <xdr:to>
      <xdr:col>8</xdr:col>
      <xdr:colOff>885190</xdr:colOff>
      <xdr:row>3436</xdr:row>
      <xdr:rowOff>1209040</xdr:rowOff>
    </xdr:to>
    <xdr:pic>
      <xdr:nvPicPr>
        <xdr:cNvPr id="6895" name="Изображение 6894" descr="resizeПП-00275143"/>
        <xdr:cNvPicPr>
          <a:picLocks noChangeAspect="1"/>
        </xdr:cNvPicPr>
      </xdr:nvPicPr>
      <xdr:blipFill>
        <a:blip xmlns:r="http://schemas.openxmlformats.org/officeDocument/2006/relationships" r:embed="rId2600"/>
        <a:stretch>
          <a:fillRect/>
        </a:stretch>
      </xdr:blipFill>
      <xdr:spPr>
        <a:xfrm>
          <a:off x="7264400" y="3402129975"/>
          <a:ext cx="878840" cy="1183640"/>
        </a:xfrm>
        <a:prstGeom prst="rect">
          <a:avLst/>
        </a:prstGeom>
      </xdr:spPr>
    </xdr:pic>
    <xdr:clientData/>
  </xdr:twoCellAnchor>
  <xdr:twoCellAnchor>
    <xdr:from>
      <xdr:col>8</xdr:col>
      <xdr:colOff>6350</xdr:colOff>
      <xdr:row>3437</xdr:row>
      <xdr:rowOff>25400</xdr:rowOff>
    </xdr:from>
    <xdr:to>
      <xdr:col>8</xdr:col>
      <xdr:colOff>885190</xdr:colOff>
      <xdr:row>3437</xdr:row>
      <xdr:rowOff>1209040</xdr:rowOff>
    </xdr:to>
    <xdr:pic>
      <xdr:nvPicPr>
        <xdr:cNvPr id="6896" name="Изображение 6895" descr="resizeПП-00275140"/>
        <xdr:cNvPicPr>
          <a:picLocks noChangeAspect="1"/>
        </xdr:cNvPicPr>
      </xdr:nvPicPr>
      <xdr:blipFill>
        <a:blip xmlns:r="http://schemas.openxmlformats.org/officeDocument/2006/relationships" r:embed="rId2601"/>
        <a:stretch>
          <a:fillRect/>
        </a:stretch>
      </xdr:blipFill>
      <xdr:spPr>
        <a:xfrm>
          <a:off x="7264400" y="3403352350"/>
          <a:ext cx="878840" cy="1183640"/>
        </a:xfrm>
        <a:prstGeom prst="rect">
          <a:avLst/>
        </a:prstGeom>
      </xdr:spPr>
    </xdr:pic>
    <xdr:clientData/>
  </xdr:twoCellAnchor>
  <xdr:twoCellAnchor>
    <xdr:from>
      <xdr:col>8</xdr:col>
      <xdr:colOff>6350</xdr:colOff>
      <xdr:row>3438</xdr:row>
      <xdr:rowOff>25400</xdr:rowOff>
    </xdr:from>
    <xdr:to>
      <xdr:col>8</xdr:col>
      <xdr:colOff>885190</xdr:colOff>
      <xdr:row>3438</xdr:row>
      <xdr:rowOff>1209040</xdr:rowOff>
    </xdr:to>
    <xdr:pic>
      <xdr:nvPicPr>
        <xdr:cNvPr id="6897" name="Изображение 6896" descr="resizeПП-00275141"/>
        <xdr:cNvPicPr>
          <a:picLocks noChangeAspect="1"/>
        </xdr:cNvPicPr>
      </xdr:nvPicPr>
      <xdr:blipFill>
        <a:blip xmlns:r="http://schemas.openxmlformats.org/officeDocument/2006/relationships" r:embed="rId2602"/>
        <a:stretch>
          <a:fillRect/>
        </a:stretch>
      </xdr:blipFill>
      <xdr:spPr>
        <a:xfrm>
          <a:off x="7264400" y="3404574725"/>
          <a:ext cx="878840" cy="1183640"/>
        </a:xfrm>
        <a:prstGeom prst="rect">
          <a:avLst/>
        </a:prstGeom>
      </xdr:spPr>
    </xdr:pic>
    <xdr:clientData/>
  </xdr:twoCellAnchor>
  <xdr:twoCellAnchor>
    <xdr:from>
      <xdr:col>8</xdr:col>
      <xdr:colOff>6350</xdr:colOff>
      <xdr:row>3439</xdr:row>
      <xdr:rowOff>25400</xdr:rowOff>
    </xdr:from>
    <xdr:to>
      <xdr:col>8</xdr:col>
      <xdr:colOff>885190</xdr:colOff>
      <xdr:row>3439</xdr:row>
      <xdr:rowOff>1209040</xdr:rowOff>
    </xdr:to>
    <xdr:pic>
      <xdr:nvPicPr>
        <xdr:cNvPr id="6898" name="Изображение 6897" descr="resizeПП-00275144"/>
        <xdr:cNvPicPr>
          <a:picLocks noChangeAspect="1"/>
        </xdr:cNvPicPr>
      </xdr:nvPicPr>
      <xdr:blipFill>
        <a:blip xmlns:r="http://schemas.openxmlformats.org/officeDocument/2006/relationships" r:embed="rId2603"/>
        <a:stretch>
          <a:fillRect/>
        </a:stretch>
      </xdr:blipFill>
      <xdr:spPr>
        <a:xfrm>
          <a:off x="7264400" y="3405797100"/>
          <a:ext cx="878840" cy="1183640"/>
        </a:xfrm>
        <a:prstGeom prst="rect">
          <a:avLst/>
        </a:prstGeom>
      </xdr:spPr>
    </xdr:pic>
    <xdr:clientData/>
  </xdr:twoCellAnchor>
  <xdr:twoCellAnchor>
    <xdr:from>
      <xdr:col>8</xdr:col>
      <xdr:colOff>6350</xdr:colOff>
      <xdr:row>3440</xdr:row>
      <xdr:rowOff>25400</xdr:rowOff>
    </xdr:from>
    <xdr:to>
      <xdr:col>8</xdr:col>
      <xdr:colOff>885190</xdr:colOff>
      <xdr:row>3440</xdr:row>
      <xdr:rowOff>1209040</xdr:rowOff>
    </xdr:to>
    <xdr:pic>
      <xdr:nvPicPr>
        <xdr:cNvPr id="6899" name="Изображение 6898" descr="resizeПП-00257881"/>
        <xdr:cNvPicPr>
          <a:picLocks noChangeAspect="1"/>
        </xdr:cNvPicPr>
      </xdr:nvPicPr>
      <xdr:blipFill>
        <a:blip xmlns:r="http://schemas.openxmlformats.org/officeDocument/2006/relationships" r:embed="rId2604"/>
        <a:stretch>
          <a:fillRect/>
        </a:stretch>
      </xdr:blipFill>
      <xdr:spPr>
        <a:xfrm>
          <a:off x="7264400" y="3407019475"/>
          <a:ext cx="878840" cy="1183640"/>
        </a:xfrm>
        <a:prstGeom prst="rect">
          <a:avLst/>
        </a:prstGeom>
      </xdr:spPr>
    </xdr:pic>
    <xdr:clientData/>
  </xdr:twoCellAnchor>
  <xdr:twoCellAnchor>
    <xdr:from>
      <xdr:col>8</xdr:col>
      <xdr:colOff>6350</xdr:colOff>
      <xdr:row>3441</xdr:row>
      <xdr:rowOff>25400</xdr:rowOff>
    </xdr:from>
    <xdr:to>
      <xdr:col>8</xdr:col>
      <xdr:colOff>885190</xdr:colOff>
      <xdr:row>3441</xdr:row>
      <xdr:rowOff>1209040</xdr:rowOff>
    </xdr:to>
    <xdr:pic>
      <xdr:nvPicPr>
        <xdr:cNvPr id="6900" name="Изображение 6899" descr="resizeПП-00257876"/>
        <xdr:cNvPicPr>
          <a:picLocks noChangeAspect="1"/>
        </xdr:cNvPicPr>
      </xdr:nvPicPr>
      <xdr:blipFill>
        <a:blip xmlns:r="http://schemas.openxmlformats.org/officeDocument/2006/relationships" r:embed="rId2605"/>
        <a:stretch>
          <a:fillRect/>
        </a:stretch>
      </xdr:blipFill>
      <xdr:spPr>
        <a:xfrm>
          <a:off x="7264400" y="3408241850"/>
          <a:ext cx="878840" cy="1183640"/>
        </a:xfrm>
        <a:prstGeom prst="rect">
          <a:avLst/>
        </a:prstGeom>
      </xdr:spPr>
    </xdr:pic>
    <xdr:clientData/>
  </xdr:twoCellAnchor>
  <xdr:twoCellAnchor>
    <xdr:from>
      <xdr:col>8</xdr:col>
      <xdr:colOff>6350</xdr:colOff>
      <xdr:row>3442</xdr:row>
      <xdr:rowOff>25400</xdr:rowOff>
    </xdr:from>
    <xdr:to>
      <xdr:col>8</xdr:col>
      <xdr:colOff>885190</xdr:colOff>
      <xdr:row>3442</xdr:row>
      <xdr:rowOff>1209040</xdr:rowOff>
    </xdr:to>
    <xdr:pic>
      <xdr:nvPicPr>
        <xdr:cNvPr id="6901" name="Изображение 6900" descr="resizeПП-00275145"/>
        <xdr:cNvPicPr>
          <a:picLocks noChangeAspect="1"/>
        </xdr:cNvPicPr>
      </xdr:nvPicPr>
      <xdr:blipFill>
        <a:blip xmlns:r="http://schemas.openxmlformats.org/officeDocument/2006/relationships" r:embed="rId2606"/>
        <a:stretch>
          <a:fillRect/>
        </a:stretch>
      </xdr:blipFill>
      <xdr:spPr>
        <a:xfrm>
          <a:off x="7264400" y="3409464225"/>
          <a:ext cx="878840" cy="1183640"/>
        </a:xfrm>
        <a:prstGeom prst="rect">
          <a:avLst/>
        </a:prstGeom>
      </xdr:spPr>
    </xdr:pic>
    <xdr:clientData/>
  </xdr:twoCellAnchor>
  <xdr:twoCellAnchor>
    <xdr:from>
      <xdr:col>8</xdr:col>
      <xdr:colOff>6350</xdr:colOff>
      <xdr:row>3443</xdr:row>
      <xdr:rowOff>25400</xdr:rowOff>
    </xdr:from>
    <xdr:to>
      <xdr:col>8</xdr:col>
      <xdr:colOff>885190</xdr:colOff>
      <xdr:row>3443</xdr:row>
      <xdr:rowOff>1209040</xdr:rowOff>
    </xdr:to>
    <xdr:pic>
      <xdr:nvPicPr>
        <xdr:cNvPr id="6902" name="Изображение 6901" descr="resizeПП-00236381"/>
        <xdr:cNvPicPr>
          <a:picLocks noChangeAspect="1"/>
        </xdr:cNvPicPr>
      </xdr:nvPicPr>
      <xdr:blipFill>
        <a:blip xmlns:r="http://schemas.openxmlformats.org/officeDocument/2006/relationships" r:embed="rId2607"/>
        <a:stretch>
          <a:fillRect/>
        </a:stretch>
      </xdr:blipFill>
      <xdr:spPr>
        <a:xfrm>
          <a:off x="7264400" y="3410686600"/>
          <a:ext cx="878840" cy="1183640"/>
        </a:xfrm>
        <a:prstGeom prst="rect">
          <a:avLst/>
        </a:prstGeom>
      </xdr:spPr>
    </xdr:pic>
    <xdr:clientData/>
  </xdr:twoCellAnchor>
  <xdr:twoCellAnchor>
    <xdr:from>
      <xdr:col>8</xdr:col>
      <xdr:colOff>6350</xdr:colOff>
      <xdr:row>3444</xdr:row>
      <xdr:rowOff>25400</xdr:rowOff>
    </xdr:from>
    <xdr:to>
      <xdr:col>8</xdr:col>
      <xdr:colOff>885190</xdr:colOff>
      <xdr:row>3444</xdr:row>
      <xdr:rowOff>1209040</xdr:rowOff>
    </xdr:to>
    <xdr:pic>
      <xdr:nvPicPr>
        <xdr:cNvPr id="6903" name="Изображение 6902" descr="resizeПП-00275142"/>
        <xdr:cNvPicPr>
          <a:picLocks noChangeAspect="1"/>
        </xdr:cNvPicPr>
      </xdr:nvPicPr>
      <xdr:blipFill>
        <a:blip xmlns:r="http://schemas.openxmlformats.org/officeDocument/2006/relationships" r:embed="rId2608"/>
        <a:stretch>
          <a:fillRect/>
        </a:stretch>
      </xdr:blipFill>
      <xdr:spPr>
        <a:xfrm>
          <a:off x="7264400" y="3411908975"/>
          <a:ext cx="878840" cy="1183640"/>
        </a:xfrm>
        <a:prstGeom prst="rect">
          <a:avLst/>
        </a:prstGeom>
      </xdr:spPr>
    </xdr:pic>
    <xdr:clientData/>
  </xdr:twoCellAnchor>
  <xdr:twoCellAnchor>
    <xdr:from>
      <xdr:col>8</xdr:col>
      <xdr:colOff>6350</xdr:colOff>
      <xdr:row>3445</xdr:row>
      <xdr:rowOff>25400</xdr:rowOff>
    </xdr:from>
    <xdr:to>
      <xdr:col>8</xdr:col>
      <xdr:colOff>885190</xdr:colOff>
      <xdr:row>3445</xdr:row>
      <xdr:rowOff>1209040</xdr:rowOff>
    </xdr:to>
    <xdr:pic>
      <xdr:nvPicPr>
        <xdr:cNvPr id="6904" name="Изображение 6903" descr="resizeПП-00275138"/>
        <xdr:cNvPicPr>
          <a:picLocks noChangeAspect="1"/>
        </xdr:cNvPicPr>
      </xdr:nvPicPr>
      <xdr:blipFill>
        <a:blip xmlns:r="http://schemas.openxmlformats.org/officeDocument/2006/relationships" r:embed="rId2609"/>
        <a:stretch>
          <a:fillRect/>
        </a:stretch>
      </xdr:blipFill>
      <xdr:spPr>
        <a:xfrm>
          <a:off x="7264400" y="3413131350"/>
          <a:ext cx="878840" cy="1183640"/>
        </a:xfrm>
        <a:prstGeom prst="rect">
          <a:avLst/>
        </a:prstGeom>
      </xdr:spPr>
    </xdr:pic>
    <xdr:clientData/>
  </xdr:twoCellAnchor>
  <xdr:twoCellAnchor>
    <xdr:from>
      <xdr:col>8</xdr:col>
      <xdr:colOff>6350</xdr:colOff>
      <xdr:row>3446</xdr:row>
      <xdr:rowOff>25400</xdr:rowOff>
    </xdr:from>
    <xdr:to>
      <xdr:col>8</xdr:col>
      <xdr:colOff>885190</xdr:colOff>
      <xdr:row>3446</xdr:row>
      <xdr:rowOff>1209040</xdr:rowOff>
    </xdr:to>
    <xdr:pic>
      <xdr:nvPicPr>
        <xdr:cNvPr id="6905" name="Изображение 6904" descr="resizeПП-00275139"/>
        <xdr:cNvPicPr>
          <a:picLocks noChangeAspect="1"/>
        </xdr:cNvPicPr>
      </xdr:nvPicPr>
      <xdr:blipFill>
        <a:blip xmlns:r="http://schemas.openxmlformats.org/officeDocument/2006/relationships" r:embed="rId2610"/>
        <a:stretch>
          <a:fillRect/>
        </a:stretch>
      </xdr:blipFill>
      <xdr:spPr>
        <a:xfrm>
          <a:off x="7264400" y="3414353725"/>
          <a:ext cx="878840" cy="1183640"/>
        </a:xfrm>
        <a:prstGeom prst="rect">
          <a:avLst/>
        </a:prstGeom>
      </xdr:spPr>
    </xdr:pic>
    <xdr:clientData/>
  </xdr:twoCellAnchor>
  <xdr:twoCellAnchor>
    <xdr:from>
      <xdr:col>8</xdr:col>
      <xdr:colOff>6350</xdr:colOff>
      <xdr:row>3447</xdr:row>
      <xdr:rowOff>25400</xdr:rowOff>
    </xdr:from>
    <xdr:to>
      <xdr:col>8</xdr:col>
      <xdr:colOff>885190</xdr:colOff>
      <xdr:row>3447</xdr:row>
      <xdr:rowOff>1209040</xdr:rowOff>
    </xdr:to>
    <xdr:pic>
      <xdr:nvPicPr>
        <xdr:cNvPr id="6906" name="Изображение 6905" descr="resizeПП-00257891"/>
        <xdr:cNvPicPr>
          <a:picLocks noChangeAspect="1"/>
        </xdr:cNvPicPr>
      </xdr:nvPicPr>
      <xdr:blipFill>
        <a:blip xmlns:r="http://schemas.openxmlformats.org/officeDocument/2006/relationships" r:embed="rId2611"/>
        <a:stretch>
          <a:fillRect/>
        </a:stretch>
      </xdr:blipFill>
      <xdr:spPr>
        <a:xfrm>
          <a:off x="7264400" y="3415576100"/>
          <a:ext cx="878840" cy="1183640"/>
        </a:xfrm>
        <a:prstGeom prst="rect">
          <a:avLst/>
        </a:prstGeom>
      </xdr:spPr>
    </xdr:pic>
    <xdr:clientData/>
  </xdr:twoCellAnchor>
  <xdr:twoCellAnchor>
    <xdr:from>
      <xdr:col>8</xdr:col>
      <xdr:colOff>6350</xdr:colOff>
      <xdr:row>3448</xdr:row>
      <xdr:rowOff>25400</xdr:rowOff>
    </xdr:from>
    <xdr:to>
      <xdr:col>8</xdr:col>
      <xdr:colOff>885190</xdr:colOff>
      <xdr:row>3448</xdr:row>
      <xdr:rowOff>1209040</xdr:rowOff>
    </xdr:to>
    <xdr:pic>
      <xdr:nvPicPr>
        <xdr:cNvPr id="6907" name="Изображение 6906" descr="resizeПП-00257885"/>
        <xdr:cNvPicPr>
          <a:picLocks noChangeAspect="1"/>
        </xdr:cNvPicPr>
      </xdr:nvPicPr>
      <xdr:blipFill>
        <a:blip xmlns:r="http://schemas.openxmlformats.org/officeDocument/2006/relationships" r:embed="rId2612"/>
        <a:stretch>
          <a:fillRect/>
        </a:stretch>
      </xdr:blipFill>
      <xdr:spPr>
        <a:xfrm>
          <a:off x="7264400" y="3416798475"/>
          <a:ext cx="878840" cy="1183640"/>
        </a:xfrm>
        <a:prstGeom prst="rect">
          <a:avLst/>
        </a:prstGeom>
      </xdr:spPr>
    </xdr:pic>
    <xdr:clientData/>
  </xdr:twoCellAnchor>
  <xdr:twoCellAnchor>
    <xdr:from>
      <xdr:col>8</xdr:col>
      <xdr:colOff>6350</xdr:colOff>
      <xdr:row>3449</xdr:row>
      <xdr:rowOff>25400</xdr:rowOff>
    </xdr:from>
    <xdr:to>
      <xdr:col>8</xdr:col>
      <xdr:colOff>885190</xdr:colOff>
      <xdr:row>3449</xdr:row>
      <xdr:rowOff>1209040</xdr:rowOff>
    </xdr:to>
    <xdr:pic>
      <xdr:nvPicPr>
        <xdr:cNvPr id="6908" name="Изображение 6907" descr="resizeПП-00257889"/>
        <xdr:cNvPicPr>
          <a:picLocks noChangeAspect="1"/>
        </xdr:cNvPicPr>
      </xdr:nvPicPr>
      <xdr:blipFill>
        <a:blip xmlns:r="http://schemas.openxmlformats.org/officeDocument/2006/relationships" r:embed="rId2613"/>
        <a:stretch>
          <a:fillRect/>
        </a:stretch>
      </xdr:blipFill>
      <xdr:spPr>
        <a:xfrm>
          <a:off x="7264400" y="3418020850"/>
          <a:ext cx="878840" cy="1183640"/>
        </a:xfrm>
        <a:prstGeom prst="rect">
          <a:avLst/>
        </a:prstGeom>
      </xdr:spPr>
    </xdr:pic>
    <xdr:clientData/>
  </xdr:twoCellAnchor>
  <xdr:twoCellAnchor>
    <xdr:from>
      <xdr:col>8</xdr:col>
      <xdr:colOff>6350</xdr:colOff>
      <xdr:row>3450</xdr:row>
      <xdr:rowOff>25400</xdr:rowOff>
    </xdr:from>
    <xdr:to>
      <xdr:col>8</xdr:col>
      <xdr:colOff>885190</xdr:colOff>
      <xdr:row>3450</xdr:row>
      <xdr:rowOff>1209040</xdr:rowOff>
    </xdr:to>
    <xdr:pic>
      <xdr:nvPicPr>
        <xdr:cNvPr id="6909" name="Изображение 6908" descr="resizeПП-00257890"/>
        <xdr:cNvPicPr>
          <a:picLocks noChangeAspect="1"/>
        </xdr:cNvPicPr>
      </xdr:nvPicPr>
      <xdr:blipFill>
        <a:blip xmlns:r="http://schemas.openxmlformats.org/officeDocument/2006/relationships" r:embed="rId2614"/>
        <a:stretch>
          <a:fillRect/>
        </a:stretch>
      </xdr:blipFill>
      <xdr:spPr>
        <a:xfrm>
          <a:off x="7264400" y="3419243225"/>
          <a:ext cx="878840" cy="1183640"/>
        </a:xfrm>
        <a:prstGeom prst="rect">
          <a:avLst/>
        </a:prstGeom>
      </xdr:spPr>
    </xdr:pic>
    <xdr:clientData/>
  </xdr:twoCellAnchor>
  <xdr:twoCellAnchor>
    <xdr:from>
      <xdr:col>8</xdr:col>
      <xdr:colOff>6350</xdr:colOff>
      <xdr:row>3451</xdr:row>
      <xdr:rowOff>25400</xdr:rowOff>
    </xdr:from>
    <xdr:to>
      <xdr:col>8</xdr:col>
      <xdr:colOff>885190</xdr:colOff>
      <xdr:row>3451</xdr:row>
      <xdr:rowOff>1209040</xdr:rowOff>
    </xdr:to>
    <xdr:pic>
      <xdr:nvPicPr>
        <xdr:cNvPr id="6910" name="Изображение 6909" descr="resizeПП-00275149"/>
        <xdr:cNvPicPr>
          <a:picLocks noChangeAspect="1"/>
        </xdr:cNvPicPr>
      </xdr:nvPicPr>
      <xdr:blipFill>
        <a:blip xmlns:r="http://schemas.openxmlformats.org/officeDocument/2006/relationships" r:embed="rId2615"/>
        <a:stretch>
          <a:fillRect/>
        </a:stretch>
      </xdr:blipFill>
      <xdr:spPr>
        <a:xfrm>
          <a:off x="7264400" y="3420465600"/>
          <a:ext cx="878840" cy="1183640"/>
        </a:xfrm>
        <a:prstGeom prst="rect">
          <a:avLst/>
        </a:prstGeom>
      </xdr:spPr>
    </xdr:pic>
    <xdr:clientData/>
  </xdr:twoCellAnchor>
  <xdr:twoCellAnchor>
    <xdr:from>
      <xdr:col>8</xdr:col>
      <xdr:colOff>6350</xdr:colOff>
      <xdr:row>3452</xdr:row>
      <xdr:rowOff>25400</xdr:rowOff>
    </xdr:from>
    <xdr:to>
      <xdr:col>8</xdr:col>
      <xdr:colOff>885190</xdr:colOff>
      <xdr:row>3452</xdr:row>
      <xdr:rowOff>1209040</xdr:rowOff>
    </xdr:to>
    <xdr:pic>
      <xdr:nvPicPr>
        <xdr:cNvPr id="6911" name="Изображение 6910" descr="resizeПП-00275146"/>
        <xdr:cNvPicPr>
          <a:picLocks noChangeAspect="1"/>
        </xdr:cNvPicPr>
      </xdr:nvPicPr>
      <xdr:blipFill>
        <a:blip xmlns:r="http://schemas.openxmlformats.org/officeDocument/2006/relationships" r:embed="rId2616"/>
        <a:stretch>
          <a:fillRect/>
        </a:stretch>
      </xdr:blipFill>
      <xdr:spPr>
        <a:xfrm>
          <a:off x="7264400" y="3421687975"/>
          <a:ext cx="878840" cy="1183640"/>
        </a:xfrm>
        <a:prstGeom prst="rect">
          <a:avLst/>
        </a:prstGeom>
      </xdr:spPr>
    </xdr:pic>
    <xdr:clientData/>
  </xdr:twoCellAnchor>
  <xdr:twoCellAnchor>
    <xdr:from>
      <xdr:col>8</xdr:col>
      <xdr:colOff>6350</xdr:colOff>
      <xdr:row>3453</xdr:row>
      <xdr:rowOff>25400</xdr:rowOff>
    </xdr:from>
    <xdr:to>
      <xdr:col>8</xdr:col>
      <xdr:colOff>885190</xdr:colOff>
      <xdr:row>3453</xdr:row>
      <xdr:rowOff>1209040</xdr:rowOff>
    </xdr:to>
    <xdr:pic>
      <xdr:nvPicPr>
        <xdr:cNvPr id="6912" name="Изображение 6911" descr="resizeПП-00257884"/>
        <xdr:cNvPicPr>
          <a:picLocks noChangeAspect="1"/>
        </xdr:cNvPicPr>
      </xdr:nvPicPr>
      <xdr:blipFill>
        <a:blip xmlns:r="http://schemas.openxmlformats.org/officeDocument/2006/relationships" r:embed="rId2617"/>
        <a:stretch>
          <a:fillRect/>
        </a:stretch>
      </xdr:blipFill>
      <xdr:spPr>
        <a:xfrm>
          <a:off x="7264400" y="3422910350"/>
          <a:ext cx="878840" cy="1183640"/>
        </a:xfrm>
        <a:prstGeom prst="rect">
          <a:avLst/>
        </a:prstGeom>
      </xdr:spPr>
    </xdr:pic>
    <xdr:clientData/>
  </xdr:twoCellAnchor>
  <xdr:twoCellAnchor>
    <xdr:from>
      <xdr:col>8</xdr:col>
      <xdr:colOff>6350</xdr:colOff>
      <xdr:row>3455</xdr:row>
      <xdr:rowOff>25400</xdr:rowOff>
    </xdr:from>
    <xdr:to>
      <xdr:col>8</xdr:col>
      <xdr:colOff>885190</xdr:colOff>
      <xdr:row>3455</xdr:row>
      <xdr:rowOff>1209040</xdr:rowOff>
    </xdr:to>
    <xdr:pic>
      <xdr:nvPicPr>
        <xdr:cNvPr id="6913" name="Изображение 6912" descr="resizeПП-00235675"/>
        <xdr:cNvPicPr>
          <a:picLocks noChangeAspect="1"/>
        </xdr:cNvPicPr>
      </xdr:nvPicPr>
      <xdr:blipFill>
        <a:blip xmlns:r="http://schemas.openxmlformats.org/officeDocument/2006/relationships" r:embed="rId2618"/>
        <a:stretch>
          <a:fillRect/>
        </a:stretch>
      </xdr:blipFill>
      <xdr:spPr>
        <a:xfrm>
          <a:off x="7264400" y="3424285125"/>
          <a:ext cx="878840" cy="1183640"/>
        </a:xfrm>
        <a:prstGeom prst="rect">
          <a:avLst/>
        </a:prstGeom>
      </xdr:spPr>
    </xdr:pic>
    <xdr:clientData/>
  </xdr:twoCellAnchor>
  <xdr:twoCellAnchor>
    <xdr:from>
      <xdr:col>8</xdr:col>
      <xdr:colOff>6350</xdr:colOff>
      <xdr:row>3456</xdr:row>
      <xdr:rowOff>25400</xdr:rowOff>
    </xdr:from>
    <xdr:to>
      <xdr:col>8</xdr:col>
      <xdr:colOff>885190</xdr:colOff>
      <xdr:row>3456</xdr:row>
      <xdr:rowOff>1209040</xdr:rowOff>
    </xdr:to>
    <xdr:pic>
      <xdr:nvPicPr>
        <xdr:cNvPr id="6914" name="Изображение 6913" descr="resizeПП-00235674"/>
        <xdr:cNvPicPr>
          <a:picLocks noChangeAspect="1"/>
        </xdr:cNvPicPr>
      </xdr:nvPicPr>
      <xdr:blipFill>
        <a:blip xmlns:r="http://schemas.openxmlformats.org/officeDocument/2006/relationships" r:embed="rId2619"/>
        <a:stretch>
          <a:fillRect/>
        </a:stretch>
      </xdr:blipFill>
      <xdr:spPr>
        <a:xfrm>
          <a:off x="7264400" y="3425507500"/>
          <a:ext cx="878840" cy="1183640"/>
        </a:xfrm>
        <a:prstGeom prst="rect">
          <a:avLst/>
        </a:prstGeom>
      </xdr:spPr>
    </xdr:pic>
    <xdr:clientData/>
  </xdr:twoCellAnchor>
  <xdr:twoCellAnchor>
    <xdr:from>
      <xdr:col>8</xdr:col>
      <xdr:colOff>6350</xdr:colOff>
      <xdr:row>3457</xdr:row>
      <xdr:rowOff>25400</xdr:rowOff>
    </xdr:from>
    <xdr:to>
      <xdr:col>8</xdr:col>
      <xdr:colOff>885190</xdr:colOff>
      <xdr:row>3457</xdr:row>
      <xdr:rowOff>1209040</xdr:rowOff>
    </xdr:to>
    <xdr:pic>
      <xdr:nvPicPr>
        <xdr:cNvPr id="6915" name="Изображение 6914" descr="resizeПП-00235678"/>
        <xdr:cNvPicPr>
          <a:picLocks noChangeAspect="1"/>
        </xdr:cNvPicPr>
      </xdr:nvPicPr>
      <xdr:blipFill>
        <a:blip xmlns:r="http://schemas.openxmlformats.org/officeDocument/2006/relationships" r:embed="rId2620"/>
        <a:stretch>
          <a:fillRect/>
        </a:stretch>
      </xdr:blipFill>
      <xdr:spPr>
        <a:xfrm>
          <a:off x="7264400" y="3426729875"/>
          <a:ext cx="878840" cy="1183640"/>
        </a:xfrm>
        <a:prstGeom prst="rect">
          <a:avLst/>
        </a:prstGeom>
      </xdr:spPr>
    </xdr:pic>
    <xdr:clientData/>
  </xdr:twoCellAnchor>
  <xdr:twoCellAnchor>
    <xdr:from>
      <xdr:col>8</xdr:col>
      <xdr:colOff>6350</xdr:colOff>
      <xdr:row>3459</xdr:row>
      <xdr:rowOff>25400</xdr:rowOff>
    </xdr:from>
    <xdr:to>
      <xdr:col>8</xdr:col>
      <xdr:colOff>885190</xdr:colOff>
      <xdr:row>3459</xdr:row>
      <xdr:rowOff>1209040</xdr:rowOff>
    </xdr:to>
    <xdr:pic>
      <xdr:nvPicPr>
        <xdr:cNvPr id="6916" name="Изображение 6915" descr="resizeПП-00121382"/>
        <xdr:cNvPicPr>
          <a:picLocks noChangeAspect="1"/>
        </xdr:cNvPicPr>
      </xdr:nvPicPr>
      <xdr:blipFill>
        <a:blip xmlns:r="http://schemas.openxmlformats.org/officeDocument/2006/relationships" r:embed="rId2621"/>
        <a:stretch>
          <a:fillRect/>
        </a:stretch>
      </xdr:blipFill>
      <xdr:spPr>
        <a:xfrm>
          <a:off x="7264400" y="3428104650"/>
          <a:ext cx="878840" cy="1183640"/>
        </a:xfrm>
        <a:prstGeom prst="rect">
          <a:avLst/>
        </a:prstGeom>
      </xdr:spPr>
    </xdr:pic>
    <xdr:clientData/>
  </xdr:twoCellAnchor>
  <xdr:twoCellAnchor>
    <xdr:from>
      <xdr:col>8</xdr:col>
      <xdr:colOff>6350</xdr:colOff>
      <xdr:row>3460</xdr:row>
      <xdr:rowOff>25400</xdr:rowOff>
    </xdr:from>
    <xdr:to>
      <xdr:col>8</xdr:col>
      <xdr:colOff>885190</xdr:colOff>
      <xdr:row>3460</xdr:row>
      <xdr:rowOff>1209040</xdr:rowOff>
    </xdr:to>
    <xdr:pic>
      <xdr:nvPicPr>
        <xdr:cNvPr id="6917" name="Изображение 6916" descr="resizeПП-00121357"/>
        <xdr:cNvPicPr>
          <a:picLocks noChangeAspect="1"/>
        </xdr:cNvPicPr>
      </xdr:nvPicPr>
      <xdr:blipFill>
        <a:blip xmlns:r="http://schemas.openxmlformats.org/officeDocument/2006/relationships" r:embed="rId2622"/>
        <a:stretch>
          <a:fillRect/>
        </a:stretch>
      </xdr:blipFill>
      <xdr:spPr>
        <a:xfrm>
          <a:off x="7264400" y="3429327025"/>
          <a:ext cx="878840" cy="1183640"/>
        </a:xfrm>
        <a:prstGeom prst="rect">
          <a:avLst/>
        </a:prstGeom>
      </xdr:spPr>
    </xdr:pic>
    <xdr:clientData/>
  </xdr:twoCellAnchor>
  <xdr:twoCellAnchor>
    <xdr:from>
      <xdr:col>8</xdr:col>
      <xdr:colOff>6350</xdr:colOff>
      <xdr:row>3461</xdr:row>
      <xdr:rowOff>25400</xdr:rowOff>
    </xdr:from>
    <xdr:to>
      <xdr:col>8</xdr:col>
      <xdr:colOff>885190</xdr:colOff>
      <xdr:row>3461</xdr:row>
      <xdr:rowOff>1209040</xdr:rowOff>
    </xdr:to>
    <xdr:pic>
      <xdr:nvPicPr>
        <xdr:cNvPr id="6918" name="Изображение 6917" descr="resizeПП-00219343"/>
        <xdr:cNvPicPr>
          <a:picLocks noChangeAspect="1"/>
        </xdr:cNvPicPr>
      </xdr:nvPicPr>
      <xdr:blipFill>
        <a:blip xmlns:r="http://schemas.openxmlformats.org/officeDocument/2006/relationships" r:embed="rId2623"/>
        <a:stretch>
          <a:fillRect/>
        </a:stretch>
      </xdr:blipFill>
      <xdr:spPr>
        <a:xfrm>
          <a:off x="7264400" y="3430549400"/>
          <a:ext cx="878840" cy="1183640"/>
        </a:xfrm>
        <a:prstGeom prst="rect">
          <a:avLst/>
        </a:prstGeom>
      </xdr:spPr>
    </xdr:pic>
    <xdr:clientData/>
  </xdr:twoCellAnchor>
  <xdr:twoCellAnchor>
    <xdr:from>
      <xdr:col>8</xdr:col>
      <xdr:colOff>6350</xdr:colOff>
      <xdr:row>3462</xdr:row>
      <xdr:rowOff>25400</xdr:rowOff>
    </xdr:from>
    <xdr:to>
      <xdr:col>8</xdr:col>
      <xdr:colOff>885190</xdr:colOff>
      <xdr:row>3462</xdr:row>
      <xdr:rowOff>1209040</xdr:rowOff>
    </xdr:to>
    <xdr:pic>
      <xdr:nvPicPr>
        <xdr:cNvPr id="6919" name="Изображение 6918" descr="resizeПП-00257822"/>
        <xdr:cNvPicPr>
          <a:picLocks noChangeAspect="1"/>
        </xdr:cNvPicPr>
      </xdr:nvPicPr>
      <xdr:blipFill>
        <a:blip xmlns:r="http://schemas.openxmlformats.org/officeDocument/2006/relationships" r:embed="rId2624"/>
        <a:stretch>
          <a:fillRect/>
        </a:stretch>
      </xdr:blipFill>
      <xdr:spPr>
        <a:xfrm>
          <a:off x="7264400" y="3431771775"/>
          <a:ext cx="878840" cy="1183640"/>
        </a:xfrm>
        <a:prstGeom prst="rect">
          <a:avLst/>
        </a:prstGeom>
      </xdr:spPr>
    </xdr:pic>
    <xdr:clientData/>
  </xdr:twoCellAnchor>
  <xdr:twoCellAnchor>
    <xdr:from>
      <xdr:col>8</xdr:col>
      <xdr:colOff>6350</xdr:colOff>
      <xdr:row>3463</xdr:row>
      <xdr:rowOff>25400</xdr:rowOff>
    </xdr:from>
    <xdr:to>
      <xdr:col>8</xdr:col>
      <xdr:colOff>885190</xdr:colOff>
      <xdr:row>3463</xdr:row>
      <xdr:rowOff>1209040</xdr:rowOff>
    </xdr:to>
    <xdr:pic>
      <xdr:nvPicPr>
        <xdr:cNvPr id="6920" name="Изображение 6919" descr="resizeПП-00257824"/>
        <xdr:cNvPicPr>
          <a:picLocks noChangeAspect="1"/>
        </xdr:cNvPicPr>
      </xdr:nvPicPr>
      <xdr:blipFill>
        <a:blip xmlns:r="http://schemas.openxmlformats.org/officeDocument/2006/relationships" r:embed="rId2625"/>
        <a:stretch>
          <a:fillRect/>
        </a:stretch>
      </xdr:blipFill>
      <xdr:spPr>
        <a:xfrm>
          <a:off x="7264400" y="3432994150"/>
          <a:ext cx="878840" cy="1183640"/>
        </a:xfrm>
        <a:prstGeom prst="rect">
          <a:avLst/>
        </a:prstGeom>
      </xdr:spPr>
    </xdr:pic>
    <xdr:clientData/>
  </xdr:twoCellAnchor>
  <xdr:twoCellAnchor>
    <xdr:from>
      <xdr:col>8</xdr:col>
      <xdr:colOff>6350</xdr:colOff>
      <xdr:row>3464</xdr:row>
      <xdr:rowOff>25400</xdr:rowOff>
    </xdr:from>
    <xdr:to>
      <xdr:col>8</xdr:col>
      <xdr:colOff>885190</xdr:colOff>
      <xdr:row>3464</xdr:row>
      <xdr:rowOff>1209040</xdr:rowOff>
    </xdr:to>
    <xdr:pic>
      <xdr:nvPicPr>
        <xdr:cNvPr id="6921" name="Изображение 6920" descr="resizeПП-00201907"/>
        <xdr:cNvPicPr>
          <a:picLocks noChangeAspect="1"/>
        </xdr:cNvPicPr>
      </xdr:nvPicPr>
      <xdr:blipFill>
        <a:blip xmlns:r="http://schemas.openxmlformats.org/officeDocument/2006/relationships" r:embed="rId2626"/>
        <a:stretch>
          <a:fillRect/>
        </a:stretch>
      </xdr:blipFill>
      <xdr:spPr>
        <a:xfrm>
          <a:off x="7264400" y="3434216525"/>
          <a:ext cx="878840" cy="1183640"/>
        </a:xfrm>
        <a:prstGeom prst="rect">
          <a:avLst/>
        </a:prstGeom>
      </xdr:spPr>
    </xdr:pic>
    <xdr:clientData/>
  </xdr:twoCellAnchor>
  <xdr:twoCellAnchor>
    <xdr:from>
      <xdr:col>8</xdr:col>
      <xdr:colOff>6350</xdr:colOff>
      <xdr:row>3465</xdr:row>
      <xdr:rowOff>25400</xdr:rowOff>
    </xdr:from>
    <xdr:to>
      <xdr:col>8</xdr:col>
      <xdr:colOff>885190</xdr:colOff>
      <xdr:row>3465</xdr:row>
      <xdr:rowOff>1209040</xdr:rowOff>
    </xdr:to>
    <xdr:pic>
      <xdr:nvPicPr>
        <xdr:cNvPr id="6922" name="Изображение 6921" descr="resizeПП-00219350"/>
        <xdr:cNvPicPr>
          <a:picLocks noChangeAspect="1"/>
        </xdr:cNvPicPr>
      </xdr:nvPicPr>
      <xdr:blipFill>
        <a:blip xmlns:r="http://schemas.openxmlformats.org/officeDocument/2006/relationships" r:embed="rId2627"/>
        <a:stretch>
          <a:fillRect/>
        </a:stretch>
      </xdr:blipFill>
      <xdr:spPr>
        <a:xfrm>
          <a:off x="7264400" y="3435438900"/>
          <a:ext cx="878840" cy="1183640"/>
        </a:xfrm>
        <a:prstGeom prst="rect">
          <a:avLst/>
        </a:prstGeom>
      </xdr:spPr>
    </xdr:pic>
    <xdr:clientData/>
  </xdr:twoCellAnchor>
  <xdr:twoCellAnchor>
    <xdr:from>
      <xdr:col>8</xdr:col>
      <xdr:colOff>6350</xdr:colOff>
      <xdr:row>3466</xdr:row>
      <xdr:rowOff>25400</xdr:rowOff>
    </xdr:from>
    <xdr:to>
      <xdr:col>8</xdr:col>
      <xdr:colOff>885190</xdr:colOff>
      <xdr:row>3466</xdr:row>
      <xdr:rowOff>1209040</xdr:rowOff>
    </xdr:to>
    <xdr:pic>
      <xdr:nvPicPr>
        <xdr:cNvPr id="6923" name="Изображение 6922" descr="resizeПП-00219340"/>
        <xdr:cNvPicPr>
          <a:picLocks noChangeAspect="1"/>
        </xdr:cNvPicPr>
      </xdr:nvPicPr>
      <xdr:blipFill>
        <a:blip xmlns:r="http://schemas.openxmlformats.org/officeDocument/2006/relationships" r:embed="rId2628"/>
        <a:stretch>
          <a:fillRect/>
        </a:stretch>
      </xdr:blipFill>
      <xdr:spPr>
        <a:xfrm>
          <a:off x="7264400" y="3436661275"/>
          <a:ext cx="878840" cy="1183640"/>
        </a:xfrm>
        <a:prstGeom prst="rect">
          <a:avLst/>
        </a:prstGeom>
      </xdr:spPr>
    </xdr:pic>
    <xdr:clientData/>
  </xdr:twoCellAnchor>
  <xdr:twoCellAnchor>
    <xdr:from>
      <xdr:col>8</xdr:col>
      <xdr:colOff>6350</xdr:colOff>
      <xdr:row>3469</xdr:row>
      <xdr:rowOff>25400</xdr:rowOff>
    </xdr:from>
    <xdr:to>
      <xdr:col>8</xdr:col>
      <xdr:colOff>885190</xdr:colOff>
      <xdr:row>3469</xdr:row>
      <xdr:rowOff>1209040</xdr:rowOff>
    </xdr:to>
    <xdr:pic>
      <xdr:nvPicPr>
        <xdr:cNvPr id="6924" name="Изображение 6923" descr="resizeПП-00234079"/>
        <xdr:cNvPicPr>
          <a:picLocks noChangeAspect="1"/>
        </xdr:cNvPicPr>
      </xdr:nvPicPr>
      <xdr:blipFill>
        <a:blip xmlns:r="http://schemas.openxmlformats.org/officeDocument/2006/relationships" r:embed="rId2629"/>
        <a:stretch>
          <a:fillRect/>
        </a:stretch>
      </xdr:blipFill>
      <xdr:spPr>
        <a:xfrm>
          <a:off x="7264400" y="3438188450"/>
          <a:ext cx="878840" cy="1183640"/>
        </a:xfrm>
        <a:prstGeom prst="rect">
          <a:avLst/>
        </a:prstGeom>
      </xdr:spPr>
    </xdr:pic>
    <xdr:clientData/>
  </xdr:twoCellAnchor>
  <xdr:twoCellAnchor>
    <xdr:from>
      <xdr:col>8</xdr:col>
      <xdr:colOff>6350</xdr:colOff>
      <xdr:row>3472</xdr:row>
      <xdr:rowOff>25400</xdr:rowOff>
    </xdr:from>
    <xdr:to>
      <xdr:col>8</xdr:col>
      <xdr:colOff>885190</xdr:colOff>
      <xdr:row>3472</xdr:row>
      <xdr:rowOff>1209040</xdr:rowOff>
    </xdr:to>
    <xdr:pic>
      <xdr:nvPicPr>
        <xdr:cNvPr id="6925" name="Изображение 6924" descr="resizeПП-00102667"/>
        <xdr:cNvPicPr>
          <a:picLocks noChangeAspect="1"/>
        </xdr:cNvPicPr>
      </xdr:nvPicPr>
      <xdr:blipFill>
        <a:blip xmlns:r="http://schemas.openxmlformats.org/officeDocument/2006/relationships" r:embed="rId2630"/>
        <a:stretch>
          <a:fillRect/>
        </a:stretch>
      </xdr:blipFill>
      <xdr:spPr>
        <a:xfrm>
          <a:off x="7264400" y="3439715625"/>
          <a:ext cx="878840" cy="1183640"/>
        </a:xfrm>
        <a:prstGeom prst="rect">
          <a:avLst/>
        </a:prstGeom>
      </xdr:spPr>
    </xdr:pic>
    <xdr:clientData/>
  </xdr:twoCellAnchor>
  <xdr:twoCellAnchor>
    <xdr:from>
      <xdr:col>8</xdr:col>
      <xdr:colOff>6350</xdr:colOff>
      <xdr:row>3473</xdr:row>
      <xdr:rowOff>25400</xdr:rowOff>
    </xdr:from>
    <xdr:to>
      <xdr:col>8</xdr:col>
      <xdr:colOff>885190</xdr:colOff>
      <xdr:row>3473</xdr:row>
      <xdr:rowOff>1209040</xdr:rowOff>
    </xdr:to>
    <xdr:pic>
      <xdr:nvPicPr>
        <xdr:cNvPr id="6926" name="Изображение 6925" descr="resizeПП-00141835"/>
        <xdr:cNvPicPr>
          <a:picLocks noChangeAspect="1"/>
        </xdr:cNvPicPr>
      </xdr:nvPicPr>
      <xdr:blipFill>
        <a:blip xmlns:r="http://schemas.openxmlformats.org/officeDocument/2006/relationships" r:embed="rId2631"/>
        <a:stretch>
          <a:fillRect/>
        </a:stretch>
      </xdr:blipFill>
      <xdr:spPr>
        <a:xfrm>
          <a:off x="7264400" y="3440938000"/>
          <a:ext cx="878840" cy="1183640"/>
        </a:xfrm>
        <a:prstGeom prst="rect">
          <a:avLst/>
        </a:prstGeom>
      </xdr:spPr>
    </xdr:pic>
    <xdr:clientData/>
  </xdr:twoCellAnchor>
  <xdr:twoCellAnchor>
    <xdr:from>
      <xdr:col>8</xdr:col>
      <xdr:colOff>6350</xdr:colOff>
      <xdr:row>3474</xdr:row>
      <xdr:rowOff>25400</xdr:rowOff>
    </xdr:from>
    <xdr:to>
      <xdr:col>8</xdr:col>
      <xdr:colOff>885190</xdr:colOff>
      <xdr:row>3474</xdr:row>
      <xdr:rowOff>1209040</xdr:rowOff>
    </xdr:to>
    <xdr:pic>
      <xdr:nvPicPr>
        <xdr:cNvPr id="6927" name="Изображение 6926" descr="resizeПП-00102669"/>
        <xdr:cNvPicPr>
          <a:picLocks noChangeAspect="1"/>
        </xdr:cNvPicPr>
      </xdr:nvPicPr>
      <xdr:blipFill>
        <a:blip xmlns:r="http://schemas.openxmlformats.org/officeDocument/2006/relationships" r:embed="rId2632"/>
        <a:stretch>
          <a:fillRect/>
        </a:stretch>
      </xdr:blipFill>
      <xdr:spPr>
        <a:xfrm>
          <a:off x="7264400" y="3442160375"/>
          <a:ext cx="878840" cy="1183640"/>
        </a:xfrm>
        <a:prstGeom prst="rect">
          <a:avLst/>
        </a:prstGeom>
      </xdr:spPr>
    </xdr:pic>
    <xdr:clientData/>
  </xdr:twoCellAnchor>
  <xdr:twoCellAnchor>
    <xdr:from>
      <xdr:col>8</xdr:col>
      <xdr:colOff>6350</xdr:colOff>
      <xdr:row>3475</xdr:row>
      <xdr:rowOff>25400</xdr:rowOff>
    </xdr:from>
    <xdr:to>
      <xdr:col>8</xdr:col>
      <xdr:colOff>885190</xdr:colOff>
      <xdr:row>3475</xdr:row>
      <xdr:rowOff>1209040</xdr:rowOff>
    </xdr:to>
    <xdr:pic>
      <xdr:nvPicPr>
        <xdr:cNvPr id="6928" name="Изображение 6927" descr="resizeПП-00261116"/>
        <xdr:cNvPicPr>
          <a:picLocks noChangeAspect="1"/>
        </xdr:cNvPicPr>
      </xdr:nvPicPr>
      <xdr:blipFill>
        <a:blip xmlns:r="http://schemas.openxmlformats.org/officeDocument/2006/relationships" r:embed="rId2633"/>
        <a:stretch>
          <a:fillRect/>
        </a:stretch>
      </xdr:blipFill>
      <xdr:spPr>
        <a:xfrm>
          <a:off x="7264400" y="3443382750"/>
          <a:ext cx="878840" cy="1183640"/>
        </a:xfrm>
        <a:prstGeom prst="rect">
          <a:avLst/>
        </a:prstGeom>
      </xdr:spPr>
    </xdr:pic>
    <xdr:clientData/>
  </xdr:twoCellAnchor>
  <xdr:twoCellAnchor>
    <xdr:from>
      <xdr:col>8</xdr:col>
      <xdr:colOff>6350</xdr:colOff>
      <xdr:row>3476</xdr:row>
      <xdr:rowOff>25400</xdr:rowOff>
    </xdr:from>
    <xdr:to>
      <xdr:col>8</xdr:col>
      <xdr:colOff>885190</xdr:colOff>
      <xdr:row>3476</xdr:row>
      <xdr:rowOff>1209040</xdr:rowOff>
    </xdr:to>
    <xdr:pic>
      <xdr:nvPicPr>
        <xdr:cNvPr id="6929" name="Изображение 6928" descr="resizeПП-00261117"/>
        <xdr:cNvPicPr>
          <a:picLocks noChangeAspect="1"/>
        </xdr:cNvPicPr>
      </xdr:nvPicPr>
      <xdr:blipFill>
        <a:blip xmlns:r="http://schemas.openxmlformats.org/officeDocument/2006/relationships" r:embed="rId2634"/>
        <a:stretch>
          <a:fillRect/>
        </a:stretch>
      </xdr:blipFill>
      <xdr:spPr>
        <a:xfrm>
          <a:off x="7264400" y="3444605125"/>
          <a:ext cx="878840" cy="1183640"/>
        </a:xfrm>
        <a:prstGeom prst="rect">
          <a:avLst/>
        </a:prstGeom>
      </xdr:spPr>
    </xdr:pic>
    <xdr:clientData/>
  </xdr:twoCellAnchor>
  <xdr:twoCellAnchor>
    <xdr:from>
      <xdr:col>8</xdr:col>
      <xdr:colOff>6350</xdr:colOff>
      <xdr:row>3478</xdr:row>
      <xdr:rowOff>25400</xdr:rowOff>
    </xdr:from>
    <xdr:to>
      <xdr:col>8</xdr:col>
      <xdr:colOff>885190</xdr:colOff>
      <xdr:row>3478</xdr:row>
      <xdr:rowOff>1209040</xdr:rowOff>
    </xdr:to>
    <xdr:pic>
      <xdr:nvPicPr>
        <xdr:cNvPr id="6930" name="Изображение 6929" descr="resizeПП-00102655"/>
        <xdr:cNvPicPr>
          <a:picLocks noChangeAspect="1"/>
        </xdr:cNvPicPr>
      </xdr:nvPicPr>
      <xdr:blipFill>
        <a:blip xmlns:r="http://schemas.openxmlformats.org/officeDocument/2006/relationships" r:embed="rId2635"/>
        <a:stretch>
          <a:fillRect/>
        </a:stretch>
      </xdr:blipFill>
      <xdr:spPr>
        <a:xfrm>
          <a:off x="7264400" y="3445979900"/>
          <a:ext cx="878840" cy="1183640"/>
        </a:xfrm>
        <a:prstGeom prst="rect">
          <a:avLst/>
        </a:prstGeom>
      </xdr:spPr>
    </xdr:pic>
    <xdr:clientData/>
  </xdr:twoCellAnchor>
  <xdr:twoCellAnchor>
    <xdr:from>
      <xdr:col>8</xdr:col>
      <xdr:colOff>6350</xdr:colOff>
      <xdr:row>3479</xdr:row>
      <xdr:rowOff>25400</xdr:rowOff>
    </xdr:from>
    <xdr:to>
      <xdr:col>8</xdr:col>
      <xdr:colOff>885190</xdr:colOff>
      <xdr:row>3479</xdr:row>
      <xdr:rowOff>1209040</xdr:rowOff>
    </xdr:to>
    <xdr:pic>
      <xdr:nvPicPr>
        <xdr:cNvPr id="6931" name="Изображение 6930" descr="resizeПП-00102661"/>
        <xdr:cNvPicPr>
          <a:picLocks noChangeAspect="1"/>
        </xdr:cNvPicPr>
      </xdr:nvPicPr>
      <xdr:blipFill>
        <a:blip xmlns:r="http://schemas.openxmlformats.org/officeDocument/2006/relationships" r:embed="rId2636"/>
        <a:stretch>
          <a:fillRect/>
        </a:stretch>
      </xdr:blipFill>
      <xdr:spPr>
        <a:xfrm>
          <a:off x="7264400" y="3447202275"/>
          <a:ext cx="878840" cy="1183640"/>
        </a:xfrm>
        <a:prstGeom prst="rect">
          <a:avLst/>
        </a:prstGeom>
      </xdr:spPr>
    </xdr:pic>
    <xdr:clientData/>
  </xdr:twoCellAnchor>
  <xdr:twoCellAnchor>
    <xdr:from>
      <xdr:col>8</xdr:col>
      <xdr:colOff>6350</xdr:colOff>
      <xdr:row>3480</xdr:row>
      <xdr:rowOff>25400</xdr:rowOff>
    </xdr:from>
    <xdr:to>
      <xdr:col>8</xdr:col>
      <xdr:colOff>885190</xdr:colOff>
      <xdr:row>3480</xdr:row>
      <xdr:rowOff>1209040</xdr:rowOff>
    </xdr:to>
    <xdr:pic>
      <xdr:nvPicPr>
        <xdr:cNvPr id="6932" name="Изображение 6931" descr="resizeПП-00102653"/>
        <xdr:cNvPicPr>
          <a:picLocks noChangeAspect="1"/>
        </xdr:cNvPicPr>
      </xdr:nvPicPr>
      <xdr:blipFill>
        <a:blip xmlns:r="http://schemas.openxmlformats.org/officeDocument/2006/relationships" r:embed="rId2637"/>
        <a:stretch>
          <a:fillRect/>
        </a:stretch>
      </xdr:blipFill>
      <xdr:spPr>
        <a:xfrm>
          <a:off x="7264400" y="3448424650"/>
          <a:ext cx="878840" cy="1183640"/>
        </a:xfrm>
        <a:prstGeom prst="rect">
          <a:avLst/>
        </a:prstGeom>
      </xdr:spPr>
    </xdr:pic>
    <xdr:clientData/>
  </xdr:twoCellAnchor>
  <xdr:twoCellAnchor>
    <xdr:from>
      <xdr:col>8</xdr:col>
      <xdr:colOff>6350</xdr:colOff>
      <xdr:row>3481</xdr:row>
      <xdr:rowOff>25400</xdr:rowOff>
    </xdr:from>
    <xdr:to>
      <xdr:col>8</xdr:col>
      <xdr:colOff>885190</xdr:colOff>
      <xdr:row>3481</xdr:row>
      <xdr:rowOff>1209040</xdr:rowOff>
    </xdr:to>
    <xdr:pic>
      <xdr:nvPicPr>
        <xdr:cNvPr id="6933" name="Изображение 6932" descr="resizeПП-00102663"/>
        <xdr:cNvPicPr>
          <a:picLocks noChangeAspect="1"/>
        </xdr:cNvPicPr>
      </xdr:nvPicPr>
      <xdr:blipFill>
        <a:blip xmlns:r="http://schemas.openxmlformats.org/officeDocument/2006/relationships" r:embed="rId2638"/>
        <a:stretch>
          <a:fillRect/>
        </a:stretch>
      </xdr:blipFill>
      <xdr:spPr>
        <a:xfrm>
          <a:off x="7264400" y="3449647025"/>
          <a:ext cx="878840" cy="1183640"/>
        </a:xfrm>
        <a:prstGeom prst="rect">
          <a:avLst/>
        </a:prstGeom>
      </xdr:spPr>
    </xdr:pic>
    <xdr:clientData/>
  </xdr:twoCellAnchor>
  <xdr:twoCellAnchor>
    <xdr:from>
      <xdr:col>8</xdr:col>
      <xdr:colOff>6350</xdr:colOff>
      <xdr:row>3482</xdr:row>
      <xdr:rowOff>25400</xdr:rowOff>
    </xdr:from>
    <xdr:to>
      <xdr:col>8</xdr:col>
      <xdr:colOff>885190</xdr:colOff>
      <xdr:row>3482</xdr:row>
      <xdr:rowOff>1209040</xdr:rowOff>
    </xdr:to>
    <xdr:pic>
      <xdr:nvPicPr>
        <xdr:cNvPr id="6934" name="Изображение 6933" descr="resizeПП-00102664"/>
        <xdr:cNvPicPr>
          <a:picLocks noChangeAspect="1"/>
        </xdr:cNvPicPr>
      </xdr:nvPicPr>
      <xdr:blipFill>
        <a:blip xmlns:r="http://schemas.openxmlformats.org/officeDocument/2006/relationships" r:embed="rId2639"/>
        <a:stretch>
          <a:fillRect/>
        </a:stretch>
      </xdr:blipFill>
      <xdr:spPr>
        <a:xfrm>
          <a:off x="7264400" y="3450869400"/>
          <a:ext cx="878840" cy="1183640"/>
        </a:xfrm>
        <a:prstGeom prst="rect">
          <a:avLst/>
        </a:prstGeom>
      </xdr:spPr>
    </xdr:pic>
    <xdr:clientData/>
  </xdr:twoCellAnchor>
  <xdr:twoCellAnchor>
    <xdr:from>
      <xdr:col>8</xdr:col>
      <xdr:colOff>6350</xdr:colOff>
      <xdr:row>3483</xdr:row>
      <xdr:rowOff>25400</xdr:rowOff>
    </xdr:from>
    <xdr:to>
      <xdr:col>8</xdr:col>
      <xdr:colOff>885190</xdr:colOff>
      <xdr:row>3483</xdr:row>
      <xdr:rowOff>1209040</xdr:rowOff>
    </xdr:to>
    <xdr:pic>
      <xdr:nvPicPr>
        <xdr:cNvPr id="6935" name="Изображение 6934" descr="resizeПП-00102657"/>
        <xdr:cNvPicPr>
          <a:picLocks noChangeAspect="1"/>
        </xdr:cNvPicPr>
      </xdr:nvPicPr>
      <xdr:blipFill>
        <a:blip xmlns:r="http://schemas.openxmlformats.org/officeDocument/2006/relationships" r:embed="rId2640"/>
        <a:stretch>
          <a:fillRect/>
        </a:stretch>
      </xdr:blipFill>
      <xdr:spPr>
        <a:xfrm>
          <a:off x="7264400" y="3452091775"/>
          <a:ext cx="878840" cy="1183640"/>
        </a:xfrm>
        <a:prstGeom prst="rect">
          <a:avLst/>
        </a:prstGeom>
      </xdr:spPr>
    </xdr:pic>
    <xdr:clientData/>
  </xdr:twoCellAnchor>
  <xdr:twoCellAnchor>
    <xdr:from>
      <xdr:col>8</xdr:col>
      <xdr:colOff>6350</xdr:colOff>
      <xdr:row>3484</xdr:row>
      <xdr:rowOff>25400</xdr:rowOff>
    </xdr:from>
    <xdr:to>
      <xdr:col>8</xdr:col>
      <xdr:colOff>885190</xdr:colOff>
      <xdr:row>3484</xdr:row>
      <xdr:rowOff>1209040</xdr:rowOff>
    </xdr:to>
    <xdr:pic>
      <xdr:nvPicPr>
        <xdr:cNvPr id="6936" name="Изображение 6935" descr="resizeПП-00102665"/>
        <xdr:cNvPicPr>
          <a:picLocks noChangeAspect="1"/>
        </xdr:cNvPicPr>
      </xdr:nvPicPr>
      <xdr:blipFill>
        <a:blip xmlns:r="http://schemas.openxmlformats.org/officeDocument/2006/relationships" r:embed="rId2641"/>
        <a:stretch>
          <a:fillRect/>
        </a:stretch>
      </xdr:blipFill>
      <xdr:spPr>
        <a:xfrm>
          <a:off x="7264400" y="3453314150"/>
          <a:ext cx="878840" cy="1183640"/>
        </a:xfrm>
        <a:prstGeom prst="rect">
          <a:avLst/>
        </a:prstGeom>
      </xdr:spPr>
    </xdr:pic>
    <xdr:clientData/>
  </xdr:twoCellAnchor>
  <xdr:twoCellAnchor>
    <xdr:from>
      <xdr:col>8</xdr:col>
      <xdr:colOff>6350</xdr:colOff>
      <xdr:row>3485</xdr:row>
      <xdr:rowOff>25400</xdr:rowOff>
    </xdr:from>
    <xdr:to>
      <xdr:col>8</xdr:col>
      <xdr:colOff>885190</xdr:colOff>
      <xdr:row>3485</xdr:row>
      <xdr:rowOff>1209040</xdr:rowOff>
    </xdr:to>
    <xdr:pic>
      <xdr:nvPicPr>
        <xdr:cNvPr id="6937" name="Изображение 6936" descr="resizeПП-00248101"/>
        <xdr:cNvPicPr>
          <a:picLocks noChangeAspect="1"/>
        </xdr:cNvPicPr>
      </xdr:nvPicPr>
      <xdr:blipFill>
        <a:blip xmlns:r="http://schemas.openxmlformats.org/officeDocument/2006/relationships" r:embed="rId2642"/>
        <a:stretch>
          <a:fillRect/>
        </a:stretch>
      </xdr:blipFill>
      <xdr:spPr>
        <a:xfrm>
          <a:off x="7264400" y="3454536525"/>
          <a:ext cx="878840" cy="1183640"/>
        </a:xfrm>
        <a:prstGeom prst="rect">
          <a:avLst/>
        </a:prstGeom>
      </xdr:spPr>
    </xdr:pic>
    <xdr:clientData/>
  </xdr:twoCellAnchor>
  <xdr:twoCellAnchor>
    <xdr:from>
      <xdr:col>8</xdr:col>
      <xdr:colOff>6350</xdr:colOff>
      <xdr:row>3486</xdr:row>
      <xdr:rowOff>25400</xdr:rowOff>
    </xdr:from>
    <xdr:to>
      <xdr:col>8</xdr:col>
      <xdr:colOff>885190</xdr:colOff>
      <xdr:row>3486</xdr:row>
      <xdr:rowOff>1209040</xdr:rowOff>
    </xdr:to>
    <xdr:pic>
      <xdr:nvPicPr>
        <xdr:cNvPr id="6938" name="Изображение 6937" descr="resizeПП-00102652"/>
        <xdr:cNvPicPr>
          <a:picLocks noChangeAspect="1"/>
        </xdr:cNvPicPr>
      </xdr:nvPicPr>
      <xdr:blipFill>
        <a:blip xmlns:r="http://schemas.openxmlformats.org/officeDocument/2006/relationships" r:embed="rId2643"/>
        <a:stretch>
          <a:fillRect/>
        </a:stretch>
      </xdr:blipFill>
      <xdr:spPr>
        <a:xfrm>
          <a:off x="7264400" y="3455758900"/>
          <a:ext cx="878840" cy="1183640"/>
        </a:xfrm>
        <a:prstGeom prst="rect">
          <a:avLst/>
        </a:prstGeom>
      </xdr:spPr>
    </xdr:pic>
    <xdr:clientData/>
  </xdr:twoCellAnchor>
  <xdr:twoCellAnchor>
    <xdr:from>
      <xdr:col>8</xdr:col>
      <xdr:colOff>6350</xdr:colOff>
      <xdr:row>3487</xdr:row>
      <xdr:rowOff>25400</xdr:rowOff>
    </xdr:from>
    <xdr:to>
      <xdr:col>8</xdr:col>
      <xdr:colOff>885190</xdr:colOff>
      <xdr:row>3487</xdr:row>
      <xdr:rowOff>1209040</xdr:rowOff>
    </xdr:to>
    <xdr:pic>
      <xdr:nvPicPr>
        <xdr:cNvPr id="6939" name="Изображение 6938" descr="resizeПП-00279917"/>
        <xdr:cNvPicPr>
          <a:picLocks noChangeAspect="1"/>
        </xdr:cNvPicPr>
      </xdr:nvPicPr>
      <xdr:blipFill>
        <a:blip xmlns:r="http://schemas.openxmlformats.org/officeDocument/2006/relationships" r:embed="rId2644"/>
        <a:stretch>
          <a:fillRect/>
        </a:stretch>
      </xdr:blipFill>
      <xdr:spPr>
        <a:xfrm>
          <a:off x="7264400" y="3456981275"/>
          <a:ext cx="878840" cy="1183640"/>
        </a:xfrm>
        <a:prstGeom prst="rect">
          <a:avLst/>
        </a:prstGeom>
      </xdr:spPr>
    </xdr:pic>
    <xdr:clientData/>
  </xdr:twoCellAnchor>
  <xdr:twoCellAnchor>
    <xdr:from>
      <xdr:col>8</xdr:col>
      <xdr:colOff>6350</xdr:colOff>
      <xdr:row>3488</xdr:row>
      <xdr:rowOff>25400</xdr:rowOff>
    </xdr:from>
    <xdr:to>
      <xdr:col>8</xdr:col>
      <xdr:colOff>885190</xdr:colOff>
      <xdr:row>3488</xdr:row>
      <xdr:rowOff>1209040</xdr:rowOff>
    </xdr:to>
    <xdr:pic>
      <xdr:nvPicPr>
        <xdr:cNvPr id="6940" name="Изображение 6939" descr="resizeПП-00279916"/>
        <xdr:cNvPicPr>
          <a:picLocks noChangeAspect="1"/>
        </xdr:cNvPicPr>
      </xdr:nvPicPr>
      <xdr:blipFill>
        <a:blip xmlns:r="http://schemas.openxmlformats.org/officeDocument/2006/relationships" r:embed="rId2645"/>
        <a:stretch>
          <a:fillRect/>
        </a:stretch>
      </xdr:blipFill>
      <xdr:spPr>
        <a:xfrm>
          <a:off x="7264400" y="3458203650"/>
          <a:ext cx="878840" cy="1183640"/>
        </a:xfrm>
        <a:prstGeom prst="rect">
          <a:avLst/>
        </a:prstGeom>
      </xdr:spPr>
    </xdr:pic>
    <xdr:clientData/>
  </xdr:twoCellAnchor>
  <xdr:twoCellAnchor>
    <xdr:from>
      <xdr:col>8</xdr:col>
      <xdr:colOff>6350</xdr:colOff>
      <xdr:row>3489</xdr:row>
      <xdr:rowOff>25400</xdr:rowOff>
    </xdr:from>
    <xdr:to>
      <xdr:col>8</xdr:col>
      <xdr:colOff>885190</xdr:colOff>
      <xdr:row>3489</xdr:row>
      <xdr:rowOff>1209040</xdr:rowOff>
    </xdr:to>
    <xdr:pic>
      <xdr:nvPicPr>
        <xdr:cNvPr id="6941" name="Изображение 6940" descr="resizeПП-00279915"/>
        <xdr:cNvPicPr>
          <a:picLocks noChangeAspect="1"/>
        </xdr:cNvPicPr>
      </xdr:nvPicPr>
      <xdr:blipFill>
        <a:blip xmlns:r="http://schemas.openxmlformats.org/officeDocument/2006/relationships" r:embed="rId2646"/>
        <a:stretch>
          <a:fillRect/>
        </a:stretch>
      </xdr:blipFill>
      <xdr:spPr>
        <a:xfrm>
          <a:off x="7264400" y="3459426025"/>
          <a:ext cx="878840" cy="1183640"/>
        </a:xfrm>
        <a:prstGeom prst="rect">
          <a:avLst/>
        </a:prstGeom>
      </xdr:spPr>
    </xdr:pic>
    <xdr:clientData/>
  </xdr:twoCellAnchor>
  <xdr:twoCellAnchor>
    <xdr:from>
      <xdr:col>8</xdr:col>
      <xdr:colOff>6350</xdr:colOff>
      <xdr:row>3491</xdr:row>
      <xdr:rowOff>25400</xdr:rowOff>
    </xdr:from>
    <xdr:to>
      <xdr:col>8</xdr:col>
      <xdr:colOff>885190</xdr:colOff>
      <xdr:row>3491</xdr:row>
      <xdr:rowOff>1209040</xdr:rowOff>
    </xdr:to>
    <xdr:pic>
      <xdr:nvPicPr>
        <xdr:cNvPr id="6942" name="Изображение 6941" descr="resizeПП-00266906"/>
        <xdr:cNvPicPr>
          <a:picLocks noChangeAspect="1"/>
        </xdr:cNvPicPr>
      </xdr:nvPicPr>
      <xdr:blipFill>
        <a:blip xmlns:r="http://schemas.openxmlformats.org/officeDocument/2006/relationships" r:embed="rId2647"/>
        <a:stretch>
          <a:fillRect/>
        </a:stretch>
      </xdr:blipFill>
      <xdr:spPr>
        <a:xfrm>
          <a:off x="7264400" y="3460800800"/>
          <a:ext cx="878840" cy="1183640"/>
        </a:xfrm>
        <a:prstGeom prst="rect">
          <a:avLst/>
        </a:prstGeom>
      </xdr:spPr>
    </xdr:pic>
    <xdr:clientData/>
  </xdr:twoCellAnchor>
  <xdr:twoCellAnchor>
    <xdr:from>
      <xdr:col>8</xdr:col>
      <xdr:colOff>6350</xdr:colOff>
      <xdr:row>3492</xdr:row>
      <xdr:rowOff>25400</xdr:rowOff>
    </xdr:from>
    <xdr:to>
      <xdr:col>8</xdr:col>
      <xdr:colOff>885190</xdr:colOff>
      <xdr:row>3492</xdr:row>
      <xdr:rowOff>1209040</xdr:rowOff>
    </xdr:to>
    <xdr:pic>
      <xdr:nvPicPr>
        <xdr:cNvPr id="6943" name="Изображение 6942" descr="resizeПП-00266904"/>
        <xdr:cNvPicPr>
          <a:picLocks noChangeAspect="1"/>
        </xdr:cNvPicPr>
      </xdr:nvPicPr>
      <xdr:blipFill>
        <a:blip xmlns:r="http://schemas.openxmlformats.org/officeDocument/2006/relationships" r:embed="rId2648"/>
        <a:stretch>
          <a:fillRect/>
        </a:stretch>
      </xdr:blipFill>
      <xdr:spPr>
        <a:xfrm>
          <a:off x="7264400" y="3462023175"/>
          <a:ext cx="878840" cy="1183640"/>
        </a:xfrm>
        <a:prstGeom prst="rect">
          <a:avLst/>
        </a:prstGeom>
      </xdr:spPr>
    </xdr:pic>
    <xdr:clientData/>
  </xdr:twoCellAnchor>
  <xdr:twoCellAnchor>
    <xdr:from>
      <xdr:col>8</xdr:col>
      <xdr:colOff>6350</xdr:colOff>
      <xdr:row>3493</xdr:row>
      <xdr:rowOff>25400</xdr:rowOff>
    </xdr:from>
    <xdr:to>
      <xdr:col>8</xdr:col>
      <xdr:colOff>885190</xdr:colOff>
      <xdr:row>3493</xdr:row>
      <xdr:rowOff>1209040</xdr:rowOff>
    </xdr:to>
    <xdr:pic>
      <xdr:nvPicPr>
        <xdr:cNvPr id="6944" name="Изображение 6943" descr="resizeПП-00244497"/>
        <xdr:cNvPicPr>
          <a:picLocks noChangeAspect="1"/>
        </xdr:cNvPicPr>
      </xdr:nvPicPr>
      <xdr:blipFill>
        <a:blip xmlns:r="http://schemas.openxmlformats.org/officeDocument/2006/relationships" r:embed="rId2649"/>
        <a:stretch>
          <a:fillRect/>
        </a:stretch>
      </xdr:blipFill>
      <xdr:spPr>
        <a:xfrm>
          <a:off x="7264400" y="3463245550"/>
          <a:ext cx="878840" cy="1183640"/>
        </a:xfrm>
        <a:prstGeom prst="rect">
          <a:avLst/>
        </a:prstGeom>
      </xdr:spPr>
    </xdr:pic>
    <xdr:clientData/>
  </xdr:twoCellAnchor>
  <xdr:twoCellAnchor>
    <xdr:from>
      <xdr:col>8</xdr:col>
      <xdr:colOff>6350</xdr:colOff>
      <xdr:row>3494</xdr:row>
      <xdr:rowOff>25400</xdr:rowOff>
    </xdr:from>
    <xdr:to>
      <xdr:col>8</xdr:col>
      <xdr:colOff>885190</xdr:colOff>
      <xdr:row>3494</xdr:row>
      <xdr:rowOff>1209040</xdr:rowOff>
    </xdr:to>
    <xdr:pic>
      <xdr:nvPicPr>
        <xdr:cNvPr id="6945" name="Изображение 6944" descr="resizeПП-00244506"/>
        <xdr:cNvPicPr>
          <a:picLocks noChangeAspect="1"/>
        </xdr:cNvPicPr>
      </xdr:nvPicPr>
      <xdr:blipFill>
        <a:blip xmlns:r="http://schemas.openxmlformats.org/officeDocument/2006/relationships" r:embed="rId2650"/>
        <a:stretch>
          <a:fillRect/>
        </a:stretch>
      </xdr:blipFill>
      <xdr:spPr>
        <a:xfrm>
          <a:off x="7264400" y="3464467925"/>
          <a:ext cx="878840" cy="1183640"/>
        </a:xfrm>
        <a:prstGeom prst="rect">
          <a:avLst/>
        </a:prstGeom>
      </xdr:spPr>
    </xdr:pic>
    <xdr:clientData/>
  </xdr:twoCellAnchor>
  <xdr:twoCellAnchor>
    <xdr:from>
      <xdr:col>8</xdr:col>
      <xdr:colOff>6350</xdr:colOff>
      <xdr:row>3495</xdr:row>
      <xdr:rowOff>25400</xdr:rowOff>
    </xdr:from>
    <xdr:to>
      <xdr:col>8</xdr:col>
      <xdr:colOff>885190</xdr:colOff>
      <xdr:row>3495</xdr:row>
      <xdr:rowOff>1209040</xdr:rowOff>
    </xdr:to>
    <xdr:pic>
      <xdr:nvPicPr>
        <xdr:cNvPr id="6946" name="Изображение 6945" descr="resizeПП-00244499"/>
        <xdr:cNvPicPr>
          <a:picLocks noChangeAspect="1"/>
        </xdr:cNvPicPr>
      </xdr:nvPicPr>
      <xdr:blipFill>
        <a:blip xmlns:r="http://schemas.openxmlformats.org/officeDocument/2006/relationships" r:embed="rId2651"/>
        <a:stretch>
          <a:fillRect/>
        </a:stretch>
      </xdr:blipFill>
      <xdr:spPr>
        <a:xfrm>
          <a:off x="7264400" y="3465690300"/>
          <a:ext cx="878840" cy="1183640"/>
        </a:xfrm>
        <a:prstGeom prst="rect">
          <a:avLst/>
        </a:prstGeom>
      </xdr:spPr>
    </xdr:pic>
    <xdr:clientData/>
  </xdr:twoCellAnchor>
  <xdr:twoCellAnchor>
    <xdr:from>
      <xdr:col>8</xdr:col>
      <xdr:colOff>6350</xdr:colOff>
      <xdr:row>3496</xdr:row>
      <xdr:rowOff>25400</xdr:rowOff>
    </xdr:from>
    <xdr:to>
      <xdr:col>8</xdr:col>
      <xdr:colOff>885190</xdr:colOff>
      <xdr:row>3496</xdr:row>
      <xdr:rowOff>1209040</xdr:rowOff>
    </xdr:to>
    <xdr:pic>
      <xdr:nvPicPr>
        <xdr:cNvPr id="6947" name="Изображение 6946" descr="resizeПП-00244484"/>
        <xdr:cNvPicPr>
          <a:picLocks noChangeAspect="1"/>
        </xdr:cNvPicPr>
      </xdr:nvPicPr>
      <xdr:blipFill>
        <a:blip xmlns:r="http://schemas.openxmlformats.org/officeDocument/2006/relationships" r:embed="rId2652"/>
        <a:stretch>
          <a:fillRect/>
        </a:stretch>
      </xdr:blipFill>
      <xdr:spPr>
        <a:xfrm>
          <a:off x="7264400" y="3466912675"/>
          <a:ext cx="878840" cy="1183640"/>
        </a:xfrm>
        <a:prstGeom prst="rect">
          <a:avLst/>
        </a:prstGeom>
      </xdr:spPr>
    </xdr:pic>
    <xdr:clientData/>
  </xdr:twoCellAnchor>
  <xdr:twoCellAnchor>
    <xdr:from>
      <xdr:col>8</xdr:col>
      <xdr:colOff>6350</xdr:colOff>
      <xdr:row>3497</xdr:row>
      <xdr:rowOff>25400</xdr:rowOff>
    </xdr:from>
    <xdr:to>
      <xdr:col>8</xdr:col>
      <xdr:colOff>885190</xdr:colOff>
      <xdr:row>3497</xdr:row>
      <xdr:rowOff>1209040</xdr:rowOff>
    </xdr:to>
    <xdr:pic>
      <xdr:nvPicPr>
        <xdr:cNvPr id="6948" name="Изображение 6947" descr="resizeПП-00244505"/>
        <xdr:cNvPicPr>
          <a:picLocks noChangeAspect="1"/>
        </xdr:cNvPicPr>
      </xdr:nvPicPr>
      <xdr:blipFill>
        <a:blip xmlns:r="http://schemas.openxmlformats.org/officeDocument/2006/relationships" r:embed="rId2653"/>
        <a:stretch>
          <a:fillRect/>
        </a:stretch>
      </xdr:blipFill>
      <xdr:spPr>
        <a:xfrm>
          <a:off x="7264400" y="3468135050"/>
          <a:ext cx="878840" cy="1183640"/>
        </a:xfrm>
        <a:prstGeom prst="rect">
          <a:avLst/>
        </a:prstGeom>
      </xdr:spPr>
    </xdr:pic>
    <xdr:clientData/>
  </xdr:twoCellAnchor>
  <xdr:twoCellAnchor>
    <xdr:from>
      <xdr:col>8</xdr:col>
      <xdr:colOff>6350</xdr:colOff>
      <xdr:row>3498</xdr:row>
      <xdr:rowOff>25400</xdr:rowOff>
    </xdr:from>
    <xdr:to>
      <xdr:col>8</xdr:col>
      <xdr:colOff>885190</xdr:colOff>
      <xdr:row>3498</xdr:row>
      <xdr:rowOff>1209040</xdr:rowOff>
    </xdr:to>
    <xdr:pic>
      <xdr:nvPicPr>
        <xdr:cNvPr id="6949" name="Изображение 6948" descr="resizeПП-00244490"/>
        <xdr:cNvPicPr>
          <a:picLocks noChangeAspect="1"/>
        </xdr:cNvPicPr>
      </xdr:nvPicPr>
      <xdr:blipFill>
        <a:blip xmlns:r="http://schemas.openxmlformats.org/officeDocument/2006/relationships" r:embed="rId2654"/>
        <a:stretch>
          <a:fillRect/>
        </a:stretch>
      </xdr:blipFill>
      <xdr:spPr>
        <a:xfrm>
          <a:off x="7264400" y="3469357425"/>
          <a:ext cx="878840" cy="1183640"/>
        </a:xfrm>
        <a:prstGeom prst="rect">
          <a:avLst/>
        </a:prstGeom>
      </xdr:spPr>
    </xdr:pic>
    <xdr:clientData/>
  </xdr:twoCellAnchor>
  <xdr:twoCellAnchor>
    <xdr:from>
      <xdr:col>8</xdr:col>
      <xdr:colOff>6350</xdr:colOff>
      <xdr:row>3499</xdr:row>
      <xdr:rowOff>25400</xdr:rowOff>
    </xdr:from>
    <xdr:to>
      <xdr:col>8</xdr:col>
      <xdr:colOff>885190</xdr:colOff>
      <xdr:row>3499</xdr:row>
      <xdr:rowOff>1209040</xdr:rowOff>
    </xdr:to>
    <xdr:pic>
      <xdr:nvPicPr>
        <xdr:cNvPr id="6950" name="Изображение 6949" descr="resizeПП-00244502"/>
        <xdr:cNvPicPr>
          <a:picLocks noChangeAspect="1"/>
        </xdr:cNvPicPr>
      </xdr:nvPicPr>
      <xdr:blipFill>
        <a:blip xmlns:r="http://schemas.openxmlformats.org/officeDocument/2006/relationships" r:embed="rId2655"/>
        <a:stretch>
          <a:fillRect/>
        </a:stretch>
      </xdr:blipFill>
      <xdr:spPr>
        <a:xfrm>
          <a:off x="7264400" y="3470579800"/>
          <a:ext cx="878840" cy="1183640"/>
        </a:xfrm>
        <a:prstGeom prst="rect">
          <a:avLst/>
        </a:prstGeom>
      </xdr:spPr>
    </xdr:pic>
    <xdr:clientData/>
  </xdr:twoCellAnchor>
  <xdr:twoCellAnchor>
    <xdr:from>
      <xdr:col>8</xdr:col>
      <xdr:colOff>6350</xdr:colOff>
      <xdr:row>3500</xdr:row>
      <xdr:rowOff>25400</xdr:rowOff>
    </xdr:from>
    <xdr:to>
      <xdr:col>8</xdr:col>
      <xdr:colOff>885190</xdr:colOff>
      <xdr:row>3500</xdr:row>
      <xdr:rowOff>1209040</xdr:rowOff>
    </xdr:to>
    <xdr:pic>
      <xdr:nvPicPr>
        <xdr:cNvPr id="6951" name="Изображение 6950" descr="resizeПП-00244485"/>
        <xdr:cNvPicPr>
          <a:picLocks noChangeAspect="1"/>
        </xdr:cNvPicPr>
      </xdr:nvPicPr>
      <xdr:blipFill>
        <a:blip xmlns:r="http://schemas.openxmlformats.org/officeDocument/2006/relationships" r:embed="rId2656"/>
        <a:stretch>
          <a:fillRect/>
        </a:stretch>
      </xdr:blipFill>
      <xdr:spPr>
        <a:xfrm>
          <a:off x="7264400" y="3471802175"/>
          <a:ext cx="878840" cy="1183640"/>
        </a:xfrm>
        <a:prstGeom prst="rect">
          <a:avLst/>
        </a:prstGeom>
      </xdr:spPr>
    </xdr:pic>
    <xdr:clientData/>
  </xdr:twoCellAnchor>
  <xdr:twoCellAnchor>
    <xdr:from>
      <xdr:col>8</xdr:col>
      <xdr:colOff>6350</xdr:colOff>
      <xdr:row>3501</xdr:row>
      <xdr:rowOff>25400</xdr:rowOff>
    </xdr:from>
    <xdr:to>
      <xdr:col>8</xdr:col>
      <xdr:colOff>885190</xdr:colOff>
      <xdr:row>3501</xdr:row>
      <xdr:rowOff>1209040</xdr:rowOff>
    </xdr:to>
    <xdr:pic>
      <xdr:nvPicPr>
        <xdr:cNvPr id="6952" name="Изображение 6951" descr="resizeПП-00244492"/>
        <xdr:cNvPicPr>
          <a:picLocks noChangeAspect="1"/>
        </xdr:cNvPicPr>
      </xdr:nvPicPr>
      <xdr:blipFill>
        <a:blip xmlns:r="http://schemas.openxmlformats.org/officeDocument/2006/relationships" r:embed="rId2657"/>
        <a:stretch>
          <a:fillRect/>
        </a:stretch>
      </xdr:blipFill>
      <xdr:spPr>
        <a:xfrm>
          <a:off x="7264400" y="3473024550"/>
          <a:ext cx="878840" cy="1183640"/>
        </a:xfrm>
        <a:prstGeom prst="rect">
          <a:avLst/>
        </a:prstGeom>
      </xdr:spPr>
    </xdr:pic>
    <xdr:clientData/>
  </xdr:twoCellAnchor>
  <xdr:twoCellAnchor>
    <xdr:from>
      <xdr:col>8</xdr:col>
      <xdr:colOff>6350</xdr:colOff>
      <xdr:row>3502</xdr:row>
      <xdr:rowOff>25400</xdr:rowOff>
    </xdr:from>
    <xdr:to>
      <xdr:col>8</xdr:col>
      <xdr:colOff>885190</xdr:colOff>
      <xdr:row>3502</xdr:row>
      <xdr:rowOff>1209040</xdr:rowOff>
    </xdr:to>
    <xdr:pic>
      <xdr:nvPicPr>
        <xdr:cNvPr id="6953" name="Изображение 6952" descr="resizeПП-00207952"/>
        <xdr:cNvPicPr>
          <a:picLocks noChangeAspect="1"/>
        </xdr:cNvPicPr>
      </xdr:nvPicPr>
      <xdr:blipFill>
        <a:blip xmlns:r="http://schemas.openxmlformats.org/officeDocument/2006/relationships" r:embed="rId2658"/>
        <a:stretch>
          <a:fillRect/>
        </a:stretch>
      </xdr:blipFill>
      <xdr:spPr>
        <a:xfrm>
          <a:off x="7264400" y="3474246925"/>
          <a:ext cx="878840" cy="1183640"/>
        </a:xfrm>
        <a:prstGeom prst="rect">
          <a:avLst/>
        </a:prstGeom>
      </xdr:spPr>
    </xdr:pic>
    <xdr:clientData/>
  </xdr:twoCellAnchor>
  <xdr:twoCellAnchor>
    <xdr:from>
      <xdr:col>8</xdr:col>
      <xdr:colOff>6350</xdr:colOff>
      <xdr:row>3503</xdr:row>
      <xdr:rowOff>25400</xdr:rowOff>
    </xdr:from>
    <xdr:to>
      <xdr:col>8</xdr:col>
      <xdr:colOff>885190</xdr:colOff>
      <xdr:row>3503</xdr:row>
      <xdr:rowOff>1209040</xdr:rowOff>
    </xdr:to>
    <xdr:pic>
      <xdr:nvPicPr>
        <xdr:cNvPr id="6954" name="Изображение 6953" descr="resizeПП-00225699"/>
        <xdr:cNvPicPr>
          <a:picLocks noChangeAspect="1"/>
        </xdr:cNvPicPr>
      </xdr:nvPicPr>
      <xdr:blipFill>
        <a:blip xmlns:r="http://schemas.openxmlformats.org/officeDocument/2006/relationships" r:embed="rId2659"/>
        <a:stretch>
          <a:fillRect/>
        </a:stretch>
      </xdr:blipFill>
      <xdr:spPr>
        <a:xfrm>
          <a:off x="7264400" y="3475469300"/>
          <a:ext cx="878840" cy="1183640"/>
        </a:xfrm>
        <a:prstGeom prst="rect">
          <a:avLst/>
        </a:prstGeom>
      </xdr:spPr>
    </xdr:pic>
    <xdr:clientData/>
  </xdr:twoCellAnchor>
  <xdr:twoCellAnchor>
    <xdr:from>
      <xdr:col>8</xdr:col>
      <xdr:colOff>6350</xdr:colOff>
      <xdr:row>3504</xdr:row>
      <xdr:rowOff>25400</xdr:rowOff>
    </xdr:from>
    <xdr:to>
      <xdr:col>8</xdr:col>
      <xdr:colOff>885190</xdr:colOff>
      <xdr:row>3504</xdr:row>
      <xdr:rowOff>1209040</xdr:rowOff>
    </xdr:to>
    <xdr:pic>
      <xdr:nvPicPr>
        <xdr:cNvPr id="6955" name="Изображение 6954" descr="resizeПП-00225693"/>
        <xdr:cNvPicPr>
          <a:picLocks noChangeAspect="1"/>
        </xdr:cNvPicPr>
      </xdr:nvPicPr>
      <xdr:blipFill>
        <a:blip xmlns:r="http://schemas.openxmlformats.org/officeDocument/2006/relationships" r:embed="rId2660"/>
        <a:stretch>
          <a:fillRect/>
        </a:stretch>
      </xdr:blipFill>
      <xdr:spPr>
        <a:xfrm>
          <a:off x="7264400" y="3476691675"/>
          <a:ext cx="878840" cy="1183640"/>
        </a:xfrm>
        <a:prstGeom prst="rect">
          <a:avLst/>
        </a:prstGeom>
      </xdr:spPr>
    </xdr:pic>
    <xdr:clientData/>
  </xdr:twoCellAnchor>
  <xdr:twoCellAnchor>
    <xdr:from>
      <xdr:col>8</xdr:col>
      <xdr:colOff>6350</xdr:colOff>
      <xdr:row>3505</xdr:row>
      <xdr:rowOff>25400</xdr:rowOff>
    </xdr:from>
    <xdr:to>
      <xdr:col>8</xdr:col>
      <xdr:colOff>885190</xdr:colOff>
      <xdr:row>3505</xdr:row>
      <xdr:rowOff>1209040</xdr:rowOff>
    </xdr:to>
    <xdr:pic>
      <xdr:nvPicPr>
        <xdr:cNvPr id="6956" name="Изображение 6955" descr="resizeПП-00225692"/>
        <xdr:cNvPicPr>
          <a:picLocks noChangeAspect="1"/>
        </xdr:cNvPicPr>
      </xdr:nvPicPr>
      <xdr:blipFill>
        <a:blip xmlns:r="http://schemas.openxmlformats.org/officeDocument/2006/relationships" r:embed="rId2661"/>
        <a:stretch>
          <a:fillRect/>
        </a:stretch>
      </xdr:blipFill>
      <xdr:spPr>
        <a:xfrm>
          <a:off x="7264400" y="3477914050"/>
          <a:ext cx="878840" cy="1183640"/>
        </a:xfrm>
        <a:prstGeom prst="rect">
          <a:avLst/>
        </a:prstGeom>
      </xdr:spPr>
    </xdr:pic>
    <xdr:clientData/>
  </xdr:twoCellAnchor>
  <xdr:twoCellAnchor>
    <xdr:from>
      <xdr:col>8</xdr:col>
      <xdr:colOff>6350</xdr:colOff>
      <xdr:row>3506</xdr:row>
      <xdr:rowOff>25400</xdr:rowOff>
    </xdr:from>
    <xdr:to>
      <xdr:col>8</xdr:col>
      <xdr:colOff>885190</xdr:colOff>
      <xdr:row>3506</xdr:row>
      <xdr:rowOff>1209040</xdr:rowOff>
    </xdr:to>
    <xdr:pic>
      <xdr:nvPicPr>
        <xdr:cNvPr id="6957" name="Изображение 6956" descr="resizeПП-00225691"/>
        <xdr:cNvPicPr>
          <a:picLocks noChangeAspect="1"/>
        </xdr:cNvPicPr>
      </xdr:nvPicPr>
      <xdr:blipFill>
        <a:blip xmlns:r="http://schemas.openxmlformats.org/officeDocument/2006/relationships" r:embed="rId2662"/>
        <a:stretch>
          <a:fillRect/>
        </a:stretch>
      </xdr:blipFill>
      <xdr:spPr>
        <a:xfrm>
          <a:off x="7264400" y="3479136425"/>
          <a:ext cx="878840" cy="1183640"/>
        </a:xfrm>
        <a:prstGeom prst="rect">
          <a:avLst/>
        </a:prstGeom>
      </xdr:spPr>
    </xdr:pic>
    <xdr:clientData/>
  </xdr:twoCellAnchor>
  <xdr:twoCellAnchor>
    <xdr:from>
      <xdr:col>8</xdr:col>
      <xdr:colOff>6350</xdr:colOff>
      <xdr:row>3507</xdr:row>
      <xdr:rowOff>25400</xdr:rowOff>
    </xdr:from>
    <xdr:to>
      <xdr:col>8</xdr:col>
      <xdr:colOff>885190</xdr:colOff>
      <xdr:row>3507</xdr:row>
      <xdr:rowOff>1209040</xdr:rowOff>
    </xdr:to>
    <xdr:pic>
      <xdr:nvPicPr>
        <xdr:cNvPr id="6958" name="Изображение 6957" descr="resizeПП-00219326"/>
        <xdr:cNvPicPr>
          <a:picLocks noChangeAspect="1"/>
        </xdr:cNvPicPr>
      </xdr:nvPicPr>
      <xdr:blipFill>
        <a:blip xmlns:r="http://schemas.openxmlformats.org/officeDocument/2006/relationships" r:embed="rId2663"/>
        <a:stretch>
          <a:fillRect/>
        </a:stretch>
      </xdr:blipFill>
      <xdr:spPr>
        <a:xfrm>
          <a:off x="7264400" y="3480358800"/>
          <a:ext cx="878840" cy="1183640"/>
        </a:xfrm>
        <a:prstGeom prst="rect">
          <a:avLst/>
        </a:prstGeom>
      </xdr:spPr>
    </xdr:pic>
    <xdr:clientData/>
  </xdr:twoCellAnchor>
  <xdr:twoCellAnchor>
    <xdr:from>
      <xdr:col>8</xdr:col>
      <xdr:colOff>6350</xdr:colOff>
      <xdr:row>3508</xdr:row>
      <xdr:rowOff>25400</xdr:rowOff>
    </xdr:from>
    <xdr:to>
      <xdr:col>8</xdr:col>
      <xdr:colOff>885190</xdr:colOff>
      <xdr:row>3508</xdr:row>
      <xdr:rowOff>1209040</xdr:rowOff>
    </xdr:to>
    <xdr:pic>
      <xdr:nvPicPr>
        <xdr:cNvPr id="6959" name="Изображение 6958" descr="resizeПП-00207942"/>
        <xdr:cNvPicPr>
          <a:picLocks noChangeAspect="1"/>
        </xdr:cNvPicPr>
      </xdr:nvPicPr>
      <xdr:blipFill>
        <a:blip xmlns:r="http://schemas.openxmlformats.org/officeDocument/2006/relationships" r:embed="rId2664"/>
        <a:stretch>
          <a:fillRect/>
        </a:stretch>
      </xdr:blipFill>
      <xdr:spPr>
        <a:xfrm>
          <a:off x="7264400" y="3481581175"/>
          <a:ext cx="878840" cy="1183640"/>
        </a:xfrm>
        <a:prstGeom prst="rect">
          <a:avLst/>
        </a:prstGeom>
      </xdr:spPr>
    </xdr:pic>
    <xdr:clientData/>
  </xdr:twoCellAnchor>
  <xdr:twoCellAnchor>
    <xdr:from>
      <xdr:col>8</xdr:col>
      <xdr:colOff>6350</xdr:colOff>
      <xdr:row>3509</xdr:row>
      <xdr:rowOff>25400</xdr:rowOff>
    </xdr:from>
    <xdr:to>
      <xdr:col>8</xdr:col>
      <xdr:colOff>885190</xdr:colOff>
      <xdr:row>3509</xdr:row>
      <xdr:rowOff>1209040</xdr:rowOff>
    </xdr:to>
    <xdr:pic>
      <xdr:nvPicPr>
        <xdr:cNvPr id="6960" name="Изображение 6959" descr="resizeПП-00267358"/>
        <xdr:cNvPicPr>
          <a:picLocks noChangeAspect="1"/>
        </xdr:cNvPicPr>
      </xdr:nvPicPr>
      <xdr:blipFill>
        <a:blip xmlns:r="http://schemas.openxmlformats.org/officeDocument/2006/relationships" r:embed="rId2665"/>
        <a:stretch>
          <a:fillRect/>
        </a:stretch>
      </xdr:blipFill>
      <xdr:spPr>
        <a:xfrm>
          <a:off x="7264400" y="3482803550"/>
          <a:ext cx="878840" cy="1183640"/>
        </a:xfrm>
        <a:prstGeom prst="rect">
          <a:avLst/>
        </a:prstGeom>
      </xdr:spPr>
    </xdr:pic>
    <xdr:clientData/>
  </xdr:twoCellAnchor>
  <xdr:twoCellAnchor>
    <xdr:from>
      <xdr:col>8</xdr:col>
      <xdr:colOff>6350</xdr:colOff>
      <xdr:row>3510</xdr:row>
      <xdr:rowOff>25400</xdr:rowOff>
    </xdr:from>
    <xdr:to>
      <xdr:col>8</xdr:col>
      <xdr:colOff>885190</xdr:colOff>
      <xdr:row>3510</xdr:row>
      <xdr:rowOff>1209040</xdr:rowOff>
    </xdr:to>
    <xdr:pic>
      <xdr:nvPicPr>
        <xdr:cNvPr id="6961" name="Изображение 6960" descr="resizeПП-00219323"/>
        <xdr:cNvPicPr>
          <a:picLocks noChangeAspect="1"/>
        </xdr:cNvPicPr>
      </xdr:nvPicPr>
      <xdr:blipFill>
        <a:blip xmlns:r="http://schemas.openxmlformats.org/officeDocument/2006/relationships" r:embed="rId2666"/>
        <a:stretch>
          <a:fillRect/>
        </a:stretch>
      </xdr:blipFill>
      <xdr:spPr>
        <a:xfrm>
          <a:off x="7264400" y="3484025925"/>
          <a:ext cx="878840" cy="1183640"/>
        </a:xfrm>
        <a:prstGeom prst="rect">
          <a:avLst/>
        </a:prstGeom>
      </xdr:spPr>
    </xdr:pic>
    <xdr:clientData/>
  </xdr:twoCellAnchor>
  <xdr:twoCellAnchor>
    <xdr:from>
      <xdr:col>8</xdr:col>
      <xdr:colOff>6350</xdr:colOff>
      <xdr:row>3511</xdr:row>
      <xdr:rowOff>25400</xdr:rowOff>
    </xdr:from>
    <xdr:to>
      <xdr:col>8</xdr:col>
      <xdr:colOff>885190</xdr:colOff>
      <xdr:row>3511</xdr:row>
      <xdr:rowOff>1209040</xdr:rowOff>
    </xdr:to>
    <xdr:pic>
      <xdr:nvPicPr>
        <xdr:cNvPr id="6962" name="Изображение 6961" descr="resizeПП-00219327"/>
        <xdr:cNvPicPr>
          <a:picLocks noChangeAspect="1"/>
        </xdr:cNvPicPr>
      </xdr:nvPicPr>
      <xdr:blipFill>
        <a:blip xmlns:r="http://schemas.openxmlformats.org/officeDocument/2006/relationships" r:embed="rId2667"/>
        <a:stretch>
          <a:fillRect/>
        </a:stretch>
      </xdr:blipFill>
      <xdr:spPr>
        <a:xfrm>
          <a:off x="7264400" y="3485248300"/>
          <a:ext cx="878840" cy="1183640"/>
        </a:xfrm>
        <a:prstGeom prst="rect">
          <a:avLst/>
        </a:prstGeom>
      </xdr:spPr>
    </xdr:pic>
    <xdr:clientData/>
  </xdr:twoCellAnchor>
  <xdr:twoCellAnchor>
    <xdr:from>
      <xdr:col>8</xdr:col>
      <xdr:colOff>6350</xdr:colOff>
      <xdr:row>3512</xdr:row>
      <xdr:rowOff>25400</xdr:rowOff>
    </xdr:from>
    <xdr:to>
      <xdr:col>8</xdr:col>
      <xdr:colOff>885190</xdr:colOff>
      <xdr:row>3512</xdr:row>
      <xdr:rowOff>1209040</xdr:rowOff>
    </xdr:to>
    <xdr:pic>
      <xdr:nvPicPr>
        <xdr:cNvPr id="6963" name="Изображение 6962" descr="resizeПП-00219331"/>
        <xdr:cNvPicPr>
          <a:picLocks noChangeAspect="1"/>
        </xdr:cNvPicPr>
      </xdr:nvPicPr>
      <xdr:blipFill>
        <a:blip xmlns:r="http://schemas.openxmlformats.org/officeDocument/2006/relationships" r:embed="rId2668"/>
        <a:stretch>
          <a:fillRect/>
        </a:stretch>
      </xdr:blipFill>
      <xdr:spPr>
        <a:xfrm>
          <a:off x="7264400" y="3486470675"/>
          <a:ext cx="878840" cy="1183640"/>
        </a:xfrm>
        <a:prstGeom prst="rect">
          <a:avLst/>
        </a:prstGeom>
      </xdr:spPr>
    </xdr:pic>
    <xdr:clientData/>
  </xdr:twoCellAnchor>
  <xdr:twoCellAnchor>
    <xdr:from>
      <xdr:col>8</xdr:col>
      <xdr:colOff>6350</xdr:colOff>
      <xdr:row>3513</xdr:row>
      <xdr:rowOff>25400</xdr:rowOff>
    </xdr:from>
    <xdr:to>
      <xdr:col>8</xdr:col>
      <xdr:colOff>885190</xdr:colOff>
      <xdr:row>3513</xdr:row>
      <xdr:rowOff>1209040</xdr:rowOff>
    </xdr:to>
    <xdr:pic>
      <xdr:nvPicPr>
        <xdr:cNvPr id="6964" name="Изображение 6963" descr="resizeПП-00219328"/>
        <xdr:cNvPicPr>
          <a:picLocks noChangeAspect="1"/>
        </xdr:cNvPicPr>
      </xdr:nvPicPr>
      <xdr:blipFill>
        <a:blip xmlns:r="http://schemas.openxmlformats.org/officeDocument/2006/relationships" r:embed="rId2669"/>
        <a:stretch>
          <a:fillRect/>
        </a:stretch>
      </xdr:blipFill>
      <xdr:spPr>
        <a:xfrm>
          <a:off x="7264400" y="3487693050"/>
          <a:ext cx="878840" cy="1183640"/>
        </a:xfrm>
        <a:prstGeom prst="rect">
          <a:avLst/>
        </a:prstGeom>
      </xdr:spPr>
    </xdr:pic>
    <xdr:clientData/>
  </xdr:twoCellAnchor>
  <xdr:twoCellAnchor>
    <xdr:from>
      <xdr:col>8</xdr:col>
      <xdr:colOff>6350</xdr:colOff>
      <xdr:row>3514</xdr:row>
      <xdr:rowOff>25400</xdr:rowOff>
    </xdr:from>
    <xdr:to>
      <xdr:col>8</xdr:col>
      <xdr:colOff>885190</xdr:colOff>
      <xdr:row>3514</xdr:row>
      <xdr:rowOff>1209040</xdr:rowOff>
    </xdr:to>
    <xdr:pic>
      <xdr:nvPicPr>
        <xdr:cNvPr id="6965" name="Изображение 6964" descr="resizeПП-00219319"/>
        <xdr:cNvPicPr>
          <a:picLocks noChangeAspect="1"/>
        </xdr:cNvPicPr>
      </xdr:nvPicPr>
      <xdr:blipFill>
        <a:blip xmlns:r="http://schemas.openxmlformats.org/officeDocument/2006/relationships" r:embed="rId2670"/>
        <a:stretch>
          <a:fillRect/>
        </a:stretch>
      </xdr:blipFill>
      <xdr:spPr>
        <a:xfrm>
          <a:off x="7264400" y="3488915425"/>
          <a:ext cx="878840" cy="1183640"/>
        </a:xfrm>
        <a:prstGeom prst="rect">
          <a:avLst/>
        </a:prstGeom>
      </xdr:spPr>
    </xdr:pic>
    <xdr:clientData/>
  </xdr:twoCellAnchor>
  <xdr:twoCellAnchor>
    <xdr:from>
      <xdr:col>8</xdr:col>
      <xdr:colOff>6350</xdr:colOff>
      <xdr:row>3515</xdr:row>
      <xdr:rowOff>25400</xdr:rowOff>
    </xdr:from>
    <xdr:to>
      <xdr:col>8</xdr:col>
      <xdr:colOff>885190</xdr:colOff>
      <xdr:row>3515</xdr:row>
      <xdr:rowOff>1209040</xdr:rowOff>
    </xdr:to>
    <xdr:pic>
      <xdr:nvPicPr>
        <xdr:cNvPr id="6966" name="Изображение 6965" descr="resizeПП-00219324"/>
        <xdr:cNvPicPr>
          <a:picLocks noChangeAspect="1"/>
        </xdr:cNvPicPr>
      </xdr:nvPicPr>
      <xdr:blipFill>
        <a:blip xmlns:r="http://schemas.openxmlformats.org/officeDocument/2006/relationships" r:embed="rId2671"/>
        <a:stretch>
          <a:fillRect/>
        </a:stretch>
      </xdr:blipFill>
      <xdr:spPr>
        <a:xfrm>
          <a:off x="7264400" y="3490137800"/>
          <a:ext cx="878840" cy="1183640"/>
        </a:xfrm>
        <a:prstGeom prst="rect">
          <a:avLst/>
        </a:prstGeom>
      </xdr:spPr>
    </xdr:pic>
    <xdr:clientData/>
  </xdr:twoCellAnchor>
  <xdr:twoCellAnchor>
    <xdr:from>
      <xdr:col>8</xdr:col>
      <xdr:colOff>6350</xdr:colOff>
      <xdr:row>3516</xdr:row>
      <xdr:rowOff>25400</xdr:rowOff>
    </xdr:from>
    <xdr:to>
      <xdr:col>8</xdr:col>
      <xdr:colOff>885190</xdr:colOff>
      <xdr:row>3516</xdr:row>
      <xdr:rowOff>1209040</xdr:rowOff>
    </xdr:to>
    <xdr:pic>
      <xdr:nvPicPr>
        <xdr:cNvPr id="6967" name="Изображение 6966" descr="resizeПП-00244489"/>
        <xdr:cNvPicPr>
          <a:picLocks noChangeAspect="1"/>
        </xdr:cNvPicPr>
      </xdr:nvPicPr>
      <xdr:blipFill>
        <a:blip xmlns:r="http://schemas.openxmlformats.org/officeDocument/2006/relationships" r:embed="rId2672"/>
        <a:stretch>
          <a:fillRect/>
        </a:stretch>
      </xdr:blipFill>
      <xdr:spPr>
        <a:xfrm>
          <a:off x="7264400" y="3491360175"/>
          <a:ext cx="878840" cy="1183640"/>
        </a:xfrm>
        <a:prstGeom prst="rect">
          <a:avLst/>
        </a:prstGeom>
      </xdr:spPr>
    </xdr:pic>
    <xdr:clientData/>
  </xdr:twoCellAnchor>
  <xdr:twoCellAnchor>
    <xdr:from>
      <xdr:col>8</xdr:col>
      <xdr:colOff>6350</xdr:colOff>
      <xdr:row>3517</xdr:row>
      <xdr:rowOff>25400</xdr:rowOff>
    </xdr:from>
    <xdr:to>
      <xdr:col>8</xdr:col>
      <xdr:colOff>885190</xdr:colOff>
      <xdr:row>3517</xdr:row>
      <xdr:rowOff>1209040</xdr:rowOff>
    </xdr:to>
    <xdr:pic>
      <xdr:nvPicPr>
        <xdr:cNvPr id="6968" name="Изображение 6967" descr="resizeПП-00207947"/>
        <xdr:cNvPicPr>
          <a:picLocks noChangeAspect="1"/>
        </xdr:cNvPicPr>
      </xdr:nvPicPr>
      <xdr:blipFill>
        <a:blip xmlns:r="http://schemas.openxmlformats.org/officeDocument/2006/relationships" r:embed="rId2673"/>
        <a:stretch>
          <a:fillRect/>
        </a:stretch>
      </xdr:blipFill>
      <xdr:spPr>
        <a:xfrm>
          <a:off x="7264400" y="3492582550"/>
          <a:ext cx="878840" cy="1183640"/>
        </a:xfrm>
        <a:prstGeom prst="rect">
          <a:avLst/>
        </a:prstGeom>
      </xdr:spPr>
    </xdr:pic>
    <xdr:clientData/>
  </xdr:twoCellAnchor>
  <xdr:twoCellAnchor>
    <xdr:from>
      <xdr:col>8</xdr:col>
      <xdr:colOff>6350</xdr:colOff>
      <xdr:row>3518</xdr:row>
      <xdr:rowOff>25400</xdr:rowOff>
    </xdr:from>
    <xdr:to>
      <xdr:col>8</xdr:col>
      <xdr:colOff>885190</xdr:colOff>
      <xdr:row>3518</xdr:row>
      <xdr:rowOff>1209040</xdr:rowOff>
    </xdr:to>
    <xdr:pic>
      <xdr:nvPicPr>
        <xdr:cNvPr id="6969" name="Изображение 6968" descr="resizeПП-00225704"/>
        <xdr:cNvPicPr>
          <a:picLocks noChangeAspect="1"/>
        </xdr:cNvPicPr>
      </xdr:nvPicPr>
      <xdr:blipFill>
        <a:blip xmlns:r="http://schemas.openxmlformats.org/officeDocument/2006/relationships" r:embed="rId2674"/>
        <a:stretch>
          <a:fillRect/>
        </a:stretch>
      </xdr:blipFill>
      <xdr:spPr>
        <a:xfrm>
          <a:off x="7264400" y="3493804925"/>
          <a:ext cx="878840" cy="1183640"/>
        </a:xfrm>
        <a:prstGeom prst="rect">
          <a:avLst/>
        </a:prstGeom>
      </xdr:spPr>
    </xdr:pic>
    <xdr:clientData/>
  </xdr:twoCellAnchor>
  <xdr:twoCellAnchor>
    <xdr:from>
      <xdr:col>8</xdr:col>
      <xdr:colOff>6350</xdr:colOff>
      <xdr:row>3519</xdr:row>
      <xdr:rowOff>25400</xdr:rowOff>
    </xdr:from>
    <xdr:to>
      <xdr:col>8</xdr:col>
      <xdr:colOff>885190</xdr:colOff>
      <xdr:row>3519</xdr:row>
      <xdr:rowOff>1209040</xdr:rowOff>
    </xdr:to>
    <xdr:pic>
      <xdr:nvPicPr>
        <xdr:cNvPr id="6970" name="Изображение 6969" descr="resizeПП-00207950"/>
        <xdr:cNvPicPr>
          <a:picLocks noChangeAspect="1"/>
        </xdr:cNvPicPr>
      </xdr:nvPicPr>
      <xdr:blipFill>
        <a:blip xmlns:r="http://schemas.openxmlformats.org/officeDocument/2006/relationships" r:embed="rId2675"/>
        <a:stretch>
          <a:fillRect/>
        </a:stretch>
      </xdr:blipFill>
      <xdr:spPr>
        <a:xfrm>
          <a:off x="7264400" y="3495027300"/>
          <a:ext cx="878840" cy="1183640"/>
        </a:xfrm>
        <a:prstGeom prst="rect">
          <a:avLst/>
        </a:prstGeom>
      </xdr:spPr>
    </xdr:pic>
    <xdr:clientData/>
  </xdr:twoCellAnchor>
  <xdr:twoCellAnchor>
    <xdr:from>
      <xdr:col>8</xdr:col>
      <xdr:colOff>6350</xdr:colOff>
      <xdr:row>3520</xdr:row>
      <xdr:rowOff>25400</xdr:rowOff>
    </xdr:from>
    <xdr:to>
      <xdr:col>8</xdr:col>
      <xdr:colOff>885190</xdr:colOff>
      <xdr:row>3520</xdr:row>
      <xdr:rowOff>1209040</xdr:rowOff>
    </xdr:to>
    <xdr:pic>
      <xdr:nvPicPr>
        <xdr:cNvPr id="6971" name="Изображение 6970" descr="resizeПП-00163667"/>
        <xdr:cNvPicPr>
          <a:picLocks noChangeAspect="1"/>
        </xdr:cNvPicPr>
      </xdr:nvPicPr>
      <xdr:blipFill>
        <a:blip xmlns:r="http://schemas.openxmlformats.org/officeDocument/2006/relationships" r:embed="rId2676"/>
        <a:stretch>
          <a:fillRect/>
        </a:stretch>
      </xdr:blipFill>
      <xdr:spPr>
        <a:xfrm>
          <a:off x="7264400" y="3496249675"/>
          <a:ext cx="878840" cy="1183640"/>
        </a:xfrm>
        <a:prstGeom prst="rect">
          <a:avLst/>
        </a:prstGeom>
      </xdr:spPr>
    </xdr:pic>
    <xdr:clientData/>
  </xdr:twoCellAnchor>
  <xdr:twoCellAnchor>
    <xdr:from>
      <xdr:col>8</xdr:col>
      <xdr:colOff>6350</xdr:colOff>
      <xdr:row>3521</xdr:row>
      <xdr:rowOff>25400</xdr:rowOff>
    </xdr:from>
    <xdr:to>
      <xdr:col>8</xdr:col>
      <xdr:colOff>885190</xdr:colOff>
      <xdr:row>3521</xdr:row>
      <xdr:rowOff>1209040</xdr:rowOff>
    </xdr:to>
    <xdr:pic>
      <xdr:nvPicPr>
        <xdr:cNvPr id="6972" name="Изображение 6971" descr="resizeПП-00140909"/>
        <xdr:cNvPicPr>
          <a:picLocks noChangeAspect="1"/>
        </xdr:cNvPicPr>
      </xdr:nvPicPr>
      <xdr:blipFill>
        <a:blip xmlns:r="http://schemas.openxmlformats.org/officeDocument/2006/relationships" r:embed="rId2677"/>
        <a:stretch>
          <a:fillRect/>
        </a:stretch>
      </xdr:blipFill>
      <xdr:spPr>
        <a:xfrm>
          <a:off x="7264400" y="3497472050"/>
          <a:ext cx="878840" cy="1183640"/>
        </a:xfrm>
        <a:prstGeom prst="rect">
          <a:avLst/>
        </a:prstGeom>
      </xdr:spPr>
    </xdr:pic>
    <xdr:clientData/>
  </xdr:twoCellAnchor>
  <xdr:twoCellAnchor>
    <xdr:from>
      <xdr:col>8</xdr:col>
      <xdr:colOff>6350</xdr:colOff>
      <xdr:row>3522</xdr:row>
      <xdr:rowOff>25400</xdr:rowOff>
    </xdr:from>
    <xdr:to>
      <xdr:col>8</xdr:col>
      <xdr:colOff>885190</xdr:colOff>
      <xdr:row>3522</xdr:row>
      <xdr:rowOff>1209040</xdr:rowOff>
    </xdr:to>
    <xdr:pic>
      <xdr:nvPicPr>
        <xdr:cNvPr id="6973" name="Изображение 6972" descr="resizeПП-00200297"/>
        <xdr:cNvPicPr>
          <a:picLocks noChangeAspect="1"/>
        </xdr:cNvPicPr>
      </xdr:nvPicPr>
      <xdr:blipFill>
        <a:blip xmlns:r="http://schemas.openxmlformats.org/officeDocument/2006/relationships" r:embed="rId2678"/>
        <a:stretch>
          <a:fillRect/>
        </a:stretch>
      </xdr:blipFill>
      <xdr:spPr>
        <a:xfrm>
          <a:off x="7264400" y="3498694425"/>
          <a:ext cx="878840" cy="1183640"/>
        </a:xfrm>
        <a:prstGeom prst="rect">
          <a:avLst/>
        </a:prstGeom>
      </xdr:spPr>
    </xdr:pic>
    <xdr:clientData/>
  </xdr:twoCellAnchor>
  <xdr:twoCellAnchor>
    <xdr:from>
      <xdr:col>8</xdr:col>
      <xdr:colOff>6350</xdr:colOff>
      <xdr:row>3523</xdr:row>
      <xdr:rowOff>25400</xdr:rowOff>
    </xdr:from>
    <xdr:to>
      <xdr:col>8</xdr:col>
      <xdr:colOff>885190</xdr:colOff>
      <xdr:row>3523</xdr:row>
      <xdr:rowOff>1209040</xdr:rowOff>
    </xdr:to>
    <xdr:pic>
      <xdr:nvPicPr>
        <xdr:cNvPr id="6974" name="Изображение 6973" descr="resizeПП-00140924"/>
        <xdr:cNvPicPr>
          <a:picLocks noChangeAspect="1"/>
        </xdr:cNvPicPr>
      </xdr:nvPicPr>
      <xdr:blipFill>
        <a:blip xmlns:r="http://schemas.openxmlformats.org/officeDocument/2006/relationships" r:embed="rId2679"/>
        <a:stretch>
          <a:fillRect/>
        </a:stretch>
      </xdr:blipFill>
      <xdr:spPr>
        <a:xfrm>
          <a:off x="7264400" y="3499916800"/>
          <a:ext cx="878840" cy="1183640"/>
        </a:xfrm>
        <a:prstGeom prst="rect">
          <a:avLst/>
        </a:prstGeom>
      </xdr:spPr>
    </xdr:pic>
    <xdr:clientData/>
  </xdr:twoCellAnchor>
  <xdr:twoCellAnchor>
    <xdr:from>
      <xdr:col>8</xdr:col>
      <xdr:colOff>6350</xdr:colOff>
      <xdr:row>3524</xdr:row>
      <xdr:rowOff>25400</xdr:rowOff>
    </xdr:from>
    <xdr:to>
      <xdr:col>8</xdr:col>
      <xdr:colOff>885190</xdr:colOff>
      <xdr:row>3524</xdr:row>
      <xdr:rowOff>1209040</xdr:rowOff>
    </xdr:to>
    <xdr:pic>
      <xdr:nvPicPr>
        <xdr:cNvPr id="6975" name="Изображение 6974" descr="resizeПП-00247290"/>
        <xdr:cNvPicPr>
          <a:picLocks noChangeAspect="1"/>
        </xdr:cNvPicPr>
      </xdr:nvPicPr>
      <xdr:blipFill>
        <a:blip xmlns:r="http://schemas.openxmlformats.org/officeDocument/2006/relationships" r:embed="rId2680"/>
        <a:stretch>
          <a:fillRect/>
        </a:stretch>
      </xdr:blipFill>
      <xdr:spPr>
        <a:xfrm>
          <a:off x="7264400" y="3501139175"/>
          <a:ext cx="878840" cy="1183640"/>
        </a:xfrm>
        <a:prstGeom prst="rect">
          <a:avLst/>
        </a:prstGeom>
      </xdr:spPr>
    </xdr:pic>
    <xdr:clientData/>
  </xdr:twoCellAnchor>
  <xdr:twoCellAnchor>
    <xdr:from>
      <xdr:col>8</xdr:col>
      <xdr:colOff>6350</xdr:colOff>
      <xdr:row>3525</xdr:row>
      <xdr:rowOff>25400</xdr:rowOff>
    </xdr:from>
    <xdr:to>
      <xdr:col>8</xdr:col>
      <xdr:colOff>885190</xdr:colOff>
      <xdr:row>3525</xdr:row>
      <xdr:rowOff>1209040</xdr:rowOff>
    </xdr:to>
    <xdr:pic>
      <xdr:nvPicPr>
        <xdr:cNvPr id="6976" name="Изображение 6975" descr="resizeПП-00140917"/>
        <xdr:cNvPicPr>
          <a:picLocks noChangeAspect="1"/>
        </xdr:cNvPicPr>
      </xdr:nvPicPr>
      <xdr:blipFill>
        <a:blip xmlns:r="http://schemas.openxmlformats.org/officeDocument/2006/relationships" r:embed="rId2681"/>
        <a:stretch>
          <a:fillRect/>
        </a:stretch>
      </xdr:blipFill>
      <xdr:spPr>
        <a:xfrm>
          <a:off x="7264400" y="3502361550"/>
          <a:ext cx="878840" cy="1183640"/>
        </a:xfrm>
        <a:prstGeom prst="rect">
          <a:avLst/>
        </a:prstGeom>
      </xdr:spPr>
    </xdr:pic>
    <xdr:clientData/>
  </xdr:twoCellAnchor>
  <xdr:twoCellAnchor>
    <xdr:from>
      <xdr:col>8</xdr:col>
      <xdr:colOff>6350</xdr:colOff>
      <xdr:row>3526</xdr:row>
      <xdr:rowOff>25400</xdr:rowOff>
    </xdr:from>
    <xdr:to>
      <xdr:col>8</xdr:col>
      <xdr:colOff>885190</xdr:colOff>
      <xdr:row>3526</xdr:row>
      <xdr:rowOff>1209040</xdr:rowOff>
    </xdr:to>
    <xdr:pic>
      <xdr:nvPicPr>
        <xdr:cNvPr id="6977" name="Изображение 6976" descr="resizeПП-00200305"/>
        <xdr:cNvPicPr>
          <a:picLocks noChangeAspect="1"/>
        </xdr:cNvPicPr>
      </xdr:nvPicPr>
      <xdr:blipFill>
        <a:blip xmlns:r="http://schemas.openxmlformats.org/officeDocument/2006/relationships" r:embed="rId2682"/>
        <a:stretch>
          <a:fillRect/>
        </a:stretch>
      </xdr:blipFill>
      <xdr:spPr>
        <a:xfrm>
          <a:off x="7264400" y="3503583925"/>
          <a:ext cx="878840" cy="1183640"/>
        </a:xfrm>
        <a:prstGeom prst="rect">
          <a:avLst/>
        </a:prstGeom>
      </xdr:spPr>
    </xdr:pic>
    <xdr:clientData/>
  </xdr:twoCellAnchor>
  <xdr:twoCellAnchor>
    <xdr:from>
      <xdr:col>8</xdr:col>
      <xdr:colOff>6350</xdr:colOff>
      <xdr:row>3527</xdr:row>
      <xdr:rowOff>25400</xdr:rowOff>
    </xdr:from>
    <xdr:to>
      <xdr:col>8</xdr:col>
      <xdr:colOff>885190</xdr:colOff>
      <xdr:row>3527</xdr:row>
      <xdr:rowOff>1209040</xdr:rowOff>
    </xdr:to>
    <xdr:pic>
      <xdr:nvPicPr>
        <xdr:cNvPr id="6978" name="Изображение 6977" descr="resizeПП-00200287"/>
        <xdr:cNvPicPr>
          <a:picLocks noChangeAspect="1"/>
        </xdr:cNvPicPr>
      </xdr:nvPicPr>
      <xdr:blipFill>
        <a:blip xmlns:r="http://schemas.openxmlformats.org/officeDocument/2006/relationships" r:embed="rId2683"/>
        <a:stretch>
          <a:fillRect/>
        </a:stretch>
      </xdr:blipFill>
      <xdr:spPr>
        <a:xfrm>
          <a:off x="7264400" y="3504806300"/>
          <a:ext cx="878840" cy="1183640"/>
        </a:xfrm>
        <a:prstGeom prst="rect">
          <a:avLst/>
        </a:prstGeom>
      </xdr:spPr>
    </xdr:pic>
    <xdr:clientData/>
  </xdr:twoCellAnchor>
  <xdr:twoCellAnchor>
    <xdr:from>
      <xdr:col>8</xdr:col>
      <xdr:colOff>6350</xdr:colOff>
      <xdr:row>3528</xdr:row>
      <xdr:rowOff>25400</xdr:rowOff>
    </xdr:from>
    <xdr:to>
      <xdr:col>8</xdr:col>
      <xdr:colOff>885190</xdr:colOff>
      <xdr:row>3528</xdr:row>
      <xdr:rowOff>1209040</xdr:rowOff>
    </xdr:to>
    <xdr:pic>
      <xdr:nvPicPr>
        <xdr:cNvPr id="6979" name="Изображение 6978" descr="resizeПП-00140914"/>
        <xdr:cNvPicPr>
          <a:picLocks noChangeAspect="1"/>
        </xdr:cNvPicPr>
      </xdr:nvPicPr>
      <xdr:blipFill>
        <a:blip xmlns:r="http://schemas.openxmlformats.org/officeDocument/2006/relationships" r:embed="rId2684"/>
        <a:stretch>
          <a:fillRect/>
        </a:stretch>
      </xdr:blipFill>
      <xdr:spPr>
        <a:xfrm>
          <a:off x="7264400" y="3506028675"/>
          <a:ext cx="878840" cy="1183640"/>
        </a:xfrm>
        <a:prstGeom prst="rect">
          <a:avLst/>
        </a:prstGeom>
      </xdr:spPr>
    </xdr:pic>
    <xdr:clientData/>
  </xdr:twoCellAnchor>
  <xdr:twoCellAnchor>
    <xdr:from>
      <xdr:col>8</xdr:col>
      <xdr:colOff>6350</xdr:colOff>
      <xdr:row>3529</xdr:row>
      <xdr:rowOff>25400</xdr:rowOff>
    </xdr:from>
    <xdr:to>
      <xdr:col>8</xdr:col>
      <xdr:colOff>885190</xdr:colOff>
      <xdr:row>3529</xdr:row>
      <xdr:rowOff>1209040</xdr:rowOff>
    </xdr:to>
    <xdr:pic>
      <xdr:nvPicPr>
        <xdr:cNvPr id="6980" name="Изображение 6979" descr="resizeПП-00140910"/>
        <xdr:cNvPicPr>
          <a:picLocks noChangeAspect="1"/>
        </xdr:cNvPicPr>
      </xdr:nvPicPr>
      <xdr:blipFill>
        <a:blip xmlns:r="http://schemas.openxmlformats.org/officeDocument/2006/relationships" r:embed="rId2685"/>
        <a:stretch>
          <a:fillRect/>
        </a:stretch>
      </xdr:blipFill>
      <xdr:spPr>
        <a:xfrm>
          <a:off x="7264400" y="3507251050"/>
          <a:ext cx="878840" cy="1183640"/>
        </a:xfrm>
        <a:prstGeom prst="rect">
          <a:avLst/>
        </a:prstGeom>
      </xdr:spPr>
    </xdr:pic>
    <xdr:clientData/>
  </xdr:twoCellAnchor>
  <xdr:twoCellAnchor>
    <xdr:from>
      <xdr:col>8</xdr:col>
      <xdr:colOff>6350</xdr:colOff>
      <xdr:row>3530</xdr:row>
      <xdr:rowOff>25400</xdr:rowOff>
    </xdr:from>
    <xdr:to>
      <xdr:col>8</xdr:col>
      <xdr:colOff>885190</xdr:colOff>
      <xdr:row>3530</xdr:row>
      <xdr:rowOff>1209040</xdr:rowOff>
    </xdr:to>
    <xdr:pic>
      <xdr:nvPicPr>
        <xdr:cNvPr id="6981" name="Изображение 6980" descr="resizeПП-00247292"/>
        <xdr:cNvPicPr>
          <a:picLocks noChangeAspect="1"/>
        </xdr:cNvPicPr>
      </xdr:nvPicPr>
      <xdr:blipFill>
        <a:blip xmlns:r="http://schemas.openxmlformats.org/officeDocument/2006/relationships" r:embed="rId2686"/>
        <a:stretch>
          <a:fillRect/>
        </a:stretch>
      </xdr:blipFill>
      <xdr:spPr>
        <a:xfrm>
          <a:off x="7264400" y="3508473425"/>
          <a:ext cx="878840" cy="1183640"/>
        </a:xfrm>
        <a:prstGeom prst="rect">
          <a:avLst/>
        </a:prstGeom>
      </xdr:spPr>
    </xdr:pic>
    <xdr:clientData/>
  </xdr:twoCellAnchor>
  <xdr:twoCellAnchor>
    <xdr:from>
      <xdr:col>8</xdr:col>
      <xdr:colOff>6350</xdr:colOff>
      <xdr:row>3531</xdr:row>
      <xdr:rowOff>25400</xdr:rowOff>
    </xdr:from>
    <xdr:to>
      <xdr:col>8</xdr:col>
      <xdr:colOff>885190</xdr:colOff>
      <xdr:row>3531</xdr:row>
      <xdr:rowOff>1209040</xdr:rowOff>
    </xdr:to>
    <xdr:pic>
      <xdr:nvPicPr>
        <xdr:cNvPr id="6982" name="Изображение 6981" descr="resizeПП-00247291"/>
        <xdr:cNvPicPr>
          <a:picLocks noChangeAspect="1"/>
        </xdr:cNvPicPr>
      </xdr:nvPicPr>
      <xdr:blipFill>
        <a:blip xmlns:r="http://schemas.openxmlformats.org/officeDocument/2006/relationships" r:embed="rId2687"/>
        <a:stretch>
          <a:fillRect/>
        </a:stretch>
      </xdr:blipFill>
      <xdr:spPr>
        <a:xfrm>
          <a:off x="7264400" y="3509695800"/>
          <a:ext cx="878840" cy="1183640"/>
        </a:xfrm>
        <a:prstGeom prst="rect">
          <a:avLst/>
        </a:prstGeom>
      </xdr:spPr>
    </xdr:pic>
    <xdr:clientData/>
  </xdr:twoCellAnchor>
  <xdr:twoCellAnchor>
    <xdr:from>
      <xdr:col>8</xdr:col>
      <xdr:colOff>6350</xdr:colOff>
      <xdr:row>3532</xdr:row>
      <xdr:rowOff>25400</xdr:rowOff>
    </xdr:from>
    <xdr:to>
      <xdr:col>8</xdr:col>
      <xdr:colOff>885190</xdr:colOff>
      <xdr:row>3532</xdr:row>
      <xdr:rowOff>1209040</xdr:rowOff>
    </xdr:to>
    <xdr:pic>
      <xdr:nvPicPr>
        <xdr:cNvPr id="6983" name="Изображение 6982" descr="resizeПП-00121947"/>
        <xdr:cNvPicPr>
          <a:picLocks noChangeAspect="1"/>
        </xdr:cNvPicPr>
      </xdr:nvPicPr>
      <xdr:blipFill>
        <a:blip xmlns:r="http://schemas.openxmlformats.org/officeDocument/2006/relationships" r:embed="rId2688"/>
        <a:stretch>
          <a:fillRect/>
        </a:stretch>
      </xdr:blipFill>
      <xdr:spPr>
        <a:xfrm>
          <a:off x="7264400" y="3510918175"/>
          <a:ext cx="878840" cy="1183640"/>
        </a:xfrm>
        <a:prstGeom prst="rect">
          <a:avLst/>
        </a:prstGeom>
      </xdr:spPr>
    </xdr:pic>
    <xdr:clientData/>
  </xdr:twoCellAnchor>
  <xdr:twoCellAnchor>
    <xdr:from>
      <xdr:col>8</xdr:col>
      <xdr:colOff>6350</xdr:colOff>
      <xdr:row>3533</xdr:row>
      <xdr:rowOff>25400</xdr:rowOff>
    </xdr:from>
    <xdr:to>
      <xdr:col>8</xdr:col>
      <xdr:colOff>885190</xdr:colOff>
      <xdr:row>3533</xdr:row>
      <xdr:rowOff>1209040</xdr:rowOff>
    </xdr:to>
    <xdr:pic>
      <xdr:nvPicPr>
        <xdr:cNvPr id="6984" name="Изображение 6983" descr="resizeПП-00140925"/>
        <xdr:cNvPicPr>
          <a:picLocks noChangeAspect="1"/>
        </xdr:cNvPicPr>
      </xdr:nvPicPr>
      <xdr:blipFill>
        <a:blip xmlns:r="http://schemas.openxmlformats.org/officeDocument/2006/relationships" r:embed="rId2689"/>
        <a:stretch>
          <a:fillRect/>
        </a:stretch>
      </xdr:blipFill>
      <xdr:spPr>
        <a:xfrm>
          <a:off x="7264400" y="3512140550"/>
          <a:ext cx="878840" cy="1183640"/>
        </a:xfrm>
        <a:prstGeom prst="rect">
          <a:avLst/>
        </a:prstGeom>
      </xdr:spPr>
    </xdr:pic>
    <xdr:clientData/>
  </xdr:twoCellAnchor>
  <xdr:twoCellAnchor>
    <xdr:from>
      <xdr:col>8</xdr:col>
      <xdr:colOff>6350</xdr:colOff>
      <xdr:row>3534</xdr:row>
      <xdr:rowOff>25400</xdr:rowOff>
    </xdr:from>
    <xdr:to>
      <xdr:col>8</xdr:col>
      <xdr:colOff>885190</xdr:colOff>
      <xdr:row>3534</xdr:row>
      <xdr:rowOff>1209040</xdr:rowOff>
    </xdr:to>
    <xdr:pic>
      <xdr:nvPicPr>
        <xdr:cNvPr id="6985" name="Изображение 6984" descr="resizeПП-00200289"/>
        <xdr:cNvPicPr>
          <a:picLocks noChangeAspect="1"/>
        </xdr:cNvPicPr>
      </xdr:nvPicPr>
      <xdr:blipFill>
        <a:blip xmlns:r="http://schemas.openxmlformats.org/officeDocument/2006/relationships" r:embed="rId2690"/>
        <a:stretch>
          <a:fillRect/>
        </a:stretch>
      </xdr:blipFill>
      <xdr:spPr>
        <a:xfrm>
          <a:off x="7264400" y="3513362925"/>
          <a:ext cx="878840" cy="1183640"/>
        </a:xfrm>
        <a:prstGeom prst="rect">
          <a:avLst/>
        </a:prstGeom>
      </xdr:spPr>
    </xdr:pic>
    <xdr:clientData/>
  </xdr:twoCellAnchor>
  <xdr:twoCellAnchor>
    <xdr:from>
      <xdr:col>8</xdr:col>
      <xdr:colOff>6350</xdr:colOff>
      <xdr:row>3535</xdr:row>
      <xdr:rowOff>25400</xdr:rowOff>
    </xdr:from>
    <xdr:to>
      <xdr:col>8</xdr:col>
      <xdr:colOff>885190</xdr:colOff>
      <xdr:row>3535</xdr:row>
      <xdr:rowOff>1209040</xdr:rowOff>
    </xdr:to>
    <xdr:pic>
      <xdr:nvPicPr>
        <xdr:cNvPr id="6986" name="Изображение 6985" descr="resizeПП-00247289"/>
        <xdr:cNvPicPr>
          <a:picLocks noChangeAspect="1"/>
        </xdr:cNvPicPr>
      </xdr:nvPicPr>
      <xdr:blipFill>
        <a:blip xmlns:r="http://schemas.openxmlformats.org/officeDocument/2006/relationships" r:embed="rId2691"/>
        <a:stretch>
          <a:fillRect/>
        </a:stretch>
      </xdr:blipFill>
      <xdr:spPr>
        <a:xfrm>
          <a:off x="7264400" y="3514585300"/>
          <a:ext cx="878840" cy="1183640"/>
        </a:xfrm>
        <a:prstGeom prst="rect">
          <a:avLst/>
        </a:prstGeom>
      </xdr:spPr>
    </xdr:pic>
    <xdr:clientData/>
  </xdr:twoCellAnchor>
  <xdr:twoCellAnchor>
    <xdr:from>
      <xdr:col>8</xdr:col>
      <xdr:colOff>6350</xdr:colOff>
      <xdr:row>3536</xdr:row>
      <xdr:rowOff>25400</xdr:rowOff>
    </xdr:from>
    <xdr:to>
      <xdr:col>8</xdr:col>
      <xdr:colOff>885190</xdr:colOff>
      <xdr:row>3536</xdr:row>
      <xdr:rowOff>1209040</xdr:rowOff>
    </xdr:to>
    <xdr:pic>
      <xdr:nvPicPr>
        <xdr:cNvPr id="6987" name="Изображение 6986" descr="resizeПП-00200302"/>
        <xdr:cNvPicPr>
          <a:picLocks noChangeAspect="1"/>
        </xdr:cNvPicPr>
      </xdr:nvPicPr>
      <xdr:blipFill>
        <a:blip xmlns:r="http://schemas.openxmlformats.org/officeDocument/2006/relationships" r:embed="rId2692"/>
        <a:stretch>
          <a:fillRect/>
        </a:stretch>
      </xdr:blipFill>
      <xdr:spPr>
        <a:xfrm>
          <a:off x="7264400" y="3515807675"/>
          <a:ext cx="878840" cy="1183640"/>
        </a:xfrm>
        <a:prstGeom prst="rect">
          <a:avLst/>
        </a:prstGeom>
      </xdr:spPr>
    </xdr:pic>
    <xdr:clientData/>
  </xdr:twoCellAnchor>
  <xdr:twoCellAnchor>
    <xdr:from>
      <xdr:col>8</xdr:col>
      <xdr:colOff>6350</xdr:colOff>
      <xdr:row>3537</xdr:row>
      <xdr:rowOff>25400</xdr:rowOff>
    </xdr:from>
    <xdr:to>
      <xdr:col>8</xdr:col>
      <xdr:colOff>885190</xdr:colOff>
      <xdr:row>3537</xdr:row>
      <xdr:rowOff>1209040</xdr:rowOff>
    </xdr:to>
    <xdr:pic>
      <xdr:nvPicPr>
        <xdr:cNvPr id="6988" name="Изображение 6987" descr="resizeПП-00121949"/>
        <xdr:cNvPicPr>
          <a:picLocks noChangeAspect="1"/>
        </xdr:cNvPicPr>
      </xdr:nvPicPr>
      <xdr:blipFill>
        <a:blip xmlns:r="http://schemas.openxmlformats.org/officeDocument/2006/relationships" r:embed="rId2693"/>
        <a:stretch>
          <a:fillRect/>
        </a:stretch>
      </xdr:blipFill>
      <xdr:spPr>
        <a:xfrm>
          <a:off x="7264400" y="3517030050"/>
          <a:ext cx="878840" cy="1183640"/>
        </a:xfrm>
        <a:prstGeom prst="rect">
          <a:avLst/>
        </a:prstGeom>
      </xdr:spPr>
    </xdr:pic>
    <xdr:clientData/>
  </xdr:twoCellAnchor>
  <xdr:twoCellAnchor>
    <xdr:from>
      <xdr:col>8</xdr:col>
      <xdr:colOff>6350</xdr:colOff>
      <xdr:row>3539</xdr:row>
      <xdr:rowOff>25400</xdr:rowOff>
    </xdr:from>
    <xdr:to>
      <xdr:col>8</xdr:col>
      <xdr:colOff>885190</xdr:colOff>
      <xdr:row>3539</xdr:row>
      <xdr:rowOff>1209040</xdr:rowOff>
    </xdr:to>
    <xdr:pic>
      <xdr:nvPicPr>
        <xdr:cNvPr id="6989" name="Изображение 6988" descr="resizeПП-00267955"/>
        <xdr:cNvPicPr>
          <a:picLocks noChangeAspect="1"/>
        </xdr:cNvPicPr>
      </xdr:nvPicPr>
      <xdr:blipFill>
        <a:blip xmlns:r="http://schemas.openxmlformats.org/officeDocument/2006/relationships" r:embed="rId2694"/>
        <a:stretch>
          <a:fillRect/>
        </a:stretch>
      </xdr:blipFill>
      <xdr:spPr>
        <a:xfrm>
          <a:off x="7264400" y="3518404825"/>
          <a:ext cx="878840" cy="1183640"/>
        </a:xfrm>
        <a:prstGeom prst="rect">
          <a:avLst/>
        </a:prstGeom>
      </xdr:spPr>
    </xdr:pic>
    <xdr:clientData/>
  </xdr:twoCellAnchor>
  <xdr:twoCellAnchor>
    <xdr:from>
      <xdr:col>8</xdr:col>
      <xdr:colOff>6350</xdr:colOff>
      <xdr:row>3540</xdr:row>
      <xdr:rowOff>25400</xdr:rowOff>
    </xdr:from>
    <xdr:to>
      <xdr:col>8</xdr:col>
      <xdr:colOff>885190</xdr:colOff>
      <xdr:row>3540</xdr:row>
      <xdr:rowOff>1209040</xdr:rowOff>
    </xdr:to>
    <xdr:pic>
      <xdr:nvPicPr>
        <xdr:cNvPr id="6990" name="Изображение 6989" descr="resizeПП-00267960"/>
        <xdr:cNvPicPr>
          <a:picLocks noChangeAspect="1"/>
        </xdr:cNvPicPr>
      </xdr:nvPicPr>
      <xdr:blipFill>
        <a:blip xmlns:r="http://schemas.openxmlformats.org/officeDocument/2006/relationships" r:embed="rId2695"/>
        <a:stretch>
          <a:fillRect/>
        </a:stretch>
      </xdr:blipFill>
      <xdr:spPr>
        <a:xfrm>
          <a:off x="7264400" y="3519627200"/>
          <a:ext cx="878840" cy="1183640"/>
        </a:xfrm>
        <a:prstGeom prst="rect">
          <a:avLst/>
        </a:prstGeom>
      </xdr:spPr>
    </xdr:pic>
    <xdr:clientData/>
  </xdr:twoCellAnchor>
  <xdr:twoCellAnchor>
    <xdr:from>
      <xdr:col>8</xdr:col>
      <xdr:colOff>6350</xdr:colOff>
      <xdr:row>3541</xdr:row>
      <xdr:rowOff>25400</xdr:rowOff>
    </xdr:from>
    <xdr:to>
      <xdr:col>8</xdr:col>
      <xdr:colOff>885190</xdr:colOff>
      <xdr:row>3541</xdr:row>
      <xdr:rowOff>1209040</xdr:rowOff>
    </xdr:to>
    <xdr:pic>
      <xdr:nvPicPr>
        <xdr:cNvPr id="6991" name="Изображение 6990" descr="resizeПП-00267958"/>
        <xdr:cNvPicPr>
          <a:picLocks noChangeAspect="1"/>
        </xdr:cNvPicPr>
      </xdr:nvPicPr>
      <xdr:blipFill>
        <a:blip xmlns:r="http://schemas.openxmlformats.org/officeDocument/2006/relationships" r:embed="rId2696"/>
        <a:stretch>
          <a:fillRect/>
        </a:stretch>
      </xdr:blipFill>
      <xdr:spPr>
        <a:xfrm>
          <a:off x="7264400" y="3520849575"/>
          <a:ext cx="878840" cy="1183640"/>
        </a:xfrm>
        <a:prstGeom prst="rect">
          <a:avLst/>
        </a:prstGeom>
      </xdr:spPr>
    </xdr:pic>
    <xdr:clientData/>
  </xdr:twoCellAnchor>
  <xdr:twoCellAnchor>
    <xdr:from>
      <xdr:col>8</xdr:col>
      <xdr:colOff>6350</xdr:colOff>
      <xdr:row>3542</xdr:row>
      <xdr:rowOff>25400</xdr:rowOff>
    </xdr:from>
    <xdr:to>
      <xdr:col>8</xdr:col>
      <xdr:colOff>885190</xdr:colOff>
      <xdr:row>3542</xdr:row>
      <xdr:rowOff>1209040</xdr:rowOff>
    </xdr:to>
    <xdr:pic>
      <xdr:nvPicPr>
        <xdr:cNvPr id="6992" name="Изображение 6991" descr="resizeПП-00267954"/>
        <xdr:cNvPicPr>
          <a:picLocks noChangeAspect="1"/>
        </xdr:cNvPicPr>
      </xdr:nvPicPr>
      <xdr:blipFill>
        <a:blip xmlns:r="http://schemas.openxmlformats.org/officeDocument/2006/relationships" r:embed="rId2697"/>
        <a:stretch>
          <a:fillRect/>
        </a:stretch>
      </xdr:blipFill>
      <xdr:spPr>
        <a:xfrm>
          <a:off x="7264400" y="3522071950"/>
          <a:ext cx="878840" cy="1183640"/>
        </a:xfrm>
        <a:prstGeom prst="rect">
          <a:avLst/>
        </a:prstGeom>
      </xdr:spPr>
    </xdr:pic>
    <xdr:clientData/>
  </xdr:twoCellAnchor>
  <xdr:twoCellAnchor>
    <xdr:from>
      <xdr:col>8</xdr:col>
      <xdr:colOff>6350</xdr:colOff>
      <xdr:row>3543</xdr:row>
      <xdr:rowOff>25400</xdr:rowOff>
    </xdr:from>
    <xdr:to>
      <xdr:col>8</xdr:col>
      <xdr:colOff>885190</xdr:colOff>
      <xdr:row>3543</xdr:row>
      <xdr:rowOff>1209040</xdr:rowOff>
    </xdr:to>
    <xdr:pic>
      <xdr:nvPicPr>
        <xdr:cNvPr id="6993" name="Изображение 6992" descr="resizeПП-00267963"/>
        <xdr:cNvPicPr>
          <a:picLocks noChangeAspect="1"/>
        </xdr:cNvPicPr>
      </xdr:nvPicPr>
      <xdr:blipFill>
        <a:blip xmlns:r="http://schemas.openxmlformats.org/officeDocument/2006/relationships" r:embed="rId2698"/>
        <a:stretch>
          <a:fillRect/>
        </a:stretch>
      </xdr:blipFill>
      <xdr:spPr>
        <a:xfrm>
          <a:off x="7264400" y="3523294325"/>
          <a:ext cx="878840" cy="1183640"/>
        </a:xfrm>
        <a:prstGeom prst="rect">
          <a:avLst/>
        </a:prstGeom>
      </xdr:spPr>
    </xdr:pic>
    <xdr:clientData/>
  </xdr:twoCellAnchor>
  <xdr:twoCellAnchor>
    <xdr:from>
      <xdr:col>8</xdr:col>
      <xdr:colOff>6350</xdr:colOff>
      <xdr:row>3544</xdr:row>
      <xdr:rowOff>25400</xdr:rowOff>
    </xdr:from>
    <xdr:to>
      <xdr:col>8</xdr:col>
      <xdr:colOff>885190</xdr:colOff>
      <xdr:row>3544</xdr:row>
      <xdr:rowOff>1209040</xdr:rowOff>
    </xdr:to>
    <xdr:pic>
      <xdr:nvPicPr>
        <xdr:cNvPr id="6994" name="Изображение 6993" descr="resizeПП-00267956"/>
        <xdr:cNvPicPr>
          <a:picLocks noChangeAspect="1"/>
        </xdr:cNvPicPr>
      </xdr:nvPicPr>
      <xdr:blipFill>
        <a:blip xmlns:r="http://schemas.openxmlformats.org/officeDocument/2006/relationships" r:embed="rId2699"/>
        <a:stretch>
          <a:fillRect/>
        </a:stretch>
      </xdr:blipFill>
      <xdr:spPr>
        <a:xfrm>
          <a:off x="7264400" y="3524516700"/>
          <a:ext cx="878840" cy="1183640"/>
        </a:xfrm>
        <a:prstGeom prst="rect">
          <a:avLst/>
        </a:prstGeom>
      </xdr:spPr>
    </xdr:pic>
    <xdr:clientData/>
  </xdr:twoCellAnchor>
  <xdr:twoCellAnchor>
    <xdr:from>
      <xdr:col>8</xdr:col>
      <xdr:colOff>6350</xdr:colOff>
      <xdr:row>3545</xdr:row>
      <xdr:rowOff>25400</xdr:rowOff>
    </xdr:from>
    <xdr:to>
      <xdr:col>8</xdr:col>
      <xdr:colOff>885190</xdr:colOff>
      <xdr:row>3545</xdr:row>
      <xdr:rowOff>1209040</xdr:rowOff>
    </xdr:to>
    <xdr:pic>
      <xdr:nvPicPr>
        <xdr:cNvPr id="6995" name="Изображение 6994" descr="resizeПП-00267959"/>
        <xdr:cNvPicPr>
          <a:picLocks noChangeAspect="1"/>
        </xdr:cNvPicPr>
      </xdr:nvPicPr>
      <xdr:blipFill>
        <a:blip xmlns:r="http://schemas.openxmlformats.org/officeDocument/2006/relationships" r:embed="rId2700"/>
        <a:stretch>
          <a:fillRect/>
        </a:stretch>
      </xdr:blipFill>
      <xdr:spPr>
        <a:xfrm>
          <a:off x="7264400" y="3525739075"/>
          <a:ext cx="878840" cy="1183640"/>
        </a:xfrm>
        <a:prstGeom prst="rect">
          <a:avLst/>
        </a:prstGeom>
      </xdr:spPr>
    </xdr:pic>
    <xdr:clientData/>
  </xdr:twoCellAnchor>
  <xdr:twoCellAnchor>
    <xdr:from>
      <xdr:col>8</xdr:col>
      <xdr:colOff>6350</xdr:colOff>
      <xdr:row>3547</xdr:row>
      <xdr:rowOff>25400</xdr:rowOff>
    </xdr:from>
    <xdr:to>
      <xdr:col>8</xdr:col>
      <xdr:colOff>885190</xdr:colOff>
      <xdr:row>3547</xdr:row>
      <xdr:rowOff>1209040</xdr:rowOff>
    </xdr:to>
    <xdr:pic>
      <xdr:nvPicPr>
        <xdr:cNvPr id="6996" name="Изображение 6995" descr="resizeПП-00182545"/>
        <xdr:cNvPicPr>
          <a:picLocks noChangeAspect="1"/>
        </xdr:cNvPicPr>
      </xdr:nvPicPr>
      <xdr:blipFill>
        <a:blip xmlns:r="http://schemas.openxmlformats.org/officeDocument/2006/relationships" r:embed="rId2701"/>
        <a:stretch>
          <a:fillRect/>
        </a:stretch>
      </xdr:blipFill>
      <xdr:spPr>
        <a:xfrm>
          <a:off x="7264400" y="3527113850"/>
          <a:ext cx="878840" cy="1183640"/>
        </a:xfrm>
        <a:prstGeom prst="rect">
          <a:avLst/>
        </a:prstGeom>
      </xdr:spPr>
    </xdr:pic>
    <xdr:clientData/>
  </xdr:twoCellAnchor>
  <xdr:twoCellAnchor>
    <xdr:from>
      <xdr:col>8</xdr:col>
      <xdr:colOff>6350</xdr:colOff>
      <xdr:row>3548</xdr:row>
      <xdr:rowOff>25400</xdr:rowOff>
    </xdr:from>
    <xdr:to>
      <xdr:col>8</xdr:col>
      <xdr:colOff>885190</xdr:colOff>
      <xdr:row>3548</xdr:row>
      <xdr:rowOff>1209040</xdr:rowOff>
    </xdr:to>
    <xdr:pic>
      <xdr:nvPicPr>
        <xdr:cNvPr id="6997" name="Изображение 6996" descr="resizeПП-00182555"/>
        <xdr:cNvPicPr>
          <a:picLocks noChangeAspect="1"/>
        </xdr:cNvPicPr>
      </xdr:nvPicPr>
      <xdr:blipFill>
        <a:blip xmlns:r="http://schemas.openxmlformats.org/officeDocument/2006/relationships" r:embed="rId2702"/>
        <a:stretch>
          <a:fillRect/>
        </a:stretch>
      </xdr:blipFill>
      <xdr:spPr>
        <a:xfrm>
          <a:off x="7264400" y="3528336225"/>
          <a:ext cx="878840" cy="1183640"/>
        </a:xfrm>
        <a:prstGeom prst="rect">
          <a:avLst/>
        </a:prstGeom>
      </xdr:spPr>
    </xdr:pic>
    <xdr:clientData/>
  </xdr:twoCellAnchor>
  <xdr:twoCellAnchor>
    <xdr:from>
      <xdr:col>8</xdr:col>
      <xdr:colOff>6350</xdr:colOff>
      <xdr:row>3549</xdr:row>
      <xdr:rowOff>25400</xdr:rowOff>
    </xdr:from>
    <xdr:to>
      <xdr:col>8</xdr:col>
      <xdr:colOff>885190</xdr:colOff>
      <xdr:row>3549</xdr:row>
      <xdr:rowOff>1209040</xdr:rowOff>
    </xdr:to>
    <xdr:pic>
      <xdr:nvPicPr>
        <xdr:cNvPr id="6998" name="Изображение 6997" descr="resizeПП-00182554"/>
        <xdr:cNvPicPr>
          <a:picLocks noChangeAspect="1"/>
        </xdr:cNvPicPr>
      </xdr:nvPicPr>
      <xdr:blipFill>
        <a:blip xmlns:r="http://schemas.openxmlformats.org/officeDocument/2006/relationships" r:embed="rId2703"/>
        <a:stretch>
          <a:fillRect/>
        </a:stretch>
      </xdr:blipFill>
      <xdr:spPr>
        <a:xfrm>
          <a:off x="7264400" y="3529558600"/>
          <a:ext cx="878840" cy="1183640"/>
        </a:xfrm>
        <a:prstGeom prst="rect">
          <a:avLst/>
        </a:prstGeom>
      </xdr:spPr>
    </xdr:pic>
    <xdr:clientData/>
  </xdr:twoCellAnchor>
  <xdr:twoCellAnchor>
    <xdr:from>
      <xdr:col>8</xdr:col>
      <xdr:colOff>6350</xdr:colOff>
      <xdr:row>3550</xdr:row>
      <xdr:rowOff>25400</xdr:rowOff>
    </xdr:from>
    <xdr:to>
      <xdr:col>8</xdr:col>
      <xdr:colOff>885190</xdr:colOff>
      <xdr:row>3550</xdr:row>
      <xdr:rowOff>1209040</xdr:rowOff>
    </xdr:to>
    <xdr:pic>
      <xdr:nvPicPr>
        <xdr:cNvPr id="6999" name="Изображение 6998" descr="resizeПП-00209774"/>
        <xdr:cNvPicPr>
          <a:picLocks noChangeAspect="1"/>
        </xdr:cNvPicPr>
      </xdr:nvPicPr>
      <xdr:blipFill>
        <a:blip xmlns:r="http://schemas.openxmlformats.org/officeDocument/2006/relationships" r:embed="rId2704"/>
        <a:stretch>
          <a:fillRect/>
        </a:stretch>
      </xdr:blipFill>
      <xdr:spPr>
        <a:xfrm>
          <a:off x="7264400" y="3530780975"/>
          <a:ext cx="878840" cy="1183640"/>
        </a:xfrm>
        <a:prstGeom prst="rect">
          <a:avLst/>
        </a:prstGeom>
      </xdr:spPr>
    </xdr:pic>
    <xdr:clientData/>
  </xdr:twoCellAnchor>
  <xdr:twoCellAnchor>
    <xdr:from>
      <xdr:col>8</xdr:col>
      <xdr:colOff>6350</xdr:colOff>
      <xdr:row>3551</xdr:row>
      <xdr:rowOff>25400</xdr:rowOff>
    </xdr:from>
    <xdr:to>
      <xdr:col>8</xdr:col>
      <xdr:colOff>885190</xdr:colOff>
      <xdr:row>3551</xdr:row>
      <xdr:rowOff>1209040</xdr:rowOff>
    </xdr:to>
    <xdr:pic>
      <xdr:nvPicPr>
        <xdr:cNvPr id="7000" name="Изображение 6999" descr="resizeПП-00207438"/>
        <xdr:cNvPicPr>
          <a:picLocks noChangeAspect="1"/>
        </xdr:cNvPicPr>
      </xdr:nvPicPr>
      <xdr:blipFill>
        <a:blip xmlns:r="http://schemas.openxmlformats.org/officeDocument/2006/relationships" r:embed="rId2705"/>
        <a:stretch>
          <a:fillRect/>
        </a:stretch>
      </xdr:blipFill>
      <xdr:spPr>
        <a:xfrm>
          <a:off x="7264400" y="3532003350"/>
          <a:ext cx="878840" cy="1183640"/>
        </a:xfrm>
        <a:prstGeom prst="rect">
          <a:avLst/>
        </a:prstGeom>
      </xdr:spPr>
    </xdr:pic>
    <xdr:clientData/>
  </xdr:twoCellAnchor>
  <xdr:twoCellAnchor>
    <xdr:from>
      <xdr:col>8</xdr:col>
      <xdr:colOff>6350</xdr:colOff>
      <xdr:row>3553</xdr:row>
      <xdr:rowOff>25400</xdr:rowOff>
    </xdr:from>
    <xdr:to>
      <xdr:col>8</xdr:col>
      <xdr:colOff>885190</xdr:colOff>
      <xdr:row>3553</xdr:row>
      <xdr:rowOff>1209040</xdr:rowOff>
    </xdr:to>
    <xdr:pic>
      <xdr:nvPicPr>
        <xdr:cNvPr id="7001" name="Изображение 7000" descr="resizeПП-00092681"/>
        <xdr:cNvPicPr>
          <a:picLocks noChangeAspect="1"/>
        </xdr:cNvPicPr>
      </xdr:nvPicPr>
      <xdr:blipFill>
        <a:blip xmlns:r="http://schemas.openxmlformats.org/officeDocument/2006/relationships" r:embed="rId2706"/>
        <a:stretch>
          <a:fillRect/>
        </a:stretch>
      </xdr:blipFill>
      <xdr:spPr>
        <a:xfrm>
          <a:off x="7264400" y="3533378125"/>
          <a:ext cx="878840" cy="1183640"/>
        </a:xfrm>
        <a:prstGeom prst="rect">
          <a:avLst/>
        </a:prstGeom>
      </xdr:spPr>
    </xdr:pic>
    <xdr:clientData/>
  </xdr:twoCellAnchor>
  <xdr:twoCellAnchor>
    <xdr:from>
      <xdr:col>8</xdr:col>
      <xdr:colOff>6350</xdr:colOff>
      <xdr:row>3555</xdr:row>
      <xdr:rowOff>25400</xdr:rowOff>
    </xdr:from>
    <xdr:to>
      <xdr:col>8</xdr:col>
      <xdr:colOff>885190</xdr:colOff>
      <xdr:row>3555</xdr:row>
      <xdr:rowOff>1209040</xdr:rowOff>
    </xdr:to>
    <xdr:pic>
      <xdr:nvPicPr>
        <xdr:cNvPr id="7002" name="Изображение 7001" descr="resizeПП-00234529"/>
        <xdr:cNvPicPr>
          <a:picLocks noChangeAspect="1"/>
        </xdr:cNvPicPr>
      </xdr:nvPicPr>
      <xdr:blipFill>
        <a:blip xmlns:r="http://schemas.openxmlformats.org/officeDocument/2006/relationships" r:embed="rId2707"/>
        <a:stretch>
          <a:fillRect/>
        </a:stretch>
      </xdr:blipFill>
      <xdr:spPr>
        <a:xfrm>
          <a:off x="7264400" y="3534752900"/>
          <a:ext cx="878840" cy="1183640"/>
        </a:xfrm>
        <a:prstGeom prst="rect">
          <a:avLst/>
        </a:prstGeom>
      </xdr:spPr>
    </xdr:pic>
    <xdr:clientData/>
  </xdr:twoCellAnchor>
  <xdr:twoCellAnchor>
    <xdr:from>
      <xdr:col>8</xdr:col>
      <xdr:colOff>6350</xdr:colOff>
      <xdr:row>3556</xdr:row>
      <xdr:rowOff>25400</xdr:rowOff>
    </xdr:from>
    <xdr:to>
      <xdr:col>8</xdr:col>
      <xdr:colOff>885190</xdr:colOff>
      <xdr:row>3556</xdr:row>
      <xdr:rowOff>1209040</xdr:rowOff>
    </xdr:to>
    <xdr:pic>
      <xdr:nvPicPr>
        <xdr:cNvPr id="7003" name="Изображение 7002" descr="resizeПП-00234530"/>
        <xdr:cNvPicPr>
          <a:picLocks noChangeAspect="1"/>
        </xdr:cNvPicPr>
      </xdr:nvPicPr>
      <xdr:blipFill>
        <a:blip xmlns:r="http://schemas.openxmlformats.org/officeDocument/2006/relationships" r:embed="rId2708"/>
        <a:stretch>
          <a:fillRect/>
        </a:stretch>
      </xdr:blipFill>
      <xdr:spPr>
        <a:xfrm>
          <a:off x="7264400" y="3535975275"/>
          <a:ext cx="878840" cy="1183640"/>
        </a:xfrm>
        <a:prstGeom prst="rect">
          <a:avLst/>
        </a:prstGeom>
      </xdr:spPr>
    </xdr:pic>
    <xdr:clientData/>
  </xdr:twoCellAnchor>
  <xdr:twoCellAnchor>
    <xdr:from>
      <xdr:col>8</xdr:col>
      <xdr:colOff>6350</xdr:colOff>
      <xdr:row>3557</xdr:row>
      <xdr:rowOff>25400</xdr:rowOff>
    </xdr:from>
    <xdr:to>
      <xdr:col>8</xdr:col>
      <xdr:colOff>885190</xdr:colOff>
      <xdr:row>3557</xdr:row>
      <xdr:rowOff>1209040</xdr:rowOff>
    </xdr:to>
    <xdr:pic>
      <xdr:nvPicPr>
        <xdr:cNvPr id="7004" name="Изображение 7003" descr="resizeПП-00234531"/>
        <xdr:cNvPicPr>
          <a:picLocks noChangeAspect="1"/>
        </xdr:cNvPicPr>
      </xdr:nvPicPr>
      <xdr:blipFill>
        <a:blip xmlns:r="http://schemas.openxmlformats.org/officeDocument/2006/relationships" r:embed="rId2709"/>
        <a:stretch>
          <a:fillRect/>
        </a:stretch>
      </xdr:blipFill>
      <xdr:spPr>
        <a:xfrm>
          <a:off x="7264400" y="3537197650"/>
          <a:ext cx="878840" cy="1183640"/>
        </a:xfrm>
        <a:prstGeom prst="rect">
          <a:avLst/>
        </a:prstGeom>
      </xdr:spPr>
    </xdr:pic>
    <xdr:clientData/>
  </xdr:twoCellAnchor>
  <xdr:twoCellAnchor>
    <xdr:from>
      <xdr:col>8</xdr:col>
      <xdr:colOff>6350</xdr:colOff>
      <xdr:row>3558</xdr:row>
      <xdr:rowOff>25400</xdr:rowOff>
    </xdr:from>
    <xdr:to>
      <xdr:col>8</xdr:col>
      <xdr:colOff>885190</xdr:colOff>
      <xdr:row>3558</xdr:row>
      <xdr:rowOff>1209040</xdr:rowOff>
    </xdr:to>
    <xdr:pic>
      <xdr:nvPicPr>
        <xdr:cNvPr id="7005" name="Изображение 7004" descr="resizeПП-00234533"/>
        <xdr:cNvPicPr>
          <a:picLocks noChangeAspect="1"/>
        </xdr:cNvPicPr>
      </xdr:nvPicPr>
      <xdr:blipFill>
        <a:blip xmlns:r="http://schemas.openxmlformats.org/officeDocument/2006/relationships" r:embed="rId2710"/>
        <a:stretch>
          <a:fillRect/>
        </a:stretch>
      </xdr:blipFill>
      <xdr:spPr>
        <a:xfrm>
          <a:off x="7264400" y="3538420025"/>
          <a:ext cx="878840" cy="1183640"/>
        </a:xfrm>
        <a:prstGeom prst="rect">
          <a:avLst/>
        </a:prstGeom>
      </xdr:spPr>
    </xdr:pic>
    <xdr:clientData/>
  </xdr:twoCellAnchor>
  <xdr:twoCellAnchor>
    <xdr:from>
      <xdr:col>8</xdr:col>
      <xdr:colOff>6350</xdr:colOff>
      <xdr:row>3559</xdr:row>
      <xdr:rowOff>25400</xdr:rowOff>
    </xdr:from>
    <xdr:to>
      <xdr:col>8</xdr:col>
      <xdr:colOff>885190</xdr:colOff>
      <xdr:row>3559</xdr:row>
      <xdr:rowOff>1209040</xdr:rowOff>
    </xdr:to>
    <xdr:pic>
      <xdr:nvPicPr>
        <xdr:cNvPr id="7006" name="Изображение 7005" descr="resizeПП-00205040"/>
        <xdr:cNvPicPr>
          <a:picLocks noChangeAspect="1"/>
        </xdr:cNvPicPr>
      </xdr:nvPicPr>
      <xdr:blipFill>
        <a:blip xmlns:r="http://schemas.openxmlformats.org/officeDocument/2006/relationships" r:embed="rId2711"/>
        <a:stretch>
          <a:fillRect/>
        </a:stretch>
      </xdr:blipFill>
      <xdr:spPr>
        <a:xfrm>
          <a:off x="7264400" y="3539642400"/>
          <a:ext cx="878840" cy="1183640"/>
        </a:xfrm>
        <a:prstGeom prst="rect">
          <a:avLst/>
        </a:prstGeom>
      </xdr:spPr>
    </xdr:pic>
    <xdr:clientData/>
  </xdr:twoCellAnchor>
  <xdr:twoCellAnchor>
    <xdr:from>
      <xdr:col>8</xdr:col>
      <xdr:colOff>6350</xdr:colOff>
      <xdr:row>3560</xdr:row>
      <xdr:rowOff>25400</xdr:rowOff>
    </xdr:from>
    <xdr:to>
      <xdr:col>8</xdr:col>
      <xdr:colOff>885190</xdr:colOff>
      <xdr:row>3560</xdr:row>
      <xdr:rowOff>1209040</xdr:rowOff>
    </xdr:to>
    <xdr:pic>
      <xdr:nvPicPr>
        <xdr:cNvPr id="7007" name="Изображение 7006" descr="resizeПП-00205038"/>
        <xdr:cNvPicPr>
          <a:picLocks noChangeAspect="1"/>
        </xdr:cNvPicPr>
      </xdr:nvPicPr>
      <xdr:blipFill>
        <a:blip xmlns:r="http://schemas.openxmlformats.org/officeDocument/2006/relationships" r:embed="rId2712"/>
        <a:stretch>
          <a:fillRect/>
        </a:stretch>
      </xdr:blipFill>
      <xdr:spPr>
        <a:xfrm>
          <a:off x="7264400" y="3540864775"/>
          <a:ext cx="878840" cy="1183640"/>
        </a:xfrm>
        <a:prstGeom prst="rect">
          <a:avLst/>
        </a:prstGeom>
      </xdr:spPr>
    </xdr:pic>
    <xdr:clientData/>
  </xdr:twoCellAnchor>
  <xdr:twoCellAnchor>
    <xdr:from>
      <xdr:col>8</xdr:col>
      <xdr:colOff>6350</xdr:colOff>
      <xdr:row>3561</xdr:row>
      <xdr:rowOff>25400</xdr:rowOff>
    </xdr:from>
    <xdr:to>
      <xdr:col>8</xdr:col>
      <xdr:colOff>885190</xdr:colOff>
      <xdr:row>3561</xdr:row>
      <xdr:rowOff>1209040</xdr:rowOff>
    </xdr:to>
    <xdr:pic>
      <xdr:nvPicPr>
        <xdr:cNvPr id="7008" name="Изображение 7007" descr="resizeПП-00205035"/>
        <xdr:cNvPicPr>
          <a:picLocks noChangeAspect="1"/>
        </xdr:cNvPicPr>
      </xdr:nvPicPr>
      <xdr:blipFill>
        <a:blip xmlns:r="http://schemas.openxmlformats.org/officeDocument/2006/relationships" r:embed="rId2713"/>
        <a:stretch>
          <a:fillRect/>
        </a:stretch>
      </xdr:blipFill>
      <xdr:spPr>
        <a:xfrm>
          <a:off x="7264400" y="3542087150"/>
          <a:ext cx="878840" cy="1183640"/>
        </a:xfrm>
        <a:prstGeom prst="rect">
          <a:avLst/>
        </a:prstGeom>
      </xdr:spPr>
    </xdr:pic>
    <xdr:clientData/>
  </xdr:twoCellAnchor>
  <xdr:twoCellAnchor>
    <xdr:from>
      <xdr:col>8</xdr:col>
      <xdr:colOff>6350</xdr:colOff>
      <xdr:row>3562</xdr:row>
      <xdr:rowOff>25400</xdr:rowOff>
    </xdr:from>
    <xdr:to>
      <xdr:col>8</xdr:col>
      <xdr:colOff>885190</xdr:colOff>
      <xdr:row>3562</xdr:row>
      <xdr:rowOff>1209040</xdr:rowOff>
    </xdr:to>
    <xdr:pic>
      <xdr:nvPicPr>
        <xdr:cNvPr id="7009" name="Изображение 7008" descr="resizeПП-00234532"/>
        <xdr:cNvPicPr>
          <a:picLocks noChangeAspect="1"/>
        </xdr:cNvPicPr>
      </xdr:nvPicPr>
      <xdr:blipFill>
        <a:blip xmlns:r="http://schemas.openxmlformats.org/officeDocument/2006/relationships" r:embed="rId2714"/>
        <a:stretch>
          <a:fillRect/>
        </a:stretch>
      </xdr:blipFill>
      <xdr:spPr>
        <a:xfrm>
          <a:off x="7264400" y="3543309525"/>
          <a:ext cx="878840" cy="1183640"/>
        </a:xfrm>
        <a:prstGeom prst="rect">
          <a:avLst/>
        </a:prstGeom>
      </xdr:spPr>
    </xdr:pic>
    <xdr:clientData/>
  </xdr:twoCellAnchor>
  <xdr:twoCellAnchor>
    <xdr:from>
      <xdr:col>8</xdr:col>
      <xdr:colOff>6350</xdr:colOff>
      <xdr:row>3563</xdr:row>
      <xdr:rowOff>25400</xdr:rowOff>
    </xdr:from>
    <xdr:to>
      <xdr:col>8</xdr:col>
      <xdr:colOff>885190</xdr:colOff>
      <xdr:row>3563</xdr:row>
      <xdr:rowOff>1209040</xdr:rowOff>
    </xdr:to>
    <xdr:pic>
      <xdr:nvPicPr>
        <xdr:cNvPr id="7010" name="Изображение 7009" descr="resizeПП-00258899"/>
        <xdr:cNvPicPr>
          <a:picLocks noChangeAspect="1"/>
        </xdr:cNvPicPr>
      </xdr:nvPicPr>
      <xdr:blipFill>
        <a:blip xmlns:r="http://schemas.openxmlformats.org/officeDocument/2006/relationships" r:embed="rId2715"/>
        <a:stretch>
          <a:fillRect/>
        </a:stretch>
      </xdr:blipFill>
      <xdr:spPr>
        <a:xfrm>
          <a:off x="7264400" y="3544531900"/>
          <a:ext cx="878840" cy="1183640"/>
        </a:xfrm>
        <a:prstGeom prst="rect">
          <a:avLst/>
        </a:prstGeom>
      </xdr:spPr>
    </xdr:pic>
    <xdr:clientData/>
  </xdr:twoCellAnchor>
  <xdr:twoCellAnchor>
    <xdr:from>
      <xdr:col>8</xdr:col>
      <xdr:colOff>6350</xdr:colOff>
      <xdr:row>3564</xdr:row>
      <xdr:rowOff>25400</xdr:rowOff>
    </xdr:from>
    <xdr:to>
      <xdr:col>8</xdr:col>
      <xdr:colOff>885190</xdr:colOff>
      <xdr:row>3564</xdr:row>
      <xdr:rowOff>1209040</xdr:rowOff>
    </xdr:to>
    <xdr:pic>
      <xdr:nvPicPr>
        <xdr:cNvPr id="7011" name="Изображение 7010" descr="resizeПП-00258900"/>
        <xdr:cNvPicPr>
          <a:picLocks noChangeAspect="1"/>
        </xdr:cNvPicPr>
      </xdr:nvPicPr>
      <xdr:blipFill>
        <a:blip xmlns:r="http://schemas.openxmlformats.org/officeDocument/2006/relationships" r:embed="rId2716"/>
        <a:stretch>
          <a:fillRect/>
        </a:stretch>
      </xdr:blipFill>
      <xdr:spPr>
        <a:xfrm>
          <a:off x="7264400" y="3545754275"/>
          <a:ext cx="878840" cy="1183640"/>
        </a:xfrm>
        <a:prstGeom prst="rect">
          <a:avLst/>
        </a:prstGeom>
      </xdr:spPr>
    </xdr:pic>
    <xdr:clientData/>
  </xdr:twoCellAnchor>
  <xdr:twoCellAnchor>
    <xdr:from>
      <xdr:col>8</xdr:col>
      <xdr:colOff>6350</xdr:colOff>
      <xdr:row>3565</xdr:row>
      <xdr:rowOff>25400</xdr:rowOff>
    </xdr:from>
    <xdr:to>
      <xdr:col>8</xdr:col>
      <xdr:colOff>885190</xdr:colOff>
      <xdr:row>3565</xdr:row>
      <xdr:rowOff>1209040</xdr:rowOff>
    </xdr:to>
    <xdr:pic>
      <xdr:nvPicPr>
        <xdr:cNvPr id="7012" name="Изображение 7011" descr="resizeПП-00258897"/>
        <xdr:cNvPicPr>
          <a:picLocks noChangeAspect="1"/>
        </xdr:cNvPicPr>
      </xdr:nvPicPr>
      <xdr:blipFill>
        <a:blip xmlns:r="http://schemas.openxmlformats.org/officeDocument/2006/relationships" r:embed="rId2717"/>
        <a:stretch>
          <a:fillRect/>
        </a:stretch>
      </xdr:blipFill>
      <xdr:spPr>
        <a:xfrm>
          <a:off x="7264400" y="3546976650"/>
          <a:ext cx="878840" cy="1183640"/>
        </a:xfrm>
        <a:prstGeom prst="rect">
          <a:avLst/>
        </a:prstGeom>
      </xdr:spPr>
    </xdr:pic>
    <xdr:clientData/>
  </xdr:twoCellAnchor>
  <xdr:twoCellAnchor>
    <xdr:from>
      <xdr:col>8</xdr:col>
      <xdr:colOff>6350</xdr:colOff>
      <xdr:row>3566</xdr:row>
      <xdr:rowOff>25400</xdr:rowOff>
    </xdr:from>
    <xdr:to>
      <xdr:col>8</xdr:col>
      <xdr:colOff>885190</xdr:colOff>
      <xdr:row>3566</xdr:row>
      <xdr:rowOff>1209040</xdr:rowOff>
    </xdr:to>
    <xdr:pic>
      <xdr:nvPicPr>
        <xdr:cNvPr id="7013" name="Изображение 7012" descr="resizeПП-00205051"/>
        <xdr:cNvPicPr>
          <a:picLocks noChangeAspect="1"/>
        </xdr:cNvPicPr>
      </xdr:nvPicPr>
      <xdr:blipFill>
        <a:blip xmlns:r="http://schemas.openxmlformats.org/officeDocument/2006/relationships" r:embed="rId2718"/>
        <a:stretch>
          <a:fillRect/>
        </a:stretch>
      </xdr:blipFill>
      <xdr:spPr>
        <a:xfrm>
          <a:off x="7264400" y="3548199025"/>
          <a:ext cx="878840" cy="1183640"/>
        </a:xfrm>
        <a:prstGeom prst="rect">
          <a:avLst/>
        </a:prstGeom>
      </xdr:spPr>
    </xdr:pic>
    <xdr:clientData/>
  </xdr:twoCellAnchor>
  <xdr:twoCellAnchor>
    <xdr:from>
      <xdr:col>8</xdr:col>
      <xdr:colOff>6350</xdr:colOff>
      <xdr:row>3567</xdr:row>
      <xdr:rowOff>25400</xdr:rowOff>
    </xdr:from>
    <xdr:to>
      <xdr:col>8</xdr:col>
      <xdr:colOff>885190</xdr:colOff>
      <xdr:row>3567</xdr:row>
      <xdr:rowOff>1209040</xdr:rowOff>
    </xdr:to>
    <xdr:pic>
      <xdr:nvPicPr>
        <xdr:cNvPr id="7014" name="Изображение 7013" descr="resizeПП-00205024"/>
        <xdr:cNvPicPr>
          <a:picLocks noChangeAspect="1"/>
        </xdr:cNvPicPr>
      </xdr:nvPicPr>
      <xdr:blipFill>
        <a:blip xmlns:r="http://schemas.openxmlformats.org/officeDocument/2006/relationships" r:embed="rId2719"/>
        <a:stretch>
          <a:fillRect/>
        </a:stretch>
      </xdr:blipFill>
      <xdr:spPr>
        <a:xfrm>
          <a:off x="7264400" y="3549421400"/>
          <a:ext cx="878840" cy="1183640"/>
        </a:xfrm>
        <a:prstGeom prst="rect">
          <a:avLst/>
        </a:prstGeom>
      </xdr:spPr>
    </xdr:pic>
    <xdr:clientData/>
  </xdr:twoCellAnchor>
  <xdr:twoCellAnchor>
    <xdr:from>
      <xdr:col>8</xdr:col>
      <xdr:colOff>6350</xdr:colOff>
      <xdr:row>3568</xdr:row>
      <xdr:rowOff>25400</xdr:rowOff>
    </xdr:from>
    <xdr:to>
      <xdr:col>8</xdr:col>
      <xdr:colOff>885190</xdr:colOff>
      <xdr:row>3568</xdr:row>
      <xdr:rowOff>1209040</xdr:rowOff>
    </xdr:to>
    <xdr:pic>
      <xdr:nvPicPr>
        <xdr:cNvPr id="7015" name="Изображение 7014" descr="resizeПП-00205021"/>
        <xdr:cNvPicPr>
          <a:picLocks noChangeAspect="1"/>
        </xdr:cNvPicPr>
      </xdr:nvPicPr>
      <xdr:blipFill>
        <a:blip xmlns:r="http://schemas.openxmlformats.org/officeDocument/2006/relationships" r:embed="rId2720"/>
        <a:stretch>
          <a:fillRect/>
        </a:stretch>
      </xdr:blipFill>
      <xdr:spPr>
        <a:xfrm>
          <a:off x="7264400" y="3550643775"/>
          <a:ext cx="878840" cy="1183640"/>
        </a:xfrm>
        <a:prstGeom prst="rect">
          <a:avLst/>
        </a:prstGeom>
      </xdr:spPr>
    </xdr:pic>
    <xdr:clientData/>
  </xdr:twoCellAnchor>
  <xdr:twoCellAnchor>
    <xdr:from>
      <xdr:col>8</xdr:col>
      <xdr:colOff>6350</xdr:colOff>
      <xdr:row>3569</xdr:row>
      <xdr:rowOff>25400</xdr:rowOff>
    </xdr:from>
    <xdr:to>
      <xdr:col>8</xdr:col>
      <xdr:colOff>885190</xdr:colOff>
      <xdr:row>3569</xdr:row>
      <xdr:rowOff>1209040</xdr:rowOff>
    </xdr:to>
    <xdr:pic>
      <xdr:nvPicPr>
        <xdr:cNvPr id="7016" name="Изображение 7015" descr="resizeПП-00205023"/>
        <xdr:cNvPicPr>
          <a:picLocks noChangeAspect="1"/>
        </xdr:cNvPicPr>
      </xdr:nvPicPr>
      <xdr:blipFill>
        <a:blip xmlns:r="http://schemas.openxmlformats.org/officeDocument/2006/relationships" r:embed="rId2721"/>
        <a:stretch>
          <a:fillRect/>
        </a:stretch>
      </xdr:blipFill>
      <xdr:spPr>
        <a:xfrm>
          <a:off x="7264400" y="3551866150"/>
          <a:ext cx="878840" cy="1183640"/>
        </a:xfrm>
        <a:prstGeom prst="rect">
          <a:avLst/>
        </a:prstGeom>
      </xdr:spPr>
    </xdr:pic>
    <xdr:clientData/>
  </xdr:twoCellAnchor>
  <xdr:twoCellAnchor>
    <xdr:from>
      <xdr:col>8</xdr:col>
      <xdr:colOff>6350</xdr:colOff>
      <xdr:row>3570</xdr:row>
      <xdr:rowOff>25400</xdr:rowOff>
    </xdr:from>
    <xdr:to>
      <xdr:col>8</xdr:col>
      <xdr:colOff>885190</xdr:colOff>
      <xdr:row>3570</xdr:row>
      <xdr:rowOff>1209040</xdr:rowOff>
    </xdr:to>
    <xdr:pic>
      <xdr:nvPicPr>
        <xdr:cNvPr id="7017" name="Изображение 7016" descr="resizeПП-00205049"/>
        <xdr:cNvPicPr>
          <a:picLocks noChangeAspect="1"/>
        </xdr:cNvPicPr>
      </xdr:nvPicPr>
      <xdr:blipFill>
        <a:blip xmlns:r="http://schemas.openxmlformats.org/officeDocument/2006/relationships" r:embed="rId2722"/>
        <a:stretch>
          <a:fillRect/>
        </a:stretch>
      </xdr:blipFill>
      <xdr:spPr>
        <a:xfrm>
          <a:off x="7264400" y="3553088525"/>
          <a:ext cx="878840" cy="1183640"/>
        </a:xfrm>
        <a:prstGeom prst="rect">
          <a:avLst/>
        </a:prstGeom>
      </xdr:spPr>
    </xdr:pic>
    <xdr:clientData/>
  </xdr:twoCellAnchor>
  <xdr:twoCellAnchor>
    <xdr:from>
      <xdr:col>8</xdr:col>
      <xdr:colOff>6350</xdr:colOff>
      <xdr:row>3571</xdr:row>
      <xdr:rowOff>25400</xdr:rowOff>
    </xdr:from>
    <xdr:to>
      <xdr:col>8</xdr:col>
      <xdr:colOff>885190</xdr:colOff>
      <xdr:row>3571</xdr:row>
      <xdr:rowOff>1209040</xdr:rowOff>
    </xdr:to>
    <xdr:pic>
      <xdr:nvPicPr>
        <xdr:cNvPr id="7018" name="Изображение 7017" descr="resizeПП-00205046"/>
        <xdr:cNvPicPr>
          <a:picLocks noChangeAspect="1"/>
        </xdr:cNvPicPr>
      </xdr:nvPicPr>
      <xdr:blipFill>
        <a:blip xmlns:r="http://schemas.openxmlformats.org/officeDocument/2006/relationships" r:embed="rId2723"/>
        <a:stretch>
          <a:fillRect/>
        </a:stretch>
      </xdr:blipFill>
      <xdr:spPr>
        <a:xfrm>
          <a:off x="7264400" y="3554310900"/>
          <a:ext cx="878840" cy="1183640"/>
        </a:xfrm>
        <a:prstGeom prst="rect">
          <a:avLst/>
        </a:prstGeom>
      </xdr:spPr>
    </xdr:pic>
    <xdr:clientData/>
  </xdr:twoCellAnchor>
  <xdr:twoCellAnchor>
    <xdr:from>
      <xdr:col>8</xdr:col>
      <xdr:colOff>6350</xdr:colOff>
      <xdr:row>3572</xdr:row>
      <xdr:rowOff>25400</xdr:rowOff>
    </xdr:from>
    <xdr:to>
      <xdr:col>8</xdr:col>
      <xdr:colOff>885190</xdr:colOff>
      <xdr:row>3572</xdr:row>
      <xdr:rowOff>1209040</xdr:rowOff>
    </xdr:to>
    <xdr:pic>
      <xdr:nvPicPr>
        <xdr:cNvPr id="7019" name="Изображение 7018" descr="resizeПП-00205020"/>
        <xdr:cNvPicPr>
          <a:picLocks noChangeAspect="1"/>
        </xdr:cNvPicPr>
      </xdr:nvPicPr>
      <xdr:blipFill>
        <a:blip xmlns:r="http://schemas.openxmlformats.org/officeDocument/2006/relationships" r:embed="rId2724"/>
        <a:stretch>
          <a:fillRect/>
        </a:stretch>
      </xdr:blipFill>
      <xdr:spPr>
        <a:xfrm>
          <a:off x="7264400" y="3555533275"/>
          <a:ext cx="878840" cy="1183640"/>
        </a:xfrm>
        <a:prstGeom prst="rect">
          <a:avLst/>
        </a:prstGeom>
      </xdr:spPr>
    </xdr:pic>
    <xdr:clientData/>
  </xdr:twoCellAnchor>
  <xdr:twoCellAnchor>
    <xdr:from>
      <xdr:col>8</xdr:col>
      <xdr:colOff>6350</xdr:colOff>
      <xdr:row>3573</xdr:row>
      <xdr:rowOff>25400</xdr:rowOff>
    </xdr:from>
    <xdr:to>
      <xdr:col>8</xdr:col>
      <xdr:colOff>885190</xdr:colOff>
      <xdr:row>3573</xdr:row>
      <xdr:rowOff>1209040</xdr:rowOff>
    </xdr:to>
    <xdr:pic>
      <xdr:nvPicPr>
        <xdr:cNvPr id="7020" name="Изображение 7019" descr="resizeПП-00205030"/>
        <xdr:cNvPicPr>
          <a:picLocks noChangeAspect="1"/>
        </xdr:cNvPicPr>
      </xdr:nvPicPr>
      <xdr:blipFill>
        <a:blip xmlns:r="http://schemas.openxmlformats.org/officeDocument/2006/relationships" r:embed="rId2725"/>
        <a:stretch>
          <a:fillRect/>
        </a:stretch>
      </xdr:blipFill>
      <xdr:spPr>
        <a:xfrm>
          <a:off x="7264400" y="3556755650"/>
          <a:ext cx="878840" cy="1183640"/>
        </a:xfrm>
        <a:prstGeom prst="rect">
          <a:avLst/>
        </a:prstGeom>
      </xdr:spPr>
    </xdr:pic>
    <xdr:clientData/>
  </xdr:twoCellAnchor>
  <xdr:twoCellAnchor>
    <xdr:from>
      <xdr:col>8</xdr:col>
      <xdr:colOff>6350</xdr:colOff>
      <xdr:row>3574</xdr:row>
      <xdr:rowOff>25400</xdr:rowOff>
    </xdr:from>
    <xdr:to>
      <xdr:col>8</xdr:col>
      <xdr:colOff>885190</xdr:colOff>
      <xdr:row>3574</xdr:row>
      <xdr:rowOff>1209040</xdr:rowOff>
    </xdr:to>
    <xdr:pic>
      <xdr:nvPicPr>
        <xdr:cNvPr id="7021" name="Изображение 7020" descr="resizeПП-00205029"/>
        <xdr:cNvPicPr>
          <a:picLocks noChangeAspect="1"/>
        </xdr:cNvPicPr>
      </xdr:nvPicPr>
      <xdr:blipFill>
        <a:blip xmlns:r="http://schemas.openxmlformats.org/officeDocument/2006/relationships" r:embed="rId2726"/>
        <a:stretch>
          <a:fillRect/>
        </a:stretch>
      </xdr:blipFill>
      <xdr:spPr>
        <a:xfrm>
          <a:off x="7264400" y="3557978025"/>
          <a:ext cx="878840" cy="1183640"/>
        </a:xfrm>
        <a:prstGeom prst="rect">
          <a:avLst/>
        </a:prstGeom>
      </xdr:spPr>
    </xdr:pic>
    <xdr:clientData/>
  </xdr:twoCellAnchor>
  <xdr:twoCellAnchor>
    <xdr:from>
      <xdr:col>8</xdr:col>
      <xdr:colOff>6350</xdr:colOff>
      <xdr:row>3575</xdr:row>
      <xdr:rowOff>25400</xdr:rowOff>
    </xdr:from>
    <xdr:to>
      <xdr:col>8</xdr:col>
      <xdr:colOff>885190</xdr:colOff>
      <xdr:row>3575</xdr:row>
      <xdr:rowOff>1209040</xdr:rowOff>
    </xdr:to>
    <xdr:pic>
      <xdr:nvPicPr>
        <xdr:cNvPr id="7022" name="Изображение 7021" descr="resizeПП-00205043"/>
        <xdr:cNvPicPr>
          <a:picLocks noChangeAspect="1"/>
        </xdr:cNvPicPr>
      </xdr:nvPicPr>
      <xdr:blipFill>
        <a:blip xmlns:r="http://schemas.openxmlformats.org/officeDocument/2006/relationships" r:embed="rId2727"/>
        <a:stretch>
          <a:fillRect/>
        </a:stretch>
      </xdr:blipFill>
      <xdr:spPr>
        <a:xfrm>
          <a:off x="7264400" y="3559200400"/>
          <a:ext cx="878840" cy="1183640"/>
        </a:xfrm>
        <a:prstGeom prst="rect">
          <a:avLst/>
        </a:prstGeom>
      </xdr:spPr>
    </xdr:pic>
    <xdr:clientData/>
  </xdr:twoCellAnchor>
  <xdr:twoCellAnchor>
    <xdr:from>
      <xdr:col>8</xdr:col>
      <xdr:colOff>6350</xdr:colOff>
      <xdr:row>3576</xdr:row>
      <xdr:rowOff>25400</xdr:rowOff>
    </xdr:from>
    <xdr:to>
      <xdr:col>8</xdr:col>
      <xdr:colOff>885190</xdr:colOff>
      <xdr:row>3576</xdr:row>
      <xdr:rowOff>1209040</xdr:rowOff>
    </xdr:to>
    <xdr:pic>
      <xdr:nvPicPr>
        <xdr:cNvPr id="7023" name="Изображение 7022" descr="resizeПП-00205027"/>
        <xdr:cNvPicPr>
          <a:picLocks noChangeAspect="1"/>
        </xdr:cNvPicPr>
      </xdr:nvPicPr>
      <xdr:blipFill>
        <a:blip xmlns:r="http://schemas.openxmlformats.org/officeDocument/2006/relationships" r:embed="rId2728"/>
        <a:stretch>
          <a:fillRect/>
        </a:stretch>
      </xdr:blipFill>
      <xdr:spPr>
        <a:xfrm>
          <a:off x="7264400" y="3560422775"/>
          <a:ext cx="878840" cy="1183640"/>
        </a:xfrm>
        <a:prstGeom prst="rect">
          <a:avLst/>
        </a:prstGeom>
      </xdr:spPr>
    </xdr:pic>
    <xdr:clientData/>
  </xdr:twoCellAnchor>
  <xdr:twoCellAnchor>
    <xdr:from>
      <xdr:col>8</xdr:col>
      <xdr:colOff>6350</xdr:colOff>
      <xdr:row>3577</xdr:row>
      <xdr:rowOff>25400</xdr:rowOff>
    </xdr:from>
    <xdr:to>
      <xdr:col>8</xdr:col>
      <xdr:colOff>885190</xdr:colOff>
      <xdr:row>3577</xdr:row>
      <xdr:rowOff>1209040</xdr:rowOff>
    </xdr:to>
    <xdr:pic>
      <xdr:nvPicPr>
        <xdr:cNvPr id="7024" name="Изображение 7023" descr="resizeПП-00205032"/>
        <xdr:cNvPicPr>
          <a:picLocks noChangeAspect="1"/>
        </xdr:cNvPicPr>
      </xdr:nvPicPr>
      <xdr:blipFill>
        <a:blip xmlns:r="http://schemas.openxmlformats.org/officeDocument/2006/relationships" r:embed="rId2729"/>
        <a:stretch>
          <a:fillRect/>
        </a:stretch>
      </xdr:blipFill>
      <xdr:spPr>
        <a:xfrm>
          <a:off x="7264400" y="3561645150"/>
          <a:ext cx="878840" cy="1183640"/>
        </a:xfrm>
        <a:prstGeom prst="rect">
          <a:avLst/>
        </a:prstGeom>
      </xdr:spPr>
    </xdr:pic>
    <xdr:clientData/>
  </xdr:twoCellAnchor>
  <xdr:twoCellAnchor>
    <xdr:from>
      <xdr:col>8</xdr:col>
      <xdr:colOff>6350</xdr:colOff>
      <xdr:row>3578</xdr:row>
      <xdr:rowOff>25400</xdr:rowOff>
    </xdr:from>
    <xdr:to>
      <xdr:col>8</xdr:col>
      <xdr:colOff>885190</xdr:colOff>
      <xdr:row>3578</xdr:row>
      <xdr:rowOff>1209040</xdr:rowOff>
    </xdr:to>
    <xdr:pic>
      <xdr:nvPicPr>
        <xdr:cNvPr id="7025" name="Изображение 7024" descr="resizeПП-00218898"/>
        <xdr:cNvPicPr>
          <a:picLocks noChangeAspect="1"/>
        </xdr:cNvPicPr>
      </xdr:nvPicPr>
      <xdr:blipFill>
        <a:blip xmlns:r="http://schemas.openxmlformats.org/officeDocument/2006/relationships" r:embed="rId2730"/>
        <a:stretch>
          <a:fillRect/>
        </a:stretch>
      </xdr:blipFill>
      <xdr:spPr>
        <a:xfrm>
          <a:off x="7264400" y="3562867525"/>
          <a:ext cx="878840" cy="1183640"/>
        </a:xfrm>
        <a:prstGeom prst="rect">
          <a:avLst/>
        </a:prstGeom>
      </xdr:spPr>
    </xdr:pic>
    <xdr:clientData/>
  </xdr:twoCellAnchor>
  <xdr:twoCellAnchor>
    <xdr:from>
      <xdr:col>8</xdr:col>
      <xdr:colOff>6350</xdr:colOff>
      <xdr:row>3579</xdr:row>
      <xdr:rowOff>25400</xdr:rowOff>
    </xdr:from>
    <xdr:to>
      <xdr:col>8</xdr:col>
      <xdr:colOff>885190</xdr:colOff>
      <xdr:row>3579</xdr:row>
      <xdr:rowOff>1209040</xdr:rowOff>
    </xdr:to>
    <xdr:pic>
      <xdr:nvPicPr>
        <xdr:cNvPr id="7026" name="Изображение 7025" descr="resizeПП-00258895"/>
        <xdr:cNvPicPr>
          <a:picLocks noChangeAspect="1"/>
        </xdr:cNvPicPr>
      </xdr:nvPicPr>
      <xdr:blipFill>
        <a:blip xmlns:r="http://schemas.openxmlformats.org/officeDocument/2006/relationships" r:embed="rId2731"/>
        <a:stretch>
          <a:fillRect/>
        </a:stretch>
      </xdr:blipFill>
      <xdr:spPr>
        <a:xfrm>
          <a:off x="7264400" y="3564089900"/>
          <a:ext cx="878840" cy="1183640"/>
        </a:xfrm>
        <a:prstGeom prst="rect">
          <a:avLst/>
        </a:prstGeom>
      </xdr:spPr>
    </xdr:pic>
    <xdr:clientData/>
  </xdr:twoCellAnchor>
  <xdr:twoCellAnchor>
    <xdr:from>
      <xdr:col>8</xdr:col>
      <xdr:colOff>6350</xdr:colOff>
      <xdr:row>3584</xdr:row>
      <xdr:rowOff>25400</xdr:rowOff>
    </xdr:from>
    <xdr:to>
      <xdr:col>8</xdr:col>
      <xdr:colOff>885190</xdr:colOff>
      <xdr:row>3584</xdr:row>
      <xdr:rowOff>1209040</xdr:rowOff>
    </xdr:to>
    <xdr:pic>
      <xdr:nvPicPr>
        <xdr:cNvPr id="7027" name="Изображение 7026" descr="resizeПП-00216879"/>
        <xdr:cNvPicPr>
          <a:picLocks noChangeAspect="1"/>
        </xdr:cNvPicPr>
      </xdr:nvPicPr>
      <xdr:blipFill>
        <a:blip xmlns:r="http://schemas.openxmlformats.org/officeDocument/2006/relationships" r:embed="rId2732"/>
        <a:stretch>
          <a:fillRect/>
        </a:stretch>
      </xdr:blipFill>
      <xdr:spPr>
        <a:xfrm>
          <a:off x="7264400" y="3566074275"/>
          <a:ext cx="878840" cy="1183640"/>
        </a:xfrm>
        <a:prstGeom prst="rect">
          <a:avLst/>
        </a:prstGeom>
      </xdr:spPr>
    </xdr:pic>
    <xdr:clientData/>
  </xdr:twoCellAnchor>
  <xdr:twoCellAnchor>
    <xdr:from>
      <xdr:col>8</xdr:col>
      <xdr:colOff>6350</xdr:colOff>
      <xdr:row>3586</xdr:row>
      <xdr:rowOff>25400</xdr:rowOff>
    </xdr:from>
    <xdr:to>
      <xdr:col>8</xdr:col>
      <xdr:colOff>885190</xdr:colOff>
      <xdr:row>3586</xdr:row>
      <xdr:rowOff>1209040</xdr:rowOff>
    </xdr:to>
    <xdr:pic>
      <xdr:nvPicPr>
        <xdr:cNvPr id="7028" name="Изображение 7027" descr="resizeПП-00236679"/>
        <xdr:cNvPicPr>
          <a:picLocks noChangeAspect="1"/>
        </xdr:cNvPicPr>
      </xdr:nvPicPr>
      <xdr:blipFill>
        <a:blip xmlns:r="http://schemas.openxmlformats.org/officeDocument/2006/relationships" r:embed="rId2733"/>
        <a:stretch>
          <a:fillRect/>
        </a:stretch>
      </xdr:blipFill>
      <xdr:spPr>
        <a:xfrm>
          <a:off x="7264400" y="3567449050"/>
          <a:ext cx="878840" cy="1183640"/>
        </a:xfrm>
        <a:prstGeom prst="rect">
          <a:avLst/>
        </a:prstGeom>
      </xdr:spPr>
    </xdr:pic>
    <xdr:clientData/>
  </xdr:twoCellAnchor>
  <xdr:twoCellAnchor>
    <xdr:from>
      <xdr:col>8</xdr:col>
      <xdr:colOff>6350</xdr:colOff>
      <xdr:row>3587</xdr:row>
      <xdr:rowOff>25400</xdr:rowOff>
    </xdr:from>
    <xdr:to>
      <xdr:col>8</xdr:col>
      <xdr:colOff>885190</xdr:colOff>
      <xdr:row>3587</xdr:row>
      <xdr:rowOff>1209040</xdr:rowOff>
    </xdr:to>
    <xdr:pic>
      <xdr:nvPicPr>
        <xdr:cNvPr id="7029" name="Изображение 7028" descr="resizeПП-00236671"/>
        <xdr:cNvPicPr>
          <a:picLocks noChangeAspect="1"/>
        </xdr:cNvPicPr>
      </xdr:nvPicPr>
      <xdr:blipFill>
        <a:blip xmlns:r="http://schemas.openxmlformats.org/officeDocument/2006/relationships" r:embed="rId2734"/>
        <a:stretch>
          <a:fillRect/>
        </a:stretch>
      </xdr:blipFill>
      <xdr:spPr>
        <a:xfrm>
          <a:off x="7264400" y="3568671425"/>
          <a:ext cx="878840" cy="1183640"/>
        </a:xfrm>
        <a:prstGeom prst="rect">
          <a:avLst/>
        </a:prstGeom>
      </xdr:spPr>
    </xdr:pic>
    <xdr:clientData/>
  </xdr:twoCellAnchor>
  <xdr:twoCellAnchor>
    <xdr:from>
      <xdr:col>8</xdr:col>
      <xdr:colOff>6350</xdr:colOff>
      <xdr:row>3588</xdr:row>
      <xdr:rowOff>25400</xdr:rowOff>
    </xdr:from>
    <xdr:to>
      <xdr:col>8</xdr:col>
      <xdr:colOff>885190</xdr:colOff>
      <xdr:row>3588</xdr:row>
      <xdr:rowOff>1209040</xdr:rowOff>
    </xdr:to>
    <xdr:pic>
      <xdr:nvPicPr>
        <xdr:cNvPr id="7030" name="Изображение 7029" descr="resizeПП-00236674"/>
        <xdr:cNvPicPr>
          <a:picLocks noChangeAspect="1"/>
        </xdr:cNvPicPr>
      </xdr:nvPicPr>
      <xdr:blipFill>
        <a:blip xmlns:r="http://schemas.openxmlformats.org/officeDocument/2006/relationships" r:embed="rId2735"/>
        <a:stretch>
          <a:fillRect/>
        </a:stretch>
      </xdr:blipFill>
      <xdr:spPr>
        <a:xfrm>
          <a:off x="7264400" y="3569893800"/>
          <a:ext cx="878840" cy="1183640"/>
        </a:xfrm>
        <a:prstGeom prst="rect">
          <a:avLst/>
        </a:prstGeom>
      </xdr:spPr>
    </xdr:pic>
    <xdr:clientData/>
  </xdr:twoCellAnchor>
  <xdr:twoCellAnchor>
    <xdr:from>
      <xdr:col>8</xdr:col>
      <xdr:colOff>6350</xdr:colOff>
      <xdr:row>3589</xdr:row>
      <xdr:rowOff>25400</xdr:rowOff>
    </xdr:from>
    <xdr:to>
      <xdr:col>8</xdr:col>
      <xdr:colOff>885190</xdr:colOff>
      <xdr:row>3589</xdr:row>
      <xdr:rowOff>1209040</xdr:rowOff>
    </xdr:to>
    <xdr:pic>
      <xdr:nvPicPr>
        <xdr:cNvPr id="7031" name="Изображение 7030" descr="resizeПП-00236677"/>
        <xdr:cNvPicPr>
          <a:picLocks noChangeAspect="1"/>
        </xdr:cNvPicPr>
      </xdr:nvPicPr>
      <xdr:blipFill>
        <a:blip xmlns:r="http://schemas.openxmlformats.org/officeDocument/2006/relationships" r:embed="rId2736"/>
        <a:stretch>
          <a:fillRect/>
        </a:stretch>
      </xdr:blipFill>
      <xdr:spPr>
        <a:xfrm>
          <a:off x="7264400" y="3571116175"/>
          <a:ext cx="878840" cy="1183640"/>
        </a:xfrm>
        <a:prstGeom prst="rect">
          <a:avLst/>
        </a:prstGeom>
      </xdr:spPr>
    </xdr:pic>
    <xdr:clientData/>
  </xdr:twoCellAnchor>
  <xdr:twoCellAnchor>
    <xdr:from>
      <xdr:col>8</xdr:col>
      <xdr:colOff>6350</xdr:colOff>
      <xdr:row>3590</xdr:row>
      <xdr:rowOff>25400</xdr:rowOff>
    </xdr:from>
    <xdr:to>
      <xdr:col>8</xdr:col>
      <xdr:colOff>885190</xdr:colOff>
      <xdr:row>3590</xdr:row>
      <xdr:rowOff>1209040</xdr:rowOff>
    </xdr:to>
    <xdr:pic>
      <xdr:nvPicPr>
        <xdr:cNvPr id="7032" name="Изображение 7031" descr="resizeПП-00236675"/>
        <xdr:cNvPicPr>
          <a:picLocks noChangeAspect="1"/>
        </xdr:cNvPicPr>
      </xdr:nvPicPr>
      <xdr:blipFill>
        <a:blip xmlns:r="http://schemas.openxmlformats.org/officeDocument/2006/relationships" r:embed="rId2737"/>
        <a:stretch>
          <a:fillRect/>
        </a:stretch>
      </xdr:blipFill>
      <xdr:spPr>
        <a:xfrm>
          <a:off x="7264400" y="3572338550"/>
          <a:ext cx="878840" cy="1183640"/>
        </a:xfrm>
        <a:prstGeom prst="rect">
          <a:avLst/>
        </a:prstGeom>
      </xdr:spPr>
    </xdr:pic>
    <xdr:clientData/>
  </xdr:twoCellAnchor>
  <xdr:twoCellAnchor>
    <xdr:from>
      <xdr:col>8</xdr:col>
      <xdr:colOff>6350</xdr:colOff>
      <xdr:row>3591</xdr:row>
      <xdr:rowOff>25400</xdr:rowOff>
    </xdr:from>
    <xdr:to>
      <xdr:col>8</xdr:col>
      <xdr:colOff>885190</xdr:colOff>
      <xdr:row>3591</xdr:row>
      <xdr:rowOff>1209040</xdr:rowOff>
    </xdr:to>
    <xdr:pic>
      <xdr:nvPicPr>
        <xdr:cNvPr id="7033" name="Изображение 7032" descr="resizeПП-00236669"/>
        <xdr:cNvPicPr>
          <a:picLocks noChangeAspect="1"/>
        </xdr:cNvPicPr>
      </xdr:nvPicPr>
      <xdr:blipFill>
        <a:blip xmlns:r="http://schemas.openxmlformats.org/officeDocument/2006/relationships" r:embed="rId2738"/>
        <a:stretch>
          <a:fillRect/>
        </a:stretch>
      </xdr:blipFill>
      <xdr:spPr>
        <a:xfrm>
          <a:off x="7264400" y="3573560925"/>
          <a:ext cx="878840" cy="1183640"/>
        </a:xfrm>
        <a:prstGeom prst="rect">
          <a:avLst/>
        </a:prstGeom>
      </xdr:spPr>
    </xdr:pic>
    <xdr:clientData/>
  </xdr:twoCellAnchor>
  <xdr:twoCellAnchor>
    <xdr:from>
      <xdr:col>8</xdr:col>
      <xdr:colOff>6350</xdr:colOff>
      <xdr:row>3594</xdr:row>
      <xdr:rowOff>25400</xdr:rowOff>
    </xdr:from>
    <xdr:to>
      <xdr:col>8</xdr:col>
      <xdr:colOff>885190</xdr:colOff>
      <xdr:row>3594</xdr:row>
      <xdr:rowOff>1209040</xdr:rowOff>
    </xdr:to>
    <xdr:pic>
      <xdr:nvPicPr>
        <xdr:cNvPr id="7034" name="Изображение 7033" descr="resizeПП-00216989"/>
        <xdr:cNvPicPr>
          <a:picLocks noChangeAspect="1"/>
        </xdr:cNvPicPr>
      </xdr:nvPicPr>
      <xdr:blipFill>
        <a:blip xmlns:r="http://schemas.openxmlformats.org/officeDocument/2006/relationships" r:embed="rId2739"/>
        <a:stretch>
          <a:fillRect/>
        </a:stretch>
      </xdr:blipFill>
      <xdr:spPr>
        <a:xfrm>
          <a:off x="7264400" y="3575088100"/>
          <a:ext cx="878840" cy="1183640"/>
        </a:xfrm>
        <a:prstGeom prst="rect">
          <a:avLst/>
        </a:prstGeom>
      </xdr:spPr>
    </xdr:pic>
    <xdr:clientData/>
  </xdr:twoCellAnchor>
  <xdr:twoCellAnchor>
    <xdr:from>
      <xdr:col>8</xdr:col>
      <xdr:colOff>6350</xdr:colOff>
      <xdr:row>3595</xdr:row>
      <xdr:rowOff>25400</xdr:rowOff>
    </xdr:from>
    <xdr:to>
      <xdr:col>8</xdr:col>
      <xdr:colOff>885190</xdr:colOff>
      <xdr:row>3595</xdr:row>
      <xdr:rowOff>1209040</xdr:rowOff>
    </xdr:to>
    <xdr:pic>
      <xdr:nvPicPr>
        <xdr:cNvPr id="7035" name="Изображение 7034" descr="resizeПП-00217009"/>
        <xdr:cNvPicPr>
          <a:picLocks noChangeAspect="1"/>
        </xdr:cNvPicPr>
      </xdr:nvPicPr>
      <xdr:blipFill>
        <a:blip xmlns:r="http://schemas.openxmlformats.org/officeDocument/2006/relationships" r:embed="rId2740"/>
        <a:stretch>
          <a:fillRect/>
        </a:stretch>
      </xdr:blipFill>
      <xdr:spPr>
        <a:xfrm>
          <a:off x="7264400" y="3576310475"/>
          <a:ext cx="878840" cy="1183640"/>
        </a:xfrm>
        <a:prstGeom prst="rect">
          <a:avLst/>
        </a:prstGeom>
      </xdr:spPr>
    </xdr:pic>
    <xdr:clientData/>
  </xdr:twoCellAnchor>
  <xdr:twoCellAnchor>
    <xdr:from>
      <xdr:col>8</xdr:col>
      <xdr:colOff>6350</xdr:colOff>
      <xdr:row>3596</xdr:row>
      <xdr:rowOff>25400</xdr:rowOff>
    </xdr:from>
    <xdr:to>
      <xdr:col>8</xdr:col>
      <xdr:colOff>885190</xdr:colOff>
      <xdr:row>3596</xdr:row>
      <xdr:rowOff>1209040</xdr:rowOff>
    </xdr:to>
    <xdr:pic>
      <xdr:nvPicPr>
        <xdr:cNvPr id="7036" name="Изображение 7035" descr="resizeПП-00217016"/>
        <xdr:cNvPicPr>
          <a:picLocks noChangeAspect="1"/>
        </xdr:cNvPicPr>
      </xdr:nvPicPr>
      <xdr:blipFill>
        <a:blip xmlns:r="http://schemas.openxmlformats.org/officeDocument/2006/relationships" r:embed="rId2741"/>
        <a:stretch>
          <a:fillRect/>
        </a:stretch>
      </xdr:blipFill>
      <xdr:spPr>
        <a:xfrm>
          <a:off x="7264400" y="3577532850"/>
          <a:ext cx="878840" cy="1183640"/>
        </a:xfrm>
        <a:prstGeom prst="rect">
          <a:avLst/>
        </a:prstGeom>
      </xdr:spPr>
    </xdr:pic>
    <xdr:clientData/>
  </xdr:twoCellAnchor>
  <xdr:twoCellAnchor>
    <xdr:from>
      <xdr:col>8</xdr:col>
      <xdr:colOff>6350</xdr:colOff>
      <xdr:row>3599</xdr:row>
      <xdr:rowOff>25400</xdr:rowOff>
    </xdr:from>
    <xdr:to>
      <xdr:col>8</xdr:col>
      <xdr:colOff>885190</xdr:colOff>
      <xdr:row>3599</xdr:row>
      <xdr:rowOff>1209040</xdr:rowOff>
    </xdr:to>
    <xdr:pic>
      <xdr:nvPicPr>
        <xdr:cNvPr id="7037" name="Изображение 7036" descr="resizeПП-00216988"/>
        <xdr:cNvPicPr>
          <a:picLocks noChangeAspect="1"/>
        </xdr:cNvPicPr>
      </xdr:nvPicPr>
      <xdr:blipFill>
        <a:blip xmlns:r="http://schemas.openxmlformats.org/officeDocument/2006/relationships" r:embed="rId2742"/>
        <a:stretch>
          <a:fillRect/>
        </a:stretch>
      </xdr:blipFill>
      <xdr:spPr>
        <a:xfrm>
          <a:off x="7264400" y="3579060025"/>
          <a:ext cx="878840" cy="1183640"/>
        </a:xfrm>
        <a:prstGeom prst="rect">
          <a:avLst/>
        </a:prstGeom>
      </xdr:spPr>
    </xdr:pic>
    <xdr:clientData/>
  </xdr:twoCellAnchor>
  <xdr:twoCellAnchor>
    <xdr:from>
      <xdr:col>8</xdr:col>
      <xdr:colOff>6350</xdr:colOff>
      <xdr:row>3600</xdr:row>
      <xdr:rowOff>25400</xdr:rowOff>
    </xdr:from>
    <xdr:to>
      <xdr:col>8</xdr:col>
      <xdr:colOff>885190</xdr:colOff>
      <xdr:row>3600</xdr:row>
      <xdr:rowOff>1209040</xdr:rowOff>
    </xdr:to>
    <xdr:pic>
      <xdr:nvPicPr>
        <xdr:cNvPr id="7038" name="Изображение 7037" descr="resizeПП-00216987"/>
        <xdr:cNvPicPr>
          <a:picLocks noChangeAspect="1"/>
        </xdr:cNvPicPr>
      </xdr:nvPicPr>
      <xdr:blipFill>
        <a:blip xmlns:r="http://schemas.openxmlformats.org/officeDocument/2006/relationships" r:embed="rId2743"/>
        <a:stretch>
          <a:fillRect/>
        </a:stretch>
      </xdr:blipFill>
      <xdr:spPr>
        <a:xfrm>
          <a:off x="7264400" y="3580282400"/>
          <a:ext cx="878840" cy="1183640"/>
        </a:xfrm>
        <a:prstGeom prst="rect">
          <a:avLst/>
        </a:prstGeom>
      </xdr:spPr>
    </xdr:pic>
    <xdr:clientData/>
  </xdr:twoCellAnchor>
  <xdr:twoCellAnchor>
    <xdr:from>
      <xdr:col>8</xdr:col>
      <xdr:colOff>6350</xdr:colOff>
      <xdr:row>3603</xdr:row>
      <xdr:rowOff>25400</xdr:rowOff>
    </xdr:from>
    <xdr:to>
      <xdr:col>8</xdr:col>
      <xdr:colOff>885190</xdr:colOff>
      <xdr:row>3603</xdr:row>
      <xdr:rowOff>1209040</xdr:rowOff>
    </xdr:to>
    <xdr:pic>
      <xdr:nvPicPr>
        <xdr:cNvPr id="7039" name="Изображение 7038" descr="resizeПП-00216966"/>
        <xdr:cNvPicPr>
          <a:picLocks noChangeAspect="1"/>
        </xdr:cNvPicPr>
      </xdr:nvPicPr>
      <xdr:blipFill>
        <a:blip xmlns:r="http://schemas.openxmlformats.org/officeDocument/2006/relationships" r:embed="rId2744"/>
        <a:stretch>
          <a:fillRect/>
        </a:stretch>
      </xdr:blipFill>
      <xdr:spPr>
        <a:xfrm>
          <a:off x="7264400" y="3581809575"/>
          <a:ext cx="878840" cy="1183640"/>
        </a:xfrm>
        <a:prstGeom prst="rect">
          <a:avLst/>
        </a:prstGeom>
      </xdr:spPr>
    </xdr:pic>
    <xdr:clientData/>
  </xdr:twoCellAnchor>
  <xdr:twoCellAnchor>
    <xdr:from>
      <xdr:col>8</xdr:col>
      <xdr:colOff>6350</xdr:colOff>
      <xdr:row>3604</xdr:row>
      <xdr:rowOff>25400</xdr:rowOff>
    </xdr:from>
    <xdr:to>
      <xdr:col>8</xdr:col>
      <xdr:colOff>885190</xdr:colOff>
      <xdr:row>3604</xdr:row>
      <xdr:rowOff>1209040</xdr:rowOff>
    </xdr:to>
    <xdr:pic>
      <xdr:nvPicPr>
        <xdr:cNvPr id="7040" name="Изображение 7039" descr="resizeПП-00216967"/>
        <xdr:cNvPicPr>
          <a:picLocks noChangeAspect="1"/>
        </xdr:cNvPicPr>
      </xdr:nvPicPr>
      <xdr:blipFill>
        <a:blip xmlns:r="http://schemas.openxmlformats.org/officeDocument/2006/relationships" r:embed="rId2745"/>
        <a:stretch>
          <a:fillRect/>
        </a:stretch>
      </xdr:blipFill>
      <xdr:spPr>
        <a:xfrm>
          <a:off x="7264400" y="3583031950"/>
          <a:ext cx="878840" cy="1183640"/>
        </a:xfrm>
        <a:prstGeom prst="rect">
          <a:avLst/>
        </a:prstGeom>
      </xdr:spPr>
    </xdr:pic>
    <xdr:clientData/>
  </xdr:twoCellAnchor>
  <xdr:twoCellAnchor>
    <xdr:from>
      <xdr:col>8</xdr:col>
      <xdr:colOff>6350</xdr:colOff>
      <xdr:row>3605</xdr:row>
      <xdr:rowOff>25400</xdr:rowOff>
    </xdr:from>
    <xdr:to>
      <xdr:col>8</xdr:col>
      <xdr:colOff>885190</xdr:colOff>
      <xdr:row>3605</xdr:row>
      <xdr:rowOff>1209040</xdr:rowOff>
    </xdr:to>
    <xdr:pic>
      <xdr:nvPicPr>
        <xdr:cNvPr id="7041" name="Изображение 7040" descr="resizeПП-00216971"/>
        <xdr:cNvPicPr>
          <a:picLocks noChangeAspect="1"/>
        </xdr:cNvPicPr>
      </xdr:nvPicPr>
      <xdr:blipFill>
        <a:blip xmlns:r="http://schemas.openxmlformats.org/officeDocument/2006/relationships" r:embed="rId2746"/>
        <a:stretch>
          <a:fillRect/>
        </a:stretch>
      </xdr:blipFill>
      <xdr:spPr>
        <a:xfrm>
          <a:off x="7264400" y="3584254325"/>
          <a:ext cx="878840" cy="1183640"/>
        </a:xfrm>
        <a:prstGeom prst="rect">
          <a:avLst/>
        </a:prstGeom>
      </xdr:spPr>
    </xdr:pic>
    <xdr:clientData/>
  </xdr:twoCellAnchor>
  <xdr:twoCellAnchor>
    <xdr:from>
      <xdr:col>8</xdr:col>
      <xdr:colOff>6350</xdr:colOff>
      <xdr:row>3607</xdr:row>
      <xdr:rowOff>25400</xdr:rowOff>
    </xdr:from>
    <xdr:to>
      <xdr:col>8</xdr:col>
      <xdr:colOff>885190</xdr:colOff>
      <xdr:row>3607</xdr:row>
      <xdr:rowOff>1209040</xdr:rowOff>
    </xdr:to>
    <xdr:pic>
      <xdr:nvPicPr>
        <xdr:cNvPr id="7042" name="Изображение 7041" descr="resizeПП-00216992"/>
        <xdr:cNvPicPr>
          <a:picLocks noChangeAspect="1"/>
        </xdr:cNvPicPr>
      </xdr:nvPicPr>
      <xdr:blipFill>
        <a:blip xmlns:r="http://schemas.openxmlformats.org/officeDocument/2006/relationships" r:embed="rId2747"/>
        <a:stretch>
          <a:fillRect/>
        </a:stretch>
      </xdr:blipFill>
      <xdr:spPr>
        <a:xfrm>
          <a:off x="7264400" y="3585629100"/>
          <a:ext cx="878840" cy="1183640"/>
        </a:xfrm>
        <a:prstGeom prst="rect">
          <a:avLst/>
        </a:prstGeom>
      </xdr:spPr>
    </xdr:pic>
    <xdr:clientData/>
  </xdr:twoCellAnchor>
  <xdr:twoCellAnchor>
    <xdr:from>
      <xdr:col>8</xdr:col>
      <xdr:colOff>6350</xdr:colOff>
      <xdr:row>3608</xdr:row>
      <xdr:rowOff>25400</xdr:rowOff>
    </xdr:from>
    <xdr:to>
      <xdr:col>8</xdr:col>
      <xdr:colOff>885190</xdr:colOff>
      <xdr:row>3608</xdr:row>
      <xdr:rowOff>1209040</xdr:rowOff>
    </xdr:to>
    <xdr:pic>
      <xdr:nvPicPr>
        <xdr:cNvPr id="7043" name="Изображение 7042" descr="resizeПП-00216999"/>
        <xdr:cNvPicPr>
          <a:picLocks noChangeAspect="1"/>
        </xdr:cNvPicPr>
      </xdr:nvPicPr>
      <xdr:blipFill>
        <a:blip xmlns:r="http://schemas.openxmlformats.org/officeDocument/2006/relationships" r:embed="rId2748"/>
        <a:stretch>
          <a:fillRect/>
        </a:stretch>
      </xdr:blipFill>
      <xdr:spPr>
        <a:xfrm>
          <a:off x="7264400" y="3586851475"/>
          <a:ext cx="878840" cy="1183640"/>
        </a:xfrm>
        <a:prstGeom prst="rect">
          <a:avLst/>
        </a:prstGeom>
      </xdr:spPr>
    </xdr:pic>
    <xdr:clientData/>
  </xdr:twoCellAnchor>
  <xdr:twoCellAnchor>
    <xdr:from>
      <xdr:col>8</xdr:col>
      <xdr:colOff>6350</xdr:colOff>
      <xdr:row>3611</xdr:row>
      <xdr:rowOff>25400</xdr:rowOff>
    </xdr:from>
    <xdr:to>
      <xdr:col>8</xdr:col>
      <xdr:colOff>885190</xdr:colOff>
      <xdr:row>3611</xdr:row>
      <xdr:rowOff>1209040</xdr:rowOff>
    </xdr:to>
    <xdr:pic>
      <xdr:nvPicPr>
        <xdr:cNvPr id="7044" name="Изображение 7043" descr="resizeПП-00168087"/>
        <xdr:cNvPicPr>
          <a:picLocks noChangeAspect="1"/>
        </xdr:cNvPicPr>
      </xdr:nvPicPr>
      <xdr:blipFill>
        <a:blip xmlns:r="http://schemas.openxmlformats.org/officeDocument/2006/relationships" r:embed="rId2749"/>
        <a:stretch>
          <a:fillRect/>
        </a:stretch>
      </xdr:blipFill>
      <xdr:spPr>
        <a:xfrm>
          <a:off x="7264400" y="3588378650"/>
          <a:ext cx="878840" cy="1183640"/>
        </a:xfrm>
        <a:prstGeom prst="rect">
          <a:avLst/>
        </a:prstGeom>
      </xdr:spPr>
    </xdr:pic>
    <xdr:clientData/>
  </xdr:twoCellAnchor>
  <xdr:twoCellAnchor>
    <xdr:from>
      <xdr:col>8</xdr:col>
      <xdr:colOff>6350</xdr:colOff>
      <xdr:row>3612</xdr:row>
      <xdr:rowOff>25400</xdr:rowOff>
    </xdr:from>
    <xdr:to>
      <xdr:col>8</xdr:col>
      <xdr:colOff>885190</xdr:colOff>
      <xdr:row>3612</xdr:row>
      <xdr:rowOff>1209040</xdr:rowOff>
    </xdr:to>
    <xdr:pic>
      <xdr:nvPicPr>
        <xdr:cNvPr id="7045" name="Изображение 7044" descr="resizeПП-00235864"/>
        <xdr:cNvPicPr>
          <a:picLocks noChangeAspect="1"/>
        </xdr:cNvPicPr>
      </xdr:nvPicPr>
      <xdr:blipFill>
        <a:blip xmlns:r="http://schemas.openxmlformats.org/officeDocument/2006/relationships" r:embed="rId2750"/>
        <a:stretch>
          <a:fillRect/>
        </a:stretch>
      </xdr:blipFill>
      <xdr:spPr>
        <a:xfrm>
          <a:off x="7264400" y="3589601025"/>
          <a:ext cx="878840" cy="1183640"/>
        </a:xfrm>
        <a:prstGeom prst="rect">
          <a:avLst/>
        </a:prstGeom>
      </xdr:spPr>
    </xdr:pic>
    <xdr:clientData/>
  </xdr:twoCellAnchor>
  <xdr:twoCellAnchor>
    <xdr:from>
      <xdr:col>8</xdr:col>
      <xdr:colOff>6350</xdr:colOff>
      <xdr:row>3614</xdr:row>
      <xdr:rowOff>25400</xdr:rowOff>
    </xdr:from>
    <xdr:to>
      <xdr:col>8</xdr:col>
      <xdr:colOff>885190</xdr:colOff>
      <xdr:row>3614</xdr:row>
      <xdr:rowOff>1209040</xdr:rowOff>
    </xdr:to>
    <xdr:pic>
      <xdr:nvPicPr>
        <xdr:cNvPr id="7046" name="Изображение 7045" descr="resizeПП-00216891"/>
        <xdr:cNvPicPr>
          <a:picLocks noChangeAspect="1"/>
        </xdr:cNvPicPr>
      </xdr:nvPicPr>
      <xdr:blipFill>
        <a:blip xmlns:r="http://schemas.openxmlformats.org/officeDocument/2006/relationships" r:embed="rId2751"/>
        <a:stretch>
          <a:fillRect/>
        </a:stretch>
      </xdr:blipFill>
      <xdr:spPr>
        <a:xfrm>
          <a:off x="7264400" y="3590975800"/>
          <a:ext cx="878840" cy="1183640"/>
        </a:xfrm>
        <a:prstGeom prst="rect">
          <a:avLst/>
        </a:prstGeom>
      </xdr:spPr>
    </xdr:pic>
    <xdr:clientData/>
  </xdr:twoCellAnchor>
  <xdr:twoCellAnchor>
    <xdr:from>
      <xdr:col>8</xdr:col>
      <xdr:colOff>6350</xdr:colOff>
      <xdr:row>3615</xdr:row>
      <xdr:rowOff>25400</xdr:rowOff>
    </xdr:from>
    <xdr:to>
      <xdr:col>8</xdr:col>
      <xdr:colOff>885190</xdr:colOff>
      <xdr:row>3615</xdr:row>
      <xdr:rowOff>1209040</xdr:rowOff>
    </xdr:to>
    <xdr:pic>
      <xdr:nvPicPr>
        <xdr:cNvPr id="7047" name="Изображение 7046" descr="resizeПП-00216894"/>
        <xdr:cNvPicPr>
          <a:picLocks noChangeAspect="1"/>
        </xdr:cNvPicPr>
      </xdr:nvPicPr>
      <xdr:blipFill>
        <a:blip xmlns:r="http://schemas.openxmlformats.org/officeDocument/2006/relationships" r:embed="rId2752"/>
        <a:stretch>
          <a:fillRect/>
        </a:stretch>
      </xdr:blipFill>
      <xdr:spPr>
        <a:xfrm>
          <a:off x="7264400" y="3592198175"/>
          <a:ext cx="878840" cy="1183640"/>
        </a:xfrm>
        <a:prstGeom prst="rect">
          <a:avLst/>
        </a:prstGeom>
      </xdr:spPr>
    </xdr:pic>
    <xdr:clientData/>
  </xdr:twoCellAnchor>
  <xdr:twoCellAnchor>
    <xdr:from>
      <xdr:col>8</xdr:col>
      <xdr:colOff>6350</xdr:colOff>
      <xdr:row>3616</xdr:row>
      <xdr:rowOff>25400</xdr:rowOff>
    </xdr:from>
    <xdr:to>
      <xdr:col>8</xdr:col>
      <xdr:colOff>885190</xdr:colOff>
      <xdr:row>3616</xdr:row>
      <xdr:rowOff>1209040</xdr:rowOff>
    </xdr:to>
    <xdr:pic>
      <xdr:nvPicPr>
        <xdr:cNvPr id="7048" name="Изображение 7047" descr="resizeПП-00216890"/>
        <xdr:cNvPicPr>
          <a:picLocks noChangeAspect="1"/>
        </xdr:cNvPicPr>
      </xdr:nvPicPr>
      <xdr:blipFill>
        <a:blip xmlns:r="http://schemas.openxmlformats.org/officeDocument/2006/relationships" r:embed="rId2753"/>
        <a:stretch>
          <a:fillRect/>
        </a:stretch>
      </xdr:blipFill>
      <xdr:spPr>
        <a:xfrm>
          <a:off x="7264400" y="3593420550"/>
          <a:ext cx="878840" cy="1183640"/>
        </a:xfrm>
        <a:prstGeom prst="rect">
          <a:avLst/>
        </a:prstGeom>
      </xdr:spPr>
    </xdr:pic>
    <xdr:clientData/>
  </xdr:twoCellAnchor>
  <xdr:twoCellAnchor>
    <xdr:from>
      <xdr:col>8</xdr:col>
      <xdr:colOff>6350</xdr:colOff>
      <xdr:row>3617</xdr:row>
      <xdr:rowOff>25400</xdr:rowOff>
    </xdr:from>
    <xdr:to>
      <xdr:col>8</xdr:col>
      <xdr:colOff>885190</xdr:colOff>
      <xdr:row>3617</xdr:row>
      <xdr:rowOff>1209040</xdr:rowOff>
    </xdr:to>
    <xdr:pic>
      <xdr:nvPicPr>
        <xdr:cNvPr id="7049" name="Изображение 7048" descr="resizeПП-00216892"/>
        <xdr:cNvPicPr>
          <a:picLocks noChangeAspect="1"/>
        </xdr:cNvPicPr>
      </xdr:nvPicPr>
      <xdr:blipFill>
        <a:blip xmlns:r="http://schemas.openxmlformats.org/officeDocument/2006/relationships" r:embed="rId2754"/>
        <a:stretch>
          <a:fillRect/>
        </a:stretch>
      </xdr:blipFill>
      <xdr:spPr>
        <a:xfrm>
          <a:off x="7264400" y="3594642925"/>
          <a:ext cx="878840" cy="1183640"/>
        </a:xfrm>
        <a:prstGeom prst="rect">
          <a:avLst/>
        </a:prstGeom>
      </xdr:spPr>
    </xdr:pic>
    <xdr:clientData/>
  </xdr:twoCellAnchor>
  <xdr:twoCellAnchor>
    <xdr:from>
      <xdr:col>8</xdr:col>
      <xdr:colOff>6350</xdr:colOff>
      <xdr:row>3618</xdr:row>
      <xdr:rowOff>25400</xdr:rowOff>
    </xdr:from>
    <xdr:to>
      <xdr:col>8</xdr:col>
      <xdr:colOff>885190</xdr:colOff>
      <xdr:row>3618</xdr:row>
      <xdr:rowOff>1209040</xdr:rowOff>
    </xdr:to>
    <xdr:pic>
      <xdr:nvPicPr>
        <xdr:cNvPr id="7050" name="Изображение 7049" descr="resizeПП-00216903"/>
        <xdr:cNvPicPr>
          <a:picLocks noChangeAspect="1"/>
        </xdr:cNvPicPr>
      </xdr:nvPicPr>
      <xdr:blipFill>
        <a:blip xmlns:r="http://schemas.openxmlformats.org/officeDocument/2006/relationships" r:embed="rId2755"/>
        <a:stretch>
          <a:fillRect/>
        </a:stretch>
      </xdr:blipFill>
      <xdr:spPr>
        <a:xfrm>
          <a:off x="7264400" y="3595865300"/>
          <a:ext cx="878840" cy="1183640"/>
        </a:xfrm>
        <a:prstGeom prst="rect">
          <a:avLst/>
        </a:prstGeom>
      </xdr:spPr>
    </xdr:pic>
    <xdr:clientData/>
  </xdr:twoCellAnchor>
  <xdr:twoCellAnchor>
    <xdr:from>
      <xdr:col>8</xdr:col>
      <xdr:colOff>6350</xdr:colOff>
      <xdr:row>3619</xdr:row>
      <xdr:rowOff>25400</xdr:rowOff>
    </xdr:from>
    <xdr:to>
      <xdr:col>8</xdr:col>
      <xdr:colOff>885190</xdr:colOff>
      <xdr:row>3619</xdr:row>
      <xdr:rowOff>1209040</xdr:rowOff>
    </xdr:to>
    <xdr:pic>
      <xdr:nvPicPr>
        <xdr:cNvPr id="7051" name="Изображение 7050" descr="resizeПП-00216904"/>
        <xdr:cNvPicPr>
          <a:picLocks noChangeAspect="1"/>
        </xdr:cNvPicPr>
      </xdr:nvPicPr>
      <xdr:blipFill>
        <a:blip xmlns:r="http://schemas.openxmlformats.org/officeDocument/2006/relationships" r:embed="rId2756"/>
        <a:stretch>
          <a:fillRect/>
        </a:stretch>
      </xdr:blipFill>
      <xdr:spPr>
        <a:xfrm>
          <a:off x="7264400" y="3597087675"/>
          <a:ext cx="878840" cy="1183640"/>
        </a:xfrm>
        <a:prstGeom prst="rect">
          <a:avLst/>
        </a:prstGeom>
      </xdr:spPr>
    </xdr:pic>
    <xdr:clientData/>
  </xdr:twoCellAnchor>
  <xdr:twoCellAnchor>
    <xdr:from>
      <xdr:col>8</xdr:col>
      <xdr:colOff>6350</xdr:colOff>
      <xdr:row>3620</xdr:row>
      <xdr:rowOff>25400</xdr:rowOff>
    </xdr:from>
    <xdr:to>
      <xdr:col>8</xdr:col>
      <xdr:colOff>885190</xdr:colOff>
      <xdr:row>3620</xdr:row>
      <xdr:rowOff>1209040</xdr:rowOff>
    </xdr:to>
    <xdr:pic>
      <xdr:nvPicPr>
        <xdr:cNvPr id="7052" name="Изображение 7051" descr="resizeПП-00216901"/>
        <xdr:cNvPicPr>
          <a:picLocks noChangeAspect="1"/>
        </xdr:cNvPicPr>
      </xdr:nvPicPr>
      <xdr:blipFill>
        <a:blip xmlns:r="http://schemas.openxmlformats.org/officeDocument/2006/relationships" r:embed="rId2757"/>
        <a:stretch>
          <a:fillRect/>
        </a:stretch>
      </xdr:blipFill>
      <xdr:spPr>
        <a:xfrm>
          <a:off x="7264400" y="3598310050"/>
          <a:ext cx="878840" cy="1183640"/>
        </a:xfrm>
        <a:prstGeom prst="rect">
          <a:avLst/>
        </a:prstGeom>
      </xdr:spPr>
    </xdr:pic>
    <xdr:clientData/>
  </xdr:twoCellAnchor>
  <xdr:twoCellAnchor>
    <xdr:from>
      <xdr:col>8</xdr:col>
      <xdr:colOff>6350</xdr:colOff>
      <xdr:row>3621</xdr:row>
      <xdr:rowOff>25400</xdr:rowOff>
    </xdr:from>
    <xdr:to>
      <xdr:col>8</xdr:col>
      <xdr:colOff>885190</xdr:colOff>
      <xdr:row>3621</xdr:row>
      <xdr:rowOff>1209040</xdr:rowOff>
    </xdr:to>
    <xdr:pic>
      <xdr:nvPicPr>
        <xdr:cNvPr id="7053" name="Изображение 7052" descr="resizeПП-00216895"/>
        <xdr:cNvPicPr>
          <a:picLocks noChangeAspect="1"/>
        </xdr:cNvPicPr>
      </xdr:nvPicPr>
      <xdr:blipFill>
        <a:blip xmlns:r="http://schemas.openxmlformats.org/officeDocument/2006/relationships" r:embed="rId2758"/>
        <a:stretch>
          <a:fillRect/>
        </a:stretch>
      </xdr:blipFill>
      <xdr:spPr>
        <a:xfrm>
          <a:off x="7264400" y="3599532425"/>
          <a:ext cx="878840" cy="1183640"/>
        </a:xfrm>
        <a:prstGeom prst="rect">
          <a:avLst/>
        </a:prstGeom>
      </xdr:spPr>
    </xdr:pic>
    <xdr:clientData/>
  </xdr:twoCellAnchor>
  <xdr:twoCellAnchor>
    <xdr:from>
      <xdr:col>8</xdr:col>
      <xdr:colOff>6350</xdr:colOff>
      <xdr:row>3622</xdr:row>
      <xdr:rowOff>25400</xdr:rowOff>
    </xdr:from>
    <xdr:to>
      <xdr:col>8</xdr:col>
      <xdr:colOff>885190</xdr:colOff>
      <xdr:row>3622</xdr:row>
      <xdr:rowOff>1209040</xdr:rowOff>
    </xdr:to>
    <xdr:pic>
      <xdr:nvPicPr>
        <xdr:cNvPr id="7054" name="Изображение 7053" descr="resizeПП-00216898"/>
        <xdr:cNvPicPr>
          <a:picLocks noChangeAspect="1"/>
        </xdr:cNvPicPr>
      </xdr:nvPicPr>
      <xdr:blipFill>
        <a:blip xmlns:r="http://schemas.openxmlformats.org/officeDocument/2006/relationships" r:embed="rId2759"/>
        <a:stretch>
          <a:fillRect/>
        </a:stretch>
      </xdr:blipFill>
      <xdr:spPr>
        <a:xfrm>
          <a:off x="7264400" y="3600754800"/>
          <a:ext cx="878840" cy="1183640"/>
        </a:xfrm>
        <a:prstGeom prst="rect">
          <a:avLst/>
        </a:prstGeom>
      </xdr:spPr>
    </xdr:pic>
    <xdr:clientData/>
  </xdr:twoCellAnchor>
  <xdr:twoCellAnchor>
    <xdr:from>
      <xdr:col>8</xdr:col>
      <xdr:colOff>6350</xdr:colOff>
      <xdr:row>3623</xdr:row>
      <xdr:rowOff>25400</xdr:rowOff>
    </xdr:from>
    <xdr:to>
      <xdr:col>8</xdr:col>
      <xdr:colOff>885190</xdr:colOff>
      <xdr:row>3623</xdr:row>
      <xdr:rowOff>1209040</xdr:rowOff>
    </xdr:to>
    <xdr:pic>
      <xdr:nvPicPr>
        <xdr:cNvPr id="7055" name="Изображение 7054" descr="resizeПП-00216888"/>
        <xdr:cNvPicPr>
          <a:picLocks noChangeAspect="1"/>
        </xdr:cNvPicPr>
      </xdr:nvPicPr>
      <xdr:blipFill>
        <a:blip xmlns:r="http://schemas.openxmlformats.org/officeDocument/2006/relationships" r:embed="rId2760"/>
        <a:stretch>
          <a:fillRect/>
        </a:stretch>
      </xdr:blipFill>
      <xdr:spPr>
        <a:xfrm>
          <a:off x="7264400" y="3601977175"/>
          <a:ext cx="878840" cy="1183640"/>
        </a:xfrm>
        <a:prstGeom prst="rect">
          <a:avLst/>
        </a:prstGeom>
      </xdr:spPr>
    </xdr:pic>
    <xdr:clientData/>
  </xdr:twoCellAnchor>
  <xdr:twoCellAnchor>
    <xdr:from>
      <xdr:col>8</xdr:col>
      <xdr:colOff>6350</xdr:colOff>
      <xdr:row>3626</xdr:row>
      <xdr:rowOff>25400</xdr:rowOff>
    </xdr:from>
    <xdr:to>
      <xdr:col>8</xdr:col>
      <xdr:colOff>885190</xdr:colOff>
      <xdr:row>3626</xdr:row>
      <xdr:rowOff>1209040</xdr:rowOff>
    </xdr:to>
    <xdr:pic>
      <xdr:nvPicPr>
        <xdr:cNvPr id="7056" name="Изображение 7055" descr="resizeПП-00245822"/>
        <xdr:cNvPicPr>
          <a:picLocks noChangeAspect="1"/>
        </xdr:cNvPicPr>
      </xdr:nvPicPr>
      <xdr:blipFill>
        <a:blip xmlns:r="http://schemas.openxmlformats.org/officeDocument/2006/relationships" r:embed="rId2761"/>
        <a:stretch>
          <a:fillRect/>
        </a:stretch>
      </xdr:blipFill>
      <xdr:spPr>
        <a:xfrm>
          <a:off x="7264400" y="3603504350"/>
          <a:ext cx="878840" cy="1183640"/>
        </a:xfrm>
        <a:prstGeom prst="rect">
          <a:avLst/>
        </a:prstGeom>
      </xdr:spPr>
    </xdr:pic>
    <xdr:clientData/>
  </xdr:twoCellAnchor>
  <xdr:twoCellAnchor>
    <xdr:from>
      <xdr:col>8</xdr:col>
      <xdr:colOff>6350</xdr:colOff>
      <xdr:row>3627</xdr:row>
      <xdr:rowOff>25400</xdr:rowOff>
    </xdr:from>
    <xdr:to>
      <xdr:col>8</xdr:col>
      <xdr:colOff>885190</xdr:colOff>
      <xdr:row>3627</xdr:row>
      <xdr:rowOff>1209040</xdr:rowOff>
    </xdr:to>
    <xdr:pic>
      <xdr:nvPicPr>
        <xdr:cNvPr id="7057" name="Изображение 7056" descr="resizeПП-00245823"/>
        <xdr:cNvPicPr>
          <a:picLocks noChangeAspect="1"/>
        </xdr:cNvPicPr>
      </xdr:nvPicPr>
      <xdr:blipFill>
        <a:blip xmlns:r="http://schemas.openxmlformats.org/officeDocument/2006/relationships" r:embed="rId2762"/>
        <a:stretch>
          <a:fillRect/>
        </a:stretch>
      </xdr:blipFill>
      <xdr:spPr>
        <a:xfrm>
          <a:off x="7264400" y="3604726725"/>
          <a:ext cx="878840" cy="1183640"/>
        </a:xfrm>
        <a:prstGeom prst="rect">
          <a:avLst/>
        </a:prstGeom>
      </xdr:spPr>
    </xdr:pic>
    <xdr:clientData/>
  </xdr:twoCellAnchor>
  <xdr:twoCellAnchor>
    <xdr:from>
      <xdr:col>8</xdr:col>
      <xdr:colOff>6350</xdr:colOff>
      <xdr:row>3629</xdr:row>
      <xdr:rowOff>25400</xdr:rowOff>
    </xdr:from>
    <xdr:to>
      <xdr:col>8</xdr:col>
      <xdr:colOff>885190</xdr:colOff>
      <xdr:row>3629</xdr:row>
      <xdr:rowOff>1209040</xdr:rowOff>
    </xdr:to>
    <xdr:pic>
      <xdr:nvPicPr>
        <xdr:cNvPr id="7058" name="Изображение 7057" descr="resizeПП-00168110"/>
        <xdr:cNvPicPr>
          <a:picLocks noChangeAspect="1"/>
        </xdr:cNvPicPr>
      </xdr:nvPicPr>
      <xdr:blipFill>
        <a:blip xmlns:r="http://schemas.openxmlformats.org/officeDocument/2006/relationships" r:embed="rId2763"/>
        <a:stretch>
          <a:fillRect/>
        </a:stretch>
      </xdr:blipFill>
      <xdr:spPr>
        <a:xfrm>
          <a:off x="7264400" y="3606101500"/>
          <a:ext cx="878840" cy="1183640"/>
        </a:xfrm>
        <a:prstGeom prst="rect">
          <a:avLst/>
        </a:prstGeom>
      </xdr:spPr>
    </xdr:pic>
    <xdr:clientData/>
  </xdr:twoCellAnchor>
  <xdr:twoCellAnchor>
    <xdr:from>
      <xdr:col>8</xdr:col>
      <xdr:colOff>6350</xdr:colOff>
      <xdr:row>3630</xdr:row>
      <xdr:rowOff>25400</xdr:rowOff>
    </xdr:from>
    <xdr:to>
      <xdr:col>8</xdr:col>
      <xdr:colOff>885190</xdr:colOff>
      <xdr:row>3630</xdr:row>
      <xdr:rowOff>1209040</xdr:rowOff>
    </xdr:to>
    <xdr:pic>
      <xdr:nvPicPr>
        <xdr:cNvPr id="7059" name="Изображение 7058" descr="resizeПП-00245815"/>
        <xdr:cNvPicPr>
          <a:picLocks noChangeAspect="1"/>
        </xdr:cNvPicPr>
      </xdr:nvPicPr>
      <xdr:blipFill>
        <a:blip xmlns:r="http://schemas.openxmlformats.org/officeDocument/2006/relationships" r:embed="rId2764"/>
        <a:stretch>
          <a:fillRect/>
        </a:stretch>
      </xdr:blipFill>
      <xdr:spPr>
        <a:xfrm>
          <a:off x="7264400" y="3607323875"/>
          <a:ext cx="878840" cy="1183640"/>
        </a:xfrm>
        <a:prstGeom prst="rect">
          <a:avLst/>
        </a:prstGeom>
      </xdr:spPr>
    </xdr:pic>
    <xdr:clientData/>
  </xdr:twoCellAnchor>
  <xdr:twoCellAnchor>
    <xdr:from>
      <xdr:col>8</xdr:col>
      <xdr:colOff>6350</xdr:colOff>
      <xdr:row>3631</xdr:row>
      <xdr:rowOff>25400</xdr:rowOff>
    </xdr:from>
    <xdr:to>
      <xdr:col>8</xdr:col>
      <xdr:colOff>885190</xdr:colOff>
      <xdr:row>3631</xdr:row>
      <xdr:rowOff>1209040</xdr:rowOff>
    </xdr:to>
    <xdr:pic>
      <xdr:nvPicPr>
        <xdr:cNvPr id="7060" name="Изображение 7059" descr="resizeПП-00199346"/>
        <xdr:cNvPicPr>
          <a:picLocks noChangeAspect="1"/>
        </xdr:cNvPicPr>
      </xdr:nvPicPr>
      <xdr:blipFill>
        <a:blip xmlns:r="http://schemas.openxmlformats.org/officeDocument/2006/relationships" r:embed="rId2765"/>
        <a:stretch>
          <a:fillRect/>
        </a:stretch>
      </xdr:blipFill>
      <xdr:spPr>
        <a:xfrm>
          <a:off x="7264400" y="3608546250"/>
          <a:ext cx="878840" cy="1183640"/>
        </a:xfrm>
        <a:prstGeom prst="rect">
          <a:avLst/>
        </a:prstGeom>
      </xdr:spPr>
    </xdr:pic>
    <xdr:clientData/>
  </xdr:twoCellAnchor>
  <xdr:twoCellAnchor>
    <xdr:from>
      <xdr:col>8</xdr:col>
      <xdr:colOff>6350</xdr:colOff>
      <xdr:row>3632</xdr:row>
      <xdr:rowOff>25400</xdr:rowOff>
    </xdr:from>
    <xdr:to>
      <xdr:col>8</xdr:col>
      <xdr:colOff>885190</xdr:colOff>
      <xdr:row>3632</xdr:row>
      <xdr:rowOff>1209040</xdr:rowOff>
    </xdr:to>
    <xdr:pic>
      <xdr:nvPicPr>
        <xdr:cNvPr id="7061" name="Изображение 7060" descr="resizeПП-00199345"/>
        <xdr:cNvPicPr>
          <a:picLocks noChangeAspect="1"/>
        </xdr:cNvPicPr>
      </xdr:nvPicPr>
      <xdr:blipFill>
        <a:blip xmlns:r="http://schemas.openxmlformats.org/officeDocument/2006/relationships" r:embed="rId2766"/>
        <a:stretch>
          <a:fillRect/>
        </a:stretch>
      </xdr:blipFill>
      <xdr:spPr>
        <a:xfrm>
          <a:off x="7264400" y="3609768625"/>
          <a:ext cx="878840" cy="1183640"/>
        </a:xfrm>
        <a:prstGeom prst="rect">
          <a:avLst/>
        </a:prstGeom>
      </xdr:spPr>
    </xdr:pic>
    <xdr:clientData/>
  </xdr:twoCellAnchor>
  <xdr:twoCellAnchor>
    <xdr:from>
      <xdr:col>8</xdr:col>
      <xdr:colOff>6350</xdr:colOff>
      <xdr:row>3633</xdr:row>
      <xdr:rowOff>25400</xdr:rowOff>
    </xdr:from>
    <xdr:to>
      <xdr:col>8</xdr:col>
      <xdr:colOff>885190</xdr:colOff>
      <xdr:row>3633</xdr:row>
      <xdr:rowOff>1209040</xdr:rowOff>
    </xdr:to>
    <xdr:pic>
      <xdr:nvPicPr>
        <xdr:cNvPr id="7062" name="Изображение 7061" descr="resizeПП-00199344"/>
        <xdr:cNvPicPr>
          <a:picLocks noChangeAspect="1"/>
        </xdr:cNvPicPr>
      </xdr:nvPicPr>
      <xdr:blipFill>
        <a:blip xmlns:r="http://schemas.openxmlformats.org/officeDocument/2006/relationships" r:embed="rId2767"/>
        <a:stretch>
          <a:fillRect/>
        </a:stretch>
      </xdr:blipFill>
      <xdr:spPr>
        <a:xfrm>
          <a:off x="7264400" y="3610991000"/>
          <a:ext cx="878840" cy="1183640"/>
        </a:xfrm>
        <a:prstGeom prst="rect">
          <a:avLst/>
        </a:prstGeom>
      </xdr:spPr>
    </xdr:pic>
    <xdr:clientData/>
  </xdr:twoCellAnchor>
  <xdr:twoCellAnchor>
    <xdr:from>
      <xdr:col>8</xdr:col>
      <xdr:colOff>6350</xdr:colOff>
      <xdr:row>3634</xdr:row>
      <xdr:rowOff>25400</xdr:rowOff>
    </xdr:from>
    <xdr:to>
      <xdr:col>8</xdr:col>
      <xdr:colOff>885190</xdr:colOff>
      <xdr:row>3634</xdr:row>
      <xdr:rowOff>1209040</xdr:rowOff>
    </xdr:to>
    <xdr:pic>
      <xdr:nvPicPr>
        <xdr:cNvPr id="7063" name="Изображение 7062" descr="resizeПП-00199323"/>
        <xdr:cNvPicPr>
          <a:picLocks noChangeAspect="1"/>
        </xdr:cNvPicPr>
      </xdr:nvPicPr>
      <xdr:blipFill>
        <a:blip xmlns:r="http://schemas.openxmlformats.org/officeDocument/2006/relationships" r:embed="rId2768"/>
        <a:stretch>
          <a:fillRect/>
        </a:stretch>
      </xdr:blipFill>
      <xdr:spPr>
        <a:xfrm>
          <a:off x="7264400" y="3612213375"/>
          <a:ext cx="878840" cy="1183640"/>
        </a:xfrm>
        <a:prstGeom prst="rect">
          <a:avLst/>
        </a:prstGeom>
      </xdr:spPr>
    </xdr:pic>
    <xdr:clientData/>
  </xdr:twoCellAnchor>
  <xdr:twoCellAnchor>
    <xdr:from>
      <xdr:col>8</xdr:col>
      <xdr:colOff>6350</xdr:colOff>
      <xdr:row>3635</xdr:row>
      <xdr:rowOff>25400</xdr:rowOff>
    </xdr:from>
    <xdr:to>
      <xdr:col>8</xdr:col>
      <xdr:colOff>885190</xdr:colOff>
      <xdr:row>3635</xdr:row>
      <xdr:rowOff>1209040</xdr:rowOff>
    </xdr:to>
    <xdr:pic>
      <xdr:nvPicPr>
        <xdr:cNvPr id="7064" name="Изображение 7063" descr="resizeПП-00235844"/>
        <xdr:cNvPicPr>
          <a:picLocks noChangeAspect="1"/>
        </xdr:cNvPicPr>
      </xdr:nvPicPr>
      <xdr:blipFill>
        <a:blip xmlns:r="http://schemas.openxmlformats.org/officeDocument/2006/relationships" r:embed="rId2769"/>
        <a:stretch>
          <a:fillRect/>
        </a:stretch>
      </xdr:blipFill>
      <xdr:spPr>
        <a:xfrm>
          <a:off x="7264400" y="3613435750"/>
          <a:ext cx="878840" cy="1183640"/>
        </a:xfrm>
        <a:prstGeom prst="rect">
          <a:avLst/>
        </a:prstGeom>
      </xdr:spPr>
    </xdr:pic>
    <xdr:clientData/>
  </xdr:twoCellAnchor>
  <xdr:twoCellAnchor>
    <xdr:from>
      <xdr:col>8</xdr:col>
      <xdr:colOff>6350</xdr:colOff>
      <xdr:row>3636</xdr:row>
      <xdr:rowOff>25400</xdr:rowOff>
    </xdr:from>
    <xdr:to>
      <xdr:col>8</xdr:col>
      <xdr:colOff>885190</xdr:colOff>
      <xdr:row>3636</xdr:row>
      <xdr:rowOff>1209040</xdr:rowOff>
    </xdr:to>
    <xdr:pic>
      <xdr:nvPicPr>
        <xdr:cNvPr id="7065" name="Изображение 7064" descr="resizeПП-00235843"/>
        <xdr:cNvPicPr>
          <a:picLocks noChangeAspect="1"/>
        </xdr:cNvPicPr>
      </xdr:nvPicPr>
      <xdr:blipFill>
        <a:blip xmlns:r="http://schemas.openxmlformats.org/officeDocument/2006/relationships" r:embed="rId2770"/>
        <a:stretch>
          <a:fillRect/>
        </a:stretch>
      </xdr:blipFill>
      <xdr:spPr>
        <a:xfrm>
          <a:off x="7264400" y="3614658125"/>
          <a:ext cx="878840" cy="1183640"/>
        </a:xfrm>
        <a:prstGeom prst="rect">
          <a:avLst/>
        </a:prstGeom>
      </xdr:spPr>
    </xdr:pic>
    <xdr:clientData/>
  </xdr:twoCellAnchor>
  <xdr:twoCellAnchor>
    <xdr:from>
      <xdr:col>8</xdr:col>
      <xdr:colOff>6350</xdr:colOff>
      <xdr:row>3637</xdr:row>
      <xdr:rowOff>25400</xdr:rowOff>
    </xdr:from>
    <xdr:to>
      <xdr:col>8</xdr:col>
      <xdr:colOff>885190</xdr:colOff>
      <xdr:row>3637</xdr:row>
      <xdr:rowOff>1209040</xdr:rowOff>
    </xdr:to>
    <xdr:pic>
      <xdr:nvPicPr>
        <xdr:cNvPr id="7066" name="Изображение 7065" descr="resizeПП-00235837"/>
        <xdr:cNvPicPr>
          <a:picLocks noChangeAspect="1"/>
        </xdr:cNvPicPr>
      </xdr:nvPicPr>
      <xdr:blipFill>
        <a:blip xmlns:r="http://schemas.openxmlformats.org/officeDocument/2006/relationships" r:embed="rId2771"/>
        <a:stretch>
          <a:fillRect/>
        </a:stretch>
      </xdr:blipFill>
      <xdr:spPr>
        <a:xfrm>
          <a:off x="7264400" y="3615880500"/>
          <a:ext cx="878840" cy="1183640"/>
        </a:xfrm>
        <a:prstGeom prst="rect">
          <a:avLst/>
        </a:prstGeom>
      </xdr:spPr>
    </xdr:pic>
    <xdr:clientData/>
  </xdr:twoCellAnchor>
  <xdr:twoCellAnchor>
    <xdr:from>
      <xdr:col>8</xdr:col>
      <xdr:colOff>6350</xdr:colOff>
      <xdr:row>3638</xdr:row>
      <xdr:rowOff>25400</xdr:rowOff>
    </xdr:from>
    <xdr:to>
      <xdr:col>8</xdr:col>
      <xdr:colOff>885190</xdr:colOff>
      <xdr:row>3638</xdr:row>
      <xdr:rowOff>1209040</xdr:rowOff>
    </xdr:to>
    <xdr:pic>
      <xdr:nvPicPr>
        <xdr:cNvPr id="7067" name="Изображение 7066" descr="resizeПП-00235835"/>
        <xdr:cNvPicPr>
          <a:picLocks noChangeAspect="1"/>
        </xdr:cNvPicPr>
      </xdr:nvPicPr>
      <xdr:blipFill>
        <a:blip xmlns:r="http://schemas.openxmlformats.org/officeDocument/2006/relationships" r:embed="rId2772"/>
        <a:stretch>
          <a:fillRect/>
        </a:stretch>
      </xdr:blipFill>
      <xdr:spPr>
        <a:xfrm>
          <a:off x="7264400" y="3617102875"/>
          <a:ext cx="878840" cy="1183640"/>
        </a:xfrm>
        <a:prstGeom prst="rect">
          <a:avLst/>
        </a:prstGeom>
      </xdr:spPr>
    </xdr:pic>
    <xdr:clientData/>
  </xdr:twoCellAnchor>
  <xdr:twoCellAnchor>
    <xdr:from>
      <xdr:col>8</xdr:col>
      <xdr:colOff>6350</xdr:colOff>
      <xdr:row>3639</xdr:row>
      <xdr:rowOff>25400</xdr:rowOff>
    </xdr:from>
    <xdr:to>
      <xdr:col>8</xdr:col>
      <xdr:colOff>885190</xdr:colOff>
      <xdr:row>3639</xdr:row>
      <xdr:rowOff>1209040</xdr:rowOff>
    </xdr:to>
    <xdr:pic>
      <xdr:nvPicPr>
        <xdr:cNvPr id="7068" name="Изображение 7067" descr="resizeПП-00216940"/>
        <xdr:cNvPicPr>
          <a:picLocks noChangeAspect="1"/>
        </xdr:cNvPicPr>
      </xdr:nvPicPr>
      <xdr:blipFill>
        <a:blip xmlns:r="http://schemas.openxmlformats.org/officeDocument/2006/relationships" r:embed="rId2773"/>
        <a:stretch>
          <a:fillRect/>
        </a:stretch>
      </xdr:blipFill>
      <xdr:spPr>
        <a:xfrm>
          <a:off x="7264400" y="3618325250"/>
          <a:ext cx="878840" cy="1183640"/>
        </a:xfrm>
        <a:prstGeom prst="rect">
          <a:avLst/>
        </a:prstGeom>
      </xdr:spPr>
    </xdr:pic>
    <xdr:clientData/>
  </xdr:twoCellAnchor>
  <xdr:twoCellAnchor>
    <xdr:from>
      <xdr:col>8</xdr:col>
      <xdr:colOff>6350</xdr:colOff>
      <xdr:row>3640</xdr:row>
      <xdr:rowOff>25400</xdr:rowOff>
    </xdr:from>
    <xdr:to>
      <xdr:col>8</xdr:col>
      <xdr:colOff>885190</xdr:colOff>
      <xdr:row>3640</xdr:row>
      <xdr:rowOff>1209040</xdr:rowOff>
    </xdr:to>
    <xdr:pic>
      <xdr:nvPicPr>
        <xdr:cNvPr id="7069" name="Изображение 7068" descr="resizeПП-00216938"/>
        <xdr:cNvPicPr>
          <a:picLocks noChangeAspect="1"/>
        </xdr:cNvPicPr>
      </xdr:nvPicPr>
      <xdr:blipFill>
        <a:blip xmlns:r="http://schemas.openxmlformats.org/officeDocument/2006/relationships" r:embed="rId2774"/>
        <a:stretch>
          <a:fillRect/>
        </a:stretch>
      </xdr:blipFill>
      <xdr:spPr>
        <a:xfrm>
          <a:off x="7264400" y="3619547625"/>
          <a:ext cx="878840" cy="1183640"/>
        </a:xfrm>
        <a:prstGeom prst="rect">
          <a:avLst/>
        </a:prstGeom>
      </xdr:spPr>
    </xdr:pic>
    <xdr:clientData/>
  </xdr:twoCellAnchor>
  <xdr:twoCellAnchor>
    <xdr:from>
      <xdr:col>8</xdr:col>
      <xdr:colOff>6350</xdr:colOff>
      <xdr:row>3641</xdr:row>
      <xdr:rowOff>25400</xdr:rowOff>
    </xdr:from>
    <xdr:to>
      <xdr:col>8</xdr:col>
      <xdr:colOff>885190</xdr:colOff>
      <xdr:row>3641</xdr:row>
      <xdr:rowOff>1209040</xdr:rowOff>
    </xdr:to>
    <xdr:pic>
      <xdr:nvPicPr>
        <xdr:cNvPr id="7070" name="Изображение 7069" descr="resizeПП-00216942"/>
        <xdr:cNvPicPr>
          <a:picLocks noChangeAspect="1"/>
        </xdr:cNvPicPr>
      </xdr:nvPicPr>
      <xdr:blipFill>
        <a:blip xmlns:r="http://schemas.openxmlformats.org/officeDocument/2006/relationships" r:embed="rId2775"/>
        <a:stretch>
          <a:fillRect/>
        </a:stretch>
      </xdr:blipFill>
      <xdr:spPr>
        <a:xfrm>
          <a:off x="7264400" y="3620770000"/>
          <a:ext cx="878840" cy="1183640"/>
        </a:xfrm>
        <a:prstGeom prst="rect">
          <a:avLst/>
        </a:prstGeom>
      </xdr:spPr>
    </xdr:pic>
    <xdr:clientData/>
  </xdr:twoCellAnchor>
  <xdr:twoCellAnchor>
    <xdr:from>
      <xdr:col>8</xdr:col>
      <xdr:colOff>6350</xdr:colOff>
      <xdr:row>3642</xdr:row>
      <xdr:rowOff>25400</xdr:rowOff>
    </xdr:from>
    <xdr:to>
      <xdr:col>8</xdr:col>
      <xdr:colOff>885190</xdr:colOff>
      <xdr:row>3642</xdr:row>
      <xdr:rowOff>1209040</xdr:rowOff>
    </xdr:to>
    <xdr:pic>
      <xdr:nvPicPr>
        <xdr:cNvPr id="7071" name="Изображение 7070" descr="resizeПП-00216946"/>
        <xdr:cNvPicPr>
          <a:picLocks noChangeAspect="1"/>
        </xdr:cNvPicPr>
      </xdr:nvPicPr>
      <xdr:blipFill>
        <a:blip xmlns:r="http://schemas.openxmlformats.org/officeDocument/2006/relationships" r:embed="rId2776"/>
        <a:stretch>
          <a:fillRect/>
        </a:stretch>
      </xdr:blipFill>
      <xdr:spPr>
        <a:xfrm>
          <a:off x="7264400" y="3621992375"/>
          <a:ext cx="878840" cy="1183640"/>
        </a:xfrm>
        <a:prstGeom prst="rect">
          <a:avLst/>
        </a:prstGeom>
      </xdr:spPr>
    </xdr:pic>
    <xdr:clientData/>
  </xdr:twoCellAnchor>
  <xdr:twoCellAnchor>
    <xdr:from>
      <xdr:col>8</xdr:col>
      <xdr:colOff>6350</xdr:colOff>
      <xdr:row>3644</xdr:row>
      <xdr:rowOff>25400</xdr:rowOff>
    </xdr:from>
    <xdr:to>
      <xdr:col>8</xdr:col>
      <xdr:colOff>885190</xdr:colOff>
      <xdr:row>3644</xdr:row>
      <xdr:rowOff>1209040</xdr:rowOff>
    </xdr:to>
    <xdr:pic>
      <xdr:nvPicPr>
        <xdr:cNvPr id="7072" name="Изображение 7071" descr="resizeПП-00235829"/>
        <xdr:cNvPicPr>
          <a:picLocks noChangeAspect="1"/>
        </xdr:cNvPicPr>
      </xdr:nvPicPr>
      <xdr:blipFill>
        <a:blip xmlns:r="http://schemas.openxmlformats.org/officeDocument/2006/relationships" r:embed="rId2777"/>
        <a:stretch>
          <a:fillRect/>
        </a:stretch>
      </xdr:blipFill>
      <xdr:spPr>
        <a:xfrm>
          <a:off x="7264400" y="3623367150"/>
          <a:ext cx="878840" cy="1183640"/>
        </a:xfrm>
        <a:prstGeom prst="rect">
          <a:avLst/>
        </a:prstGeom>
      </xdr:spPr>
    </xdr:pic>
    <xdr:clientData/>
  </xdr:twoCellAnchor>
  <xdr:twoCellAnchor>
    <xdr:from>
      <xdr:col>8</xdr:col>
      <xdr:colOff>6350</xdr:colOff>
      <xdr:row>3645</xdr:row>
      <xdr:rowOff>25400</xdr:rowOff>
    </xdr:from>
    <xdr:to>
      <xdr:col>8</xdr:col>
      <xdr:colOff>885190</xdr:colOff>
      <xdr:row>3645</xdr:row>
      <xdr:rowOff>1209040</xdr:rowOff>
    </xdr:to>
    <xdr:pic>
      <xdr:nvPicPr>
        <xdr:cNvPr id="7073" name="Изображение 7072" descr="resizeПП-00235830"/>
        <xdr:cNvPicPr>
          <a:picLocks noChangeAspect="1"/>
        </xdr:cNvPicPr>
      </xdr:nvPicPr>
      <xdr:blipFill>
        <a:blip xmlns:r="http://schemas.openxmlformats.org/officeDocument/2006/relationships" r:embed="rId2778"/>
        <a:stretch>
          <a:fillRect/>
        </a:stretch>
      </xdr:blipFill>
      <xdr:spPr>
        <a:xfrm>
          <a:off x="7264400" y="3624589525"/>
          <a:ext cx="878840" cy="1183640"/>
        </a:xfrm>
        <a:prstGeom prst="rect">
          <a:avLst/>
        </a:prstGeom>
      </xdr:spPr>
    </xdr:pic>
    <xdr:clientData/>
  </xdr:twoCellAnchor>
  <xdr:twoCellAnchor>
    <xdr:from>
      <xdr:col>8</xdr:col>
      <xdr:colOff>6350</xdr:colOff>
      <xdr:row>3646</xdr:row>
      <xdr:rowOff>25400</xdr:rowOff>
    </xdr:from>
    <xdr:to>
      <xdr:col>8</xdr:col>
      <xdr:colOff>885190</xdr:colOff>
      <xdr:row>3646</xdr:row>
      <xdr:rowOff>1209040</xdr:rowOff>
    </xdr:to>
    <xdr:pic>
      <xdr:nvPicPr>
        <xdr:cNvPr id="7074" name="Изображение 7073" descr="resizeПП-00216928"/>
        <xdr:cNvPicPr>
          <a:picLocks noChangeAspect="1"/>
        </xdr:cNvPicPr>
      </xdr:nvPicPr>
      <xdr:blipFill>
        <a:blip xmlns:r="http://schemas.openxmlformats.org/officeDocument/2006/relationships" r:embed="rId2779"/>
        <a:stretch>
          <a:fillRect/>
        </a:stretch>
      </xdr:blipFill>
      <xdr:spPr>
        <a:xfrm>
          <a:off x="7264400" y="3625811900"/>
          <a:ext cx="878840" cy="1183640"/>
        </a:xfrm>
        <a:prstGeom prst="rect">
          <a:avLst/>
        </a:prstGeom>
      </xdr:spPr>
    </xdr:pic>
    <xdr:clientData/>
  </xdr:twoCellAnchor>
  <xdr:twoCellAnchor>
    <xdr:from>
      <xdr:col>8</xdr:col>
      <xdr:colOff>6350</xdr:colOff>
      <xdr:row>3647</xdr:row>
      <xdr:rowOff>25400</xdr:rowOff>
    </xdr:from>
    <xdr:to>
      <xdr:col>8</xdr:col>
      <xdr:colOff>885190</xdr:colOff>
      <xdr:row>3647</xdr:row>
      <xdr:rowOff>1209040</xdr:rowOff>
    </xdr:to>
    <xdr:pic>
      <xdr:nvPicPr>
        <xdr:cNvPr id="7075" name="Изображение 7074" descr="resizeПП-00216929"/>
        <xdr:cNvPicPr>
          <a:picLocks noChangeAspect="1"/>
        </xdr:cNvPicPr>
      </xdr:nvPicPr>
      <xdr:blipFill>
        <a:blip xmlns:r="http://schemas.openxmlformats.org/officeDocument/2006/relationships" r:embed="rId2780"/>
        <a:stretch>
          <a:fillRect/>
        </a:stretch>
      </xdr:blipFill>
      <xdr:spPr>
        <a:xfrm>
          <a:off x="7264400" y="3627034275"/>
          <a:ext cx="878840" cy="1183640"/>
        </a:xfrm>
        <a:prstGeom prst="rect">
          <a:avLst/>
        </a:prstGeom>
      </xdr:spPr>
    </xdr:pic>
    <xdr:clientData/>
  </xdr:twoCellAnchor>
  <xdr:twoCellAnchor>
    <xdr:from>
      <xdr:col>8</xdr:col>
      <xdr:colOff>6350</xdr:colOff>
      <xdr:row>3648</xdr:row>
      <xdr:rowOff>25400</xdr:rowOff>
    </xdr:from>
    <xdr:to>
      <xdr:col>8</xdr:col>
      <xdr:colOff>885190</xdr:colOff>
      <xdr:row>3648</xdr:row>
      <xdr:rowOff>1209040</xdr:rowOff>
    </xdr:to>
    <xdr:pic>
      <xdr:nvPicPr>
        <xdr:cNvPr id="7076" name="Изображение 7075" descr="resizeПП-00216931"/>
        <xdr:cNvPicPr>
          <a:picLocks noChangeAspect="1"/>
        </xdr:cNvPicPr>
      </xdr:nvPicPr>
      <xdr:blipFill>
        <a:blip xmlns:r="http://schemas.openxmlformats.org/officeDocument/2006/relationships" r:embed="rId2781"/>
        <a:stretch>
          <a:fillRect/>
        </a:stretch>
      </xdr:blipFill>
      <xdr:spPr>
        <a:xfrm>
          <a:off x="7264400" y="3628256650"/>
          <a:ext cx="878840" cy="1183640"/>
        </a:xfrm>
        <a:prstGeom prst="rect">
          <a:avLst/>
        </a:prstGeom>
      </xdr:spPr>
    </xdr:pic>
    <xdr:clientData/>
  </xdr:twoCellAnchor>
  <xdr:twoCellAnchor>
    <xdr:from>
      <xdr:col>8</xdr:col>
      <xdr:colOff>6350</xdr:colOff>
      <xdr:row>3649</xdr:row>
      <xdr:rowOff>25400</xdr:rowOff>
    </xdr:from>
    <xdr:to>
      <xdr:col>8</xdr:col>
      <xdr:colOff>885190</xdr:colOff>
      <xdr:row>3649</xdr:row>
      <xdr:rowOff>1209040</xdr:rowOff>
    </xdr:to>
    <xdr:pic>
      <xdr:nvPicPr>
        <xdr:cNvPr id="7077" name="Изображение 7076" descr="resizeПП-00216930"/>
        <xdr:cNvPicPr>
          <a:picLocks noChangeAspect="1"/>
        </xdr:cNvPicPr>
      </xdr:nvPicPr>
      <xdr:blipFill>
        <a:blip xmlns:r="http://schemas.openxmlformats.org/officeDocument/2006/relationships" r:embed="rId2782"/>
        <a:stretch>
          <a:fillRect/>
        </a:stretch>
      </xdr:blipFill>
      <xdr:spPr>
        <a:xfrm>
          <a:off x="7264400" y="3629479025"/>
          <a:ext cx="878840" cy="1183640"/>
        </a:xfrm>
        <a:prstGeom prst="rect">
          <a:avLst/>
        </a:prstGeom>
      </xdr:spPr>
    </xdr:pic>
    <xdr:clientData/>
  </xdr:twoCellAnchor>
  <xdr:twoCellAnchor>
    <xdr:from>
      <xdr:col>8</xdr:col>
      <xdr:colOff>6350</xdr:colOff>
      <xdr:row>3650</xdr:row>
      <xdr:rowOff>25400</xdr:rowOff>
    </xdr:from>
    <xdr:to>
      <xdr:col>8</xdr:col>
      <xdr:colOff>885190</xdr:colOff>
      <xdr:row>3650</xdr:row>
      <xdr:rowOff>1209040</xdr:rowOff>
    </xdr:to>
    <xdr:pic>
      <xdr:nvPicPr>
        <xdr:cNvPr id="7078" name="Изображение 7077" descr="resizeПП-00216927"/>
        <xdr:cNvPicPr>
          <a:picLocks noChangeAspect="1"/>
        </xdr:cNvPicPr>
      </xdr:nvPicPr>
      <xdr:blipFill>
        <a:blip xmlns:r="http://schemas.openxmlformats.org/officeDocument/2006/relationships" r:embed="rId2783"/>
        <a:stretch>
          <a:fillRect/>
        </a:stretch>
      </xdr:blipFill>
      <xdr:spPr>
        <a:xfrm>
          <a:off x="7264400" y="3630701400"/>
          <a:ext cx="878840" cy="1183640"/>
        </a:xfrm>
        <a:prstGeom prst="rect">
          <a:avLst/>
        </a:prstGeom>
      </xdr:spPr>
    </xdr:pic>
    <xdr:clientData/>
  </xdr:twoCellAnchor>
  <xdr:twoCellAnchor>
    <xdr:from>
      <xdr:col>8</xdr:col>
      <xdr:colOff>6350</xdr:colOff>
      <xdr:row>3651</xdr:row>
      <xdr:rowOff>25400</xdr:rowOff>
    </xdr:from>
    <xdr:to>
      <xdr:col>8</xdr:col>
      <xdr:colOff>885190</xdr:colOff>
      <xdr:row>3651</xdr:row>
      <xdr:rowOff>1209040</xdr:rowOff>
    </xdr:to>
    <xdr:pic>
      <xdr:nvPicPr>
        <xdr:cNvPr id="7079" name="Изображение 7078" descr="resizeПП-00199326"/>
        <xdr:cNvPicPr>
          <a:picLocks noChangeAspect="1"/>
        </xdr:cNvPicPr>
      </xdr:nvPicPr>
      <xdr:blipFill>
        <a:blip xmlns:r="http://schemas.openxmlformats.org/officeDocument/2006/relationships" r:embed="rId2784"/>
        <a:stretch>
          <a:fillRect/>
        </a:stretch>
      </xdr:blipFill>
      <xdr:spPr>
        <a:xfrm>
          <a:off x="7264400" y="3631923775"/>
          <a:ext cx="878840" cy="1183640"/>
        </a:xfrm>
        <a:prstGeom prst="rect">
          <a:avLst/>
        </a:prstGeom>
      </xdr:spPr>
    </xdr:pic>
    <xdr:clientData/>
  </xdr:twoCellAnchor>
  <xdr:twoCellAnchor>
    <xdr:from>
      <xdr:col>8</xdr:col>
      <xdr:colOff>6350</xdr:colOff>
      <xdr:row>3652</xdr:row>
      <xdr:rowOff>25400</xdr:rowOff>
    </xdr:from>
    <xdr:to>
      <xdr:col>8</xdr:col>
      <xdr:colOff>885190</xdr:colOff>
      <xdr:row>3652</xdr:row>
      <xdr:rowOff>1209040</xdr:rowOff>
    </xdr:to>
    <xdr:pic>
      <xdr:nvPicPr>
        <xdr:cNvPr id="7080" name="Изображение 7079" descr="resizeПП-00199325"/>
        <xdr:cNvPicPr>
          <a:picLocks noChangeAspect="1"/>
        </xdr:cNvPicPr>
      </xdr:nvPicPr>
      <xdr:blipFill>
        <a:blip xmlns:r="http://schemas.openxmlformats.org/officeDocument/2006/relationships" r:embed="rId2785"/>
        <a:stretch>
          <a:fillRect/>
        </a:stretch>
      </xdr:blipFill>
      <xdr:spPr>
        <a:xfrm>
          <a:off x="7264400" y="3633146150"/>
          <a:ext cx="878840" cy="1183640"/>
        </a:xfrm>
        <a:prstGeom prst="rect">
          <a:avLst/>
        </a:prstGeom>
      </xdr:spPr>
    </xdr:pic>
    <xdr:clientData/>
  </xdr:twoCellAnchor>
  <xdr:twoCellAnchor>
    <xdr:from>
      <xdr:col>8</xdr:col>
      <xdr:colOff>6350</xdr:colOff>
      <xdr:row>3654</xdr:row>
      <xdr:rowOff>25400</xdr:rowOff>
    </xdr:from>
    <xdr:to>
      <xdr:col>8</xdr:col>
      <xdr:colOff>885190</xdr:colOff>
      <xdr:row>3654</xdr:row>
      <xdr:rowOff>1209040</xdr:rowOff>
    </xdr:to>
    <xdr:pic>
      <xdr:nvPicPr>
        <xdr:cNvPr id="7081" name="Изображение 7080" descr="resizeПП-00217010"/>
        <xdr:cNvPicPr>
          <a:picLocks noChangeAspect="1"/>
        </xdr:cNvPicPr>
      </xdr:nvPicPr>
      <xdr:blipFill>
        <a:blip xmlns:r="http://schemas.openxmlformats.org/officeDocument/2006/relationships" r:embed="rId2786"/>
        <a:stretch>
          <a:fillRect/>
        </a:stretch>
      </xdr:blipFill>
      <xdr:spPr>
        <a:xfrm>
          <a:off x="7264400" y="3634520925"/>
          <a:ext cx="878840" cy="1183640"/>
        </a:xfrm>
        <a:prstGeom prst="rect">
          <a:avLst/>
        </a:prstGeom>
      </xdr:spPr>
    </xdr:pic>
    <xdr:clientData/>
  </xdr:twoCellAnchor>
  <xdr:twoCellAnchor>
    <xdr:from>
      <xdr:col>8</xdr:col>
      <xdr:colOff>6350</xdr:colOff>
      <xdr:row>3655</xdr:row>
      <xdr:rowOff>25400</xdr:rowOff>
    </xdr:from>
    <xdr:to>
      <xdr:col>8</xdr:col>
      <xdr:colOff>885190</xdr:colOff>
      <xdr:row>3655</xdr:row>
      <xdr:rowOff>1209040</xdr:rowOff>
    </xdr:to>
    <xdr:pic>
      <xdr:nvPicPr>
        <xdr:cNvPr id="7082" name="Изображение 7081" descr="resizeПП-00217014"/>
        <xdr:cNvPicPr>
          <a:picLocks noChangeAspect="1"/>
        </xdr:cNvPicPr>
      </xdr:nvPicPr>
      <xdr:blipFill>
        <a:blip xmlns:r="http://schemas.openxmlformats.org/officeDocument/2006/relationships" r:embed="rId2787"/>
        <a:stretch>
          <a:fillRect/>
        </a:stretch>
      </xdr:blipFill>
      <xdr:spPr>
        <a:xfrm>
          <a:off x="7264400" y="3635743300"/>
          <a:ext cx="878840" cy="1183640"/>
        </a:xfrm>
        <a:prstGeom prst="rect">
          <a:avLst/>
        </a:prstGeom>
      </xdr:spPr>
    </xdr:pic>
    <xdr:clientData/>
  </xdr:twoCellAnchor>
  <xdr:twoCellAnchor>
    <xdr:from>
      <xdr:col>8</xdr:col>
      <xdr:colOff>6350</xdr:colOff>
      <xdr:row>3657</xdr:row>
      <xdr:rowOff>25400</xdr:rowOff>
    </xdr:from>
    <xdr:to>
      <xdr:col>8</xdr:col>
      <xdr:colOff>885190</xdr:colOff>
      <xdr:row>3657</xdr:row>
      <xdr:rowOff>1209040</xdr:rowOff>
    </xdr:to>
    <xdr:pic>
      <xdr:nvPicPr>
        <xdr:cNvPr id="7083" name="Изображение 7082" descr="resizeПП-00199355"/>
        <xdr:cNvPicPr>
          <a:picLocks noChangeAspect="1"/>
        </xdr:cNvPicPr>
      </xdr:nvPicPr>
      <xdr:blipFill>
        <a:blip xmlns:r="http://schemas.openxmlformats.org/officeDocument/2006/relationships" r:embed="rId2788"/>
        <a:stretch>
          <a:fillRect/>
        </a:stretch>
      </xdr:blipFill>
      <xdr:spPr>
        <a:xfrm>
          <a:off x="7264400" y="3637118075"/>
          <a:ext cx="878840" cy="1183640"/>
        </a:xfrm>
        <a:prstGeom prst="rect">
          <a:avLst/>
        </a:prstGeom>
      </xdr:spPr>
    </xdr:pic>
    <xdr:clientData/>
  </xdr:twoCellAnchor>
  <xdr:twoCellAnchor>
    <xdr:from>
      <xdr:col>8</xdr:col>
      <xdr:colOff>6350</xdr:colOff>
      <xdr:row>3658</xdr:row>
      <xdr:rowOff>25400</xdr:rowOff>
    </xdr:from>
    <xdr:to>
      <xdr:col>8</xdr:col>
      <xdr:colOff>885190</xdr:colOff>
      <xdr:row>3658</xdr:row>
      <xdr:rowOff>1209040</xdr:rowOff>
    </xdr:to>
    <xdr:pic>
      <xdr:nvPicPr>
        <xdr:cNvPr id="7084" name="Изображение 7083" descr="resizeПП-00199352"/>
        <xdr:cNvPicPr>
          <a:picLocks noChangeAspect="1"/>
        </xdr:cNvPicPr>
      </xdr:nvPicPr>
      <xdr:blipFill>
        <a:blip xmlns:r="http://schemas.openxmlformats.org/officeDocument/2006/relationships" r:embed="rId2789"/>
        <a:stretch>
          <a:fillRect/>
        </a:stretch>
      </xdr:blipFill>
      <xdr:spPr>
        <a:xfrm>
          <a:off x="7264400" y="3638340450"/>
          <a:ext cx="878840" cy="1183640"/>
        </a:xfrm>
        <a:prstGeom prst="rect">
          <a:avLst/>
        </a:prstGeom>
      </xdr:spPr>
    </xdr:pic>
    <xdr:clientData/>
  </xdr:twoCellAnchor>
  <xdr:twoCellAnchor>
    <xdr:from>
      <xdr:col>8</xdr:col>
      <xdr:colOff>6350</xdr:colOff>
      <xdr:row>3659</xdr:row>
      <xdr:rowOff>25400</xdr:rowOff>
    </xdr:from>
    <xdr:to>
      <xdr:col>8</xdr:col>
      <xdr:colOff>885190</xdr:colOff>
      <xdr:row>3659</xdr:row>
      <xdr:rowOff>1209040</xdr:rowOff>
    </xdr:to>
    <xdr:pic>
      <xdr:nvPicPr>
        <xdr:cNvPr id="7085" name="Изображение 7084" descr="resizeПП-00199357"/>
        <xdr:cNvPicPr>
          <a:picLocks noChangeAspect="1"/>
        </xdr:cNvPicPr>
      </xdr:nvPicPr>
      <xdr:blipFill>
        <a:blip xmlns:r="http://schemas.openxmlformats.org/officeDocument/2006/relationships" r:embed="rId2790"/>
        <a:stretch>
          <a:fillRect/>
        </a:stretch>
      </xdr:blipFill>
      <xdr:spPr>
        <a:xfrm>
          <a:off x="7264400" y="3639562825"/>
          <a:ext cx="878840" cy="1183640"/>
        </a:xfrm>
        <a:prstGeom prst="rect">
          <a:avLst/>
        </a:prstGeom>
      </xdr:spPr>
    </xdr:pic>
    <xdr:clientData/>
  </xdr:twoCellAnchor>
  <xdr:twoCellAnchor>
    <xdr:from>
      <xdr:col>8</xdr:col>
      <xdr:colOff>6350</xdr:colOff>
      <xdr:row>3660</xdr:row>
      <xdr:rowOff>25400</xdr:rowOff>
    </xdr:from>
    <xdr:to>
      <xdr:col>8</xdr:col>
      <xdr:colOff>885190</xdr:colOff>
      <xdr:row>3660</xdr:row>
      <xdr:rowOff>1209040</xdr:rowOff>
    </xdr:to>
    <xdr:pic>
      <xdr:nvPicPr>
        <xdr:cNvPr id="7086" name="Изображение 7085" descr="resizeПП-00199362"/>
        <xdr:cNvPicPr>
          <a:picLocks noChangeAspect="1"/>
        </xdr:cNvPicPr>
      </xdr:nvPicPr>
      <xdr:blipFill>
        <a:blip xmlns:r="http://schemas.openxmlformats.org/officeDocument/2006/relationships" r:embed="rId2791"/>
        <a:stretch>
          <a:fillRect/>
        </a:stretch>
      </xdr:blipFill>
      <xdr:spPr>
        <a:xfrm>
          <a:off x="7264400" y="3640785200"/>
          <a:ext cx="878840" cy="1183640"/>
        </a:xfrm>
        <a:prstGeom prst="rect">
          <a:avLst/>
        </a:prstGeom>
      </xdr:spPr>
    </xdr:pic>
    <xdr:clientData/>
  </xdr:twoCellAnchor>
  <xdr:twoCellAnchor>
    <xdr:from>
      <xdr:col>8</xdr:col>
      <xdr:colOff>6350</xdr:colOff>
      <xdr:row>3661</xdr:row>
      <xdr:rowOff>25400</xdr:rowOff>
    </xdr:from>
    <xdr:to>
      <xdr:col>8</xdr:col>
      <xdr:colOff>885190</xdr:colOff>
      <xdr:row>3661</xdr:row>
      <xdr:rowOff>1209040</xdr:rowOff>
    </xdr:to>
    <xdr:pic>
      <xdr:nvPicPr>
        <xdr:cNvPr id="7087" name="Изображение 7086" descr="resizeПП-00199363"/>
        <xdr:cNvPicPr>
          <a:picLocks noChangeAspect="1"/>
        </xdr:cNvPicPr>
      </xdr:nvPicPr>
      <xdr:blipFill>
        <a:blip xmlns:r="http://schemas.openxmlformats.org/officeDocument/2006/relationships" r:embed="rId2792"/>
        <a:stretch>
          <a:fillRect/>
        </a:stretch>
      </xdr:blipFill>
      <xdr:spPr>
        <a:xfrm>
          <a:off x="7264400" y="3642007575"/>
          <a:ext cx="878840" cy="1183640"/>
        </a:xfrm>
        <a:prstGeom prst="rect">
          <a:avLst/>
        </a:prstGeom>
      </xdr:spPr>
    </xdr:pic>
    <xdr:clientData/>
  </xdr:twoCellAnchor>
  <xdr:twoCellAnchor>
    <xdr:from>
      <xdr:col>8</xdr:col>
      <xdr:colOff>6350</xdr:colOff>
      <xdr:row>3662</xdr:row>
      <xdr:rowOff>25400</xdr:rowOff>
    </xdr:from>
    <xdr:to>
      <xdr:col>8</xdr:col>
      <xdr:colOff>885190</xdr:colOff>
      <xdr:row>3662</xdr:row>
      <xdr:rowOff>1209040</xdr:rowOff>
    </xdr:to>
    <xdr:pic>
      <xdr:nvPicPr>
        <xdr:cNvPr id="7088" name="Изображение 7087" descr="resizeПП-00235823"/>
        <xdr:cNvPicPr>
          <a:picLocks noChangeAspect="1"/>
        </xdr:cNvPicPr>
      </xdr:nvPicPr>
      <xdr:blipFill>
        <a:blip xmlns:r="http://schemas.openxmlformats.org/officeDocument/2006/relationships" r:embed="rId2793"/>
        <a:stretch>
          <a:fillRect/>
        </a:stretch>
      </xdr:blipFill>
      <xdr:spPr>
        <a:xfrm>
          <a:off x="7264400" y="3643229950"/>
          <a:ext cx="878840" cy="1183640"/>
        </a:xfrm>
        <a:prstGeom prst="rect">
          <a:avLst/>
        </a:prstGeom>
      </xdr:spPr>
    </xdr:pic>
    <xdr:clientData/>
  </xdr:twoCellAnchor>
  <xdr:twoCellAnchor>
    <xdr:from>
      <xdr:col>8</xdr:col>
      <xdr:colOff>6350</xdr:colOff>
      <xdr:row>3663</xdr:row>
      <xdr:rowOff>25400</xdr:rowOff>
    </xdr:from>
    <xdr:to>
      <xdr:col>8</xdr:col>
      <xdr:colOff>885190</xdr:colOff>
      <xdr:row>3663</xdr:row>
      <xdr:rowOff>1209040</xdr:rowOff>
    </xdr:to>
    <xdr:pic>
      <xdr:nvPicPr>
        <xdr:cNvPr id="7089" name="Изображение 7088" descr="resizeПП-00235824"/>
        <xdr:cNvPicPr>
          <a:picLocks noChangeAspect="1"/>
        </xdr:cNvPicPr>
      </xdr:nvPicPr>
      <xdr:blipFill>
        <a:blip xmlns:r="http://schemas.openxmlformats.org/officeDocument/2006/relationships" r:embed="rId2794"/>
        <a:stretch>
          <a:fillRect/>
        </a:stretch>
      </xdr:blipFill>
      <xdr:spPr>
        <a:xfrm>
          <a:off x="7264400" y="3644452325"/>
          <a:ext cx="878840" cy="1183640"/>
        </a:xfrm>
        <a:prstGeom prst="rect">
          <a:avLst/>
        </a:prstGeom>
      </xdr:spPr>
    </xdr:pic>
    <xdr:clientData/>
  </xdr:twoCellAnchor>
  <xdr:twoCellAnchor>
    <xdr:from>
      <xdr:col>8</xdr:col>
      <xdr:colOff>6350</xdr:colOff>
      <xdr:row>3664</xdr:row>
      <xdr:rowOff>25400</xdr:rowOff>
    </xdr:from>
    <xdr:to>
      <xdr:col>8</xdr:col>
      <xdr:colOff>885190</xdr:colOff>
      <xdr:row>3664</xdr:row>
      <xdr:rowOff>1209040</xdr:rowOff>
    </xdr:to>
    <xdr:pic>
      <xdr:nvPicPr>
        <xdr:cNvPr id="7090" name="Изображение 7089" descr="resizeПП-00139918"/>
        <xdr:cNvPicPr>
          <a:picLocks noChangeAspect="1"/>
        </xdr:cNvPicPr>
      </xdr:nvPicPr>
      <xdr:blipFill>
        <a:blip xmlns:r="http://schemas.openxmlformats.org/officeDocument/2006/relationships" r:embed="rId2795"/>
        <a:stretch>
          <a:fillRect/>
        </a:stretch>
      </xdr:blipFill>
      <xdr:spPr>
        <a:xfrm>
          <a:off x="7264400" y="3645674700"/>
          <a:ext cx="878840" cy="1183640"/>
        </a:xfrm>
        <a:prstGeom prst="rect">
          <a:avLst/>
        </a:prstGeom>
      </xdr:spPr>
    </xdr:pic>
    <xdr:clientData/>
  </xdr:twoCellAnchor>
  <xdr:twoCellAnchor>
    <xdr:from>
      <xdr:col>8</xdr:col>
      <xdr:colOff>6350</xdr:colOff>
      <xdr:row>3665</xdr:row>
      <xdr:rowOff>25400</xdr:rowOff>
    </xdr:from>
    <xdr:to>
      <xdr:col>8</xdr:col>
      <xdr:colOff>783590</xdr:colOff>
      <xdr:row>3665</xdr:row>
      <xdr:rowOff>1209040</xdr:rowOff>
    </xdr:to>
    <xdr:pic>
      <xdr:nvPicPr>
        <xdr:cNvPr id="7091" name="Изображение 7090" descr="resizeПП-00207865"/>
        <xdr:cNvPicPr>
          <a:picLocks noChangeAspect="1"/>
        </xdr:cNvPicPr>
      </xdr:nvPicPr>
      <xdr:blipFill>
        <a:blip xmlns:r="http://schemas.openxmlformats.org/officeDocument/2006/relationships" r:embed="rId2796"/>
        <a:stretch>
          <a:fillRect/>
        </a:stretch>
      </xdr:blipFill>
      <xdr:spPr>
        <a:xfrm>
          <a:off x="7264400" y="3646897075"/>
          <a:ext cx="777240" cy="1183640"/>
        </a:xfrm>
        <a:prstGeom prst="rect">
          <a:avLst/>
        </a:prstGeom>
      </xdr:spPr>
    </xdr:pic>
    <xdr:clientData/>
  </xdr:twoCellAnchor>
  <xdr:twoCellAnchor>
    <xdr:from>
      <xdr:col>8</xdr:col>
      <xdr:colOff>6350</xdr:colOff>
      <xdr:row>3666</xdr:row>
      <xdr:rowOff>25400</xdr:rowOff>
    </xdr:from>
    <xdr:to>
      <xdr:col>8</xdr:col>
      <xdr:colOff>885190</xdr:colOff>
      <xdr:row>3666</xdr:row>
      <xdr:rowOff>1209040</xdr:rowOff>
    </xdr:to>
    <xdr:pic>
      <xdr:nvPicPr>
        <xdr:cNvPr id="7092" name="Изображение 7091" descr="resizeПП-00207860"/>
        <xdr:cNvPicPr>
          <a:picLocks noChangeAspect="1"/>
        </xdr:cNvPicPr>
      </xdr:nvPicPr>
      <xdr:blipFill>
        <a:blip xmlns:r="http://schemas.openxmlformats.org/officeDocument/2006/relationships" r:embed="rId2797"/>
        <a:stretch>
          <a:fillRect/>
        </a:stretch>
      </xdr:blipFill>
      <xdr:spPr>
        <a:xfrm>
          <a:off x="7264400" y="3648119450"/>
          <a:ext cx="878840" cy="1183640"/>
        </a:xfrm>
        <a:prstGeom prst="rect">
          <a:avLst/>
        </a:prstGeom>
      </xdr:spPr>
    </xdr:pic>
    <xdr:clientData/>
  </xdr:twoCellAnchor>
  <xdr:twoCellAnchor>
    <xdr:from>
      <xdr:col>8</xdr:col>
      <xdr:colOff>6350</xdr:colOff>
      <xdr:row>3667</xdr:row>
      <xdr:rowOff>25400</xdr:rowOff>
    </xdr:from>
    <xdr:to>
      <xdr:col>8</xdr:col>
      <xdr:colOff>885190</xdr:colOff>
      <xdr:row>3667</xdr:row>
      <xdr:rowOff>1209040</xdr:rowOff>
    </xdr:to>
    <xdr:pic>
      <xdr:nvPicPr>
        <xdr:cNvPr id="7093" name="Изображение 7092" descr="resizeПП-00185946"/>
        <xdr:cNvPicPr>
          <a:picLocks noChangeAspect="1"/>
        </xdr:cNvPicPr>
      </xdr:nvPicPr>
      <xdr:blipFill>
        <a:blip xmlns:r="http://schemas.openxmlformats.org/officeDocument/2006/relationships" r:embed="rId2798"/>
        <a:stretch>
          <a:fillRect/>
        </a:stretch>
      </xdr:blipFill>
      <xdr:spPr>
        <a:xfrm>
          <a:off x="7264400" y="3649341825"/>
          <a:ext cx="878840" cy="1183640"/>
        </a:xfrm>
        <a:prstGeom prst="rect">
          <a:avLst/>
        </a:prstGeom>
      </xdr:spPr>
    </xdr:pic>
    <xdr:clientData/>
  </xdr:twoCellAnchor>
  <xdr:twoCellAnchor>
    <xdr:from>
      <xdr:col>8</xdr:col>
      <xdr:colOff>6350</xdr:colOff>
      <xdr:row>3668</xdr:row>
      <xdr:rowOff>25400</xdr:rowOff>
    </xdr:from>
    <xdr:to>
      <xdr:col>8</xdr:col>
      <xdr:colOff>885190</xdr:colOff>
      <xdr:row>3668</xdr:row>
      <xdr:rowOff>1209040</xdr:rowOff>
    </xdr:to>
    <xdr:pic>
      <xdr:nvPicPr>
        <xdr:cNvPr id="7094" name="Изображение 7093" descr="resizeПП-00185944"/>
        <xdr:cNvPicPr>
          <a:picLocks noChangeAspect="1"/>
        </xdr:cNvPicPr>
      </xdr:nvPicPr>
      <xdr:blipFill>
        <a:blip xmlns:r="http://schemas.openxmlformats.org/officeDocument/2006/relationships" r:embed="rId2799"/>
        <a:stretch>
          <a:fillRect/>
        </a:stretch>
      </xdr:blipFill>
      <xdr:spPr>
        <a:xfrm>
          <a:off x="7264400" y="3650564200"/>
          <a:ext cx="878840" cy="1183640"/>
        </a:xfrm>
        <a:prstGeom prst="rect">
          <a:avLst/>
        </a:prstGeom>
      </xdr:spPr>
    </xdr:pic>
    <xdr:clientData/>
  </xdr:twoCellAnchor>
  <xdr:twoCellAnchor>
    <xdr:from>
      <xdr:col>8</xdr:col>
      <xdr:colOff>6350</xdr:colOff>
      <xdr:row>3669</xdr:row>
      <xdr:rowOff>25400</xdr:rowOff>
    </xdr:from>
    <xdr:to>
      <xdr:col>8</xdr:col>
      <xdr:colOff>885190</xdr:colOff>
      <xdr:row>3669</xdr:row>
      <xdr:rowOff>1209040</xdr:rowOff>
    </xdr:to>
    <xdr:pic>
      <xdr:nvPicPr>
        <xdr:cNvPr id="7095" name="Изображение 7094" descr="resizeПП-00207868"/>
        <xdr:cNvPicPr>
          <a:picLocks noChangeAspect="1"/>
        </xdr:cNvPicPr>
      </xdr:nvPicPr>
      <xdr:blipFill>
        <a:blip xmlns:r="http://schemas.openxmlformats.org/officeDocument/2006/relationships" r:embed="rId2800"/>
        <a:stretch>
          <a:fillRect/>
        </a:stretch>
      </xdr:blipFill>
      <xdr:spPr>
        <a:xfrm>
          <a:off x="7264400" y="3651786575"/>
          <a:ext cx="878840" cy="1183640"/>
        </a:xfrm>
        <a:prstGeom prst="rect">
          <a:avLst/>
        </a:prstGeom>
      </xdr:spPr>
    </xdr:pic>
    <xdr:clientData/>
  </xdr:twoCellAnchor>
  <xdr:twoCellAnchor>
    <xdr:from>
      <xdr:col>8</xdr:col>
      <xdr:colOff>6350</xdr:colOff>
      <xdr:row>3670</xdr:row>
      <xdr:rowOff>25400</xdr:rowOff>
    </xdr:from>
    <xdr:to>
      <xdr:col>8</xdr:col>
      <xdr:colOff>885190</xdr:colOff>
      <xdr:row>3670</xdr:row>
      <xdr:rowOff>1209040</xdr:rowOff>
    </xdr:to>
    <xdr:pic>
      <xdr:nvPicPr>
        <xdr:cNvPr id="7096" name="Изображение 7095" descr="resizeПП-00207850"/>
        <xdr:cNvPicPr>
          <a:picLocks noChangeAspect="1"/>
        </xdr:cNvPicPr>
      </xdr:nvPicPr>
      <xdr:blipFill>
        <a:blip xmlns:r="http://schemas.openxmlformats.org/officeDocument/2006/relationships" r:embed="rId2801"/>
        <a:stretch>
          <a:fillRect/>
        </a:stretch>
      </xdr:blipFill>
      <xdr:spPr>
        <a:xfrm>
          <a:off x="7264400" y="3653008950"/>
          <a:ext cx="878840" cy="1183640"/>
        </a:xfrm>
        <a:prstGeom prst="rect">
          <a:avLst/>
        </a:prstGeom>
      </xdr:spPr>
    </xdr:pic>
    <xdr:clientData/>
  </xdr:twoCellAnchor>
  <xdr:twoCellAnchor>
    <xdr:from>
      <xdr:col>8</xdr:col>
      <xdr:colOff>6350</xdr:colOff>
      <xdr:row>3671</xdr:row>
      <xdr:rowOff>25400</xdr:rowOff>
    </xdr:from>
    <xdr:to>
      <xdr:col>8</xdr:col>
      <xdr:colOff>885190</xdr:colOff>
      <xdr:row>3671</xdr:row>
      <xdr:rowOff>1209040</xdr:rowOff>
    </xdr:to>
    <xdr:pic>
      <xdr:nvPicPr>
        <xdr:cNvPr id="7097" name="Изображение 7096" descr="resizeПП-00207856"/>
        <xdr:cNvPicPr>
          <a:picLocks noChangeAspect="1"/>
        </xdr:cNvPicPr>
      </xdr:nvPicPr>
      <xdr:blipFill>
        <a:blip xmlns:r="http://schemas.openxmlformats.org/officeDocument/2006/relationships" r:embed="rId2802"/>
        <a:stretch>
          <a:fillRect/>
        </a:stretch>
      </xdr:blipFill>
      <xdr:spPr>
        <a:xfrm>
          <a:off x="7264400" y="3654231325"/>
          <a:ext cx="878840" cy="1183640"/>
        </a:xfrm>
        <a:prstGeom prst="rect">
          <a:avLst/>
        </a:prstGeom>
      </xdr:spPr>
    </xdr:pic>
    <xdr:clientData/>
  </xdr:twoCellAnchor>
  <xdr:twoCellAnchor>
    <xdr:from>
      <xdr:col>8</xdr:col>
      <xdr:colOff>6350</xdr:colOff>
      <xdr:row>3673</xdr:row>
      <xdr:rowOff>25400</xdr:rowOff>
    </xdr:from>
    <xdr:to>
      <xdr:col>8</xdr:col>
      <xdr:colOff>885190</xdr:colOff>
      <xdr:row>3673</xdr:row>
      <xdr:rowOff>1209040</xdr:rowOff>
    </xdr:to>
    <xdr:pic>
      <xdr:nvPicPr>
        <xdr:cNvPr id="7098" name="Изображение 7097" descr="resizeПП-00199333"/>
        <xdr:cNvPicPr>
          <a:picLocks noChangeAspect="1"/>
        </xdr:cNvPicPr>
      </xdr:nvPicPr>
      <xdr:blipFill>
        <a:blip xmlns:r="http://schemas.openxmlformats.org/officeDocument/2006/relationships" r:embed="rId2803"/>
        <a:stretch>
          <a:fillRect/>
        </a:stretch>
      </xdr:blipFill>
      <xdr:spPr>
        <a:xfrm>
          <a:off x="7264400" y="3655606100"/>
          <a:ext cx="878840" cy="1183640"/>
        </a:xfrm>
        <a:prstGeom prst="rect">
          <a:avLst/>
        </a:prstGeom>
      </xdr:spPr>
    </xdr:pic>
    <xdr:clientData/>
  </xdr:twoCellAnchor>
  <xdr:twoCellAnchor>
    <xdr:from>
      <xdr:col>8</xdr:col>
      <xdr:colOff>6350</xdr:colOff>
      <xdr:row>3674</xdr:row>
      <xdr:rowOff>25400</xdr:rowOff>
    </xdr:from>
    <xdr:to>
      <xdr:col>8</xdr:col>
      <xdr:colOff>885190</xdr:colOff>
      <xdr:row>3674</xdr:row>
      <xdr:rowOff>1209040</xdr:rowOff>
    </xdr:to>
    <xdr:pic>
      <xdr:nvPicPr>
        <xdr:cNvPr id="7099" name="Изображение 7098" descr="resizeПП-00216923"/>
        <xdr:cNvPicPr>
          <a:picLocks noChangeAspect="1"/>
        </xdr:cNvPicPr>
      </xdr:nvPicPr>
      <xdr:blipFill>
        <a:blip xmlns:r="http://schemas.openxmlformats.org/officeDocument/2006/relationships" r:embed="rId2804"/>
        <a:stretch>
          <a:fillRect/>
        </a:stretch>
      </xdr:blipFill>
      <xdr:spPr>
        <a:xfrm>
          <a:off x="7264400" y="3656828475"/>
          <a:ext cx="878840" cy="1183640"/>
        </a:xfrm>
        <a:prstGeom prst="rect">
          <a:avLst/>
        </a:prstGeom>
      </xdr:spPr>
    </xdr:pic>
    <xdr:clientData/>
  </xdr:twoCellAnchor>
  <xdr:twoCellAnchor>
    <xdr:from>
      <xdr:col>8</xdr:col>
      <xdr:colOff>6350</xdr:colOff>
      <xdr:row>3675</xdr:row>
      <xdr:rowOff>25400</xdr:rowOff>
    </xdr:from>
    <xdr:to>
      <xdr:col>8</xdr:col>
      <xdr:colOff>885190</xdr:colOff>
      <xdr:row>3675</xdr:row>
      <xdr:rowOff>1209040</xdr:rowOff>
    </xdr:to>
    <xdr:pic>
      <xdr:nvPicPr>
        <xdr:cNvPr id="7100" name="Изображение 7099" descr="resizeПП-00216920"/>
        <xdr:cNvPicPr>
          <a:picLocks noChangeAspect="1"/>
        </xdr:cNvPicPr>
      </xdr:nvPicPr>
      <xdr:blipFill>
        <a:blip xmlns:r="http://schemas.openxmlformats.org/officeDocument/2006/relationships" r:embed="rId2805"/>
        <a:stretch>
          <a:fillRect/>
        </a:stretch>
      </xdr:blipFill>
      <xdr:spPr>
        <a:xfrm>
          <a:off x="7264400" y="3658050850"/>
          <a:ext cx="878840" cy="1183640"/>
        </a:xfrm>
        <a:prstGeom prst="rect">
          <a:avLst/>
        </a:prstGeom>
      </xdr:spPr>
    </xdr:pic>
    <xdr:clientData/>
  </xdr:twoCellAnchor>
  <xdr:twoCellAnchor>
    <xdr:from>
      <xdr:col>8</xdr:col>
      <xdr:colOff>6350</xdr:colOff>
      <xdr:row>3676</xdr:row>
      <xdr:rowOff>25400</xdr:rowOff>
    </xdr:from>
    <xdr:to>
      <xdr:col>8</xdr:col>
      <xdr:colOff>885190</xdr:colOff>
      <xdr:row>3676</xdr:row>
      <xdr:rowOff>1209040</xdr:rowOff>
    </xdr:to>
    <xdr:pic>
      <xdr:nvPicPr>
        <xdr:cNvPr id="7101" name="Изображение 7100" descr="resizeПП-00216921"/>
        <xdr:cNvPicPr>
          <a:picLocks noChangeAspect="1"/>
        </xdr:cNvPicPr>
      </xdr:nvPicPr>
      <xdr:blipFill>
        <a:blip xmlns:r="http://schemas.openxmlformats.org/officeDocument/2006/relationships" r:embed="rId2806"/>
        <a:stretch>
          <a:fillRect/>
        </a:stretch>
      </xdr:blipFill>
      <xdr:spPr>
        <a:xfrm>
          <a:off x="7264400" y="3659273225"/>
          <a:ext cx="878840" cy="1183640"/>
        </a:xfrm>
        <a:prstGeom prst="rect">
          <a:avLst/>
        </a:prstGeom>
      </xdr:spPr>
    </xdr:pic>
    <xdr:clientData/>
  </xdr:twoCellAnchor>
  <xdr:twoCellAnchor>
    <xdr:from>
      <xdr:col>8</xdr:col>
      <xdr:colOff>6350</xdr:colOff>
      <xdr:row>3677</xdr:row>
      <xdr:rowOff>25400</xdr:rowOff>
    </xdr:from>
    <xdr:to>
      <xdr:col>8</xdr:col>
      <xdr:colOff>885190</xdr:colOff>
      <xdr:row>3677</xdr:row>
      <xdr:rowOff>1209040</xdr:rowOff>
    </xdr:to>
    <xdr:pic>
      <xdr:nvPicPr>
        <xdr:cNvPr id="7102" name="Изображение 7101" descr="resizeПП-00259394"/>
        <xdr:cNvPicPr>
          <a:picLocks noChangeAspect="1"/>
        </xdr:cNvPicPr>
      </xdr:nvPicPr>
      <xdr:blipFill>
        <a:blip xmlns:r="http://schemas.openxmlformats.org/officeDocument/2006/relationships" r:embed="rId2807"/>
        <a:stretch>
          <a:fillRect/>
        </a:stretch>
      </xdr:blipFill>
      <xdr:spPr>
        <a:xfrm>
          <a:off x="7264400" y="3660495600"/>
          <a:ext cx="878840" cy="1183640"/>
        </a:xfrm>
        <a:prstGeom prst="rect">
          <a:avLst/>
        </a:prstGeom>
      </xdr:spPr>
    </xdr:pic>
    <xdr:clientData/>
  </xdr:twoCellAnchor>
  <xdr:twoCellAnchor>
    <xdr:from>
      <xdr:col>8</xdr:col>
      <xdr:colOff>6350</xdr:colOff>
      <xdr:row>3678</xdr:row>
      <xdr:rowOff>25400</xdr:rowOff>
    </xdr:from>
    <xdr:to>
      <xdr:col>8</xdr:col>
      <xdr:colOff>885190</xdr:colOff>
      <xdr:row>3678</xdr:row>
      <xdr:rowOff>1209040</xdr:rowOff>
    </xdr:to>
    <xdr:pic>
      <xdr:nvPicPr>
        <xdr:cNvPr id="7103" name="Изображение 7102" descr="resizeПП-00259396"/>
        <xdr:cNvPicPr>
          <a:picLocks noChangeAspect="1"/>
        </xdr:cNvPicPr>
      </xdr:nvPicPr>
      <xdr:blipFill>
        <a:blip xmlns:r="http://schemas.openxmlformats.org/officeDocument/2006/relationships" r:embed="rId2808"/>
        <a:stretch>
          <a:fillRect/>
        </a:stretch>
      </xdr:blipFill>
      <xdr:spPr>
        <a:xfrm>
          <a:off x="7264400" y="3661717975"/>
          <a:ext cx="878840" cy="1183640"/>
        </a:xfrm>
        <a:prstGeom prst="rect">
          <a:avLst/>
        </a:prstGeom>
      </xdr:spPr>
    </xdr:pic>
    <xdr:clientData/>
  </xdr:twoCellAnchor>
  <xdr:twoCellAnchor>
    <xdr:from>
      <xdr:col>8</xdr:col>
      <xdr:colOff>6350</xdr:colOff>
      <xdr:row>3679</xdr:row>
      <xdr:rowOff>25400</xdr:rowOff>
    </xdr:from>
    <xdr:to>
      <xdr:col>8</xdr:col>
      <xdr:colOff>885190</xdr:colOff>
      <xdr:row>3679</xdr:row>
      <xdr:rowOff>1209040</xdr:rowOff>
    </xdr:to>
    <xdr:pic>
      <xdr:nvPicPr>
        <xdr:cNvPr id="7104" name="Изображение 7103" descr="resizeПП-00199332"/>
        <xdr:cNvPicPr>
          <a:picLocks noChangeAspect="1"/>
        </xdr:cNvPicPr>
      </xdr:nvPicPr>
      <xdr:blipFill>
        <a:blip xmlns:r="http://schemas.openxmlformats.org/officeDocument/2006/relationships" r:embed="rId2809"/>
        <a:stretch>
          <a:fillRect/>
        </a:stretch>
      </xdr:blipFill>
      <xdr:spPr>
        <a:xfrm>
          <a:off x="7264400" y="3662940350"/>
          <a:ext cx="878840" cy="1183640"/>
        </a:xfrm>
        <a:prstGeom prst="rect">
          <a:avLst/>
        </a:prstGeom>
      </xdr:spPr>
    </xdr:pic>
    <xdr:clientData/>
  </xdr:twoCellAnchor>
  <xdr:twoCellAnchor>
    <xdr:from>
      <xdr:col>8</xdr:col>
      <xdr:colOff>6350</xdr:colOff>
      <xdr:row>3680</xdr:row>
      <xdr:rowOff>25400</xdr:rowOff>
    </xdr:from>
    <xdr:to>
      <xdr:col>8</xdr:col>
      <xdr:colOff>885190</xdr:colOff>
      <xdr:row>3680</xdr:row>
      <xdr:rowOff>1209040</xdr:rowOff>
    </xdr:to>
    <xdr:pic>
      <xdr:nvPicPr>
        <xdr:cNvPr id="7105" name="Изображение 7104" descr="resizeПП-00259395"/>
        <xdr:cNvPicPr>
          <a:picLocks noChangeAspect="1"/>
        </xdr:cNvPicPr>
      </xdr:nvPicPr>
      <xdr:blipFill>
        <a:blip xmlns:r="http://schemas.openxmlformats.org/officeDocument/2006/relationships" r:embed="rId2810"/>
        <a:stretch>
          <a:fillRect/>
        </a:stretch>
      </xdr:blipFill>
      <xdr:spPr>
        <a:xfrm>
          <a:off x="7264400" y="3664162725"/>
          <a:ext cx="878840" cy="1183640"/>
        </a:xfrm>
        <a:prstGeom prst="rect">
          <a:avLst/>
        </a:prstGeom>
      </xdr:spPr>
    </xdr:pic>
    <xdr:clientData/>
  </xdr:twoCellAnchor>
  <xdr:twoCellAnchor>
    <xdr:from>
      <xdr:col>8</xdr:col>
      <xdr:colOff>6350</xdr:colOff>
      <xdr:row>3681</xdr:row>
      <xdr:rowOff>25400</xdr:rowOff>
    </xdr:from>
    <xdr:to>
      <xdr:col>8</xdr:col>
      <xdr:colOff>885190</xdr:colOff>
      <xdr:row>3681</xdr:row>
      <xdr:rowOff>1209040</xdr:rowOff>
    </xdr:to>
    <xdr:pic>
      <xdr:nvPicPr>
        <xdr:cNvPr id="7106" name="Изображение 7105" descr="resizeПП-00259398"/>
        <xdr:cNvPicPr>
          <a:picLocks noChangeAspect="1"/>
        </xdr:cNvPicPr>
      </xdr:nvPicPr>
      <xdr:blipFill>
        <a:blip xmlns:r="http://schemas.openxmlformats.org/officeDocument/2006/relationships" r:embed="rId2811"/>
        <a:stretch>
          <a:fillRect/>
        </a:stretch>
      </xdr:blipFill>
      <xdr:spPr>
        <a:xfrm>
          <a:off x="7264400" y="3665385100"/>
          <a:ext cx="878840" cy="1183640"/>
        </a:xfrm>
        <a:prstGeom prst="rect">
          <a:avLst/>
        </a:prstGeom>
      </xdr:spPr>
    </xdr:pic>
    <xdr:clientData/>
  </xdr:twoCellAnchor>
  <xdr:twoCellAnchor>
    <xdr:from>
      <xdr:col>8</xdr:col>
      <xdr:colOff>6350</xdr:colOff>
      <xdr:row>3682</xdr:row>
      <xdr:rowOff>25400</xdr:rowOff>
    </xdr:from>
    <xdr:to>
      <xdr:col>8</xdr:col>
      <xdr:colOff>885190</xdr:colOff>
      <xdr:row>3682</xdr:row>
      <xdr:rowOff>1209040</xdr:rowOff>
    </xdr:to>
    <xdr:pic>
      <xdr:nvPicPr>
        <xdr:cNvPr id="7107" name="Изображение 7106" descr="resizeПП-00259399"/>
        <xdr:cNvPicPr>
          <a:picLocks noChangeAspect="1"/>
        </xdr:cNvPicPr>
      </xdr:nvPicPr>
      <xdr:blipFill>
        <a:blip xmlns:r="http://schemas.openxmlformats.org/officeDocument/2006/relationships" r:embed="rId2812"/>
        <a:stretch>
          <a:fillRect/>
        </a:stretch>
      </xdr:blipFill>
      <xdr:spPr>
        <a:xfrm>
          <a:off x="7264400" y="3666607475"/>
          <a:ext cx="878840" cy="1183640"/>
        </a:xfrm>
        <a:prstGeom prst="rect">
          <a:avLst/>
        </a:prstGeom>
      </xdr:spPr>
    </xdr:pic>
    <xdr:clientData/>
  </xdr:twoCellAnchor>
  <xdr:twoCellAnchor>
    <xdr:from>
      <xdr:col>8</xdr:col>
      <xdr:colOff>6350</xdr:colOff>
      <xdr:row>3683</xdr:row>
      <xdr:rowOff>25400</xdr:rowOff>
    </xdr:from>
    <xdr:to>
      <xdr:col>8</xdr:col>
      <xdr:colOff>885190</xdr:colOff>
      <xdr:row>3683</xdr:row>
      <xdr:rowOff>1209040</xdr:rowOff>
    </xdr:to>
    <xdr:pic>
      <xdr:nvPicPr>
        <xdr:cNvPr id="7108" name="Изображение 7107" descr="resizeПП-00259397"/>
        <xdr:cNvPicPr>
          <a:picLocks noChangeAspect="1"/>
        </xdr:cNvPicPr>
      </xdr:nvPicPr>
      <xdr:blipFill>
        <a:blip xmlns:r="http://schemas.openxmlformats.org/officeDocument/2006/relationships" r:embed="rId2813"/>
        <a:stretch>
          <a:fillRect/>
        </a:stretch>
      </xdr:blipFill>
      <xdr:spPr>
        <a:xfrm>
          <a:off x="7264400" y="3667829850"/>
          <a:ext cx="878840" cy="1183640"/>
        </a:xfrm>
        <a:prstGeom prst="rect">
          <a:avLst/>
        </a:prstGeom>
      </xdr:spPr>
    </xdr:pic>
    <xdr:clientData/>
  </xdr:twoCellAnchor>
  <xdr:twoCellAnchor>
    <xdr:from>
      <xdr:col>8</xdr:col>
      <xdr:colOff>6350</xdr:colOff>
      <xdr:row>3684</xdr:row>
      <xdr:rowOff>25400</xdr:rowOff>
    </xdr:from>
    <xdr:to>
      <xdr:col>8</xdr:col>
      <xdr:colOff>885190</xdr:colOff>
      <xdr:row>3684</xdr:row>
      <xdr:rowOff>1209040</xdr:rowOff>
    </xdr:to>
    <xdr:pic>
      <xdr:nvPicPr>
        <xdr:cNvPr id="7109" name="Изображение 7108" descr="resizeПП-00199331"/>
        <xdr:cNvPicPr>
          <a:picLocks noChangeAspect="1"/>
        </xdr:cNvPicPr>
      </xdr:nvPicPr>
      <xdr:blipFill>
        <a:blip xmlns:r="http://schemas.openxmlformats.org/officeDocument/2006/relationships" r:embed="rId2814"/>
        <a:stretch>
          <a:fillRect/>
        </a:stretch>
      </xdr:blipFill>
      <xdr:spPr>
        <a:xfrm>
          <a:off x="7264400" y="3669052225"/>
          <a:ext cx="878840" cy="1183640"/>
        </a:xfrm>
        <a:prstGeom prst="rect">
          <a:avLst/>
        </a:prstGeom>
      </xdr:spPr>
    </xdr:pic>
    <xdr:clientData/>
  </xdr:twoCellAnchor>
  <xdr:twoCellAnchor>
    <xdr:from>
      <xdr:col>8</xdr:col>
      <xdr:colOff>6350</xdr:colOff>
      <xdr:row>3685</xdr:row>
      <xdr:rowOff>25400</xdr:rowOff>
    </xdr:from>
    <xdr:to>
      <xdr:col>8</xdr:col>
      <xdr:colOff>885190</xdr:colOff>
      <xdr:row>3685</xdr:row>
      <xdr:rowOff>1209040</xdr:rowOff>
    </xdr:to>
    <xdr:pic>
      <xdr:nvPicPr>
        <xdr:cNvPr id="7110" name="Изображение 7109" descr="resizeПП-00199334"/>
        <xdr:cNvPicPr>
          <a:picLocks noChangeAspect="1"/>
        </xdr:cNvPicPr>
      </xdr:nvPicPr>
      <xdr:blipFill>
        <a:blip xmlns:r="http://schemas.openxmlformats.org/officeDocument/2006/relationships" r:embed="rId2815"/>
        <a:stretch>
          <a:fillRect/>
        </a:stretch>
      </xdr:blipFill>
      <xdr:spPr>
        <a:xfrm>
          <a:off x="7264400" y="3670274600"/>
          <a:ext cx="878840" cy="1183640"/>
        </a:xfrm>
        <a:prstGeom prst="rect">
          <a:avLst/>
        </a:prstGeom>
      </xdr:spPr>
    </xdr:pic>
    <xdr:clientData/>
  </xdr:twoCellAnchor>
  <xdr:twoCellAnchor>
    <xdr:from>
      <xdr:col>8</xdr:col>
      <xdr:colOff>6350</xdr:colOff>
      <xdr:row>3687</xdr:row>
      <xdr:rowOff>25400</xdr:rowOff>
    </xdr:from>
    <xdr:to>
      <xdr:col>8</xdr:col>
      <xdr:colOff>885190</xdr:colOff>
      <xdr:row>3687</xdr:row>
      <xdr:rowOff>1209040</xdr:rowOff>
    </xdr:to>
    <xdr:pic>
      <xdr:nvPicPr>
        <xdr:cNvPr id="7111" name="Изображение 7110" descr="resizeПП-00235860"/>
        <xdr:cNvPicPr>
          <a:picLocks noChangeAspect="1"/>
        </xdr:cNvPicPr>
      </xdr:nvPicPr>
      <xdr:blipFill>
        <a:blip xmlns:r="http://schemas.openxmlformats.org/officeDocument/2006/relationships" r:embed="rId2816"/>
        <a:stretch>
          <a:fillRect/>
        </a:stretch>
      </xdr:blipFill>
      <xdr:spPr>
        <a:xfrm>
          <a:off x="7264400" y="3671649375"/>
          <a:ext cx="878840" cy="1183640"/>
        </a:xfrm>
        <a:prstGeom prst="rect">
          <a:avLst/>
        </a:prstGeom>
      </xdr:spPr>
    </xdr:pic>
    <xdr:clientData/>
  </xdr:twoCellAnchor>
  <xdr:twoCellAnchor>
    <xdr:from>
      <xdr:col>8</xdr:col>
      <xdr:colOff>6350</xdr:colOff>
      <xdr:row>3688</xdr:row>
      <xdr:rowOff>25400</xdr:rowOff>
    </xdr:from>
    <xdr:to>
      <xdr:col>8</xdr:col>
      <xdr:colOff>885190</xdr:colOff>
      <xdr:row>3688</xdr:row>
      <xdr:rowOff>1209040</xdr:rowOff>
    </xdr:to>
    <xdr:pic>
      <xdr:nvPicPr>
        <xdr:cNvPr id="7112" name="Изображение 7111" descr="resizeПП-00235851"/>
        <xdr:cNvPicPr>
          <a:picLocks noChangeAspect="1"/>
        </xdr:cNvPicPr>
      </xdr:nvPicPr>
      <xdr:blipFill>
        <a:blip xmlns:r="http://schemas.openxmlformats.org/officeDocument/2006/relationships" r:embed="rId2817"/>
        <a:stretch>
          <a:fillRect/>
        </a:stretch>
      </xdr:blipFill>
      <xdr:spPr>
        <a:xfrm>
          <a:off x="7264400" y="3672871750"/>
          <a:ext cx="878840" cy="1183640"/>
        </a:xfrm>
        <a:prstGeom prst="rect">
          <a:avLst/>
        </a:prstGeom>
      </xdr:spPr>
    </xdr:pic>
    <xdr:clientData/>
  </xdr:twoCellAnchor>
  <xdr:twoCellAnchor>
    <xdr:from>
      <xdr:col>8</xdr:col>
      <xdr:colOff>6350</xdr:colOff>
      <xdr:row>3689</xdr:row>
      <xdr:rowOff>25400</xdr:rowOff>
    </xdr:from>
    <xdr:to>
      <xdr:col>8</xdr:col>
      <xdr:colOff>885190</xdr:colOff>
      <xdr:row>3689</xdr:row>
      <xdr:rowOff>1209040</xdr:rowOff>
    </xdr:to>
    <xdr:pic>
      <xdr:nvPicPr>
        <xdr:cNvPr id="7113" name="Изображение 7112" descr="resizeПП-00235871"/>
        <xdr:cNvPicPr>
          <a:picLocks noChangeAspect="1"/>
        </xdr:cNvPicPr>
      </xdr:nvPicPr>
      <xdr:blipFill>
        <a:blip xmlns:r="http://schemas.openxmlformats.org/officeDocument/2006/relationships" r:embed="rId2818"/>
        <a:stretch>
          <a:fillRect/>
        </a:stretch>
      </xdr:blipFill>
      <xdr:spPr>
        <a:xfrm>
          <a:off x="7264400" y="3674094125"/>
          <a:ext cx="878840" cy="1183640"/>
        </a:xfrm>
        <a:prstGeom prst="rect">
          <a:avLst/>
        </a:prstGeom>
      </xdr:spPr>
    </xdr:pic>
    <xdr:clientData/>
  </xdr:twoCellAnchor>
  <xdr:twoCellAnchor>
    <xdr:from>
      <xdr:col>8</xdr:col>
      <xdr:colOff>6350</xdr:colOff>
      <xdr:row>3690</xdr:row>
      <xdr:rowOff>25400</xdr:rowOff>
    </xdr:from>
    <xdr:to>
      <xdr:col>8</xdr:col>
      <xdr:colOff>885190</xdr:colOff>
      <xdr:row>3690</xdr:row>
      <xdr:rowOff>1209040</xdr:rowOff>
    </xdr:to>
    <xdr:pic>
      <xdr:nvPicPr>
        <xdr:cNvPr id="7114" name="Изображение 7113" descr="resizeПП-00235867"/>
        <xdr:cNvPicPr>
          <a:picLocks noChangeAspect="1"/>
        </xdr:cNvPicPr>
      </xdr:nvPicPr>
      <xdr:blipFill>
        <a:blip xmlns:r="http://schemas.openxmlformats.org/officeDocument/2006/relationships" r:embed="rId2819"/>
        <a:stretch>
          <a:fillRect/>
        </a:stretch>
      </xdr:blipFill>
      <xdr:spPr>
        <a:xfrm>
          <a:off x="7264400" y="3675316500"/>
          <a:ext cx="878840" cy="1183640"/>
        </a:xfrm>
        <a:prstGeom prst="rect">
          <a:avLst/>
        </a:prstGeom>
      </xdr:spPr>
    </xdr:pic>
    <xdr:clientData/>
  </xdr:twoCellAnchor>
  <xdr:twoCellAnchor>
    <xdr:from>
      <xdr:col>8</xdr:col>
      <xdr:colOff>6350</xdr:colOff>
      <xdr:row>3693</xdr:row>
      <xdr:rowOff>25400</xdr:rowOff>
    </xdr:from>
    <xdr:to>
      <xdr:col>8</xdr:col>
      <xdr:colOff>885190</xdr:colOff>
      <xdr:row>3693</xdr:row>
      <xdr:rowOff>1209040</xdr:rowOff>
    </xdr:to>
    <xdr:pic>
      <xdr:nvPicPr>
        <xdr:cNvPr id="7115" name="Изображение 7114" descr="resizeПП-00210094"/>
        <xdr:cNvPicPr>
          <a:picLocks noChangeAspect="1"/>
        </xdr:cNvPicPr>
      </xdr:nvPicPr>
      <xdr:blipFill>
        <a:blip xmlns:r="http://schemas.openxmlformats.org/officeDocument/2006/relationships" r:embed="rId2820"/>
        <a:stretch>
          <a:fillRect/>
        </a:stretch>
      </xdr:blipFill>
      <xdr:spPr>
        <a:xfrm>
          <a:off x="7264400" y="3676843675"/>
          <a:ext cx="878840" cy="1183640"/>
        </a:xfrm>
        <a:prstGeom prst="rect">
          <a:avLst/>
        </a:prstGeom>
      </xdr:spPr>
    </xdr:pic>
    <xdr:clientData/>
  </xdr:twoCellAnchor>
  <xdr:twoCellAnchor>
    <xdr:from>
      <xdr:col>8</xdr:col>
      <xdr:colOff>6350</xdr:colOff>
      <xdr:row>3694</xdr:row>
      <xdr:rowOff>25400</xdr:rowOff>
    </xdr:from>
    <xdr:to>
      <xdr:col>8</xdr:col>
      <xdr:colOff>885190</xdr:colOff>
      <xdr:row>3694</xdr:row>
      <xdr:rowOff>1209040</xdr:rowOff>
    </xdr:to>
    <xdr:pic>
      <xdr:nvPicPr>
        <xdr:cNvPr id="7116" name="Изображение 7115" descr="resizeПП-00257749"/>
        <xdr:cNvPicPr>
          <a:picLocks noChangeAspect="1"/>
        </xdr:cNvPicPr>
      </xdr:nvPicPr>
      <xdr:blipFill>
        <a:blip xmlns:r="http://schemas.openxmlformats.org/officeDocument/2006/relationships" r:embed="rId2821"/>
        <a:stretch>
          <a:fillRect/>
        </a:stretch>
      </xdr:blipFill>
      <xdr:spPr>
        <a:xfrm>
          <a:off x="7264400" y="3678066050"/>
          <a:ext cx="878840" cy="1183640"/>
        </a:xfrm>
        <a:prstGeom prst="rect">
          <a:avLst/>
        </a:prstGeom>
      </xdr:spPr>
    </xdr:pic>
    <xdr:clientData/>
  </xdr:twoCellAnchor>
  <xdr:twoCellAnchor>
    <xdr:from>
      <xdr:col>8</xdr:col>
      <xdr:colOff>6350</xdr:colOff>
      <xdr:row>3695</xdr:row>
      <xdr:rowOff>25400</xdr:rowOff>
    </xdr:from>
    <xdr:to>
      <xdr:col>8</xdr:col>
      <xdr:colOff>885190</xdr:colOff>
      <xdr:row>3695</xdr:row>
      <xdr:rowOff>1209040</xdr:rowOff>
    </xdr:to>
    <xdr:pic>
      <xdr:nvPicPr>
        <xdr:cNvPr id="7117" name="Изображение 7116" descr="resizeПП-00257748"/>
        <xdr:cNvPicPr>
          <a:picLocks noChangeAspect="1"/>
        </xdr:cNvPicPr>
      </xdr:nvPicPr>
      <xdr:blipFill>
        <a:blip xmlns:r="http://schemas.openxmlformats.org/officeDocument/2006/relationships" r:embed="rId2822"/>
        <a:stretch>
          <a:fillRect/>
        </a:stretch>
      </xdr:blipFill>
      <xdr:spPr>
        <a:xfrm>
          <a:off x="7264400" y="3679288425"/>
          <a:ext cx="878840" cy="1183640"/>
        </a:xfrm>
        <a:prstGeom prst="rect">
          <a:avLst/>
        </a:prstGeom>
      </xdr:spPr>
    </xdr:pic>
    <xdr:clientData/>
  </xdr:twoCellAnchor>
  <xdr:twoCellAnchor>
    <xdr:from>
      <xdr:col>8</xdr:col>
      <xdr:colOff>6350</xdr:colOff>
      <xdr:row>3696</xdr:row>
      <xdr:rowOff>25400</xdr:rowOff>
    </xdr:from>
    <xdr:to>
      <xdr:col>8</xdr:col>
      <xdr:colOff>885190</xdr:colOff>
      <xdr:row>3696</xdr:row>
      <xdr:rowOff>1209040</xdr:rowOff>
    </xdr:to>
    <xdr:pic>
      <xdr:nvPicPr>
        <xdr:cNvPr id="7118" name="Изображение 7117" descr="resizeПП-00257752"/>
        <xdr:cNvPicPr>
          <a:picLocks noChangeAspect="1"/>
        </xdr:cNvPicPr>
      </xdr:nvPicPr>
      <xdr:blipFill>
        <a:blip xmlns:r="http://schemas.openxmlformats.org/officeDocument/2006/relationships" r:embed="rId2823"/>
        <a:stretch>
          <a:fillRect/>
        </a:stretch>
      </xdr:blipFill>
      <xdr:spPr>
        <a:xfrm>
          <a:off x="7264400" y="3680510800"/>
          <a:ext cx="878840" cy="1183640"/>
        </a:xfrm>
        <a:prstGeom prst="rect">
          <a:avLst/>
        </a:prstGeom>
      </xdr:spPr>
    </xdr:pic>
    <xdr:clientData/>
  </xdr:twoCellAnchor>
  <xdr:twoCellAnchor>
    <xdr:from>
      <xdr:col>8</xdr:col>
      <xdr:colOff>6350</xdr:colOff>
      <xdr:row>3697</xdr:row>
      <xdr:rowOff>25400</xdr:rowOff>
    </xdr:from>
    <xdr:to>
      <xdr:col>8</xdr:col>
      <xdr:colOff>885190</xdr:colOff>
      <xdr:row>3697</xdr:row>
      <xdr:rowOff>1209040</xdr:rowOff>
    </xdr:to>
    <xdr:pic>
      <xdr:nvPicPr>
        <xdr:cNvPr id="7119" name="Изображение 7118" descr="resizeПП-00257753"/>
        <xdr:cNvPicPr>
          <a:picLocks noChangeAspect="1"/>
        </xdr:cNvPicPr>
      </xdr:nvPicPr>
      <xdr:blipFill>
        <a:blip xmlns:r="http://schemas.openxmlformats.org/officeDocument/2006/relationships" r:embed="rId2824"/>
        <a:stretch>
          <a:fillRect/>
        </a:stretch>
      </xdr:blipFill>
      <xdr:spPr>
        <a:xfrm>
          <a:off x="7264400" y="3681733175"/>
          <a:ext cx="878840" cy="1183640"/>
        </a:xfrm>
        <a:prstGeom prst="rect">
          <a:avLst/>
        </a:prstGeom>
      </xdr:spPr>
    </xdr:pic>
    <xdr:clientData/>
  </xdr:twoCellAnchor>
  <xdr:twoCellAnchor>
    <xdr:from>
      <xdr:col>8</xdr:col>
      <xdr:colOff>6350</xdr:colOff>
      <xdr:row>3699</xdr:row>
      <xdr:rowOff>25400</xdr:rowOff>
    </xdr:from>
    <xdr:to>
      <xdr:col>8</xdr:col>
      <xdr:colOff>885190</xdr:colOff>
      <xdr:row>3699</xdr:row>
      <xdr:rowOff>1209040</xdr:rowOff>
    </xdr:to>
    <xdr:pic>
      <xdr:nvPicPr>
        <xdr:cNvPr id="7120" name="Изображение 7119" descr="resizeПП-00233987"/>
        <xdr:cNvPicPr>
          <a:picLocks noChangeAspect="1"/>
        </xdr:cNvPicPr>
      </xdr:nvPicPr>
      <xdr:blipFill>
        <a:blip xmlns:r="http://schemas.openxmlformats.org/officeDocument/2006/relationships" r:embed="rId2825"/>
        <a:stretch>
          <a:fillRect/>
        </a:stretch>
      </xdr:blipFill>
      <xdr:spPr>
        <a:xfrm>
          <a:off x="7264400" y="3683107950"/>
          <a:ext cx="878840" cy="1183640"/>
        </a:xfrm>
        <a:prstGeom prst="rect">
          <a:avLst/>
        </a:prstGeom>
      </xdr:spPr>
    </xdr:pic>
    <xdr:clientData/>
  </xdr:twoCellAnchor>
  <xdr:twoCellAnchor>
    <xdr:from>
      <xdr:col>8</xdr:col>
      <xdr:colOff>6350</xdr:colOff>
      <xdr:row>3700</xdr:row>
      <xdr:rowOff>25400</xdr:rowOff>
    </xdr:from>
    <xdr:to>
      <xdr:col>8</xdr:col>
      <xdr:colOff>885190</xdr:colOff>
      <xdr:row>3700</xdr:row>
      <xdr:rowOff>1209040</xdr:rowOff>
    </xdr:to>
    <xdr:pic>
      <xdr:nvPicPr>
        <xdr:cNvPr id="7121" name="Изображение 7120" descr="resizeПП-00233981"/>
        <xdr:cNvPicPr>
          <a:picLocks noChangeAspect="1"/>
        </xdr:cNvPicPr>
      </xdr:nvPicPr>
      <xdr:blipFill>
        <a:blip xmlns:r="http://schemas.openxmlformats.org/officeDocument/2006/relationships" r:embed="rId2826"/>
        <a:stretch>
          <a:fillRect/>
        </a:stretch>
      </xdr:blipFill>
      <xdr:spPr>
        <a:xfrm>
          <a:off x="7264400" y="3684330325"/>
          <a:ext cx="878840" cy="1183640"/>
        </a:xfrm>
        <a:prstGeom prst="rect">
          <a:avLst/>
        </a:prstGeom>
      </xdr:spPr>
    </xdr:pic>
    <xdr:clientData/>
  </xdr:twoCellAnchor>
  <xdr:twoCellAnchor>
    <xdr:from>
      <xdr:col>8</xdr:col>
      <xdr:colOff>6350</xdr:colOff>
      <xdr:row>3701</xdr:row>
      <xdr:rowOff>25400</xdr:rowOff>
    </xdr:from>
    <xdr:to>
      <xdr:col>8</xdr:col>
      <xdr:colOff>885190</xdr:colOff>
      <xdr:row>3701</xdr:row>
      <xdr:rowOff>1209040</xdr:rowOff>
    </xdr:to>
    <xdr:pic>
      <xdr:nvPicPr>
        <xdr:cNvPr id="7122" name="Изображение 7121" descr="resizeПП-00233989"/>
        <xdr:cNvPicPr>
          <a:picLocks noChangeAspect="1"/>
        </xdr:cNvPicPr>
      </xdr:nvPicPr>
      <xdr:blipFill>
        <a:blip xmlns:r="http://schemas.openxmlformats.org/officeDocument/2006/relationships" r:embed="rId2827"/>
        <a:stretch>
          <a:fillRect/>
        </a:stretch>
      </xdr:blipFill>
      <xdr:spPr>
        <a:xfrm>
          <a:off x="7264400" y="3685552700"/>
          <a:ext cx="878840" cy="1183640"/>
        </a:xfrm>
        <a:prstGeom prst="rect">
          <a:avLst/>
        </a:prstGeom>
      </xdr:spPr>
    </xdr:pic>
    <xdr:clientData/>
  </xdr:twoCellAnchor>
  <xdr:twoCellAnchor>
    <xdr:from>
      <xdr:col>8</xdr:col>
      <xdr:colOff>6350</xdr:colOff>
      <xdr:row>3702</xdr:row>
      <xdr:rowOff>25400</xdr:rowOff>
    </xdr:from>
    <xdr:to>
      <xdr:col>8</xdr:col>
      <xdr:colOff>885190</xdr:colOff>
      <xdr:row>3702</xdr:row>
      <xdr:rowOff>1209040</xdr:rowOff>
    </xdr:to>
    <xdr:pic>
      <xdr:nvPicPr>
        <xdr:cNvPr id="7123" name="Изображение 7122" descr="resizeПП-00233986"/>
        <xdr:cNvPicPr>
          <a:picLocks noChangeAspect="1"/>
        </xdr:cNvPicPr>
      </xdr:nvPicPr>
      <xdr:blipFill>
        <a:blip xmlns:r="http://schemas.openxmlformats.org/officeDocument/2006/relationships" r:embed="rId2828"/>
        <a:stretch>
          <a:fillRect/>
        </a:stretch>
      </xdr:blipFill>
      <xdr:spPr>
        <a:xfrm>
          <a:off x="7264400" y="3686775075"/>
          <a:ext cx="878840" cy="1183640"/>
        </a:xfrm>
        <a:prstGeom prst="rect">
          <a:avLst/>
        </a:prstGeom>
      </xdr:spPr>
    </xdr:pic>
    <xdr:clientData/>
  </xdr:twoCellAnchor>
  <xdr:twoCellAnchor>
    <xdr:from>
      <xdr:col>8</xdr:col>
      <xdr:colOff>6350</xdr:colOff>
      <xdr:row>3703</xdr:row>
      <xdr:rowOff>25400</xdr:rowOff>
    </xdr:from>
    <xdr:to>
      <xdr:col>8</xdr:col>
      <xdr:colOff>885190</xdr:colOff>
      <xdr:row>3703</xdr:row>
      <xdr:rowOff>1209040</xdr:rowOff>
    </xdr:to>
    <xdr:pic>
      <xdr:nvPicPr>
        <xdr:cNvPr id="7124" name="Изображение 7123" descr="resizeПП-00233983"/>
        <xdr:cNvPicPr>
          <a:picLocks noChangeAspect="1"/>
        </xdr:cNvPicPr>
      </xdr:nvPicPr>
      <xdr:blipFill>
        <a:blip xmlns:r="http://schemas.openxmlformats.org/officeDocument/2006/relationships" r:embed="rId2829"/>
        <a:stretch>
          <a:fillRect/>
        </a:stretch>
      </xdr:blipFill>
      <xdr:spPr>
        <a:xfrm>
          <a:off x="7264400" y="3687997450"/>
          <a:ext cx="878840" cy="1183640"/>
        </a:xfrm>
        <a:prstGeom prst="rect">
          <a:avLst/>
        </a:prstGeom>
      </xdr:spPr>
    </xdr:pic>
    <xdr:clientData/>
  </xdr:twoCellAnchor>
  <xdr:twoCellAnchor>
    <xdr:from>
      <xdr:col>8</xdr:col>
      <xdr:colOff>6350</xdr:colOff>
      <xdr:row>3704</xdr:row>
      <xdr:rowOff>25400</xdr:rowOff>
    </xdr:from>
    <xdr:to>
      <xdr:col>8</xdr:col>
      <xdr:colOff>885190</xdr:colOff>
      <xdr:row>3704</xdr:row>
      <xdr:rowOff>1209040</xdr:rowOff>
    </xdr:to>
    <xdr:pic>
      <xdr:nvPicPr>
        <xdr:cNvPr id="7125" name="Изображение 7124" descr="resizeПП-00210109"/>
        <xdr:cNvPicPr>
          <a:picLocks noChangeAspect="1"/>
        </xdr:cNvPicPr>
      </xdr:nvPicPr>
      <xdr:blipFill>
        <a:blip xmlns:r="http://schemas.openxmlformats.org/officeDocument/2006/relationships" r:embed="rId2830"/>
        <a:stretch>
          <a:fillRect/>
        </a:stretch>
      </xdr:blipFill>
      <xdr:spPr>
        <a:xfrm>
          <a:off x="7264400" y="3689219825"/>
          <a:ext cx="878840" cy="1183640"/>
        </a:xfrm>
        <a:prstGeom prst="rect">
          <a:avLst/>
        </a:prstGeom>
      </xdr:spPr>
    </xdr:pic>
    <xdr:clientData/>
  </xdr:twoCellAnchor>
  <xdr:twoCellAnchor>
    <xdr:from>
      <xdr:col>8</xdr:col>
      <xdr:colOff>6350</xdr:colOff>
      <xdr:row>3705</xdr:row>
      <xdr:rowOff>25400</xdr:rowOff>
    </xdr:from>
    <xdr:to>
      <xdr:col>8</xdr:col>
      <xdr:colOff>885190</xdr:colOff>
      <xdr:row>3705</xdr:row>
      <xdr:rowOff>1209040</xdr:rowOff>
    </xdr:to>
    <xdr:pic>
      <xdr:nvPicPr>
        <xdr:cNvPr id="7126" name="Изображение 7125" descr="resizeПП-00210110"/>
        <xdr:cNvPicPr>
          <a:picLocks noChangeAspect="1"/>
        </xdr:cNvPicPr>
      </xdr:nvPicPr>
      <xdr:blipFill>
        <a:blip xmlns:r="http://schemas.openxmlformats.org/officeDocument/2006/relationships" r:embed="rId2831"/>
        <a:stretch>
          <a:fillRect/>
        </a:stretch>
      </xdr:blipFill>
      <xdr:spPr>
        <a:xfrm>
          <a:off x="7264400" y="3690442200"/>
          <a:ext cx="878840" cy="1183640"/>
        </a:xfrm>
        <a:prstGeom prst="rect">
          <a:avLst/>
        </a:prstGeom>
      </xdr:spPr>
    </xdr:pic>
    <xdr:clientData/>
  </xdr:twoCellAnchor>
  <xdr:twoCellAnchor>
    <xdr:from>
      <xdr:col>8</xdr:col>
      <xdr:colOff>6350</xdr:colOff>
      <xdr:row>3706</xdr:row>
      <xdr:rowOff>25400</xdr:rowOff>
    </xdr:from>
    <xdr:to>
      <xdr:col>8</xdr:col>
      <xdr:colOff>885190</xdr:colOff>
      <xdr:row>3706</xdr:row>
      <xdr:rowOff>1209040</xdr:rowOff>
    </xdr:to>
    <xdr:pic>
      <xdr:nvPicPr>
        <xdr:cNvPr id="7127" name="Изображение 7126" descr="resizeПП-00210107"/>
        <xdr:cNvPicPr>
          <a:picLocks noChangeAspect="1"/>
        </xdr:cNvPicPr>
      </xdr:nvPicPr>
      <xdr:blipFill>
        <a:blip xmlns:r="http://schemas.openxmlformats.org/officeDocument/2006/relationships" r:embed="rId2832"/>
        <a:stretch>
          <a:fillRect/>
        </a:stretch>
      </xdr:blipFill>
      <xdr:spPr>
        <a:xfrm>
          <a:off x="7264400" y="3691664575"/>
          <a:ext cx="878840" cy="1183640"/>
        </a:xfrm>
        <a:prstGeom prst="rect">
          <a:avLst/>
        </a:prstGeom>
      </xdr:spPr>
    </xdr:pic>
    <xdr:clientData/>
  </xdr:twoCellAnchor>
  <xdr:twoCellAnchor>
    <xdr:from>
      <xdr:col>8</xdr:col>
      <xdr:colOff>6350</xdr:colOff>
      <xdr:row>3707</xdr:row>
      <xdr:rowOff>25400</xdr:rowOff>
    </xdr:from>
    <xdr:to>
      <xdr:col>8</xdr:col>
      <xdr:colOff>885190</xdr:colOff>
      <xdr:row>3707</xdr:row>
      <xdr:rowOff>1209040</xdr:rowOff>
    </xdr:to>
    <xdr:pic>
      <xdr:nvPicPr>
        <xdr:cNvPr id="7128" name="Изображение 7127" descr="resizeПП-00210108"/>
        <xdr:cNvPicPr>
          <a:picLocks noChangeAspect="1"/>
        </xdr:cNvPicPr>
      </xdr:nvPicPr>
      <xdr:blipFill>
        <a:blip xmlns:r="http://schemas.openxmlformats.org/officeDocument/2006/relationships" r:embed="rId2833"/>
        <a:stretch>
          <a:fillRect/>
        </a:stretch>
      </xdr:blipFill>
      <xdr:spPr>
        <a:xfrm>
          <a:off x="7264400" y="3692886950"/>
          <a:ext cx="878840" cy="1183640"/>
        </a:xfrm>
        <a:prstGeom prst="rect">
          <a:avLst/>
        </a:prstGeom>
      </xdr:spPr>
    </xdr:pic>
    <xdr:clientData/>
  </xdr:twoCellAnchor>
  <xdr:twoCellAnchor>
    <xdr:from>
      <xdr:col>8</xdr:col>
      <xdr:colOff>6350</xdr:colOff>
      <xdr:row>3709</xdr:row>
      <xdr:rowOff>25400</xdr:rowOff>
    </xdr:from>
    <xdr:to>
      <xdr:col>8</xdr:col>
      <xdr:colOff>885190</xdr:colOff>
      <xdr:row>3709</xdr:row>
      <xdr:rowOff>1209040</xdr:rowOff>
    </xdr:to>
    <xdr:pic>
      <xdr:nvPicPr>
        <xdr:cNvPr id="7129" name="Изображение 7128" descr="resizeПП-00209977"/>
        <xdr:cNvPicPr>
          <a:picLocks noChangeAspect="1"/>
        </xdr:cNvPicPr>
      </xdr:nvPicPr>
      <xdr:blipFill>
        <a:blip xmlns:r="http://schemas.openxmlformats.org/officeDocument/2006/relationships" r:embed="rId2834"/>
        <a:stretch>
          <a:fillRect/>
        </a:stretch>
      </xdr:blipFill>
      <xdr:spPr>
        <a:xfrm>
          <a:off x="7264400" y="3694261725"/>
          <a:ext cx="878840" cy="1183640"/>
        </a:xfrm>
        <a:prstGeom prst="rect">
          <a:avLst/>
        </a:prstGeom>
      </xdr:spPr>
    </xdr:pic>
    <xdr:clientData/>
  </xdr:twoCellAnchor>
  <xdr:twoCellAnchor>
    <xdr:from>
      <xdr:col>8</xdr:col>
      <xdr:colOff>6350</xdr:colOff>
      <xdr:row>3710</xdr:row>
      <xdr:rowOff>25400</xdr:rowOff>
    </xdr:from>
    <xdr:to>
      <xdr:col>8</xdr:col>
      <xdr:colOff>885190</xdr:colOff>
      <xdr:row>3710</xdr:row>
      <xdr:rowOff>1209040</xdr:rowOff>
    </xdr:to>
    <xdr:pic>
      <xdr:nvPicPr>
        <xdr:cNvPr id="7130" name="Изображение 7129" descr="resizeПП-00209972"/>
        <xdr:cNvPicPr>
          <a:picLocks noChangeAspect="1"/>
        </xdr:cNvPicPr>
      </xdr:nvPicPr>
      <xdr:blipFill>
        <a:blip xmlns:r="http://schemas.openxmlformats.org/officeDocument/2006/relationships" r:embed="rId2835"/>
        <a:stretch>
          <a:fillRect/>
        </a:stretch>
      </xdr:blipFill>
      <xdr:spPr>
        <a:xfrm>
          <a:off x="7264400" y="3695484100"/>
          <a:ext cx="878840" cy="1183640"/>
        </a:xfrm>
        <a:prstGeom prst="rect">
          <a:avLst/>
        </a:prstGeom>
      </xdr:spPr>
    </xdr:pic>
    <xdr:clientData/>
  </xdr:twoCellAnchor>
  <xdr:twoCellAnchor>
    <xdr:from>
      <xdr:col>8</xdr:col>
      <xdr:colOff>6350</xdr:colOff>
      <xdr:row>3711</xdr:row>
      <xdr:rowOff>25400</xdr:rowOff>
    </xdr:from>
    <xdr:to>
      <xdr:col>8</xdr:col>
      <xdr:colOff>885190</xdr:colOff>
      <xdr:row>3711</xdr:row>
      <xdr:rowOff>1209040</xdr:rowOff>
    </xdr:to>
    <xdr:pic>
      <xdr:nvPicPr>
        <xdr:cNvPr id="7131" name="Изображение 7130" descr="resizeПП-00209976"/>
        <xdr:cNvPicPr>
          <a:picLocks noChangeAspect="1"/>
        </xdr:cNvPicPr>
      </xdr:nvPicPr>
      <xdr:blipFill>
        <a:blip xmlns:r="http://schemas.openxmlformats.org/officeDocument/2006/relationships" r:embed="rId2836"/>
        <a:stretch>
          <a:fillRect/>
        </a:stretch>
      </xdr:blipFill>
      <xdr:spPr>
        <a:xfrm>
          <a:off x="7264400" y="3696706475"/>
          <a:ext cx="878840" cy="1183640"/>
        </a:xfrm>
        <a:prstGeom prst="rect">
          <a:avLst/>
        </a:prstGeom>
      </xdr:spPr>
    </xdr:pic>
    <xdr:clientData/>
  </xdr:twoCellAnchor>
  <xdr:twoCellAnchor>
    <xdr:from>
      <xdr:col>8</xdr:col>
      <xdr:colOff>6350</xdr:colOff>
      <xdr:row>3712</xdr:row>
      <xdr:rowOff>25400</xdr:rowOff>
    </xdr:from>
    <xdr:to>
      <xdr:col>8</xdr:col>
      <xdr:colOff>885190</xdr:colOff>
      <xdr:row>3712</xdr:row>
      <xdr:rowOff>1209040</xdr:rowOff>
    </xdr:to>
    <xdr:pic>
      <xdr:nvPicPr>
        <xdr:cNvPr id="7132" name="Изображение 7131" descr="resizeПП-00209978"/>
        <xdr:cNvPicPr>
          <a:picLocks noChangeAspect="1"/>
        </xdr:cNvPicPr>
      </xdr:nvPicPr>
      <xdr:blipFill>
        <a:blip xmlns:r="http://schemas.openxmlformats.org/officeDocument/2006/relationships" r:embed="rId2837"/>
        <a:stretch>
          <a:fillRect/>
        </a:stretch>
      </xdr:blipFill>
      <xdr:spPr>
        <a:xfrm>
          <a:off x="7264400" y="3697928850"/>
          <a:ext cx="878840" cy="1183640"/>
        </a:xfrm>
        <a:prstGeom prst="rect">
          <a:avLst/>
        </a:prstGeom>
      </xdr:spPr>
    </xdr:pic>
    <xdr:clientData/>
  </xdr:twoCellAnchor>
  <xdr:twoCellAnchor>
    <xdr:from>
      <xdr:col>8</xdr:col>
      <xdr:colOff>6350</xdr:colOff>
      <xdr:row>3713</xdr:row>
      <xdr:rowOff>25400</xdr:rowOff>
    </xdr:from>
    <xdr:to>
      <xdr:col>8</xdr:col>
      <xdr:colOff>885190</xdr:colOff>
      <xdr:row>3713</xdr:row>
      <xdr:rowOff>1209040</xdr:rowOff>
    </xdr:to>
    <xdr:pic>
      <xdr:nvPicPr>
        <xdr:cNvPr id="7133" name="Изображение 7132" descr="resizeПП-00209971"/>
        <xdr:cNvPicPr>
          <a:picLocks noChangeAspect="1"/>
        </xdr:cNvPicPr>
      </xdr:nvPicPr>
      <xdr:blipFill>
        <a:blip xmlns:r="http://schemas.openxmlformats.org/officeDocument/2006/relationships" r:embed="rId2838"/>
        <a:stretch>
          <a:fillRect/>
        </a:stretch>
      </xdr:blipFill>
      <xdr:spPr>
        <a:xfrm>
          <a:off x="7264400" y="3699151225"/>
          <a:ext cx="878840" cy="1183640"/>
        </a:xfrm>
        <a:prstGeom prst="rect">
          <a:avLst/>
        </a:prstGeom>
      </xdr:spPr>
    </xdr:pic>
    <xdr:clientData/>
  </xdr:twoCellAnchor>
  <xdr:twoCellAnchor>
    <xdr:from>
      <xdr:col>8</xdr:col>
      <xdr:colOff>6350</xdr:colOff>
      <xdr:row>3714</xdr:row>
      <xdr:rowOff>25400</xdr:rowOff>
    </xdr:from>
    <xdr:to>
      <xdr:col>8</xdr:col>
      <xdr:colOff>885190</xdr:colOff>
      <xdr:row>3714</xdr:row>
      <xdr:rowOff>1209040</xdr:rowOff>
    </xdr:to>
    <xdr:pic>
      <xdr:nvPicPr>
        <xdr:cNvPr id="7134" name="Изображение 7133" descr="resizeПП-00210001"/>
        <xdr:cNvPicPr>
          <a:picLocks noChangeAspect="1"/>
        </xdr:cNvPicPr>
      </xdr:nvPicPr>
      <xdr:blipFill>
        <a:blip xmlns:r="http://schemas.openxmlformats.org/officeDocument/2006/relationships" r:embed="rId2839"/>
        <a:stretch>
          <a:fillRect/>
        </a:stretch>
      </xdr:blipFill>
      <xdr:spPr>
        <a:xfrm>
          <a:off x="7264400" y="3700373600"/>
          <a:ext cx="878840" cy="1183640"/>
        </a:xfrm>
        <a:prstGeom prst="rect">
          <a:avLst/>
        </a:prstGeom>
      </xdr:spPr>
    </xdr:pic>
    <xdr:clientData/>
  </xdr:twoCellAnchor>
  <xdr:twoCellAnchor>
    <xdr:from>
      <xdr:col>8</xdr:col>
      <xdr:colOff>6350</xdr:colOff>
      <xdr:row>3715</xdr:row>
      <xdr:rowOff>25400</xdr:rowOff>
    </xdr:from>
    <xdr:to>
      <xdr:col>8</xdr:col>
      <xdr:colOff>885190</xdr:colOff>
      <xdr:row>3715</xdr:row>
      <xdr:rowOff>1209040</xdr:rowOff>
    </xdr:to>
    <xdr:pic>
      <xdr:nvPicPr>
        <xdr:cNvPr id="7135" name="Изображение 7134" descr="resizeПП-00209995"/>
        <xdr:cNvPicPr>
          <a:picLocks noChangeAspect="1"/>
        </xdr:cNvPicPr>
      </xdr:nvPicPr>
      <xdr:blipFill>
        <a:blip xmlns:r="http://schemas.openxmlformats.org/officeDocument/2006/relationships" r:embed="rId2840"/>
        <a:stretch>
          <a:fillRect/>
        </a:stretch>
      </xdr:blipFill>
      <xdr:spPr>
        <a:xfrm>
          <a:off x="7264400" y="3701595975"/>
          <a:ext cx="878840" cy="1183640"/>
        </a:xfrm>
        <a:prstGeom prst="rect">
          <a:avLst/>
        </a:prstGeom>
      </xdr:spPr>
    </xdr:pic>
    <xdr:clientData/>
  </xdr:twoCellAnchor>
  <xdr:twoCellAnchor>
    <xdr:from>
      <xdr:col>8</xdr:col>
      <xdr:colOff>6350</xdr:colOff>
      <xdr:row>3716</xdr:row>
      <xdr:rowOff>25400</xdr:rowOff>
    </xdr:from>
    <xdr:to>
      <xdr:col>8</xdr:col>
      <xdr:colOff>885190</xdr:colOff>
      <xdr:row>3716</xdr:row>
      <xdr:rowOff>1209040</xdr:rowOff>
    </xdr:to>
    <xdr:pic>
      <xdr:nvPicPr>
        <xdr:cNvPr id="7136" name="Изображение 7135" descr="resizeПП-00209992"/>
        <xdr:cNvPicPr>
          <a:picLocks noChangeAspect="1"/>
        </xdr:cNvPicPr>
      </xdr:nvPicPr>
      <xdr:blipFill>
        <a:blip xmlns:r="http://schemas.openxmlformats.org/officeDocument/2006/relationships" r:embed="rId2841"/>
        <a:stretch>
          <a:fillRect/>
        </a:stretch>
      </xdr:blipFill>
      <xdr:spPr>
        <a:xfrm>
          <a:off x="7264400" y="3702818350"/>
          <a:ext cx="878840" cy="1183640"/>
        </a:xfrm>
        <a:prstGeom prst="rect">
          <a:avLst/>
        </a:prstGeom>
      </xdr:spPr>
    </xdr:pic>
    <xdr:clientData/>
  </xdr:twoCellAnchor>
  <xdr:twoCellAnchor>
    <xdr:from>
      <xdr:col>8</xdr:col>
      <xdr:colOff>6350</xdr:colOff>
      <xdr:row>3717</xdr:row>
      <xdr:rowOff>25400</xdr:rowOff>
    </xdr:from>
    <xdr:to>
      <xdr:col>8</xdr:col>
      <xdr:colOff>885190</xdr:colOff>
      <xdr:row>3717</xdr:row>
      <xdr:rowOff>1209040</xdr:rowOff>
    </xdr:to>
    <xdr:pic>
      <xdr:nvPicPr>
        <xdr:cNvPr id="7137" name="Изображение 7136" descr="resizeПП-00234043"/>
        <xdr:cNvPicPr>
          <a:picLocks noChangeAspect="1"/>
        </xdr:cNvPicPr>
      </xdr:nvPicPr>
      <xdr:blipFill>
        <a:blip xmlns:r="http://schemas.openxmlformats.org/officeDocument/2006/relationships" r:embed="rId2842"/>
        <a:stretch>
          <a:fillRect/>
        </a:stretch>
      </xdr:blipFill>
      <xdr:spPr>
        <a:xfrm>
          <a:off x="7264400" y="3704040725"/>
          <a:ext cx="878840" cy="1183640"/>
        </a:xfrm>
        <a:prstGeom prst="rect">
          <a:avLst/>
        </a:prstGeom>
      </xdr:spPr>
    </xdr:pic>
    <xdr:clientData/>
  </xdr:twoCellAnchor>
  <xdr:twoCellAnchor>
    <xdr:from>
      <xdr:col>8</xdr:col>
      <xdr:colOff>6350</xdr:colOff>
      <xdr:row>3718</xdr:row>
      <xdr:rowOff>25400</xdr:rowOff>
    </xdr:from>
    <xdr:to>
      <xdr:col>8</xdr:col>
      <xdr:colOff>885190</xdr:colOff>
      <xdr:row>3718</xdr:row>
      <xdr:rowOff>1209040</xdr:rowOff>
    </xdr:to>
    <xdr:pic>
      <xdr:nvPicPr>
        <xdr:cNvPr id="7138" name="Изображение 7137" descr="resizeПП-00234046"/>
        <xdr:cNvPicPr>
          <a:picLocks noChangeAspect="1"/>
        </xdr:cNvPicPr>
      </xdr:nvPicPr>
      <xdr:blipFill>
        <a:blip xmlns:r="http://schemas.openxmlformats.org/officeDocument/2006/relationships" r:embed="rId2843"/>
        <a:stretch>
          <a:fillRect/>
        </a:stretch>
      </xdr:blipFill>
      <xdr:spPr>
        <a:xfrm>
          <a:off x="7264400" y="3705263100"/>
          <a:ext cx="878840" cy="1183640"/>
        </a:xfrm>
        <a:prstGeom prst="rect">
          <a:avLst/>
        </a:prstGeom>
      </xdr:spPr>
    </xdr:pic>
    <xdr:clientData/>
  </xdr:twoCellAnchor>
  <xdr:twoCellAnchor>
    <xdr:from>
      <xdr:col>8</xdr:col>
      <xdr:colOff>6350</xdr:colOff>
      <xdr:row>3720</xdr:row>
      <xdr:rowOff>25400</xdr:rowOff>
    </xdr:from>
    <xdr:to>
      <xdr:col>8</xdr:col>
      <xdr:colOff>885190</xdr:colOff>
      <xdr:row>3720</xdr:row>
      <xdr:rowOff>1209040</xdr:rowOff>
    </xdr:to>
    <xdr:pic>
      <xdr:nvPicPr>
        <xdr:cNvPr id="7139" name="Изображение 7138" descr="resizeПП-00280752"/>
        <xdr:cNvPicPr>
          <a:picLocks noChangeAspect="1"/>
        </xdr:cNvPicPr>
      </xdr:nvPicPr>
      <xdr:blipFill>
        <a:blip xmlns:r="http://schemas.openxmlformats.org/officeDocument/2006/relationships" r:embed="rId2844"/>
        <a:stretch>
          <a:fillRect/>
        </a:stretch>
      </xdr:blipFill>
      <xdr:spPr>
        <a:xfrm>
          <a:off x="7264400" y="3706637875"/>
          <a:ext cx="878840" cy="1183640"/>
        </a:xfrm>
        <a:prstGeom prst="rect">
          <a:avLst/>
        </a:prstGeom>
      </xdr:spPr>
    </xdr:pic>
    <xdr:clientData/>
  </xdr:twoCellAnchor>
  <xdr:twoCellAnchor>
    <xdr:from>
      <xdr:col>8</xdr:col>
      <xdr:colOff>6350</xdr:colOff>
      <xdr:row>3721</xdr:row>
      <xdr:rowOff>25400</xdr:rowOff>
    </xdr:from>
    <xdr:to>
      <xdr:col>8</xdr:col>
      <xdr:colOff>885190</xdr:colOff>
      <xdr:row>3721</xdr:row>
      <xdr:rowOff>1209040</xdr:rowOff>
    </xdr:to>
    <xdr:pic>
      <xdr:nvPicPr>
        <xdr:cNvPr id="7140" name="Изображение 7139" descr="resizeПП-00280758"/>
        <xdr:cNvPicPr>
          <a:picLocks noChangeAspect="1"/>
        </xdr:cNvPicPr>
      </xdr:nvPicPr>
      <xdr:blipFill>
        <a:blip xmlns:r="http://schemas.openxmlformats.org/officeDocument/2006/relationships" r:embed="rId2845"/>
        <a:stretch>
          <a:fillRect/>
        </a:stretch>
      </xdr:blipFill>
      <xdr:spPr>
        <a:xfrm>
          <a:off x="7264400" y="3707860250"/>
          <a:ext cx="878840" cy="1183640"/>
        </a:xfrm>
        <a:prstGeom prst="rect">
          <a:avLst/>
        </a:prstGeom>
      </xdr:spPr>
    </xdr:pic>
    <xdr:clientData/>
  </xdr:twoCellAnchor>
  <xdr:twoCellAnchor>
    <xdr:from>
      <xdr:col>8</xdr:col>
      <xdr:colOff>6350</xdr:colOff>
      <xdr:row>3725</xdr:row>
      <xdr:rowOff>25400</xdr:rowOff>
    </xdr:from>
    <xdr:to>
      <xdr:col>8</xdr:col>
      <xdr:colOff>885190</xdr:colOff>
      <xdr:row>3725</xdr:row>
      <xdr:rowOff>1209040</xdr:rowOff>
    </xdr:to>
    <xdr:pic>
      <xdr:nvPicPr>
        <xdr:cNvPr id="7141" name="Изображение 7140" descr="resizeПП-00215618"/>
        <xdr:cNvPicPr>
          <a:picLocks noChangeAspect="1"/>
        </xdr:cNvPicPr>
      </xdr:nvPicPr>
      <xdr:blipFill>
        <a:blip xmlns:r="http://schemas.openxmlformats.org/officeDocument/2006/relationships" r:embed="rId2846"/>
        <a:stretch>
          <a:fillRect/>
        </a:stretch>
      </xdr:blipFill>
      <xdr:spPr>
        <a:xfrm>
          <a:off x="7264400" y="3709539825"/>
          <a:ext cx="878840" cy="1183640"/>
        </a:xfrm>
        <a:prstGeom prst="rect">
          <a:avLst/>
        </a:prstGeom>
      </xdr:spPr>
    </xdr:pic>
    <xdr:clientData/>
  </xdr:twoCellAnchor>
  <xdr:twoCellAnchor>
    <xdr:from>
      <xdr:col>8</xdr:col>
      <xdr:colOff>6350</xdr:colOff>
      <xdr:row>3726</xdr:row>
      <xdr:rowOff>25400</xdr:rowOff>
    </xdr:from>
    <xdr:to>
      <xdr:col>8</xdr:col>
      <xdr:colOff>885190</xdr:colOff>
      <xdr:row>3726</xdr:row>
      <xdr:rowOff>1209040</xdr:rowOff>
    </xdr:to>
    <xdr:pic>
      <xdr:nvPicPr>
        <xdr:cNvPr id="7142" name="Изображение 7141" descr="resizeПП-00215563"/>
        <xdr:cNvPicPr>
          <a:picLocks noChangeAspect="1"/>
        </xdr:cNvPicPr>
      </xdr:nvPicPr>
      <xdr:blipFill>
        <a:blip xmlns:r="http://schemas.openxmlformats.org/officeDocument/2006/relationships" r:embed="rId2847"/>
        <a:stretch>
          <a:fillRect/>
        </a:stretch>
      </xdr:blipFill>
      <xdr:spPr>
        <a:xfrm>
          <a:off x="7264400" y="3710762200"/>
          <a:ext cx="878840" cy="1183640"/>
        </a:xfrm>
        <a:prstGeom prst="rect">
          <a:avLst/>
        </a:prstGeom>
      </xdr:spPr>
    </xdr:pic>
    <xdr:clientData/>
  </xdr:twoCellAnchor>
  <xdr:twoCellAnchor>
    <xdr:from>
      <xdr:col>8</xdr:col>
      <xdr:colOff>6350</xdr:colOff>
      <xdr:row>3727</xdr:row>
      <xdr:rowOff>25400</xdr:rowOff>
    </xdr:from>
    <xdr:to>
      <xdr:col>8</xdr:col>
      <xdr:colOff>885190</xdr:colOff>
      <xdr:row>3727</xdr:row>
      <xdr:rowOff>1209040</xdr:rowOff>
    </xdr:to>
    <xdr:pic>
      <xdr:nvPicPr>
        <xdr:cNvPr id="7143" name="Изображение 7142" descr="resizeПП-00215564"/>
        <xdr:cNvPicPr>
          <a:picLocks noChangeAspect="1"/>
        </xdr:cNvPicPr>
      </xdr:nvPicPr>
      <xdr:blipFill>
        <a:blip xmlns:r="http://schemas.openxmlformats.org/officeDocument/2006/relationships" r:embed="rId2848"/>
        <a:stretch>
          <a:fillRect/>
        </a:stretch>
      </xdr:blipFill>
      <xdr:spPr>
        <a:xfrm>
          <a:off x="7264400" y="3711984575"/>
          <a:ext cx="878840" cy="1183640"/>
        </a:xfrm>
        <a:prstGeom prst="rect">
          <a:avLst/>
        </a:prstGeom>
      </xdr:spPr>
    </xdr:pic>
    <xdr:clientData/>
  </xdr:twoCellAnchor>
  <xdr:twoCellAnchor>
    <xdr:from>
      <xdr:col>8</xdr:col>
      <xdr:colOff>6350</xdr:colOff>
      <xdr:row>3728</xdr:row>
      <xdr:rowOff>25400</xdr:rowOff>
    </xdr:from>
    <xdr:to>
      <xdr:col>8</xdr:col>
      <xdr:colOff>885190</xdr:colOff>
      <xdr:row>3728</xdr:row>
      <xdr:rowOff>1209040</xdr:rowOff>
    </xdr:to>
    <xdr:pic>
      <xdr:nvPicPr>
        <xdr:cNvPr id="7144" name="Изображение 7143" descr="resizeПП-00275079"/>
        <xdr:cNvPicPr>
          <a:picLocks noChangeAspect="1"/>
        </xdr:cNvPicPr>
      </xdr:nvPicPr>
      <xdr:blipFill>
        <a:blip xmlns:r="http://schemas.openxmlformats.org/officeDocument/2006/relationships" r:embed="rId2849"/>
        <a:stretch>
          <a:fillRect/>
        </a:stretch>
      </xdr:blipFill>
      <xdr:spPr>
        <a:xfrm>
          <a:off x="7264400" y="3713206950"/>
          <a:ext cx="878840" cy="1183640"/>
        </a:xfrm>
        <a:prstGeom prst="rect">
          <a:avLst/>
        </a:prstGeom>
      </xdr:spPr>
    </xdr:pic>
    <xdr:clientData/>
  </xdr:twoCellAnchor>
  <xdr:twoCellAnchor>
    <xdr:from>
      <xdr:col>8</xdr:col>
      <xdr:colOff>6350</xdr:colOff>
      <xdr:row>3729</xdr:row>
      <xdr:rowOff>25400</xdr:rowOff>
    </xdr:from>
    <xdr:to>
      <xdr:col>8</xdr:col>
      <xdr:colOff>885190</xdr:colOff>
      <xdr:row>3729</xdr:row>
      <xdr:rowOff>1209040</xdr:rowOff>
    </xdr:to>
    <xdr:pic>
      <xdr:nvPicPr>
        <xdr:cNvPr id="7145" name="Изображение 7144" descr="resizeПП-00275070"/>
        <xdr:cNvPicPr>
          <a:picLocks noChangeAspect="1"/>
        </xdr:cNvPicPr>
      </xdr:nvPicPr>
      <xdr:blipFill>
        <a:blip xmlns:r="http://schemas.openxmlformats.org/officeDocument/2006/relationships" r:embed="rId2850"/>
        <a:stretch>
          <a:fillRect/>
        </a:stretch>
      </xdr:blipFill>
      <xdr:spPr>
        <a:xfrm>
          <a:off x="7264400" y="3714429325"/>
          <a:ext cx="878840" cy="1183640"/>
        </a:xfrm>
        <a:prstGeom prst="rect">
          <a:avLst/>
        </a:prstGeom>
      </xdr:spPr>
    </xdr:pic>
    <xdr:clientData/>
  </xdr:twoCellAnchor>
  <xdr:twoCellAnchor>
    <xdr:from>
      <xdr:col>8</xdr:col>
      <xdr:colOff>6350</xdr:colOff>
      <xdr:row>3730</xdr:row>
      <xdr:rowOff>25400</xdr:rowOff>
    </xdr:from>
    <xdr:to>
      <xdr:col>8</xdr:col>
      <xdr:colOff>885190</xdr:colOff>
      <xdr:row>3730</xdr:row>
      <xdr:rowOff>1209040</xdr:rowOff>
    </xdr:to>
    <xdr:pic>
      <xdr:nvPicPr>
        <xdr:cNvPr id="7146" name="Изображение 7145" descr="resizeПП-00275069"/>
        <xdr:cNvPicPr>
          <a:picLocks noChangeAspect="1"/>
        </xdr:cNvPicPr>
      </xdr:nvPicPr>
      <xdr:blipFill>
        <a:blip xmlns:r="http://schemas.openxmlformats.org/officeDocument/2006/relationships" r:embed="rId2851"/>
        <a:stretch>
          <a:fillRect/>
        </a:stretch>
      </xdr:blipFill>
      <xdr:spPr>
        <a:xfrm>
          <a:off x="7264400" y="3715651700"/>
          <a:ext cx="878840" cy="1183640"/>
        </a:xfrm>
        <a:prstGeom prst="rect">
          <a:avLst/>
        </a:prstGeom>
      </xdr:spPr>
    </xdr:pic>
    <xdr:clientData/>
  </xdr:twoCellAnchor>
  <xdr:twoCellAnchor>
    <xdr:from>
      <xdr:col>8</xdr:col>
      <xdr:colOff>6350</xdr:colOff>
      <xdr:row>3731</xdr:row>
      <xdr:rowOff>25400</xdr:rowOff>
    </xdr:from>
    <xdr:to>
      <xdr:col>8</xdr:col>
      <xdr:colOff>885190</xdr:colOff>
      <xdr:row>3731</xdr:row>
      <xdr:rowOff>1209040</xdr:rowOff>
    </xdr:to>
    <xdr:pic>
      <xdr:nvPicPr>
        <xdr:cNvPr id="7147" name="Изображение 7146" descr="resizeПП-00275080"/>
        <xdr:cNvPicPr>
          <a:picLocks noChangeAspect="1"/>
        </xdr:cNvPicPr>
      </xdr:nvPicPr>
      <xdr:blipFill>
        <a:blip xmlns:r="http://schemas.openxmlformats.org/officeDocument/2006/relationships" r:embed="rId2852"/>
        <a:stretch>
          <a:fillRect/>
        </a:stretch>
      </xdr:blipFill>
      <xdr:spPr>
        <a:xfrm>
          <a:off x="7264400" y="3716874075"/>
          <a:ext cx="878840" cy="1183640"/>
        </a:xfrm>
        <a:prstGeom prst="rect">
          <a:avLst/>
        </a:prstGeom>
      </xdr:spPr>
    </xdr:pic>
    <xdr:clientData/>
  </xdr:twoCellAnchor>
  <xdr:twoCellAnchor>
    <xdr:from>
      <xdr:col>8</xdr:col>
      <xdr:colOff>6350</xdr:colOff>
      <xdr:row>3732</xdr:row>
      <xdr:rowOff>25400</xdr:rowOff>
    </xdr:from>
    <xdr:to>
      <xdr:col>8</xdr:col>
      <xdr:colOff>885190</xdr:colOff>
      <xdr:row>3732</xdr:row>
      <xdr:rowOff>1209040</xdr:rowOff>
    </xdr:to>
    <xdr:pic>
      <xdr:nvPicPr>
        <xdr:cNvPr id="7148" name="Изображение 7147" descr="resizeПП-00234927"/>
        <xdr:cNvPicPr>
          <a:picLocks noChangeAspect="1"/>
        </xdr:cNvPicPr>
      </xdr:nvPicPr>
      <xdr:blipFill>
        <a:blip xmlns:r="http://schemas.openxmlformats.org/officeDocument/2006/relationships" r:embed="rId2853"/>
        <a:stretch>
          <a:fillRect/>
        </a:stretch>
      </xdr:blipFill>
      <xdr:spPr>
        <a:xfrm>
          <a:off x="7264400" y="3718096450"/>
          <a:ext cx="878840" cy="1183640"/>
        </a:xfrm>
        <a:prstGeom prst="rect">
          <a:avLst/>
        </a:prstGeom>
      </xdr:spPr>
    </xdr:pic>
    <xdr:clientData/>
  </xdr:twoCellAnchor>
  <xdr:twoCellAnchor>
    <xdr:from>
      <xdr:col>8</xdr:col>
      <xdr:colOff>6350</xdr:colOff>
      <xdr:row>3733</xdr:row>
      <xdr:rowOff>25400</xdr:rowOff>
    </xdr:from>
    <xdr:to>
      <xdr:col>8</xdr:col>
      <xdr:colOff>885190</xdr:colOff>
      <xdr:row>3733</xdr:row>
      <xdr:rowOff>1209040</xdr:rowOff>
    </xdr:to>
    <xdr:pic>
      <xdr:nvPicPr>
        <xdr:cNvPr id="7149" name="Изображение 7148" descr="resizeПП-00234932"/>
        <xdr:cNvPicPr>
          <a:picLocks noChangeAspect="1"/>
        </xdr:cNvPicPr>
      </xdr:nvPicPr>
      <xdr:blipFill>
        <a:blip xmlns:r="http://schemas.openxmlformats.org/officeDocument/2006/relationships" r:embed="rId2854"/>
        <a:stretch>
          <a:fillRect/>
        </a:stretch>
      </xdr:blipFill>
      <xdr:spPr>
        <a:xfrm>
          <a:off x="7264400" y="3719318825"/>
          <a:ext cx="878840" cy="1183640"/>
        </a:xfrm>
        <a:prstGeom prst="rect">
          <a:avLst/>
        </a:prstGeom>
      </xdr:spPr>
    </xdr:pic>
    <xdr:clientData/>
  </xdr:twoCellAnchor>
  <xdr:twoCellAnchor>
    <xdr:from>
      <xdr:col>8</xdr:col>
      <xdr:colOff>6350</xdr:colOff>
      <xdr:row>3734</xdr:row>
      <xdr:rowOff>25400</xdr:rowOff>
    </xdr:from>
    <xdr:to>
      <xdr:col>8</xdr:col>
      <xdr:colOff>885190</xdr:colOff>
      <xdr:row>3734</xdr:row>
      <xdr:rowOff>1209040</xdr:rowOff>
    </xdr:to>
    <xdr:pic>
      <xdr:nvPicPr>
        <xdr:cNvPr id="7150" name="Изображение 7149" descr="resizeПП-00275071"/>
        <xdr:cNvPicPr>
          <a:picLocks noChangeAspect="1"/>
        </xdr:cNvPicPr>
      </xdr:nvPicPr>
      <xdr:blipFill>
        <a:blip xmlns:r="http://schemas.openxmlformats.org/officeDocument/2006/relationships" r:embed="rId2855"/>
        <a:stretch>
          <a:fillRect/>
        </a:stretch>
      </xdr:blipFill>
      <xdr:spPr>
        <a:xfrm>
          <a:off x="7264400" y="3720541200"/>
          <a:ext cx="878840" cy="1183640"/>
        </a:xfrm>
        <a:prstGeom prst="rect">
          <a:avLst/>
        </a:prstGeom>
      </xdr:spPr>
    </xdr:pic>
    <xdr:clientData/>
  </xdr:twoCellAnchor>
  <xdr:twoCellAnchor>
    <xdr:from>
      <xdr:col>8</xdr:col>
      <xdr:colOff>6350</xdr:colOff>
      <xdr:row>3735</xdr:row>
      <xdr:rowOff>25400</xdr:rowOff>
    </xdr:from>
    <xdr:to>
      <xdr:col>8</xdr:col>
      <xdr:colOff>885190</xdr:colOff>
      <xdr:row>3735</xdr:row>
      <xdr:rowOff>1209040</xdr:rowOff>
    </xdr:to>
    <xdr:pic>
      <xdr:nvPicPr>
        <xdr:cNvPr id="7151" name="Изображение 7150" descr="resizeПП-00275073"/>
        <xdr:cNvPicPr>
          <a:picLocks noChangeAspect="1"/>
        </xdr:cNvPicPr>
      </xdr:nvPicPr>
      <xdr:blipFill>
        <a:blip xmlns:r="http://schemas.openxmlformats.org/officeDocument/2006/relationships" r:embed="rId2856"/>
        <a:stretch>
          <a:fillRect/>
        </a:stretch>
      </xdr:blipFill>
      <xdr:spPr>
        <a:xfrm>
          <a:off x="7264400" y="3721763575"/>
          <a:ext cx="878840" cy="1183640"/>
        </a:xfrm>
        <a:prstGeom prst="rect">
          <a:avLst/>
        </a:prstGeom>
      </xdr:spPr>
    </xdr:pic>
    <xdr:clientData/>
  </xdr:twoCellAnchor>
  <xdr:twoCellAnchor>
    <xdr:from>
      <xdr:col>8</xdr:col>
      <xdr:colOff>6350</xdr:colOff>
      <xdr:row>3736</xdr:row>
      <xdr:rowOff>25400</xdr:rowOff>
    </xdr:from>
    <xdr:to>
      <xdr:col>8</xdr:col>
      <xdr:colOff>885190</xdr:colOff>
      <xdr:row>3736</xdr:row>
      <xdr:rowOff>1209040</xdr:rowOff>
    </xdr:to>
    <xdr:pic>
      <xdr:nvPicPr>
        <xdr:cNvPr id="7152" name="Изображение 7151" descr="resizeПП-00234922"/>
        <xdr:cNvPicPr>
          <a:picLocks noChangeAspect="1"/>
        </xdr:cNvPicPr>
      </xdr:nvPicPr>
      <xdr:blipFill>
        <a:blip xmlns:r="http://schemas.openxmlformats.org/officeDocument/2006/relationships" r:embed="rId2857"/>
        <a:stretch>
          <a:fillRect/>
        </a:stretch>
      </xdr:blipFill>
      <xdr:spPr>
        <a:xfrm>
          <a:off x="7264400" y="3722985950"/>
          <a:ext cx="878840" cy="1183640"/>
        </a:xfrm>
        <a:prstGeom prst="rect">
          <a:avLst/>
        </a:prstGeom>
      </xdr:spPr>
    </xdr:pic>
    <xdr:clientData/>
  </xdr:twoCellAnchor>
  <xdr:twoCellAnchor>
    <xdr:from>
      <xdr:col>8</xdr:col>
      <xdr:colOff>6350</xdr:colOff>
      <xdr:row>3737</xdr:row>
      <xdr:rowOff>25400</xdr:rowOff>
    </xdr:from>
    <xdr:to>
      <xdr:col>8</xdr:col>
      <xdr:colOff>885190</xdr:colOff>
      <xdr:row>3737</xdr:row>
      <xdr:rowOff>1209040</xdr:rowOff>
    </xdr:to>
    <xdr:pic>
      <xdr:nvPicPr>
        <xdr:cNvPr id="7153" name="Изображение 7152" descr="resizeПП-00234924"/>
        <xdr:cNvPicPr>
          <a:picLocks noChangeAspect="1"/>
        </xdr:cNvPicPr>
      </xdr:nvPicPr>
      <xdr:blipFill>
        <a:blip xmlns:r="http://schemas.openxmlformats.org/officeDocument/2006/relationships" r:embed="rId2858"/>
        <a:stretch>
          <a:fillRect/>
        </a:stretch>
      </xdr:blipFill>
      <xdr:spPr>
        <a:xfrm>
          <a:off x="7264400" y="3724208325"/>
          <a:ext cx="878840" cy="1183640"/>
        </a:xfrm>
        <a:prstGeom prst="rect">
          <a:avLst/>
        </a:prstGeom>
      </xdr:spPr>
    </xdr:pic>
    <xdr:clientData/>
  </xdr:twoCellAnchor>
  <xdr:twoCellAnchor>
    <xdr:from>
      <xdr:col>8</xdr:col>
      <xdr:colOff>6350</xdr:colOff>
      <xdr:row>3738</xdr:row>
      <xdr:rowOff>25400</xdr:rowOff>
    </xdr:from>
    <xdr:to>
      <xdr:col>8</xdr:col>
      <xdr:colOff>885190</xdr:colOff>
      <xdr:row>3738</xdr:row>
      <xdr:rowOff>1209040</xdr:rowOff>
    </xdr:to>
    <xdr:pic>
      <xdr:nvPicPr>
        <xdr:cNvPr id="7154" name="Изображение 7153" descr="resizeПП-00215630"/>
        <xdr:cNvPicPr>
          <a:picLocks noChangeAspect="1"/>
        </xdr:cNvPicPr>
      </xdr:nvPicPr>
      <xdr:blipFill>
        <a:blip xmlns:r="http://schemas.openxmlformats.org/officeDocument/2006/relationships" r:embed="rId2859"/>
        <a:stretch>
          <a:fillRect/>
        </a:stretch>
      </xdr:blipFill>
      <xdr:spPr>
        <a:xfrm>
          <a:off x="7264400" y="3725430700"/>
          <a:ext cx="878840" cy="1183640"/>
        </a:xfrm>
        <a:prstGeom prst="rect">
          <a:avLst/>
        </a:prstGeom>
      </xdr:spPr>
    </xdr:pic>
    <xdr:clientData/>
  </xdr:twoCellAnchor>
  <xdr:twoCellAnchor>
    <xdr:from>
      <xdr:col>8</xdr:col>
      <xdr:colOff>6350</xdr:colOff>
      <xdr:row>3739</xdr:row>
      <xdr:rowOff>25400</xdr:rowOff>
    </xdr:from>
    <xdr:to>
      <xdr:col>8</xdr:col>
      <xdr:colOff>885190</xdr:colOff>
      <xdr:row>3739</xdr:row>
      <xdr:rowOff>1209040</xdr:rowOff>
    </xdr:to>
    <xdr:pic>
      <xdr:nvPicPr>
        <xdr:cNvPr id="7155" name="Изображение 7154" descr="resizeПП-00215629"/>
        <xdr:cNvPicPr>
          <a:picLocks noChangeAspect="1"/>
        </xdr:cNvPicPr>
      </xdr:nvPicPr>
      <xdr:blipFill>
        <a:blip xmlns:r="http://schemas.openxmlformats.org/officeDocument/2006/relationships" r:embed="rId2860"/>
        <a:stretch>
          <a:fillRect/>
        </a:stretch>
      </xdr:blipFill>
      <xdr:spPr>
        <a:xfrm>
          <a:off x="7264400" y="3726653075"/>
          <a:ext cx="878840" cy="1183640"/>
        </a:xfrm>
        <a:prstGeom prst="rect">
          <a:avLst/>
        </a:prstGeom>
      </xdr:spPr>
    </xdr:pic>
    <xdr:clientData/>
  </xdr:twoCellAnchor>
  <xdr:twoCellAnchor>
    <xdr:from>
      <xdr:col>8</xdr:col>
      <xdr:colOff>6350</xdr:colOff>
      <xdr:row>3740</xdr:row>
      <xdr:rowOff>25400</xdr:rowOff>
    </xdr:from>
    <xdr:to>
      <xdr:col>8</xdr:col>
      <xdr:colOff>885190</xdr:colOff>
      <xdr:row>3740</xdr:row>
      <xdr:rowOff>1209040</xdr:rowOff>
    </xdr:to>
    <xdr:pic>
      <xdr:nvPicPr>
        <xdr:cNvPr id="7156" name="Изображение 7155" descr="resizeПП-00234929"/>
        <xdr:cNvPicPr>
          <a:picLocks noChangeAspect="1"/>
        </xdr:cNvPicPr>
      </xdr:nvPicPr>
      <xdr:blipFill>
        <a:blip xmlns:r="http://schemas.openxmlformats.org/officeDocument/2006/relationships" r:embed="rId2861"/>
        <a:stretch>
          <a:fillRect/>
        </a:stretch>
      </xdr:blipFill>
      <xdr:spPr>
        <a:xfrm>
          <a:off x="7264400" y="3727875450"/>
          <a:ext cx="878840" cy="1183640"/>
        </a:xfrm>
        <a:prstGeom prst="rect">
          <a:avLst/>
        </a:prstGeom>
      </xdr:spPr>
    </xdr:pic>
    <xdr:clientData/>
  </xdr:twoCellAnchor>
  <xdr:twoCellAnchor>
    <xdr:from>
      <xdr:col>8</xdr:col>
      <xdr:colOff>6350</xdr:colOff>
      <xdr:row>3741</xdr:row>
      <xdr:rowOff>25400</xdr:rowOff>
    </xdr:from>
    <xdr:to>
      <xdr:col>8</xdr:col>
      <xdr:colOff>885190</xdr:colOff>
      <xdr:row>3741</xdr:row>
      <xdr:rowOff>1209040</xdr:rowOff>
    </xdr:to>
    <xdr:pic>
      <xdr:nvPicPr>
        <xdr:cNvPr id="7157" name="Изображение 7156" descr="resizeПП-00215566"/>
        <xdr:cNvPicPr>
          <a:picLocks noChangeAspect="1"/>
        </xdr:cNvPicPr>
      </xdr:nvPicPr>
      <xdr:blipFill>
        <a:blip xmlns:r="http://schemas.openxmlformats.org/officeDocument/2006/relationships" r:embed="rId2862"/>
        <a:stretch>
          <a:fillRect/>
        </a:stretch>
      </xdr:blipFill>
      <xdr:spPr>
        <a:xfrm>
          <a:off x="7264400" y="3729097825"/>
          <a:ext cx="878840" cy="1183640"/>
        </a:xfrm>
        <a:prstGeom prst="rect">
          <a:avLst/>
        </a:prstGeom>
      </xdr:spPr>
    </xdr:pic>
    <xdr:clientData/>
  </xdr:twoCellAnchor>
  <xdr:twoCellAnchor>
    <xdr:from>
      <xdr:col>8</xdr:col>
      <xdr:colOff>6350</xdr:colOff>
      <xdr:row>3742</xdr:row>
      <xdr:rowOff>25400</xdr:rowOff>
    </xdr:from>
    <xdr:to>
      <xdr:col>8</xdr:col>
      <xdr:colOff>885190</xdr:colOff>
      <xdr:row>3742</xdr:row>
      <xdr:rowOff>1209040</xdr:rowOff>
    </xdr:to>
    <xdr:pic>
      <xdr:nvPicPr>
        <xdr:cNvPr id="7158" name="Изображение 7157" descr="resizeПП-00215568"/>
        <xdr:cNvPicPr>
          <a:picLocks noChangeAspect="1"/>
        </xdr:cNvPicPr>
      </xdr:nvPicPr>
      <xdr:blipFill>
        <a:blip xmlns:r="http://schemas.openxmlformats.org/officeDocument/2006/relationships" r:embed="rId2863"/>
        <a:stretch>
          <a:fillRect/>
        </a:stretch>
      </xdr:blipFill>
      <xdr:spPr>
        <a:xfrm>
          <a:off x="7264400" y="3730320200"/>
          <a:ext cx="878840" cy="1183640"/>
        </a:xfrm>
        <a:prstGeom prst="rect">
          <a:avLst/>
        </a:prstGeom>
      </xdr:spPr>
    </xdr:pic>
    <xdr:clientData/>
  </xdr:twoCellAnchor>
  <xdr:twoCellAnchor>
    <xdr:from>
      <xdr:col>8</xdr:col>
      <xdr:colOff>6350</xdr:colOff>
      <xdr:row>3743</xdr:row>
      <xdr:rowOff>25400</xdr:rowOff>
    </xdr:from>
    <xdr:to>
      <xdr:col>8</xdr:col>
      <xdr:colOff>885190</xdr:colOff>
      <xdr:row>3743</xdr:row>
      <xdr:rowOff>1209040</xdr:rowOff>
    </xdr:to>
    <xdr:pic>
      <xdr:nvPicPr>
        <xdr:cNvPr id="7159" name="Изображение 7158" descr="resizeПП-00275081"/>
        <xdr:cNvPicPr>
          <a:picLocks noChangeAspect="1"/>
        </xdr:cNvPicPr>
      </xdr:nvPicPr>
      <xdr:blipFill>
        <a:blip xmlns:r="http://schemas.openxmlformats.org/officeDocument/2006/relationships" r:embed="rId2864"/>
        <a:stretch>
          <a:fillRect/>
        </a:stretch>
      </xdr:blipFill>
      <xdr:spPr>
        <a:xfrm>
          <a:off x="7264400" y="3731542575"/>
          <a:ext cx="878840" cy="1183640"/>
        </a:xfrm>
        <a:prstGeom prst="rect">
          <a:avLst/>
        </a:prstGeom>
      </xdr:spPr>
    </xdr:pic>
    <xdr:clientData/>
  </xdr:twoCellAnchor>
  <xdr:twoCellAnchor>
    <xdr:from>
      <xdr:col>8</xdr:col>
      <xdr:colOff>6350</xdr:colOff>
      <xdr:row>3744</xdr:row>
      <xdr:rowOff>25400</xdr:rowOff>
    </xdr:from>
    <xdr:to>
      <xdr:col>8</xdr:col>
      <xdr:colOff>885190</xdr:colOff>
      <xdr:row>3744</xdr:row>
      <xdr:rowOff>1209040</xdr:rowOff>
    </xdr:to>
    <xdr:pic>
      <xdr:nvPicPr>
        <xdr:cNvPr id="7160" name="Изображение 7159" descr="resizeПП-00275077"/>
        <xdr:cNvPicPr>
          <a:picLocks noChangeAspect="1"/>
        </xdr:cNvPicPr>
      </xdr:nvPicPr>
      <xdr:blipFill>
        <a:blip xmlns:r="http://schemas.openxmlformats.org/officeDocument/2006/relationships" r:embed="rId2865"/>
        <a:stretch>
          <a:fillRect/>
        </a:stretch>
      </xdr:blipFill>
      <xdr:spPr>
        <a:xfrm>
          <a:off x="7264400" y="3732764950"/>
          <a:ext cx="878840" cy="1183640"/>
        </a:xfrm>
        <a:prstGeom prst="rect">
          <a:avLst/>
        </a:prstGeom>
      </xdr:spPr>
    </xdr:pic>
    <xdr:clientData/>
  </xdr:twoCellAnchor>
  <xdr:twoCellAnchor>
    <xdr:from>
      <xdr:col>8</xdr:col>
      <xdr:colOff>6350</xdr:colOff>
      <xdr:row>3745</xdr:row>
      <xdr:rowOff>25400</xdr:rowOff>
    </xdr:from>
    <xdr:to>
      <xdr:col>8</xdr:col>
      <xdr:colOff>885190</xdr:colOff>
      <xdr:row>3745</xdr:row>
      <xdr:rowOff>1209040</xdr:rowOff>
    </xdr:to>
    <xdr:pic>
      <xdr:nvPicPr>
        <xdr:cNvPr id="7161" name="Изображение 7160" descr="resizeПП-00275075"/>
        <xdr:cNvPicPr>
          <a:picLocks noChangeAspect="1"/>
        </xdr:cNvPicPr>
      </xdr:nvPicPr>
      <xdr:blipFill>
        <a:blip xmlns:r="http://schemas.openxmlformats.org/officeDocument/2006/relationships" r:embed="rId2866"/>
        <a:stretch>
          <a:fillRect/>
        </a:stretch>
      </xdr:blipFill>
      <xdr:spPr>
        <a:xfrm>
          <a:off x="7264400" y="3733987325"/>
          <a:ext cx="878840" cy="1183640"/>
        </a:xfrm>
        <a:prstGeom prst="rect">
          <a:avLst/>
        </a:prstGeom>
      </xdr:spPr>
    </xdr:pic>
    <xdr:clientData/>
  </xdr:twoCellAnchor>
  <xdr:twoCellAnchor>
    <xdr:from>
      <xdr:col>8</xdr:col>
      <xdr:colOff>6350</xdr:colOff>
      <xdr:row>3746</xdr:row>
      <xdr:rowOff>25400</xdr:rowOff>
    </xdr:from>
    <xdr:to>
      <xdr:col>8</xdr:col>
      <xdr:colOff>885190</xdr:colOff>
      <xdr:row>3746</xdr:row>
      <xdr:rowOff>1209040</xdr:rowOff>
    </xdr:to>
    <xdr:pic>
      <xdr:nvPicPr>
        <xdr:cNvPr id="7162" name="Изображение 7161" descr="resizeПП-00275072"/>
        <xdr:cNvPicPr>
          <a:picLocks noChangeAspect="1"/>
        </xdr:cNvPicPr>
      </xdr:nvPicPr>
      <xdr:blipFill>
        <a:blip xmlns:r="http://schemas.openxmlformats.org/officeDocument/2006/relationships" r:embed="rId2867"/>
        <a:stretch>
          <a:fillRect/>
        </a:stretch>
      </xdr:blipFill>
      <xdr:spPr>
        <a:xfrm>
          <a:off x="7264400" y="3735209700"/>
          <a:ext cx="878840" cy="1183640"/>
        </a:xfrm>
        <a:prstGeom prst="rect">
          <a:avLst/>
        </a:prstGeom>
      </xdr:spPr>
    </xdr:pic>
    <xdr:clientData/>
  </xdr:twoCellAnchor>
  <xdr:twoCellAnchor>
    <xdr:from>
      <xdr:col>8</xdr:col>
      <xdr:colOff>6350</xdr:colOff>
      <xdr:row>3747</xdr:row>
      <xdr:rowOff>25400</xdr:rowOff>
    </xdr:from>
    <xdr:to>
      <xdr:col>8</xdr:col>
      <xdr:colOff>885190</xdr:colOff>
      <xdr:row>3747</xdr:row>
      <xdr:rowOff>1209040</xdr:rowOff>
    </xdr:to>
    <xdr:pic>
      <xdr:nvPicPr>
        <xdr:cNvPr id="7163" name="Изображение 7162" descr="resizeПП-00215573"/>
        <xdr:cNvPicPr>
          <a:picLocks noChangeAspect="1"/>
        </xdr:cNvPicPr>
      </xdr:nvPicPr>
      <xdr:blipFill>
        <a:blip xmlns:r="http://schemas.openxmlformats.org/officeDocument/2006/relationships" r:embed="rId2868"/>
        <a:stretch>
          <a:fillRect/>
        </a:stretch>
      </xdr:blipFill>
      <xdr:spPr>
        <a:xfrm>
          <a:off x="7264400" y="3736432075"/>
          <a:ext cx="878840" cy="1183640"/>
        </a:xfrm>
        <a:prstGeom prst="rect">
          <a:avLst/>
        </a:prstGeom>
      </xdr:spPr>
    </xdr:pic>
    <xdr:clientData/>
  </xdr:twoCellAnchor>
  <xdr:twoCellAnchor>
    <xdr:from>
      <xdr:col>8</xdr:col>
      <xdr:colOff>6350</xdr:colOff>
      <xdr:row>3748</xdr:row>
      <xdr:rowOff>25400</xdr:rowOff>
    </xdr:from>
    <xdr:to>
      <xdr:col>8</xdr:col>
      <xdr:colOff>885190</xdr:colOff>
      <xdr:row>3748</xdr:row>
      <xdr:rowOff>1209040</xdr:rowOff>
    </xdr:to>
    <xdr:pic>
      <xdr:nvPicPr>
        <xdr:cNvPr id="7164" name="Изображение 7163" descr="resizeПП-00275078"/>
        <xdr:cNvPicPr>
          <a:picLocks noChangeAspect="1"/>
        </xdr:cNvPicPr>
      </xdr:nvPicPr>
      <xdr:blipFill>
        <a:blip xmlns:r="http://schemas.openxmlformats.org/officeDocument/2006/relationships" r:embed="rId2869"/>
        <a:stretch>
          <a:fillRect/>
        </a:stretch>
      </xdr:blipFill>
      <xdr:spPr>
        <a:xfrm>
          <a:off x="7264400" y="3737654450"/>
          <a:ext cx="878840" cy="1183640"/>
        </a:xfrm>
        <a:prstGeom prst="rect">
          <a:avLst/>
        </a:prstGeom>
      </xdr:spPr>
    </xdr:pic>
    <xdr:clientData/>
  </xdr:twoCellAnchor>
  <xdr:twoCellAnchor>
    <xdr:from>
      <xdr:col>8</xdr:col>
      <xdr:colOff>6350</xdr:colOff>
      <xdr:row>3749</xdr:row>
      <xdr:rowOff>25400</xdr:rowOff>
    </xdr:from>
    <xdr:to>
      <xdr:col>8</xdr:col>
      <xdr:colOff>885190</xdr:colOff>
      <xdr:row>3749</xdr:row>
      <xdr:rowOff>1209040</xdr:rowOff>
    </xdr:to>
    <xdr:pic>
      <xdr:nvPicPr>
        <xdr:cNvPr id="7165" name="Изображение 7164" descr="resizeПП-00275074"/>
        <xdr:cNvPicPr>
          <a:picLocks noChangeAspect="1"/>
        </xdr:cNvPicPr>
      </xdr:nvPicPr>
      <xdr:blipFill>
        <a:blip xmlns:r="http://schemas.openxmlformats.org/officeDocument/2006/relationships" r:embed="rId2870"/>
        <a:stretch>
          <a:fillRect/>
        </a:stretch>
      </xdr:blipFill>
      <xdr:spPr>
        <a:xfrm>
          <a:off x="7264400" y="3738876825"/>
          <a:ext cx="878840" cy="1183640"/>
        </a:xfrm>
        <a:prstGeom prst="rect">
          <a:avLst/>
        </a:prstGeom>
      </xdr:spPr>
    </xdr:pic>
    <xdr:clientData/>
  </xdr:twoCellAnchor>
  <xdr:twoCellAnchor>
    <xdr:from>
      <xdr:col>8</xdr:col>
      <xdr:colOff>6350</xdr:colOff>
      <xdr:row>3750</xdr:row>
      <xdr:rowOff>25400</xdr:rowOff>
    </xdr:from>
    <xdr:to>
      <xdr:col>8</xdr:col>
      <xdr:colOff>885190</xdr:colOff>
      <xdr:row>3750</xdr:row>
      <xdr:rowOff>1209040</xdr:rowOff>
    </xdr:to>
    <xdr:pic>
      <xdr:nvPicPr>
        <xdr:cNvPr id="7166" name="Изображение 7165" descr="resizeПП-00234934"/>
        <xdr:cNvPicPr>
          <a:picLocks noChangeAspect="1"/>
        </xdr:cNvPicPr>
      </xdr:nvPicPr>
      <xdr:blipFill>
        <a:blip xmlns:r="http://schemas.openxmlformats.org/officeDocument/2006/relationships" r:embed="rId2871"/>
        <a:stretch>
          <a:fillRect/>
        </a:stretch>
      </xdr:blipFill>
      <xdr:spPr>
        <a:xfrm>
          <a:off x="7264400" y="3740099200"/>
          <a:ext cx="878840" cy="1183640"/>
        </a:xfrm>
        <a:prstGeom prst="rect">
          <a:avLst/>
        </a:prstGeom>
      </xdr:spPr>
    </xdr:pic>
    <xdr:clientData/>
  </xdr:twoCellAnchor>
  <xdr:twoCellAnchor>
    <xdr:from>
      <xdr:col>8</xdr:col>
      <xdr:colOff>6350</xdr:colOff>
      <xdr:row>3751</xdr:row>
      <xdr:rowOff>25400</xdr:rowOff>
    </xdr:from>
    <xdr:to>
      <xdr:col>8</xdr:col>
      <xdr:colOff>885190</xdr:colOff>
      <xdr:row>3751</xdr:row>
      <xdr:rowOff>1209040</xdr:rowOff>
    </xdr:to>
    <xdr:pic>
      <xdr:nvPicPr>
        <xdr:cNvPr id="7167" name="Изображение 7166" descr="resizeПП-00234917"/>
        <xdr:cNvPicPr>
          <a:picLocks noChangeAspect="1"/>
        </xdr:cNvPicPr>
      </xdr:nvPicPr>
      <xdr:blipFill>
        <a:blip xmlns:r="http://schemas.openxmlformats.org/officeDocument/2006/relationships" r:embed="rId2872"/>
        <a:stretch>
          <a:fillRect/>
        </a:stretch>
      </xdr:blipFill>
      <xdr:spPr>
        <a:xfrm>
          <a:off x="7264400" y="3741321575"/>
          <a:ext cx="878840" cy="1183640"/>
        </a:xfrm>
        <a:prstGeom prst="rect">
          <a:avLst/>
        </a:prstGeom>
      </xdr:spPr>
    </xdr:pic>
    <xdr:clientData/>
  </xdr:twoCellAnchor>
  <xdr:twoCellAnchor>
    <xdr:from>
      <xdr:col>8</xdr:col>
      <xdr:colOff>6350</xdr:colOff>
      <xdr:row>3753</xdr:row>
      <xdr:rowOff>25400</xdr:rowOff>
    </xdr:from>
    <xdr:to>
      <xdr:col>8</xdr:col>
      <xdr:colOff>885190</xdr:colOff>
      <xdr:row>3753</xdr:row>
      <xdr:rowOff>1209040</xdr:rowOff>
    </xdr:to>
    <xdr:pic>
      <xdr:nvPicPr>
        <xdr:cNvPr id="7168" name="Изображение 7167" descr="resizeПП-00210345"/>
        <xdr:cNvPicPr>
          <a:picLocks noChangeAspect="1"/>
        </xdr:cNvPicPr>
      </xdr:nvPicPr>
      <xdr:blipFill>
        <a:blip xmlns:r="http://schemas.openxmlformats.org/officeDocument/2006/relationships" r:embed="rId2873"/>
        <a:stretch>
          <a:fillRect/>
        </a:stretch>
      </xdr:blipFill>
      <xdr:spPr>
        <a:xfrm>
          <a:off x="7264400" y="3742696350"/>
          <a:ext cx="878840" cy="1183640"/>
        </a:xfrm>
        <a:prstGeom prst="rect">
          <a:avLst/>
        </a:prstGeom>
      </xdr:spPr>
    </xdr:pic>
    <xdr:clientData/>
  </xdr:twoCellAnchor>
  <xdr:twoCellAnchor>
    <xdr:from>
      <xdr:col>8</xdr:col>
      <xdr:colOff>6350</xdr:colOff>
      <xdr:row>3754</xdr:row>
      <xdr:rowOff>25400</xdr:rowOff>
    </xdr:from>
    <xdr:to>
      <xdr:col>8</xdr:col>
      <xdr:colOff>885190</xdr:colOff>
      <xdr:row>3754</xdr:row>
      <xdr:rowOff>1209040</xdr:rowOff>
    </xdr:to>
    <xdr:pic>
      <xdr:nvPicPr>
        <xdr:cNvPr id="7169" name="Изображение 7168" descr="resizeПП-00210338"/>
        <xdr:cNvPicPr>
          <a:picLocks noChangeAspect="1"/>
        </xdr:cNvPicPr>
      </xdr:nvPicPr>
      <xdr:blipFill>
        <a:blip xmlns:r="http://schemas.openxmlformats.org/officeDocument/2006/relationships" r:embed="rId2874"/>
        <a:stretch>
          <a:fillRect/>
        </a:stretch>
      </xdr:blipFill>
      <xdr:spPr>
        <a:xfrm>
          <a:off x="7264400" y="3743918725"/>
          <a:ext cx="878840" cy="1183640"/>
        </a:xfrm>
        <a:prstGeom prst="rect">
          <a:avLst/>
        </a:prstGeom>
      </xdr:spPr>
    </xdr:pic>
    <xdr:clientData/>
  </xdr:twoCellAnchor>
  <xdr:twoCellAnchor>
    <xdr:from>
      <xdr:col>8</xdr:col>
      <xdr:colOff>6350</xdr:colOff>
      <xdr:row>3755</xdr:row>
      <xdr:rowOff>25400</xdr:rowOff>
    </xdr:from>
    <xdr:to>
      <xdr:col>8</xdr:col>
      <xdr:colOff>885190</xdr:colOff>
      <xdr:row>3755</xdr:row>
      <xdr:rowOff>1209040</xdr:rowOff>
    </xdr:to>
    <xdr:pic>
      <xdr:nvPicPr>
        <xdr:cNvPr id="7170" name="Изображение 7169" descr="resizeПП-00210343"/>
        <xdr:cNvPicPr>
          <a:picLocks noChangeAspect="1"/>
        </xdr:cNvPicPr>
      </xdr:nvPicPr>
      <xdr:blipFill>
        <a:blip xmlns:r="http://schemas.openxmlformats.org/officeDocument/2006/relationships" r:embed="rId2875"/>
        <a:stretch>
          <a:fillRect/>
        </a:stretch>
      </xdr:blipFill>
      <xdr:spPr>
        <a:xfrm>
          <a:off x="7264400" y="3745141100"/>
          <a:ext cx="878840" cy="1183640"/>
        </a:xfrm>
        <a:prstGeom prst="rect">
          <a:avLst/>
        </a:prstGeom>
      </xdr:spPr>
    </xdr:pic>
    <xdr:clientData/>
  </xdr:twoCellAnchor>
  <xdr:twoCellAnchor>
    <xdr:from>
      <xdr:col>8</xdr:col>
      <xdr:colOff>6350</xdr:colOff>
      <xdr:row>3756</xdr:row>
      <xdr:rowOff>25400</xdr:rowOff>
    </xdr:from>
    <xdr:to>
      <xdr:col>8</xdr:col>
      <xdr:colOff>885190</xdr:colOff>
      <xdr:row>3756</xdr:row>
      <xdr:rowOff>1209040</xdr:rowOff>
    </xdr:to>
    <xdr:pic>
      <xdr:nvPicPr>
        <xdr:cNvPr id="7171" name="Изображение 7170" descr="resizeПП-00210327"/>
        <xdr:cNvPicPr>
          <a:picLocks noChangeAspect="1"/>
        </xdr:cNvPicPr>
      </xdr:nvPicPr>
      <xdr:blipFill>
        <a:blip xmlns:r="http://schemas.openxmlformats.org/officeDocument/2006/relationships" r:embed="rId2876"/>
        <a:stretch>
          <a:fillRect/>
        </a:stretch>
      </xdr:blipFill>
      <xdr:spPr>
        <a:xfrm>
          <a:off x="7264400" y="3746363475"/>
          <a:ext cx="878840" cy="1183640"/>
        </a:xfrm>
        <a:prstGeom prst="rect">
          <a:avLst/>
        </a:prstGeom>
      </xdr:spPr>
    </xdr:pic>
    <xdr:clientData/>
  </xdr:twoCellAnchor>
  <xdr:twoCellAnchor>
    <xdr:from>
      <xdr:col>8</xdr:col>
      <xdr:colOff>6350</xdr:colOff>
      <xdr:row>3758</xdr:row>
      <xdr:rowOff>25400</xdr:rowOff>
    </xdr:from>
    <xdr:to>
      <xdr:col>8</xdr:col>
      <xdr:colOff>885190</xdr:colOff>
      <xdr:row>3758</xdr:row>
      <xdr:rowOff>1209040</xdr:rowOff>
    </xdr:to>
    <xdr:pic>
      <xdr:nvPicPr>
        <xdr:cNvPr id="7172" name="Изображение 7171" descr="resizeПП-00214496"/>
        <xdr:cNvPicPr>
          <a:picLocks noChangeAspect="1"/>
        </xdr:cNvPicPr>
      </xdr:nvPicPr>
      <xdr:blipFill>
        <a:blip xmlns:r="http://schemas.openxmlformats.org/officeDocument/2006/relationships" r:embed="rId2877"/>
        <a:stretch>
          <a:fillRect/>
        </a:stretch>
      </xdr:blipFill>
      <xdr:spPr>
        <a:xfrm>
          <a:off x="7264400" y="3747738250"/>
          <a:ext cx="878840" cy="1183640"/>
        </a:xfrm>
        <a:prstGeom prst="rect">
          <a:avLst/>
        </a:prstGeom>
      </xdr:spPr>
    </xdr:pic>
    <xdr:clientData/>
  </xdr:twoCellAnchor>
  <xdr:twoCellAnchor>
    <xdr:from>
      <xdr:col>8</xdr:col>
      <xdr:colOff>6350</xdr:colOff>
      <xdr:row>3759</xdr:row>
      <xdr:rowOff>25400</xdr:rowOff>
    </xdr:from>
    <xdr:to>
      <xdr:col>8</xdr:col>
      <xdr:colOff>885190</xdr:colOff>
      <xdr:row>3759</xdr:row>
      <xdr:rowOff>1209040</xdr:rowOff>
    </xdr:to>
    <xdr:pic>
      <xdr:nvPicPr>
        <xdr:cNvPr id="7173" name="Изображение 7172" descr="resizeПП-00214474"/>
        <xdr:cNvPicPr>
          <a:picLocks noChangeAspect="1"/>
        </xdr:cNvPicPr>
      </xdr:nvPicPr>
      <xdr:blipFill>
        <a:blip xmlns:r="http://schemas.openxmlformats.org/officeDocument/2006/relationships" r:embed="rId2878"/>
        <a:stretch>
          <a:fillRect/>
        </a:stretch>
      </xdr:blipFill>
      <xdr:spPr>
        <a:xfrm>
          <a:off x="7264400" y="3748960625"/>
          <a:ext cx="878840" cy="1183640"/>
        </a:xfrm>
        <a:prstGeom prst="rect">
          <a:avLst/>
        </a:prstGeom>
      </xdr:spPr>
    </xdr:pic>
    <xdr:clientData/>
  </xdr:twoCellAnchor>
  <xdr:twoCellAnchor>
    <xdr:from>
      <xdr:col>8</xdr:col>
      <xdr:colOff>6350</xdr:colOff>
      <xdr:row>3760</xdr:row>
      <xdr:rowOff>25400</xdr:rowOff>
    </xdr:from>
    <xdr:to>
      <xdr:col>8</xdr:col>
      <xdr:colOff>885190</xdr:colOff>
      <xdr:row>3760</xdr:row>
      <xdr:rowOff>1209040</xdr:rowOff>
    </xdr:to>
    <xdr:pic>
      <xdr:nvPicPr>
        <xdr:cNvPr id="7174" name="Изображение 7173" descr="resizeПП-00214495"/>
        <xdr:cNvPicPr>
          <a:picLocks noChangeAspect="1"/>
        </xdr:cNvPicPr>
      </xdr:nvPicPr>
      <xdr:blipFill>
        <a:blip xmlns:r="http://schemas.openxmlformats.org/officeDocument/2006/relationships" r:embed="rId2879"/>
        <a:stretch>
          <a:fillRect/>
        </a:stretch>
      </xdr:blipFill>
      <xdr:spPr>
        <a:xfrm>
          <a:off x="7264400" y="3750183000"/>
          <a:ext cx="878840" cy="1183640"/>
        </a:xfrm>
        <a:prstGeom prst="rect">
          <a:avLst/>
        </a:prstGeom>
      </xdr:spPr>
    </xdr:pic>
    <xdr:clientData/>
  </xdr:twoCellAnchor>
  <xdr:twoCellAnchor>
    <xdr:from>
      <xdr:col>8</xdr:col>
      <xdr:colOff>6350</xdr:colOff>
      <xdr:row>3761</xdr:row>
      <xdr:rowOff>25400</xdr:rowOff>
    </xdr:from>
    <xdr:to>
      <xdr:col>8</xdr:col>
      <xdr:colOff>885190</xdr:colOff>
      <xdr:row>3761</xdr:row>
      <xdr:rowOff>1209040</xdr:rowOff>
    </xdr:to>
    <xdr:pic>
      <xdr:nvPicPr>
        <xdr:cNvPr id="7175" name="Изображение 7174" descr="resizeПП-00214499"/>
        <xdr:cNvPicPr>
          <a:picLocks noChangeAspect="1"/>
        </xdr:cNvPicPr>
      </xdr:nvPicPr>
      <xdr:blipFill>
        <a:blip xmlns:r="http://schemas.openxmlformats.org/officeDocument/2006/relationships" r:embed="rId2880"/>
        <a:stretch>
          <a:fillRect/>
        </a:stretch>
      </xdr:blipFill>
      <xdr:spPr>
        <a:xfrm>
          <a:off x="7264400" y="3751405375"/>
          <a:ext cx="878840" cy="1183640"/>
        </a:xfrm>
        <a:prstGeom prst="rect">
          <a:avLst/>
        </a:prstGeom>
      </xdr:spPr>
    </xdr:pic>
    <xdr:clientData/>
  </xdr:twoCellAnchor>
  <xdr:twoCellAnchor>
    <xdr:from>
      <xdr:col>8</xdr:col>
      <xdr:colOff>6350</xdr:colOff>
      <xdr:row>3763</xdr:row>
      <xdr:rowOff>25400</xdr:rowOff>
    </xdr:from>
    <xdr:to>
      <xdr:col>8</xdr:col>
      <xdr:colOff>885190</xdr:colOff>
      <xdr:row>3763</xdr:row>
      <xdr:rowOff>1209040</xdr:rowOff>
    </xdr:to>
    <xdr:pic>
      <xdr:nvPicPr>
        <xdr:cNvPr id="7176" name="Изображение 7175" descr="resizeПП-00225450"/>
        <xdr:cNvPicPr>
          <a:picLocks noChangeAspect="1"/>
        </xdr:cNvPicPr>
      </xdr:nvPicPr>
      <xdr:blipFill>
        <a:blip xmlns:r="http://schemas.openxmlformats.org/officeDocument/2006/relationships" r:embed="rId2881"/>
        <a:stretch>
          <a:fillRect/>
        </a:stretch>
      </xdr:blipFill>
      <xdr:spPr>
        <a:xfrm>
          <a:off x="7264400" y="3752780150"/>
          <a:ext cx="878840" cy="1183640"/>
        </a:xfrm>
        <a:prstGeom prst="rect">
          <a:avLst/>
        </a:prstGeom>
      </xdr:spPr>
    </xdr:pic>
    <xdr:clientData/>
  </xdr:twoCellAnchor>
  <xdr:twoCellAnchor>
    <xdr:from>
      <xdr:col>8</xdr:col>
      <xdr:colOff>6350</xdr:colOff>
      <xdr:row>3764</xdr:row>
      <xdr:rowOff>25400</xdr:rowOff>
    </xdr:from>
    <xdr:to>
      <xdr:col>8</xdr:col>
      <xdr:colOff>885190</xdr:colOff>
      <xdr:row>3764</xdr:row>
      <xdr:rowOff>1209040</xdr:rowOff>
    </xdr:to>
    <xdr:pic>
      <xdr:nvPicPr>
        <xdr:cNvPr id="7177" name="Изображение 7176" descr="resizeПП-00225448"/>
        <xdr:cNvPicPr>
          <a:picLocks noChangeAspect="1"/>
        </xdr:cNvPicPr>
      </xdr:nvPicPr>
      <xdr:blipFill>
        <a:blip xmlns:r="http://schemas.openxmlformats.org/officeDocument/2006/relationships" r:embed="rId2882"/>
        <a:stretch>
          <a:fillRect/>
        </a:stretch>
      </xdr:blipFill>
      <xdr:spPr>
        <a:xfrm>
          <a:off x="7264400" y="3754002525"/>
          <a:ext cx="878840" cy="1183640"/>
        </a:xfrm>
        <a:prstGeom prst="rect">
          <a:avLst/>
        </a:prstGeom>
      </xdr:spPr>
    </xdr:pic>
    <xdr:clientData/>
  </xdr:twoCellAnchor>
  <xdr:twoCellAnchor>
    <xdr:from>
      <xdr:col>8</xdr:col>
      <xdr:colOff>6350</xdr:colOff>
      <xdr:row>3767</xdr:row>
      <xdr:rowOff>25400</xdr:rowOff>
    </xdr:from>
    <xdr:to>
      <xdr:col>8</xdr:col>
      <xdr:colOff>885190</xdr:colOff>
      <xdr:row>3767</xdr:row>
      <xdr:rowOff>1209040</xdr:rowOff>
    </xdr:to>
    <xdr:pic>
      <xdr:nvPicPr>
        <xdr:cNvPr id="7178" name="Изображение 7177" descr="resizeПП-00210391"/>
        <xdr:cNvPicPr>
          <a:picLocks noChangeAspect="1"/>
        </xdr:cNvPicPr>
      </xdr:nvPicPr>
      <xdr:blipFill>
        <a:blip xmlns:r="http://schemas.openxmlformats.org/officeDocument/2006/relationships" r:embed="rId2883"/>
        <a:stretch>
          <a:fillRect/>
        </a:stretch>
      </xdr:blipFill>
      <xdr:spPr>
        <a:xfrm>
          <a:off x="7264400" y="3755529700"/>
          <a:ext cx="878840" cy="1183640"/>
        </a:xfrm>
        <a:prstGeom prst="rect">
          <a:avLst/>
        </a:prstGeom>
      </xdr:spPr>
    </xdr:pic>
    <xdr:clientData/>
  </xdr:twoCellAnchor>
  <xdr:twoCellAnchor>
    <xdr:from>
      <xdr:col>8</xdr:col>
      <xdr:colOff>6350</xdr:colOff>
      <xdr:row>3768</xdr:row>
      <xdr:rowOff>25400</xdr:rowOff>
    </xdr:from>
    <xdr:to>
      <xdr:col>8</xdr:col>
      <xdr:colOff>885190</xdr:colOff>
      <xdr:row>3768</xdr:row>
      <xdr:rowOff>1209040</xdr:rowOff>
    </xdr:to>
    <xdr:pic>
      <xdr:nvPicPr>
        <xdr:cNvPr id="7179" name="Изображение 7178" descr="resizeПП-00234794"/>
        <xdr:cNvPicPr>
          <a:picLocks noChangeAspect="1"/>
        </xdr:cNvPicPr>
      </xdr:nvPicPr>
      <xdr:blipFill>
        <a:blip xmlns:r="http://schemas.openxmlformats.org/officeDocument/2006/relationships" r:embed="rId2884"/>
        <a:stretch>
          <a:fillRect/>
        </a:stretch>
      </xdr:blipFill>
      <xdr:spPr>
        <a:xfrm>
          <a:off x="7264400" y="3756752075"/>
          <a:ext cx="878840" cy="1183640"/>
        </a:xfrm>
        <a:prstGeom prst="rect">
          <a:avLst/>
        </a:prstGeom>
      </xdr:spPr>
    </xdr:pic>
    <xdr:clientData/>
  </xdr:twoCellAnchor>
  <xdr:twoCellAnchor>
    <xdr:from>
      <xdr:col>8</xdr:col>
      <xdr:colOff>6350</xdr:colOff>
      <xdr:row>3769</xdr:row>
      <xdr:rowOff>25400</xdr:rowOff>
    </xdr:from>
    <xdr:to>
      <xdr:col>8</xdr:col>
      <xdr:colOff>885190</xdr:colOff>
      <xdr:row>3769</xdr:row>
      <xdr:rowOff>1209040</xdr:rowOff>
    </xdr:to>
    <xdr:pic>
      <xdr:nvPicPr>
        <xdr:cNvPr id="7180" name="Изображение 7179" descr="resizeПП-00234796"/>
        <xdr:cNvPicPr>
          <a:picLocks noChangeAspect="1"/>
        </xdr:cNvPicPr>
      </xdr:nvPicPr>
      <xdr:blipFill>
        <a:blip xmlns:r="http://schemas.openxmlformats.org/officeDocument/2006/relationships" r:embed="rId2885"/>
        <a:stretch>
          <a:fillRect/>
        </a:stretch>
      </xdr:blipFill>
      <xdr:spPr>
        <a:xfrm>
          <a:off x="7264400" y="3757974450"/>
          <a:ext cx="878840" cy="1183640"/>
        </a:xfrm>
        <a:prstGeom prst="rect">
          <a:avLst/>
        </a:prstGeom>
      </xdr:spPr>
    </xdr:pic>
    <xdr:clientData/>
  </xdr:twoCellAnchor>
  <xdr:twoCellAnchor>
    <xdr:from>
      <xdr:col>8</xdr:col>
      <xdr:colOff>6350</xdr:colOff>
      <xdr:row>3770</xdr:row>
      <xdr:rowOff>25400</xdr:rowOff>
    </xdr:from>
    <xdr:to>
      <xdr:col>8</xdr:col>
      <xdr:colOff>885190</xdr:colOff>
      <xdr:row>3770</xdr:row>
      <xdr:rowOff>1209040</xdr:rowOff>
    </xdr:to>
    <xdr:pic>
      <xdr:nvPicPr>
        <xdr:cNvPr id="7181" name="Изображение 7180" descr="resizeПП-00200939"/>
        <xdr:cNvPicPr>
          <a:picLocks noChangeAspect="1"/>
        </xdr:cNvPicPr>
      </xdr:nvPicPr>
      <xdr:blipFill>
        <a:blip xmlns:r="http://schemas.openxmlformats.org/officeDocument/2006/relationships" r:embed="rId2886"/>
        <a:stretch>
          <a:fillRect/>
        </a:stretch>
      </xdr:blipFill>
      <xdr:spPr>
        <a:xfrm>
          <a:off x="7264400" y="3759196825"/>
          <a:ext cx="878840" cy="1183640"/>
        </a:xfrm>
        <a:prstGeom prst="rect">
          <a:avLst/>
        </a:prstGeom>
      </xdr:spPr>
    </xdr:pic>
    <xdr:clientData/>
  </xdr:twoCellAnchor>
  <xdr:twoCellAnchor>
    <xdr:from>
      <xdr:col>8</xdr:col>
      <xdr:colOff>6350</xdr:colOff>
      <xdr:row>3771</xdr:row>
      <xdr:rowOff>25400</xdr:rowOff>
    </xdr:from>
    <xdr:to>
      <xdr:col>8</xdr:col>
      <xdr:colOff>885190</xdr:colOff>
      <xdr:row>3771</xdr:row>
      <xdr:rowOff>1209040</xdr:rowOff>
    </xdr:to>
    <xdr:pic>
      <xdr:nvPicPr>
        <xdr:cNvPr id="7182" name="Изображение 7181" descr="resizeПП-00200940"/>
        <xdr:cNvPicPr>
          <a:picLocks noChangeAspect="1"/>
        </xdr:cNvPicPr>
      </xdr:nvPicPr>
      <xdr:blipFill>
        <a:blip xmlns:r="http://schemas.openxmlformats.org/officeDocument/2006/relationships" r:embed="rId2887"/>
        <a:stretch>
          <a:fillRect/>
        </a:stretch>
      </xdr:blipFill>
      <xdr:spPr>
        <a:xfrm>
          <a:off x="7264400" y="3760419200"/>
          <a:ext cx="878840" cy="1183640"/>
        </a:xfrm>
        <a:prstGeom prst="rect">
          <a:avLst/>
        </a:prstGeom>
      </xdr:spPr>
    </xdr:pic>
    <xdr:clientData/>
  </xdr:twoCellAnchor>
  <xdr:twoCellAnchor>
    <xdr:from>
      <xdr:col>8</xdr:col>
      <xdr:colOff>6350</xdr:colOff>
      <xdr:row>3772</xdr:row>
      <xdr:rowOff>25400</xdr:rowOff>
    </xdr:from>
    <xdr:to>
      <xdr:col>8</xdr:col>
      <xdr:colOff>885190</xdr:colOff>
      <xdr:row>3772</xdr:row>
      <xdr:rowOff>1209040</xdr:rowOff>
    </xdr:to>
    <xdr:pic>
      <xdr:nvPicPr>
        <xdr:cNvPr id="7183" name="Изображение 7182" descr="resizeПП-00200943"/>
        <xdr:cNvPicPr>
          <a:picLocks noChangeAspect="1"/>
        </xdr:cNvPicPr>
      </xdr:nvPicPr>
      <xdr:blipFill>
        <a:blip xmlns:r="http://schemas.openxmlformats.org/officeDocument/2006/relationships" r:embed="rId2888"/>
        <a:stretch>
          <a:fillRect/>
        </a:stretch>
      </xdr:blipFill>
      <xdr:spPr>
        <a:xfrm>
          <a:off x="7264400" y="3761641575"/>
          <a:ext cx="878840" cy="1183640"/>
        </a:xfrm>
        <a:prstGeom prst="rect">
          <a:avLst/>
        </a:prstGeom>
      </xdr:spPr>
    </xdr:pic>
    <xdr:clientData/>
  </xdr:twoCellAnchor>
  <xdr:twoCellAnchor>
    <xdr:from>
      <xdr:col>8</xdr:col>
      <xdr:colOff>6350</xdr:colOff>
      <xdr:row>3773</xdr:row>
      <xdr:rowOff>25400</xdr:rowOff>
    </xdr:from>
    <xdr:to>
      <xdr:col>8</xdr:col>
      <xdr:colOff>885190</xdr:colOff>
      <xdr:row>3773</xdr:row>
      <xdr:rowOff>1209040</xdr:rowOff>
    </xdr:to>
    <xdr:pic>
      <xdr:nvPicPr>
        <xdr:cNvPr id="7184" name="Изображение 7183" descr="resizeПП-00200938"/>
        <xdr:cNvPicPr>
          <a:picLocks noChangeAspect="1"/>
        </xdr:cNvPicPr>
      </xdr:nvPicPr>
      <xdr:blipFill>
        <a:blip xmlns:r="http://schemas.openxmlformats.org/officeDocument/2006/relationships" r:embed="rId2889"/>
        <a:stretch>
          <a:fillRect/>
        </a:stretch>
      </xdr:blipFill>
      <xdr:spPr>
        <a:xfrm>
          <a:off x="7264400" y="3762863950"/>
          <a:ext cx="878840" cy="1183640"/>
        </a:xfrm>
        <a:prstGeom prst="rect">
          <a:avLst/>
        </a:prstGeom>
      </xdr:spPr>
    </xdr:pic>
    <xdr:clientData/>
  </xdr:twoCellAnchor>
  <xdr:twoCellAnchor>
    <xdr:from>
      <xdr:col>8</xdr:col>
      <xdr:colOff>6350</xdr:colOff>
      <xdr:row>3774</xdr:row>
      <xdr:rowOff>25400</xdr:rowOff>
    </xdr:from>
    <xdr:to>
      <xdr:col>8</xdr:col>
      <xdr:colOff>885190</xdr:colOff>
      <xdr:row>3774</xdr:row>
      <xdr:rowOff>1209040</xdr:rowOff>
    </xdr:to>
    <xdr:pic>
      <xdr:nvPicPr>
        <xdr:cNvPr id="7185" name="Изображение 7184" descr="resizeПП-00118966"/>
        <xdr:cNvPicPr>
          <a:picLocks noChangeAspect="1"/>
        </xdr:cNvPicPr>
      </xdr:nvPicPr>
      <xdr:blipFill>
        <a:blip xmlns:r="http://schemas.openxmlformats.org/officeDocument/2006/relationships" r:embed="rId2890"/>
        <a:stretch>
          <a:fillRect/>
        </a:stretch>
      </xdr:blipFill>
      <xdr:spPr>
        <a:xfrm>
          <a:off x="7264400" y="3764086325"/>
          <a:ext cx="878840" cy="1183640"/>
        </a:xfrm>
        <a:prstGeom prst="rect">
          <a:avLst/>
        </a:prstGeom>
      </xdr:spPr>
    </xdr:pic>
    <xdr:clientData/>
  </xdr:twoCellAnchor>
  <xdr:twoCellAnchor>
    <xdr:from>
      <xdr:col>8</xdr:col>
      <xdr:colOff>6350</xdr:colOff>
      <xdr:row>3776</xdr:row>
      <xdr:rowOff>25400</xdr:rowOff>
    </xdr:from>
    <xdr:to>
      <xdr:col>8</xdr:col>
      <xdr:colOff>885190</xdr:colOff>
      <xdr:row>3776</xdr:row>
      <xdr:rowOff>1209040</xdr:rowOff>
    </xdr:to>
    <xdr:pic>
      <xdr:nvPicPr>
        <xdr:cNvPr id="7186" name="Изображение 7185" descr="resizeПП-00210557"/>
        <xdr:cNvPicPr>
          <a:picLocks noChangeAspect="1"/>
        </xdr:cNvPicPr>
      </xdr:nvPicPr>
      <xdr:blipFill>
        <a:blip xmlns:r="http://schemas.openxmlformats.org/officeDocument/2006/relationships" r:embed="rId2891"/>
        <a:stretch>
          <a:fillRect/>
        </a:stretch>
      </xdr:blipFill>
      <xdr:spPr>
        <a:xfrm>
          <a:off x="7264400" y="3765461100"/>
          <a:ext cx="878840" cy="1183640"/>
        </a:xfrm>
        <a:prstGeom prst="rect">
          <a:avLst/>
        </a:prstGeom>
      </xdr:spPr>
    </xdr:pic>
    <xdr:clientData/>
  </xdr:twoCellAnchor>
  <xdr:twoCellAnchor>
    <xdr:from>
      <xdr:col>8</xdr:col>
      <xdr:colOff>6350</xdr:colOff>
      <xdr:row>3777</xdr:row>
      <xdr:rowOff>25400</xdr:rowOff>
    </xdr:from>
    <xdr:to>
      <xdr:col>8</xdr:col>
      <xdr:colOff>885190</xdr:colOff>
      <xdr:row>3777</xdr:row>
      <xdr:rowOff>1209040</xdr:rowOff>
    </xdr:to>
    <xdr:pic>
      <xdr:nvPicPr>
        <xdr:cNvPr id="7187" name="Изображение 7186" descr="resizeПП-00216096"/>
        <xdr:cNvPicPr>
          <a:picLocks noChangeAspect="1"/>
        </xdr:cNvPicPr>
      </xdr:nvPicPr>
      <xdr:blipFill>
        <a:blip xmlns:r="http://schemas.openxmlformats.org/officeDocument/2006/relationships" r:embed="rId2892"/>
        <a:stretch>
          <a:fillRect/>
        </a:stretch>
      </xdr:blipFill>
      <xdr:spPr>
        <a:xfrm>
          <a:off x="7264400" y="3766683475"/>
          <a:ext cx="878840" cy="1183640"/>
        </a:xfrm>
        <a:prstGeom prst="rect">
          <a:avLst/>
        </a:prstGeom>
      </xdr:spPr>
    </xdr:pic>
    <xdr:clientData/>
  </xdr:twoCellAnchor>
  <xdr:twoCellAnchor>
    <xdr:from>
      <xdr:col>8</xdr:col>
      <xdr:colOff>6350</xdr:colOff>
      <xdr:row>3778</xdr:row>
      <xdr:rowOff>25400</xdr:rowOff>
    </xdr:from>
    <xdr:to>
      <xdr:col>8</xdr:col>
      <xdr:colOff>885190</xdr:colOff>
      <xdr:row>3778</xdr:row>
      <xdr:rowOff>1209040</xdr:rowOff>
    </xdr:to>
    <xdr:pic>
      <xdr:nvPicPr>
        <xdr:cNvPr id="7188" name="Изображение 7187" descr="resizeПП-00257904"/>
        <xdr:cNvPicPr>
          <a:picLocks noChangeAspect="1"/>
        </xdr:cNvPicPr>
      </xdr:nvPicPr>
      <xdr:blipFill>
        <a:blip xmlns:r="http://schemas.openxmlformats.org/officeDocument/2006/relationships" r:embed="rId2893"/>
        <a:stretch>
          <a:fillRect/>
        </a:stretch>
      </xdr:blipFill>
      <xdr:spPr>
        <a:xfrm>
          <a:off x="7264400" y="3767905850"/>
          <a:ext cx="878840" cy="1183640"/>
        </a:xfrm>
        <a:prstGeom prst="rect">
          <a:avLst/>
        </a:prstGeom>
      </xdr:spPr>
    </xdr:pic>
    <xdr:clientData/>
  </xdr:twoCellAnchor>
  <xdr:twoCellAnchor>
    <xdr:from>
      <xdr:col>8</xdr:col>
      <xdr:colOff>6350</xdr:colOff>
      <xdr:row>3779</xdr:row>
      <xdr:rowOff>25400</xdr:rowOff>
    </xdr:from>
    <xdr:to>
      <xdr:col>8</xdr:col>
      <xdr:colOff>885190</xdr:colOff>
      <xdr:row>3779</xdr:row>
      <xdr:rowOff>1209040</xdr:rowOff>
    </xdr:to>
    <xdr:pic>
      <xdr:nvPicPr>
        <xdr:cNvPr id="7189" name="Изображение 7188" descr="resizeПП-00257905"/>
        <xdr:cNvPicPr>
          <a:picLocks noChangeAspect="1"/>
        </xdr:cNvPicPr>
      </xdr:nvPicPr>
      <xdr:blipFill>
        <a:blip xmlns:r="http://schemas.openxmlformats.org/officeDocument/2006/relationships" r:embed="rId2894"/>
        <a:stretch>
          <a:fillRect/>
        </a:stretch>
      </xdr:blipFill>
      <xdr:spPr>
        <a:xfrm>
          <a:off x="7264400" y="3769128225"/>
          <a:ext cx="878840" cy="1183640"/>
        </a:xfrm>
        <a:prstGeom prst="rect">
          <a:avLst/>
        </a:prstGeom>
      </xdr:spPr>
    </xdr:pic>
    <xdr:clientData/>
  </xdr:twoCellAnchor>
  <xdr:twoCellAnchor>
    <xdr:from>
      <xdr:col>8</xdr:col>
      <xdr:colOff>6350</xdr:colOff>
      <xdr:row>3780</xdr:row>
      <xdr:rowOff>25400</xdr:rowOff>
    </xdr:from>
    <xdr:to>
      <xdr:col>8</xdr:col>
      <xdr:colOff>885190</xdr:colOff>
      <xdr:row>3780</xdr:row>
      <xdr:rowOff>1209040</xdr:rowOff>
    </xdr:to>
    <xdr:pic>
      <xdr:nvPicPr>
        <xdr:cNvPr id="7190" name="Изображение 7189" descr="resizeПП-00222043"/>
        <xdr:cNvPicPr>
          <a:picLocks noChangeAspect="1"/>
        </xdr:cNvPicPr>
      </xdr:nvPicPr>
      <xdr:blipFill>
        <a:blip xmlns:r="http://schemas.openxmlformats.org/officeDocument/2006/relationships" r:embed="rId2895"/>
        <a:stretch>
          <a:fillRect/>
        </a:stretch>
      </xdr:blipFill>
      <xdr:spPr>
        <a:xfrm>
          <a:off x="7264400" y="3770350600"/>
          <a:ext cx="878840" cy="1183640"/>
        </a:xfrm>
        <a:prstGeom prst="rect">
          <a:avLst/>
        </a:prstGeom>
      </xdr:spPr>
    </xdr:pic>
    <xdr:clientData/>
  </xdr:twoCellAnchor>
  <xdr:twoCellAnchor>
    <xdr:from>
      <xdr:col>8</xdr:col>
      <xdr:colOff>6350</xdr:colOff>
      <xdr:row>3781</xdr:row>
      <xdr:rowOff>25400</xdr:rowOff>
    </xdr:from>
    <xdr:to>
      <xdr:col>8</xdr:col>
      <xdr:colOff>885190</xdr:colOff>
      <xdr:row>3781</xdr:row>
      <xdr:rowOff>1209040</xdr:rowOff>
    </xdr:to>
    <xdr:pic>
      <xdr:nvPicPr>
        <xdr:cNvPr id="7191" name="Изображение 7190" descr="resizeПП-00222038"/>
        <xdr:cNvPicPr>
          <a:picLocks noChangeAspect="1"/>
        </xdr:cNvPicPr>
      </xdr:nvPicPr>
      <xdr:blipFill>
        <a:blip xmlns:r="http://schemas.openxmlformats.org/officeDocument/2006/relationships" r:embed="rId2896"/>
        <a:stretch>
          <a:fillRect/>
        </a:stretch>
      </xdr:blipFill>
      <xdr:spPr>
        <a:xfrm>
          <a:off x="7264400" y="3771572975"/>
          <a:ext cx="878840" cy="1183640"/>
        </a:xfrm>
        <a:prstGeom prst="rect">
          <a:avLst/>
        </a:prstGeom>
      </xdr:spPr>
    </xdr:pic>
    <xdr:clientData/>
  </xdr:twoCellAnchor>
  <xdr:twoCellAnchor>
    <xdr:from>
      <xdr:col>8</xdr:col>
      <xdr:colOff>6350</xdr:colOff>
      <xdr:row>3782</xdr:row>
      <xdr:rowOff>25400</xdr:rowOff>
    </xdr:from>
    <xdr:to>
      <xdr:col>8</xdr:col>
      <xdr:colOff>885190</xdr:colOff>
      <xdr:row>3782</xdr:row>
      <xdr:rowOff>1209040</xdr:rowOff>
    </xdr:to>
    <xdr:pic>
      <xdr:nvPicPr>
        <xdr:cNvPr id="7192" name="Изображение 7191" descr="resizeПП-00222042"/>
        <xdr:cNvPicPr>
          <a:picLocks noChangeAspect="1"/>
        </xdr:cNvPicPr>
      </xdr:nvPicPr>
      <xdr:blipFill>
        <a:blip xmlns:r="http://schemas.openxmlformats.org/officeDocument/2006/relationships" r:embed="rId2897"/>
        <a:stretch>
          <a:fillRect/>
        </a:stretch>
      </xdr:blipFill>
      <xdr:spPr>
        <a:xfrm>
          <a:off x="7264400" y="3772795350"/>
          <a:ext cx="878840" cy="1183640"/>
        </a:xfrm>
        <a:prstGeom prst="rect">
          <a:avLst/>
        </a:prstGeom>
      </xdr:spPr>
    </xdr:pic>
    <xdr:clientData/>
  </xdr:twoCellAnchor>
  <xdr:twoCellAnchor>
    <xdr:from>
      <xdr:col>8</xdr:col>
      <xdr:colOff>6350</xdr:colOff>
      <xdr:row>3783</xdr:row>
      <xdr:rowOff>25400</xdr:rowOff>
    </xdr:from>
    <xdr:to>
      <xdr:col>8</xdr:col>
      <xdr:colOff>885190</xdr:colOff>
      <xdr:row>3783</xdr:row>
      <xdr:rowOff>1209040</xdr:rowOff>
    </xdr:to>
    <xdr:pic>
      <xdr:nvPicPr>
        <xdr:cNvPr id="7193" name="Изображение 7192" descr="resizeПП-00222013"/>
        <xdr:cNvPicPr>
          <a:picLocks noChangeAspect="1"/>
        </xdr:cNvPicPr>
      </xdr:nvPicPr>
      <xdr:blipFill>
        <a:blip xmlns:r="http://schemas.openxmlformats.org/officeDocument/2006/relationships" r:embed="rId2898"/>
        <a:stretch>
          <a:fillRect/>
        </a:stretch>
      </xdr:blipFill>
      <xdr:spPr>
        <a:xfrm>
          <a:off x="7264400" y="3774017725"/>
          <a:ext cx="878840" cy="1183640"/>
        </a:xfrm>
        <a:prstGeom prst="rect">
          <a:avLst/>
        </a:prstGeom>
      </xdr:spPr>
    </xdr:pic>
    <xdr:clientData/>
  </xdr:twoCellAnchor>
  <xdr:twoCellAnchor>
    <xdr:from>
      <xdr:col>8</xdr:col>
      <xdr:colOff>6350</xdr:colOff>
      <xdr:row>3784</xdr:row>
      <xdr:rowOff>25400</xdr:rowOff>
    </xdr:from>
    <xdr:to>
      <xdr:col>8</xdr:col>
      <xdr:colOff>885190</xdr:colOff>
      <xdr:row>3784</xdr:row>
      <xdr:rowOff>1209040</xdr:rowOff>
    </xdr:to>
    <xdr:pic>
      <xdr:nvPicPr>
        <xdr:cNvPr id="7194" name="Изображение 7193" descr="resizeПП-00222040"/>
        <xdr:cNvPicPr>
          <a:picLocks noChangeAspect="1"/>
        </xdr:cNvPicPr>
      </xdr:nvPicPr>
      <xdr:blipFill>
        <a:blip xmlns:r="http://schemas.openxmlformats.org/officeDocument/2006/relationships" r:embed="rId2899"/>
        <a:stretch>
          <a:fillRect/>
        </a:stretch>
      </xdr:blipFill>
      <xdr:spPr>
        <a:xfrm>
          <a:off x="7264400" y="3775240100"/>
          <a:ext cx="878840" cy="1183640"/>
        </a:xfrm>
        <a:prstGeom prst="rect">
          <a:avLst/>
        </a:prstGeom>
      </xdr:spPr>
    </xdr:pic>
    <xdr:clientData/>
  </xdr:twoCellAnchor>
  <xdr:twoCellAnchor>
    <xdr:from>
      <xdr:col>8</xdr:col>
      <xdr:colOff>6350</xdr:colOff>
      <xdr:row>3785</xdr:row>
      <xdr:rowOff>25400</xdr:rowOff>
    </xdr:from>
    <xdr:to>
      <xdr:col>8</xdr:col>
      <xdr:colOff>885190</xdr:colOff>
      <xdr:row>3785</xdr:row>
      <xdr:rowOff>1209040</xdr:rowOff>
    </xdr:to>
    <xdr:pic>
      <xdr:nvPicPr>
        <xdr:cNvPr id="7195" name="Изображение 7194" descr="resizeПП-00222041"/>
        <xdr:cNvPicPr>
          <a:picLocks noChangeAspect="1"/>
        </xdr:cNvPicPr>
      </xdr:nvPicPr>
      <xdr:blipFill>
        <a:blip xmlns:r="http://schemas.openxmlformats.org/officeDocument/2006/relationships" r:embed="rId2900"/>
        <a:stretch>
          <a:fillRect/>
        </a:stretch>
      </xdr:blipFill>
      <xdr:spPr>
        <a:xfrm>
          <a:off x="7264400" y="3776462475"/>
          <a:ext cx="878840" cy="1183640"/>
        </a:xfrm>
        <a:prstGeom prst="rect">
          <a:avLst/>
        </a:prstGeom>
      </xdr:spPr>
    </xdr:pic>
    <xdr:clientData/>
  </xdr:twoCellAnchor>
  <xdr:twoCellAnchor>
    <xdr:from>
      <xdr:col>8</xdr:col>
      <xdr:colOff>6350</xdr:colOff>
      <xdr:row>3786</xdr:row>
      <xdr:rowOff>25400</xdr:rowOff>
    </xdr:from>
    <xdr:to>
      <xdr:col>8</xdr:col>
      <xdr:colOff>885190</xdr:colOff>
      <xdr:row>3786</xdr:row>
      <xdr:rowOff>1209040</xdr:rowOff>
    </xdr:to>
    <xdr:pic>
      <xdr:nvPicPr>
        <xdr:cNvPr id="7196" name="Изображение 7195" descr="resizeПП-00222036"/>
        <xdr:cNvPicPr>
          <a:picLocks noChangeAspect="1"/>
        </xdr:cNvPicPr>
      </xdr:nvPicPr>
      <xdr:blipFill>
        <a:blip xmlns:r="http://schemas.openxmlformats.org/officeDocument/2006/relationships" r:embed="rId2901"/>
        <a:stretch>
          <a:fillRect/>
        </a:stretch>
      </xdr:blipFill>
      <xdr:spPr>
        <a:xfrm>
          <a:off x="7264400" y="3777684850"/>
          <a:ext cx="878840" cy="1183640"/>
        </a:xfrm>
        <a:prstGeom prst="rect">
          <a:avLst/>
        </a:prstGeom>
      </xdr:spPr>
    </xdr:pic>
    <xdr:clientData/>
  </xdr:twoCellAnchor>
  <xdr:twoCellAnchor>
    <xdr:from>
      <xdr:col>8</xdr:col>
      <xdr:colOff>6350</xdr:colOff>
      <xdr:row>3787</xdr:row>
      <xdr:rowOff>25400</xdr:rowOff>
    </xdr:from>
    <xdr:to>
      <xdr:col>8</xdr:col>
      <xdr:colOff>885190</xdr:colOff>
      <xdr:row>3787</xdr:row>
      <xdr:rowOff>1209040</xdr:rowOff>
    </xdr:to>
    <xdr:pic>
      <xdr:nvPicPr>
        <xdr:cNvPr id="7197" name="Изображение 7196" descr="resizeПП-00222035"/>
        <xdr:cNvPicPr>
          <a:picLocks noChangeAspect="1"/>
        </xdr:cNvPicPr>
      </xdr:nvPicPr>
      <xdr:blipFill>
        <a:blip xmlns:r="http://schemas.openxmlformats.org/officeDocument/2006/relationships" r:embed="rId2902"/>
        <a:stretch>
          <a:fillRect/>
        </a:stretch>
      </xdr:blipFill>
      <xdr:spPr>
        <a:xfrm>
          <a:off x="7264400" y="3778907225"/>
          <a:ext cx="878840" cy="1183640"/>
        </a:xfrm>
        <a:prstGeom prst="rect">
          <a:avLst/>
        </a:prstGeom>
      </xdr:spPr>
    </xdr:pic>
    <xdr:clientData/>
  </xdr:twoCellAnchor>
  <xdr:twoCellAnchor>
    <xdr:from>
      <xdr:col>8</xdr:col>
      <xdr:colOff>6350</xdr:colOff>
      <xdr:row>3788</xdr:row>
      <xdr:rowOff>25400</xdr:rowOff>
    </xdr:from>
    <xdr:to>
      <xdr:col>8</xdr:col>
      <xdr:colOff>885190</xdr:colOff>
      <xdr:row>3788</xdr:row>
      <xdr:rowOff>1209040</xdr:rowOff>
    </xdr:to>
    <xdr:pic>
      <xdr:nvPicPr>
        <xdr:cNvPr id="7198" name="Изображение 7197" descr="resizeПП-00222032"/>
        <xdr:cNvPicPr>
          <a:picLocks noChangeAspect="1"/>
        </xdr:cNvPicPr>
      </xdr:nvPicPr>
      <xdr:blipFill>
        <a:blip xmlns:r="http://schemas.openxmlformats.org/officeDocument/2006/relationships" r:embed="rId2902"/>
        <a:stretch>
          <a:fillRect/>
        </a:stretch>
      </xdr:blipFill>
      <xdr:spPr>
        <a:xfrm>
          <a:off x="7264400" y="3780129600"/>
          <a:ext cx="878840" cy="1183640"/>
        </a:xfrm>
        <a:prstGeom prst="rect">
          <a:avLst/>
        </a:prstGeom>
      </xdr:spPr>
    </xdr:pic>
    <xdr:clientData/>
  </xdr:twoCellAnchor>
  <xdr:twoCellAnchor>
    <xdr:from>
      <xdr:col>8</xdr:col>
      <xdr:colOff>6350</xdr:colOff>
      <xdr:row>3789</xdr:row>
      <xdr:rowOff>25400</xdr:rowOff>
    </xdr:from>
    <xdr:to>
      <xdr:col>8</xdr:col>
      <xdr:colOff>885190</xdr:colOff>
      <xdr:row>3789</xdr:row>
      <xdr:rowOff>1209040</xdr:rowOff>
    </xdr:to>
    <xdr:pic>
      <xdr:nvPicPr>
        <xdr:cNvPr id="7199" name="Изображение 7198" descr="resizeПП-00233886"/>
        <xdr:cNvPicPr>
          <a:picLocks noChangeAspect="1"/>
        </xdr:cNvPicPr>
      </xdr:nvPicPr>
      <xdr:blipFill>
        <a:blip xmlns:r="http://schemas.openxmlformats.org/officeDocument/2006/relationships" r:embed="rId2903"/>
        <a:stretch>
          <a:fillRect/>
        </a:stretch>
      </xdr:blipFill>
      <xdr:spPr>
        <a:xfrm>
          <a:off x="7264400" y="3781351975"/>
          <a:ext cx="878840" cy="1183640"/>
        </a:xfrm>
        <a:prstGeom prst="rect">
          <a:avLst/>
        </a:prstGeom>
      </xdr:spPr>
    </xdr:pic>
    <xdr:clientData/>
  </xdr:twoCellAnchor>
  <xdr:twoCellAnchor>
    <xdr:from>
      <xdr:col>8</xdr:col>
      <xdr:colOff>6350</xdr:colOff>
      <xdr:row>3790</xdr:row>
      <xdr:rowOff>25400</xdr:rowOff>
    </xdr:from>
    <xdr:to>
      <xdr:col>8</xdr:col>
      <xdr:colOff>885190</xdr:colOff>
      <xdr:row>3790</xdr:row>
      <xdr:rowOff>1209040</xdr:rowOff>
    </xdr:to>
    <xdr:pic>
      <xdr:nvPicPr>
        <xdr:cNvPr id="7200" name="Изображение 7199" descr="resizeПП-00233889"/>
        <xdr:cNvPicPr>
          <a:picLocks noChangeAspect="1"/>
        </xdr:cNvPicPr>
      </xdr:nvPicPr>
      <xdr:blipFill>
        <a:blip xmlns:r="http://schemas.openxmlformats.org/officeDocument/2006/relationships" r:embed="rId2904"/>
        <a:stretch>
          <a:fillRect/>
        </a:stretch>
      </xdr:blipFill>
      <xdr:spPr>
        <a:xfrm>
          <a:off x="7264400" y="3782574350"/>
          <a:ext cx="878840" cy="1183640"/>
        </a:xfrm>
        <a:prstGeom prst="rect">
          <a:avLst/>
        </a:prstGeom>
      </xdr:spPr>
    </xdr:pic>
    <xdr:clientData/>
  </xdr:twoCellAnchor>
  <xdr:twoCellAnchor>
    <xdr:from>
      <xdr:col>8</xdr:col>
      <xdr:colOff>6350</xdr:colOff>
      <xdr:row>3791</xdr:row>
      <xdr:rowOff>25400</xdr:rowOff>
    </xdr:from>
    <xdr:to>
      <xdr:col>8</xdr:col>
      <xdr:colOff>885190</xdr:colOff>
      <xdr:row>3791</xdr:row>
      <xdr:rowOff>1209040</xdr:rowOff>
    </xdr:to>
    <xdr:pic>
      <xdr:nvPicPr>
        <xdr:cNvPr id="7201" name="Изображение 7200" descr="resizeПП-00233888"/>
        <xdr:cNvPicPr>
          <a:picLocks noChangeAspect="1"/>
        </xdr:cNvPicPr>
      </xdr:nvPicPr>
      <xdr:blipFill>
        <a:blip xmlns:r="http://schemas.openxmlformats.org/officeDocument/2006/relationships" r:embed="rId2905"/>
        <a:stretch>
          <a:fillRect/>
        </a:stretch>
      </xdr:blipFill>
      <xdr:spPr>
        <a:xfrm>
          <a:off x="7264400" y="3783796725"/>
          <a:ext cx="878840" cy="1183640"/>
        </a:xfrm>
        <a:prstGeom prst="rect">
          <a:avLst/>
        </a:prstGeom>
      </xdr:spPr>
    </xdr:pic>
    <xdr:clientData/>
  </xdr:twoCellAnchor>
  <xdr:twoCellAnchor>
    <xdr:from>
      <xdr:col>8</xdr:col>
      <xdr:colOff>6350</xdr:colOff>
      <xdr:row>3792</xdr:row>
      <xdr:rowOff>25400</xdr:rowOff>
    </xdr:from>
    <xdr:to>
      <xdr:col>8</xdr:col>
      <xdr:colOff>885190</xdr:colOff>
      <xdr:row>3792</xdr:row>
      <xdr:rowOff>1209040</xdr:rowOff>
    </xdr:to>
    <xdr:pic>
      <xdr:nvPicPr>
        <xdr:cNvPr id="7202" name="Изображение 7201" descr="resizeПП-00266918"/>
        <xdr:cNvPicPr>
          <a:picLocks noChangeAspect="1"/>
        </xdr:cNvPicPr>
      </xdr:nvPicPr>
      <xdr:blipFill>
        <a:blip xmlns:r="http://schemas.openxmlformats.org/officeDocument/2006/relationships" r:embed="rId2906"/>
        <a:stretch>
          <a:fillRect/>
        </a:stretch>
      </xdr:blipFill>
      <xdr:spPr>
        <a:xfrm>
          <a:off x="7264400" y="3785019100"/>
          <a:ext cx="878840" cy="1183640"/>
        </a:xfrm>
        <a:prstGeom prst="rect">
          <a:avLst/>
        </a:prstGeom>
      </xdr:spPr>
    </xdr:pic>
    <xdr:clientData/>
  </xdr:twoCellAnchor>
  <xdr:twoCellAnchor>
    <xdr:from>
      <xdr:col>8</xdr:col>
      <xdr:colOff>6350</xdr:colOff>
      <xdr:row>3793</xdr:row>
      <xdr:rowOff>25400</xdr:rowOff>
    </xdr:from>
    <xdr:to>
      <xdr:col>8</xdr:col>
      <xdr:colOff>885190</xdr:colOff>
      <xdr:row>3793</xdr:row>
      <xdr:rowOff>1209040</xdr:rowOff>
    </xdr:to>
    <xdr:pic>
      <xdr:nvPicPr>
        <xdr:cNvPr id="7203" name="Изображение 7202" descr="resizeПП-00266916"/>
        <xdr:cNvPicPr>
          <a:picLocks noChangeAspect="1"/>
        </xdr:cNvPicPr>
      </xdr:nvPicPr>
      <xdr:blipFill>
        <a:blip xmlns:r="http://schemas.openxmlformats.org/officeDocument/2006/relationships" r:embed="rId2907"/>
        <a:stretch>
          <a:fillRect/>
        </a:stretch>
      </xdr:blipFill>
      <xdr:spPr>
        <a:xfrm>
          <a:off x="7264400" y="3786241475"/>
          <a:ext cx="878840" cy="1183640"/>
        </a:xfrm>
        <a:prstGeom prst="rect">
          <a:avLst/>
        </a:prstGeom>
      </xdr:spPr>
    </xdr:pic>
    <xdr:clientData/>
  </xdr:twoCellAnchor>
  <xdr:twoCellAnchor>
    <xdr:from>
      <xdr:col>8</xdr:col>
      <xdr:colOff>6350</xdr:colOff>
      <xdr:row>3795</xdr:row>
      <xdr:rowOff>25400</xdr:rowOff>
    </xdr:from>
    <xdr:to>
      <xdr:col>8</xdr:col>
      <xdr:colOff>885190</xdr:colOff>
      <xdr:row>3795</xdr:row>
      <xdr:rowOff>1209040</xdr:rowOff>
    </xdr:to>
    <xdr:pic>
      <xdr:nvPicPr>
        <xdr:cNvPr id="7204" name="Изображение 7203" descr="resizeПП-00239884"/>
        <xdr:cNvPicPr>
          <a:picLocks noChangeAspect="1"/>
        </xdr:cNvPicPr>
      </xdr:nvPicPr>
      <xdr:blipFill>
        <a:blip xmlns:r="http://schemas.openxmlformats.org/officeDocument/2006/relationships" r:embed="rId2908"/>
        <a:stretch>
          <a:fillRect/>
        </a:stretch>
      </xdr:blipFill>
      <xdr:spPr>
        <a:xfrm>
          <a:off x="7264400" y="3787616250"/>
          <a:ext cx="878840" cy="1183640"/>
        </a:xfrm>
        <a:prstGeom prst="rect">
          <a:avLst/>
        </a:prstGeom>
      </xdr:spPr>
    </xdr:pic>
    <xdr:clientData/>
  </xdr:twoCellAnchor>
  <xdr:twoCellAnchor>
    <xdr:from>
      <xdr:col>8</xdr:col>
      <xdr:colOff>6350</xdr:colOff>
      <xdr:row>3796</xdr:row>
      <xdr:rowOff>25400</xdr:rowOff>
    </xdr:from>
    <xdr:to>
      <xdr:col>8</xdr:col>
      <xdr:colOff>885190</xdr:colOff>
      <xdr:row>3796</xdr:row>
      <xdr:rowOff>1209040</xdr:rowOff>
    </xdr:to>
    <xdr:pic>
      <xdr:nvPicPr>
        <xdr:cNvPr id="7205" name="Изображение 7204" descr="resizeПП-00239888"/>
        <xdr:cNvPicPr>
          <a:picLocks noChangeAspect="1"/>
        </xdr:cNvPicPr>
      </xdr:nvPicPr>
      <xdr:blipFill>
        <a:blip xmlns:r="http://schemas.openxmlformats.org/officeDocument/2006/relationships" r:embed="rId2909"/>
        <a:stretch>
          <a:fillRect/>
        </a:stretch>
      </xdr:blipFill>
      <xdr:spPr>
        <a:xfrm>
          <a:off x="7264400" y="3788838625"/>
          <a:ext cx="878840" cy="1183640"/>
        </a:xfrm>
        <a:prstGeom prst="rect">
          <a:avLst/>
        </a:prstGeom>
      </xdr:spPr>
    </xdr:pic>
    <xdr:clientData/>
  </xdr:twoCellAnchor>
  <xdr:twoCellAnchor>
    <xdr:from>
      <xdr:col>8</xdr:col>
      <xdr:colOff>6350</xdr:colOff>
      <xdr:row>3797</xdr:row>
      <xdr:rowOff>25400</xdr:rowOff>
    </xdr:from>
    <xdr:to>
      <xdr:col>8</xdr:col>
      <xdr:colOff>885190</xdr:colOff>
      <xdr:row>3797</xdr:row>
      <xdr:rowOff>1209040</xdr:rowOff>
    </xdr:to>
    <xdr:pic>
      <xdr:nvPicPr>
        <xdr:cNvPr id="7206" name="Изображение 7205" descr="resizeПП-00239894"/>
        <xdr:cNvPicPr>
          <a:picLocks noChangeAspect="1"/>
        </xdr:cNvPicPr>
      </xdr:nvPicPr>
      <xdr:blipFill>
        <a:blip xmlns:r="http://schemas.openxmlformats.org/officeDocument/2006/relationships" r:embed="rId2910"/>
        <a:stretch>
          <a:fillRect/>
        </a:stretch>
      </xdr:blipFill>
      <xdr:spPr>
        <a:xfrm>
          <a:off x="7264400" y="3790061000"/>
          <a:ext cx="878840" cy="1183640"/>
        </a:xfrm>
        <a:prstGeom prst="rect">
          <a:avLst/>
        </a:prstGeom>
      </xdr:spPr>
    </xdr:pic>
    <xdr:clientData/>
  </xdr:twoCellAnchor>
  <xdr:twoCellAnchor>
    <xdr:from>
      <xdr:col>8</xdr:col>
      <xdr:colOff>6350</xdr:colOff>
      <xdr:row>3798</xdr:row>
      <xdr:rowOff>25400</xdr:rowOff>
    </xdr:from>
    <xdr:to>
      <xdr:col>8</xdr:col>
      <xdr:colOff>885190</xdr:colOff>
      <xdr:row>3798</xdr:row>
      <xdr:rowOff>1209040</xdr:rowOff>
    </xdr:to>
    <xdr:pic>
      <xdr:nvPicPr>
        <xdr:cNvPr id="7207" name="Изображение 7206" descr="resizeПП-00249417"/>
        <xdr:cNvPicPr>
          <a:picLocks noChangeAspect="1"/>
        </xdr:cNvPicPr>
      </xdr:nvPicPr>
      <xdr:blipFill>
        <a:blip xmlns:r="http://schemas.openxmlformats.org/officeDocument/2006/relationships" r:embed="rId2911"/>
        <a:stretch>
          <a:fillRect/>
        </a:stretch>
      </xdr:blipFill>
      <xdr:spPr>
        <a:xfrm>
          <a:off x="7264400" y="3791283375"/>
          <a:ext cx="878840" cy="1183640"/>
        </a:xfrm>
        <a:prstGeom prst="rect">
          <a:avLst/>
        </a:prstGeom>
      </xdr:spPr>
    </xdr:pic>
    <xdr:clientData/>
  </xdr:twoCellAnchor>
  <xdr:twoCellAnchor>
    <xdr:from>
      <xdr:col>8</xdr:col>
      <xdr:colOff>6350</xdr:colOff>
      <xdr:row>3799</xdr:row>
      <xdr:rowOff>25400</xdr:rowOff>
    </xdr:from>
    <xdr:to>
      <xdr:col>8</xdr:col>
      <xdr:colOff>885190</xdr:colOff>
      <xdr:row>3799</xdr:row>
      <xdr:rowOff>1209040</xdr:rowOff>
    </xdr:to>
    <xdr:pic>
      <xdr:nvPicPr>
        <xdr:cNvPr id="7208" name="Изображение 7207" descr="resizeПП-00239896"/>
        <xdr:cNvPicPr>
          <a:picLocks noChangeAspect="1"/>
        </xdr:cNvPicPr>
      </xdr:nvPicPr>
      <xdr:blipFill>
        <a:blip xmlns:r="http://schemas.openxmlformats.org/officeDocument/2006/relationships" r:embed="rId2912"/>
        <a:stretch>
          <a:fillRect/>
        </a:stretch>
      </xdr:blipFill>
      <xdr:spPr>
        <a:xfrm>
          <a:off x="7264400" y="3792505750"/>
          <a:ext cx="878840" cy="1183640"/>
        </a:xfrm>
        <a:prstGeom prst="rect">
          <a:avLst/>
        </a:prstGeom>
      </xdr:spPr>
    </xdr:pic>
    <xdr:clientData/>
  </xdr:twoCellAnchor>
  <xdr:twoCellAnchor>
    <xdr:from>
      <xdr:col>8</xdr:col>
      <xdr:colOff>6350</xdr:colOff>
      <xdr:row>3800</xdr:row>
      <xdr:rowOff>25400</xdr:rowOff>
    </xdr:from>
    <xdr:to>
      <xdr:col>8</xdr:col>
      <xdr:colOff>885190</xdr:colOff>
      <xdr:row>3800</xdr:row>
      <xdr:rowOff>1209040</xdr:rowOff>
    </xdr:to>
    <xdr:pic>
      <xdr:nvPicPr>
        <xdr:cNvPr id="7209" name="Изображение 7208" descr="resizeПП-00239895"/>
        <xdr:cNvPicPr>
          <a:picLocks noChangeAspect="1"/>
        </xdr:cNvPicPr>
      </xdr:nvPicPr>
      <xdr:blipFill>
        <a:blip xmlns:r="http://schemas.openxmlformats.org/officeDocument/2006/relationships" r:embed="rId2913"/>
        <a:stretch>
          <a:fillRect/>
        </a:stretch>
      </xdr:blipFill>
      <xdr:spPr>
        <a:xfrm>
          <a:off x="7264400" y="3793728125"/>
          <a:ext cx="878840" cy="1183640"/>
        </a:xfrm>
        <a:prstGeom prst="rect">
          <a:avLst/>
        </a:prstGeom>
      </xdr:spPr>
    </xdr:pic>
    <xdr:clientData/>
  </xdr:twoCellAnchor>
  <xdr:twoCellAnchor>
    <xdr:from>
      <xdr:col>8</xdr:col>
      <xdr:colOff>6350</xdr:colOff>
      <xdr:row>3801</xdr:row>
      <xdr:rowOff>25400</xdr:rowOff>
    </xdr:from>
    <xdr:to>
      <xdr:col>8</xdr:col>
      <xdr:colOff>885190</xdr:colOff>
      <xdr:row>3801</xdr:row>
      <xdr:rowOff>1209040</xdr:rowOff>
    </xdr:to>
    <xdr:pic>
      <xdr:nvPicPr>
        <xdr:cNvPr id="7210" name="Изображение 7209" descr="resizeПП-00249416"/>
        <xdr:cNvPicPr>
          <a:picLocks noChangeAspect="1"/>
        </xdr:cNvPicPr>
      </xdr:nvPicPr>
      <xdr:blipFill>
        <a:blip xmlns:r="http://schemas.openxmlformats.org/officeDocument/2006/relationships" r:embed="rId2914"/>
        <a:stretch>
          <a:fillRect/>
        </a:stretch>
      </xdr:blipFill>
      <xdr:spPr>
        <a:xfrm>
          <a:off x="7264400" y="3794950500"/>
          <a:ext cx="878840" cy="1183640"/>
        </a:xfrm>
        <a:prstGeom prst="rect">
          <a:avLst/>
        </a:prstGeom>
      </xdr:spPr>
    </xdr:pic>
    <xdr:clientData/>
  </xdr:twoCellAnchor>
  <xdr:twoCellAnchor>
    <xdr:from>
      <xdr:col>8</xdr:col>
      <xdr:colOff>6350</xdr:colOff>
      <xdr:row>3802</xdr:row>
      <xdr:rowOff>25400</xdr:rowOff>
    </xdr:from>
    <xdr:to>
      <xdr:col>8</xdr:col>
      <xdr:colOff>885190</xdr:colOff>
      <xdr:row>3802</xdr:row>
      <xdr:rowOff>1209040</xdr:rowOff>
    </xdr:to>
    <xdr:pic>
      <xdr:nvPicPr>
        <xdr:cNvPr id="7211" name="Изображение 7210" descr="resizeПП-00276417"/>
        <xdr:cNvPicPr>
          <a:picLocks noChangeAspect="1"/>
        </xdr:cNvPicPr>
      </xdr:nvPicPr>
      <xdr:blipFill>
        <a:blip xmlns:r="http://schemas.openxmlformats.org/officeDocument/2006/relationships" r:embed="rId2915"/>
        <a:stretch>
          <a:fillRect/>
        </a:stretch>
      </xdr:blipFill>
      <xdr:spPr>
        <a:xfrm>
          <a:off x="7264400" y="3796172875"/>
          <a:ext cx="878840" cy="1183640"/>
        </a:xfrm>
        <a:prstGeom prst="rect">
          <a:avLst/>
        </a:prstGeom>
      </xdr:spPr>
    </xdr:pic>
    <xdr:clientData/>
  </xdr:twoCellAnchor>
  <xdr:twoCellAnchor>
    <xdr:from>
      <xdr:col>8</xdr:col>
      <xdr:colOff>6350</xdr:colOff>
      <xdr:row>3803</xdr:row>
      <xdr:rowOff>25400</xdr:rowOff>
    </xdr:from>
    <xdr:to>
      <xdr:col>8</xdr:col>
      <xdr:colOff>885190</xdr:colOff>
      <xdr:row>3803</xdr:row>
      <xdr:rowOff>1209040</xdr:rowOff>
    </xdr:to>
    <xdr:pic>
      <xdr:nvPicPr>
        <xdr:cNvPr id="7212" name="Изображение 7211" descr="resizeПП-00247630"/>
        <xdr:cNvPicPr>
          <a:picLocks noChangeAspect="1"/>
        </xdr:cNvPicPr>
      </xdr:nvPicPr>
      <xdr:blipFill>
        <a:blip xmlns:r="http://schemas.openxmlformats.org/officeDocument/2006/relationships" r:embed="rId2916"/>
        <a:stretch>
          <a:fillRect/>
        </a:stretch>
      </xdr:blipFill>
      <xdr:spPr>
        <a:xfrm>
          <a:off x="7264400" y="3797395250"/>
          <a:ext cx="878840" cy="1183640"/>
        </a:xfrm>
        <a:prstGeom prst="rect">
          <a:avLst/>
        </a:prstGeom>
      </xdr:spPr>
    </xdr:pic>
    <xdr:clientData/>
  </xdr:twoCellAnchor>
  <xdr:twoCellAnchor>
    <xdr:from>
      <xdr:col>8</xdr:col>
      <xdr:colOff>6350</xdr:colOff>
      <xdr:row>3804</xdr:row>
      <xdr:rowOff>25400</xdr:rowOff>
    </xdr:from>
    <xdr:to>
      <xdr:col>8</xdr:col>
      <xdr:colOff>885190</xdr:colOff>
      <xdr:row>3804</xdr:row>
      <xdr:rowOff>1209040</xdr:rowOff>
    </xdr:to>
    <xdr:pic>
      <xdr:nvPicPr>
        <xdr:cNvPr id="7213" name="Изображение 7212" descr="resizeПП-00247631"/>
        <xdr:cNvPicPr>
          <a:picLocks noChangeAspect="1"/>
        </xdr:cNvPicPr>
      </xdr:nvPicPr>
      <xdr:blipFill>
        <a:blip xmlns:r="http://schemas.openxmlformats.org/officeDocument/2006/relationships" r:embed="rId2917"/>
        <a:stretch>
          <a:fillRect/>
        </a:stretch>
      </xdr:blipFill>
      <xdr:spPr>
        <a:xfrm>
          <a:off x="7264400" y="3798617625"/>
          <a:ext cx="878840" cy="1183640"/>
        </a:xfrm>
        <a:prstGeom prst="rect">
          <a:avLst/>
        </a:prstGeom>
      </xdr:spPr>
    </xdr:pic>
    <xdr:clientData/>
  </xdr:twoCellAnchor>
  <xdr:twoCellAnchor>
    <xdr:from>
      <xdr:col>8</xdr:col>
      <xdr:colOff>6350</xdr:colOff>
      <xdr:row>3805</xdr:row>
      <xdr:rowOff>25400</xdr:rowOff>
    </xdr:from>
    <xdr:to>
      <xdr:col>8</xdr:col>
      <xdr:colOff>885190</xdr:colOff>
      <xdr:row>3805</xdr:row>
      <xdr:rowOff>1209040</xdr:rowOff>
    </xdr:to>
    <xdr:pic>
      <xdr:nvPicPr>
        <xdr:cNvPr id="7214" name="Изображение 7213" descr="resizeПП-00239890"/>
        <xdr:cNvPicPr>
          <a:picLocks noChangeAspect="1"/>
        </xdr:cNvPicPr>
      </xdr:nvPicPr>
      <xdr:blipFill>
        <a:blip xmlns:r="http://schemas.openxmlformats.org/officeDocument/2006/relationships" r:embed="rId2918"/>
        <a:stretch>
          <a:fillRect/>
        </a:stretch>
      </xdr:blipFill>
      <xdr:spPr>
        <a:xfrm>
          <a:off x="7264400" y="3799840000"/>
          <a:ext cx="878840" cy="1183640"/>
        </a:xfrm>
        <a:prstGeom prst="rect">
          <a:avLst/>
        </a:prstGeom>
      </xdr:spPr>
    </xdr:pic>
    <xdr:clientData/>
  </xdr:twoCellAnchor>
  <xdr:twoCellAnchor>
    <xdr:from>
      <xdr:col>8</xdr:col>
      <xdr:colOff>6350</xdr:colOff>
      <xdr:row>3806</xdr:row>
      <xdr:rowOff>25400</xdr:rowOff>
    </xdr:from>
    <xdr:to>
      <xdr:col>8</xdr:col>
      <xdr:colOff>885190</xdr:colOff>
      <xdr:row>3806</xdr:row>
      <xdr:rowOff>1209040</xdr:rowOff>
    </xdr:to>
    <xdr:pic>
      <xdr:nvPicPr>
        <xdr:cNvPr id="7215" name="Изображение 7214" descr="resizeПП-00076572"/>
        <xdr:cNvPicPr>
          <a:picLocks noChangeAspect="1"/>
        </xdr:cNvPicPr>
      </xdr:nvPicPr>
      <xdr:blipFill>
        <a:blip xmlns:r="http://schemas.openxmlformats.org/officeDocument/2006/relationships" r:embed="rId2919"/>
        <a:stretch>
          <a:fillRect/>
        </a:stretch>
      </xdr:blipFill>
      <xdr:spPr>
        <a:xfrm>
          <a:off x="7264400" y="3801062375"/>
          <a:ext cx="878840" cy="1183640"/>
        </a:xfrm>
        <a:prstGeom prst="rect">
          <a:avLst/>
        </a:prstGeom>
      </xdr:spPr>
    </xdr:pic>
    <xdr:clientData/>
  </xdr:twoCellAnchor>
  <xdr:twoCellAnchor>
    <xdr:from>
      <xdr:col>8</xdr:col>
      <xdr:colOff>6350</xdr:colOff>
      <xdr:row>3807</xdr:row>
      <xdr:rowOff>25400</xdr:rowOff>
    </xdr:from>
    <xdr:to>
      <xdr:col>8</xdr:col>
      <xdr:colOff>885190</xdr:colOff>
      <xdr:row>3807</xdr:row>
      <xdr:rowOff>1209040</xdr:rowOff>
    </xdr:to>
    <xdr:pic>
      <xdr:nvPicPr>
        <xdr:cNvPr id="7216" name="Изображение 7215" descr="resizeПП-00276422"/>
        <xdr:cNvPicPr>
          <a:picLocks noChangeAspect="1"/>
        </xdr:cNvPicPr>
      </xdr:nvPicPr>
      <xdr:blipFill>
        <a:blip xmlns:r="http://schemas.openxmlformats.org/officeDocument/2006/relationships" r:embed="rId2920"/>
        <a:stretch>
          <a:fillRect/>
        </a:stretch>
      </xdr:blipFill>
      <xdr:spPr>
        <a:xfrm>
          <a:off x="7264400" y="3802284750"/>
          <a:ext cx="878840" cy="1183640"/>
        </a:xfrm>
        <a:prstGeom prst="rect">
          <a:avLst/>
        </a:prstGeom>
      </xdr:spPr>
    </xdr:pic>
    <xdr:clientData/>
  </xdr:twoCellAnchor>
  <xdr:twoCellAnchor>
    <xdr:from>
      <xdr:col>8</xdr:col>
      <xdr:colOff>6350</xdr:colOff>
      <xdr:row>3808</xdr:row>
      <xdr:rowOff>25400</xdr:rowOff>
    </xdr:from>
    <xdr:to>
      <xdr:col>8</xdr:col>
      <xdr:colOff>885190</xdr:colOff>
      <xdr:row>3808</xdr:row>
      <xdr:rowOff>1209040</xdr:rowOff>
    </xdr:to>
    <xdr:pic>
      <xdr:nvPicPr>
        <xdr:cNvPr id="7217" name="Изображение 7216" descr="resizeПП-00276424"/>
        <xdr:cNvPicPr>
          <a:picLocks noChangeAspect="1"/>
        </xdr:cNvPicPr>
      </xdr:nvPicPr>
      <xdr:blipFill>
        <a:blip xmlns:r="http://schemas.openxmlformats.org/officeDocument/2006/relationships" r:embed="rId2921"/>
        <a:stretch>
          <a:fillRect/>
        </a:stretch>
      </xdr:blipFill>
      <xdr:spPr>
        <a:xfrm>
          <a:off x="7264400" y="3803507125"/>
          <a:ext cx="878840" cy="1183640"/>
        </a:xfrm>
        <a:prstGeom prst="rect">
          <a:avLst/>
        </a:prstGeom>
      </xdr:spPr>
    </xdr:pic>
    <xdr:clientData/>
  </xdr:twoCellAnchor>
  <xdr:twoCellAnchor>
    <xdr:from>
      <xdr:col>8</xdr:col>
      <xdr:colOff>6350</xdr:colOff>
      <xdr:row>3809</xdr:row>
      <xdr:rowOff>25400</xdr:rowOff>
    </xdr:from>
    <xdr:to>
      <xdr:col>8</xdr:col>
      <xdr:colOff>885190</xdr:colOff>
      <xdr:row>3809</xdr:row>
      <xdr:rowOff>1209040</xdr:rowOff>
    </xdr:to>
    <xdr:pic>
      <xdr:nvPicPr>
        <xdr:cNvPr id="7218" name="Изображение 7217" descr="resizeПП-00239893"/>
        <xdr:cNvPicPr>
          <a:picLocks noChangeAspect="1"/>
        </xdr:cNvPicPr>
      </xdr:nvPicPr>
      <xdr:blipFill>
        <a:blip xmlns:r="http://schemas.openxmlformats.org/officeDocument/2006/relationships" r:embed="rId2922"/>
        <a:stretch>
          <a:fillRect/>
        </a:stretch>
      </xdr:blipFill>
      <xdr:spPr>
        <a:xfrm>
          <a:off x="7264400" y="3804729500"/>
          <a:ext cx="878840" cy="1183640"/>
        </a:xfrm>
        <a:prstGeom prst="rect">
          <a:avLst/>
        </a:prstGeom>
      </xdr:spPr>
    </xdr:pic>
    <xdr:clientData/>
  </xdr:twoCellAnchor>
  <xdr:twoCellAnchor>
    <xdr:from>
      <xdr:col>8</xdr:col>
      <xdr:colOff>6350</xdr:colOff>
      <xdr:row>3810</xdr:row>
      <xdr:rowOff>25400</xdr:rowOff>
    </xdr:from>
    <xdr:to>
      <xdr:col>8</xdr:col>
      <xdr:colOff>885190</xdr:colOff>
      <xdr:row>3810</xdr:row>
      <xdr:rowOff>1209040</xdr:rowOff>
    </xdr:to>
    <xdr:pic>
      <xdr:nvPicPr>
        <xdr:cNvPr id="7219" name="Изображение 7218" descr="resizeПП-00107809"/>
        <xdr:cNvPicPr>
          <a:picLocks noChangeAspect="1"/>
        </xdr:cNvPicPr>
      </xdr:nvPicPr>
      <xdr:blipFill>
        <a:blip xmlns:r="http://schemas.openxmlformats.org/officeDocument/2006/relationships" r:embed="rId2923"/>
        <a:stretch>
          <a:fillRect/>
        </a:stretch>
      </xdr:blipFill>
      <xdr:spPr>
        <a:xfrm>
          <a:off x="7264400" y="3805951875"/>
          <a:ext cx="878840" cy="1183640"/>
        </a:xfrm>
        <a:prstGeom prst="rect">
          <a:avLst/>
        </a:prstGeom>
      </xdr:spPr>
    </xdr:pic>
    <xdr:clientData/>
  </xdr:twoCellAnchor>
  <xdr:twoCellAnchor>
    <xdr:from>
      <xdr:col>8</xdr:col>
      <xdr:colOff>6350</xdr:colOff>
      <xdr:row>3811</xdr:row>
      <xdr:rowOff>25400</xdr:rowOff>
    </xdr:from>
    <xdr:to>
      <xdr:col>8</xdr:col>
      <xdr:colOff>885190</xdr:colOff>
      <xdr:row>3811</xdr:row>
      <xdr:rowOff>1209040</xdr:rowOff>
    </xdr:to>
    <xdr:pic>
      <xdr:nvPicPr>
        <xdr:cNvPr id="7220" name="Изображение 7219" descr="resizeПП-00107811"/>
        <xdr:cNvPicPr>
          <a:picLocks noChangeAspect="1"/>
        </xdr:cNvPicPr>
      </xdr:nvPicPr>
      <xdr:blipFill>
        <a:blip xmlns:r="http://schemas.openxmlformats.org/officeDocument/2006/relationships" r:embed="rId2924"/>
        <a:stretch>
          <a:fillRect/>
        </a:stretch>
      </xdr:blipFill>
      <xdr:spPr>
        <a:xfrm>
          <a:off x="7264400" y="3807174250"/>
          <a:ext cx="878840" cy="1183640"/>
        </a:xfrm>
        <a:prstGeom prst="rect">
          <a:avLst/>
        </a:prstGeom>
      </xdr:spPr>
    </xdr:pic>
    <xdr:clientData/>
  </xdr:twoCellAnchor>
  <xdr:twoCellAnchor>
    <xdr:from>
      <xdr:col>8</xdr:col>
      <xdr:colOff>6350</xdr:colOff>
      <xdr:row>3812</xdr:row>
      <xdr:rowOff>25400</xdr:rowOff>
    </xdr:from>
    <xdr:to>
      <xdr:col>8</xdr:col>
      <xdr:colOff>885190</xdr:colOff>
      <xdr:row>3812</xdr:row>
      <xdr:rowOff>1209040</xdr:rowOff>
    </xdr:to>
    <xdr:pic>
      <xdr:nvPicPr>
        <xdr:cNvPr id="7221" name="Изображение 7220" descr="resizeПП-00107812"/>
        <xdr:cNvPicPr>
          <a:picLocks noChangeAspect="1"/>
        </xdr:cNvPicPr>
      </xdr:nvPicPr>
      <xdr:blipFill>
        <a:blip xmlns:r="http://schemas.openxmlformats.org/officeDocument/2006/relationships" r:embed="rId2925"/>
        <a:stretch>
          <a:fillRect/>
        </a:stretch>
      </xdr:blipFill>
      <xdr:spPr>
        <a:xfrm>
          <a:off x="7264400" y="3808396625"/>
          <a:ext cx="878840" cy="1183640"/>
        </a:xfrm>
        <a:prstGeom prst="rect">
          <a:avLst/>
        </a:prstGeom>
      </xdr:spPr>
    </xdr:pic>
    <xdr:clientData/>
  </xdr:twoCellAnchor>
  <xdr:twoCellAnchor>
    <xdr:from>
      <xdr:col>8</xdr:col>
      <xdr:colOff>6350</xdr:colOff>
      <xdr:row>3813</xdr:row>
      <xdr:rowOff>25400</xdr:rowOff>
    </xdr:from>
    <xdr:to>
      <xdr:col>8</xdr:col>
      <xdr:colOff>885190</xdr:colOff>
      <xdr:row>3813</xdr:row>
      <xdr:rowOff>1209040</xdr:rowOff>
    </xdr:to>
    <xdr:pic>
      <xdr:nvPicPr>
        <xdr:cNvPr id="7222" name="Изображение 7221" descr="resizeПП-00276418"/>
        <xdr:cNvPicPr>
          <a:picLocks noChangeAspect="1"/>
        </xdr:cNvPicPr>
      </xdr:nvPicPr>
      <xdr:blipFill>
        <a:blip xmlns:r="http://schemas.openxmlformats.org/officeDocument/2006/relationships" r:embed="rId2926"/>
        <a:stretch>
          <a:fillRect/>
        </a:stretch>
      </xdr:blipFill>
      <xdr:spPr>
        <a:xfrm>
          <a:off x="7264400" y="3809619000"/>
          <a:ext cx="878840" cy="1183640"/>
        </a:xfrm>
        <a:prstGeom prst="rect">
          <a:avLst/>
        </a:prstGeom>
      </xdr:spPr>
    </xdr:pic>
    <xdr:clientData/>
  </xdr:twoCellAnchor>
  <xdr:twoCellAnchor>
    <xdr:from>
      <xdr:col>8</xdr:col>
      <xdr:colOff>6350</xdr:colOff>
      <xdr:row>3814</xdr:row>
      <xdr:rowOff>25400</xdr:rowOff>
    </xdr:from>
    <xdr:to>
      <xdr:col>8</xdr:col>
      <xdr:colOff>885190</xdr:colOff>
      <xdr:row>3814</xdr:row>
      <xdr:rowOff>1209040</xdr:rowOff>
    </xdr:to>
    <xdr:pic>
      <xdr:nvPicPr>
        <xdr:cNvPr id="7223" name="Изображение 7222" descr="resizeПП-00276420"/>
        <xdr:cNvPicPr>
          <a:picLocks noChangeAspect="1"/>
        </xdr:cNvPicPr>
      </xdr:nvPicPr>
      <xdr:blipFill>
        <a:blip xmlns:r="http://schemas.openxmlformats.org/officeDocument/2006/relationships" r:embed="rId2927"/>
        <a:stretch>
          <a:fillRect/>
        </a:stretch>
      </xdr:blipFill>
      <xdr:spPr>
        <a:xfrm>
          <a:off x="7264400" y="3810841375"/>
          <a:ext cx="878840" cy="1183640"/>
        </a:xfrm>
        <a:prstGeom prst="rect">
          <a:avLst/>
        </a:prstGeom>
      </xdr:spPr>
    </xdr:pic>
    <xdr:clientData/>
  </xdr:twoCellAnchor>
  <xdr:twoCellAnchor>
    <xdr:from>
      <xdr:col>8</xdr:col>
      <xdr:colOff>6350</xdr:colOff>
      <xdr:row>3815</xdr:row>
      <xdr:rowOff>25400</xdr:rowOff>
    </xdr:from>
    <xdr:to>
      <xdr:col>8</xdr:col>
      <xdr:colOff>885190</xdr:colOff>
      <xdr:row>3815</xdr:row>
      <xdr:rowOff>1209040</xdr:rowOff>
    </xdr:to>
    <xdr:pic>
      <xdr:nvPicPr>
        <xdr:cNvPr id="7224" name="Изображение 7223" descr="resizeПП-00276421"/>
        <xdr:cNvPicPr>
          <a:picLocks noChangeAspect="1"/>
        </xdr:cNvPicPr>
      </xdr:nvPicPr>
      <xdr:blipFill>
        <a:blip xmlns:r="http://schemas.openxmlformats.org/officeDocument/2006/relationships" r:embed="rId2928"/>
        <a:stretch>
          <a:fillRect/>
        </a:stretch>
      </xdr:blipFill>
      <xdr:spPr>
        <a:xfrm>
          <a:off x="7264400" y="3812063750"/>
          <a:ext cx="878840" cy="1183640"/>
        </a:xfrm>
        <a:prstGeom prst="rect">
          <a:avLst/>
        </a:prstGeom>
      </xdr:spPr>
    </xdr:pic>
    <xdr:clientData/>
  </xdr:twoCellAnchor>
  <xdr:twoCellAnchor>
    <xdr:from>
      <xdr:col>8</xdr:col>
      <xdr:colOff>6350</xdr:colOff>
      <xdr:row>3816</xdr:row>
      <xdr:rowOff>25400</xdr:rowOff>
    </xdr:from>
    <xdr:to>
      <xdr:col>8</xdr:col>
      <xdr:colOff>885190</xdr:colOff>
      <xdr:row>3816</xdr:row>
      <xdr:rowOff>1209040</xdr:rowOff>
    </xdr:to>
    <xdr:pic>
      <xdr:nvPicPr>
        <xdr:cNvPr id="7225" name="Изображение 7224" descr="resizeПП-00276419"/>
        <xdr:cNvPicPr>
          <a:picLocks noChangeAspect="1"/>
        </xdr:cNvPicPr>
      </xdr:nvPicPr>
      <xdr:blipFill>
        <a:blip xmlns:r="http://schemas.openxmlformats.org/officeDocument/2006/relationships" r:embed="rId2929"/>
        <a:stretch>
          <a:fillRect/>
        </a:stretch>
      </xdr:blipFill>
      <xdr:spPr>
        <a:xfrm>
          <a:off x="7264400" y="3813286125"/>
          <a:ext cx="878840" cy="1183640"/>
        </a:xfrm>
        <a:prstGeom prst="rect">
          <a:avLst/>
        </a:prstGeom>
      </xdr:spPr>
    </xdr:pic>
    <xdr:clientData/>
  </xdr:twoCellAnchor>
  <xdr:twoCellAnchor>
    <xdr:from>
      <xdr:col>8</xdr:col>
      <xdr:colOff>6350</xdr:colOff>
      <xdr:row>3817</xdr:row>
      <xdr:rowOff>25400</xdr:rowOff>
    </xdr:from>
    <xdr:to>
      <xdr:col>8</xdr:col>
      <xdr:colOff>885190</xdr:colOff>
      <xdr:row>3817</xdr:row>
      <xdr:rowOff>1209040</xdr:rowOff>
    </xdr:to>
    <xdr:pic>
      <xdr:nvPicPr>
        <xdr:cNvPr id="7226" name="Изображение 7225" descr="resizeПП-00107819"/>
        <xdr:cNvPicPr>
          <a:picLocks noChangeAspect="1"/>
        </xdr:cNvPicPr>
      </xdr:nvPicPr>
      <xdr:blipFill>
        <a:blip xmlns:r="http://schemas.openxmlformats.org/officeDocument/2006/relationships" r:embed="rId2930"/>
        <a:stretch>
          <a:fillRect/>
        </a:stretch>
      </xdr:blipFill>
      <xdr:spPr>
        <a:xfrm>
          <a:off x="7264400" y="3814508500"/>
          <a:ext cx="878840" cy="1183640"/>
        </a:xfrm>
        <a:prstGeom prst="rect">
          <a:avLst/>
        </a:prstGeom>
      </xdr:spPr>
    </xdr:pic>
    <xdr:clientData/>
  </xdr:twoCellAnchor>
  <xdr:twoCellAnchor>
    <xdr:from>
      <xdr:col>8</xdr:col>
      <xdr:colOff>6350</xdr:colOff>
      <xdr:row>3818</xdr:row>
      <xdr:rowOff>25400</xdr:rowOff>
    </xdr:from>
    <xdr:to>
      <xdr:col>8</xdr:col>
      <xdr:colOff>885190</xdr:colOff>
      <xdr:row>3818</xdr:row>
      <xdr:rowOff>1209040</xdr:rowOff>
    </xdr:to>
    <xdr:pic>
      <xdr:nvPicPr>
        <xdr:cNvPr id="7227" name="Изображение 7226" descr="resizeПП-00076582"/>
        <xdr:cNvPicPr>
          <a:picLocks noChangeAspect="1"/>
        </xdr:cNvPicPr>
      </xdr:nvPicPr>
      <xdr:blipFill>
        <a:blip xmlns:r="http://schemas.openxmlformats.org/officeDocument/2006/relationships" r:embed="rId2931"/>
        <a:stretch>
          <a:fillRect/>
        </a:stretch>
      </xdr:blipFill>
      <xdr:spPr>
        <a:xfrm>
          <a:off x="7264400" y="3815730875"/>
          <a:ext cx="878840" cy="1183640"/>
        </a:xfrm>
        <a:prstGeom prst="rect">
          <a:avLst/>
        </a:prstGeom>
      </xdr:spPr>
    </xdr:pic>
    <xdr:clientData/>
  </xdr:twoCellAnchor>
  <xdr:twoCellAnchor>
    <xdr:from>
      <xdr:col>8</xdr:col>
      <xdr:colOff>6350</xdr:colOff>
      <xdr:row>3819</xdr:row>
      <xdr:rowOff>25400</xdr:rowOff>
    </xdr:from>
    <xdr:to>
      <xdr:col>8</xdr:col>
      <xdr:colOff>885190</xdr:colOff>
      <xdr:row>3819</xdr:row>
      <xdr:rowOff>1209040</xdr:rowOff>
    </xdr:to>
    <xdr:pic>
      <xdr:nvPicPr>
        <xdr:cNvPr id="7228" name="Изображение 7227" descr="resizeПП-00210121"/>
        <xdr:cNvPicPr>
          <a:picLocks noChangeAspect="1"/>
        </xdr:cNvPicPr>
      </xdr:nvPicPr>
      <xdr:blipFill>
        <a:blip xmlns:r="http://schemas.openxmlformats.org/officeDocument/2006/relationships" r:embed="rId2932"/>
        <a:stretch>
          <a:fillRect/>
        </a:stretch>
      </xdr:blipFill>
      <xdr:spPr>
        <a:xfrm>
          <a:off x="7264400" y="3816953250"/>
          <a:ext cx="878840" cy="1183640"/>
        </a:xfrm>
        <a:prstGeom prst="rect">
          <a:avLst/>
        </a:prstGeom>
      </xdr:spPr>
    </xdr:pic>
    <xdr:clientData/>
  </xdr:twoCellAnchor>
  <xdr:twoCellAnchor>
    <xdr:from>
      <xdr:col>8</xdr:col>
      <xdr:colOff>6350</xdr:colOff>
      <xdr:row>3820</xdr:row>
      <xdr:rowOff>25400</xdr:rowOff>
    </xdr:from>
    <xdr:to>
      <xdr:col>8</xdr:col>
      <xdr:colOff>885190</xdr:colOff>
      <xdr:row>3820</xdr:row>
      <xdr:rowOff>1209040</xdr:rowOff>
    </xdr:to>
    <xdr:pic>
      <xdr:nvPicPr>
        <xdr:cNvPr id="7229" name="Изображение 7228" descr="resizeПП-00210126"/>
        <xdr:cNvPicPr>
          <a:picLocks noChangeAspect="1"/>
        </xdr:cNvPicPr>
      </xdr:nvPicPr>
      <xdr:blipFill>
        <a:blip xmlns:r="http://schemas.openxmlformats.org/officeDocument/2006/relationships" r:embed="rId2933"/>
        <a:stretch>
          <a:fillRect/>
        </a:stretch>
      </xdr:blipFill>
      <xdr:spPr>
        <a:xfrm>
          <a:off x="7264400" y="3818175625"/>
          <a:ext cx="878840" cy="1183640"/>
        </a:xfrm>
        <a:prstGeom prst="rect">
          <a:avLst/>
        </a:prstGeom>
      </xdr:spPr>
    </xdr:pic>
    <xdr:clientData/>
  </xdr:twoCellAnchor>
  <xdr:twoCellAnchor>
    <xdr:from>
      <xdr:col>8</xdr:col>
      <xdr:colOff>6350</xdr:colOff>
      <xdr:row>3821</xdr:row>
      <xdr:rowOff>25400</xdr:rowOff>
    </xdr:from>
    <xdr:to>
      <xdr:col>8</xdr:col>
      <xdr:colOff>885190</xdr:colOff>
      <xdr:row>3821</xdr:row>
      <xdr:rowOff>1209040</xdr:rowOff>
    </xdr:to>
    <xdr:pic>
      <xdr:nvPicPr>
        <xdr:cNvPr id="7230" name="Изображение 7229" descr="resizeПП-00210125"/>
        <xdr:cNvPicPr>
          <a:picLocks noChangeAspect="1"/>
        </xdr:cNvPicPr>
      </xdr:nvPicPr>
      <xdr:blipFill>
        <a:blip xmlns:r="http://schemas.openxmlformats.org/officeDocument/2006/relationships" r:embed="rId2934"/>
        <a:stretch>
          <a:fillRect/>
        </a:stretch>
      </xdr:blipFill>
      <xdr:spPr>
        <a:xfrm>
          <a:off x="7264400" y="3819398000"/>
          <a:ext cx="878840" cy="1183640"/>
        </a:xfrm>
        <a:prstGeom prst="rect">
          <a:avLst/>
        </a:prstGeom>
      </xdr:spPr>
    </xdr:pic>
    <xdr:clientData/>
  </xdr:twoCellAnchor>
  <xdr:twoCellAnchor>
    <xdr:from>
      <xdr:col>8</xdr:col>
      <xdr:colOff>6350</xdr:colOff>
      <xdr:row>3822</xdr:row>
      <xdr:rowOff>25400</xdr:rowOff>
    </xdr:from>
    <xdr:to>
      <xdr:col>8</xdr:col>
      <xdr:colOff>885190</xdr:colOff>
      <xdr:row>3822</xdr:row>
      <xdr:rowOff>1209040</xdr:rowOff>
    </xdr:to>
    <xdr:pic>
      <xdr:nvPicPr>
        <xdr:cNvPr id="7231" name="Изображение 7230" descr="resizeПП-00210123"/>
        <xdr:cNvPicPr>
          <a:picLocks noChangeAspect="1"/>
        </xdr:cNvPicPr>
      </xdr:nvPicPr>
      <xdr:blipFill>
        <a:blip xmlns:r="http://schemas.openxmlformats.org/officeDocument/2006/relationships" r:embed="rId2935"/>
        <a:stretch>
          <a:fillRect/>
        </a:stretch>
      </xdr:blipFill>
      <xdr:spPr>
        <a:xfrm>
          <a:off x="7264400" y="3820620375"/>
          <a:ext cx="878840" cy="1183640"/>
        </a:xfrm>
        <a:prstGeom prst="rect">
          <a:avLst/>
        </a:prstGeom>
      </xdr:spPr>
    </xdr:pic>
    <xdr:clientData/>
  </xdr:twoCellAnchor>
  <xdr:twoCellAnchor>
    <xdr:from>
      <xdr:col>8</xdr:col>
      <xdr:colOff>6350</xdr:colOff>
      <xdr:row>3824</xdr:row>
      <xdr:rowOff>25400</xdr:rowOff>
    </xdr:from>
    <xdr:to>
      <xdr:col>8</xdr:col>
      <xdr:colOff>885190</xdr:colOff>
      <xdr:row>3824</xdr:row>
      <xdr:rowOff>1209040</xdr:rowOff>
    </xdr:to>
    <xdr:pic>
      <xdr:nvPicPr>
        <xdr:cNvPr id="7232" name="Изображение 7231" descr="resizeПП-00207432"/>
        <xdr:cNvPicPr>
          <a:picLocks noChangeAspect="1"/>
        </xdr:cNvPicPr>
      </xdr:nvPicPr>
      <xdr:blipFill>
        <a:blip xmlns:r="http://schemas.openxmlformats.org/officeDocument/2006/relationships" r:embed="rId2936"/>
        <a:stretch>
          <a:fillRect/>
        </a:stretch>
      </xdr:blipFill>
      <xdr:spPr>
        <a:xfrm>
          <a:off x="7264400" y="3821995150"/>
          <a:ext cx="878840" cy="1183640"/>
        </a:xfrm>
        <a:prstGeom prst="rect">
          <a:avLst/>
        </a:prstGeom>
      </xdr:spPr>
    </xdr:pic>
    <xdr:clientData/>
  </xdr:twoCellAnchor>
  <xdr:twoCellAnchor>
    <xdr:from>
      <xdr:col>8</xdr:col>
      <xdr:colOff>6350</xdr:colOff>
      <xdr:row>3825</xdr:row>
      <xdr:rowOff>25400</xdr:rowOff>
    </xdr:from>
    <xdr:to>
      <xdr:col>8</xdr:col>
      <xdr:colOff>885190</xdr:colOff>
      <xdr:row>3825</xdr:row>
      <xdr:rowOff>1209040</xdr:rowOff>
    </xdr:to>
    <xdr:pic>
      <xdr:nvPicPr>
        <xdr:cNvPr id="7233" name="Изображение 7232" descr="resizeПП-00211377"/>
        <xdr:cNvPicPr>
          <a:picLocks noChangeAspect="1"/>
        </xdr:cNvPicPr>
      </xdr:nvPicPr>
      <xdr:blipFill>
        <a:blip xmlns:r="http://schemas.openxmlformats.org/officeDocument/2006/relationships" r:embed="rId2937"/>
        <a:stretch>
          <a:fillRect/>
        </a:stretch>
      </xdr:blipFill>
      <xdr:spPr>
        <a:xfrm>
          <a:off x="7264400" y="3823217525"/>
          <a:ext cx="878840" cy="1183640"/>
        </a:xfrm>
        <a:prstGeom prst="rect">
          <a:avLst/>
        </a:prstGeom>
      </xdr:spPr>
    </xdr:pic>
    <xdr:clientData/>
  </xdr:twoCellAnchor>
  <xdr:twoCellAnchor>
    <xdr:from>
      <xdr:col>8</xdr:col>
      <xdr:colOff>6350</xdr:colOff>
      <xdr:row>3826</xdr:row>
      <xdr:rowOff>25400</xdr:rowOff>
    </xdr:from>
    <xdr:to>
      <xdr:col>8</xdr:col>
      <xdr:colOff>885190</xdr:colOff>
      <xdr:row>3826</xdr:row>
      <xdr:rowOff>1209040</xdr:rowOff>
    </xdr:to>
    <xdr:pic>
      <xdr:nvPicPr>
        <xdr:cNvPr id="7234" name="Изображение 7233" descr="resizeПП-00211379"/>
        <xdr:cNvPicPr>
          <a:picLocks noChangeAspect="1"/>
        </xdr:cNvPicPr>
      </xdr:nvPicPr>
      <xdr:blipFill>
        <a:blip xmlns:r="http://schemas.openxmlformats.org/officeDocument/2006/relationships" r:embed="rId2938"/>
        <a:stretch>
          <a:fillRect/>
        </a:stretch>
      </xdr:blipFill>
      <xdr:spPr>
        <a:xfrm>
          <a:off x="7264400" y="3824439900"/>
          <a:ext cx="878840" cy="1183640"/>
        </a:xfrm>
        <a:prstGeom prst="rect">
          <a:avLst/>
        </a:prstGeom>
      </xdr:spPr>
    </xdr:pic>
    <xdr:clientData/>
  </xdr:twoCellAnchor>
  <xdr:twoCellAnchor>
    <xdr:from>
      <xdr:col>8</xdr:col>
      <xdr:colOff>6350</xdr:colOff>
      <xdr:row>3827</xdr:row>
      <xdr:rowOff>25400</xdr:rowOff>
    </xdr:from>
    <xdr:to>
      <xdr:col>8</xdr:col>
      <xdr:colOff>885190</xdr:colOff>
      <xdr:row>3827</xdr:row>
      <xdr:rowOff>1209040</xdr:rowOff>
    </xdr:to>
    <xdr:pic>
      <xdr:nvPicPr>
        <xdr:cNvPr id="7235" name="Изображение 7234" descr="resizeПП-00211382"/>
        <xdr:cNvPicPr>
          <a:picLocks noChangeAspect="1"/>
        </xdr:cNvPicPr>
      </xdr:nvPicPr>
      <xdr:blipFill>
        <a:blip xmlns:r="http://schemas.openxmlformats.org/officeDocument/2006/relationships" r:embed="rId2939"/>
        <a:stretch>
          <a:fillRect/>
        </a:stretch>
      </xdr:blipFill>
      <xdr:spPr>
        <a:xfrm>
          <a:off x="7264400" y="3825662275"/>
          <a:ext cx="878840" cy="1183640"/>
        </a:xfrm>
        <a:prstGeom prst="rect">
          <a:avLst/>
        </a:prstGeom>
      </xdr:spPr>
    </xdr:pic>
    <xdr:clientData/>
  </xdr:twoCellAnchor>
  <xdr:twoCellAnchor>
    <xdr:from>
      <xdr:col>8</xdr:col>
      <xdr:colOff>6350</xdr:colOff>
      <xdr:row>3828</xdr:row>
      <xdr:rowOff>25400</xdr:rowOff>
    </xdr:from>
    <xdr:to>
      <xdr:col>8</xdr:col>
      <xdr:colOff>885190</xdr:colOff>
      <xdr:row>3828</xdr:row>
      <xdr:rowOff>1209040</xdr:rowOff>
    </xdr:to>
    <xdr:pic>
      <xdr:nvPicPr>
        <xdr:cNvPr id="7236" name="Изображение 7235" descr="resizeПП-00211384"/>
        <xdr:cNvPicPr>
          <a:picLocks noChangeAspect="1"/>
        </xdr:cNvPicPr>
      </xdr:nvPicPr>
      <xdr:blipFill>
        <a:blip xmlns:r="http://schemas.openxmlformats.org/officeDocument/2006/relationships" r:embed="rId2940"/>
        <a:stretch>
          <a:fillRect/>
        </a:stretch>
      </xdr:blipFill>
      <xdr:spPr>
        <a:xfrm>
          <a:off x="7264400" y="3826884650"/>
          <a:ext cx="878840" cy="1183640"/>
        </a:xfrm>
        <a:prstGeom prst="rect">
          <a:avLst/>
        </a:prstGeom>
      </xdr:spPr>
    </xdr:pic>
    <xdr:clientData/>
  </xdr:twoCellAnchor>
  <xdr:twoCellAnchor>
    <xdr:from>
      <xdr:col>8</xdr:col>
      <xdr:colOff>6350</xdr:colOff>
      <xdr:row>3829</xdr:row>
      <xdr:rowOff>25400</xdr:rowOff>
    </xdr:from>
    <xdr:to>
      <xdr:col>8</xdr:col>
      <xdr:colOff>885190</xdr:colOff>
      <xdr:row>3829</xdr:row>
      <xdr:rowOff>1209040</xdr:rowOff>
    </xdr:to>
    <xdr:pic>
      <xdr:nvPicPr>
        <xdr:cNvPr id="7237" name="Изображение 7236" descr="resizeПП-00211369"/>
        <xdr:cNvPicPr>
          <a:picLocks noChangeAspect="1"/>
        </xdr:cNvPicPr>
      </xdr:nvPicPr>
      <xdr:blipFill>
        <a:blip xmlns:r="http://schemas.openxmlformats.org/officeDocument/2006/relationships" r:embed="rId2941"/>
        <a:stretch>
          <a:fillRect/>
        </a:stretch>
      </xdr:blipFill>
      <xdr:spPr>
        <a:xfrm>
          <a:off x="7264400" y="3828107025"/>
          <a:ext cx="878840" cy="1183640"/>
        </a:xfrm>
        <a:prstGeom prst="rect">
          <a:avLst/>
        </a:prstGeom>
      </xdr:spPr>
    </xdr:pic>
    <xdr:clientData/>
  </xdr:twoCellAnchor>
  <xdr:twoCellAnchor>
    <xdr:from>
      <xdr:col>8</xdr:col>
      <xdr:colOff>6350</xdr:colOff>
      <xdr:row>3830</xdr:row>
      <xdr:rowOff>25400</xdr:rowOff>
    </xdr:from>
    <xdr:to>
      <xdr:col>8</xdr:col>
      <xdr:colOff>885190</xdr:colOff>
      <xdr:row>3830</xdr:row>
      <xdr:rowOff>1209040</xdr:rowOff>
    </xdr:to>
    <xdr:pic>
      <xdr:nvPicPr>
        <xdr:cNvPr id="7238" name="Изображение 7237" descr="resizeПП-00211380"/>
        <xdr:cNvPicPr>
          <a:picLocks noChangeAspect="1"/>
        </xdr:cNvPicPr>
      </xdr:nvPicPr>
      <xdr:blipFill>
        <a:blip xmlns:r="http://schemas.openxmlformats.org/officeDocument/2006/relationships" r:embed="rId2942"/>
        <a:stretch>
          <a:fillRect/>
        </a:stretch>
      </xdr:blipFill>
      <xdr:spPr>
        <a:xfrm>
          <a:off x="7264400" y="3829329400"/>
          <a:ext cx="878840" cy="1183640"/>
        </a:xfrm>
        <a:prstGeom prst="rect">
          <a:avLst/>
        </a:prstGeom>
      </xdr:spPr>
    </xdr:pic>
    <xdr:clientData/>
  </xdr:twoCellAnchor>
  <xdr:twoCellAnchor>
    <xdr:from>
      <xdr:col>8</xdr:col>
      <xdr:colOff>6350</xdr:colOff>
      <xdr:row>3831</xdr:row>
      <xdr:rowOff>25400</xdr:rowOff>
    </xdr:from>
    <xdr:to>
      <xdr:col>8</xdr:col>
      <xdr:colOff>885190</xdr:colOff>
      <xdr:row>3831</xdr:row>
      <xdr:rowOff>1209040</xdr:rowOff>
    </xdr:to>
    <xdr:pic>
      <xdr:nvPicPr>
        <xdr:cNvPr id="7239" name="Изображение 7238" descr="resizeПП-00211381"/>
        <xdr:cNvPicPr>
          <a:picLocks noChangeAspect="1"/>
        </xdr:cNvPicPr>
      </xdr:nvPicPr>
      <xdr:blipFill>
        <a:blip xmlns:r="http://schemas.openxmlformats.org/officeDocument/2006/relationships" r:embed="rId2943"/>
        <a:stretch>
          <a:fillRect/>
        </a:stretch>
      </xdr:blipFill>
      <xdr:spPr>
        <a:xfrm>
          <a:off x="7264400" y="3830551775"/>
          <a:ext cx="878840" cy="1183640"/>
        </a:xfrm>
        <a:prstGeom prst="rect">
          <a:avLst/>
        </a:prstGeom>
      </xdr:spPr>
    </xdr:pic>
    <xdr:clientData/>
  </xdr:twoCellAnchor>
  <xdr:twoCellAnchor>
    <xdr:from>
      <xdr:col>8</xdr:col>
      <xdr:colOff>6350</xdr:colOff>
      <xdr:row>3832</xdr:row>
      <xdr:rowOff>25400</xdr:rowOff>
    </xdr:from>
    <xdr:to>
      <xdr:col>8</xdr:col>
      <xdr:colOff>885190</xdr:colOff>
      <xdr:row>3832</xdr:row>
      <xdr:rowOff>1209040</xdr:rowOff>
    </xdr:to>
    <xdr:pic>
      <xdr:nvPicPr>
        <xdr:cNvPr id="7240" name="Изображение 7239" descr="resizeПП-00211374"/>
        <xdr:cNvPicPr>
          <a:picLocks noChangeAspect="1"/>
        </xdr:cNvPicPr>
      </xdr:nvPicPr>
      <xdr:blipFill>
        <a:blip xmlns:r="http://schemas.openxmlformats.org/officeDocument/2006/relationships" r:embed="rId2944"/>
        <a:stretch>
          <a:fillRect/>
        </a:stretch>
      </xdr:blipFill>
      <xdr:spPr>
        <a:xfrm>
          <a:off x="7264400" y="3831774150"/>
          <a:ext cx="878840" cy="1183640"/>
        </a:xfrm>
        <a:prstGeom prst="rect">
          <a:avLst/>
        </a:prstGeom>
      </xdr:spPr>
    </xdr:pic>
    <xdr:clientData/>
  </xdr:twoCellAnchor>
  <xdr:twoCellAnchor>
    <xdr:from>
      <xdr:col>8</xdr:col>
      <xdr:colOff>6350</xdr:colOff>
      <xdr:row>3836</xdr:row>
      <xdr:rowOff>25400</xdr:rowOff>
    </xdr:from>
    <xdr:to>
      <xdr:col>8</xdr:col>
      <xdr:colOff>885190</xdr:colOff>
      <xdr:row>3836</xdr:row>
      <xdr:rowOff>1209040</xdr:rowOff>
    </xdr:to>
    <xdr:pic>
      <xdr:nvPicPr>
        <xdr:cNvPr id="7241" name="Изображение 7240" descr="resizeПП-00266874"/>
        <xdr:cNvPicPr>
          <a:picLocks noChangeAspect="1"/>
        </xdr:cNvPicPr>
      </xdr:nvPicPr>
      <xdr:blipFill>
        <a:blip xmlns:r="http://schemas.openxmlformats.org/officeDocument/2006/relationships" r:embed="rId2945"/>
        <a:stretch>
          <a:fillRect/>
        </a:stretch>
      </xdr:blipFill>
      <xdr:spPr>
        <a:xfrm>
          <a:off x="7264400" y="3833453725"/>
          <a:ext cx="878840" cy="1183640"/>
        </a:xfrm>
        <a:prstGeom prst="rect">
          <a:avLst/>
        </a:prstGeom>
      </xdr:spPr>
    </xdr:pic>
    <xdr:clientData/>
  </xdr:twoCellAnchor>
  <xdr:twoCellAnchor>
    <xdr:from>
      <xdr:col>8</xdr:col>
      <xdr:colOff>6350</xdr:colOff>
      <xdr:row>3837</xdr:row>
      <xdr:rowOff>25400</xdr:rowOff>
    </xdr:from>
    <xdr:to>
      <xdr:col>8</xdr:col>
      <xdr:colOff>885190</xdr:colOff>
      <xdr:row>3837</xdr:row>
      <xdr:rowOff>1209040</xdr:rowOff>
    </xdr:to>
    <xdr:pic>
      <xdr:nvPicPr>
        <xdr:cNvPr id="7242" name="Изображение 7241" descr="resizeПП-00234462"/>
        <xdr:cNvPicPr>
          <a:picLocks noChangeAspect="1"/>
        </xdr:cNvPicPr>
      </xdr:nvPicPr>
      <xdr:blipFill>
        <a:blip xmlns:r="http://schemas.openxmlformats.org/officeDocument/2006/relationships" r:embed="rId2946"/>
        <a:stretch>
          <a:fillRect/>
        </a:stretch>
      </xdr:blipFill>
      <xdr:spPr>
        <a:xfrm>
          <a:off x="7264400" y="3834676100"/>
          <a:ext cx="878840" cy="1183640"/>
        </a:xfrm>
        <a:prstGeom prst="rect">
          <a:avLst/>
        </a:prstGeom>
      </xdr:spPr>
    </xdr:pic>
    <xdr:clientData/>
  </xdr:twoCellAnchor>
  <xdr:twoCellAnchor>
    <xdr:from>
      <xdr:col>8</xdr:col>
      <xdr:colOff>6350</xdr:colOff>
      <xdr:row>3839</xdr:row>
      <xdr:rowOff>25400</xdr:rowOff>
    </xdr:from>
    <xdr:to>
      <xdr:col>8</xdr:col>
      <xdr:colOff>885190</xdr:colOff>
      <xdr:row>3839</xdr:row>
      <xdr:rowOff>1209040</xdr:rowOff>
    </xdr:to>
    <xdr:pic>
      <xdr:nvPicPr>
        <xdr:cNvPr id="7243" name="Изображение 7242" descr="resizeПП-00266879"/>
        <xdr:cNvPicPr>
          <a:picLocks noChangeAspect="1"/>
        </xdr:cNvPicPr>
      </xdr:nvPicPr>
      <xdr:blipFill>
        <a:blip xmlns:r="http://schemas.openxmlformats.org/officeDocument/2006/relationships" r:embed="rId2947"/>
        <a:stretch>
          <a:fillRect/>
        </a:stretch>
      </xdr:blipFill>
      <xdr:spPr>
        <a:xfrm>
          <a:off x="7264400" y="3836050875"/>
          <a:ext cx="878840" cy="1183640"/>
        </a:xfrm>
        <a:prstGeom prst="rect">
          <a:avLst/>
        </a:prstGeom>
      </xdr:spPr>
    </xdr:pic>
    <xdr:clientData/>
  </xdr:twoCellAnchor>
  <xdr:twoCellAnchor>
    <xdr:from>
      <xdr:col>8</xdr:col>
      <xdr:colOff>6350</xdr:colOff>
      <xdr:row>3840</xdr:row>
      <xdr:rowOff>25400</xdr:rowOff>
    </xdr:from>
    <xdr:to>
      <xdr:col>8</xdr:col>
      <xdr:colOff>885190</xdr:colOff>
      <xdr:row>3840</xdr:row>
      <xdr:rowOff>1209040</xdr:rowOff>
    </xdr:to>
    <xdr:pic>
      <xdr:nvPicPr>
        <xdr:cNvPr id="7244" name="Изображение 7243" descr="resizeПП-00266878"/>
        <xdr:cNvPicPr>
          <a:picLocks noChangeAspect="1"/>
        </xdr:cNvPicPr>
      </xdr:nvPicPr>
      <xdr:blipFill>
        <a:blip xmlns:r="http://schemas.openxmlformats.org/officeDocument/2006/relationships" r:embed="rId2948"/>
        <a:stretch>
          <a:fillRect/>
        </a:stretch>
      </xdr:blipFill>
      <xdr:spPr>
        <a:xfrm>
          <a:off x="7264400" y="3837273250"/>
          <a:ext cx="878840" cy="1183640"/>
        </a:xfrm>
        <a:prstGeom prst="rect">
          <a:avLst/>
        </a:prstGeom>
      </xdr:spPr>
    </xdr:pic>
    <xdr:clientData/>
  </xdr:twoCellAnchor>
  <xdr:twoCellAnchor>
    <xdr:from>
      <xdr:col>8</xdr:col>
      <xdr:colOff>6350</xdr:colOff>
      <xdr:row>3842</xdr:row>
      <xdr:rowOff>25400</xdr:rowOff>
    </xdr:from>
    <xdr:to>
      <xdr:col>8</xdr:col>
      <xdr:colOff>885190</xdr:colOff>
      <xdr:row>3842</xdr:row>
      <xdr:rowOff>1209040</xdr:rowOff>
    </xdr:to>
    <xdr:pic>
      <xdr:nvPicPr>
        <xdr:cNvPr id="7245" name="Изображение 7244" descr="resizeПП-00234497"/>
        <xdr:cNvPicPr>
          <a:picLocks noChangeAspect="1"/>
        </xdr:cNvPicPr>
      </xdr:nvPicPr>
      <xdr:blipFill>
        <a:blip xmlns:r="http://schemas.openxmlformats.org/officeDocument/2006/relationships" r:embed="rId2949"/>
        <a:stretch>
          <a:fillRect/>
        </a:stretch>
      </xdr:blipFill>
      <xdr:spPr>
        <a:xfrm>
          <a:off x="7264400" y="3838648025"/>
          <a:ext cx="878840" cy="1183640"/>
        </a:xfrm>
        <a:prstGeom prst="rect">
          <a:avLst/>
        </a:prstGeom>
      </xdr:spPr>
    </xdr:pic>
    <xdr:clientData/>
  </xdr:twoCellAnchor>
  <xdr:twoCellAnchor>
    <xdr:from>
      <xdr:col>8</xdr:col>
      <xdr:colOff>6350</xdr:colOff>
      <xdr:row>3844</xdr:row>
      <xdr:rowOff>25400</xdr:rowOff>
    </xdr:from>
    <xdr:to>
      <xdr:col>8</xdr:col>
      <xdr:colOff>885190</xdr:colOff>
      <xdr:row>3844</xdr:row>
      <xdr:rowOff>1209040</xdr:rowOff>
    </xdr:to>
    <xdr:pic>
      <xdr:nvPicPr>
        <xdr:cNvPr id="7246" name="Изображение 7245" descr="resizeПП-00261942"/>
        <xdr:cNvPicPr>
          <a:picLocks noChangeAspect="1"/>
        </xdr:cNvPicPr>
      </xdr:nvPicPr>
      <xdr:blipFill>
        <a:blip xmlns:r="http://schemas.openxmlformats.org/officeDocument/2006/relationships" r:embed="rId2950"/>
        <a:stretch>
          <a:fillRect/>
        </a:stretch>
      </xdr:blipFill>
      <xdr:spPr>
        <a:xfrm>
          <a:off x="7264400" y="3840022800"/>
          <a:ext cx="878840" cy="1183640"/>
        </a:xfrm>
        <a:prstGeom prst="rect">
          <a:avLst/>
        </a:prstGeom>
      </xdr:spPr>
    </xdr:pic>
    <xdr:clientData/>
  </xdr:twoCellAnchor>
  <xdr:twoCellAnchor>
    <xdr:from>
      <xdr:col>8</xdr:col>
      <xdr:colOff>6350</xdr:colOff>
      <xdr:row>3845</xdr:row>
      <xdr:rowOff>25400</xdr:rowOff>
    </xdr:from>
    <xdr:to>
      <xdr:col>8</xdr:col>
      <xdr:colOff>885190</xdr:colOff>
      <xdr:row>3845</xdr:row>
      <xdr:rowOff>1209040</xdr:rowOff>
    </xdr:to>
    <xdr:pic>
      <xdr:nvPicPr>
        <xdr:cNvPr id="7247" name="Изображение 7246" descr="resizeПП-00261943"/>
        <xdr:cNvPicPr>
          <a:picLocks noChangeAspect="1"/>
        </xdr:cNvPicPr>
      </xdr:nvPicPr>
      <xdr:blipFill>
        <a:blip xmlns:r="http://schemas.openxmlformats.org/officeDocument/2006/relationships" r:embed="rId2951"/>
        <a:stretch>
          <a:fillRect/>
        </a:stretch>
      </xdr:blipFill>
      <xdr:spPr>
        <a:xfrm>
          <a:off x="7264400" y="3841245175"/>
          <a:ext cx="878840" cy="1183640"/>
        </a:xfrm>
        <a:prstGeom prst="rect">
          <a:avLst/>
        </a:prstGeom>
      </xdr:spPr>
    </xdr:pic>
    <xdr:clientData/>
  </xdr:twoCellAnchor>
  <xdr:twoCellAnchor>
    <xdr:from>
      <xdr:col>8</xdr:col>
      <xdr:colOff>6350</xdr:colOff>
      <xdr:row>3846</xdr:row>
      <xdr:rowOff>25400</xdr:rowOff>
    </xdr:from>
    <xdr:to>
      <xdr:col>8</xdr:col>
      <xdr:colOff>885190</xdr:colOff>
      <xdr:row>3846</xdr:row>
      <xdr:rowOff>1209040</xdr:rowOff>
    </xdr:to>
    <xdr:pic>
      <xdr:nvPicPr>
        <xdr:cNvPr id="7248" name="Изображение 7247" descr="resizeПП-00261944"/>
        <xdr:cNvPicPr>
          <a:picLocks noChangeAspect="1"/>
        </xdr:cNvPicPr>
      </xdr:nvPicPr>
      <xdr:blipFill>
        <a:blip xmlns:r="http://schemas.openxmlformats.org/officeDocument/2006/relationships" r:embed="rId2952"/>
        <a:stretch>
          <a:fillRect/>
        </a:stretch>
      </xdr:blipFill>
      <xdr:spPr>
        <a:xfrm>
          <a:off x="7264400" y="3842467550"/>
          <a:ext cx="878840" cy="1183640"/>
        </a:xfrm>
        <a:prstGeom prst="rect">
          <a:avLst/>
        </a:prstGeom>
      </xdr:spPr>
    </xdr:pic>
    <xdr:clientData/>
  </xdr:twoCellAnchor>
  <xdr:twoCellAnchor>
    <xdr:from>
      <xdr:col>8</xdr:col>
      <xdr:colOff>6350</xdr:colOff>
      <xdr:row>3847</xdr:row>
      <xdr:rowOff>25400</xdr:rowOff>
    </xdr:from>
    <xdr:to>
      <xdr:col>8</xdr:col>
      <xdr:colOff>885190</xdr:colOff>
      <xdr:row>3847</xdr:row>
      <xdr:rowOff>1209040</xdr:rowOff>
    </xdr:to>
    <xdr:pic>
      <xdr:nvPicPr>
        <xdr:cNvPr id="7249" name="Изображение 7248" descr="resizeПП-00261941"/>
        <xdr:cNvPicPr>
          <a:picLocks noChangeAspect="1"/>
        </xdr:cNvPicPr>
      </xdr:nvPicPr>
      <xdr:blipFill>
        <a:blip xmlns:r="http://schemas.openxmlformats.org/officeDocument/2006/relationships" r:embed="rId2953"/>
        <a:stretch>
          <a:fillRect/>
        </a:stretch>
      </xdr:blipFill>
      <xdr:spPr>
        <a:xfrm>
          <a:off x="7264400" y="3843689925"/>
          <a:ext cx="878840" cy="1183640"/>
        </a:xfrm>
        <a:prstGeom prst="rect">
          <a:avLst/>
        </a:prstGeom>
      </xdr:spPr>
    </xdr:pic>
    <xdr:clientData/>
  </xdr:twoCellAnchor>
  <xdr:twoCellAnchor>
    <xdr:from>
      <xdr:col>8</xdr:col>
      <xdr:colOff>6350</xdr:colOff>
      <xdr:row>3849</xdr:row>
      <xdr:rowOff>25400</xdr:rowOff>
    </xdr:from>
    <xdr:to>
      <xdr:col>8</xdr:col>
      <xdr:colOff>885190</xdr:colOff>
      <xdr:row>3849</xdr:row>
      <xdr:rowOff>1209040</xdr:rowOff>
    </xdr:to>
    <xdr:pic>
      <xdr:nvPicPr>
        <xdr:cNvPr id="7250" name="Изображение 7249" descr="resizeПП-00234466"/>
        <xdr:cNvPicPr>
          <a:picLocks noChangeAspect="1"/>
        </xdr:cNvPicPr>
      </xdr:nvPicPr>
      <xdr:blipFill>
        <a:blip xmlns:r="http://schemas.openxmlformats.org/officeDocument/2006/relationships" r:embed="rId2954"/>
        <a:stretch>
          <a:fillRect/>
        </a:stretch>
      </xdr:blipFill>
      <xdr:spPr>
        <a:xfrm>
          <a:off x="7264400" y="3845064700"/>
          <a:ext cx="878840" cy="1183640"/>
        </a:xfrm>
        <a:prstGeom prst="rect">
          <a:avLst/>
        </a:prstGeom>
      </xdr:spPr>
    </xdr:pic>
    <xdr:clientData/>
  </xdr:twoCellAnchor>
  <xdr:twoCellAnchor>
    <xdr:from>
      <xdr:col>8</xdr:col>
      <xdr:colOff>6350</xdr:colOff>
      <xdr:row>3850</xdr:row>
      <xdr:rowOff>25400</xdr:rowOff>
    </xdr:from>
    <xdr:to>
      <xdr:col>8</xdr:col>
      <xdr:colOff>885190</xdr:colOff>
      <xdr:row>3850</xdr:row>
      <xdr:rowOff>1209040</xdr:rowOff>
    </xdr:to>
    <xdr:pic>
      <xdr:nvPicPr>
        <xdr:cNvPr id="7251" name="Изображение 7250" descr="resizeПП-00234479"/>
        <xdr:cNvPicPr>
          <a:picLocks noChangeAspect="1"/>
        </xdr:cNvPicPr>
      </xdr:nvPicPr>
      <xdr:blipFill>
        <a:blip xmlns:r="http://schemas.openxmlformats.org/officeDocument/2006/relationships" r:embed="rId2955"/>
        <a:stretch>
          <a:fillRect/>
        </a:stretch>
      </xdr:blipFill>
      <xdr:spPr>
        <a:xfrm>
          <a:off x="7264400" y="3846287075"/>
          <a:ext cx="878840" cy="1183640"/>
        </a:xfrm>
        <a:prstGeom prst="rect">
          <a:avLst/>
        </a:prstGeom>
      </xdr:spPr>
    </xdr:pic>
    <xdr:clientData/>
  </xdr:twoCellAnchor>
  <xdr:twoCellAnchor>
    <xdr:from>
      <xdr:col>8</xdr:col>
      <xdr:colOff>6350</xdr:colOff>
      <xdr:row>3851</xdr:row>
      <xdr:rowOff>25400</xdr:rowOff>
    </xdr:from>
    <xdr:to>
      <xdr:col>8</xdr:col>
      <xdr:colOff>885190</xdr:colOff>
      <xdr:row>3851</xdr:row>
      <xdr:rowOff>1209040</xdr:rowOff>
    </xdr:to>
    <xdr:pic>
      <xdr:nvPicPr>
        <xdr:cNvPr id="7252" name="Изображение 7251" descr="resizeПП-00234467"/>
        <xdr:cNvPicPr>
          <a:picLocks noChangeAspect="1"/>
        </xdr:cNvPicPr>
      </xdr:nvPicPr>
      <xdr:blipFill>
        <a:blip xmlns:r="http://schemas.openxmlformats.org/officeDocument/2006/relationships" r:embed="rId2956"/>
        <a:stretch>
          <a:fillRect/>
        </a:stretch>
      </xdr:blipFill>
      <xdr:spPr>
        <a:xfrm>
          <a:off x="7264400" y="3847509450"/>
          <a:ext cx="878840" cy="1183640"/>
        </a:xfrm>
        <a:prstGeom prst="rect">
          <a:avLst/>
        </a:prstGeom>
      </xdr:spPr>
    </xdr:pic>
    <xdr:clientData/>
  </xdr:twoCellAnchor>
  <xdr:twoCellAnchor>
    <xdr:from>
      <xdr:col>8</xdr:col>
      <xdr:colOff>6350</xdr:colOff>
      <xdr:row>3852</xdr:row>
      <xdr:rowOff>25400</xdr:rowOff>
    </xdr:from>
    <xdr:to>
      <xdr:col>8</xdr:col>
      <xdr:colOff>885190</xdr:colOff>
      <xdr:row>3852</xdr:row>
      <xdr:rowOff>1209040</xdr:rowOff>
    </xdr:to>
    <xdr:pic>
      <xdr:nvPicPr>
        <xdr:cNvPr id="7253" name="Изображение 7252" descr="resizeПП-00234481"/>
        <xdr:cNvPicPr>
          <a:picLocks noChangeAspect="1"/>
        </xdr:cNvPicPr>
      </xdr:nvPicPr>
      <xdr:blipFill>
        <a:blip xmlns:r="http://schemas.openxmlformats.org/officeDocument/2006/relationships" r:embed="rId2957"/>
        <a:stretch>
          <a:fillRect/>
        </a:stretch>
      </xdr:blipFill>
      <xdr:spPr>
        <a:xfrm>
          <a:off x="7264400" y="3848731825"/>
          <a:ext cx="878840" cy="1183640"/>
        </a:xfrm>
        <a:prstGeom prst="rect">
          <a:avLst/>
        </a:prstGeom>
      </xdr:spPr>
    </xdr:pic>
    <xdr:clientData/>
  </xdr:twoCellAnchor>
  <xdr:twoCellAnchor>
    <xdr:from>
      <xdr:col>8</xdr:col>
      <xdr:colOff>6350</xdr:colOff>
      <xdr:row>3853</xdr:row>
      <xdr:rowOff>25400</xdr:rowOff>
    </xdr:from>
    <xdr:to>
      <xdr:col>8</xdr:col>
      <xdr:colOff>885190</xdr:colOff>
      <xdr:row>3853</xdr:row>
      <xdr:rowOff>1209040</xdr:rowOff>
    </xdr:to>
    <xdr:pic>
      <xdr:nvPicPr>
        <xdr:cNvPr id="7254" name="Изображение 7253" descr="resizeПП-00234465"/>
        <xdr:cNvPicPr>
          <a:picLocks noChangeAspect="1"/>
        </xdr:cNvPicPr>
      </xdr:nvPicPr>
      <xdr:blipFill>
        <a:blip xmlns:r="http://schemas.openxmlformats.org/officeDocument/2006/relationships" r:embed="rId2958"/>
        <a:stretch>
          <a:fillRect/>
        </a:stretch>
      </xdr:blipFill>
      <xdr:spPr>
        <a:xfrm>
          <a:off x="7264400" y="3849954200"/>
          <a:ext cx="878840" cy="1183640"/>
        </a:xfrm>
        <a:prstGeom prst="rect">
          <a:avLst/>
        </a:prstGeom>
      </xdr:spPr>
    </xdr:pic>
    <xdr:clientData/>
  </xdr:twoCellAnchor>
  <xdr:twoCellAnchor>
    <xdr:from>
      <xdr:col>8</xdr:col>
      <xdr:colOff>6350</xdr:colOff>
      <xdr:row>3854</xdr:row>
      <xdr:rowOff>25400</xdr:rowOff>
    </xdr:from>
    <xdr:to>
      <xdr:col>8</xdr:col>
      <xdr:colOff>885190</xdr:colOff>
      <xdr:row>3854</xdr:row>
      <xdr:rowOff>1209040</xdr:rowOff>
    </xdr:to>
    <xdr:pic>
      <xdr:nvPicPr>
        <xdr:cNvPr id="7255" name="Изображение 7254" descr="resizeПП-00234469"/>
        <xdr:cNvPicPr>
          <a:picLocks noChangeAspect="1"/>
        </xdr:cNvPicPr>
      </xdr:nvPicPr>
      <xdr:blipFill>
        <a:blip xmlns:r="http://schemas.openxmlformats.org/officeDocument/2006/relationships" r:embed="rId2959"/>
        <a:stretch>
          <a:fillRect/>
        </a:stretch>
      </xdr:blipFill>
      <xdr:spPr>
        <a:xfrm>
          <a:off x="7264400" y="3851176575"/>
          <a:ext cx="878840" cy="1183640"/>
        </a:xfrm>
        <a:prstGeom prst="rect">
          <a:avLst/>
        </a:prstGeom>
      </xdr:spPr>
    </xdr:pic>
    <xdr:clientData/>
  </xdr:twoCellAnchor>
  <xdr:twoCellAnchor>
    <xdr:from>
      <xdr:col>8</xdr:col>
      <xdr:colOff>6350</xdr:colOff>
      <xdr:row>3855</xdr:row>
      <xdr:rowOff>25400</xdr:rowOff>
    </xdr:from>
    <xdr:to>
      <xdr:col>8</xdr:col>
      <xdr:colOff>885190</xdr:colOff>
      <xdr:row>3855</xdr:row>
      <xdr:rowOff>1209040</xdr:rowOff>
    </xdr:to>
    <xdr:pic>
      <xdr:nvPicPr>
        <xdr:cNvPr id="7256" name="Изображение 7255" descr="resizeПП-00234477"/>
        <xdr:cNvPicPr>
          <a:picLocks noChangeAspect="1"/>
        </xdr:cNvPicPr>
      </xdr:nvPicPr>
      <xdr:blipFill>
        <a:blip xmlns:r="http://schemas.openxmlformats.org/officeDocument/2006/relationships" r:embed="rId2960"/>
        <a:stretch>
          <a:fillRect/>
        </a:stretch>
      </xdr:blipFill>
      <xdr:spPr>
        <a:xfrm>
          <a:off x="7264400" y="3852398950"/>
          <a:ext cx="878840" cy="1183640"/>
        </a:xfrm>
        <a:prstGeom prst="rect">
          <a:avLst/>
        </a:prstGeom>
      </xdr:spPr>
    </xdr:pic>
    <xdr:clientData/>
  </xdr:twoCellAnchor>
  <xdr:twoCellAnchor>
    <xdr:from>
      <xdr:col>8</xdr:col>
      <xdr:colOff>6350</xdr:colOff>
      <xdr:row>3856</xdr:row>
      <xdr:rowOff>25400</xdr:rowOff>
    </xdr:from>
    <xdr:to>
      <xdr:col>8</xdr:col>
      <xdr:colOff>885190</xdr:colOff>
      <xdr:row>3856</xdr:row>
      <xdr:rowOff>1209040</xdr:rowOff>
    </xdr:to>
    <xdr:pic>
      <xdr:nvPicPr>
        <xdr:cNvPr id="7257" name="Изображение 7256" descr="resizeПП-00234476"/>
        <xdr:cNvPicPr>
          <a:picLocks noChangeAspect="1"/>
        </xdr:cNvPicPr>
      </xdr:nvPicPr>
      <xdr:blipFill>
        <a:blip xmlns:r="http://schemas.openxmlformats.org/officeDocument/2006/relationships" r:embed="rId2961"/>
        <a:stretch>
          <a:fillRect/>
        </a:stretch>
      </xdr:blipFill>
      <xdr:spPr>
        <a:xfrm>
          <a:off x="7264400" y="3853621325"/>
          <a:ext cx="878840" cy="1183640"/>
        </a:xfrm>
        <a:prstGeom prst="rect">
          <a:avLst/>
        </a:prstGeom>
      </xdr:spPr>
    </xdr:pic>
    <xdr:clientData/>
  </xdr:twoCellAnchor>
  <xdr:twoCellAnchor>
    <xdr:from>
      <xdr:col>8</xdr:col>
      <xdr:colOff>6350</xdr:colOff>
      <xdr:row>3858</xdr:row>
      <xdr:rowOff>25400</xdr:rowOff>
    </xdr:from>
    <xdr:to>
      <xdr:col>8</xdr:col>
      <xdr:colOff>885190</xdr:colOff>
      <xdr:row>3858</xdr:row>
      <xdr:rowOff>1209040</xdr:rowOff>
    </xdr:to>
    <xdr:pic>
      <xdr:nvPicPr>
        <xdr:cNvPr id="7258" name="Изображение 7257" descr="resizeПП-00223010"/>
        <xdr:cNvPicPr>
          <a:picLocks noChangeAspect="1"/>
        </xdr:cNvPicPr>
      </xdr:nvPicPr>
      <xdr:blipFill>
        <a:blip xmlns:r="http://schemas.openxmlformats.org/officeDocument/2006/relationships" r:embed="rId2962"/>
        <a:stretch>
          <a:fillRect/>
        </a:stretch>
      </xdr:blipFill>
      <xdr:spPr>
        <a:xfrm>
          <a:off x="7264400" y="3854996100"/>
          <a:ext cx="878840" cy="1183640"/>
        </a:xfrm>
        <a:prstGeom prst="rect">
          <a:avLst/>
        </a:prstGeom>
      </xdr:spPr>
    </xdr:pic>
    <xdr:clientData/>
  </xdr:twoCellAnchor>
  <xdr:twoCellAnchor>
    <xdr:from>
      <xdr:col>8</xdr:col>
      <xdr:colOff>6350</xdr:colOff>
      <xdr:row>3861</xdr:row>
      <xdr:rowOff>25400</xdr:rowOff>
    </xdr:from>
    <xdr:to>
      <xdr:col>8</xdr:col>
      <xdr:colOff>885190</xdr:colOff>
      <xdr:row>3861</xdr:row>
      <xdr:rowOff>1209040</xdr:rowOff>
    </xdr:to>
    <xdr:pic>
      <xdr:nvPicPr>
        <xdr:cNvPr id="7259" name="Изображение 7258" descr="resizeПП-00199294"/>
        <xdr:cNvPicPr>
          <a:picLocks noChangeAspect="1"/>
        </xdr:cNvPicPr>
      </xdr:nvPicPr>
      <xdr:blipFill>
        <a:blip xmlns:r="http://schemas.openxmlformats.org/officeDocument/2006/relationships" r:embed="rId2963"/>
        <a:stretch>
          <a:fillRect/>
        </a:stretch>
      </xdr:blipFill>
      <xdr:spPr>
        <a:xfrm>
          <a:off x="7264400" y="3856523275"/>
          <a:ext cx="878840" cy="1183640"/>
        </a:xfrm>
        <a:prstGeom prst="rect">
          <a:avLst/>
        </a:prstGeom>
      </xdr:spPr>
    </xdr:pic>
    <xdr:clientData/>
  </xdr:twoCellAnchor>
  <xdr:twoCellAnchor>
    <xdr:from>
      <xdr:col>8</xdr:col>
      <xdr:colOff>6350</xdr:colOff>
      <xdr:row>3862</xdr:row>
      <xdr:rowOff>25400</xdr:rowOff>
    </xdr:from>
    <xdr:to>
      <xdr:col>8</xdr:col>
      <xdr:colOff>885190</xdr:colOff>
      <xdr:row>3862</xdr:row>
      <xdr:rowOff>1209040</xdr:rowOff>
    </xdr:to>
    <xdr:pic>
      <xdr:nvPicPr>
        <xdr:cNvPr id="7260" name="Изображение 7259" descr="resizeПП-00199269"/>
        <xdr:cNvPicPr>
          <a:picLocks noChangeAspect="1"/>
        </xdr:cNvPicPr>
      </xdr:nvPicPr>
      <xdr:blipFill>
        <a:blip xmlns:r="http://schemas.openxmlformats.org/officeDocument/2006/relationships" r:embed="rId2964"/>
        <a:stretch>
          <a:fillRect/>
        </a:stretch>
      </xdr:blipFill>
      <xdr:spPr>
        <a:xfrm>
          <a:off x="7264400" y="3857745650"/>
          <a:ext cx="878840" cy="1183640"/>
        </a:xfrm>
        <a:prstGeom prst="rect">
          <a:avLst/>
        </a:prstGeom>
      </xdr:spPr>
    </xdr:pic>
    <xdr:clientData/>
  </xdr:twoCellAnchor>
  <xdr:twoCellAnchor>
    <xdr:from>
      <xdr:col>8</xdr:col>
      <xdr:colOff>6350</xdr:colOff>
      <xdr:row>3864</xdr:row>
      <xdr:rowOff>25400</xdr:rowOff>
    </xdr:from>
    <xdr:to>
      <xdr:col>8</xdr:col>
      <xdr:colOff>885190</xdr:colOff>
      <xdr:row>3864</xdr:row>
      <xdr:rowOff>1209040</xdr:rowOff>
    </xdr:to>
    <xdr:pic>
      <xdr:nvPicPr>
        <xdr:cNvPr id="7261" name="Изображение 7260" descr="resizeПП-00207686"/>
        <xdr:cNvPicPr>
          <a:picLocks noChangeAspect="1"/>
        </xdr:cNvPicPr>
      </xdr:nvPicPr>
      <xdr:blipFill>
        <a:blip xmlns:r="http://schemas.openxmlformats.org/officeDocument/2006/relationships" r:embed="rId2965"/>
        <a:stretch>
          <a:fillRect/>
        </a:stretch>
      </xdr:blipFill>
      <xdr:spPr>
        <a:xfrm>
          <a:off x="7264400" y="3859120425"/>
          <a:ext cx="878840" cy="1183640"/>
        </a:xfrm>
        <a:prstGeom prst="rect">
          <a:avLst/>
        </a:prstGeom>
      </xdr:spPr>
    </xdr:pic>
    <xdr:clientData/>
  </xdr:twoCellAnchor>
  <xdr:twoCellAnchor>
    <xdr:from>
      <xdr:col>8</xdr:col>
      <xdr:colOff>6350</xdr:colOff>
      <xdr:row>3865</xdr:row>
      <xdr:rowOff>25400</xdr:rowOff>
    </xdr:from>
    <xdr:to>
      <xdr:col>8</xdr:col>
      <xdr:colOff>885190</xdr:colOff>
      <xdr:row>3865</xdr:row>
      <xdr:rowOff>1209040</xdr:rowOff>
    </xdr:to>
    <xdr:pic>
      <xdr:nvPicPr>
        <xdr:cNvPr id="7262" name="Изображение 7261" descr="resizeПП-00260049"/>
        <xdr:cNvPicPr>
          <a:picLocks noChangeAspect="1"/>
        </xdr:cNvPicPr>
      </xdr:nvPicPr>
      <xdr:blipFill>
        <a:blip xmlns:r="http://schemas.openxmlformats.org/officeDocument/2006/relationships" r:embed="rId2966"/>
        <a:stretch>
          <a:fillRect/>
        </a:stretch>
      </xdr:blipFill>
      <xdr:spPr>
        <a:xfrm>
          <a:off x="7264400" y="3860342800"/>
          <a:ext cx="878840" cy="1183640"/>
        </a:xfrm>
        <a:prstGeom prst="rect">
          <a:avLst/>
        </a:prstGeom>
      </xdr:spPr>
    </xdr:pic>
    <xdr:clientData/>
  </xdr:twoCellAnchor>
  <xdr:twoCellAnchor>
    <xdr:from>
      <xdr:col>8</xdr:col>
      <xdr:colOff>6350</xdr:colOff>
      <xdr:row>3866</xdr:row>
      <xdr:rowOff>25400</xdr:rowOff>
    </xdr:from>
    <xdr:to>
      <xdr:col>8</xdr:col>
      <xdr:colOff>885190</xdr:colOff>
      <xdr:row>3866</xdr:row>
      <xdr:rowOff>1209040</xdr:rowOff>
    </xdr:to>
    <xdr:pic>
      <xdr:nvPicPr>
        <xdr:cNvPr id="7263" name="Изображение 7262" descr="resizeПП-00260050"/>
        <xdr:cNvPicPr>
          <a:picLocks noChangeAspect="1"/>
        </xdr:cNvPicPr>
      </xdr:nvPicPr>
      <xdr:blipFill>
        <a:blip xmlns:r="http://schemas.openxmlformats.org/officeDocument/2006/relationships" r:embed="rId2967"/>
        <a:stretch>
          <a:fillRect/>
        </a:stretch>
      </xdr:blipFill>
      <xdr:spPr>
        <a:xfrm>
          <a:off x="7264400" y="3861565175"/>
          <a:ext cx="878840" cy="1183640"/>
        </a:xfrm>
        <a:prstGeom prst="rect">
          <a:avLst/>
        </a:prstGeom>
      </xdr:spPr>
    </xdr:pic>
    <xdr:clientData/>
  </xdr:twoCellAnchor>
  <xdr:twoCellAnchor>
    <xdr:from>
      <xdr:col>8</xdr:col>
      <xdr:colOff>6350</xdr:colOff>
      <xdr:row>3869</xdr:row>
      <xdr:rowOff>25400</xdr:rowOff>
    </xdr:from>
    <xdr:to>
      <xdr:col>8</xdr:col>
      <xdr:colOff>885190</xdr:colOff>
      <xdr:row>3869</xdr:row>
      <xdr:rowOff>1209040</xdr:rowOff>
    </xdr:to>
    <xdr:pic>
      <xdr:nvPicPr>
        <xdr:cNvPr id="7264" name="Изображение 7263" descr="resizeПП-00267792"/>
        <xdr:cNvPicPr>
          <a:picLocks noChangeAspect="1"/>
        </xdr:cNvPicPr>
      </xdr:nvPicPr>
      <xdr:blipFill>
        <a:blip xmlns:r="http://schemas.openxmlformats.org/officeDocument/2006/relationships" r:embed="rId2968"/>
        <a:stretch>
          <a:fillRect/>
        </a:stretch>
      </xdr:blipFill>
      <xdr:spPr>
        <a:xfrm>
          <a:off x="7264400" y="3863092350"/>
          <a:ext cx="878840" cy="1183640"/>
        </a:xfrm>
        <a:prstGeom prst="rect">
          <a:avLst/>
        </a:prstGeom>
      </xdr:spPr>
    </xdr:pic>
    <xdr:clientData/>
  </xdr:twoCellAnchor>
  <xdr:twoCellAnchor>
    <xdr:from>
      <xdr:col>8</xdr:col>
      <xdr:colOff>6350</xdr:colOff>
      <xdr:row>3870</xdr:row>
      <xdr:rowOff>25400</xdr:rowOff>
    </xdr:from>
    <xdr:to>
      <xdr:col>8</xdr:col>
      <xdr:colOff>885190</xdr:colOff>
      <xdr:row>3870</xdr:row>
      <xdr:rowOff>1209040</xdr:rowOff>
    </xdr:to>
    <xdr:pic>
      <xdr:nvPicPr>
        <xdr:cNvPr id="7265" name="Изображение 7264" descr="resizeПП-00267789"/>
        <xdr:cNvPicPr>
          <a:picLocks noChangeAspect="1"/>
        </xdr:cNvPicPr>
      </xdr:nvPicPr>
      <xdr:blipFill>
        <a:blip xmlns:r="http://schemas.openxmlformats.org/officeDocument/2006/relationships" r:embed="rId2969"/>
        <a:stretch>
          <a:fillRect/>
        </a:stretch>
      </xdr:blipFill>
      <xdr:spPr>
        <a:xfrm>
          <a:off x="7264400" y="3864314725"/>
          <a:ext cx="878840" cy="1183640"/>
        </a:xfrm>
        <a:prstGeom prst="rect">
          <a:avLst/>
        </a:prstGeom>
      </xdr:spPr>
    </xdr:pic>
    <xdr:clientData/>
  </xdr:twoCellAnchor>
  <xdr:twoCellAnchor>
    <xdr:from>
      <xdr:col>8</xdr:col>
      <xdr:colOff>6350</xdr:colOff>
      <xdr:row>3871</xdr:row>
      <xdr:rowOff>25400</xdr:rowOff>
    </xdr:from>
    <xdr:to>
      <xdr:col>8</xdr:col>
      <xdr:colOff>885190</xdr:colOff>
      <xdr:row>3871</xdr:row>
      <xdr:rowOff>1209040</xdr:rowOff>
    </xdr:to>
    <xdr:pic>
      <xdr:nvPicPr>
        <xdr:cNvPr id="7266" name="Изображение 7265" descr="resizeПП-00218944"/>
        <xdr:cNvPicPr>
          <a:picLocks noChangeAspect="1"/>
        </xdr:cNvPicPr>
      </xdr:nvPicPr>
      <xdr:blipFill>
        <a:blip xmlns:r="http://schemas.openxmlformats.org/officeDocument/2006/relationships" r:embed="rId2970"/>
        <a:stretch>
          <a:fillRect/>
        </a:stretch>
      </xdr:blipFill>
      <xdr:spPr>
        <a:xfrm>
          <a:off x="7264400" y="3865537100"/>
          <a:ext cx="878840" cy="1183640"/>
        </a:xfrm>
        <a:prstGeom prst="rect">
          <a:avLst/>
        </a:prstGeom>
      </xdr:spPr>
    </xdr:pic>
    <xdr:clientData/>
  </xdr:twoCellAnchor>
  <xdr:twoCellAnchor>
    <xdr:from>
      <xdr:col>8</xdr:col>
      <xdr:colOff>6350</xdr:colOff>
      <xdr:row>3872</xdr:row>
      <xdr:rowOff>25400</xdr:rowOff>
    </xdr:from>
    <xdr:to>
      <xdr:col>8</xdr:col>
      <xdr:colOff>885190</xdr:colOff>
      <xdr:row>3872</xdr:row>
      <xdr:rowOff>1209040</xdr:rowOff>
    </xdr:to>
    <xdr:pic>
      <xdr:nvPicPr>
        <xdr:cNvPr id="7267" name="Изображение 7266" descr="resizeПП-00218945"/>
        <xdr:cNvPicPr>
          <a:picLocks noChangeAspect="1"/>
        </xdr:cNvPicPr>
      </xdr:nvPicPr>
      <xdr:blipFill>
        <a:blip xmlns:r="http://schemas.openxmlformats.org/officeDocument/2006/relationships" r:embed="rId2971"/>
        <a:stretch>
          <a:fillRect/>
        </a:stretch>
      </xdr:blipFill>
      <xdr:spPr>
        <a:xfrm>
          <a:off x="7264400" y="3866759475"/>
          <a:ext cx="878840" cy="1183640"/>
        </a:xfrm>
        <a:prstGeom prst="rect">
          <a:avLst/>
        </a:prstGeom>
      </xdr:spPr>
    </xdr:pic>
    <xdr:clientData/>
  </xdr:twoCellAnchor>
  <xdr:twoCellAnchor>
    <xdr:from>
      <xdr:col>8</xdr:col>
      <xdr:colOff>6350</xdr:colOff>
      <xdr:row>3873</xdr:row>
      <xdr:rowOff>25400</xdr:rowOff>
    </xdr:from>
    <xdr:to>
      <xdr:col>8</xdr:col>
      <xdr:colOff>885190</xdr:colOff>
      <xdr:row>3873</xdr:row>
      <xdr:rowOff>1209040</xdr:rowOff>
    </xdr:to>
    <xdr:pic>
      <xdr:nvPicPr>
        <xdr:cNvPr id="7268" name="Изображение 7267" descr="resizeПП-00267788"/>
        <xdr:cNvPicPr>
          <a:picLocks noChangeAspect="1"/>
        </xdr:cNvPicPr>
      </xdr:nvPicPr>
      <xdr:blipFill>
        <a:blip xmlns:r="http://schemas.openxmlformats.org/officeDocument/2006/relationships" r:embed="rId2972"/>
        <a:stretch>
          <a:fillRect/>
        </a:stretch>
      </xdr:blipFill>
      <xdr:spPr>
        <a:xfrm>
          <a:off x="7264400" y="3867981850"/>
          <a:ext cx="878840" cy="1183640"/>
        </a:xfrm>
        <a:prstGeom prst="rect">
          <a:avLst/>
        </a:prstGeom>
      </xdr:spPr>
    </xdr:pic>
    <xdr:clientData/>
  </xdr:twoCellAnchor>
  <xdr:twoCellAnchor>
    <xdr:from>
      <xdr:col>8</xdr:col>
      <xdr:colOff>6350</xdr:colOff>
      <xdr:row>3874</xdr:row>
      <xdr:rowOff>25400</xdr:rowOff>
    </xdr:from>
    <xdr:to>
      <xdr:col>8</xdr:col>
      <xdr:colOff>885190</xdr:colOff>
      <xdr:row>3874</xdr:row>
      <xdr:rowOff>1209040</xdr:rowOff>
    </xdr:to>
    <xdr:pic>
      <xdr:nvPicPr>
        <xdr:cNvPr id="7269" name="Изображение 7268" descr="resizeПП-00218946"/>
        <xdr:cNvPicPr>
          <a:picLocks noChangeAspect="1"/>
        </xdr:cNvPicPr>
      </xdr:nvPicPr>
      <xdr:blipFill>
        <a:blip xmlns:r="http://schemas.openxmlformats.org/officeDocument/2006/relationships" r:embed="rId2973"/>
        <a:stretch>
          <a:fillRect/>
        </a:stretch>
      </xdr:blipFill>
      <xdr:spPr>
        <a:xfrm>
          <a:off x="7264400" y="3869204225"/>
          <a:ext cx="878840" cy="1183640"/>
        </a:xfrm>
        <a:prstGeom prst="rect">
          <a:avLst/>
        </a:prstGeom>
      </xdr:spPr>
    </xdr:pic>
    <xdr:clientData/>
  </xdr:twoCellAnchor>
  <xdr:twoCellAnchor>
    <xdr:from>
      <xdr:col>8</xdr:col>
      <xdr:colOff>6350</xdr:colOff>
      <xdr:row>3875</xdr:row>
      <xdr:rowOff>25400</xdr:rowOff>
    </xdr:from>
    <xdr:to>
      <xdr:col>8</xdr:col>
      <xdr:colOff>885190</xdr:colOff>
      <xdr:row>3875</xdr:row>
      <xdr:rowOff>1209040</xdr:rowOff>
    </xdr:to>
    <xdr:pic>
      <xdr:nvPicPr>
        <xdr:cNvPr id="7270" name="Изображение 7269" descr="resizeПП-00218947"/>
        <xdr:cNvPicPr>
          <a:picLocks noChangeAspect="1"/>
        </xdr:cNvPicPr>
      </xdr:nvPicPr>
      <xdr:blipFill>
        <a:blip xmlns:r="http://schemas.openxmlformats.org/officeDocument/2006/relationships" r:embed="rId2974"/>
        <a:stretch>
          <a:fillRect/>
        </a:stretch>
      </xdr:blipFill>
      <xdr:spPr>
        <a:xfrm>
          <a:off x="7264400" y="3870426600"/>
          <a:ext cx="878840" cy="1183640"/>
        </a:xfrm>
        <a:prstGeom prst="rect">
          <a:avLst/>
        </a:prstGeom>
      </xdr:spPr>
    </xdr:pic>
    <xdr:clientData/>
  </xdr:twoCellAnchor>
  <xdr:twoCellAnchor>
    <xdr:from>
      <xdr:col>8</xdr:col>
      <xdr:colOff>6350</xdr:colOff>
      <xdr:row>3876</xdr:row>
      <xdr:rowOff>25400</xdr:rowOff>
    </xdr:from>
    <xdr:to>
      <xdr:col>8</xdr:col>
      <xdr:colOff>885190</xdr:colOff>
      <xdr:row>3876</xdr:row>
      <xdr:rowOff>1209040</xdr:rowOff>
    </xdr:to>
    <xdr:pic>
      <xdr:nvPicPr>
        <xdr:cNvPr id="7271" name="Изображение 7270" descr="resizeПП-00267787"/>
        <xdr:cNvPicPr>
          <a:picLocks noChangeAspect="1"/>
        </xdr:cNvPicPr>
      </xdr:nvPicPr>
      <xdr:blipFill>
        <a:blip xmlns:r="http://schemas.openxmlformats.org/officeDocument/2006/relationships" r:embed="rId2975"/>
        <a:stretch>
          <a:fillRect/>
        </a:stretch>
      </xdr:blipFill>
      <xdr:spPr>
        <a:xfrm>
          <a:off x="7264400" y="3871648975"/>
          <a:ext cx="878840" cy="1183640"/>
        </a:xfrm>
        <a:prstGeom prst="rect">
          <a:avLst/>
        </a:prstGeom>
      </xdr:spPr>
    </xdr:pic>
    <xdr:clientData/>
  </xdr:twoCellAnchor>
  <xdr:twoCellAnchor>
    <xdr:from>
      <xdr:col>8</xdr:col>
      <xdr:colOff>6350</xdr:colOff>
      <xdr:row>3877</xdr:row>
      <xdr:rowOff>25400</xdr:rowOff>
    </xdr:from>
    <xdr:to>
      <xdr:col>8</xdr:col>
      <xdr:colOff>885190</xdr:colOff>
      <xdr:row>3877</xdr:row>
      <xdr:rowOff>1209040</xdr:rowOff>
    </xdr:to>
    <xdr:pic>
      <xdr:nvPicPr>
        <xdr:cNvPr id="7272" name="Изображение 7271" descr="resizeПП-00267791"/>
        <xdr:cNvPicPr>
          <a:picLocks noChangeAspect="1"/>
        </xdr:cNvPicPr>
      </xdr:nvPicPr>
      <xdr:blipFill>
        <a:blip xmlns:r="http://schemas.openxmlformats.org/officeDocument/2006/relationships" r:embed="rId2976"/>
        <a:stretch>
          <a:fillRect/>
        </a:stretch>
      </xdr:blipFill>
      <xdr:spPr>
        <a:xfrm>
          <a:off x="7264400" y="3872871350"/>
          <a:ext cx="878840" cy="1183640"/>
        </a:xfrm>
        <a:prstGeom prst="rect">
          <a:avLst/>
        </a:prstGeom>
      </xdr:spPr>
    </xdr:pic>
    <xdr:clientData/>
  </xdr:twoCellAnchor>
  <xdr:twoCellAnchor>
    <xdr:from>
      <xdr:col>8</xdr:col>
      <xdr:colOff>6350</xdr:colOff>
      <xdr:row>3878</xdr:row>
      <xdr:rowOff>25400</xdr:rowOff>
    </xdr:from>
    <xdr:to>
      <xdr:col>8</xdr:col>
      <xdr:colOff>885190</xdr:colOff>
      <xdr:row>3878</xdr:row>
      <xdr:rowOff>1209040</xdr:rowOff>
    </xdr:to>
    <xdr:pic>
      <xdr:nvPicPr>
        <xdr:cNvPr id="7273" name="Изображение 7272" descr="resizeПП-00267790"/>
        <xdr:cNvPicPr>
          <a:picLocks noChangeAspect="1"/>
        </xdr:cNvPicPr>
      </xdr:nvPicPr>
      <xdr:blipFill>
        <a:blip xmlns:r="http://schemas.openxmlformats.org/officeDocument/2006/relationships" r:embed="rId2977"/>
        <a:stretch>
          <a:fillRect/>
        </a:stretch>
      </xdr:blipFill>
      <xdr:spPr>
        <a:xfrm>
          <a:off x="7264400" y="3874093725"/>
          <a:ext cx="878840" cy="1183640"/>
        </a:xfrm>
        <a:prstGeom prst="rect">
          <a:avLst/>
        </a:prstGeom>
      </xdr:spPr>
    </xdr:pic>
    <xdr:clientData/>
  </xdr:twoCellAnchor>
  <xdr:twoCellAnchor>
    <xdr:from>
      <xdr:col>8</xdr:col>
      <xdr:colOff>6350</xdr:colOff>
      <xdr:row>3879</xdr:row>
      <xdr:rowOff>25400</xdr:rowOff>
    </xdr:from>
    <xdr:to>
      <xdr:col>8</xdr:col>
      <xdr:colOff>885190</xdr:colOff>
      <xdr:row>3879</xdr:row>
      <xdr:rowOff>1209040</xdr:rowOff>
    </xdr:to>
    <xdr:pic>
      <xdr:nvPicPr>
        <xdr:cNvPr id="7274" name="Изображение 7273" descr="resizeПП-00267786"/>
        <xdr:cNvPicPr>
          <a:picLocks noChangeAspect="1"/>
        </xdr:cNvPicPr>
      </xdr:nvPicPr>
      <xdr:blipFill>
        <a:blip xmlns:r="http://schemas.openxmlformats.org/officeDocument/2006/relationships" r:embed="rId2978"/>
        <a:stretch>
          <a:fillRect/>
        </a:stretch>
      </xdr:blipFill>
      <xdr:spPr>
        <a:xfrm>
          <a:off x="7264400" y="3875316100"/>
          <a:ext cx="878840" cy="1183640"/>
        </a:xfrm>
        <a:prstGeom prst="rect">
          <a:avLst/>
        </a:prstGeom>
      </xdr:spPr>
    </xdr:pic>
    <xdr:clientData/>
  </xdr:twoCellAnchor>
  <xdr:twoCellAnchor>
    <xdr:from>
      <xdr:col>8</xdr:col>
      <xdr:colOff>6350</xdr:colOff>
      <xdr:row>3880</xdr:row>
      <xdr:rowOff>25400</xdr:rowOff>
    </xdr:from>
    <xdr:to>
      <xdr:col>8</xdr:col>
      <xdr:colOff>885190</xdr:colOff>
      <xdr:row>3880</xdr:row>
      <xdr:rowOff>1209040</xdr:rowOff>
    </xdr:to>
    <xdr:pic>
      <xdr:nvPicPr>
        <xdr:cNvPr id="7275" name="Изображение 7274" descr="resizeПП-00218948"/>
        <xdr:cNvPicPr>
          <a:picLocks noChangeAspect="1"/>
        </xdr:cNvPicPr>
      </xdr:nvPicPr>
      <xdr:blipFill>
        <a:blip xmlns:r="http://schemas.openxmlformats.org/officeDocument/2006/relationships" r:embed="rId2979"/>
        <a:stretch>
          <a:fillRect/>
        </a:stretch>
      </xdr:blipFill>
      <xdr:spPr>
        <a:xfrm>
          <a:off x="7264400" y="3876538475"/>
          <a:ext cx="878840" cy="1183640"/>
        </a:xfrm>
        <a:prstGeom prst="rect">
          <a:avLst/>
        </a:prstGeom>
      </xdr:spPr>
    </xdr:pic>
    <xdr:clientData/>
  </xdr:twoCellAnchor>
  <xdr:twoCellAnchor>
    <xdr:from>
      <xdr:col>8</xdr:col>
      <xdr:colOff>6350</xdr:colOff>
      <xdr:row>3881</xdr:row>
      <xdr:rowOff>25400</xdr:rowOff>
    </xdr:from>
    <xdr:to>
      <xdr:col>8</xdr:col>
      <xdr:colOff>885190</xdr:colOff>
      <xdr:row>3881</xdr:row>
      <xdr:rowOff>1209040</xdr:rowOff>
    </xdr:to>
    <xdr:pic>
      <xdr:nvPicPr>
        <xdr:cNvPr id="7276" name="Изображение 7275" descr="resizeПП-00218949"/>
        <xdr:cNvPicPr>
          <a:picLocks noChangeAspect="1"/>
        </xdr:cNvPicPr>
      </xdr:nvPicPr>
      <xdr:blipFill>
        <a:blip xmlns:r="http://schemas.openxmlformats.org/officeDocument/2006/relationships" r:embed="rId2980"/>
        <a:stretch>
          <a:fillRect/>
        </a:stretch>
      </xdr:blipFill>
      <xdr:spPr>
        <a:xfrm>
          <a:off x="7264400" y="3877760850"/>
          <a:ext cx="878840" cy="1183640"/>
        </a:xfrm>
        <a:prstGeom prst="rect">
          <a:avLst/>
        </a:prstGeom>
      </xdr:spPr>
    </xdr:pic>
    <xdr:clientData/>
  </xdr:twoCellAnchor>
  <xdr:twoCellAnchor>
    <xdr:from>
      <xdr:col>8</xdr:col>
      <xdr:colOff>6350</xdr:colOff>
      <xdr:row>3882</xdr:row>
      <xdr:rowOff>25400</xdr:rowOff>
    </xdr:from>
    <xdr:to>
      <xdr:col>8</xdr:col>
      <xdr:colOff>885190</xdr:colOff>
      <xdr:row>3882</xdr:row>
      <xdr:rowOff>1209040</xdr:rowOff>
    </xdr:to>
    <xdr:pic>
      <xdr:nvPicPr>
        <xdr:cNvPr id="7277" name="Изображение 7276" descr="resizeПП-00152530"/>
        <xdr:cNvPicPr>
          <a:picLocks noChangeAspect="1"/>
        </xdr:cNvPicPr>
      </xdr:nvPicPr>
      <xdr:blipFill>
        <a:blip xmlns:r="http://schemas.openxmlformats.org/officeDocument/2006/relationships" r:embed="rId2981"/>
        <a:stretch>
          <a:fillRect/>
        </a:stretch>
      </xdr:blipFill>
      <xdr:spPr>
        <a:xfrm>
          <a:off x="7264400" y="3878983225"/>
          <a:ext cx="878840" cy="1183640"/>
        </a:xfrm>
        <a:prstGeom prst="rect">
          <a:avLst/>
        </a:prstGeom>
      </xdr:spPr>
    </xdr:pic>
    <xdr:clientData/>
  </xdr:twoCellAnchor>
  <xdr:twoCellAnchor>
    <xdr:from>
      <xdr:col>8</xdr:col>
      <xdr:colOff>6350</xdr:colOff>
      <xdr:row>3883</xdr:row>
      <xdr:rowOff>25400</xdr:rowOff>
    </xdr:from>
    <xdr:to>
      <xdr:col>8</xdr:col>
      <xdr:colOff>885190</xdr:colOff>
      <xdr:row>3883</xdr:row>
      <xdr:rowOff>1209040</xdr:rowOff>
    </xdr:to>
    <xdr:pic>
      <xdr:nvPicPr>
        <xdr:cNvPr id="7278" name="Изображение 7277" descr="resizeПП-00152526"/>
        <xdr:cNvPicPr>
          <a:picLocks noChangeAspect="1"/>
        </xdr:cNvPicPr>
      </xdr:nvPicPr>
      <xdr:blipFill>
        <a:blip xmlns:r="http://schemas.openxmlformats.org/officeDocument/2006/relationships" r:embed="rId2982"/>
        <a:stretch>
          <a:fillRect/>
        </a:stretch>
      </xdr:blipFill>
      <xdr:spPr>
        <a:xfrm>
          <a:off x="7264400" y="3880205600"/>
          <a:ext cx="878840" cy="1183640"/>
        </a:xfrm>
        <a:prstGeom prst="rect">
          <a:avLst/>
        </a:prstGeom>
      </xdr:spPr>
    </xdr:pic>
    <xdr:clientData/>
  </xdr:twoCellAnchor>
  <xdr:twoCellAnchor>
    <xdr:from>
      <xdr:col>8</xdr:col>
      <xdr:colOff>6350</xdr:colOff>
      <xdr:row>3884</xdr:row>
      <xdr:rowOff>25400</xdr:rowOff>
    </xdr:from>
    <xdr:to>
      <xdr:col>8</xdr:col>
      <xdr:colOff>885190</xdr:colOff>
      <xdr:row>3884</xdr:row>
      <xdr:rowOff>1209040</xdr:rowOff>
    </xdr:to>
    <xdr:pic>
      <xdr:nvPicPr>
        <xdr:cNvPr id="7279" name="Изображение 7278" descr="resizeПП-00152527"/>
        <xdr:cNvPicPr>
          <a:picLocks noChangeAspect="1"/>
        </xdr:cNvPicPr>
      </xdr:nvPicPr>
      <xdr:blipFill>
        <a:blip xmlns:r="http://schemas.openxmlformats.org/officeDocument/2006/relationships" r:embed="rId2983"/>
        <a:stretch>
          <a:fillRect/>
        </a:stretch>
      </xdr:blipFill>
      <xdr:spPr>
        <a:xfrm>
          <a:off x="7264400" y="3881427975"/>
          <a:ext cx="878840" cy="1183640"/>
        </a:xfrm>
        <a:prstGeom prst="rect">
          <a:avLst/>
        </a:prstGeom>
      </xdr:spPr>
    </xdr:pic>
    <xdr:clientData/>
  </xdr:twoCellAnchor>
  <xdr:twoCellAnchor>
    <xdr:from>
      <xdr:col>8</xdr:col>
      <xdr:colOff>6350</xdr:colOff>
      <xdr:row>3885</xdr:row>
      <xdr:rowOff>25400</xdr:rowOff>
    </xdr:from>
    <xdr:to>
      <xdr:col>8</xdr:col>
      <xdr:colOff>885190</xdr:colOff>
      <xdr:row>3885</xdr:row>
      <xdr:rowOff>1209040</xdr:rowOff>
    </xdr:to>
    <xdr:pic>
      <xdr:nvPicPr>
        <xdr:cNvPr id="7280" name="Изображение 7279" descr="resizeПП-00152528"/>
        <xdr:cNvPicPr>
          <a:picLocks noChangeAspect="1"/>
        </xdr:cNvPicPr>
      </xdr:nvPicPr>
      <xdr:blipFill>
        <a:blip xmlns:r="http://schemas.openxmlformats.org/officeDocument/2006/relationships" r:embed="rId2984"/>
        <a:stretch>
          <a:fillRect/>
        </a:stretch>
      </xdr:blipFill>
      <xdr:spPr>
        <a:xfrm>
          <a:off x="7264400" y="3882650350"/>
          <a:ext cx="878840" cy="1183640"/>
        </a:xfrm>
        <a:prstGeom prst="rect">
          <a:avLst/>
        </a:prstGeom>
      </xdr:spPr>
    </xdr:pic>
    <xdr:clientData/>
  </xdr:twoCellAnchor>
  <xdr:twoCellAnchor>
    <xdr:from>
      <xdr:col>8</xdr:col>
      <xdr:colOff>6350</xdr:colOff>
      <xdr:row>3886</xdr:row>
      <xdr:rowOff>25400</xdr:rowOff>
    </xdr:from>
    <xdr:to>
      <xdr:col>8</xdr:col>
      <xdr:colOff>885190</xdr:colOff>
      <xdr:row>3886</xdr:row>
      <xdr:rowOff>1209040</xdr:rowOff>
    </xdr:to>
    <xdr:pic>
      <xdr:nvPicPr>
        <xdr:cNvPr id="7281" name="Изображение 7280" descr="resizeПП-00152533"/>
        <xdr:cNvPicPr>
          <a:picLocks noChangeAspect="1"/>
        </xdr:cNvPicPr>
      </xdr:nvPicPr>
      <xdr:blipFill>
        <a:blip xmlns:r="http://schemas.openxmlformats.org/officeDocument/2006/relationships" r:embed="rId2985"/>
        <a:stretch>
          <a:fillRect/>
        </a:stretch>
      </xdr:blipFill>
      <xdr:spPr>
        <a:xfrm>
          <a:off x="7264400" y="3883872725"/>
          <a:ext cx="878840" cy="1183640"/>
        </a:xfrm>
        <a:prstGeom prst="rect">
          <a:avLst/>
        </a:prstGeom>
      </xdr:spPr>
    </xdr:pic>
    <xdr:clientData/>
  </xdr:twoCellAnchor>
  <xdr:twoCellAnchor>
    <xdr:from>
      <xdr:col>8</xdr:col>
      <xdr:colOff>6350</xdr:colOff>
      <xdr:row>3888</xdr:row>
      <xdr:rowOff>25400</xdr:rowOff>
    </xdr:from>
    <xdr:to>
      <xdr:col>8</xdr:col>
      <xdr:colOff>885190</xdr:colOff>
      <xdr:row>3888</xdr:row>
      <xdr:rowOff>1209040</xdr:rowOff>
    </xdr:to>
    <xdr:pic>
      <xdr:nvPicPr>
        <xdr:cNvPr id="7282" name="Изображение 7281" descr="resizeПП-00276920"/>
        <xdr:cNvPicPr>
          <a:picLocks noChangeAspect="1"/>
        </xdr:cNvPicPr>
      </xdr:nvPicPr>
      <xdr:blipFill>
        <a:blip xmlns:r="http://schemas.openxmlformats.org/officeDocument/2006/relationships" r:embed="rId2986"/>
        <a:stretch>
          <a:fillRect/>
        </a:stretch>
      </xdr:blipFill>
      <xdr:spPr>
        <a:xfrm>
          <a:off x="7264400" y="3885247500"/>
          <a:ext cx="878840" cy="1183640"/>
        </a:xfrm>
        <a:prstGeom prst="rect">
          <a:avLst/>
        </a:prstGeom>
      </xdr:spPr>
    </xdr:pic>
    <xdr:clientData/>
  </xdr:twoCellAnchor>
  <xdr:twoCellAnchor>
    <xdr:from>
      <xdr:col>8</xdr:col>
      <xdr:colOff>6350</xdr:colOff>
      <xdr:row>3889</xdr:row>
      <xdr:rowOff>25400</xdr:rowOff>
    </xdr:from>
    <xdr:to>
      <xdr:col>8</xdr:col>
      <xdr:colOff>885190</xdr:colOff>
      <xdr:row>3889</xdr:row>
      <xdr:rowOff>1209040</xdr:rowOff>
    </xdr:to>
    <xdr:pic>
      <xdr:nvPicPr>
        <xdr:cNvPr id="7283" name="Изображение 7282" descr="resizeПП-00274384"/>
        <xdr:cNvPicPr>
          <a:picLocks noChangeAspect="1"/>
        </xdr:cNvPicPr>
      </xdr:nvPicPr>
      <xdr:blipFill>
        <a:blip xmlns:r="http://schemas.openxmlformats.org/officeDocument/2006/relationships" r:embed="rId2987"/>
        <a:stretch>
          <a:fillRect/>
        </a:stretch>
      </xdr:blipFill>
      <xdr:spPr>
        <a:xfrm>
          <a:off x="7264400" y="3886469875"/>
          <a:ext cx="878840" cy="1183640"/>
        </a:xfrm>
        <a:prstGeom prst="rect">
          <a:avLst/>
        </a:prstGeom>
      </xdr:spPr>
    </xdr:pic>
    <xdr:clientData/>
  </xdr:twoCellAnchor>
  <xdr:twoCellAnchor>
    <xdr:from>
      <xdr:col>8</xdr:col>
      <xdr:colOff>6350</xdr:colOff>
      <xdr:row>3890</xdr:row>
      <xdr:rowOff>25400</xdr:rowOff>
    </xdr:from>
    <xdr:to>
      <xdr:col>8</xdr:col>
      <xdr:colOff>885190</xdr:colOff>
      <xdr:row>3890</xdr:row>
      <xdr:rowOff>1209040</xdr:rowOff>
    </xdr:to>
    <xdr:pic>
      <xdr:nvPicPr>
        <xdr:cNvPr id="7284" name="Изображение 7283" descr="resizeПП-00276919"/>
        <xdr:cNvPicPr>
          <a:picLocks noChangeAspect="1"/>
        </xdr:cNvPicPr>
      </xdr:nvPicPr>
      <xdr:blipFill>
        <a:blip xmlns:r="http://schemas.openxmlformats.org/officeDocument/2006/relationships" r:embed="rId2988"/>
        <a:stretch>
          <a:fillRect/>
        </a:stretch>
      </xdr:blipFill>
      <xdr:spPr>
        <a:xfrm>
          <a:off x="7264400" y="3887692250"/>
          <a:ext cx="878840" cy="1183640"/>
        </a:xfrm>
        <a:prstGeom prst="rect">
          <a:avLst/>
        </a:prstGeom>
      </xdr:spPr>
    </xdr:pic>
    <xdr:clientData/>
  </xdr:twoCellAnchor>
  <xdr:twoCellAnchor>
    <xdr:from>
      <xdr:col>8</xdr:col>
      <xdr:colOff>6350</xdr:colOff>
      <xdr:row>3893</xdr:row>
      <xdr:rowOff>25400</xdr:rowOff>
    </xdr:from>
    <xdr:to>
      <xdr:col>8</xdr:col>
      <xdr:colOff>885190</xdr:colOff>
      <xdr:row>3893</xdr:row>
      <xdr:rowOff>1209040</xdr:rowOff>
    </xdr:to>
    <xdr:pic>
      <xdr:nvPicPr>
        <xdr:cNvPr id="7285" name="Изображение 7284" descr="resizeПП-00210524"/>
        <xdr:cNvPicPr>
          <a:picLocks noChangeAspect="1"/>
        </xdr:cNvPicPr>
      </xdr:nvPicPr>
      <xdr:blipFill>
        <a:blip xmlns:r="http://schemas.openxmlformats.org/officeDocument/2006/relationships" r:embed="rId2989"/>
        <a:stretch>
          <a:fillRect/>
        </a:stretch>
      </xdr:blipFill>
      <xdr:spPr>
        <a:xfrm>
          <a:off x="7264400" y="3889219425"/>
          <a:ext cx="878840" cy="1183640"/>
        </a:xfrm>
        <a:prstGeom prst="rect">
          <a:avLst/>
        </a:prstGeom>
      </xdr:spPr>
    </xdr:pic>
    <xdr:clientData/>
  </xdr:twoCellAnchor>
  <xdr:twoCellAnchor>
    <xdr:from>
      <xdr:col>8</xdr:col>
      <xdr:colOff>6350</xdr:colOff>
      <xdr:row>3894</xdr:row>
      <xdr:rowOff>25400</xdr:rowOff>
    </xdr:from>
    <xdr:to>
      <xdr:col>8</xdr:col>
      <xdr:colOff>885190</xdr:colOff>
      <xdr:row>3894</xdr:row>
      <xdr:rowOff>1209040</xdr:rowOff>
    </xdr:to>
    <xdr:pic>
      <xdr:nvPicPr>
        <xdr:cNvPr id="7286" name="Изображение 7285" descr="resizeПП-00210522"/>
        <xdr:cNvPicPr>
          <a:picLocks noChangeAspect="1"/>
        </xdr:cNvPicPr>
      </xdr:nvPicPr>
      <xdr:blipFill>
        <a:blip xmlns:r="http://schemas.openxmlformats.org/officeDocument/2006/relationships" r:embed="rId2990"/>
        <a:stretch>
          <a:fillRect/>
        </a:stretch>
      </xdr:blipFill>
      <xdr:spPr>
        <a:xfrm>
          <a:off x="7264400" y="3890441800"/>
          <a:ext cx="878840" cy="1183640"/>
        </a:xfrm>
        <a:prstGeom prst="rect">
          <a:avLst/>
        </a:prstGeom>
      </xdr:spPr>
    </xdr:pic>
    <xdr:clientData/>
  </xdr:twoCellAnchor>
  <xdr:twoCellAnchor>
    <xdr:from>
      <xdr:col>8</xdr:col>
      <xdr:colOff>6350</xdr:colOff>
      <xdr:row>3896</xdr:row>
      <xdr:rowOff>25400</xdr:rowOff>
    </xdr:from>
    <xdr:to>
      <xdr:col>8</xdr:col>
      <xdr:colOff>885190</xdr:colOff>
      <xdr:row>3896</xdr:row>
      <xdr:rowOff>1209040</xdr:rowOff>
    </xdr:to>
    <xdr:pic>
      <xdr:nvPicPr>
        <xdr:cNvPr id="7287" name="Изображение 7286" descr="resizeПП-00210380"/>
        <xdr:cNvPicPr>
          <a:picLocks noChangeAspect="1"/>
        </xdr:cNvPicPr>
      </xdr:nvPicPr>
      <xdr:blipFill>
        <a:blip xmlns:r="http://schemas.openxmlformats.org/officeDocument/2006/relationships" r:embed="rId2991"/>
        <a:stretch>
          <a:fillRect/>
        </a:stretch>
      </xdr:blipFill>
      <xdr:spPr>
        <a:xfrm>
          <a:off x="7264400" y="3891816575"/>
          <a:ext cx="878840" cy="1183640"/>
        </a:xfrm>
        <a:prstGeom prst="rect">
          <a:avLst/>
        </a:prstGeom>
      </xdr:spPr>
    </xdr:pic>
    <xdr:clientData/>
  </xdr:twoCellAnchor>
  <xdr:twoCellAnchor>
    <xdr:from>
      <xdr:col>8</xdr:col>
      <xdr:colOff>6350</xdr:colOff>
      <xdr:row>3897</xdr:row>
      <xdr:rowOff>25400</xdr:rowOff>
    </xdr:from>
    <xdr:to>
      <xdr:col>8</xdr:col>
      <xdr:colOff>885190</xdr:colOff>
      <xdr:row>3897</xdr:row>
      <xdr:rowOff>1209040</xdr:rowOff>
    </xdr:to>
    <xdr:pic>
      <xdr:nvPicPr>
        <xdr:cNvPr id="7288" name="Изображение 7287" descr="resizeПП-00210374"/>
        <xdr:cNvPicPr>
          <a:picLocks noChangeAspect="1"/>
        </xdr:cNvPicPr>
      </xdr:nvPicPr>
      <xdr:blipFill>
        <a:blip xmlns:r="http://schemas.openxmlformats.org/officeDocument/2006/relationships" r:embed="rId2992"/>
        <a:stretch>
          <a:fillRect/>
        </a:stretch>
      </xdr:blipFill>
      <xdr:spPr>
        <a:xfrm>
          <a:off x="7264400" y="3893038950"/>
          <a:ext cx="878840" cy="1183640"/>
        </a:xfrm>
        <a:prstGeom prst="rect">
          <a:avLst/>
        </a:prstGeom>
      </xdr:spPr>
    </xdr:pic>
    <xdr:clientData/>
  </xdr:twoCellAnchor>
  <xdr:twoCellAnchor>
    <xdr:from>
      <xdr:col>8</xdr:col>
      <xdr:colOff>6350</xdr:colOff>
      <xdr:row>3899</xdr:row>
      <xdr:rowOff>25400</xdr:rowOff>
    </xdr:from>
    <xdr:to>
      <xdr:col>8</xdr:col>
      <xdr:colOff>885190</xdr:colOff>
      <xdr:row>3899</xdr:row>
      <xdr:rowOff>1209040</xdr:rowOff>
    </xdr:to>
    <xdr:pic>
      <xdr:nvPicPr>
        <xdr:cNvPr id="7289" name="Изображение 7288" descr="resizeПП-00076616"/>
        <xdr:cNvPicPr>
          <a:picLocks noChangeAspect="1"/>
        </xdr:cNvPicPr>
      </xdr:nvPicPr>
      <xdr:blipFill>
        <a:blip xmlns:r="http://schemas.openxmlformats.org/officeDocument/2006/relationships" r:embed="rId2993"/>
        <a:stretch>
          <a:fillRect/>
        </a:stretch>
      </xdr:blipFill>
      <xdr:spPr>
        <a:xfrm>
          <a:off x="7264400" y="3894413725"/>
          <a:ext cx="878840" cy="1183640"/>
        </a:xfrm>
        <a:prstGeom prst="rect">
          <a:avLst/>
        </a:prstGeom>
      </xdr:spPr>
    </xdr:pic>
    <xdr:clientData/>
  </xdr:twoCellAnchor>
  <xdr:twoCellAnchor>
    <xdr:from>
      <xdr:col>8</xdr:col>
      <xdr:colOff>6350</xdr:colOff>
      <xdr:row>3902</xdr:row>
      <xdr:rowOff>25400</xdr:rowOff>
    </xdr:from>
    <xdr:to>
      <xdr:col>8</xdr:col>
      <xdr:colOff>885190</xdr:colOff>
      <xdr:row>3902</xdr:row>
      <xdr:rowOff>1209040</xdr:rowOff>
    </xdr:to>
    <xdr:pic>
      <xdr:nvPicPr>
        <xdr:cNvPr id="7290" name="Изображение 7289" descr="resizeПП-00211427"/>
        <xdr:cNvPicPr>
          <a:picLocks noChangeAspect="1"/>
        </xdr:cNvPicPr>
      </xdr:nvPicPr>
      <xdr:blipFill>
        <a:blip xmlns:r="http://schemas.openxmlformats.org/officeDocument/2006/relationships" r:embed="rId2994"/>
        <a:stretch>
          <a:fillRect/>
        </a:stretch>
      </xdr:blipFill>
      <xdr:spPr>
        <a:xfrm>
          <a:off x="7264400" y="3895940900"/>
          <a:ext cx="878840" cy="1183640"/>
        </a:xfrm>
        <a:prstGeom prst="rect">
          <a:avLst/>
        </a:prstGeom>
      </xdr:spPr>
    </xdr:pic>
    <xdr:clientData/>
  </xdr:twoCellAnchor>
  <xdr:twoCellAnchor>
    <xdr:from>
      <xdr:col>8</xdr:col>
      <xdr:colOff>6350</xdr:colOff>
      <xdr:row>3903</xdr:row>
      <xdr:rowOff>25400</xdr:rowOff>
    </xdr:from>
    <xdr:to>
      <xdr:col>8</xdr:col>
      <xdr:colOff>885190</xdr:colOff>
      <xdr:row>3903</xdr:row>
      <xdr:rowOff>1209040</xdr:rowOff>
    </xdr:to>
    <xdr:pic>
      <xdr:nvPicPr>
        <xdr:cNvPr id="7291" name="Изображение 7290" descr="resizeПП-00211457"/>
        <xdr:cNvPicPr>
          <a:picLocks noChangeAspect="1"/>
        </xdr:cNvPicPr>
      </xdr:nvPicPr>
      <xdr:blipFill>
        <a:blip xmlns:r="http://schemas.openxmlformats.org/officeDocument/2006/relationships" r:embed="rId2995"/>
        <a:stretch>
          <a:fillRect/>
        </a:stretch>
      </xdr:blipFill>
      <xdr:spPr>
        <a:xfrm>
          <a:off x="7264400" y="3897163275"/>
          <a:ext cx="878840" cy="1183640"/>
        </a:xfrm>
        <a:prstGeom prst="rect">
          <a:avLst/>
        </a:prstGeom>
      </xdr:spPr>
    </xdr:pic>
    <xdr:clientData/>
  </xdr:twoCellAnchor>
  <xdr:twoCellAnchor>
    <xdr:from>
      <xdr:col>8</xdr:col>
      <xdr:colOff>6350</xdr:colOff>
      <xdr:row>3904</xdr:row>
      <xdr:rowOff>25400</xdr:rowOff>
    </xdr:from>
    <xdr:to>
      <xdr:col>8</xdr:col>
      <xdr:colOff>885190</xdr:colOff>
      <xdr:row>3904</xdr:row>
      <xdr:rowOff>1209040</xdr:rowOff>
    </xdr:to>
    <xdr:pic>
      <xdr:nvPicPr>
        <xdr:cNvPr id="7292" name="Изображение 7291" descr="resizeПП-00211455"/>
        <xdr:cNvPicPr>
          <a:picLocks noChangeAspect="1"/>
        </xdr:cNvPicPr>
      </xdr:nvPicPr>
      <xdr:blipFill>
        <a:blip xmlns:r="http://schemas.openxmlformats.org/officeDocument/2006/relationships" r:embed="rId2996"/>
        <a:stretch>
          <a:fillRect/>
        </a:stretch>
      </xdr:blipFill>
      <xdr:spPr>
        <a:xfrm>
          <a:off x="7264400" y="3898385650"/>
          <a:ext cx="878840" cy="1183640"/>
        </a:xfrm>
        <a:prstGeom prst="rect">
          <a:avLst/>
        </a:prstGeom>
      </xdr:spPr>
    </xdr:pic>
    <xdr:clientData/>
  </xdr:twoCellAnchor>
  <xdr:twoCellAnchor>
    <xdr:from>
      <xdr:col>8</xdr:col>
      <xdr:colOff>6350</xdr:colOff>
      <xdr:row>3905</xdr:row>
      <xdr:rowOff>25400</xdr:rowOff>
    </xdr:from>
    <xdr:to>
      <xdr:col>8</xdr:col>
      <xdr:colOff>885190</xdr:colOff>
      <xdr:row>3905</xdr:row>
      <xdr:rowOff>1209040</xdr:rowOff>
    </xdr:to>
    <xdr:pic>
      <xdr:nvPicPr>
        <xdr:cNvPr id="7293" name="Изображение 7292" descr="resizeПП-00211449"/>
        <xdr:cNvPicPr>
          <a:picLocks noChangeAspect="1"/>
        </xdr:cNvPicPr>
      </xdr:nvPicPr>
      <xdr:blipFill>
        <a:blip xmlns:r="http://schemas.openxmlformats.org/officeDocument/2006/relationships" r:embed="rId2997"/>
        <a:stretch>
          <a:fillRect/>
        </a:stretch>
      </xdr:blipFill>
      <xdr:spPr>
        <a:xfrm>
          <a:off x="7264400" y="3899608025"/>
          <a:ext cx="878840" cy="1183640"/>
        </a:xfrm>
        <a:prstGeom prst="rect">
          <a:avLst/>
        </a:prstGeom>
      </xdr:spPr>
    </xdr:pic>
    <xdr:clientData/>
  </xdr:twoCellAnchor>
  <xdr:twoCellAnchor>
    <xdr:from>
      <xdr:col>8</xdr:col>
      <xdr:colOff>6350</xdr:colOff>
      <xdr:row>3906</xdr:row>
      <xdr:rowOff>25400</xdr:rowOff>
    </xdr:from>
    <xdr:to>
      <xdr:col>8</xdr:col>
      <xdr:colOff>885190</xdr:colOff>
      <xdr:row>3906</xdr:row>
      <xdr:rowOff>1209040</xdr:rowOff>
    </xdr:to>
    <xdr:pic>
      <xdr:nvPicPr>
        <xdr:cNvPr id="7294" name="Изображение 7293" descr="resizeПП-00211445"/>
        <xdr:cNvPicPr>
          <a:picLocks noChangeAspect="1"/>
        </xdr:cNvPicPr>
      </xdr:nvPicPr>
      <xdr:blipFill>
        <a:blip xmlns:r="http://schemas.openxmlformats.org/officeDocument/2006/relationships" r:embed="rId2998"/>
        <a:stretch>
          <a:fillRect/>
        </a:stretch>
      </xdr:blipFill>
      <xdr:spPr>
        <a:xfrm>
          <a:off x="7264400" y="3900830400"/>
          <a:ext cx="878840" cy="1183640"/>
        </a:xfrm>
        <a:prstGeom prst="rect">
          <a:avLst/>
        </a:prstGeom>
      </xdr:spPr>
    </xdr:pic>
    <xdr:clientData/>
  </xdr:twoCellAnchor>
  <xdr:twoCellAnchor>
    <xdr:from>
      <xdr:col>8</xdr:col>
      <xdr:colOff>6350</xdr:colOff>
      <xdr:row>3907</xdr:row>
      <xdr:rowOff>25400</xdr:rowOff>
    </xdr:from>
    <xdr:to>
      <xdr:col>8</xdr:col>
      <xdr:colOff>885190</xdr:colOff>
      <xdr:row>3907</xdr:row>
      <xdr:rowOff>1209040</xdr:rowOff>
    </xdr:to>
    <xdr:pic>
      <xdr:nvPicPr>
        <xdr:cNvPr id="7295" name="Изображение 7294" descr="resizeПП-00211441"/>
        <xdr:cNvPicPr>
          <a:picLocks noChangeAspect="1"/>
        </xdr:cNvPicPr>
      </xdr:nvPicPr>
      <xdr:blipFill>
        <a:blip xmlns:r="http://schemas.openxmlformats.org/officeDocument/2006/relationships" r:embed="rId2999"/>
        <a:stretch>
          <a:fillRect/>
        </a:stretch>
      </xdr:blipFill>
      <xdr:spPr>
        <a:xfrm>
          <a:off x="7264400" y="3902052775"/>
          <a:ext cx="878840" cy="1183640"/>
        </a:xfrm>
        <a:prstGeom prst="rect">
          <a:avLst/>
        </a:prstGeom>
      </xdr:spPr>
    </xdr:pic>
    <xdr:clientData/>
  </xdr:twoCellAnchor>
  <xdr:twoCellAnchor>
    <xdr:from>
      <xdr:col>8</xdr:col>
      <xdr:colOff>6350</xdr:colOff>
      <xdr:row>3909</xdr:row>
      <xdr:rowOff>25400</xdr:rowOff>
    </xdr:from>
    <xdr:to>
      <xdr:col>8</xdr:col>
      <xdr:colOff>885190</xdr:colOff>
      <xdr:row>3909</xdr:row>
      <xdr:rowOff>1209040</xdr:rowOff>
    </xdr:to>
    <xdr:pic>
      <xdr:nvPicPr>
        <xdr:cNvPr id="7296" name="Изображение 7295" descr="resizeПП-00234594"/>
        <xdr:cNvPicPr>
          <a:picLocks noChangeAspect="1"/>
        </xdr:cNvPicPr>
      </xdr:nvPicPr>
      <xdr:blipFill>
        <a:blip xmlns:r="http://schemas.openxmlformats.org/officeDocument/2006/relationships" r:embed="rId3000"/>
        <a:stretch>
          <a:fillRect/>
        </a:stretch>
      </xdr:blipFill>
      <xdr:spPr>
        <a:xfrm>
          <a:off x="7264400" y="3903427550"/>
          <a:ext cx="878840" cy="1183640"/>
        </a:xfrm>
        <a:prstGeom prst="rect">
          <a:avLst/>
        </a:prstGeom>
      </xdr:spPr>
    </xdr:pic>
    <xdr:clientData/>
  </xdr:twoCellAnchor>
  <xdr:twoCellAnchor>
    <xdr:from>
      <xdr:col>8</xdr:col>
      <xdr:colOff>6350</xdr:colOff>
      <xdr:row>3910</xdr:row>
      <xdr:rowOff>25400</xdr:rowOff>
    </xdr:from>
    <xdr:to>
      <xdr:col>8</xdr:col>
      <xdr:colOff>885190</xdr:colOff>
      <xdr:row>3910</xdr:row>
      <xdr:rowOff>1209040</xdr:rowOff>
    </xdr:to>
    <xdr:pic>
      <xdr:nvPicPr>
        <xdr:cNvPr id="7297" name="Изображение 7296" descr="resizeПП-00234588"/>
        <xdr:cNvPicPr>
          <a:picLocks noChangeAspect="1"/>
        </xdr:cNvPicPr>
      </xdr:nvPicPr>
      <xdr:blipFill>
        <a:blip xmlns:r="http://schemas.openxmlformats.org/officeDocument/2006/relationships" r:embed="rId3001"/>
        <a:stretch>
          <a:fillRect/>
        </a:stretch>
      </xdr:blipFill>
      <xdr:spPr>
        <a:xfrm>
          <a:off x="7264400" y="3904649925"/>
          <a:ext cx="878840" cy="1183640"/>
        </a:xfrm>
        <a:prstGeom prst="rect">
          <a:avLst/>
        </a:prstGeom>
      </xdr:spPr>
    </xdr:pic>
    <xdr:clientData/>
  </xdr:twoCellAnchor>
  <xdr:twoCellAnchor>
    <xdr:from>
      <xdr:col>8</xdr:col>
      <xdr:colOff>6350</xdr:colOff>
      <xdr:row>3911</xdr:row>
      <xdr:rowOff>25400</xdr:rowOff>
    </xdr:from>
    <xdr:to>
      <xdr:col>8</xdr:col>
      <xdr:colOff>885190</xdr:colOff>
      <xdr:row>3911</xdr:row>
      <xdr:rowOff>1209040</xdr:rowOff>
    </xdr:to>
    <xdr:pic>
      <xdr:nvPicPr>
        <xdr:cNvPr id="7298" name="Изображение 7297" descr="resizeПП-00234587"/>
        <xdr:cNvPicPr>
          <a:picLocks noChangeAspect="1"/>
        </xdr:cNvPicPr>
      </xdr:nvPicPr>
      <xdr:blipFill>
        <a:blip xmlns:r="http://schemas.openxmlformats.org/officeDocument/2006/relationships" r:embed="rId3002"/>
        <a:stretch>
          <a:fillRect/>
        </a:stretch>
      </xdr:blipFill>
      <xdr:spPr>
        <a:xfrm>
          <a:off x="7264400" y="3905872300"/>
          <a:ext cx="878840" cy="1183640"/>
        </a:xfrm>
        <a:prstGeom prst="rect">
          <a:avLst/>
        </a:prstGeom>
      </xdr:spPr>
    </xdr:pic>
    <xdr:clientData/>
  </xdr:twoCellAnchor>
  <xdr:twoCellAnchor>
    <xdr:from>
      <xdr:col>8</xdr:col>
      <xdr:colOff>6350</xdr:colOff>
      <xdr:row>3912</xdr:row>
      <xdr:rowOff>25400</xdr:rowOff>
    </xdr:from>
    <xdr:to>
      <xdr:col>8</xdr:col>
      <xdr:colOff>885190</xdr:colOff>
      <xdr:row>3912</xdr:row>
      <xdr:rowOff>1209040</xdr:rowOff>
    </xdr:to>
    <xdr:pic>
      <xdr:nvPicPr>
        <xdr:cNvPr id="7299" name="Изображение 7298" descr="resizeПП-00234595"/>
        <xdr:cNvPicPr>
          <a:picLocks noChangeAspect="1"/>
        </xdr:cNvPicPr>
      </xdr:nvPicPr>
      <xdr:blipFill>
        <a:blip xmlns:r="http://schemas.openxmlformats.org/officeDocument/2006/relationships" r:embed="rId3003"/>
        <a:stretch>
          <a:fillRect/>
        </a:stretch>
      </xdr:blipFill>
      <xdr:spPr>
        <a:xfrm>
          <a:off x="7264400" y="3907094675"/>
          <a:ext cx="878840" cy="1183640"/>
        </a:xfrm>
        <a:prstGeom prst="rect">
          <a:avLst/>
        </a:prstGeom>
      </xdr:spPr>
    </xdr:pic>
    <xdr:clientData/>
  </xdr:twoCellAnchor>
  <xdr:twoCellAnchor>
    <xdr:from>
      <xdr:col>8</xdr:col>
      <xdr:colOff>6350</xdr:colOff>
      <xdr:row>3913</xdr:row>
      <xdr:rowOff>25400</xdr:rowOff>
    </xdr:from>
    <xdr:to>
      <xdr:col>8</xdr:col>
      <xdr:colOff>885190</xdr:colOff>
      <xdr:row>3913</xdr:row>
      <xdr:rowOff>1209040</xdr:rowOff>
    </xdr:to>
    <xdr:pic>
      <xdr:nvPicPr>
        <xdr:cNvPr id="7300" name="Изображение 7299" descr="resizeПП-00234601"/>
        <xdr:cNvPicPr>
          <a:picLocks noChangeAspect="1"/>
        </xdr:cNvPicPr>
      </xdr:nvPicPr>
      <xdr:blipFill>
        <a:blip xmlns:r="http://schemas.openxmlformats.org/officeDocument/2006/relationships" r:embed="rId3004"/>
        <a:stretch>
          <a:fillRect/>
        </a:stretch>
      </xdr:blipFill>
      <xdr:spPr>
        <a:xfrm>
          <a:off x="7264400" y="3908317050"/>
          <a:ext cx="878840" cy="1183640"/>
        </a:xfrm>
        <a:prstGeom prst="rect">
          <a:avLst/>
        </a:prstGeom>
      </xdr:spPr>
    </xdr:pic>
    <xdr:clientData/>
  </xdr:twoCellAnchor>
  <xdr:twoCellAnchor>
    <xdr:from>
      <xdr:col>8</xdr:col>
      <xdr:colOff>6350</xdr:colOff>
      <xdr:row>3914</xdr:row>
      <xdr:rowOff>25400</xdr:rowOff>
    </xdr:from>
    <xdr:to>
      <xdr:col>8</xdr:col>
      <xdr:colOff>885190</xdr:colOff>
      <xdr:row>3914</xdr:row>
      <xdr:rowOff>1209040</xdr:rowOff>
    </xdr:to>
    <xdr:pic>
      <xdr:nvPicPr>
        <xdr:cNvPr id="7301" name="Изображение 7300" descr="resizeПП-00234592"/>
        <xdr:cNvPicPr>
          <a:picLocks noChangeAspect="1"/>
        </xdr:cNvPicPr>
      </xdr:nvPicPr>
      <xdr:blipFill>
        <a:blip xmlns:r="http://schemas.openxmlformats.org/officeDocument/2006/relationships" r:embed="rId3005"/>
        <a:stretch>
          <a:fillRect/>
        </a:stretch>
      </xdr:blipFill>
      <xdr:spPr>
        <a:xfrm>
          <a:off x="7264400" y="3909539425"/>
          <a:ext cx="878840" cy="1183640"/>
        </a:xfrm>
        <a:prstGeom prst="rect">
          <a:avLst/>
        </a:prstGeom>
      </xdr:spPr>
    </xdr:pic>
    <xdr:clientData/>
  </xdr:twoCellAnchor>
  <xdr:twoCellAnchor>
    <xdr:from>
      <xdr:col>8</xdr:col>
      <xdr:colOff>6350</xdr:colOff>
      <xdr:row>3915</xdr:row>
      <xdr:rowOff>25400</xdr:rowOff>
    </xdr:from>
    <xdr:to>
      <xdr:col>8</xdr:col>
      <xdr:colOff>885190</xdr:colOff>
      <xdr:row>3915</xdr:row>
      <xdr:rowOff>1209040</xdr:rowOff>
    </xdr:to>
    <xdr:pic>
      <xdr:nvPicPr>
        <xdr:cNvPr id="7302" name="Изображение 7301" descr="resizeПП-00234593"/>
        <xdr:cNvPicPr>
          <a:picLocks noChangeAspect="1"/>
        </xdr:cNvPicPr>
      </xdr:nvPicPr>
      <xdr:blipFill>
        <a:blip xmlns:r="http://schemas.openxmlformats.org/officeDocument/2006/relationships" r:embed="rId3006"/>
        <a:stretch>
          <a:fillRect/>
        </a:stretch>
      </xdr:blipFill>
      <xdr:spPr>
        <a:xfrm>
          <a:off x="7264400" y="3910761800"/>
          <a:ext cx="878840" cy="1183640"/>
        </a:xfrm>
        <a:prstGeom prst="rect">
          <a:avLst/>
        </a:prstGeom>
      </xdr:spPr>
    </xdr:pic>
    <xdr:clientData/>
  </xdr:twoCellAnchor>
  <xdr:twoCellAnchor>
    <xdr:from>
      <xdr:col>8</xdr:col>
      <xdr:colOff>6350</xdr:colOff>
      <xdr:row>3916</xdr:row>
      <xdr:rowOff>25400</xdr:rowOff>
    </xdr:from>
    <xdr:to>
      <xdr:col>8</xdr:col>
      <xdr:colOff>885190</xdr:colOff>
      <xdr:row>3916</xdr:row>
      <xdr:rowOff>1209040</xdr:rowOff>
    </xdr:to>
    <xdr:pic>
      <xdr:nvPicPr>
        <xdr:cNvPr id="7303" name="Изображение 7302" descr="resizeПП-00234604"/>
        <xdr:cNvPicPr>
          <a:picLocks noChangeAspect="1"/>
        </xdr:cNvPicPr>
      </xdr:nvPicPr>
      <xdr:blipFill>
        <a:blip xmlns:r="http://schemas.openxmlformats.org/officeDocument/2006/relationships" r:embed="rId3007"/>
        <a:stretch>
          <a:fillRect/>
        </a:stretch>
      </xdr:blipFill>
      <xdr:spPr>
        <a:xfrm>
          <a:off x="7264400" y="3911984175"/>
          <a:ext cx="878840" cy="1183640"/>
        </a:xfrm>
        <a:prstGeom prst="rect">
          <a:avLst/>
        </a:prstGeom>
      </xdr:spPr>
    </xdr:pic>
    <xdr:clientData/>
  </xdr:twoCellAnchor>
  <xdr:twoCellAnchor>
    <xdr:from>
      <xdr:col>8</xdr:col>
      <xdr:colOff>6350</xdr:colOff>
      <xdr:row>3917</xdr:row>
      <xdr:rowOff>25400</xdr:rowOff>
    </xdr:from>
    <xdr:to>
      <xdr:col>8</xdr:col>
      <xdr:colOff>885190</xdr:colOff>
      <xdr:row>3917</xdr:row>
      <xdr:rowOff>1209040</xdr:rowOff>
    </xdr:to>
    <xdr:pic>
      <xdr:nvPicPr>
        <xdr:cNvPr id="7304" name="Изображение 7303" descr="resizeПП-00234600"/>
        <xdr:cNvPicPr>
          <a:picLocks noChangeAspect="1"/>
        </xdr:cNvPicPr>
      </xdr:nvPicPr>
      <xdr:blipFill>
        <a:blip xmlns:r="http://schemas.openxmlformats.org/officeDocument/2006/relationships" r:embed="rId3008"/>
        <a:stretch>
          <a:fillRect/>
        </a:stretch>
      </xdr:blipFill>
      <xdr:spPr>
        <a:xfrm>
          <a:off x="7264400" y="3913206550"/>
          <a:ext cx="878840" cy="1183640"/>
        </a:xfrm>
        <a:prstGeom prst="rect">
          <a:avLst/>
        </a:prstGeom>
      </xdr:spPr>
    </xdr:pic>
    <xdr:clientData/>
  </xdr:twoCellAnchor>
  <xdr:twoCellAnchor>
    <xdr:from>
      <xdr:col>8</xdr:col>
      <xdr:colOff>6350</xdr:colOff>
      <xdr:row>3920</xdr:row>
      <xdr:rowOff>25400</xdr:rowOff>
    </xdr:from>
    <xdr:to>
      <xdr:col>8</xdr:col>
      <xdr:colOff>885190</xdr:colOff>
      <xdr:row>3920</xdr:row>
      <xdr:rowOff>1209040</xdr:rowOff>
    </xdr:to>
    <xdr:pic>
      <xdr:nvPicPr>
        <xdr:cNvPr id="7305" name="Изображение 7304" descr="resizeПП-00212646"/>
        <xdr:cNvPicPr>
          <a:picLocks noChangeAspect="1"/>
        </xdr:cNvPicPr>
      </xdr:nvPicPr>
      <xdr:blipFill>
        <a:blip xmlns:r="http://schemas.openxmlformats.org/officeDocument/2006/relationships" r:embed="rId3009"/>
        <a:stretch>
          <a:fillRect/>
        </a:stretch>
      </xdr:blipFill>
      <xdr:spPr>
        <a:xfrm>
          <a:off x="7264400" y="3914733725"/>
          <a:ext cx="878840" cy="1183640"/>
        </a:xfrm>
        <a:prstGeom prst="rect">
          <a:avLst/>
        </a:prstGeom>
      </xdr:spPr>
    </xdr:pic>
    <xdr:clientData/>
  </xdr:twoCellAnchor>
  <xdr:twoCellAnchor>
    <xdr:from>
      <xdr:col>8</xdr:col>
      <xdr:colOff>6350</xdr:colOff>
      <xdr:row>3922</xdr:row>
      <xdr:rowOff>25400</xdr:rowOff>
    </xdr:from>
    <xdr:to>
      <xdr:col>8</xdr:col>
      <xdr:colOff>885190</xdr:colOff>
      <xdr:row>3922</xdr:row>
      <xdr:rowOff>1209040</xdr:rowOff>
    </xdr:to>
    <xdr:pic>
      <xdr:nvPicPr>
        <xdr:cNvPr id="7306" name="Изображение 7305" descr="resizeПП-00234383"/>
        <xdr:cNvPicPr>
          <a:picLocks noChangeAspect="1"/>
        </xdr:cNvPicPr>
      </xdr:nvPicPr>
      <xdr:blipFill>
        <a:blip xmlns:r="http://schemas.openxmlformats.org/officeDocument/2006/relationships" r:embed="rId3010"/>
        <a:stretch>
          <a:fillRect/>
        </a:stretch>
      </xdr:blipFill>
      <xdr:spPr>
        <a:xfrm>
          <a:off x="7264400" y="3916108500"/>
          <a:ext cx="878840" cy="1183640"/>
        </a:xfrm>
        <a:prstGeom prst="rect">
          <a:avLst/>
        </a:prstGeom>
      </xdr:spPr>
    </xdr:pic>
    <xdr:clientData/>
  </xdr:twoCellAnchor>
  <xdr:twoCellAnchor>
    <xdr:from>
      <xdr:col>8</xdr:col>
      <xdr:colOff>6350</xdr:colOff>
      <xdr:row>3923</xdr:row>
      <xdr:rowOff>25400</xdr:rowOff>
    </xdr:from>
    <xdr:to>
      <xdr:col>8</xdr:col>
      <xdr:colOff>885190</xdr:colOff>
      <xdr:row>3923</xdr:row>
      <xdr:rowOff>1209040</xdr:rowOff>
    </xdr:to>
    <xdr:pic>
      <xdr:nvPicPr>
        <xdr:cNvPr id="7307" name="Изображение 7306" descr="resizeПП-00234396"/>
        <xdr:cNvPicPr>
          <a:picLocks noChangeAspect="1"/>
        </xdr:cNvPicPr>
      </xdr:nvPicPr>
      <xdr:blipFill>
        <a:blip xmlns:r="http://schemas.openxmlformats.org/officeDocument/2006/relationships" r:embed="rId3011"/>
        <a:stretch>
          <a:fillRect/>
        </a:stretch>
      </xdr:blipFill>
      <xdr:spPr>
        <a:xfrm>
          <a:off x="7264400" y="3917330875"/>
          <a:ext cx="878840" cy="1183640"/>
        </a:xfrm>
        <a:prstGeom prst="rect">
          <a:avLst/>
        </a:prstGeom>
      </xdr:spPr>
    </xdr:pic>
    <xdr:clientData/>
  </xdr:twoCellAnchor>
  <xdr:twoCellAnchor>
    <xdr:from>
      <xdr:col>8</xdr:col>
      <xdr:colOff>6350</xdr:colOff>
      <xdr:row>3924</xdr:row>
      <xdr:rowOff>25400</xdr:rowOff>
    </xdr:from>
    <xdr:to>
      <xdr:col>8</xdr:col>
      <xdr:colOff>885190</xdr:colOff>
      <xdr:row>3924</xdr:row>
      <xdr:rowOff>1209040</xdr:rowOff>
    </xdr:to>
    <xdr:pic>
      <xdr:nvPicPr>
        <xdr:cNvPr id="7308" name="Изображение 7307" descr="resizeПП-00248800"/>
        <xdr:cNvPicPr>
          <a:picLocks noChangeAspect="1"/>
        </xdr:cNvPicPr>
      </xdr:nvPicPr>
      <xdr:blipFill>
        <a:blip xmlns:r="http://schemas.openxmlformats.org/officeDocument/2006/relationships" r:embed="rId3012"/>
        <a:stretch>
          <a:fillRect/>
        </a:stretch>
      </xdr:blipFill>
      <xdr:spPr>
        <a:xfrm>
          <a:off x="7264400" y="3918553250"/>
          <a:ext cx="878840" cy="1183640"/>
        </a:xfrm>
        <a:prstGeom prst="rect">
          <a:avLst/>
        </a:prstGeom>
      </xdr:spPr>
    </xdr:pic>
    <xdr:clientData/>
  </xdr:twoCellAnchor>
  <xdr:twoCellAnchor>
    <xdr:from>
      <xdr:col>8</xdr:col>
      <xdr:colOff>6350</xdr:colOff>
      <xdr:row>3925</xdr:row>
      <xdr:rowOff>25400</xdr:rowOff>
    </xdr:from>
    <xdr:to>
      <xdr:col>8</xdr:col>
      <xdr:colOff>885190</xdr:colOff>
      <xdr:row>3925</xdr:row>
      <xdr:rowOff>1209040</xdr:rowOff>
    </xdr:to>
    <xdr:pic>
      <xdr:nvPicPr>
        <xdr:cNvPr id="7309" name="Изображение 7308" descr="resizeПП-00248802"/>
        <xdr:cNvPicPr>
          <a:picLocks noChangeAspect="1"/>
        </xdr:cNvPicPr>
      </xdr:nvPicPr>
      <xdr:blipFill>
        <a:blip xmlns:r="http://schemas.openxmlformats.org/officeDocument/2006/relationships" r:embed="rId3013"/>
        <a:stretch>
          <a:fillRect/>
        </a:stretch>
      </xdr:blipFill>
      <xdr:spPr>
        <a:xfrm>
          <a:off x="7264400" y="3919775625"/>
          <a:ext cx="878840" cy="1183640"/>
        </a:xfrm>
        <a:prstGeom prst="rect">
          <a:avLst/>
        </a:prstGeom>
      </xdr:spPr>
    </xdr:pic>
    <xdr:clientData/>
  </xdr:twoCellAnchor>
  <xdr:twoCellAnchor>
    <xdr:from>
      <xdr:col>8</xdr:col>
      <xdr:colOff>6350</xdr:colOff>
      <xdr:row>3926</xdr:row>
      <xdr:rowOff>25400</xdr:rowOff>
    </xdr:from>
    <xdr:to>
      <xdr:col>8</xdr:col>
      <xdr:colOff>885190</xdr:colOff>
      <xdr:row>3926</xdr:row>
      <xdr:rowOff>1209040</xdr:rowOff>
    </xdr:to>
    <xdr:pic>
      <xdr:nvPicPr>
        <xdr:cNvPr id="7310" name="Изображение 7309" descr="resizeПП-00248796"/>
        <xdr:cNvPicPr>
          <a:picLocks noChangeAspect="1"/>
        </xdr:cNvPicPr>
      </xdr:nvPicPr>
      <xdr:blipFill>
        <a:blip xmlns:r="http://schemas.openxmlformats.org/officeDocument/2006/relationships" r:embed="rId3014"/>
        <a:stretch>
          <a:fillRect/>
        </a:stretch>
      </xdr:blipFill>
      <xdr:spPr>
        <a:xfrm>
          <a:off x="7264400" y="3920998000"/>
          <a:ext cx="878840" cy="1183640"/>
        </a:xfrm>
        <a:prstGeom prst="rect">
          <a:avLst/>
        </a:prstGeom>
      </xdr:spPr>
    </xdr:pic>
    <xdr:clientData/>
  </xdr:twoCellAnchor>
  <xdr:twoCellAnchor>
    <xdr:from>
      <xdr:col>8</xdr:col>
      <xdr:colOff>6350</xdr:colOff>
      <xdr:row>3927</xdr:row>
      <xdr:rowOff>25400</xdr:rowOff>
    </xdr:from>
    <xdr:to>
      <xdr:col>8</xdr:col>
      <xdr:colOff>885190</xdr:colOff>
      <xdr:row>3927</xdr:row>
      <xdr:rowOff>1209040</xdr:rowOff>
    </xdr:to>
    <xdr:pic>
      <xdr:nvPicPr>
        <xdr:cNvPr id="7311" name="Изображение 7310" descr="resizeПП-00248803"/>
        <xdr:cNvPicPr>
          <a:picLocks noChangeAspect="1"/>
        </xdr:cNvPicPr>
      </xdr:nvPicPr>
      <xdr:blipFill>
        <a:blip xmlns:r="http://schemas.openxmlformats.org/officeDocument/2006/relationships" r:embed="rId3015"/>
        <a:stretch>
          <a:fillRect/>
        </a:stretch>
      </xdr:blipFill>
      <xdr:spPr>
        <a:xfrm>
          <a:off x="7264400" y="3922220375"/>
          <a:ext cx="878840" cy="1183640"/>
        </a:xfrm>
        <a:prstGeom prst="rect">
          <a:avLst/>
        </a:prstGeom>
      </xdr:spPr>
    </xdr:pic>
    <xdr:clientData/>
  </xdr:twoCellAnchor>
  <xdr:twoCellAnchor>
    <xdr:from>
      <xdr:col>8</xdr:col>
      <xdr:colOff>6350</xdr:colOff>
      <xdr:row>3928</xdr:row>
      <xdr:rowOff>25400</xdr:rowOff>
    </xdr:from>
    <xdr:to>
      <xdr:col>8</xdr:col>
      <xdr:colOff>885190</xdr:colOff>
      <xdr:row>3928</xdr:row>
      <xdr:rowOff>1209040</xdr:rowOff>
    </xdr:to>
    <xdr:pic>
      <xdr:nvPicPr>
        <xdr:cNvPr id="7312" name="Изображение 7311" descr="resizeПП-00223752"/>
        <xdr:cNvPicPr>
          <a:picLocks noChangeAspect="1"/>
        </xdr:cNvPicPr>
      </xdr:nvPicPr>
      <xdr:blipFill>
        <a:blip xmlns:r="http://schemas.openxmlformats.org/officeDocument/2006/relationships" r:embed="rId3016"/>
        <a:stretch>
          <a:fillRect/>
        </a:stretch>
      </xdr:blipFill>
      <xdr:spPr>
        <a:xfrm>
          <a:off x="7264400" y="3923442750"/>
          <a:ext cx="878840" cy="1183640"/>
        </a:xfrm>
        <a:prstGeom prst="rect">
          <a:avLst/>
        </a:prstGeom>
      </xdr:spPr>
    </xdr:pic>
    <xdr:clientData/>
  </xdr:twoCellAnchor>
  <xdr:twoCellAnchor>
    <xdr:from>
      <xdr:col>8</xdr:col>
      <xdr:colOff>6350</xdr:colOff>
      <xdr:row>3929</xdr:row>
      <xdr:rowOff>25400</xdr:rowOff>
    </xdr:from>
    <xdr:to>
      <xdr:col>8</xdr:col>
      <xdr:colOff>885190</xdr:colOff>
      <xdr:row>3929</xdr:row>
      <xdr:rowOff>1209040</xdr:rowOff>
    </xdr:to>
    <xdr:pic>
      <xdr:nvPicPr>
        <xdr:cNvPr id="7313" name="Изображение 7312" descr="resizeПП-00223751"/>
        <xdr:cNvPicPr>
          <a:picLocks noChangeAspect="1"/>
        </xdr:cNvPicPr>
      </xdr:nvPicPr>
      <xdr:blipFill>
        <a:blip xmlns:r="http://schemas.openxmlformats.org/officeDocument/2006/relationships" r:embed="rId3017"/>
        <a:stretch>
          <a:fillRect/>
        </a:stretch>
      </xdr:blipFill>
      <xdr:spPr>
        <a:xfrm>
          <a:off x="7264400" y="3924665125"/>
          <a:ext cx="878840" cy="1183640"/>
        </a:xfrm>
        <a:prstGeom prst="rect">
          <a:avLst/>
        </a:prstGeom>
      </xdr:spPr>
    </xdr:pic>
    <xdr:clientData/>
  </xdr:twoCellAnchor>
  <xdr:twoCellAnchor>
    <xdr:from>
      <xdr:col>8</xdr:col>
      <xdr:colOff>6350</xdr:colOff>
      <xdr:row>3930</xdr:row>
      <xdr:rowOff>25400</xdr:rowOff>
    </xdr:from>
    <xdr:to>
      <xdr:col>8</xdr:col>
      <xdr:colOff>885190</xdr:colOff>
      <xdr:row>3930</xdr:row>
      <xdr:rowOff>1209040</xdr:rowOff>
    </xdr:to>
    <xdr:pic>
      <xdr:nvPicPr>
        <xdr:cNvPr id="7314" name="Изображение 7313" descr="resizeПП-00223753"/>
        <xdr:cNvPicPr>
          <a:picLocks noChangeAspect="1"/>
        </xdr:cNvPicPr>
      </xdr:nvPicPr>
      <xdr:blipFill>
        <a:blip xmlns:r="http://schemas.openxmlformats.org/officeDocument/2006/relationships" r:embed="rId3018"/>
        <a:stretch>
          <a:fillRect/>
        </a:stretch>
      </xdr:blipFill>
      <xdr:spPr>
        <a:xfrm>
          <a:off x="7264400" y="3925887500"/>
          <a:ext cx="878840" cy="1183640"/>
        </a:xfrm>
        <a:prstGeom prst="rect">
          <a:avLst/>
        </a:prstGeom>
      </xdr:spPr>
    </xdr:pic>
    <xdr:clientData/>
  </xdr:twoCellAnchor>
  <xdr:twoCellAnchor>
    <xdr:from>
      <xdr:col>8</xdr:col>
      <xdr:colOff>6350</xdr:colOff>
      <xdr:row>3931</xdr:row>
      <xdr:rowOff>25400</xdr:rowOff>
    </xdr:from>
    <xdr:to>
      <xdr:col>8</xdr:col>
      <xdr:colOff>885190</xdr:colOff>
      <xdr:row>3931</xdr:row>
      <xdr:rowOff>1209040</xdr:rowOff>
    </xdr:to>
    <xdr:pic>
      <xdr:nvPicPr>
        <xdr:cNvPr id="7315" name="Изображение 7314" descr="resizeПП-00223755"/>
        <xdr:cNvPicPr>
          <a:picLocks noChangeAspect="1"/>
        </xdr:cNvPicPr>
      </xdr:nvPicPr>
      <xdr:blipFill>
        <a:blip xmlns:r="http://schemas.openxmlformats.org/officeDocument/2006/relationships" r:embed="rId3019"/>
        <a:stretch>
          <a:fillRect/>
        </a:stretch>
      </xdr:blipFill>
      <xdr:spPr>
        <a:xfrm>
          <a:off x="7264400" y="3927109875"/>
          <a:ext cx="878840" cy="1183640"/>
        </a:xfrm>
        <a:prstGeom prst="rect">
          <a:avLst/>
        </a:prstGeom>
      </xdr:spPr>
    </xdr:pic>
    <xdr:clientData/>
  </xdr:twoCellAnchor>
  <xdr:twoCellAnchor>
    <xdr:from>
      <xdr:col>8</xdr:col>
      <xdr:colOff>6350</xdr:colOff>
      <xdr:row>3932</xdr:row>
      <xdr:rowOff>25400</xdr:rowOff>
    </xdr:from>
    <xdr:to>
      <xdr:col>8</xdr:col>
      <xdr:colOff>885190</xdr:colOff>
      <xdr:row>3932</xdr:row>
      <xdr:rowOff>1209040</xdr:rowOff>
    </xdr:to>
    <xdr:pic>
      <xdr:nvPicPr>
        <xdr:cNvPr id="7316" name="Изображение 7315" descr="resizeПП-00212655"/>
        <xdr:cNvPicPr>
          <a:picLocks noChangeAspect="1"/>
        </xdr:cNvPicPr>
      </xdr:nvPicPr>
      <xdr:blipFill>
        <a:blip xmlns:r="http://schemas.openxmlformats.org/officeDocument/2006/relationships" r:embed="rId3020"/>
        <a:stretch>
          <a:fillRect/>
        </a:stretch>
      </xdr:blipFill>
      <xdr:spPr>
        <a:xfrm>
          <a:off x="7264400" y="3928332250"/>
          <a:ext cx="878840" cy="1183640"/>
        </a:xfrm>
        <a:prstGeom prst="rect">
          <a:avLst/>
        </a:prstGeom>
      </xdr:spPr>
    </xdr:pic>
    <xdr:clientData/>
  </xdr:twoCellAnchor>
  <xdr:twoCellAnchor>
    <xdr:from>
      <xdr:col>8</xdr:col>
      <xdr:colOff>6350</xdr:colOff>
      <xdr:row>3933</xdr:row>
      <xdr:rowOff>25400</xdr:rowOff>
    </xdr:from>
    <xdr:to>
      <xdr:col>8</xdr:col>
      <xdr:colOff>885190</xdr:colOff>
      <xdr:row>3933</xdr:row>
      <xdr:rowOff>1209040</xdr:rowOff>
    </xdr:to>
    <xdr:pic>
      <xdr:nvPicPr>
        <xdr:cNvPr id="7317" name="Изображение 7316" descr="resizeПП-00212653"/>
        <xdr:cNvPicPr>
          <a:picLocks noChangeAspect="1"/>
        </xdr:cNvPicPr>
      </xdr:nvPicPr>
      <xdr:blipFill>
        <a:blip xmlns:r="http://schemas.openxmlformats.org/officeDocument/2006/relationships" r:embed="rId3021"/>
        <a:stretch>
          <a:fillRect/>
        </a:stretch>
      </xdr:blipFill>
      <xdr:spPr>
        <a:xfrm>
          <a:off x="7264400" y="3929554625"/>
          <a:ext cx="878840" cy="1183640"/>
        </a:xfrm>
        <a:prstGeom prst="rect">
          <a:avLst/>
        </a:prstGeom>
      </xdr:spPr>
    </xdr:pic>
    <xdr:clientData/>
  </xdr:twoCellAnchor>
  <xdr:twoCellAnchor>
    <xdr:from>
      <xdr:col>8</xdr:col>
      <xdr:colOff>6350</xdr:colOff>
      <xdr:row>3934</xdr:row>
      <xdr:rowOff>25400</xdr:rowOff>
    </xdr:from>
    <xdr:to>
      <xdr:col>8</xdr:col>
      <xdr:colOff>885190</xdr:colOff>
      <xdr:row>3934</xdr:row>
      <xdr:rowOff>1209040</xdr:rowOff>
    </xdr:to>
    <xdr:pic>
      <xdr:nvPicPr>
        <xdr:cNvPr id="7318" name="Изображение 7317" descr="resizeПП-00212658"/>
        <xdr:cNvPicPr>
          <a:picLocks noChangeAspect="1"/>
        </xdr:cNvPicPr>
      </xdr:nvPicPr>
      <xdr:blipFill>
        <a:blip xmlns:r="http://schemas.openxmlformats.org/officeDocument/2006/relationships" r:embed="rId3022"/>
        <a:stretch>
          <a:fillRect/>
        </a:stretch>
      </xdr:blipFill>
      <xdr:spPr>
        <a:xfrm>
          <a:off x="7264400" y="3930777000"/>
          <a:ext cx="878840" cy="1183640"/>
        </a:xfrm>
        <a:prstGeom prst="rect">
          <a:avLst/>
        </a:prstGeom>
      </xdr:spPr>
    </xdr:pic>
    <xdr:clientData/>
  </xdr:twoCellAnchor>
  <xdr:twoCellAnchor>
    <xdr:from>
      <xdr:col>8</xdr:col>
      <xdr:colOff>6350</xdr:colOff>
      <xdr:row>3936</xdr:row>
      <xdr:rowOff>25400</xdr:rowOff>
    </xdr:from>
    <xdr:to>
      <xdr:col>8</xdr:col>
      <xdr:colOff>885190</xdr:colOff>
      <xdr:row>3936</xdr:row>
      <xdr:rowOff>1209040</xdr:rowOff>
    </xdr:to>
    <xdr:pic>
      <xdr:nvPicPr>
        <xdr:cNvPr id="7319" name="Изображение 7318" descr="resizeПП-00234398"/>
        <xdr:cNvPicPr>
          <a:picLocks noChangeAspect="1"/>
        </xdr:cNvPicPr>
      </xdr:nvPicPr>
      <xdr:blipFill>
        <a:blip xmlns:r="http://schemas.openxmlformats.org/officeDocument/2006/relationships" r:embed="rId3023"/>
        <a:stretch>
          <a:fillRect/>
        </a:stretch>
      </xdr:blipFill>
      <xdr:spPr>
        <a:xfrm>
          <a:off x="7264400" y="3932151775"/>
          <a:ext cx="878840" cy="1183640"/>
        </a:xfrm>
        <a:prstGeom prst="rect">
          <a:avLst/>
        </a:prstGeom>
      </xdr:spPr>
    </xdr:pic>
    <xdr:clientData/>
  </xdr:twoCellAnchor>
  <xdr:twoCellAnchor>
    <xdr:from>
      <xdr:col>8</xdr:col>
      <xdr:colOff>6350</xdr:colOff>
      <xdr:row>3938</xdr:row>
      <xdr:rowOff>25400</xdr:rowOff>
    </xdr:from>
    <xdr:to>
      <xdr:col>8</xdr:col>
      <xdr:colOff>885190</xdr:colOff>
      <xdr:row>3938</xdr:row>
      <xdr:rowOff>1209040</xdr:rowOff>
    </xdr:to>
    <xdr:pic>
      <xdr:nvPicPr>
        <xdr:cNvPr id="7320" name="Изображение 7319" descr="resizeПП-00275201"/>
        <xdr:cNvPicPr>
          <a:picLocks noChangeAspect="1"/>
        </xdr:cNvPicPr>
      </xdr:nvPicPr>
      <xdr:blipFill>
        <a:blip xmlns:r="http://schemas.openxmlformats.org/officeDocument/2006/relationships" r:embed="rId3024"/>
        <a:stretch>
          <a:fillRect/>
        </a:stretch>
      </xdr:blipFill>
      <xdr:spPr>
        <a:xfrm>
          <a:off x="7264400" y="3933526550"/>
          <a:ext cx="878840" cy="1183640"/>
        </a:xfrm>
        <a:prstGeom prst="rect">
          <a:avLst/>
        </a:prstGeom>
      </xdr:spPr>
    </xdr:pic>
    <xdr:clientData/>
  </xdr:twoCellAnchor>
  <xdr:twoCellAnchor>
    <xdr:from>
      <xdr:col>8</xdr:col>
      <xdr:colOff>6350</xdr:colOff>
      <xdr:row>3939</xdr:row>
      <xdr:rowOff>25400</xdr:rowOff>
    </xdr:from>
    <xdr:to>
      <xdr:col>8</xdr:col>
      <xdr:colOff>885190</xdr:colOff>
      <xdr:row>3939</xdr:row>
      <xdr:rowOff>1209040</xdr:rowOff>
    </xdr:to>
    <xdr:pic>
      <xdr:nvPicPr>
        <xdr:cNvPr id="7321" name="Изображение 7320" descr="resizeПП-00275195"/>
        <xdr:cNvPicPr>
          <a:picLocks noChangeAspect="1"/>
        </xdr:cNvPicPr>
      </xdr:nvPicPr>
      <xdr:blipFill>
        <a:blip xmlns:r="http://schemas.openxmlformats.org/officeDocument/2006/relationships" r:embed="rId3025"/>
        <a:stretch>
          <a:fillRect/>
        </a:stretch>
      </xdr:blipFill>
      <xdr:spPr>
        <a:xfrm>
          <a:off x="7264400" y="3934748925"/>
          <a:ext cx="878840" cy="1183640"/>
        </a:xfrm>
        <a:prstGeom prst="rect">
          <a:avLst/>
        </a:prstGeom>
      </xdr:spPr>
    </xdr:pic>
    <xdr:clientData/>
  </xdr:twoCellAnchor>
  <xdr:twoCellAnchor>
    <xdr:from>
      <xdr:col>8</xdr:col>
      <xdr:colOff>6350</xdr:colOff>
      <xdr:row>3940</xdr:row>
      <xdr:rowOff>25400</xdr:rowOff>
    </xdr:from>
    <xdr:to>
      <xdr:col>8</xdr:col>
      <xdr:colOff>885190</xdr:colOff>
      <xdr:row>3940</xdr:row>
      <xdr:rowOff>1209040</xdr:rowOff>
    </xdr:to>
    <xdr:pic>
      <xdr:nvPicPr>
        <xdr:cNvPr id="7322" name="Изображение 7321" descr="resizeПП-00275200"/>
        <xdr:cNvPicPr>
          <a:picLocks noChangeAspect="1"/>
        </xdr:cNvPicPr>
      </xdr:nvPicPr>
      <xdr:blipFill>
        <a:blip xmlns:r="http://schemas.openxmlformats.org/officeDocument/2006/relationships" r:embed="rId3026"/>
        <a:stretch>
          <a:fillRect/>
        </a:stretch>
      </xdr:blipFill>
      <xdr:spPr>
        <a:xfrm>
          <a:off x="7264400" y="3935971300"/>
          <a:ext cx="878840" cy="1183640"/>
        </a:xfrm>
        <a:prstGeom prst="rect">
          <a:avLst/>
        </a:prstGeom>
      </xdr:spPr>
    </xdr:pic>
    <xdr:clientData/>
  </xdr:twoCellAnchor>
  <xdr:twoCellAnchor>
    <xdr:from>
      <xdr:col>8</xdr:col>
      <xdr:colOff>6350</xdr:colOff>
      <xdr:row>3941</xdr:row>
      <xdr:rowOff>25400</xdr:rowOff>
    </xdr:from>
    <xdr:to>
      <xdr:col>8</xdr:col>
      <xdr:colOff>885190</xdr:colOff>
      <xdr:row>3941</xdr:row>
      <xdr:rowOff>1209040</xdr:rowOff>
    </xdr:to>
    <xdr:pic>
      <xdr:nvPicPr>
        <xdr:cNvPr id="7323" name="Изображение 7322" descr="resizeПП-00275202"/>
        <xdr:cNvPicPr>
          <a:picLocks noChangeAspect="1"/>
        </xdr:cNvPicPr>
      </xdr:nvPicPr>
      <xdr:blipFill>
        <a:blip xmlns:r="http://schemas.openxmlformats.org/officeDocument/2006/relationships" r:embed="rId3027"/>
        <a:stretch>
          <a:fillRect/>
        </a:stretch>
      </xdr:blipFill>
      <xdr:spPr>
        <a:xfrm>
          <a:off x="7264400" y="3937193675"/>
          <a:ext cx="878840" cy="1183640"/>
        </a:xfrm>
        <a:prstGeom prst="rect">
          <a:avLst/>
        </a:prstGeom>
      </xdr:spPr>
    </xdr:pic>
    <xdr:clientData/>
  </xdr:twoCellAnchor>
  <xdr:twoCellAnchor>
    <xdr:from>
      <xdr:col>8</xdr:col>
      <xdr:colOff>6350</xdr:colOff>
      <xdr:row>3942</xdr:row>
      <xdr:rowOff>25400</xdr:rowOff>
    </xdr:from>
    <xdr:to>
      <xdr:col>8</xdr:col>
      <xdr:colOff>885190</xdr:colOff>
      <xdr:row>3942</xdr:row>
      <xdr:rowOff>1209040</xdr:rowOff>
    </xdr:to>
    <xdr:pic>
      <xdr:nvPicPr>
        <xdr:cNvPr id="7324" name="Изображение 7323" descr="resizeПП-00275199"/>
        <xdr:cNvPicPr>
          <a:picLocks noChangeAspect="1"/>
        </xdr:cNvPicPr>
      </xdr:nvPicPr>
      <xdr:blipFill>
        <a:blip xmlns:r="http://schemas.openxmlformats.org/officeDocument/2006/relationships" r:embed="rId3028"/>
        <a:stretch>
          <a:fillRect/>
        </a:stretch>
      </xdr:blipFill>
      <xdr:spPr>
        <a:xfrm>
          <a:off x="7264400" y="3938416050"/>
          <a:ext cx="878840" cy="1183640"/>
        </a:xfrm>
        <a:prstGeom prst="rect">
          <a:avLst/>
        </a:prstGeom>
      </xdr:spPr>
    </xdr:pic>
    <xdr:clientData/>
  </xdr:twoCellAnchor>
  <xdr:twoCellAnchor>
    <xdr:from>
      <xdr:col>8</xdr:col>
      <xdr:colOff>6350</xdr:colOff>
      <xdr:row>3943</xdr:row>
      <xdr:rowOff>25400</xdr:rowOff>
    </xdr:from>
    <xdr:to>
      <xdr:col>8</xdr:col>
      <xdr:colOff>885190</xdr:colOff>
      <xdr:row>3943</xdr:row>
      <xdr:rowOff>1209040</xdr:rowOff>
    </xdr:to>
    <xdr:pic>
      <xdr:nvPicPr>
        <xdr:cNvPr id="7325" name="Изображение 7324" descr="resizeПП-00275196"/>
        <xdr:cNvPicPr>
          <a:picLocks noChangeAspect="1"/>
        </xdr:cNvPicPr>
      </xdr:nvPicPr>
      <xdr:blipFill>
        <a:blip xmlns:r="http://schemas.openxmlformats.org/officeDocument/2006/relationships" r:embed="rId3029"/>
        <a:stretch>
          <a:fillRect/>
        </a:stretch>
      </xdr:blipFill>
      <xdr:spPr>
        <a:xfrm>
          <a:off x="7264400" y="3939638425"/>
          <a:ext cx="878840" cy="1183640"/>
        </a:xfrm>
        <a:prstGeom prst="rect">
          <a:avLst/>
        </a:prstGeom>
      </xdr:spPr>
    </xdr:pic>
    <xdr:clientData/>
  </xdr:twoCellAnchor>
  <xdr:twoCellAnchor>
    <xdr:from>
      <xdr:col>8</xdr:col>
      <xdr:colOff>6350</xdr:colOff>
      <xdr:row>3944</xdr:row>
      <xdr:rowOff>25400</xdr:rowOff>
    </xdr:from>
    <xdr:to>
      <xdr:col>8</xdr:col>
      <xdr:colOff>885190</xdr:colOff>
      <xdr:row>3944</xdr:row>
      <xdr:rowOff>1209040</xdr:rowOff>
    </xdr:to>
    <xdr:pic>
      <xdr:nvPicPr>
        <xdr:cNvPr id="7326" name="Изображение 7325" descr="resizeПП-00275197"/>
        <xdr:cNvPicPr>
          <a:picLocks noChangeAspect="1"/>
        </xdr:cNvPicPr>
      </xdr:nvPicPr>
      <xdr:blipFill>
        <a:blip xmlns:r="http://schemas.openxmlformats.org/officeDocument/2006/relationships" r:embed="rId3030"/>
        <a:stretch>
          <a:fillRect/>
        </a:stretch>
      </xdr:blipFill>
      <xdr:spPr>
        <a:xfrm>
          <a:off x="7264400" y="3940860800"/>
          <a:ext cx="878840" cy="1183640"/>
        </a:xfrm>
        <a:prstGeom prst="rect">
          <a:avLst/>
        </a:prstGeom>
      </xdr:spPr>
    </xdr:pic>
    <xdr:clientData/>
  </xdr:twoCellAnchor>
  <xdr:twoCellAnchor>
    <xdr:from>
      <xdr:col>8</xdr:col>
      <xdr:colOff>6350</xdr:colOff>
      <xdr:row>3945</xdr:row>
      <xdr:rowOff>25400</xdr:rowOff>
    </xdr:from>
    <xdr:to>
      <xdr:col>8</xdr:col>
      <xdr:colOff>885190</xdr:colOff>
      <xdr:row>3945</xdr:row>
      <xdr:rowOff>1209040</xdr:rowOff>
    </xdr:to>
    <xdr:pic>
      <xdr:nvPicPr>
        <xdr:cNvPr id="7327" name="Изображение 7326" descr="resizeПП-00223761"/>
        <xdr:cNvPicPr>
          <a:picLocks noChangeAspect="1"/>
        </xdr:cNvPicPr>
      </xdr:nvPicPr>
      <xdr:blipFill>
        <a:blip xmlns:r="http://schemas.openxmlformats.org/officeDocument/2006/relationships" r:embed="rId3031"/>
        <a:stretch>
          <a:fillRect/>
        </a:stretch>
      </xdr:blipFill>
      <xdr:spPr>
        <a:xfrm>
          <a:off x="7264400" y="3942083175"/>
          <a:ext cx="878840" cy="1183640"/>
        </a:xfrm>
        <a:prstGeom prst="rect">
          <a:avLst/>
        </a:prstGeom>
      </xdr:spPr>
    </xdr:pic>
    <xdr:clientData/>
  </xdr:twoCellAnchor>
  <xdr:twoCellAnchor>
    <xdr:from>
      <xdr:col>8</xdr:col>
      <xdr:colOff>6350</xdr:colOff>
      <xdr:row>3946</xdr:row>
      <xdr:rowOff>25400</xdr:rowOff>
    </xdr:from>
    <xdr:to>
      <xdr:col>8</xdr:col>
      <xdr:colOff>885190</xdr:colOff>
      <xdr:row>3946</xdr:row>
      <xdr:rowOff>1209040</xdr:rowOff>
    </xdr:to>
    <xdr:pic>
      <xdr:nvPicPr>
        <xdr:cNvPr id="7328" name="Изображение 7327" descr="resizeПП-00275198"/>
        <xdr:cNvPicPr>
          <a:picLocks noChangeAspect="1"/>
        </xdr:cNvPicPr>
      </xdr:nvPicPr>
      <xdr:blipFill>
        <a:blip xmlns:r="http://schemas.openxmlformats.org/officeDocument/2006/relationships" r:embed="rId3032"/>
        <a:stretch>
          <a:fillRect/>
        </a:stretch>
      </xdr:blipFill>
      <xdr:spPr>
        <a:xfrm>
          <a:off x="7264400" y="3943305550"/>
          <a:ext cx="878840" cy="1183640"/>
        </a:xfrm>
        <a:prstGeom prst="rect">
          <a:avLst/>
        </a:prstGeom>
      </xdr:spPr>
    </xdr:pic>
    <xdr:clientData/>
  </xdr:twoCellAnchor>
  <xdr:twoCellAnchor>
    <xdr:from>
      <xdr:col>8</xdr:col>
      <xdr:colOff>6350</xdr:colOff>
      <xdr:row>3947</xdr:row>
      <xdr:rowOff>25400</xdr:rowOff>
    </xdr:from>
    <xdr:to>
      <xdr:col>8</xdr:col>
      <xdr:colOff>885190</xdr:colOff>
      <xdr:row>3947</xdr:row>
      <xdr:rowOff>1209040</xdr:rowOff>
    </xdr:to>
    <xdr:pic>
      <xdr:nvPicPr>
        <xdr:cNvPr id="7329" name="Изображение 7328" descr="resizeПП-00275204"/>
        <xdr:cNvPicPr>
          <a:picLocks noChangeAspect="1"/>
        </xdr:cNvPicPr>
      </xdr:nvPicPr>
      <xdr:blipFill>
        <a:blip xmlns:r="http://schemas.openxmlformats.org/officeDocument/2006/relationships" r:embed="rId3033"/>
        <a:stretch>
          <a:fillRect/>
        </a:stretch>
      </xdr:blipFill>
      <xdr:spPr>
        <a:xfrm>
          <a:off x="7264400" y="3944527925"/>
          <a:ext cx="878840" cy="1183640"/>
        </a:xfrm>
        <a:prstGeom prst="rect">
          <a:avLst/>
        </a:prstGeom>
      </xdr:spPr>
    </xdr:pic>
    <xdr:clientData/>
  </xdr:twoCellAnchor>
  <xdr:twoCellAnchor>
    <xdr:from>
      <xdr:col>8</xdr:col>
      <xdr:colOff>6350</xdr:colOff>
      <xdr:row>3948</xdr:row>
      <xdr:rowOff>25400</xdr:rowOff>
    </xdr:from>
    <xdr:to>
      <xdr:col>8</xdr:col>
      <xdr:colOff>885190</xdr:colOff>
      <xdr:row>3948</xdr:row>
      <xdr:rowOff>1209040</xdr:rowOff>
    </xdr:to>
    <xdr:pic>
      <xdr:nvPicPr>
        <xdr:cNvPr id="7330" name="Изображение 7329" descr="resizeПП-00275203"/>
        <xdr:cNvPicPr>
          <a:picLocks noChangeAspect="1"/>
        </xdr:cNvPicPr>
      </xdr:nvPicPr>
      <xdr:blipFill>
        <a:blip xmlns:r="http://schemas.openxmlformats.org/officeDocument/2006/relationships" r:embed="rId3034"/>
        <a:stretch>
          <a:fillRect/>
        </a:stretch>
      </xdr:blipFill>
      <xdr:spPr>
        <a:xfrm>
          <a:off x="7264400" y="3945750300"/>
          <a:ext cx="878840" cy="1183640"/>
        </a:xfrm>
        <a:prstGeom prst="rect">
          <a:avLst/>
        </a:prstGeom>
      </xdr:spPr>
    </xdr:pic>
    <xdr:clientData/>
  </xdr:twoCellAnchor>
  <xdr:twoCellAnchor>
    <xdr:from>
      <xdr:col>8</xdr:col>
      <xdr:colOff>6350</xdr:colOff>
      <xdr:row>3951</xdr:row>
      <xdr:rowOff>25400</xdr:rowOff>
    </xdr:from>
    <xdr:to>
      <xdr:col>8</xdr:col>
      <xdr:colOff>885190</xdr:colOff>
      <xdr:row>3951</xdr:row>
      <xdr:rowOff>1209040</xdr:rowOff>
    </xdr:to>
    <xdr:pic>
      <xdr:nvPicPr>
        <xdr:cNvPr id="7331" name="Изображение 7330" descr="resizeПП-00211216"/>
        <xdr:cNvPicPr>
          <a:picLocks noChangeAspect="1"/>
        </xdr:cNvPicPr>
      </xdr:nvPicPr>
      <xdr:blipFill>
        <a:blip xmlns:r="http://schemas.openxmlformats.org/officeDocument/2006/relationships" r:embed="rId3035"/>
        <a:stretch>
          <a:fillRect/>
        </a:stretch>
      </xdr:blipFill>
      <xdr:spPr>
        <a:xfrm>
          <a:off x="7264400" y="3947277475"/>
          <a:ext cx="878840" cy="1183640"/>
        </a:xfrm>
        <a:prstGeom prst="rect">
          <a:avLst/>
        </a:prstGeom>
      </xdr:spPr>
    </xdr:pic>
    <xdr:clientData/>
  </xdr:twoCellAnchor>
  <xdr:twoCellAnchor>
    <xdr:from>
      <xdr:col>8</xdr:col>
      <xdr:colOff>6350</xdr:colOff>
      <xdr:row>3953</xdr:row>
      <xdr:rowOff>25400</xdr:rowOff>
    </xdr:from>
    <xdr:to>
      <xdr:col>8</xdr:col>
      <xdr:colOff>885190</xdr:colOff>
      <xdr:row>3953</xdr:row>
      <xdr:rowOff>1209040</xdr:rowOff>
    </xdr:to>
    <xdr:pic>
      <xdr:nvPicPr>
        <xdr:cNvPr id="7332" name="Изображение 7331" descr="resizeПП-00200042"/>
        <xdr:cNvPicPr>
          <a:picLocks noChangeAspect="1"/>
        </xdr:cNvPicPr>
      </xdr:nvPicPr>
      <xdr:blipFill>
        <a:blip xmlns:r="http://schemas.openxmlformats.org/officeDocument/2006/relationships" r:embed="rId3036"/>
        <a:stretch>
          <a:fillRect/>
        </a:stretch>
      </xdr:blipFill>
      <xdr:spPr>
        <a:xfrm>
          <a:off x="7264400" y="3948652250"/>
          <a:ext cx="878840" cy="1183640"/>
        </a:xfrm>
        <a:prstGeom prst="rect">
          <a:avLst/>
        </a:prstGeom>
      </xdr:spPr>
    </xdr:pic>
    <xdr:clientData/>
  </xdr:twoCellAnchor>
  <xdr:twoCellAnchor>
    <xdr:from>
      <xdr:col>8</xdr:col>
      <xdr:colOff>6350</xdr:colOff>
      <xdr:row>3954</xdr:row>
      <xdr:rowOff>25400</xdr:rowOff>
    </xdr:from>
    <xdr:to>
      <xdr:col>8</xdr:col>
      <xdr:colOff>885190</xdr:colOff>
      <xdr:row>3954</xdr:row>
      <xdr:rowOff>1209040</xdr:rowOff>
    </xdr:to>
    <xdr:pic>
      <xdr:nvPicPr>
        <xdr:cNvPr id="7333" name="Изображение 7332" descr="resizeПП-00200041"/>
        <xdr:cNvPicPr>
          <a:picLocks noChangeAspect="1"/>
        </xdr:cNvPicPr>
      </xdr:nvPicPr>
      <xdr:blipFill>
        <a:blip xmlns:r="http://schemas.openxmlformats.org/officeDocument/2006/relationships" r:embed="rId3037"/>
        <a:stretch>
          <a:fillRect/>
        </a:stretch>
      </xdr:blipFill>
      <xdr:spPr>
        <a:xfrm>
          <a:off x="7264400" y="3949874625"/>
          <a:ext cx="878840" cy="1183640"/>
        </a:xfrm>
        <a:prstGeom prst="rect">
          <a:avLst/>
        </a:prstGeom>
      </xdr:spPr>
    </xdr:pic>
    <xdr:clientData/>
  </xdr:twoCellAnchor>
  <xdr:twoCellAnchor>
    <xdr:from>
      <xdr:col>8</xdr:col>
      <xdr:colOff>6350</xdr:colOff>
      <xdr:row>3955</xdr:row>
      <xdr:rowOff>25400</xdr:rowOff>
    </xdr:from>
    <xdr:to>
      <xdr:col>8</xdr:col>
      <xdr:colOff>885190</xdr:colOff>
      <xdr:row>3955</xdr:row>
      <xdr:rowOff>1209040</xdr:rowOff>
    </xdr:to>
    <xdr:pic>
      <xdr:nvPicPr>
        <xdr:cNvPr id="7334" name="Изображение 7333" descr="resizeПП-00200040"/>
        <xdr:cNvPicPr>
          <a:picLocks noChangeAspect="1"/>
        </xdr:cNvPicPr>
      </xdr:nvPicPr>
      <xdr:blipFill>
        <a:blip xmlns:r="http://schemas.openxmlformats.org/officeDocument/2006/relationships" r:embed="rId3038"/>
        <a:stretch>
          <a:fillRect/>
        </a:stretch>
      </xdr:blipFill>
      <xdr:spPr>
        <a:xfrm>
          <a:off x="7264400" y="3951097000"/>
          <a:ext cx="878840" cy="1183640"/>
        </a:xfrm>
        <a:prstGeom prst="rect">
          <a:avLst/>
        </a:prstGeom>
      </xdr:spPr>
    </xdr:pic>
    <xdr:clientData/>
  </xdr:twoCellAnchor>
  <xdr:twoCellAnchor>
    <xdr:from>
      <xdr:col>8</xdr:col>
      <xdr:colOff>6350</xdr:colOff>
      <xdr:row>3956</xdr:row>
      <xdr:rowOff>25400</xdr:rowOff>
    </xdr:from>
    <xdr:to>
      <xdr:col>8</xdr:col>
      <xdr:colOff>885190</xdr:colOff>
      <xdr:row>3956</xdr:row>
      <xdr:rowOff>1209040</xdr:rowOff>
    </xdr:to>
    <xdr:pic>
      <xdr:nvPicPr>
        <xdr:cNvPr id="7335" name="Изображение 7334" descr="resizeПП-00277471"/>
        <xdr:cNvPicPr>
          <a:picLocks noChangeAspect="1"/>
        </xdr:cNvPicPr>
      </xdr:nvPicPr>
      <xdr:blipFill>
        <a:blip xmlns:r="http://schemas.openxmlformats.org/officeDocument/2006/relationships" r:embed="rId3039"/>
        <a:stretch>
          <a:fillRect/>
        </a:stretch>
      </xdr:blipFill>
      <xdr:spPr>
        <a:xfrm>
          <a:off x="7264400" y="3952319375"/>
          <a:ext cx="878840" cy="1183640"/>
        </a:xfrm>
        <a:prstGeom prst="rect">
          <a:avLst/>
        </a:prstGeom>
      </xdr:spPr>
    </xdr:pic>
    <xdr:clientData/>
  </xdr:twoCellAnchor>
  <xdr:twoCellAnchor>
    <xdr:from>
      <xdr:col>8</xdr:col>
      <xdr:colOff>6350</xdr:colOff>
      <xdr:row>3958</xdr:row>
      <xdr:rowOff>25400</xdr:rowOff>
    </xdr:from>
    <xdr:to>
      <xdr:col>8</xdr:col>
      <xdr:colOff>885190</xdr:colOff>
      <xdr:row>3958</xdr:row>
      <xdr:rowOff>1209040</xdr:rowOff>
    </xdr:to>
    <xdr:pic>
      <xdr:nvPicPr>
        <xdr:cNvPr id="7336" name="Изображение 7335" descr="resizeПП-00218989"/>
        <xdr:cNvPicPr>
          <a:picLocks noChangeAspect="1"/>
        </xdr:cNvPicPr>
      </xdr:nvPicPr>
      <xdr:blipFill>
        <a:blip xmlns:r="http://schemas.openxmlformats.org/officeDocument/2006/relationships" r:embed="rId3040"/>
        <a:stretch>
          <a:fillRect/>
        </a:stretch>
      </xdr:blipFill>
      <xdr:spPr>
        <a:xfrm>
          <a:off x="7264400" y="3953694150"/>
          <a:ext cx="878840" cy="1183640"/>
        </a:xfrm>
        <a:prstGeom prst="rect">
          <a:avLst/>
        </a:prstGeom>
      </xdr:spPr>
    </xdr:pic>
    <xdr:clientData/>
  </xdr:twoCellAnchor>
  <xdr:twoCellAnchor>
    <xdr:from>
      <xdr:col>8</xdr:col>
      <xdr:colOff>6350</xdr:colOff>
      <xdr:row>3960</xdr:row>
      <xdr:rowOff>25400</xdr:rowOff>
    </xdr:from>
    <xdr:to>
      <xdr:col>8</xdr:col>
      <xdr:colOff>885190</xdr:colOff>
      <xdr:row>3960</xdr:row>
      <xdr:rowOff>1209040</xdr:rowOff>
    </xdr:to>
    <xdr:pic>
      <xdr:nvPicPr>
        <xdr:cNvPr id="7337" name="Изображение 7336" descr="resizeПП-00221341"/>
        <xdr:cNvPicPr>
          <a:picLocks noChangeAspect="1"/>
        </xdr:cNvPicPr>
      </xdr:nvPicPr>
      <xdr:blipFill>
        <a:blip xmlns:r="http://schemas.openxmlformats.org/officeDocument/2006/relationships" r:embed="rId3041"/>
        <a:stretch>
          <a:fillRect/>
        </a:stretch>
      </xdr:blipFill>
      <xdr:spPr>
        <a:xfrm>
          <a:off x="7264400" y="3955068925"/>
          <a:ext cx="878840" cy="1183640"/>
        </a:xfrm>
        <a:prstGeom prst="rect">
          <a:avLst/>
        </a:prstGeom>
      </xdr:spPr>
    </xdr:pic>
    <xdr:clientData/>
  </xdr:twoCellAnchor>
  <xdr:twoCellAnchor>
    <xdr:from>
      <xdr:col>8</xdr:col>
      <xdr:colOff>6350</xdr:colOff>
      <xdr:row>3961</xdr:row>
      <xdr:rowOff>25400</xdr:rowOff>
    </xdr:from>
    <xdr:to>
      <xdr:col>8</xdr:col>
      <xdr:colOff>885190</xdr:colOff>
      <xdr:row>3961</xdr:row>
      <xdr:rowOff>1209040</xdr:rowOff>
    </xdr:to>
    <xdr:pic>
      <xdr:nvPicPr>
        <xdr:cNvPr id="7338" name="Изображение 7337" descr="resizeПП-00248934"/>
        <xdr:cNvPicPr>
          <a:picLocks noChangeAspect="1"/>
        </xdr:cNvPicPr>
      </xdr:nvPicPr>
      <xdr:blipFill>
        <a:blip xmlns:r="http://schemas.openxmlformats.org/officeDocument/2006/relationships" r:embed="rId3042"/>
        <a:stretch>
          <a:fillRect/>
        </a:stretch>
      </xdr:blipFill>
      <xdr:spPr>
        <a:xfrm>
          <a:off x="7264400" y="3956291300"/>
          <a:ext cx="878840" cy="1183640"/>
        </a:xfrm>
        <a:prstGeom prst="rect">
          <a:avLst/>
        </a:prstGeom>
      </xdr:spPr>
    </xdr:pic>
    <xdr:clientData/>
  </xdr:twoCellAnchor>
  <xdr:twoCellAnchor>
    <xdr:from>
      <xdr:col>8</xdr:col>
      <xdr:colOff>6350</xdr:colOff>
      <xdr:row>3962</xdr:row>
      <xdr:rowOff>25400</xdr:rowOff>
    </xdr:from>
    <xdr:to>
      <xdr:col>8</xdr:col>
      <xdr:colOff>885190</xdr:colOff>
      <xdr:row>3962</xdr:row>
      <xdr:rowOff>1209040</xdr:rowOff>
    </xdr:to>
    <xdr:pic>
      <xdr:nvPicPr>
        <xdr:cNvPr id="7339" name="Изображение 7338" descr="resizeПП-00248935"/>
        <xdr:cNvPicPr>
          <a:picLocks noChangeAspect="1"/>
        </xdr:cNvPicPr>
      </xdr:nvPicPr>
      <xdr:blipFill>
        <a:blip xmlns:r="http://schemas.openxmlformats.org/officeDocument/2006/relationships" r:embed="rId3043"/>
        <a:stretch>
          <a:fillRect/>
        </a:stretch>
      </xdr:blipFill>
      <xdr:spPr>
        <a:xfrm>
          <a:off x="7264400" y="3957513675"/>
          <a:ext cx="878840" cy="1183640"/>
        </a:xfrm>
        <a:prstGeom prst="rect">
          <a:avLst/>
        </a:prstGeom>
      </xdr:spPr>
    </xdr:pic>
    <xdr:clientData/>
  </xdr:twoCellAnchor>
  <xdr:twoCellAnchor>
    <xdr:from>
      <xdr:col>8</xdr:col>
      <xdr:colOff>6350</xdr:colOff>
      <xdr:row>3964</xdr:row>
      <xdr:rowOff>25400</xdr:rowOff>
    </xdr:from>
    <xdr:to>
      <xdr:col>8</xdr:col>
      <xdr:colOff>885190</xdr:colOff>
      <xdr:row>3964</xdr:row>
      <xdr:rowOff>1209040</xdr:rowOff>
    </xdr:to>
    <xdr:pic>
      <xdr:nvPicPr>
        <xdr:cNvPr id="7340" name="Изображение 7339" descr="resizeПП-00218991"/>
        <xdr:cNvPicPr>
          <a:picLocks noChangeAspect="1"/>
        </xdr:cNvPicPr>
      </xdr:nvPicPr>
      <xdr:blipFill>
        <a:blip xmlns:r="http://schemas.openxmlformats.org/officeDocument/2006/relationships" r:embed="rId3044"/>
        <a:stretch>
          <a:fillRect/>
        </a:stretch>
      </xdr:blipFill>
      <xdr:spPr>
        <a:xfrm>
          <a:off x="7264400" y="3958888450"/>
          <a:ext cx="878840" cy="1183640"/>
        </a:xfrm>
        <a:prstGeom prst="rect">
          <a:avLst/>
        </a:prstGeom>
      </xdr:spPr>
    </xdr:pic>
    <xdr:clientData/>
  </xdr:twoCellAnchor>
  <xdr:twoCellAnchor>
    <xdr:from>
      <xdr:col>8</xdr:col>
      <xdr:colOff>6350</xdr:colOff>
      <xdr:row>3966</xdr:row>
      <xdr:rowOff>25400</xdr:rowOff>
    </xdr:from>
    <xdr:to>
      <xdr:col>8</xdr:col>
      <xdr:colOff>885190</xdr:colOff>
      <xdr:row>3966</xdr:row>
      <xdr:rowOff>1209040</xdr:rowOff>
    </xdr:to>
    <xdr:pic>
      <xdr:nvPicPr>
        <xdr:cNvPr id="7341" name="Изображение 7340" descr="resizeПП-00218977"/>
        <xdr:cNvPicPr>
          <a:picLocks noChangeAspect="1"/>
        </xdr:cNvPicPr>
      </xdr:nvPicPr>
      <xdr:blipFill>
        <a:blip xmlns:r="http://schemas.openxmlformats.org/officeDocument/2006/relationships" r:embed="rId3045"/>
        <a:stretch>
          <a:fillRect/>
        </a:stretch>
      </xdr:blipFill>
      <xdr:spPr>
        <a:xfrm>
          <a:off x="7264400" y="3960263225"/>
          <a:ext cx="878840" cy="1183640"/>
        </a:xfrm>
        <a:prstGeom prst="rect">
          <a:avLst/>
        </a:prstGeom>
      </xdr:spPr>
    </xdr:pic>
    <xdr:clientData/>
  </xdr:twoCellAnchor>
  <xdr:twoCellAnchor>
    <xdr:from>
      <xdr:col>8</xdr:col>
      <xdr:colOff>6350</xdr:colOff>
      <xdr:row>3968</xdr:row>
      <xdr:rowOff>25400</xdr:rowOff>
    </xdr:from>
    <xdr:to>
      <xdr:col>8</xdr:col>
      <xdr:colOff>885190</xdr:colOff>
      <xdr:row>3968</xdr:row>
      <xdr:rowOff>1209040</xdr:rowOff>
    </xdr:to>
    <xdr:pic>
      <xdr:nvPicPr>
        <xdr:cNvPr id="7342" name="Изображение 7341" descr="resizeПП-00221333"/>
        <xdr:cNvPicPr>
          <a:picLocks noChangeAspect="1"/>
        </xdr:cNvPicPr>
      </xdr:nvPicPr>
      <xdr:blipFill>
        <a:blip xmlns:r="http://schemas.openxmlformats.org/officeDocument/2006/relationships" r:embed="rId3046"/>
        <a:stretch>
          <a:fillRect/>
        </a:stretch>
      </xdr:blipFill>
      <xdr:spPr>
        <a:xfrm>
          <a:off x="7264400" y="3961638000"/>
          <a:ext cx="878840" cy="1183640"/>
        </a:xfrm>
        <a:prstGeom prst="rect">
          <a:avLst/>
        </a:prstGeom>
      </xdr:spPr>
    </xdr:pic>
    <xdr:clientData/>
  </xdr:twoCellAnchor>
  <xdr:twoCellAnchor>
    <xdr:from>
      <xdr:col>8</xdr:col>
      <xdr:colOff>6350</xdr:colOff>
      <xdr:row>3974</xdr:row>
      <xdr:rowOff>25400</xdr:rowOff>
    </xdr:from>
    <xdr:to>
      <xdr:col>8</xdr:col>
      <xdr:colOff>885190</xdr:colOff>
      <xdr:row>3974</xdr:row>
      <xdr:rowOff>1209040</xdr:rowOff>
    </xdr:to>
    <xdr:pic>
      <xdr:nvPicPr>
        <xdr:cNvPr id="7343" name="Изображение 7342" descr="resizeПП-00084277"/>
        <xdr:cNvPicPr>
          <a:picLocks noChangeAspect="1"/>
        </xdr:cNvPicPr>
      </xdr:nvPicPr>
      <xdr:blipFill>
        <a:blip xmlns:r="http://schemas.openxmlformats.org/officeDocument/2006/relationships" r:embed="rId3047"/>
        <a:stretch>
          <a:fillRect/>
        </a:stretch>
      </xdr:blipFill>
      <xdr:spPr>
        <a:xfrm>
          <a:off x="7264400" y="3963673175"/>
          <a:ext cx="878840" cy="1183640"/>
        </a:xfrm>
        <a:prstGeom prst="rect">
          <a:avLst/>
        </a:prstGeom>
      </xdr:spPr>
    </xdr:pic>
    <xdr:clientData/>
  </xdr:twoCellAnchor>
  <xdr:twoCellAnchor>
    <xdr:from>
      <xdr:col>8</xdr:col>
      <xdr:colOff>6350</xdr:colOff>
      <xdr:row>3976</xdr:row>
      <xdr:rowOff>25400</xdr:rowOff>
    </xdr:from>
    <xdr:to>
      <xdr:col>8</xdr:col>
      <xdr:colOff>885190</xdr:colOff>
      <xdr:row>3976</xdr:row>
      <xdr:rowOff>1209040</xdr:rowOff>
    </xdr:to>
    <xdr:pic>
      <xdr:nvPicPr>
        <xdr:cNvPr id="7344" name="Изображение 7343" descr="resizeПП-00084279"/>
        <xdr:cNvPicPr>
          <a:picLocks noChangeAspect="1"/>
        </xdr:cNvPicPr>
      </xdr:nvPicPr>
      <xdr:blipFill>
        <a:blip xmlns:r="http://schemas.openxmlformats.org/officeDocument/2006/relationships" r:embed="rId3047"/>
        <a:stretch>
          <a:fillRect/>
        </a:stretch>
      </xdr:blipFill>
      <xdr:spPr>
        <a:xfrm>
          <a:off x="7264400" y="3965047950"/>
          <a:ext cx="878840" cy="1183640"/>
        </a:xfrm>
        <a:prstGeom prst="rect">
          <a:avLst/>
        </a:prstGeom>
      </xdr:spPr>
    </xdr:pic>
    <xdr:clientData/>
  </xdr:twoCellAnchor>
  <xdr:twoCellAnchor>
    <xdr:from>
      <xdr:col>8</xdr:col>
      <xdr:colOff>6350</xdr:colOff>
      <xdr:row>3978</xdr:row>
      <xdr:rowOff>25400</xdr:rowOff>
    </xdr:from>
    <xdr:to>
      <xdr:col>8</xdr:col>
      <xdr:colOff>885190</xdr:colOff>
      <xdr:row>3978</xdr:row>
      <xdr:rowOff>1209040</xdr:rowOff>
    </xdr:to>
    <xdr:pic>
      <xdr:nvPicPr>
        <xdr:cNvPr id="7345" name="Изображение 7344" descr="resizeПП-00084281"/>
        <xdr:cNvPicPr>
          <a:picLocks noChangeAspect="1"/>
        </xdr:cNvPicPr>
      </xdr:nvPicPr>
      <xdr:blipFill>
        <a:blip xmlns:r="http://schemas.openxmlformats.org/officeDocument/2006/relationships" r:embed="rId3047"/>
        <a:stretch>
          <a:fillRect/>
        </a:stretch>
      </xdr:blipFill>
      <xdr:spPr>
        <a:xfrm>
          <a:off x="7264400" y="3966422725"/>
          <a:ext cx="878840" cy="1183640"/>
        </a:xfrm>
        <a:prstGeom prst="rect">
          <a:avLst/>
        </a:prstGeom>
      </xdr:spPr>
    </xdr:pic>
    <xdr:clientData/>
  </xdr:twoCellAnchor>
  <xdr:twoCellAnchor>
    <xdr:from>
      <xdr:col>8</xdr:col>
      <xdr:colOff>6350</xdr:colOff>
      <xdr:row>3982</xdr:row>
      <xdr:rowOff>25400</xdr:rowOff>
    </xdr:from>
    <xdr:to>
      <xdr:col>8</xdr:col>
      <xdr:colOff>885190</xdr:colOff>
      <xdr:row>3982</xdr:row>
      <xdr:rowOff>1209040</xdr:rowOff>
    </xdr:to>
    <xdr:pic>
      <xdr:nvPicPr>
        <xdr:cNvPr id="7346" name="Изображение 7345" descr="resizeПП-00272506"/>
        <xdr:cNvPicPr>
          <a:picLocks noChangeAspect="1"/>
        </xdr:cNvPicPr>
      </xdr:nvPicPr>
      <xdr:blipFill>
        <a:blip xmlns:r="http://schemas.openxmlformats.org/officeDocument/2006/relationships" r:embed="rId3048"/>
        <a:stretch>
          <a:fillRect/>
        </a:stretch>
      </xdr:blipFill>
      <xdr:spPr>
        <a:xfrm>
          <a:off x="7264400" y="3968102300"/>
          <a:ext cx="878840" cy="1183640"/>
        </a:xfrm>
        <a:prstGeom prst="rect">
          <a:avLst/>
        </a:prstGeom>
      </xdr:spPr>
    </xdr:pic>
    <xdr:clientData/>
  </xdr:twoCellAnchor>
  <xdr:twoCellAnchor>
    <xdr:from>
      <xdr:col>8</xdr:col>
      <xdr:colOff>6350</xdr:colOff>
      <xdr:row>3983</xdr:row>
      <xdr:rowOff>25400</xdr:rowOff>
    </xdr:from>
    <xdr:to>
      <xdr:col>8</xdr:col>
      <xdr:colOff>885190</xdr:colOff>
      <xdr:row>3983</xdr:row>
      <xdr:rowOff>1209040</xdr:rowOff>
    </xdr:to>
    <xdr:pic>
      <xdr:nvPicPr>
        <xdr:cNvPr id="7347" name="Изображение 7346" descr="resizeПП-00272511"/>
        <xdr:cNvPicPr>
          <a:picLocks noChangeAspect="1"/>
        </xdr:cNvPicPr>
      </xdr:nvPicPr>
      <xdr:blipFill>
        <a:blip xmlns:r="http://schemas.openxmlformats.org/officeDocument/2006/relationships" r:embed="rId3049"/>
        <a:stretch>
          <a:fillRect/>
        </a:stretch>
      </xdr:blipFill>
      <xdr:spPr>
        <a:xfrm>
          <a:off x="7264400" y="3969324675"/>
          <a:ext cx="878840" cy="1183640"/>
        </a:xfrm>
        <a:prstGeom prst="rect">
          <a:avLst/>
        </a:prstGeom>
      </xdr:spPr>
    </xdr:pic>
    <xdr:clientData/>
  </xdr:twoCellAnchor>
  <xdr:twoCellAnchor>
    <xdr:from>
      <xdr:col>8</xdr:col>
      <xdr:colOff>6350</xdr:colOff>
      <xdr:row>3984</xdr:row>
      <xdr:rowOff>25400</xdr:rowOff>
    </xdr:from>
    <xdr:to>
      <xdr:col>8</xdr:col>
      <xdr:colOff>885190</xdr:colOff>
      <xdr:row>3984</xdr:row>
      <xdr:rowOff>1209040</xdr:rowOff>
    </xdr:to>
    <xdr:pic>
      <xdr:nvPicPr>
        <xdr:cNvPr id="7348" name="Изображение 7347" descr="resizeПП-00265716"/>
        <xdr:cNvPicPr>
          <a:picLocks noChangeAspect="1"/>
        </xdr:cNvPicPr>
      </xdr:nvPicPr>
      <xdr:blipFill>
        <a:blip xmlns:r="http://schemas.openxmlformats.org/officeDocument/2006/relationships" r:embed="rId3050"/>
        <a:stretch>
          <a:fillRect/>
        </a:stretch>
      </xdr:blipFill>
      <xdr:spPr>
        <a:xfrm>
          <a:off x="7264400" y="3970547050"/>
          <a:ext cx="878840" cy="1183640"/>
        </a:xfrm>
        <a:prstGeom prst="rect">
          <a:avLst/>
        </a:prstGeom>
      </xdr:spPr>
    </xdr:pic>
    <xdr:clientData/>
  </xdr:twoCellAnchor>
  <xdr:twoCellAnchor>
    <xdr:from>
      <xdr:col>8</xdr:col>
      <xdr:colOff>6350</xdr:colOff>
      <xdr:row>3985</xdr:row>
      <xdr:rowOff>25400</xdr:rowOff>
    </xdr:from>
    <xdr:to>
      <xdr:col>8</xdr:col>
      <xdr:colOff>885190</xdr:colOff>
      <xdr:row>3985</xdr:row>
      <xdr:rowOff>1209040</xdr:rowOff>
    </xdr:to>
    <xdr:pic>
      <xdr:nvPicPr>
        <xdr:cNvPr id="7349" name="Изображение 7348" descr="resizeПП-00272502"/>
        <xdr:cNvPicPr>
          <a:picLocks noChangeAspect="1"/>
        </xdr:cNvPicPr>
      </xdr:nvPicPr>
      <xdr:blipFill>
        <a:blip xmlns:r="http://schemas.openxmlformats.org/officeDocument/2006/relationships" r:embed="rId3051"/>
        <a:stretch>
          <a:fillRect/>
        </a:stretch>
      </xdr:blipFill>
      <xdr:spPr>
        <a:xfrm>
          <a:off x="7264400" y="3971769425"/>
          <a:ext cx="878840" cy="1183640"/>
        </a:xfrm>
        <a:prstGeom prst="rect">
          <a:avLst/>
        </a:prstGeom>
      </xdr:spPr>
    </xdr:pic>
    <xdr:clientData/>
  </xdr:twoCellAnchor>
  <xdr:twoCellAnchor>
    <xdr:from>
      <xdr:col>8</xdr:col>
      <xdr:colOff>6350</xdr:colOff>
      <xdr:row>3986</xdr:row>
      <xdr:rowOff>25400</xdr:rowOff>
    </xdr:from>
    <xdr:to>
      <xdr:col>8</xdr:col>
      <xdr:colOff>885190</xdr:colOff>
      <xdr:row>3986</xdr:row>
      <xdr:rowOff>1209040</xdr:rowOff>
    </xdr:to>
    <xdr:pic>
      <xdr:nvPicPr>
        <xdr:cNvPr id="7350" name="Изображение 7349" descr="resizeПП-00272497"/>
        <xdr:cNvPicPr>
          <a:picLocks noChangeAspect="1"/>
        </xdr:cNvPicPr>
      </xdr:nvPicPr>
      <xdr:blipFill>
        <a:blip xmlns:r="http://schemas.openxmlformats.org/officeDocument/2006/relationships" r:embed="rId3052"/>
        <a:stretch>
          <a:fillRect/>
        </a:stretch>
      </xdr:blipFill>
      <xdr:spPr>
        <a:xfrm>
          <a:off x="7264400" y="3972991800"/>
          <a:ext cx="878840" cy="1183640"/>
        </a:xfrm>
        <a:prstGeom prst="rect">
          <a:avLst/>
        </a:prstGeom>
      </xdr:spPr>
    </xdr:pic>
    <xdr:clientData/>
  </xdr:twoCellAnchor>
  <xdr:twoCellAnchor>
    <xdr:from>
      <xdr:col>8</xdr:col>
      <xdr:colOff>6350</xdr:colOff>
      <xdr:row>3987</xdr:row>
      <xdr:rowOff>25400</xdr:rowOff>
    </xdr:from>
    <xdr:to>
      <xdr:col>8</xdr:col>
      <xdr:colOff>885190</xdr:colOff>
      <xdr:row>3987</xdr:row>
      <xdr:rowOff>1209040</xdr:rowOff>
    </xdr:to>
    <xdr:pic>
      <xdr:nvPicPr>
        <xdr:cNvPr id="7351" name="Изображение 7350" descr="resizeПП-00272500"/>
        <xdr:cNvPicPr>
          <a:picLocks noChangeAspect="1"/>
        </xdr:cNvPicPr>
      </xdr:nvPicPr>
      <xdr:blipFill>
        <a:blip xmlns:r="http://schemas.openxmlformats.org/officeDocument/2006/relationships" r:embed="rId3053"/>
        <a:stretch>
          <a:fillRect/>
        </a:stretch>
      </xdr:blipFill>
      <xdr:spPr>
        <a:xfrm>
          <a:off x="7264400" y="3974214175"/>
          <a:ext cx="878840" cy="1183640"/>
        </a:xfrm>
        <a:prstGeom prst="rect">
          <a:avLst/>
        </a:prstGeom>
      </xdr:spPr>
    </xdr:pic>
    <xdr:clientData/>
  </xdr:twoCellAnchor>
  <xdr:twoCellAnchor>
    <xdr:from>
      <xdr:col>8</xdr:col>
      <xdr:colOff>6350</xdr:colOff>
      <xdr:row>3988</xdr:row>
      <xdr:rowOff>25400</xdr:rowOff>
    </xdr:from>
    <xdr:to>
      <xdr:col>8</xdr:col>
      <xdr:colOff>885190</xdr:colOff>
      <xdr:row>3988</xdr:row>
      <xdr:rowOff>1209040</xdr:rowOff>
    </xdr:to>
    <xdr:pic>
      <xdr:nvPicPr>
        <xdr:cNvPr id="7352" name="Изображение 7351" descr="resizeПП-00263210"/>
        <xdr:cNvPicPr>
          <a:picLocks noChangeAspect="1"/>
        </xdr:cNvPicPr>
      </xdr:nvPicPr>
      <xdr:blipFill>
        <a:blip xmlns:r="http://schemas.openxmlformats.org/officeDocument/2006/relationships" r:embed="rId3054"/>
        <a:stretch>
          <a:fillRect/>
        </a:stretch>
      </xdr:blipFill>
      <xdr:spPr>
        <a:xfrm>
          <a:off x="7264400" y="3975436550"/>
          <a:ext cx="878840" cy="1183640"/>
        </a:xfrm>
        <a:prstGeom prst="rect">
          <a:avLst/>
        </a:prstGeom>
      </xdr:spPr>
    </xdr:pic>
    <xdr:clientData/>
  </xdr:twoCellAnchor>
  <xdr:twoCellAnchor>
    <xdr:from>
      <xdr:col>8</xdr:col>
      <xdr:colOff>6350</xdr:colOff>
      <xdr:row>3989</xdr:row>
      <xdr:rowOff>25400</xdr:rowOff>
    </xdr:from>
    <xdr:to>
      <xdr:col>8</xdr:col>
      <xdr:colOff>885190</xdr:colOff>
      <xdr:row>3989</xdr:row>
      <xdr:rowOff>1209040</xdr:rowOff>
    </xdr:to>
    <xdr:pic>
      <xdr:nvPicPr>
        <xdr:cNvPr id="7353" name="Изображение 7352" descr="resizeПП-00263207"/>
        <xdr:cNvPicPr>
          <a:picLocks noChangeAspect="1"/>
        </xdr:cNvPicPr>
      </xdr:nvPicPr>
      <xdr:blipFill>
        <a:blip xmlns:r="http://schemas.openxmlformats.org/officeDocument/2006/relationships" r:embed="rId3055"/>
        <a:stretch>
          <a:fillRect/>
        </a:stretch>
      </xdr:blipFill>
      <xdr:spPr>
        <a:xfrm>
          <a:off x="7264400" y="3976658925"/>
          <a:ext cx="878840" cy="1183640"/>
        </a:xfrm>
        <a:prstGeom prst="rect">
          <a:avLst/>
        </a:prstGeom>
      </xdr:spPr>
    </xdr:pic>
    <xdr:clientData/>
  </xdr:twoCellAnchor>
  <xdr:twoCellAnchor>
    <xdr:from>
      <xdr:col>8</xdr:col>
      <xdr:colOff>6350</xdr:colOff>
      <xdr:row>3990</xdr:row>
      <xdr:rowOff>25400</xdr:rowOff>
    </xdr:from>
    <xdr:to>
      <xdr:col>8</xdr:col>
      <xdr:colOff>885190</xdr:colOff>
      <xdr:row>3990</xdr:row>
      <xdr:rowOff>1209040</xdr:rowOff>
    </xdr:to>
    <xdr:pic>
      <xdr:nvPicPr>
        <xdr:cNvPr id="7354" name="Изображение 7353" descr="resizeПП-00265717"/>
        <xdr:cNvPicPr>
          <a:picLocks noChangeAspect="1"/>
        </xdr:cNvPicPr>
      </xdr:nvPicPr>
      <xdr:blipFill>
        <a:blip xmlns:r="http://schemas.openxmlformats.org/officeDocument/2006/relationships" r:embed="rId3056"/>
        <a:stretch>
          <a:fillRect/>
        </a:stretch>
      </xdr:blipFill>
      <xdr:spPr>
        <a:xfrm>
          <a:off x="7264400" y="3977881300"/>
          <a:ext cx="878840" cy="1183640"/>
        </a:xfrm>
        <a:prstGeom prst="rect">
          <a:avLst/>
        </a:prstGeom>
      </xdr:spPr>
    </xdr:pic>
    <xdr:clientData/>
  </xdr:twoCellAnchor>
  <xdr:twoCellAnchor>
    <xdr:from>
      <xdr:col>8</xdr:col>
      <xdr:colOff>6350</xdr:colOff>
      <xdr:row>3991</xdr:row>
      <xdr:rowOff>25400</xdr:rowOff>
    </xdr:from>
    <xdr:to>
      <xdr:col>8</xdr:col>
      <xdr:colOff>885190</xdr:colOff>
      <xdr:row>3991</xdr:row>
      <xdr:rowOff>1209040</xdr:rowOff>
    </xdr:to>
    <xdr:pic>
      <xdr:nvPicPr>
        <xdr:cNvPr id="7355" name="Изображение 7354" descr="resizeПП-00272504"/>
        <xdr:cNvPicPr>
          <a:picLocks noChangeAspect="1"/>
        </xdr:cNvPicPr>
      </xdr:nvPicPr>
      <xdr:blipFill>
        <a:blip xmlns:r="http://schemas.openxmlformats.org/officeDocument/2006/relationships" r:embed="rId3057"/>
        <a:stretch>
          <a:fillRect/>
        </a:stretch>
      </xdr:blipFill>
      <xdr:spPr>
        <a:xfrm>
          <a:off x="7264400" y="3979103675"/>
          <a:ext cx="878840" cy="1183640"/>
        </a:xfrm>
        <a:prstGeom prst="rect">
          <a:avLst/>
        </a:prstGeom>
      </xdr:spPr>
    </xdr:pic>
    <xdr:clientData/>
  </xdr:twoCellAnchor>
  <xdr:twoCellAnchor>
    <xdr:from>
      <xdr:col>8</xdr:col>
      <xdr:colOff>6350</xdr:colOff>
      <xdr:row>3992</xdr:row>
      <xdr:rowOff>25400</xdr:rowOff>
    </xdr:from>
    <xdr:to>
      <xdr:col>8</xdr:col>
      <xdr:colOff>885190</xdr:colOff>
      <xdr:row>3992</xdr:row>
      <xdr:rowOff>1209040</xdr:rowOff>
    </xdr:to>
    <xdr:pic>
      <xdr:nvPicPr>
        <xdr:cNvPr id="7356" name="Изображение 7355" descr="resizeПП-00263209"/>
        <xdr:cNvPicPr>
          <a:picLocks noChangeAspect="1"/>
        </xdr:cNvPicPr>
      </xdr:nvPicPr>
      <xdr:blipFill>
        <a:blip xmlns:r="http://schemas.openxmlformats.org/officeDocument/2006/relationships" r:embed="rId3058"/>
        <a:stretch>
          <a:fillRect/>
        </a:stretch>
      </xdr:blipFill>
      <xdr:spPr>
        <a:xfrm>
          <a:off x="7264400" y="3980326050"/>
          <a:ext cx="878840" cy="1183640"/>
        </a:xfrm>
        <a:prstGeom prst="rect">
          <a:avLst/>
        </a:prstGeom>
      </xdr:spPr>
    </xdr:pic>
    <xdr:clientData/>
  </xdr:twoCellAnchor>
  <xdr:twoCellAnchor>
    <xdr:from>
      <xdr:col>8</xdr:col>
      <xdr:colOff>6350</xdr:colOff>
      <xdr:row>3993</xdr:row>
      <xdr:rowOff>25400</xdr:rowOff>
    </xdr:from>
    <xdr:to>
      <xdr:col>8</xdr:col>
      <xdr:colOff>885190</xdr:colOff>
      <xdr:row>3993</xdr:row>
      <xdr:rowOff>1209040</xdr:rowOff>
    </xdr:to>
    <xdr:pic>
      <xdr:nvPicPr>
        <xdr:cNvPr id="7357" name="Изображение 7356" descr="resizeПП-00263200"/>
        <xdr:cNvPicPr>
          <a:picLocks noChangeAspect="1"/>
        </xdr:cNvPicPr>
      </xdr:nvPicPr>
      <xdr:blipFill>
        <a:blip xmlns:r="http://schemas.openxmlformats.org/officeDocument/2006/relationships" r:embed="rId3059"/>
        <a:stretch>
          <a:fillRect/>
        </a:stretch>
      </xdr:blipFill>
      <xdr:spPr>
        <a:xfrm>
          <a:off x="7264400" y="3981548425"/>
          <a:ext cx="878840" cy="1183640"/>
        </a:xfrm>
        <a:prstGeom prst="rect">
          <a:avLst/>
        </a:prstGeom>
      </xdr:spPr>
    </xdr:pic>
    <xdr:clientData/>
  </xdr:twoCellAnchor>
  <xdr:twoCellAnchor>
    <xdr:from>
      <xdr:col>8</xdr:col>
      <xdr:colOff>6350</xdr:colOff>
      <xdr:row>3994</xdr:row>
      <xdr:rowOff>25400</xdr:rowOff>
    </xdr:from>
    <xdr:to>
      <xdr:col>8</xdr:col>
      <xdr:colOff>885190</xdr:colOff>
      <xdr:row>3994</xdr:row>
      <xdr:rowOff>1209040</xdr:rowOff>
    </xdr:to>
    <xdr:pic>
      <xdr:nvPicPr>
        <xdr:cNvPr id="7358" name="Изображение 7357" descr="resizeПП-00263208"/>
        <xdr:cNvPicPr>
          <a:picLocks noChangeAspect="1"/>
        </xdr:cNvPicPr>
      </xdr:nvPicPr>
      <xdr:blipFill>
        <a:blip xmlns:r="http://schemas.openxmlformats.org/officeDocument/2006/relationships" r:embed="rId3060"/>
        <a:stretch>
          <a:fillRect/>
        </a:stretch>
      </xdr:blipFill>
      <xdr:spPr>
        <a:xfrm>
          <a:off x="7264400" y="3982770800"/>
          <a:ext cx="878840" cy="1183640"/>
        </a:xfrm>
        <a:prstGeom prst="rect">
          <a:avLst/>
        </a:prstGeom>
      </xdr:spPr>
    </xdr:pic>
    <xdr:clientData/>
  </xdr:twoCellAnchor>
  <xdr:twoCellAnchor>
    <xdr:from>
      <xdr:col>8</xdr:col>
      <xdr:colOff>6350</xdr:colOff>
      <xdr:row>3996</xdr:row>
      <xdr:rowOff>25400</xdr:rowOff>
    </xdr:from>
    <xdr:to>
      <xdr:col>8</xdr:col>
      <xdr:colOff>885190</xdr:colOff>
      <xdr:row>3996</xdr:row>
      <xdr:rowOff>1209040</xdr:rowOff>
    </xdr:to>
    <xdr:pic>
      <xdr:nvPicPr>
        <xdr:cNvPr id="7359" name="Изображение 7358" descr="resizeПП-00272514"/>
        <xdr:cNvPicPr>
          <a:picLocks noChangeAspect="1"/>
        </xdr:cNvPicPr>
      </xdr:nvPicPr>
      <xdr:blipFill>
        <a:blip xmlns:r="http://schemas.openxmlformats.org/officeDocument/2006/relationships" r:embed="rId3061"/>
        <a:stretch>
          <a:fillRect/>
        </a:stretch>
      </xdr:blipFill>
      <xdr:spPr>
        <a:xfrm>
          <a:off x="7264400" y="3984145575"/>
          <a:ext cx="878840" cy="1183640"/>
        </a:xfrm>
        <a:prstGeom prst="rect">
          <a:avLst/>
        </a:prstGeom>
      </xdr:spPr>
    </xdr:pic>
    <xdr:clientData/>
  </xdr:twoCellAnchor>
  <xdr:twoCellAnchor>
    <xdr:from>
      <xdr:col>8</xdr:col>
      <xdr:colOff>6350</xdr:colOff>
      <xdr:row>3997</xdr:row>
      <xdr:rowOff>25400</xdr:rowOff>
    </xdr:from>
    <xdr:to>
      <xdr:col>8</xdr:col>
      <xdr:colOff>885190</xdr:colOff>
      <xdr:row>3997</xdr:row>
      <xdr:rowOff>1209040</xdr:rowOff>
    </xdr:to>
    <xdr:pic>
      <xdr:nvPicPr>
        <xdr:cNvPr id="7360" name="Изображение 7359" descr="resizeПП-00272517"/>
        <xdr:cNvPicPr>
          <a:picLocks noChangeAspect="1"/>
        </xdr:cNvPicPr>
      </xdr:nvPicPr>
      <xdr:blipFill>
        <a:blip xmlns:r="http://schemas.openxmlformats.org/officeDocument/2006/relationships" r:embed="rId3062"/>
        <a:stretch>
          <a:fillRect/>
        </a:stretch>
      </xdr:blipFill>
      <xdr:spPr>
        <a:xfrm>
          <a:off x="7264400" y="3985367950"/>
          <a:ext cx="878840" cy="1183640"/>
        </a:xfrm>
        <a:prstGeom prst="rect">
          <a:avLst/>
        </a:prstGeom>
      </xdr:spPr>
    </xdr:pic>
    <xdr:clientData/>
  </xdr:twoCellAnchor>
  <xdr:twoCellAnchor>
    <xdr:from>
      <xdr:col>8</xdr:col>
      <xdr:colOff>6350</xdr:colOff>
      <xdr:row>3998</xdr:row>
      <xdr:rowOff>25400</xdr:rowOff>
    </xdr:from>
    <xdr:to>
      <xdr:col>8</xdr:col>
      <xdr:colOff>885190</xdr:colOff>
      <xdr:row>3998</xdr:row>
      <xdr:rowOff>1209040</xdr:rowOff>
    </xdr:to>
    <xdr:pic>
      <xdr:nvPicPr>
        <xdr:cNvPr id="7361" name="Изображение 7360" descr="resizeПП-00272513"/>
        <xdr:cNvPicPr>
          <a:picLocks noChangeAspect="1"/>
        </xdr:cNvPicPr>
      </xdr:nvPicPr>
      <xdr:blipFill>
        <a:blip xmlns:r="http://schemas.openxmlformats.org/officeDocument/2006/relationships" r:embed="rId3063"/>
        <a:stretch>
          <a:fillRect/>
        </a:stretch>
      </xdr:blipFill>
      <xdr:spPr>
        <a:xfrm>
          <a:off x="7264400" y="3986590325"/>
          <a:ext cx="878840" cy="1183640"/>
        </a:xfrm>
        <a:prstGeom prst="rect">
          <a:avLst/>
        </a:prstGeom>
      </xdr:spPr>
    </xdr:pic>
    <xdr:clientData/>
  </xdr:twoCellAnchor>
  <xdr:twoCellAnchor>
    <xdr:from>
      <xdr:col>8</xdr:col>
      <xdr:colOff>6350</xdr:colOff>
      <xdr:row>3999</xdr:row>
      <xdr:rowOff>25400</xdr:rowOff>
    </xdr:from>
    <xdr:to>
      <xdr:col>8</xdr:col>
      <xdr:colOff>885190</xdr:colOff>
      <xdr:row>3999</xdr:row>
      <xdr:rowOff>1209040</xdr:rowOff>
    </xdr:to>
    <xdr:pic>
      <xdr:nvPicPr>
        <xdr:cNvPr id="7362" name="Изображение 7361" descr="resizeПП-00263513"/>
        <xdr:cNvPicPr>
          <a:picLocks noChangeAspect="1"/>
        </xdr:cNvPicPr>
      </xdr:nvPicPr>
      <xdr:blipFill>
        <a:blip xmlns:r="http://schemas.openxmlformats.org/officeDocument/2006/relationships" r:embed="rId3064"/>
        <a:stretch>
          <a:fillRect/>
        </a:stretch>
      </xdr:blipFill>
      <xdr:spPr>
        <a:xfrm>
          <a:off x="7264400" y="3987812700"/>
          <a:ext cx="878840" cy="1183640"/>
        </a:xfrm>
        <a:prstGeom prst="rect">
          <a:avLst/>
        </a:prstGeom>
      </xdr:spPr>
    </xdr:pic>
    <xdr:clientData/>
  </xdr:twoCellAnchor>
  <xdr:twoCellAnchor>
    <xdr:from>
      <xdr:col>8</xdr:col>
      <xdr:colOff>6350</xdr:colOff>
      <xdr:row>4000</xdr:row>
      <xdr:rowOff>25400</xdr:rowOff>
    </xdr:from>
    <xdr:to>
      <xdr:col>8</xdr:col>
      <xdr:colOff>885190</xdr:colOff>
      <xdr:row>4000</xdr:row>
      <xdr:rowOff>1209040</xdr:rowOff>
    </xdr:to>
    <xdr:pic>
      <xdr:nvPicPr>
        <xdr:cNvPr id="7363" name="Изображение 7362" descr="resizeПП-00263517"/>
        <xdr:cNvPicPr>
          <a:picLocks noChangeAspect="1"/>
        </xdr:cNvPicPr>
      </xdr:nvPicPr>
      <xdr:blipFill>
        <a:blip xmlns:r="http://schemas.openxmlformats.org/officeDocument/2006/relationships" r:embed="rId3065"/>
        <a:stretch>
          <a:fillRect/>
        </a:stretch>
      </xdr:blipFill>
      <xdr:spPr>
        <a:xfrm>
          <a:off x="7264400" y="3989035075"/>
          <a:ext cx="878840" cy="1183640"/>
        </a:xfrm>
        <a:prstGeom prst="rect">
          <a:avLst/>
        </a:prstGeom>
      </xdr:spPr>
    </xdr:pic>
    <xdr:clientData/>
  </xdr:twoCellAnchor>
  <xdr:twoCellAnchor>
    <xdr:from>
      <xdr:col>8</xdr:col>
      <xdr:colOff>6350</xdr:colOff>
      <xdr:row>4001</xdr:row>
      <xdr:rowOff>25400</xdr:rowOff>
    </xdr:from>
    <xdr:to>
      <xdr:col>8</xdr:col>
      <xdr:colOff>885190</xdr:colOff>
      <xdr:row>4001</xdr:row>
      <xdr:rowOff>1209040</xdr:rowOff>
    </xdr:to>
    <xdr:pic>
      <xdr:nvPicPr>
        <xdr:cNvPr id="7364" name="Изображение 7363" descr="resizeПП-00263519"/>
        <xdr:cNvPicPr>
          <a:picLocks noChangeAspect="1"/>
        </xdr:cNvPicPr>
      </xdr:nvPicPr>
      <xdr:blipFill>
        <a:blip xmlns:r="http://schemas.openxmlformats.org/officeDocument/2006/relationships" r:embed="rId3066"/>
        <a:stretch>
          <a:fillRect/>
        </a:stretch>
      </xdr:blipFill>
      <xdr:spPr>
        <a:xfrm>
          <a:off x="7264400" y="3990257450"/>
          <a:ext cx="878840" cy="1183640"/>
        </a:xfrm>
        <a:prstGeom prst="rect">
          <a:avLst/>
        </a:prstGeom>
      </xdr:spPr>
    </xdr:pic>
    <xdr:clientData/>
  </xdr:twoCellAnchor>
  <xdr:twoCellAnchor>
    <xdr:from>
      <xdr:col>8</xdr:col>
      <xdr:colOff>6350</xdr:colOff>
      <xdr:row>4002</xdr:row>
      <xdr:rowOff>25400</xdr:rowOff>
    </xdr:from>
    <xdr:to>
      <xdr:col>8</xdr:col>
      <xdr:colOff>885190</xdr:colOff>
      <xdr:row>4002</xdr:row>
      <xdr:rowOff>1209040</xdr:rowOff>
    </xdr:to>
    <xdr:pic>
      <xdr:nvPicPr>
        <xdr:cNvPr id="7365" name="Изображение 7364" descr="resizeПП-00263518"/>
        <xdr:cNvPicPr>
          <a:picLocks noChangeAspect="1"/>
        </xdr:cNvPicPr>
      </xdr:nvPicPr>
      <xdr:blipFill>
        <a:blip xmlns:r="http://schemas.openxmlformats.org/officeDocument/2006/relationships" r:embed="rId3067"/>
        <a:stretch>
          <a:fillRect/>
        </a:stretch>
      </xdr:blipFill>
      <xdr:spPr>
        <a:xfrm>
          <a:off x="7264400" y="3991479825"/>
          <a:ext cx="878840" cy="1183640"/>
        </a:xfrm>
        <a:prstGeom prst="rect">
          <a:avLst/>
        </a:prstGeom>
      </xdr:spPr>
    </xdr:pic>
    <xdr:clientData/>
  </xdr:twoCellAnchor>
  <xdr:twoCellAnchor>
    <xdr:from>
      <xdr:col>8</xdr:col>
      <xdr:colOff>6350</xdr:colOff>
      <xdr:row>4003</xdr:row>
      <xdr:rowOff>25400</xdr:rowOff>
    </xdr:from>
    <xdr:to>
      <xdr:col>8</xdr:col>
      <xdr:colOff>885190</xdr:colOff>
      <xdr:row>4003</xdr:row>
      <xdr:rowOff>1209040</xdr:rowOff>
    </xdr:to>
    <xdr:pic>
      <xdr:nvPicPr>
        <xdr:cNvPr id="7366" name="Изображение 7365" descr="resizeПП-00263515"/>
        <xdr:cNvPicPr>
          <a:picLocks noChangeAspect="1"/>
        </xdr:cNvPicPr>
      </xdr:nvPicPr>
      <xdr:blipFill>
        <a:blip xmlns:r="http://schemas.openxmlformats.org/officeDocument/2006/relationships" r:embed="rId3068"/>
        <a:stretch>
          <a:fillRect/>
        </a:stretch>
      </xdr:blipFill>
      <xdr:spPr>
        <a:xfrm>
          <a:off x="7264400" y="3992702200"/>
          <a:ext cx="878840" cy="1183640"/>
        </a:xfrm>
        <a:prstGeom prst="rect">
          <a:avLst/>
        </a:prstGeom>
      </xdr:spPr>
    </xdr:pic>
    <xdr:clientData/>
  </xdr:twoCellAnchor>
  <xdr:twoCellAnchor>
    <xdr:from>
      <xdr:col>8</xdr:col>
      <xdr:colOff>6350</xdr:colOff>
      <xdr:row>4004</xdr:row>
      <xdr:rowOff>25400</xdr:rowOff>
    </xdr:from>
    <xdr:to>
      <xdr:col>8</xdr:col>
      <xdr:colOff>885190</xdr:colOff>
      <xdr:row>4004</xdr:row>
      <xdr:rowOff>1209040</xdr:rowOff>
    </xdr:to>
    <xdr:pic>
      <xdr:nvPicPr>
        <xdr:cNvPr id="7367" name="Изображение 7366" descr="resizeПП-00263514"/>
        <xdr:cNvPicPr>
          <a:picLocks noChangeAspect="1"/>
        </xdr:cNvPicPr>
      </xdr:nvPicPr>
      <xdr:blipFill>
        <a:blip xmlns:r="http://schemas.openxmlformats.org/officeDocument/2006/relationships" r:embed="rId3069"/>
        <a:stretch>
          <a:fillRect/>
        </a:stretch>
      </xdr:blipFill>
      <xdr:spPr>
        <a:xfrm>
          <a:off x="7264400" y="3993924575"/>
          <a:ext cx="878840" cy="1183640"/>
        </a:xfrm>
        <a:prstGeom prst="rect">
          <a:avLst/>
        </a:prstGeom>
      </xdr:spPr>
    </xdr:pic>
    <xdr:clientData/>
  </xdr:twoCellAnchor>
  <xdr:twoCellAnchor>
    <xdr:from>
      <xdr:col>8</xdr:col>
      <xdr:colOff>6350</xdr:colOff>
      <xdr:row>4005</xdr:row>
      <xdr:rowOff>25400</xdr:rowOff>
    </xdr:from>
    <xdr:to>
      <xdr:col>8</xdr:col>
      <xdr:colOff>885190</xdr:colOff>
      <xdr:row>4005</xdr:row>
      <xdr:rowOff>1209040</xdr:rowOff>
    </xdr:to>
    <xdr:pic>
      <xdr:nvPicPr>
        <xdr:cNvPr id="7368" name="Изображение 7367" descr="resizeПП-00263512"/>
        <xdr:cNvPicPr>
          <a:picLocks noChangeAspect="1"/>
        </xdr:cNvPicPr>
      </xdr:nvPicPr>
      <xdr:blipFill>
        <a:blip xmlns:r="http://schemas.openxmlformats.org/officeDocument/2006/relationships" r:embed="rId3070"/>
        <a:stretch>
          <a:fillRect/>
        </a:stretch>
      </xdr:blipFill>
      <xdr:spPr>
        <a:xfrm>
          <a:off x="7264400" y="3995146950"/>
          <a:ext cx="878840" cy="1183640"/>
        </a:xfrm>
        <a:prstGeom prst="rect">
          <a:avLst/>
        </a:prstGeom>
      </xdr:spPr>
    </xdr:pic>
    <xdr:clientData/>
  </xdr:twoCellAnchor>
  <xdr:twoCellAnchor>
    <xdr:from>
      <xdr:col>8</xdr:col>
      <xdr:colOff>6350</xdr:colOff>
      <xdr:row>4006</xdr:row>
      <xdr:rowOff>25400</xdr:rowOff>
    </xdr:from>
    <xdr:to>
      <xdr:col>8</xdr:col>
      <xdr:colOff>885190</xdr:colOff>
      <xdr:row>4006</xdr:row>
      <xdr:rowOff>1209040</xdr:rowOff>
    </xdr:to>
    <xdr:pic>
      <xdr:nvPicPr>
        <xdr:cNvPr id="7369" name="Изображение 7368" descr="resizeПП-00272516"/>
        <xdr:cNvPicPr>
          <a:picLocks noChangeAspect="1"/>
        </xdr:cNvPicPr>
      </xdr:nvPicPr>
      <xdr:blipFill>
        <a:blip xmlns:r="http://schemas.openxmlformats.org/officeDocument/2006/relationships" r:embed="rId3071"/>
        <a:stretch>
          <a:fillRect/>
        </a:stretch>
      </xdr:blipFill>
      <xdr:spPr>
        <a:xfrm>
          <a:off x="7264400" y="3996369325"/>
          <a:ext cx="878840" cy="1183640"/>
        </a:xfrm>
        <a:prstGeom prst="rect">
          <a:avLst/>
        </a:prstGeom>
      </xdr:spPr>
    </xdr:pic>
    <xdr:clientData/>
  </xdr:twoCellAnchor>
  <xdr:twoCellAnchor>
    <xdr:from>
      <xdr:col>8</xdr:col>
      <xdr:colOff>6350</xdr:colOff>
      <xdr:row>4007</xdr:row>
      <xdr:rowOff>25400</xdr:rowOff>
    </xdr:from>
    <xdr:to>
      <xdr:col>8</xdr:col>
      <xdr:colOff>885190</xdr:colOff>
      <xdr:row>4007</xdr:row>
      <xdr:rowOff>1209040</xdr:rowOff>
    </xdr:to>
    <xdr:pic>
      <xdr:nvPicPr>
        <xdr:cNvPr id="7370" name="Изображение 7369" descr="resizeПП-00272512"/>
        <xdr:cNvPicPr>
          <a:picLocks noChangeAspect="1"/>
        </xdr:cNvPicPr>
      </xdr:nvPicPr>
      <xdr:blipFill>
        <a:blip xmlns:r="http://schemas.openxmlformats.org/officeDocument/2006/relationships" r:embed="rId3072"/>
        <a:stretch>
          <a:fillRect/>
        </a:stretch>
      </xdr:blipFill>
      <xdr:spPr>
        <a:xfrm>
          <a:off x="7264400" y="3997591700"/>
          <a:ext cx="878840" cy="1183640"/>
        </a:xfrm>
        <a:prstGeom prst="rect">
          <a:avLst/>
        </a:prstGeom>
      </xdr:spPr>
    </xdr:pic>
    <xdr:clientData/>
  </xdr:twoCellAnchor>
  <xdr:twoCellAnchor>
    <xdr:from>
      <xdr:col>8</xdr:col>
      <xdr:colOff>6350</xdr:colOff>
      <xdr:row>4010</xdr:row>
      <xdr:rowOff>25400</xdr:rowOff>
    </xdr:from>
    <xdr:to>
      <xdr:col>8</xdr:col>
      <xdr:colOff>885190</xdr:colOff>
      <xdr:row>4010</xdr:row>
      <xdr:rowOff>1209040</xdr:rowOff>
    </xdr:to>
    <xdr:pic>
      <xdr:nvPicPr>
        <xdr:cNvPr id="7371" name="Изображение 7370" descr="resizeПП-00265712"/>
        <xdr:cNvPicPr>
          <a:picLocks noChangeAspect="1"/>
        </xdr:cNvPicPr>
      </xdr:nvPicPr>
      <xdr:blipFill>
        <a:blip xmlns:r="http://schemas.openxmlformats.org/officeDocument/2006/relationships" r:embed="rId3073"/>
        <a:stretch>
          <a:fillRect/>
        </a:stretch>
      </xdr:blipFill>
      <xdr:spPr>
        <a:xfrm>
          <a:off x="7264400" y="3999118875"/>
          <a:ext cx="878840" cy="1183640"/>
        </a:xfrm>
        <a:prstGeom prst="rect">
          <a:avLst/>
        </a:prstGeom>
      </xdr:spPr>
    </xdr:pic>
    <xdr:clientData/>
  </xdr:twoCellAnchor>
  <xdr:twoCellAnchor>
    <xdr:from>
      <xdr:col>8</xdr:col>
      <xdr:colOff>6350</xdr:colOff>
      <xdr:row>4011</xdr:row>
      <xdr:rowOff>25400</xdr:rowOff>
    </xdr:from>
    <xdr:to>
      <xdr:col>8</xdr:col>
      <xdr:colOff>885190</xdr:colOff>
      <xdr:row>4011</xdr:row>
      <xdr:rowOff>1209040</xdr:rowOff>
    </xdr:to>
    <xdr:pic>
      <xdr:nvPicPr>
        <xdr:cNvPr id="7372" name="Изображение 7371" descr="resizeПП-00265715"/>
        <xdr:cNvPicPr>
          <a:picLocks noChangeAspect="1"/>
        </xdr:cNvPicPr>
      </xdr:nvPicPr>
      <xdr:blipFill>
        <a:blip xmlns:r="http://schemas.openxmlformats.org/officeDocument/2006/relationships" r:embed="rId3074"/>
        <a:stretch>
          <a:fillRect/>
        </a:stretch>
      </xdr:blipFill>
      <xdr:spPr>
        <a:xfrm>
          <a:off x="7264400" y="4000341250"/>
          <a:ext cx="878840" cy="1183640"/>
        </a:xfrm>
        <a:prstGeom prst="rect">
          <a:avLst/>
        </a:prstGeom>
      </xdr:spPr>
    </xdr:pic>
    <xdr:clientData/>
  </xdr:twoCellAnchor>
  <xdr:twoCellAnchor>
    <xdr:from>
      <xdr:col>8</xdr:col>
      <xdr:colOff>6350</xdr:colOff>
      <xdr:row>4012</xdr:row>
      <xdr:rowOff>25400</xdr:rowOff>
    </xdr:from>
    <xdr:to>
      <xdr:col>8</xdr:col>
      <xdr:colOff>885190</xdr:colOff>
      <xdr:row>4012</xdr:row>
      <xdr:rowOff>1209040</xdr:rowOff>
    </xdr:to>
    <xdr:pic>
      <xdr:nvPicPr>
        <xdr:cNvPr id="7373" name="Изображение 7372" descr="resizeПП-00265713"/>
        <xdr:cNvPicPr>
          <a:picLocks noChangeAspect="1"/>
        </xdr:cNvPicPr>
      </xdr:nvPicPr>
      <xdr:blipFill>
        <a:blip xmlns:r="http://schemas.openxmlformats.org/officeDocument/2006/relationships" r:embed="rId3075"/>
        <a:stretch>
          <a:fillRect/>
        </a:stretch>
      </xdr:blipFill>
      <xdr:spPr>
        <a:xfrm>
          <a:off x="7264400" y="4001563625"/>
          <a:ext cx="878840" cy="1183640"/>
        </a:xfrm>
        <a:prstGeom prst="rect">
          <a:avLst/>
        </a:prstGeom>
      </xdr:spPr>
    </xdr:pic>
    <xdr:clientData/>
  </xdr:twoCellAnchor>
  <xdr:twoCellAnchor>
    <xdr:from>
      <xdr:col>8</xdr:col>
      <xdr:colOff>6350</xdr:colOff>
      <xdr:row>4013</xdr:row>
      <xdr:rowOff>25400</xdr:rowOff>
    </xdr:from>
    <xdr:to>
      <xdr:col>8</xdr:col>
      <xdr:colOff>885190</xdr:colOff>
      <xdr:row>4013</xdr:row>
      <xdr:rowOff>1209040</xdr:rowOff>
    </xdr:to>
    <xdr:pic>
      <xdr:nvPicPr>
        <xdr:cNvPr id="7374" name="Изображение 7373" descr="resizeПП-00265714"/>
        <xdr:cNvPicPr>
          <a:picLocks noChangeAspect="1"/>
        </xdr:cNvPicPr>
      </xdr:nvPicPr>
      <xdr:blipFill>
        <a:blip xmlns:r="http://schemas.openxmlformats.org/officeDocument/2006/relationships" r:embed="rId3076"/>
        <a:stretch>
          <a:fillRect/>
        </a:stretch>
      </xdr:blipFill>
      <xdr:spPr>
        <a:xfrm>
          <a:off x="7264400" y="4002786000"/>
          <a:ext cx="878840" cy="1183640"/>
        </a:xfrm>
        <a:prstGeom prst="rect">
          <a:avLst/>
        </a:prstGeom>
      </xdr:spPr>
    </xdr:pic>
    <xdr:clientData/>
  </xdr:twoCellAnchor>
  <xdr:twoCellAnchor>
    <xdr:from>
      <xdr:col>8</xdr:col>
      <xdr:colOff>6350</xdr:colOff>
      <xdr:row>4014</xdr:row>
      <xdr:rowOff>25400</xdr:rowOff>
    </xdr:from>
    <xdr:to>
      <xdr:col>8</xdr:col>
      <xdr:colOff>885190</xdr:colOff>
      <xdr:row>4014</xdr:row>
      <xdr:rowOff>1209040</xdr:rowOff>
    </xdr:to>
    <xdr:pic>
      <xdr:nvPicPr>
        <xdr:cNvPr id="7375" name="Изображение 7374" descr="resizeПП-00263507"/>
        <xdr:cNvPicPr>
          <a:picLocks noChangeAspect="1"/>
        </xdr:cNvPicPr>
      </xdr:nvPicPr>
      <xdr:blipFill>
        <a:blip xmlns:r="http://schemas.openxmlformats.org/officeDocument/2006/relationships" r:embed="rId3077"/>
        <a:stretch>
          <a:fillRect/>
        </a:stretch>
      </xdr:blipFill>
      <xdr:spPr>
        <a:xfrm>
          <a:off x="7264400" y="4004008375"/>
          <a:ext cx="878840" cy="1183640"/>
        </a:xfrm>
        <a:prstGeom prst="rect">
          <a:avLst/>
        </a:prstGeom>
      </xdr:spPr>
    </xdr:pic>
    <xdr:clientData/>
  </xdr:twoCellAnchor>
  <xdr:twoCellAnchor>
    <xdr:from>
      <xdr:col>8</xdr:col>
      <xdr:colOff>6350</xdr:colOff>
      <xdr:row>4015</xdr:row>
      <xdr:rowOff>25400</xdr:rowOff>
    </xdr:from>
    <xdr:to>
      <xdr:col>8</xdr:col>
      <xdr:colOff>885190</xdr:colOff>
      <xdr:row>4015</xdr:row>
      <xdr:rowOff>1209040</xdr:rowOff>
    </xdr:to>
    <xdr:pic>
      <xdr:nvPicPr>
        <xdr:cNvPr id="7376" name="Изображение 7375" descr="resizeПП-00263508"/>
        <xdr:cNvPicPr>
          <a:picLocks noChangeAspect="1"/>
        </xdr:cNvPicPr>
      </xdr:nvPicPr>
      <xdr:blipFill>
        <a:blip xmlns:r="http://schemas.openxmlformats.org/officeDocument/2006/relationships" r:embed="rId3078"/>
        <a:stretch>
          <a:fillRect/>
        </a:stretch>
      </xdr:blipFill>
      <xdr:spPr>
        <a:xfrm>
          <a:off x="7264400" y="4005230750"/>
          <a:ext cx="878840" cy="1183640"/>
        </a:xfrm>
        <a:prstGeom prst="rect">
          <a:avLst/>
        </a:prstGeom>
      </xdr:spPr>
    </xdr:pic>
    <xdr:clientData/>
  </xdr:twoCellAnchor>
  <xdr:twoCellAnchor>
    <xdr:from>
      <xdr:col>8</xdr:col>
      <xdr:colOff>6350</xdr:colOff>
      <xdr:row>4016</xdr:row>
      <xdr:rowOff>25400</xdr:rowOff>
    </xdr:from>
    <xdr:to>
      <xdr:col>8</xdr:col>
      <xdr:colOff>885190</xdr:colOff>
      <xdr:row>4016</xdr:row>
      <xdr:rowOff>1209040</xdr:rowOff>
    </xdr:to>
    <xdr:pic>
      <xdr:nvPicPr>
        <xdr:cNvPr id="7377" name="Изображение 7376" descr="resizeПП-00263505"/>
        <xdr:cNvPicPr>
          <a:picLocks noChangeAspect="1"/>
        </xdr:cNvPicPr>
      </xdr:nvPicPr>
      <xdr:blipFill>
        <a:blip xmlns:r="http://schemas.openxmlformats.org/officeDocument/2006/relationships" r:embed="rId3079"/>
        <a:stretch>
          <a:fillRect/>
        </a:stretch>
      </xdr:blipFill>
      <xdr:spPr>
        <a:xfrm>
          <a:off x="7264400" y="4006453125"/>
          <a:ext cx="878840" cy="1183640"/>
        </a:xfrm>
        <a:prstGeom prst="rect">
          <a:avLst/>
        </a:prstGeom>
      </xdr:spPr>
    </xdr:pic>
    <xdr:clientData/>
  </xdr:twoCellAnchor>
  <xdr:twoCellAnchor>
    <xdr:from>
      <xdr:col>8</xdr:col>
      <xdr:colOff>6350</xdr:colOff>
      <xdr:row>4017</xdr:row>
      <xdr:rowOff>25400</xdr:rowOff>
    </xdr:from>
    <xdr:to>
      <xdr:col>8</xdr:col>
      <xdr:colOff>885190</xdr:colOff>
      <xdr:row>4017</xdr:row>
      <xdr:rowOff>1209040</xdr:rowOff>
    </xdr:to>
    <xdr:pic>
      <xdr:nvPicPr>
        <xdr:cNvPr id="7378" name="Изображение 7377" descr="resizeПП-00263504"/>
        <xdr:cNvPicPr>
          <a:picLocks noChangeAspect="1"/>
        </xdr:cNvPicPr>
      </xdr:nvPicPr>
      <xdr:blipFill>
        <a:blip xmlns:r="http://schemas.openxmlformats.org/officeDocument/2006/relationships" r:embed="rId3080"/>
        <a:stretch>
          <a:fillRect/>
        </a:stretch>
      </xdr:blipFill>
      <xdr:spPr>
        <a:xfrm>
          <a:off x="7264400" y="4007675500"/>
          <a:ext cx="878840" cy="1183640"/>
        </a:xfrm>
        <a:prstGeom prst="rect">
          <a:avLst/>
        </a:prstGeom>
      </xdr:spPr>
    </xdr:pic>
    <xdr:clientData/>
  </xdr:twoCellAnchor>
  <xdr:twoCellAnchor>
    <xdr:from>
      <xdr:col>8</xdr:col>
      <xdr:colOff>6350</xdr:colOff>
      <xdr:row>4018</xdr:row>
      <xdr:rowOff>25400</xdr:rowOff>
    </xdr:from>
    <xdr:to>
      <xdr:col>8</xdr:col>
      <xdr:colOff>885190</xdr:colOff>
      <xdr:row>4018</xdr:row>
      <xdr:rowOff>1209040</xdr:rowOff>
    </xdr:to>
    <xdr:pic>
      <xdr:nvPicPr>
        <xdr:cNvPr id="7379" name="Изображение 7378" descr="resizeПП-00263510"/>
        <xdr:cNvPicPr>
          <a:picLocks noChangeAspect="1"/>
        </xdr:cNvPicPr>
      </xdr:nvPicPr>
      <xdr:blipFill>
        <a:blip xmlns:r="http://schemas.openxmlformats.org/officeDocument/2006/relationships" r:embed="rId3081"/>
        <a:stretch>
          <a:fillRect/>
        </a:stretch>
      </xdr:blipFill>
      <xdr:spPr>
        <a:xfrm>
          <a:off x="7264400" y="4008897875"/>
          <a:ext cx="878840" cy="1183640"/>
        </a:xfrm>
        <a:prstGeom prst="rect">
          <a:avLst/>
        </a:prstGeom>
      </xdr:spPr>
    </xdr:pic>
    <xdr:clientData/>
  </xdr:twoCellAnchor>
  <xdr:twoCellAnchor>
    <xdr:from>
      <xdr:col>8</xdr:col>
      <xdr:colOff>6350</xdr:colOff>
      <xdr:row>4019</xdr:row>
      <xdr:rowOff>25400</xdr:rowOff>
    </xdr:from>
    <xdr:to>
      <xdr:col>8</xdr:col>
      <xdr:colOff>885190</xdr:colOff>
      <xdr:row>4019</xdr:row>
      <xdr:rowOff>1209040</xdr:rowOff>
    </xdr:to>
    <xdr:pic>
      <xdr:nvPicPr>
        <xdr:cNvPr id="7380" name="Изображение 7379" descr="resizeПП-00263511"/>
        <xdr:cNvPicPr>
          <a:picLocks noChangeAspect="1"/>
        </xdr:cNvPicPr>
      </xdr:nvPicPr>
      <xdr:blipFill>
        <a:blip xmlns:r="http://schemas.openxmlformats.org/officeDocument/2006/relationships" r:embed="rId3082"/>
        <a:stretch>
          <a:fillRect/>
        </a:stretch>
      </xdr:blipFill>
      <xdr:spPr>
        <a:xfrm>
          <a:off x="7264400" y="4010120250"/>
          <a:ext cx="878840" cy="1183640"/>
        </a:xfrm>
        <a:prstGeom prst="rect">
          <a:avLst/>
        </a:prstGeom>
      </xdr:spPr>
    </xdr:pic>
    <xdr:clientData/>
  </xdr:twoCellAnchor>
  <xdr:twoCellAnchor>
    <xdr:from>
      <xdr:col>8</xdr:col>
      <xdr:colOff>6350</xdr:colOff>
      <xdr:row>4020</xdr:row>
      <xdr:rowOff>25400</xdr:rowOff>
    </xdr:from>
    <xdr:to>
      <xdr:col>8</xdr:col>
      <xdr:colOff>885190</xdr:colOff>
      <xdr:row>4020</xdr:row>
      <xdr:rowOff>1209040</xdr:rowOff>
    </xdr:to>
    <xdr:pic>
      <xdr:nvPicPr>
        <xdr:cNvPr id="7381" name="Изображение 7380" descr="resizeПП-00263509"/>
        <xdr:cNvPicPr>
          <a:picLocks noChangeAspect="1"/>
        </xdr:cNvPicPr>
      </xdr:nvPicPr>
      <xdr:blipFill>
        <a:blip xmlns:r="http://schemas.openxmlformats.org/officeDocument/2006/relationships" r:embed="rId3083"/>
        <a:stretch>
          <a:fillRect/>
        </a:stretch>
      </xdr:blipFill>
      <xdr:spPr>
        <a:xfrm>
          <a:off x="7264400" y="4011342625"/>
          <a:ext cx="878840" cy="1183640"/>
        </a:xfrm>
        <a:prstGeom prst="rect">
          <a:avLst/>
        </a:prstGeom>
      </xdr:spPr>
    </xdr:pic>
    <xdr:clientData/>
  </xdr:twoCellAnchor>
  <xdr:twoCellAnchor>
    <xdr:from>
      <xdr:col>8</xdr:col>
      <xdr:colOff>6350</xdr:colOff>
      <xdr:row>4021</xdr:row>
      <xdr:rowOff>25400</xdr:rowOff>
    </xdr:from>
    <xdr:to>
      <xdr:col>8</xdr:col>
      <xdr:colOff>885190</xdr:colOff>
      <xdr:row>4021</xdr:row>
      <xdr:rowOff>1209040</xdr:rowOff>
    </xdr:to>
    <xdr:pic>
      <xdr:nvPicPr>
        <xdr:cNvPr id="7382" name="Изображение 7381" descr="resizeПП-00263506"/>
        <xdr:cNvPicPr>
          <a:picLocks noChangeAspect="1"/>
        </xdr:cNvPicPr>
      </xdr:nvPicPr>
      <xdr:blipFill>
        <a:blip xmlns:r="http://schemas.openxmlformats.org/officeDocument/2006/relationships" r:embed="rId3084"/>
        <a:stretch>
          <a:fillRect/>
        </a:stretch>
      </xdr:blipFill>
      <xdr:spPr>
        <a:xfrm>
          <a:off x="7264400" y="4012565000"/>
          <a:ext cx="878840" cy="1183640"/>
        </a:xfrm>
        <a:prstGeom prst="rect">
          <a:avLst/>
        </a:prstGeom>
      </xdr:spPr>
    </xdr:pic>
    <xdr:clientData/>
  </xdr:twoCellAnchor>
  <xdr:twoCellAnchor>
    <xdr:from>
      <xdr:col>8</xdr:col>
      <xdr:colOff>6350</xdr:colOff>
      <xdr:row>4022</xdr:row>
      <xdr:rowOff>25400</xdr:rowOff>
    </xdr:from>
    <xdr:to>
      <xdr:col>8</xdr:col>
      <xdr:colOff>885190</xdr:colOff>
      <xdr:row>4022</xdr:row>
      <xdr:rowOff>1209040</xdr:rowOff>
    </xdr:to>
    <xdr:pic>
      <xdr:nvPicPr>
        <xdr:cNvPr id="7383" name="Изображение 7382" descr="resizeПП-00272521"/>
        <xdr:cNvPicPr>
          <a:picLocks noChangeAspect="1"/>
        </xdr:cNvPicPr>
      </xdr:nvPicPr>
      <xdr:blipFill>
        <a:blip xmlns:r="http://schemas.openxmlformats.org/officeDocument/2006/relationships" r:embed="rId3085"/>
        <a:stretch>
          <a:fillRect/>
        </a:stretch>
      </xdr:blipFill>
      <xdr:spPr>
        <a:xfrm>
          <a:off x="7264400" y="4013787375"/>
          <a:ext cx="878840" cy="1183640"/>
        </a:xfrm>
        <a:prstGeom prst="rect">
          <a:avLst/>
        </a:prstGeom>
      </xdr:spPr>
    </xdr:pic>
    <xdr:clientData/>
  </xdr:twoCellAnchor>
  <xdr:twoCellAnchor>
    <xdr:from>
      <xdr:col>8</xdr:col>
      <xdr:colOff>6350</xdr:colOff>
      <xdr:row>4023</xdr:row>
      <xdr:rowOff>25400</xdr:rowOff>
    </xdr:from>
    <xdr:to>
      <xdr:col>8</xdr:col>
      <xdr:colOff>885190</xdr:colOff>
      <xdr:row>4023</xdr:row>
      <xdr:rowOff>1209040</xdr:rowOff>
    </xdr:to>
    <xdr:pic>
      <xdr:nvPicPr>
        <xdr:cNvPr id="7384" name="Изображение 7383" descr="resizeПП-00272518"/>
        <xdr:cNvPicPr>
          <a:picLocks noChangeAspect="1"/>
        </xdr:cNvPicPr>
      </xdr:nvPicPr>
      <xdr:blipFill>
        <a:blip xmlns:r="http://schemas.openxmlformats.org/officeDocument/2006/relationships" r:embed="rId3086"/>
        <a:stretch>
          <a:fillRect/>
        </a:stretch>
      </xdr:blipFill>
      <xdr:spPr>
        <a:xfrm>
          <a:off x="7264400" y="4015009750"/>
          <a:ext cx="878840" cy="1183640"/>
        </a:xfrm>
        <a:prstGeom prst="rect">
          <a:avLst/>
        </a:prstGeom>
      </xdr:spPr>
    </xdr:pic>
    <xdr:clientData/>
  </xdr:twoCellAnchor>
  <xdr:twoCellAnchor>
    <xdr:from>
      <xdr:col>8</xdr:col>
      <xdr:colOff>6350</xdr:colOff>
      <xdr:row>4024</xdr:row>
      <xdr:rowOff>25400</xdr:rowOff>
    </xdr:from>
    <xdr:to>
      <xdr:col>8</xdr:col>
      <xdr:colOff>885190</xdr:colOff>
      <xdr:row>4024</xdr:row>
      <xdr:rowOff>1209040</xdr:rowOff>
    </xdr:to>
    <xdr:pic>
      <xdr:nvPicPr>
        <xdr:cNvPr id="7385" name="Изображение 7384" descr="resizeПП-00272520"/>
        <xdr:cNvPicPr>
          <a:picLocks noChangeAspect="1"/>
        </xdr:cNvPicPr>
      </xdr:nvPicPr>
      <xdr:blipFill>
        <a:blip xmlns:r="http://schemas.openxmlformats.org/officeDocument/2006/relationships" r:embed="rId3087"/>
        <a:stretch>
          <a:fillRect/>
        </a:stretch>
      </xdr:blipFill>
      <xdr:spPr>
        <a:xfrm>
          <a:off x="7264400" y="4016232125"/>
          <a:ext cx="878840" cy="1183640"/>
        </a:xfrm>
        <a:prstGeom prst="rect">
          <a:avLst/>
        </a:prstGeom>
      </xdr:spPr>
    </xdr:pic>
    <xdr:clientData/>
  </xdr:twoCellAnchor>
  <xdr:twoCellAnchor>
    <xdr:from>
      <xdr:col>8</xdr:col>
      <xdr:colOff>6350</xdr:colOff>
      <xdr:row>4025</xdr:row>
      <xdr:rowOff>25400</xdr:rowOff>
    </xdr:from>
    <xdr:to>
      <xdr:col>8</xdr:col>
      <xdr:colOff>885190</xdr:colOff>
      <xdr:row>4025</xdr:row>
      <xdr:rowOff>1209040</xdr:rowOff>
    </xdr:to>
    <xdr:pic>
      <xdr:nvPicPr>
        <xdr:cNvPr id="7386" name="Изображение 7385" descr="resizeПП-00272522"/>
        <xdr:cNvPicPr>
          <a:picLocks noChangeAspect="1"/>
        </xdr:cNvPicPr>
      </xdr:nvPicPr>
      <xdr:blipFill>
        <a:blip xmlns:r="http://schemas.openxmlformats.org/officeDocument/2006/relationships" r:embed="rId3088"/>
        <a:stretch>
          <a:fillRect/>
        </a:stretch>
      </xdr:blipFill>
      <xdr:spPr>
        <a:xfrm>
          <a:off x="7264400" y="4017454500"/>
          <a:ext cx="878840" cy="1183640"/>
        </a:xfrm>
        <a:prstGeom prst="rect">
          <a:avLst/>
        </a:prstGeom>
      </xdr:spPr>
    </xdr:pic>
    <xdr:clientData/>
  </xdr:twoCellAnchor>
  <xdr:twoCellAnchor>
    <xdr:from>
      <xdr:col>8</xdr:col>
      <xdr:colOff>6350</xdr:colOff>
      <xdr:row>4026</xdr:row>
      <xdr:rowOff>25400</xdr:rowOff>
    </xdr:from>
    <xdr:to>
      <xdr:col>8</xdr:col>
      <xdr:colOff>885190</xdr:colOff>
      <xdr:row>4026</xdr:row>
      <xdr:rowOff>1209040</xdr:rowOff>
    </xdr:to>
    <xdr:pic>
      <xdr:nvPicPr>
        <xdr:cNvPr id="7387" name="Изображение 7386" descr="resizeПП-00272523"/>
        <xdr:cNvPicPr>
          <a:picLocks noChangeAspect="1"/>
        </xdr:cNvPicPr>
      </xdr:nvPicPr>
      <xdr:blipFill>
        <a:blip xmlns:r="http://schemas.openxmlformats.org/officeDocument/2006/relationships" r:embed="rId3089"/>
        <a:stretch>
          <a:fillRect/>
        </a:stretch>
      </xdr:blipFill>
      <xdr:spPr>
        <a:xfrm>
          <a:off x="7264400" y="4018676875"/>
          <a:ext cx="878840" cy="1183640"/>
        </a:xfrm>
        <a:prstGeom prst="rect">
          <a:avLst/>
        </a:prstGeom>
      </xdr:spPr>
    </xdr:pic>
    <xdr:clientData/>
  </xdr:twoCellAnchor>
  <xdr:twoCellAnchor>
    <xdr:from>
      <xdr:col>8</xdr:col>
      <xdr:colOff>6350</xdr:colOff>
      <xdr:row>4027</xdr:row>
      <xdr:rowOff>25400</xdr:rowOff>
    </xdr:from>
    <xdr:to>
      <xdr:col>8</xdr:col>
      <xdr:colOff>885190</xdr:colOff>
      <xdr:row>4027</xdr:row>
      <xdr:rowOff>1209040</xdr:rowOff>
    </xdr:to>
    <xdr:pic>
      <xdr:nvPicPr>
        <xdr:cNvPr id="7388" name="Изображение 7387" descr="resizeПП-00272519"/>
        <xdr:cNvPicPr>
          <a:picLocks noChangeAspect="1"/>
        </xdr:cNvPicPr>
      </xdr:nvPicPr>
      <xdr:blipFill>
        <a:blip xmlns:r="http://schemas.openxmlformats.org/officeDocument/2006/relationships" r:embed="rId3090"/>
        <a:stretch>
          <a:fillRect/>
        </a:stretch>
      </xdr:blipFill>
      <xdr:spPr>
        <a:xfrm>
          <a:off x="7264400" y="4019899250"/>
          <a:ext cx="878840" cy="1183640"/>
        </a:xfrm>
        <a:prstGeom prst="rect">
          <a:avLst/>
        </a:prstGeom>
      </xdr:spPr>
    </xdr:pic>
    <xdr:clientData/>
  </xdr:twoCellAnchor>
  <xdr:twoCellAnchor>
    <xdr:from>
      <xdr:col>8</xdr:col>
      <xdr:colOff>6350</xdr:colOff>
      <xdr:row>4028</xdr:row>
      <xdr:rowOff>25400</xdr:rowOff>
    </xdr:from>
    <xdr:to>
      <xdr:col>8</xdr:col>
      <xdr:colOff>885190</xdr:colOff>
      <xdr:row>4028</xdr:row>
      <xdr:rowOff>1209040</xdr:rowOff>
    </xdr:to>
    <xdr:pic>
      <xdr:nvPicPr>
        <xdr:cNvPr id="7389" name="Изображение 7388" descr="resizeПП-00272524"/>
        <xdr:cNvPicPr>
          <a:picLocks noChangeAspect="1"/>
        </xdr:cNvPicPr>
      </xdr:nvPicPr>
      <xdr:blipFill>
        <a:blip xmlns:r="http://schemas.openxmlformats.org/officeDocument/2006/relationships" r:embed="rId3091"/>
        <a:stretch>
          <a:fillRect/>
        </a:stretch>
      </xdr:blipFill>
      <xdr:spPr>
        <a:xfrm>
          <a:off x="7264400" y="4021121625"/>
          <a:ext cx="878840" cy="1183640"/>
        </a:xfrm>
        <a:prstGeom prst="rect">
          <a:avLst/>
        </a:prstGeom>
      </xdr:spPr>
    </xdr:pic>
    <xdr:clientData/>
  </xdr:twoCellAnchor>
  <xdr:twoCellAnchor>
    <xdr:from>
      <xdr:col>8</xdr:col>
      <xdr:colOff>6350</xdr:colOff>
      <xdr:row>4031</xdr:row>
      <xdr:rowOff>25400</xdr:rowOff>
    </xdr:from>
    <xdr:to>
      <xdr:col>8</xdr:col>
      <xdr:colOff>885190</xdr:colOff>
      <xdr:row>4031</xdr:row>
      <xdr:rowOff>1209040</xdr:rowOff>
    </xdr:to>
    <xdr:pic>
      <xdr:nvPicPr>
        <xdr:cNvPr id="7390" name="Изображение 7389" descr="resizeПП-00265726"/>
        <xdr:cNvPicPr>
          <a:picLocks noChangeAspect="1"/>
        </xdr:cNvPicPr>
      </xdr:nvPicPr>
      <xdr:blipFill>
        <a:blip xmlns:r="http://schemas.openxmlformats.org/officeDocument/2006/relationships" r:embed="rId3092"/>
        <a:stretch>
          <a:fillRect/>
        </a:stretch>
      </xdr:blipFill>
      <xdr:spPr>
        <a:xfrm>
          <a:off x="7264400" y="4022648800"/>
          <a:ext cx="878840" cy="1183640"/>
        </a:xfrm>
        <a:prstGeom prst="rect">
          <a:avLst/>
        </a:prstGeom>
      </xdr:spPr>
    </xdr:pic>
    <xdr:clientData/>
  </xdr:twoCellAnchor>
  <xdr:twoCellAnchor>
    <xdr:from>
      <xdr:col>8</xdr:col>
      <xdr:colOff>6350</xdr:colOff>
      <xdr:row>4032</xdr:row>
      <xdr:rowOff>25400</xdr:rowOff>
    </xdr:from>
    <xdr:to>
      <xdr:col>8</xdr:col>
      <xdr:colOff>885190</xdr:colOff>
      <xdr:row>4032</xdr:row>
      <xdr:rowOff>1209040</xdr:rowOff>
    </xdr:to>
    <xdr:pic>
      <xdr:nvPicPr>
        <xdr:cNvPr id="7391" name="Изображение 7390" descr="resizeПП-00265724"/>
        <xdr:cNvPicPr>
          <a:picLocks noChangeAspect="1"/>
        </xdr:cNvPicPr>
      </xdr:nvPicPr>
      <xdr:blipFill>
        <a:blip xmlns:r="http://schemas.openxmlformats.org/officeDocument/2006/relationships" r:embed="rId3093"/>
        <a:stretch>
          <a:fillRect/>
        </a:stretch>
      </xdr:blipFill>
      <xdr:spPr>
        <a:xfrm>
          <a:off x="7264400" y="4023871175"/>
          <a:ext cx="878840" cy="1183640"/>
        </a:xfrm>
        <a:prstGeom prst="rect">
          <a:avLst/>
        </a:prstGeom>
      </xdr:spPr>
    </xdr:pic>
    <xdr:clientData/>
  </xdr:twoCellAnchor>
  <xdr:twoCellAnchor>
    <xdr:from>
      <xdr:col>8</xdr:col>
      <xdr:colOff>6350</xdr:colOff>
      <xdr:row>4033</xdr:row>
      <xdr:rowOff>25400</xdr:rowOff>
    </xdr:from>
    <xdr:to>
      <xdr:col>8</xdr:col>
      <xdr:colOff>885190</xdr:colOff>
      <xdr:row>4033</xdr:row>
      <xdr:rowOff>1209040</xdr:rowOff>
    </xdr:to>
    <xdr:pic>
      <xdr:nvPicPr>
        <xdr:cNvPr id="7392" name="Изображение 7391" descr="resizeПП-00265723"/>
        <xdr:cNvPicPr>
          <a:picLocks noChangeAspect="1"/>
        </xdr:cNvPicPr>
      </xdr:nvPicPr>
      <xdr:blipFill>
        <a:blip xmlns:r="http://schemas.openxmlformats.org/officeDocument/2006/relationships" r:embed="rId3094"/>
        <a:stretch>
          <a:fillRect/>
        </a:stretch>
      </xdr:blipFill>
      <xdr:spPr>
        <a:xfrm>
          <a:off x="7264400" y="4025093550"/>
          <a:ext cx="878840" cy="1183640"/>
        </a:xfrm>
        <a:prstGeom prst="rect">
          <a:avLst/>
        </a:prstGeom>
      </xdr:spPr>
    </xdr:pic>
    <xdr:clientData/>
  </xdr:twoCellAnchor>
  <xdr:twoCellAnchor>
    <xdr:from>
      <xdr:col>8</xdr:col>
      <xdr:colOff>6350</xdr:colOff>
      <xdr:row>4034</xdr:row>
      <xdr:rowOff>25400</xdr:rowOff>
    </xdr:from>
    <xdr:to>
      <xdr:col>8</xdr:col>
      <xdr:colOff>885190</xdr:colOff>
      <xdr:row>4034</xdr:row>
      <xdr:rowOff>1209040</xdr:rowOff>
    </xdr:to>
    <xdr:pic>
      <xdr:nvPicPr>
        <xdr:cNvPr id="7393" name="Изображение 7392" descr="resizeПП-00263521"/>
        <xdr:cNvPicPr>
          <a:picLocks noChangeAspect="1"/>
        </xdr:cNvPicPr>
      </xdr:nvPicPr>
      <xdr:blipFill>
        <a:blip xmlns:r="http://schemas.openxmlformats.org/officeDocument/2006/relationships" r:embed="rId3095"/>
        <a:stretch>
          <a:fillRect/>
        </a:stretch>
      </xdr:blipFill>
      <xdr:spPr>
        <a:xfrm>
          <a:off x="7264400" y="4026315925"/>
          <a:ext cx="878840" cy="1183640"/>
        </a:xfrm>
        <a:prstGeom prst="rect">
          <a:avLst/>
        </a:prstGeom>
      </xdr:spPr>
    </xdr:pic>
    <xdr:clientData/>
  </xdr:twoCellAnchor>
  <xdr:twoCellAnchor>
    <xdr:from>
      <xdr:col>8</xdr:col>
      <xdr:colOff>6350</xdr:colOff>
      <xdr:row>4035</xdr:row>
      <xdr:rowOff>25400</xdr:rowOff>
    </xdr:from>
    <xdr:to>
      <xdr:col>8</xdr:col>
      <xdr:colOff>885190</xdr:colOff>
      <xdr:row>4035</xdr:row>
      <xdr:rowOff>1209040</xdr:rowOff>
    </xdr:to>
    <xdr:pic>
      <xdr:nvPicPr>
        <xdr:cNvPr id="7394" name="Изображение 7393" descr="resizeПП-00263524"/>
        <xdr:cNvPicPr>
          <a:picLocks noChangeAspect="1"/>
        </xdr:cNvPicPr>
      </xdr:nvPicPr>
      <xdr:blipFill>
        <a:blip xmlns:r="http://schemas.openxmlformats.org/officeDocument/2006/relationships" r:embed="rId3096"/>
        <a:stretch>
          <a:fillRect/>
        </a:stretch>
      </xdr:blipFill>
      <xdr:spPr>
        <a:xfrm>
          <a:off x="7264400" y="4027538300"/>
          <a:ext cx="878840" cy="1183640"/>
        </a:xfrm>
        <a:prstGeom prst="rect">
          <a:avLst/>
        </a:prstGeom>
      </xdr:spPr>
    </xdr:pic>
    <xdr:clientData/>
  </xdr:twoCellAnchor>
  <xdr:twoCellAnchor>
    <xdr:from>
      <xdr:col>8</xdr:col>
      <xdr:colOff>6350</xdr:colOff>
      <xdr:row>4036</xdr:row>
      <xdr:rowOff>25400</xdr:rowOff>
    </xdr:from>
    <xdr:to>
      <xdr:col>8</xdr:col>
      <xdr:colOff>885190</xdr:colOff>
      <xdr:row>4036</xdr:row>
      <xdr:rowOff>1209040</xdr:rowOff>
    </xdr:to>
    <xdr:pic>
      <xdr:nvPicPr>
        <xdr:cNvPr id="7395" name="Изображение 7394" descr="resizeПП-00263520"/>
        <xdr:cNvPicPr>
          <a:picLocks noChangeAspect="1"/>
        </xdr:cNvPicPr>
      </xdr:nvPicPr>
      <xdr:blipFill>
        <a:blip xmlns:r="http://schemas.openxmlformats.org/officeDocument/2006/relationships" r:embed="rId3097"/>
        <a:stretch>
          <a:fillRect/>
        </a:stretch>
      </xdr:blipFill>
      <xdr:spPr>
        <a:xfrm>
          <a:off x="7264400" y="4028760675"/>
          <a:ext cx="878840" cy="1183640"/>
        </a:xfrm>
        <a:prstGeom prst="rect">
          <a:avLst/>
        </a:prstGeom>
      </xdr:spPr>
    </xdr:pic>
    <xdr:clientData/>
  </xdr:twoCellAnchor>
  <xdr:twoCellAnchor>
    <xdr:from>
      <xdr:col>8</xdr:col>
      <xdr:colOff>6350</xdr:colOff>
      <xdr:row>4037</xdr:row>
      <xdr:rowOff>25400</xdr:rowOff>
    </xdr:from>
    <xdr:to>
      <xdr:col>8</xdr:col>
      <xdr:colOff>885190</xdr:colOff>
      <xdr:row>4037</xdr:row>
      <xdr:rowOff>1209040</xdr:rowOff>
    </xdr:to>
    <xdr:pic>
      <xdr:nvPicPr>
        <xdr:cNvPr id="7396" name="Изображение 7395" descr="resizeПП-00263525"/>
        <xdr:cNvPicPr>
          <a:picLocks noChangeAspect="1"/>
        </xdr:cNvPicPr>
      </xdr:nvPicPr>
      <xdr:blipFill>
        <a:blip xmlns:r="http://schemas.openxmlformats.org/officeDocument/2006/relationships" r:embed="rId3098"/>
        <a:stretch>
          <a:fillRect/>
        </a:stretch>
      </xdr:blipFill>
      <xdr:spPr>
        <a:xfrm>
          <a:off x="7264400" y="4029983050"/>
          <a:ext cx="878840" cy="1183640"/>
        </a:xfrm>
        <a:prstGeom prst="rect">
          <a:avLst/>
        </a:prstGeom>
      </xdr:spPr>
    </xdr:pic>
    <xdr:clientData/>
  </xdr:twoCellAnchor>
  <xdr:twoCellAnchor>
    <xdr:from>
      <xdr:col>8</xdr:col>
      <xdr:colOff>6350</xdr:colOff>
      <xdr:row>4038</xdr:row>
      <xdr:rowOff>25400</xdr:rowOff>
    </xdr:from>
    <xdr:to>
      <xdr:col>8</xdr:col>
      <xdr:colOff>885190</xdr:colOff>
      <xdr:row>4038</xdr:row>
      <xdr:rowOff>1209040</xdr:rowOff>
    </xdr:to>
    <xdr:pic>
      <xdr:nvPicPr>
        <xdr:cNvPr id="7397" name="Изображение 7396" descr="resizeПП-00263522"/>
        <xdr:cNvPicPr>
          <a:picLocks noChangeAspect="1"/>
        </xdr:cNvPicPr>
      </xdr:nvPicPr>
      <xdr:blipFill>
        <a:blip xmlns:r="http://schemas.openxmlformats.org/officeDocument/2006/relationships" r:embed="rId3099"/>
        <a:stretch>
          <a:fillRect/>
        </a:stretch>
      </xdr:blipFill>
      <xdr:spPr>
        <a:xfrm>
          <a:off x="7264400" y="4031205425"/>
          <a:ext cx="878840" cy="1183640"/>
        </a:xfrm>
        <a:prstGeom prst="rect">
          <a:avLst/>
        </a:prstGeom>
      </xdr:spPr>
    </xdr:pic>
    <xdr:clientData/>
  </xdr:twoCellAnchor>
  <xdr:twoCellAnchor>
    <xdr:from>
      <xdr:col>8</xdr:col>
      <xdr:colOff>6350</xdr:colOff>
      <xdr:row>4039</xdr:row>
      <xdr:rowOff>25400</xdr:rowOff>
    </xdr:from>
    <xdr:to>
      <xdr:col>8</xdr:col>
      <xdr:colOff>885190</xdr:colOff>
      <xdr:row>4039</xdr:row>
      <xdr:rowOff>1209040</xdr:rowOff>
    </xdr:to>
    <xdr:pic>
      <xdr:nvPicPr>
        <xdr:cNvPr id="7398" name="Изображение 7397" descr="resizeПП-00265727"/>
        <xdr:cNvPicPr>
          <a:picLocks noChangeAspect="1"/>
        </xdr:cNvPicPr>
      </xdr:nvPicPr>
      <xdr:blipFill>
        <a:blip xmlns:r="http://schemas.openxmlformats.org/officeDocument/2006/relationships" r:embed="rId3100"/>
        <a:stretch>
          <a:fillRect/>
        </a:stretch>
      </xdr:blipFill>
      <xdr:spPr>
        <a:xfrm>
          <a:off x="7264400" y="4032427800"/>
          <a:ext cx="878840" cy="1183640"/>
        </a:xfrm>
        <a:prstGeom prst="rect">
          <a:avLst/>
        </a:prstGeom>
      </xdr:spPr>
    </xdr:pic>
    <xdr:clientData/>
  </xdr:twoCellAnchor>
  <xdr:twoCellAnchor>
    <xdr:from>
      <xdr:col>8</xdr:col>
      <xdr:colOff>6350</xdr:colOff>
      <xdr:row>4040</xdr:row>
      <xdr:rowOff>25400</xdr:rowOff>
    </xdr:from>
    <xdr:to>
      <xdr:col>8</xdr:col>
      <xdr:colOff>885190</xdr:colOff>
      <xdr:row>4040</xdr:row>
      <xdr:rowOff>1209040</xdr:rowOff>
    </xdr:to>
    <xdr:pic>
      <xdr:nvPicPr>
        <xdr:cNvPr id="7399" name="Изображение 7398" descr="resizeПП-00263523"/>
        <xdr:cNvPicPr>
          <a:picLocks noChangeAspect="1"/>
        </xdr:cNvPicPr>
      </xdr:nvPicPr>
      <xdr:blipFill>
        <a:blip xmlns:r="http://schemas.openxmlformats.org/officeDocument/2006/relationships" r:embed="rId3101"/>
        <a:stretch>
          <a:fillRect/>
        </a:stretch>
      </xdr:blipFill>
      <xdr:spPr>
        <a:xfrm>
          <a:off x="7264400" y="4033650175"/>
          <a:ext cx="878840" cy="1183640"/>
        </a:xfrm>
        <a:prstGeom prst="rect">
          <a:avLst/>
        </a:prstGeom>
      </xdr:spPr>
    </xdr:pic>
    <xdr:clientData/>
  </xdr:twoCellAnchor>
  <xdr:twoCellAnchor>
    <xdr:from>
      <xdr:col>8</xdr:col>
      <xdr:colOff>6350</xdr:colOff>
      <xdr:row>4041</xdr:row>
      <xdr:rowOff>25400</xdr:rowOff>
    </xdr:from>
    <xdr:to>
      <xdr:col>8</xdr:col>
      <xdr:colOff>885190</xdr:colOff>
      <xdr:row>4041</xdr:row>
      <xdr:rowOff>1209040</xdr:rowOff>
    </xdr:to>
    <xdr:pic>
      <xdr:nvPicPr>
        <xdr:cNvPr id="7400" name="Изображение 7399" descr="resizeПП-00265725"/>
        <xdr:cNvPicPr>
          <a:picLocks noChangeAspect="1"/>
        </xdr:cNvPicPr>
      </xdr:nvPicPr>
      <xdr:blipFill>
        <a:blip xmlns:r="http://schemas.openxmlformats.org/officeDocument/2006/relationships" r:embed="rId3102"/>
        <a:stretch>
          <a:fillRect/>
        </a:stretch>
      </xdr:blipFill>
      <xdr:spPr>
        <a:xfrm>
          <a:off x="7264400" y="4034872550"/>
          <a:ext cx="878840" cy="1183640"/>
        </a:xfrm>
        <a:prstGeom prst="rect">
          <a:avLst/>
        </a:prstGeom>
      </xdr:spPr>
    </xdr:pic>
    <xdr:clientData/>
  </xdr:twoCellAnchor>
  <xdr:twoCellAnchor>
    <xdr:from>
      <xdr:col>8</xdr:col>
      <xdr:colOff>6350</xdr:colOff>
      <xdr:row>4042</xdr:row>
      <xdr:rowOff>25400</xdr:rowOff>
    </xdr:from>
    <xdr:to>
      <xdr:col>8</xdr:col>
      <xdr:colOff>885190</xdr:colOff>
      <xdr:row>4042</xdr:row>
      <xdr:rowOff>1209040</xdr:rowOff>
    </xdr:to>
    <xdr:pic>
      <xdr:nvPicPr>
        <xdr:cNvPr id="7401" name="Изображение 7400" descr="resizeПП-00272490"/>
        <xdr:cNvPicPr>
          <a:picLocks noChangeAspect="1"/>
        </xdr:cNvPicPr>
      </xdr:nvPicPr>
      <xdr:blipFill>
        <a:blip xmlns:r="http://schemas.openxmlformats.org/officeDocument/2006/relationships" r:embed="rId3103"/>
        <a:stretch>
          <a:fillRect/>
        </a:stretch>
      </xdr:blipFill>
      <xdr:spPr>
        <a:xfrm>
          <a:off x="7264400" y="4036094925"/>
          <a:ext cx="878840" cy="1183640"/>
        </a:xfrm>
        <a:prstGeom prst="rect">
          <a:avLst/>
        </a:prstGeom>
      </xdr:spPr>
    </xdr:pic>
    <xdr:clientData/>
  </xdr:twoCellAnchor>
  <xdr:twoCellAnchor>
    <xdr:from>
      <xdr:col>8</xdr:col>
      <xdr:colOff>6350</xdr:colOff>
      <xdr:row>4043</xdr:row>
      <xdr:rowOff>25400</xdr:rowOff>
    </xdr:from>
    <xdr:to>
      <xdr:col>8</xdr:col>
      <xdr:colOff>885190</xdr:colOff>
      <xdr:row>4043</xdr:row>
      <xdr:rowOff>1209040</xdr:rowOff>
    </xdr:to>
    <xdr:pic>
      <xdr:nvPicPr>
        <xdr:cNvPr id="7402" name="Изображение 7401" descr="resizeПП-00272480"/>
        <xdr:cNvPicPr>
          <a:picLocks noChangeAspect="1"/>
        </xdr:cNvPicPr>
      </xdr:nvPicPr>
      <xdr:blipFill>
        <a:blip xmlns:r="http://schemas.openxmlformats.org/officeDocument/2006/relationships" r:embed="rId3104"/>
        <a:stretch>
          <a:fillRect/>
        </a:stretch>
      </xdr:blipFill>
      <xdr:spPr>
        <a:xfrm>
          <a:off x="7264400" y="4037317300"/>
          <a:ext cx="878840" cy="1183640"/>
        </a:xfrm>
        <a:prstGeom prst="rect">
          <a:avLst/>
        </a:prstGeom>
      </xdr:spPr>
    </xdr:pic>
    <xdr:clientData/>
  </xdr:twoCellAnchor>
  <xdr:twoCellAnchor>
    <xdr:from>
      <xdr:col>8</xdr:col>
      <xdr:colOff>6350</xdr:colOff>
      <xdr:row>4044</xdr:row>
      <xdr:rowOff>25400</xdr:rowOff>
    </xdr:from>
    <xdr:to>
      <xdr:col>8</xdr:col>
      <xdr:colOff>885190</xdr:colOff>
      <xdr:row>4044</xdr:row>
      <xdr:rowOff>1209040</xdr:rowOff>
    </xdr:to>
    <xdr:pic>
      <xdr:nvPicPr>
        <xdr:cNvPr id="7403" name="Изображение 7402" descr="resizeПП-00272478"/>
        <xdr:cNvPicPr>
          <a:picLocks noChangeAspect="1"/>
        </xdr:cNvPicPr>
      </xdr:nvPicPr>
      <xdr:blipFill>
        <a:blip xmlns:r="http://schemas.openxmlformats.org/officeDocument/2006/relationships" r:embed="rId3105"/>
        <a:stretch>
          <a:fillRect/>
        </a:stretch>
      </xdr:blipFill>
      <xdr:spPr>
        <a:xfrm>
          <a:off x="7264400" y="4038539675"/>
          <a:ext cx="878840" cy="1183640"/>
        </a:xfrm>
        <a:prstGeom prst="rect">
          <a:avLst/>
        </a:prstGeom>
      </xdr:spPr>
    </xdr:pic>
    <xdr:clientData/>
  </xdr:twoCellAnchor>
  <xdr:twoCellAnchor>
    <xdr:from>
      <xdr:col>8</xdr:col>
      <xdr:colOff>6350</xdr:colOff>
      <xdr:row>4045</xdr:row>
      <xdr:rowOff>25400</xdr:rowOff>
    </xdr:from>
    <xdr:to>
      <xdr:col>8</xdr:col>
      <xdr:colOff>885190</xdr:colOff>
      <xdr:row>4045</xdr:row>
      <xdr:rowOff>1209040</xdr:rowOff>
    </xdr:to>
    <xdr:pic>
      <xdr:nvPicPr>
        <xdr:cNvPr id="7404" name="Изображение 7403" descr="resizeПП-00272488"/>
        <xdr:cNvPicPr>
          <a:picLocks noChangeAspect="1"/>
        </xdr:cNvPicPr>
      </xdr:nvPicPr>
      <xdr:blipFill>
        <a:blip xmlns:r="http://schemas.openxmlformats.org/officeDocument/2006/relationships" r:embed="rId3106"/>
        <a:stretch>
          <a:fillRect/>
        </a:stretch>
      </xdr:blipFill>
      <xdr:spPr>
        <a:xfrm>
          <a:off x="7264400" y="4039762050"/>
          <a:ext cx="878840" cy="1183640"/>
        </a:xfrm>
        <a:prstGeom prst="rect">
          <a:avLst/>
        </a:prstGeom>
      </xdr:spPr>
    </xdr:pic>
    <xdr:clientData/>
  </xdr:twoCellAnchor>
  <xdr:twoCellAnchor>
    <xdr:from>
      <xdr:col>8</xdr:col>
      <xdr:colOff>6350</xdr:colOff>
      <xdr:row>4046</xdr:row>
      <xdr:rowOff>25400</xdr:rowOff>
    </xdr:from>
    <xdr:to>
      <xdr:col>8</xdr:col>
      <xdr:colOff>885190</xdr:colOff>
      <xdr:row>4046</xdr:row>
      <xdr:rowOff>1209040</xdr:rowOff>
    </xdr:to>
    <xdr:pic>
      <xdr:nvPicPr>
        <xdr:cNvPr id="7405" name="Изображение 7404" descr="resizeПП-00272486"/>
        <xdr:cNvPicPr>
          <a:picLocks noChangeAspect="1"/>
        </xdr:cNvPicPr>
      </xdr:nvPicPr>
      <xdr:blipFill>
        <a:blip xmlns:r="http://schemas.openxmlformats.org/officeDocument/2006/relationships" r:embed="rId3107"/>
        <a:stretch>
          <a:fillRect/>
        </a:stretch>
      </xdr:blipFill>
      <xdr:spPr>
        <a:xfrm>
          <a:off x="7264400" y="4040984425"/>
          <a:ext cx="878840" cy="1183640"/>
        </a:xfrm>
        <a:prstGeom prst="rect">
          <a:avLst/>
        </a:prstGeom>
      </xdr:spPr>
    </xdr:pic>
    <xdr:clientData/>
  </xdr:twoCellAnchor>
  <xdr:twoCellAnchor>
    <xdr:from>
      <xdr:col>8</xdr:col>
      <xdr:colOff>6350</xdr:colOff>
      <xdr:row>4047</xdr:row>
      <xdr:rowOff>25400</xdr:rowOff>
    </xdr:from>
    <xdr:to>
      <xdr:col>8</xdr:col>
      <xdr:colOff>885190</xdr:colOff>
      <xdr:row>4047</xdr:row>
      <xdr:rowOff>1209040</xdr:rowOff>
    </xdr:to>
    <xdr:pic>
      <xdr:nvPicPr>
        <xdr:cNvPr id="7406" name="Изображение 7405" descr="resizeПП-00272495"/>
        <xdr:cNvPicPr>
          <a:picLocks noChangeAspect="1"/>
        </xdr:cNvPicPr>
      </xdr:nvPicPr>
      <xdr:blipFill>
        <a:blip xmlns:r="http://schemas.openxmlformats.org/officeDocument/2006/relationships" r:embed="rId3108"/>
        <a:stretch>
          <a:fillRect/>
        </a:stretch>
      </xdr:blipFill>
      <xdr:spPr>
        <a:xfrm>
          <a:off x="7264400" y="4042206800"/>
          <a:ext cx="878840" cy="1183640"/>
        </a:xfrm>
        <a:prstGeom prst="rect">
          <a:avLst/>
        </a:prstGeom>
      </xdr:spPr>
    </xdr:pic>
    <xdr:clientData/>
  </xdr:twoCellAnchor>
  <xdr:twoCellAnchor>
    <xdr:from>
      <xdr:col>8</xdr:col>
      <xdr:colOff>6350</xdr:colOff>
      <xdr:row>4048</xdr:row>
      <xdr:rowOff>25400</xdr:rowOff>
    </xdr:from>
    <xdr:to>
      <xdr:col>8</xdr:col>
      <xdr:colOff>885190</xdr:colOff>
      <xdr:row>4048</xdr:row>
      <xdr:rowOff>1209040</xdr:rowOff>
    </xdr:to>
    <xdr:pic>
      <xdr:nvPicPr>
        <xdr:cNvPr id="7407" name="Изображение 7406" descr="resizeПП-00272484"/>
        <xdr:cNvPicPr>
          <a:picLocks noChangeAspect="1"/>
        </xdr:cNvPicPr>
      </xdr:nvPicPr>
      <xdr:blipFill>
        <a:blip xmlns:r="http://schemas.openxmlformats.org/officeDocument/2006/relationships" r:embed="rId3109"/>
        <a:stretch>
          <a:fillRect/>
        </a:stretch>
      </xdr:blipFill>
      <xdr:spPr>
        <a:xfrm>
          <a:off x="7264400" y="4043429175"/>
          <a:ext cx="878840" cy="1183640"/>
        </a:xfrm>
        <a:prstGeom prst="rect">
          <a:avLst/>
        </a:prstGeom>
      </xdr:spPr>
    </xdr:pic>
    <xdr:clientData/>
  </xdr:twoCellAnchor>
  <xdr:twoCellAnchor>
    <xdr:from>
      <xdr:col>8</xdr:col>
      <xdr:colOff>6350</xdr:colOff>
      <xdr:row>4049</xdr:row>
      <xdr:rowOff>25400</xdr:rowOff>
    </xdr:from>
    <xdr:to>
      <xdr:col>8</xdr:col>
      <xdr:colOff>885190</xdr:colOff>
      <xdr:row>4049</xdr:row>
      <xdr:rowOff>1209040</xdr:rowOff>
    </xdr:to>
    <xdr:pic>
      <xdr:nvPicPr>
        <xdr:cNvPr id="7408" name="Изображение 7407" descr="resizeПП-00272481"/>
        <xdr:cNvPicPr>
          <a:picLocks noChangeAspect="1"/>
        </xdr:cNvPicPr>
      </xdr:nvPicPr>
      <xdr:blipFill>
        <a:blip xmlns:r="http://schemas.openxmlformats.org/officeDocument/2006/relationships" r:embed="rId3110"/>
        <a:stretch>
          <a:fillRect/>
        </a:stretch>
      </xdr:blipFill>
      <xdr:spPr>
        <a:xfrm>
          <a:off x="7264400" y="4044651550"/>
          <a:ext cx="878840" cy="1183640"/>
        </a:xfrm>
        <a:prstGeom prst="rect">
          <a:avLst/>
        </a:prstGeom>
      </xdr:spPr>
    </xdr:pic>
    <xdr:clientData/>
  </xdr:twoCellAnchor>
  <xdr:twoCellAnchor>
    <xdr:from>
      <xdr:col>8</xdr:col>
      <xdr:colOff>6350</xdr:colOff>
      <xdr:row>4050</xdr:row>
      <xdr:rowOff>25400</xdr:rowOff>
    </xdr:from>
    <xdr:to>
      <xdr:col>8</xdr:col>
      <xdr:colOff>885190</xdr:colOff>
      <xdr:row>4050</xdr:row>
      <xdr:rowOff>1209040</xdr:rowOff>
    </xdr:to>
    <xdr:pic>
      <xdr:nvPicPr>
        <xdr:cNvPr id="7409" name="Изображение 7408" descr="resizeПП-00272487"/>
        <xdr:cNvPicPr>
          <a:picLocks noChangeAspect="1"/>
        </xdr:cNvPicPr>
      </xdr:nvPicPr>
      <xdr:blipFill>
        <a:blip xmlns:r="http://schemas.openxmlformats.org/officeDocument/2006/relationships" r:embed="rId3111"/>
        <a:stretch>
          <a:fillRect/>
        </a:stretch>
      </xdr:blipFill>
      <xdr:spPr>
        <a:xfrm>
          <a:off x="7264400" y="4045873925"/>
          <a:ext cx="878840" cy="1183640"/>
        </a:xfrm>
        <a:prstGeom prst="rect">
          <a:avLst/>
        </a:prstGeom>
      </xdr:spPr>
    </xdr:pic>
    <xdr:clientData/>
  </xdr:twoCellAnchor>
  <xdr:twoCellAnchor>
    <xdr:from>
      <xdr:col>8</xdr:col>
      <xdr:colOff>6350</xdr:colOff>
      <xdr:row>4051</xdr:row>
      <xdr:rowOff>25400</xdr:rowOff>
    </xdr:from>
    <xdr:to>
      <xdr:col>8</xdr:col>
      <xdr:colOff>885190</xdr:colOff>
      <xdr:row>4051</xdr:row>
      <xdr:rowOff>1209040</xdr:rowOff>
    </xdr:to>
    <xdr:pic>
      <xdr:nvPicPr>
        <xdr:cNvPr id="7410" name="Изображение 7409" descr="resizeПП-00272470"/>
        <xdr:cNvPicPr>
          <a:picLocks noChangeAspect="1"/>
        </xdr:cNvPicPr>
      </xdr:nvPicPr>
      <xdr:blipFill>
        <a:blip xmlns:r="http://schemas.openxmlformats.org/officeDocument/2006/relationships" r:embed="rId3112"/>
        <a:stretch>
          <a:fillRect/>
        </a:stretch>
      </xdr:blipFill>
      <xdr:spPr>
        <a:xfrm>
          <a:off x="7264400" y="4047096300"/>
          <a:ext cx="878840" cy="1183640"/>
        </a:xfrm>
        <a:prstGeom prst="rect">
          <a:avLst/>
        </a:prstGeom>
      </xdr:spPr>
    </xdr:pic>
    <xdr:clientData/>
  </xdr:twoCellAnchor>
  <xdr:twoCellAnchor>
    <xdr:from>
      <xdr:col>8</xdr:col>
      <xdr:colOff>6350</xdr:colOff>
      <xdr:row>4052</xdr:row>
      <xdr:rowOff>25400</xdr:rowOff>
    </xdr:from>
    <xdr:to>
      <xdr:col>8</xdr:col>
      <xdr:colOff>885190</xdr:colOff>
      <xdr:row>4052</xdr:row>
      <xdr:rowOff>1209040</xdr:rowOff>
    </xdr:to>
    <xdr:pic>
      <xdr:nvPicPr>
        <xdr:cNvPr id="7411" name="Изображение 7410" descr="resizeПП-00272483"/>
        <xdr:cNvPicPr>
          <a:picLocks noChangeAspect="1"/>
        </xdr:cNvPicPr>
      </xdr:nvPicPr>
      <xdr:blipFill>
        <a:blip xmlns:r="http://schemas.openxmlformats.org/officeDocument/2006/relationships" r:embed="rId3113"/>
        <a:stretch>
          <a:fillRect/>
        </a:stretch>
      </xdr:blipFill>
      <xdr:spPr>
        <a:xfrm>
          <a:off x="7264400" y="4048318675"/>
          <a:ext cx="878840" cy="1183640"/>
        </a:xfrm>
        <a:prstGeom prst="rect">
          <a:avLst/>
        </a:prstGeom>
      </xdr:spPr>
    </xdr:pic>
    <xdr:clientData/>
  </xdr:twoCellAnchor>
  <xdr:twoCellAnchor>
    <xdr:from>
      <xdr:col>8</xdr:col>
      <xdr:colOff>6350</xdr:colOff>
      <xdr:row>4053</xdr:row>
      <xdr:rowOff>25400</xdr:rowOff>
    </xdr:from>
    <xdr:to>
      <xdr:col>8</xdr:col>
      <xdr:colOff>885190</xdr:colOff>
      <xdr:row>4053</xdr:row>
      <xdr:rowOff>1209040</xdr:rowOff>
    </xdr:to>
    <xdr:pic>
      <xdr:nvPicPr>
        <xdr:cNvPr id="7412" name="Изображение 7411" descr="resizeПП-00272493"/>
        <xdr:cNvPicPr>
          <a:picLocks noChangeAspect="1"/>
        </xdr:cNvPicPr>
      </xdr:nvPicPr>
      <xdr:blipFill>
        <a:blip xmlns:r="http://schemas.openxmlformats.org/officeDocument/2006/relationships" r:embed="rId3114"/>
        <a:stretch>
          <a:fillRect/>
        </a:stretch>
      </xdr:blipFill>
      <xdr:spPr>
        <a:xfrm>
          <a:off x="7264400" y="4049541050"/>
          <a:ext cx="878840" cy="1183640"/>
        </a:xfrm>
        <a:prstGeom prst="rect">
          <a:avLst/>
        </a:prstGeom>
      </xdr:spPr>
    </xdr:pic>
    <xdr:clientData/>
  </xdr:twoCellAnchor>
  <xdr:twoCellAnchor>
    <xdr:from>
      <xdr:col>8</xdr:col>
      <xdr:colOff>6350</xdr:colOff>
      <xdr:row>4054</xdr:row>
      <xdr:rowOff>25400</xdr:rowOff>
    </xdr:from>
    <xdr:to>
      <xdr:col>8</xdr:col>
      <xdr:colOff>885190</xdr:colOff>
      <xdr:row>4054</xdr:row>
      <xdr:rowOff>1209040</xdr:rowOff>
    </xdr:to>
    <xdr:pic>
      <xdr:nvPicPr>
        <xdr:cNvPr id="7413" name="Изображение 7412" descr="resizeПП-00243291"/>
        <xdr:cNvPicPr>
          <a:picLocks noChangeAspect="1"/>
        </xdr:cNvPicPr>
      </xdr:nvPicPr>
      <xdr:blipFill>
        <a:blip xmlns:r="http://schemas.openxmlformats.org/officeDocument/2006/relationships" r:embed="rId3115"/>
        <a:stretch>
          <a:fillRect/>
        </a:stretch>
      </xdr:blipFill>
      <xdr:spPr>
        <a:xfrm>
          <a:off x="7264400" y="4050763425"/>
          <a:ext cx="878840" cy="1183640"/>
        </a:xfrm>
        <a:prstGeom prst="rect">
          <a:avLst/>
        </a:prstGeom>
      </xdr:spPr>
    </xdr:pic>
    <xdr:clientData/>
  </xdr:twoCellAnchor>
  <xdr:twoCellAnchor>
    <xdr:from>
      <xdr:col>8</xdr:col>
      <xdr:colOff>6350</xdr:colOff>
      <xdr:row>4057</xdr:row>
      <xdr:rowOff>25400</xdr:rowOff>
    </xdr:from>
    <xdr:to>
      <xdr:col>8</xdr:col>
      <xdr:colOff>885190</xdr:colOff>
      <xdr:row>4057</xdr:row>
      <xdr:rowOff>1209040</xdr:rowOff>
    </xdr:to>
    <xdr:pic>
      <xdr:nvPicPr>
        <xdr:cNvPr id="7414" name="Изображение 7413" descr="resizeПП-00261800"/>
        <xdr:cNvPicPr>
          <a:picLocks noChangeAspect="1"/>
        </xdr:cNvPicPr>
      </xdr:nvPicPr>
      <xdr:blipFill>
        <a:blip xmlns:r="http://schemas.openxmlformats.org/officeDocument/2006/relationships" r:embed="rId3116"/>
        <a:stretch>
          <a:fillRect/>
        </a:stretch>
      </xdr:blipFill>
      <xdr:spPr>
        <a:xfrm>
          <a:off x="7264400" y="4052290600"/>
          <a:ext cx="878840" cy="1183640"/>
        </a:xfrm>
        <a:prstGeom prst="rect">
          <a:avLst/>
        </a:prstGeom>
      </xdr:spPr>
    </xdr:pic>
    <xdr:clientData/>
  </xdr:twoCellAnchor>
  <xdr:twoCellAnchor>
    <xdr:from>
      <xdr:col>8</xdr:col>
      <xdr:colOff>6350</xdr:colOff>
      <xdr:row>4058</xdr:row>
      <xdr:rowOff>25400</xdr:rowOff>
    </xdr:from>
    <xdr:to>
      <xdr:col>8</xdr:col>
      <xdr:colOff>885190</xdr:colOff>
      <xdr:row>4058</xdr:row>
      <xdr:rowOff>1209040</xdr:rowOff>
    </xdr:to>
    <xdr:pic>
      <xdr:nvPicPr>
        <xdr:cNvPr id="7415" name="Изображение 7414" descr="resizeПП-00261801"/>
        <xdr:cNvPicPr>
          <a:picLocks noChangeAspect="1"/>
        </xdr:cNvPicPr>
      </xdr:nvPicPr>
      <xdr:blipFill>
        <a:blip xmlns:r="http://schemas.openxmlformats.org/officeDocument/2006/relationships" r:embed="rId3117"/>
        <a:stretch>
          <a:fillRect/>
        </a:stretch>
      </xdr:blipFill>
      <xdr:spPr>
        <a:xfrm>
          <a:off x="7264400" y="4053512975"/>
          <a:ext cx="878840" cy="1183640"/>
        </a:xfrm>
        <a:prstGeom prst="rect">
          <a:avLst/>
        </a:prstGeom>
      </xdr:spPr>
    </xdr:pic>
    <xdr:clientData/>
  </xdr:twoCellAnchor>
  <xdr:twoCellAnchor>
    <xdr:from>
      <xdr:col>8</xdr:col>
      <xdr:colOff>6350</xdr:colOff>
      <xdr:row>4059</xdr:row>
      <xdr:rowOff>25400</xdr:rowOff>
    </xdr:from>
    <xdr:to>
      <xdr:col>8</xdr:col>
      <xdr:colOff>885190</xdr:colOff>
      <xdr:row>4059</xdr:row>
      <xdr:rowOff>1209040</xdr:rowOff>
    </xdr:to>
    <xdr:pic>
      <xdr:nvPicPr>
        <xdr:cNvPr id="7416" name="Изображение 7415" descr="resizeПП-00261802"/>
        <xdr:cNvPicPr>
          <a:picLocks noChangeAspect="1"/>
        </xdr:cNvPicPr>
      </xdr:nvPicPr>
      <xdr:blipFill>
        <a:blip xmlns:r="http://schemas.openxmlformats.org/officeDocument/2006/relationships" r:embed="rId3118"/>
        <a:stretch>
          <a:fillRect/>
        </a:stretch>
      </xdr:blipFill>
      <xdr:spPr>
        <a:xfrm>
          <a:off x="7264400" y="4054735350"/>
          <a:ext cx="878840" cy="1183640"/>
        </a:xfrm>
        <a:prstGeom prst="rect">
          <a:avLst/>
        </a:prstGeom>
      </xdr:spPr>
    </xdr:pic>
    <xdr:clientData/>
  </xdr:twoCellAnchor>
  <xdr:twoCellAnchor>
    <xdr:from>
      <xdr:col>8</xdr:col>
      <xdr:colOff>6350</xdr:colOff>
      <xdr:row>4063</xdr:row>
      <xdr:rowOff>25400</xdr:rowOff>
    </xdr:from>
    <xdr:to>
      <xdr:col>8</xdr:col>
      <xdr:colOff>885190</xdr:colOff>
      <xdr:row>4063</xdr:row>
      <xdr:rowOff>1209040</xdr:rowOff>
    </xdr:to>
    <xdr:pic>
      <xdr:nvPicPr>
        <xdr:cNvPr id="7417" name="Изображение 7416" descr="resizeПП-00229641"/>
        <xdr:cNvPicPr>
          <a:picLocks noChangeAspect="1"/>
        </xdr:cNvPicPr>
      </xdr:nvPicPr>
      <xdr:blipFill>
        <a:blip xmlns:r="http://schemas.openxmlformats.org/officeDocument/2006/relationships" r:embed="rId3119"/>
        <a:stretch>
          <a:fillRect/>
        </a:stretch>
      </xdr:blipFill>
      <xdr:spPr>
        <a:xfrm>
          <a:off x="7264400" y="4056414925"/>
          <a:ext cx="878840" cy="1183640"/>
        </a:xfrm>
        <a:prstGeom prst="rect">
          <a:avLst/>
        </a:prstGeom>
      </xdr:spPr>
    </xdr:pic>
    <xdr:clientData/>
  </xdr:twoCellAnchor>
  <xdr:twoCellAnchor>
    <xdr:from>
      <xdr:col>8</xdr:col>
      <xdr:colOff>6350</xdr:colOff>
      <xdr:row>4067</xdr:row>
      <xdr:rowOff>25400</xdr:rowOff>
    </xdr:from>
    <xdr:to>
      <xdr:col>8</xdr:col>
      <xdr:colOff>885190</xdr:colOff>
      <xdr:row>4067</xdr:row>
      <xdr:rowOff>1209040</xdr:rowOff>
    </xdr:to>
    <xdr:pic>
      <xdr:nvPicPr>
        <xdr:cNvPr id="7418" name="Изображение 7417" descr="resizeПП-00261778"/>
        <xdr:cNvPicPr>
          <a:picLocks noChangeAspect="1"/>
        </xdr:cNvPicPr>
      </xdr:nvPicPr>
      <xdr:blipFill>
        <a:blip xmlns:r="http://schemas.openxmlformats.org/officeDocument/2006/relationships" r:embed="rId3120"/>
        <a:stretch>
          <a:fillRect/>
        </a:stretch>
      </xdr:blipFill>
      <xdr:spPr>
        <a:xfrm>
          <a:off x="7264400" y="4058094500"/>
          <a:ext cx="878840" cy="1183640"/>
        </a:xfrm>
        <a:prstGeom prst="rect">
          <a:avLst/>
        </a:prstGeom>
      </xdr:spPr>
    </xdr:pic>
    <xdr:clientData/>
  </xdr:twoCellAnchor>
  <xdr:twoCellAnchor>
    <xdr:from>
      <xdr:col>8</xdr:col>
      <xdr:colOff>6350</xdr:colOff>
      <xdr:row>4068</xdr:row>
      <xdr:rowOff>25400</xdr:rowOff>
    </xdr:from>
    <xdr:to>
      <xdr:col>8</xdr:col>
      <xdr:colOff>885190</xdr:colOff>
      <xdr:row>4068</xdr:row>
      <xdr:rowOff>1209040</xdr:rowOff>
    </xdr:to>
    <xdr:pic>
      <xdr:nvPicPr>
        <xdr:cNvPr id="7419" name="Изображение 7418" descr="resizeПП-00261779"/>
        <xdr:cNvPicPr>
          <a:picLocks noChangeAspect="1"/>
        </xdr:cNvPicPr>
      </xdr:nvPicPr>
      <xdr:blipFill>
        <a:blip xmlns:r="http://schemas.openxmlformats.org/officeDocument/2006/relationships" r:embed="rId3121"/>
        <a:stretch>
          <a:fillRect/>
        </a:stretch>
      </xdr:blipFill>
      <xdr:spPr>
        <a:xfrm>
          <a:off x="7264400" y="4059316875"/>
          <a:ext cx="878840" cy="1183640"/>
        </a:xfrm>
        <a:prstGeom prst="rect">
          <a:avLst/>
        </a:prstGeom>
      </xdr:spPr>
    </xdr:pic>
    <xdr:clientData/>
  </xdr:twoCellAnchor>
  <xdr:twoCellAnchor>
    <xdr:from>
      <xdr:col>8</xdr:col>
      <xdr:colOff>6350</xdr:colOff>
      <xdr:row>4069</xdr:row>
      <xdr:rowOff>25400</xdr:rowOff>
    </xdr:from>
    <xdr:to>
      <xdr:col>8</xdr:col>
      <xdr:colOff>885190</xdr:colOff>
      <xdr:row>4069</xdr:row>
      <xdr:rowOff>1209040</xdr:rowOff>
    </xdr:to>
    <xdr:pic>
      <xdr:nvPicPr>
        <xdr:cNvPr id="7420" name="Изображение 7419" descr="resizeПП-00261780"/>
        <xdr:cNvPicPr>
          <a:picLocks noChangeAspect="1"/>
        </xdr:cNvPicPr>
      </xdr:nvPicPr>
      <xdr:blipFill>
        <a:blip xmlns:r="http://schemas.openxmlformats.org/officeDocument/2006/relationships" r:embed="rId3122"/>
        <a:stretch>
          <a:fillRect/>
        </a:stretch>
      </xdr:blipFill>
      <xdr:spPr>
        <a:xfrm>
          <a:off x="7264400" y="4060539250"/>
          <a:ext cx="878840" cy="1183640"/>
        </a:xfrm>
        <a:prstGeom prst="rect">
          <a:avLst/>
        </a:prstGeom>
      </xdr:spPr>
    </xdr:pic>
    <xdr:clientData/>
  </xdr:twoCellAnchor>
  <xdr:twoCellAnchor>
    <xdr:from>
      <xdr:col>8</xdr:col>
      <xdr:colOff>6350</xdr:colOff>
      <xdr:row>4071</xdr:row>
      <xdr:rowOff>25400</xdr:rowOff>
    </xdr:from>
    <xdr:to>
      <xdr:col>8</xdr:col>
      <xdr:colOff>885190</xdr:colOff>
      <xdr:row>4071</xdr:row>
      <xdr:rowOff>1209040</xdr:rowOff>
    </xdr:to>
    <xdr:pic>
      <xdr:nvPicPr>
        <xdr:cNvPr id="7421" name="Изображение 7420" descr="resizeПП-00279581"/>
        <xdr:cNvPicPr>
          <a:picLocks noChangeAspect="1"/>
        </xdr:cNvPicPr>
      </xdr:nvPicPr>
      <xdr:blipFill>
        <a:blip xmlns:r="http://schemas.openxmlformats.org/officeDocument/2006/relationships" r:embed="rId3123"/>
        <a:stretch>
          <a:fillRect/>
        </a:stretch>
      </xdr:blipFill>
      <xdr:spPr>
        <a:xfrm>
          <a:off x="7264400" y="4061914025"/>
          <a:ext cx="878840" cy="1183640"/>
        </a:xfrm>
        <a:prstGeom prst="rect">
          <a:avLst/>
        </a:prstGeom>
      </xdr:spPr>
    </xdr:pic>
    <xdr:clientData/>
  </xdr:twoCellAnchor>
  <xdr:twoCellAnchor>
    <xdr:from>
      <xdr:col>8</xdr:col>
      <xdr:colOff>6350</xdr:colOff>
      <xdr:row>4075</xdr:row>
      <xdr:rowOff>25400</xdr:rowOff>
    </xdr:from>
    <xdr:to>
      <xdr:col>8</xdr:col>
      <xdr:colOff>885190</xdr:colOff>
      <xdr:row>4075</xdr:row>
      <xdr:rowOff>1209040</xdr:rowOff>
    </xdr:to>
    <xdr:pic>
      <xdr:nvPicPr>
        <xdr:cNvPr id="7422" name="Изображение 7421" descr="resizeПП-00272369"/>
        <xdr:cNvPicPr>
          <a:picLocks noChangeAspect="1"/>
        </xdr:cNvPicPr>
      </xdr:nvPicPr>
      <xdr:blipFill>
        <a:blip xmlns:r="http://schemas.openxmlformats.org/officeDocument/2006/relationships" r:embed="rId3124"/>
        <a:stretch>
          <a:fillRect/>
        </a:stretch>
      </xdr:blipFill>
      <xdr:spPr>
        <a:xfrm>
          <a:off x="7264400" y="4063593600"/>
          <a:ext cx="878840" cy="1183640"/>
        </a:xfrm>
        <a:prstGeom prst="rect">
          <a:avLst/>
        </a:prstGeom>
      </xdr:spPr>
    </xdr:pic>
    <xdr:clientData/>
  </xdr:twoCellAnchor>
  <xdr:twoCellAnchor>
    <xdr:from>
      <xdr:col>8</xdr:col>
      <xdr:colOff>6350</xdr:colOff>
      <xdr:row>4076</xdr:row>
      <xdr:rowOff>25400</xdr:rowOff>
    </xdr:from>
    <xdr:to>
      <xdr:col>8</xdr:col>
      <xdr:colOff>885190</xdr:colOff>
      <xdr:row>4076</xdr:row>
      <xdr:rowOff>1209040</xdr:rowOff>
    </xdr:to>
    <xdr:pic>
      <xdr:nvPicPr>
        <xdr:cNvPr id="7423" name="Изображение 7422" descr="resizeПП-00272368"/>
        <xdr:cNvPicPr>
          <a:picLocks noChangeAspect="1"/>
        </xdr:cNvPicPr>
      </xdr:nvPicPr>
      <xdr:blipFill>
        <a:blip xmlns:r="http://schemas.openxmlformats.org/officeDocument/2006/relationships" r:embed="rId3125"/>
        <a:stretch>
          <a:fillRect/>
        </a:stretch>
      </xdr:blipFill>
      <xdr:spPr>
        <a:xfrm>
          <a:off x="7264400" y="4064815975"/>
          <a:ext cx="878840" cy="1183640"/>
        </a:xfrm>
        <a:prstGeom prst="rect">
          <a:avLst/>
        </a:prstGeom>
      </xdr:spPr>
    </xdr:pic>
    <xdr:clientData/>
  </xdr:twoCellAnchor>
  <xdr:twoCellAnchor>
    <xdr:from>
      <xdr:col>8</xdr:col>
      <xdr:colOff>6350</xdr:colOff>
      <xdr:row>4077</xdr:row>
      <xdr:rowOff>25400</xdr:rowOff>
    </xdr:from>
    <xdr:to>
      <xdr:col>8</xdr:col>
      <xdr:colOff>885190</xdr:colOff>
      <xdr:row>4077</xdr:row>
      <xdr:rowOff>1209040</xdr:rowOff>
    </xdr:to>
    <xdr:pic>
      <xdr:nvPicPr>
        <xdr:cNvPr id="7424" name="Изображение 7423" descr="resizeПП-00272371"/>
        <xdr:cNvPicPr>
          <a:picLocks noChangeAspect="1"/>
        </xdr:cNvPicPr>
      </xdr:nvPicPr>
      <xdr:blipFill>
        <a:blip xmlns:r="http://schemas.openxmlformats.org/officeDocument/2006/relationships" r:embed="rId3126"/>
        <a:stretch>
          <a:fillRect/>
        </a:stretch>
      </xdr:blipFill>
      <xdr:spPr>
        <a:xfrm>
          <a:off x="7264400" y="4066038350"/>
          <a:ext cx="878840" cy="1183640"/>
        </a:xfrm>
        <a:prstGeom prst="rect">
          <a:avLst/>
        </a:prstGeom>
      </xdr:spPr>
    </xdr:pic>
    <xdr:clientData/>
  </xdr:twoCellAnchor>
  <xdr:twoCellAnchor>
    <xdr:from>
      <xdr:col>8</xdr:col>
      <xdr:colOff>6350</xdr:colOff>
      <xdr:row>4078</xdr:row>
      <xdr:rowOff>25400</xdr:rowOff>
    </xdr:from>
    <xdr:to>
      <xdr:col>8</xdr:col>
      <xdr:colOff>885190</xdr:colOff>
      <xdr:row>4078</xdr:row>
      <xdr:rowOff>1209040</xdr:rowOff>
    </xdr:to>
    <xdr:pic>
      <xdr:nvPicPr>
        <xdr:cNvPr id="7425" name="Изображение 7424" descr="resizeПП-00272370"/>
        <xdr:cNvPicPr>
          <a:picLocks noChangeAspect="1"/>
        </xdr:cNvPicPr>
      </xdr:nvPicPr>
      <xdr:blipFill>
        <a:blip xmlns:r="http://schemas.openxmlformats.org/officeDocument/2006/relationships" r:embed="rId3127"/>
        <a:stretch>
          <a:fillRect/>
        </a:stretch>
      </xdr:blipFill>
      <xdr:spPr>
        <a:xfrm>
          <a:off x="7264400" y="4067260725"/>
          <a:ext cx="878840" cy="1183640"/>
        </a:xfrm>
        <a:prstGeom prst="rect">
          <a:avLst/>
        </a:prstGeom>
      </xdr:spPr>
    </xdr:pic>
    <xdr:clientData/>
  </xdr:twoCellAnchor>
  <xdr:twoCellAnchor>
    <xdr:from>
      <xdr:col>8</xdr:col>
      <xdr:colOff>6350</xdr:colOff>
      <xdr:row>4080</xdr:row>
      <xdr:rowOff>25400</xdr:rowOff>
    </xdr:from>
    <xdr:to>
      <xdr:col>8</xdr:col>
      <xdr:colOff>885190</xdr:colOff>
      <xdr:row>4080</xdr:row>
      <xdr:rowOff>1209040</xdr:rowOff>
    </xdr:to>
    <xdr:pic>
      <xdr:nvPicPr>
        <xdr:cNvPr id="7426" name="Изображение 7425" descr="resizeПП-00258151"/>
        <xdr:cNvPicPr>
          <a:picLocks noChangeAspect="1"/>
        </xdr:cNvPicPr>
      </xdr:nvPicPr>
      <xdr:blipFill>
        <a:blip xmlns:r="http://schemas.openxmlformats.org/officeDocument/2006/relationships" r:embed="rId3128"/>
        <a:stretch>
          <a:fillRect/>
        </a:stretch>
      </xdr:blipFill>
      <xdr:spPr>
        <a:xfrm>
          <a:off x="7264400" y="4068635500"/>
          <a:ext cx="878840" cy="1183640"/>
        </a:xfrm>
        <a:prstGeom prst="rect">
          <a:avLst/>
        </a:prstGeom>
      </xdr:spPr>
    </xdr:pic>
    <xdr:clientData/>
  </xdr:twoCellAnchor>
  <xdr:twoCellAnchor>
    <xdr:from>
      <xdr:col>8</xdr:col>
      <xdr:colOff>6350</xdr:colOff>
      <xdr:row>4081</xdr:row>
      <xdr:rowOff>25400</xdr:rowOff>
    </xdr:from>
    <xdr:to>
      <xdr:col>8</xdr:col>
      <xdr:colOff>885190</xdr:colOff>
      <xdr:row>4081</xdr:row>
      <xdr:rowOff>1209040</xdr:rowOff>
    </xdr:to>
    <xdr:pic>
      <xdr:nvPicPr>
        <xdr:cNvPr id="7427" name="Изображение 7426" descr="resizeПП-00252823"/>
        <xdr:cNvPicPr>
          <a:picLocks noChangeAspect="1"/>
        </xdr:cNvPicPr>
      </xdr:nvPicPr>
      <xdr:blipFill>
        <a:blip xmlns:r="http://schemas.openxmlformats.org/officeDocument/2006/relationships" r:embed="rId3129"/>
        <a:stretch>
          <a:fillRect/>
        </a:stretch>
      </xdr:blipFill>
      <xdr:spPr>
        <a:xfrm>
          <a:off x="7264400" y="4069857875"/>
          <a:ext cx="878840" cy="1183640"/>
        </a:xfrm>
        <a:prstGeom prst="rect">
          <a:avLst/>
        </a:prstGeom>
      </xdr:spPr>
    </xdr:pic>
    <xdr:clientData/>
  </xdr:twoCellAnchor>
  <xdr:twoCellAnchor>
    <xdr:from>
      <xdr:col>8</xdr:col>
      <xdr:colOff>6350</xdr:colOff>
      <xdr:row>4083</xdr:row>
      <xdr:rowOff>25400</xdr:rowOff>
    </xdr:from>
    <xdr:to>
      <xdr:col>8</xdr:col>
      <xdr:colOff>885190</xdr:colOff>
      <xdr:row>4083</xdr:row>
      <xdr:rowOff>1209040</xdr:rowOff>
    </xdr:to>
    <xdr:pic>
      <xdr:nvPicPr>
        <xdr:cNvPr id="7428" name="Изображение 7427" descr="resizeПП-00234144"/>
        <xdr:cNvPicPr>
          <a:picLocks noChangeAspect="1"/>
        </xdr:cNvPicPr>
      </xdr:nvPicPr>
      <xdr:blipFill>
        <a:blip xmlns:r="http://schemas.openxmlformats.org/officeDocument/2006/relationships" r:embed="rId3130"/>
        <a:stretch>
          <a:fillRect/>
        </a:stretch>
      </xdr:blipFill>
      <xdr:spPr>
        <a:xfrm>
          <a:off x="7264400" y="4071232650"/>
          <a:ext cx="878840" cy="1183640"/>
        </a:xfrm>
        <a:prstGeom prst="rect">
          <a:avLst/>
        </a:prstGeom>
      </xdr:spPr>
    </xdr:pic>
    <xdr:clientData/>
  </xdr:twoCellAnchor>
  <xdr:twoCellAnchor>
    <xdr:from>
      <xdr:col>8</xdr:col>
      <xdr:colOff>6350</xdr:colOff>
      <xdr:row>4084</xdr:row>
      <xdr:rowOff>25400</xdr:rowOff>
    </xdr:from>
    <xdr:to>
      <xdr:col>8</xdr:col>
      <xdr:colOff>885190</xdr:colOff>
      <xdr:row>4084</xdr:row>
      <xdr:rowOff>1209040</xdr:rowOff>
    </xdr:to>
    <xdr:pic>
      <xdr:nvPicPr>
        <xdr:cNvPr id="7429" name="Изображение 7428" descr="resizeПП-00261782"/>
        <xdr:cNvPicPr>
          <a:picLocks noChangeAspect="1"/>
        </xdr:cNvPicPr>
      </xdr:nvPicPr>
      <xdr:blipFill>
        <a:blip xmlns:r="http://schemas.openxmlformats.org/officeDocument/2006/relationships" r:embed="rId3120"/>
        <a:stretch>
          <a:fillRect/>
        </a:stretch>
      </xdr:blipFill>
      <xdr:spPr>
        <a:xfrm>
          <a:off x="7264400" y="4072455025"/>
          <a:ext cx="878840" cy="1183640"/>
        </a:xfrm>
        <a:prstGeom prst="rect">
          <a:avLst/>
        </a:prstGeom>
      </xdr:spPr>
    </xdr:pic>
    <xdr:clientData/>
  </xdr:twoCellAnchor>
  <xdr:twoCellAnchor>
    <xdr:from>
      <xdr:col>8</xdr:col>
      <xdr:colOff>6350</xdr:colOff>
      <xdr:row>4085</xdr:row>
      <xdr:rowOff>25400</xdr:rowOff>
    </xdr:from>
    <xdr:to>
      <xdr:col>8</xdr:col>
      <xdr:colOff>885190</xdr:colOff>
      <xdr:row>4085</xdr:row>
      <xdr:rowOff>1209040</xdr:rowOff>
    </xdr:to>
    <xdr:pic>
      <xdr:nvPicPr>
        <xdr:cNvPr id="7430" name="Изображение 7429" descr="resizeПП-00261783"/>
        <xdr:cNvPicPr>
          <a:picLocks noChangeAspect="1"/>
        </xdr:cNvPicPr>
      </xdr:nvPicPr>
      <xdr:blipFill>
        <a:blip xmlns:r="http://schemas.openxmlformats.org/officeDocument/2006/relationships" r:embed="rId3121"/>
        <a:stretch>
          <a:fillRect/>
        </a:stretch>
      </xdr:blipFill>
      <xdr:spPr>
        <a:xfrm>
          <a:off x="7264400" y="4073677400"/>
          <a:ext cx="878840" cy="1183640"/>
        </a:xfrm>
        <a:prstGeom prst="rect">
          <a:avLst/>
        </a:prstGeom>
      </xdr:spPr>
    </xdr:pic>
    <xdr:clientData/>
  </xdr:twoCellAnchor>
  <xdr:twoCellAnchor>
    <xdr:from>
      <xdr:col>8</xdr:col>
      <xdr:colOff>6350</xdr:colOff>
      <xdr:row>4086</xdr:row>
      <xdr:rowOff>25400</xdr:rowOff>
    </xdr:from>
    <xdr:to>
      <xdr:col>8</xdr:col>
      <xdr:colOff>885190</xdr:colOff>
      <xdr:row>4086</xdr:row>
      <xdr:rowOff>1209040</xdr:rowOff>
    </xdr:to>
    <xdr:pic>
      <xdr:nvPicPr>
        <xdr:cNvPr id="7431" name="Изображение 7430" descr="resizeПП-00261787"/>
        <xdr:cNvPicPr>
          <a:picLocks noChangeAspect="1"/>
        </xdr:cNvPicPr>
      </xdr:nvPicPr>
      <xdr:blipFill>
        <a:blip xmlns:r="http://schemas.openxmlformats.org/officeDocument/2006/relationships" r:embed="rId3131"/>
        <a:stretch>
          <a:fillRect/>
        </a:stretch>
      </xdr:blipFill>
      <xdr:spPr>
        <a:xfrm>
          <a:off x="7264400" y="4074899775"/>
          <a:ext cx="878840" cy="1183640"/>
        </a:xfrm>
        <a:prstGeom prst="rect">
          <a:avLst/>
        </a:prstGeom>
      </xdr:spPr>
    </xdr:pic>
    <xdr:clientData/>
  </xdr:twoCellAnchor>
  <xdr:twoCellAnchor>
    <xdr:from>
      <xdr:col>8</xdr:col>
      <xdr:colOff>6350</xdr:colOff>
      <xdr:row>4087</xdr:row>
      <xdr:rowOff>25400</xdr:rowOff>
    </xdr:from>
    <xdr:to>
      <xdr:col>8</xdr:col>
      <xdr:colOff>885190</xdr:colOff>
      <xdr:row>4087</xdr:row>
      <xdr:rowOff>1209040</xdr:rowOff>
    </xdr:to>
    <xdr:pic>
      <xdr:nvPicPr>
        <xdr:cNvPr id="7432" name="Изображение 7431" descr="resizeПП-00261785"/>
        <xdr:cNvPicPr>
          <a:picLocks noChangeAspect="1"/>
        </xdr:cNvPicPr>
      </xdr:nvPicPr>
      <xdr:blipFill>
        <a:blip xmlns:r="http://schemas.openxmlformats.org/officeDocument/2006/relationships" r:embed="rId3122"/>
        <a:stretch>
          <a:fillRect/>
        </a:stretch>
      </xdr:blipFill>
      <xdr:spPr>
        <a:xfrm>
          <a:off x="7264400" y="4076122150"/>
          <a:ext cx="878840" cy="1183640"/>
        </a:xfrm>
        <a:prstGeom prst="rect">
          <a:avLst/>
        </a:prstGeom>
      </xdr:spPr>
    </xdr:pic>
    <xdr:clientData/>
  </xdr:twoCellAnchor>
  <xdr:twoCellAnchor>
    <xdr:from>
      <xdr:col>8</xdr:col>
      <xdr:colOff>6350</xdr:colOff>
      <xdr:row>4090</xdr:row>
      <xdr:rowOff>25400</xdr:rowOff>
    </xdr:from>
    <xdr:to>
      <xdr:col>8</xdr:col>
      <xdr:colOff>885190</xdr:colOff>
      <xdr:row>4090</xdr:row>
      <xdr:rowOff>1209040</xdr:rowOff>
    </xdr:to>
    <xdr:pic>
      <xdr:nvPicPr>
        <xdr:cNvPr id="7433" name="Изображение 7432" descr="resizeПП-00272381"/>
        <xdr:cNvPicPr>
          <a:picLocks noChangeAspect="1"/>
        </xdr:cNvPicPr>
      </xdr:nvPicPr>
      <xdr:blipFill>
        <a:blip xmlns:r="http://schemas.openxmlformats.org/officeDocument/2006/relationships" r:embed="rId3132"/>
        <a:stretch>
          <a:fillRect/>
        </a:stretch>
      </xdr:blipFill>
      <xdr:spPr>
        <a:xfrm>
          <a:off x="7264400" y="4077649325"/>
          <a:ext cx="878840" cy="1183640"/>
        </a:xfrm>
        <a:prstGeom prst="rect">
          <a:avLst/>
        </a:prstGeom>
      </xdr:spPr>
    </xdr:pic>
    <xdr:clientData/>
  </xdr:twoCellAnchor>
  <xdr:twoCellAnchor>
    <xdr:from>
      <xdr:col>8</xdr:col>
      <xdr:colOff>6350</xdr:colOff>
      <xdr:row>4091</xdr:row>
      <xdr:rowOff>25400</xdr:rowOff>
    </xdr:from>
    <xdr:to>
      <xdr:col>8</xdr:col>
      <xdr:colOff>885190</xdr:colOff>
      <xdr:row>4091</xdr:row>
      <xdr:rowOff>1209040</xdr:rowOff>
    </xdr:to>
    <xdr:pic>
      <xdr:nvPicPr>
        <xdr:cNvPr id="7434" name="Изображение 7433" descr="resizeПП-00272380"/>
        <xdr:cNvPicPr>
          <a:picLocks noChangeAspect="1"/>
        </xdr:cNvPicPr>
      </xdr:nvPicPr>
      <xdr:blipFill>
        <a:blip xmlns:r="http://schemas.openxmlformats.org/officeDocument/2006/relationships" r:embed="rId3133"/>
        <a:stretch>
          <a:fillRect/>
        </a:stretch>
      </xdr:blipFill>
      <xdr:spPr>
        <a:xfrm>
          <a:off x="7264400" y="4078871700"/>
          <a:ext cx="878840" cy="1183640"/>
        </a:xfrm>
        <a:prstGeom prst="rect">
          <a:avLst/>
        </a:prstGeom>
      </xdr:spPr>
    </xdr:pic>
    <xdr:clientData/>
  </xdr:twoCellAnchor>
  <xdr:twoCellAnchor>
    <xdr:from>
      <xdr:col>8</xdr:col>
      <xdr:colOff>6350</xdr:colOff>
      <xdr:row>4094</xdr:row>
      <xdr:rowOff>25400</xdr:rowOff>
    </xdr:from>
    <xdr:to>
      <xdr:col>8</xdr:col>
      <xdr:colOff>885190</xdr:colOff>
      <xdr:row>4094</xdr:row>
      <xdr:rowOff>1209040</xdr:rowOff>
    </xdr:to>
    <xdr:pic>
      <xdr:nvPicPr>
        <xdr:cNvPr id="7435" name="Изображение 7434" descr="resizeПП-00261803"/>
        <xdr:cNvPicPr>
          <a:picLocks noChangeAspect="1"/>
        </xdr:cNvPicPr>
      </xdr:nvPicPr>
      <xdr:blipFill>
        <a:blip xmlns:r="http://schemas.openxmlformats.org/officeDocument/2006/relationships" r:embed="rId3116"/>
        <a:stretch>
          <a:fillRect/>
        </a:stretch>
      </xdr:blipFill>
      <xdr:spPr>
        <a:xfrm>
          <a:off x="7264400" y="4080398875"/>
          <a:ext cx="878840" cy="1183640"/>
        </a:xfrm>
        <a:prstGeom prst="rect">
          <a:avLst/>
        </a:prstGeom>
      </xdr:spPr>
    </xdr:pic>
    <xdr:clientData/>
  </xdr:twoCellAnchor>
  <xdr:twoCellAnchor>
    <xdr:from>
      <xdr:col>8</xdr:col>
      <xdr:colOff>6350</xdr:colOff>
      <xdr:row>4095</xdr:row>
      <xdr:rowOff>25400</xdr:rowOff>
    </xdr:from>
    <xdr:to>
      <xdr:col>8</xdr:col>
      <xdr:colOff>885190</xdr:colOff>
      <xdr:row>4095</xdr:row>
      <xdr:rowOff>1209040</xdr:rowOff>
    </xdr:to>
    <xdr:pic>
      <xdr:nvPicPr>
        <xdr:cNvPr id="7436" name="Изображение 7435" descr="resizeПП-00261804"/>
        <xdr:cNvPicPr>
          <a:picLocks noChangeAspect="1"/>
        </xdr:cNvPicPr>
      </xdr:nvPicPr>
      <xdr:blipFill>
        <a:blip xmlns:r="http://schemas.openxmlformats.org/officeDocument/2006/relationships" r:embed="rId3117"/>
        <a:stretch>
          <a:fillRect/>
        </a:stretch>
      </xdr:blipFill>
      <xdr:spPr>
        <a:xfrm>
          <a:off x="7264400" y="4081621250"/>
          <a:ext cx="878840" cy="1183640"/>
        </a:xfrm>
        <a:prstGeom prst="rect">
          <a:avLst/>
        </a:prstGeom>
      </xdr:spPr>
    </xdr:pic>
    <xdr:clientData/>
  </xdr:twoCellAnchor>
  <xdr:twoCellAnchor>
    <xdr:from>
      <xdr:col>8</xdr:col>
      <xdr:colOff>6350</xdr:colOff>
      <xdr:row>4096</xdr:row>
      <xdr:rowOff>25400</xdr:rowOff>
    </xdr:from>
    <xdr:to>
      <xdr:col>8</xdr:col>
      <xdr:colOff>885190</xdr:colOff>
      <xdr:row>4096</xdr:row>
      <xdr:rowOff>1209040</xdr:rowOff>
    </xdr:to>
    <xdr:pic>
      <xdr:nvPicPr>
        <xdr:cNvPr id="7437" name="Изображение 7436" descr="resizeПП-00261805"/>
        <xdr:cNvPicPr>
          <a:picLocks noChangeAspect="1"/>
        </xdr:cNvPicPr>
      </xdr:nvPicPr>
      <xdr:blipFill>
        <a:blip xmlns:r="http://schemas.openxmlformats.org/officeDocument/2006/relationships" r:embed="rId3118"/>
        <a:stretch>
          <a:fillRect/>
        </a:stretch>
      </xdr:blipFill>
      <xdr:spPr>
        <a:xfrm>
          <a:off x="7264400" y="4082843625"/>
          <a:ext cx="878840" cy="1183640"/>
        </a:xfrm>
        <a:prstGeom prst="rect">
          <a:avLst/>
        </a:prstGeom>
      </xdr:spPr>
    </xdr:pic>
    <xdr:clientData/>
  </xdr:twoCellAnchor>
  <xdr:twoCellAnchor>
    <xdr:from>
      <xdr:col>8</xdr:col>
      <xdr:colOff>6350</xdr:colOff>
      <xdr:row>4097</xdr:row>
      <xdr:rowOff>25400</xdr:rowOff>
    </xdr:from>
    <xdr:to>
      <xdr:col>8</xdr:col>
      <xdr:colOff>885190</xdr:colOff>
      <xdr:row>4097</xdr:row>
      <xdr:rowOff>1209040</xdr:rowOff>
    </xdr:to>
    <xdr:pic>
      <xdr:nvPicPr>
        <xdr:cNvPr id="7438" name="Изображение 7437" descr="resizeПП-00263215"/>
        <xdr:cNvPicPr>
          <a:picLocks noChangeAspect="1"/>
        </xdr:cNvPicPr>
      </xdr:nvPicPr>
      <xdr:blipFill>
        <a:blip xmlns:r="http://schemas.openxmlformats.org/officeDocument/2006/relationships" r:embed="rId3134"/>
        <a:stretch>
          <a:fillRect/>
        </a:stretch>
      </xdr:blipFill>
      <xdr:spPr>
        <a:xfrm>
          <a:off x="7264400" y="4084066000"/>
          <a:ext cx="878840" cy="1183640"/>
        </a:xfrm>
        <a:prstGeom prst="rect">
          <a:avLst/>
        </a:prstGeom>
      </xdr:spPr>
    </xdr:pic>
    <xdr:clientData/>
  </xdr:twoCellAnchor>
  <xdr:twoCellAnchor>
    <xdr:from>
      <xdr:col>8</xdr:col>
      <xdr:colOff>6350</xdr:colOff>
      <xdr:row>4098</xdr:row>
      <xdr:rowOff>25400</xdr:rowOff>
    </xdr:from>
    <xdr:to>
      <xdr:col>8</xdr:col>
      <xdr:colOff>885190</xdr:colOff>
      <xdr:row>4098</xdr:row>
      <xdr:rowOff>1209040</xdr:rowOff>
    </xdr:to>
    <xdr:pic>
      <xdr:nvPicPr>
        <xdr:cNvPr id="7439" name="Изображение 7438" descr="resizeПП-00263217"/>
        <xdr:cNvPicPr>
          <a:picLocks noChangeAspect="1"/>
        </xdr:cNvPicPr>
      </xdr:nvPicPr>
      <xdr:blipFill>
        <a:blip xmlns:r="http://schemas.openxmlformats.org/officeDocument/2006/relationships" r:embed="rId3135"/>
        <a:stretch>
          <a:fillRect/>
        </a:stretch>
      </xdr:blipFill>
      <xdr:spPr>
        <a:xfrm>
          <a:off x="7264400" y="4085288375"/>
          <a:ext cx="878840" cy="1183640"/>
        </a:xfrm>
        <a:prstGeom prst="rect">
          <a:avLst/>
        </a:prstGeom>
      </xdr:spPr>
    </xdr:pic>
    <xdr:clientData/>
  </xdr:twoCellAnchor>
  <xdr:twoCellAnchor>
    <xdr:from>
      <xdr:col>8</xdr:col>
      <xdr:colOff>6350</xdr:colOff>
      <xdr:row>4099</xdr:row>
      <xdr:rowOff>25400</xdr:rowOff>
    </xdr:from>
    <xdr:to>
      <xdr:col>8</xdr:col>
      <xdr:colOff>885190</xdr:colOff>
      <xdr:row>4099</xdr:row>
      <xdr:rowOff>1209040</xdr:rowOff>
    </xdr:to>
    <xdr:pic>
      <xdr:nvPicPr>
        <xdr:cNvPr id="7440" name="Изображение 7439" descr="resizeПП-00263212"/>
        <xdr:cNvPicPr>
          <a:picLocks noChangeAspect="1"/>
        </xdr:cNvPicPr>
      </xdr:nvPicPr>
      <xdr:blipFill>
        <a:blip xmlns:r="http://schemas.openxmlformats.org/officeDocument/2006/relationships" r:embed="rId3136"/>
        <a:stretch>
          <a:fillRect/>
        </a:stretch>
      </xdr:blipFill>
      <xdr:spPr>
        <a:xfrm>
          <a:off x="7264400" y="4086510750"/>
          <a:ext cx="878840" cy="1183640"/>
        </a:xfrm>
        <a:prstGeom prst="rect">
          <a:avLst/>
        </a:prstGeom>
      </xdr:spPr>
    </xdr:pic>
    <xdr:clientData/>
  </xdr:twoCellAnchor>
  <xdr:twoCellAnchor>
    <xdr:from>
      <xdr:col>8</xdr:col>
      <xdr:colOff>6350</xdr:colOff>
      <xdr:row>4100</xdr:row>
      <xdr:rowOff>25400</xdr:rowOff>
    </xdr:from>
    <xdr:to>
      <xdr:col>8</xdr:col>
      <xdr:colOff>885190</xdr:colOff>
      <xdr:row>4100</xdr:row>
      <xdr:rowOff>1209040</xdr:rowOff>
    </xdr:to>
    <xdr:pic>
      <xdr:nvPicPr>
        <xdr:cNvPr id="7441" name="Изображение 7440" descr="resizeПП-00263213"/>
        <xdr:cNvPicPr>
          <a:picLocks noChangeAspect="1"/>
        </xdr:cNvPicPr>
      </xdr:nvPicPr>
      <xdr:blipFill>
        <a:blip xmlns:r="http://schemas.openxmlformats.org/officeDocument/2006/relationships" r:embed="rId3137"/>
        <a:stretch>
          <a:fillRect/>
        </a:stretch>
      </xdr:blipFill>
      <xdr:spPr>
        <a:xfrm>
          <a:off x="7264400" y="4087733125"/>
          <a:ext cx="878840" cy="1183640"/>
        </a:xfrm>
        <a:prstGeom prst="rect">
          <a:avLst/>
        </a:prstGeom>
      </xdr:spPr>
    </xdr:pic>
    <xdr:clientData/>
  </xdr:twoCellAnchor>
  <xdr:twoCellAnchor>
    <xdr:from>
      <xdr:col>8</xdr:col>
      <xdr:colOff>6350</xdr:colOff>
      <xdr:row>4101</xdr:row>
      <xdr:rowOff>25400</xdr:rowOff>
    </xdr:from>
    <xdr:to>
      <xdr:col>8</xdr:col>
      <xdr:colOff>885190</xdr:colOff>
      <xdr:row>4101</xdr:row>
      <xdr:rowOff>1209040</xdr:rowOff>
    </xdr:to>
    <xdr:pic>
      <xdr:nvPicPr>
        <xdr:cNvPr id="7442" name="Изображение 7441" descr="resizeПП-00263214"/>
        <xdr:cNvPicPr>
          <a:picLocks noChangeAspect="1"/>
        </xdr:cNvPicPr>
      </xdr:nvPicPr>
      <xdr:blipFill>
        <a:blip xmlns:r="http://schemas.openxmlformats.org/officeDocument/2006/relationships" r:embed="rId3138"/>
        <a:stretch>
          <a:fillRect/>
        </a:stretch>
      </xdr:blipFill>
      <xdr:spPr>
        <a:xfrm>
          <a:off x="7264400" y="4088955500"/>
          <a:ext cx="878840" cy="1183640"/>
        </a:xfrm>
        <a:prstGeom prst="rect">
          <a:avLst/>
        </a:prstGeom>
      </xdr:spPr>
    </xdr:pic>
    <xdr:clientData/>
  </xdr:twoCellAnchor>
  <xdr:twoCellAnchor>
    <xdr:from>
      <xdr:col>8</xdr:col>
      <xdr:colOff>6350</xdr:colOff>
      <xdr:row>4102</xdr:row>
      <xdr:rowOff>25400</xdr:rowOff>
    </xdr:from>
    <xdr:to>
      <xdr:col>8</xdr:col>
      <xdr:colOff>885190</xdr:colOff>
      <xdr:row>4102</xdr:row>
      <xdr:rowOff>1209040</xdr:rowOff>
    </xdr:to>
    <xdr:pic>
      <xdr:nvPicPr>
        <xdr:cNvPr id="7443" name="Изображение 7442" descr="resizeПП-00263216"/>
        <xdr:cNvPicPr>
          <a:picLocks noChangeAspect="1"/>
        </xdr:cNvPicPr>
      </xdr:nvPicPr>
      <xdr:blipFill>
        <a:blip xmlns:r="http://schemas.openxmlformats.org/officeDocument/2006/relationships" r:embed="rId3139"/>
        <a:stretch>
          <a:fillRect/>
        </a:stretch>
      </xdr:blipFill>
      <xdr:spPr>
        <a:xfrm>
          <a:off x="7264400" y="4090177875"/>
          <a:ext cx="878840" cy="1183640"/>
        </a:xfrm>
        <a:prstGeom prst="rect">
          <a:avLst/>
        </a:prstGeom>
      </xdr:spPr>
    </xdr:pic>
    <xdr:clientData/>
  </xdr:twoCellAnchor>
  <xdr:twoCellAnchor>
    <xdr:from>
      <xdr:col>8</xdr:col>
      <xdr:colOff>6350</xdr:colOff>
      <xdr:row>4104</xdr:row>
      <xdr:rowOff>25400</xdr:rowOff>
    </xdr:from>
    <xdr:to>
      <xdr:col>8</xdr:col>
      <xdr:colOff>885190</xdr:colOff>
      <xdr:row>4104</xdr:row>
      <xdr:rowOff>1209040</xdr:rowOff>
    </xdr:to>
    <xdr:pic>
      <xdr:nvPicPr>
        <xdr:cNvPr id="7444" name="Изображение 7443" descr="resizeПП-00272384"/>
        <xdr:cNvPicPr>
          <a:picLocks noChangeAspect="1"/>
        </xdr:cNvPicPr>
      </xdr:nvPicPr>
      <xdr:blipFill>
        <a:blip xmlns:r="http://schemas.openxmlformats.org/officeDocument/2006/relationships" r:embed="rId3140"/>
        <a:stretch>
          <a:fillRect/>
        </a:stretch>
      </xdr:blipFill>
      <xdr:spPr>
        <a:xfrm>
          <a:off x="7264400" y="4091552650"/>
          <a:ext cx="878840" cy="1183640"/>
        </a:xfrm>
        <a:prstGeom prst="rect">
          <a:avLst/>
        </a:prstGeom>
      </xdr:spPr>
    </xdr:pic>
    <xdr:clientData/>
  </xdr:twoCellAnchor>
  <xdr:twoCellAnchor>
    <xdr:from>
      <xdr:col>8</xdr:col>
      <xdr:colOff>6350</xdr:colOff>
      <xdr:row>4105</xdr:row>
      <xdr:rowOff>25400</xdr:rowOff>
    </xdr:from>
    <xdr:to>
      <xdr:col>8</xdr:col>
      <xdr:colOff>885190</xdr:colOff>
      <xdr:row>4105</xdr:row>
      <xdr:rowOff>1209040</xdr:rowOff>
    </xdr:to>
    <xdr:pic>
      <xdr:nvPicPr>
        <xdr:cNvPr id="7445" name="Изображение 7444" descr="resizeПП-00272383"/>
        <xdr:cNvPicPr>
          <a:picLocks noChangeAspect="1"/>
        </xdr:cNvPicPr>
      </xdr:nvPicPr>
      <xdr:blipFill>
        <a:blip xmlns:r="http://schemas.openxmlformats.org/officeDocument/2006/relationships" r:embed="rId3141"/>
        <a:stretch>
          <a:fillRect/>
        </a:stretch>
      </xdr:blipFill>
      <xdr:spPr>
        <a:xfrm>
          <a:off x="7264400" y="4092775025"/>
          <a:ext cx="878840" cy="1183640"/>
        </a:xfrm>
        <a:prstGeom prst="rect">
          <a:avLst/>
        </a:prstGeom>
      </xdr:spPr>
    </xdr:pic>
    <xdr:clientData/>
  </xdr:twoCellAnchor>
  <xdr:twoCellAnchor>
    <xdr:from>
      <xdr:col>8</xdr:col>
      <xdr:colOff>6350</xdr:colOff>
      <xdr:row>4106</xdr:row>
      <xdr:rowOff>25400</xdr:rowOff>
    </xdr:from>
    <xdr:to>
      <xdr:col>8</xdr:col>
      <xdr:colOff>885190</xdr:colOff>
      <xdr:row>4106</xdr:row>
      <xdr:rowOff>1209040</xdr:rowOff>
    </xdr:to>
    <xdr:pic>
      <xdr:nvPicPr>
        <xdr:cNvPr id="7446" name="Изображение 7445" descr="resizeПП-00272385"/>
        <xdr:cNvPicPr>
          <a:picLocks noChangeAspect="1"/>
        </xdr:cNvPicPr>
      </xdr:nvPicPr>
      <xdr:blipFill>
        <a:blip xmlns:r="http://schemas.openxmlformats.org/officeDocument/2006/relationships" r:embed="rId3142"/>
        <a:stretch>
          <a:fillRect/>
        </a:stretch>
      </xdr:blipFill>
      <xdr:spPr>
        <a:xfrm>
          <a:off x="7264400" y="4093997400"/>
          <a:ext cx="878840" cy="1183640"/>
        </a:xfrm>
        <a:prstGeom prst="rect">
          <a:avLst/>
        </a:prstGeom>
      </xdr:spPr>
    </xdr:pic>
    <xdr:clientData/>
  </xdr:twoCellAnchor>
  <xdr:twoCellAnchor>
    <xdr:from>
      <xdr:col>8</xdr:col>
      <xdr:colOff>6350</xdr:colOff>
      <xdr:row>4110</xdr:row>
      <xdr:rowOff>25400</xdr:rowOff>
    </xdr:from>
    <xdr:to>
      <xdr:col>8</xdr:col>
      <xdr:colOff>885190</xdr:colOff>
      <xdr:row>4110</xdr:row>
      <xdr:rowOff>1209040</xdr:rowOff>
    </xdr:to>
    <xdr:pic>
      <xdr:nvPicPr>
        <xdr:cNvPr id="7447" name="Изображение 7446" descr="resizeПП-00263262"/>
        <xdr:cNvPicPr>
          <a:picLocks noChangeAspect="1"/>
        </xdr:cNvPicPr>
      </xdr:nvPicPr>
      <xdr:blipFill>
        <a:blip xmlns:r="http://schemas.openxmlformats.org/officeDocument/2006/relationships" r:embed="rId3143"/>
        <a:stretch>
          <a:fillRect/>
        </a:stretch>
      </xdr:blipFill>
      <xdr:spPr>
        <a:xfrm>
          <a:off x="7264400" y="4095676975"/>
          <a:ext cx="878840" cy="1183640"/>
        </a:xfrm>
        <a:prstGeom prst="rect">
          <a:avLst/>
        </a:prstGeom>
      </xdr:spPr>
    </xdr:pic>
    <xdr:clientData/>
  </xdr:twoCellAnchor>
  <xdr:twoCellAnchor>
    <xdr:from>
      <xdr:col>8</xdr:col>
      <xdr:colOff>6350</xdr:colOff>
      <xdr:row>4111</xdr:row>
      <xdr:rowOff>25400</xdr:rowOff>
    </xdr:from>
    <xdr:to>
      <xdr:col>8</xdr:col>
      <xdr:colOff>885190</xdr:colOff>
      <xdr:row>4111</xdr:row>
      <xdr:rowOff>1209040</xdr:rowOff>
    </xdr:to>
    <xdr:pic>
      <xdr:nvPicPr>
        <xdr:cNvPr id="7448" name="Изображение 7447" descr="resizeПП-00263260"/>
        <xdr:cNvPicPr>
          <a:picLocks noChangeAspect="1"/>
        </xdr:cNvPicPr>
      </xdr:nvPicPr>
      <xdr:blipFill>
        <a:blip xmlns:r="http://schemas.openxmlformats.org/officeDocument/2006/relationships" r:embed="rId3144"/>
        <a:stretch>
          <a:fillRect/>
        </a:stretch>
      </xdr:blipFill>
      <xdr:spPr>
        <a:xfrm>
          <a:off x="7264400" y="4096899350"/>
          <a:ext cx="878840" cy="1183640"/>
        </a:xfrm>
        <a:prstGeom prst="rect">
          <a:avLst/>
        </a:prstGeom>
      </xdr:spPr>
    </xdr:pic>
    <xdr:clientData/>
  </xdr:twoCellAnchor>
  <xdr:twoCellAnchor>
    <xdr:from>
      <xdr:col>8</xdr:col>
      <xdr:colOff>6350</xdr:colOff>
      <xdr:row>4112</xdr:row>
      <xdr:rowOff>25400</xdr:rowOff>
    </xdr:from>
    <xdr:to>
      <xdr:col>8</xdr:col>
      <xdr:colOff>885190</xdr:colOff>
      <xdr:row>4112</xdr:row>
      <xdr:rowOff>1209040</xdr:rowOff>
    </xdr:to>
    <xdr:pic>
      <xdr:nvPicPr>
        <xdr:cNvPr id="7449" name="Изображение 7448" descr="resizeПП-00263255"/>
        <xdr:cNvPicPr>
          <a:picLocks noChangeAspect="1"/>
        </xdr:cNvPicPr>
      </xdr:nvPicPr>
      <xdr:blipFill>
        <a:blip xmlns:r="http://schemas.openxmlformats.org/officeDocument/2006/relationships" r:embed="rId3145"/>
        <a:stretch>
          <a:fillRect/>
        </a:stretch>
      </xdr:blipFill>
      <xdr:spPr>
        <a:xfrm>
          <a:off x="7264400" y="4098121725"/>
          <a:ext cx="878840" cy="1183640"/>
        </a:xfrm>
        <a:prstGeom prst="rect">
          <a:avLst/>
        </a:prstGeom>
      </xdr:spPr>
    </xdr:pic>
    <xdr:clientData/>
  </xdr:twoCellAnchor>
  <xdr:twoCellAnchor>
    <xdr:from>
      <xdr:col>8</xdr:col>
      <xdr:colOff>6350</xdr:colOff>
      <xdr:row>4113</xdr:row>
      <xdr:rowOff>25400</xdr:rowOff>
    </xdr:from>
    <xdr:to>
      <xdr:col>8</xdr:col>
      <xdr:colOff>885190</xdr:colOff>
      <xdr:row>4113</xdr:row>
      <xdr:rowOff>1209040</xdr:rowOff>
    </xdr:to>
    <xdr:pic>
      <xdr:nvPicPr>
        <xdr:cNvPr id="7450" name="Изображение 7449" descr="resizeПП-00263263"/>
        <xdr:cNvPicPr>
          <a:picLocks noChangeAspect="1"/>
        </xdr:cNvPicPr>
      </xdr:nvPicPr>
      <xdr:blipFill>
        <a:blip xmlns:r="http://schemas.openxmlformats.org/officeDocument/2006/relationships" r:embed="rId3146"/>
        <a:stretch>
          <a:fillRect/>
        </a:stretch>
      </xdr:blipFill>
      <xdr:spPr>
        <a:xfrm>
          <a:off x="7264400" y="4099344100"/>
          <a:ext cx="878840" cy="1183640"/>
        </a:xfrm>
        <a:prstGeom prst="rect">
          <a:avLst/>
        </a:prstGeom>
      </xdr:spPr>
    </xdr:pic>
    <xdr:clientData/>
  </xdr:twoCellAnchor>
  <xdr:twoCellAnchor>
    <xdr:from>
      <xdr:col>8</xdr:col>
      <xdr:colOff>6350</xdr:colOff>
      <xdr:row>4114</xdr:row>
      <xdr:rowOff>25400</xdr:rowOff>
    </xdr:from>
    <xdr:to>
      <xdr:col>8</xdr:col>
      <xdr:colOff>885190</xdr:colOff>
      <xdr:row>4114</xdr:row>
      <xdr:rowOff>1209040</xdr:rowOff>
    </xdr:to>
    <xdr:pic>
      <xdr:nvPicPr>
        <xdr:cNvPr id="7451" name="Изображение 7450" descr="resizeПП-00263258"/>
        <xdr:cNvPicPr>
          <a:picLocks noChangeAspect="1"/>
        </xdr:cNvPicPr>
      </xdr:nvPicPr>
      <xdr:blipFill>
        <a:blip xmlns:r="http://schemas.openxmlformats.org/officeDocument/2006/relationships" r:embed="rId3147"/>
        <a:stretch>
          <a:fillRect/>
        </a:stretch>
      </xdr:blipFill>
      <xdr:spPr>
        <a:xfrm>
          <a:off x="7264400" y="4100566475"/>
          <a:ext cx="878840" cy="1183640"/>
        </a:xfrm>
        <a:prstGeom prst="rect">
          <a:avLst/>
        </a:prstGeom>
      </xdr:spPr>
    </xdr:pic>
    <xdr:clientData/>
  </xdr:twoCellAnchor>
  <xdr:twoCellAnchor>
    <xdr:from>
      <xdr:col>8</xdr:col>
      <xdr:colOff>6350</xdr:colOff>
      <xdr:row>4115</xdr:row>
      <xdr:rowOff>25400</xdr:rowOff>
    </xdr:from>
    <xdr:to>
      <xdr:col>8</xdr:col>
      <xdr:colOff>885190</xdr:colOff>
      <xdr:row>4115</xdr:row>
      <xdr:rowOff>1209040</xdr:rowOff>
    </xdr:to>
    <xdr:pic>
      <xdr:nvPicPr>
        <xdr:cNvPr id="7452" name="Изображение 7451" descr="resizeПП-00263254"/>
        <xdr:cNvPicPr>
          <a:picLocks noChangeAspect="1"/>
        </xdr:cNvPicPr>
      </xdr:nvPicPr>
      <xdr:blipFill>
        <a:blip xmlns:r="http://schemas.openxmlformats.org/officeDocument/2006/relationships" r:embed="rId3148"/>
        <a:stretch>
          <a:fillRect/>
        </a:stretch>
      </xdr:blipFill>
      <xdr:spPr>
        <a:xfrm>
          <a:off x="7264400" y="4101788850"/>
          <a:ext cx="878840" cy="1183640"/>
        </a:xfrm>
        <a:prstGeom prst="rect">
          <a:avLst/>
        </a:prstGeom>
      </xdr:spPr>
    </xdr:pic>
    <xdr:clientData/>
  </xdr:twoCellAnchor>
  <xdr:twoCellAnchor>
    <xdr:from>
      <xdr:col>8</xdr:col>
      <xdr:colOff>6350</xdr:colOff>
      <xdr:row>4116</xdr:row>
      <xdr:rowOff>25400</xdr:rowOff>
    </xdr:from>
    <xdr:to>
      <xdr:col>8</xdr:col>
      <xdr:colOff>885190</xdr:colOff>
      <xdr:row>4116</xdr:row>
      <xdr:rowOff>1209040</xdr:rowOff>
    </xdr:to>
    <xdr:pic>
      <xdr:nvPicPr>
        <xdr:cNvPr id="7453" name="Изображение 7452" descr="resizeПП-00263257"/>
        <xdr:cNvPicPr>
          <a:picLocks noChangeAspect="1"/>
        </xdr:cNvPicPr>
      </xdr:nvPicPr>
      <xdr:blipFill>
        <a:blip xmlns:r="http://schemas.openxmlformats.org/officeDocument/2006/relationships" r:embed="rId3149"/>
        <a:stretch>
          <a:fillRect/>
        </a:stretch>
      </xdr:blipFill>
      <xdr:spPr>
        <a:xfrm>
          <a:off x="7264400" y="4103011225"/>
          <a:ext cx="878840" cy="1183640"/>
        </a:xfrm>
        <a:prstGeom prst="rect">
          <a:avLst/>
        </a:prstGeom>
      </xdr:spPr>
    </xdr:pic>
    <xdr:clientData/>
  </xdr:twoCellAnchor>
  <xdr:twoCellAnchor>
    <xdr:from>
      <xdr:col>8</xdr:col>
      <xdr:colOff>6350</xdr:colOff>
      <xdr:row>4117</xdr:row>
      <xdr:rowOff>25400</xdr:rowOff>
    </xdr:from>
    <xdr:to>
      <xdr:col>8</xdr:col>
      <xdr:colOff>885190</xdr:colOff>
      <xdr:row>4117</xdr:row>
      <xdr:rowOff>1209040</xdr:rowOff>
    </xdr:to>
    <xdr:pic>
      <xdr:nvPicPr>
        <xdr:cNvPr id="7454" name="Изображение 7453" descr="resizeПП-00263259"/>
        <xdr:cNvPicPr>
          <a:picLocks noChangeAspect="1"/>
        </xdr:cNvPicPr>
      </xdr:nvPicPr>
      <xdr:blipFill>
        <a:blip xmlns:r="http://schemas.openxmlformats.org/officeDocument/2006/relationships" r:embed="rId3150"/>
        <a:stretch>
          <a:fillRect/>
        </a:stretch>
      </xdr:blipFill>
      <xdr:spPr>
        <a:xfrm>
          <a:off x="7264400" y="4104233600"/>
          <a:ext cx="878840" cy="1183640"/>
        </a:xfrm>
        <a:prstGeom prst="rect">
          <a:avLst/>
        </a:prstGeom>
      </xdr:spPr>
    </xdr:pic>
    <xdr:clientData/>
  </xdr:twoCellAnchor>
  <xdr:twoCellAnchor>
    <xdr:from>
      <xdr:col>8</xdr:col>
      <xdr:colOff>6350</xdr:colOff>
      <xdr:row>4118</xdr:row>
      <xdr:rowOff>25400</xdr:rowOff>
    </xdr:from>
    <xdr:to>
      <xdr:col>8</xdr:col>
      <xdr:colOff>885190</xdr:colOff>
      <xdr:row>4118</xdr:row>
      <xdr:rowOff>1209040</xdr:rowOff>
    </xdr:to>
    <xdr:pic>
      <xdr:nvPicPr>
        <xdr:cNvPr id="7455" name="Изображение 7454" descr="resizeПП-00263256"/>
        <xdr:cNvPicPr>
          <a:picLocks noChangeAspect="1"/>
        </xdr:cNvPicPr>
      </xdr:nvPicPr>
      <xdr:blipFill>
        <a:blip xmlns:r="http://schemas.openxmlformats.org/officeDocument/2006/relationships" r:embed="rId3151"/>
        <a:stretch>
          <a:fillRect/>
        </a:stretch>
      </xdr:blipFill>
      <xdr:spPr>
        <a:xfrm>
          <a:off x="7264400" y="4105455975"/>
          <a:ext cx="878840" cy="1183640"/>
        </a:xfrm>
        <a:prstGeom prst="rect">
          <a:avLst/>
        </a:prstGeom>
      </xdr:spPr>
    </xdr:pic>
    <xdr:clientData/>
  </xdr:twoCellAnchor>
  <xdr:twoCellAnchor>
    <xdr:from>
      <xdr:col>8</xdr:col>
      <xdr:colOff>6350</xdr:colOff>
      <xdr:row>4119</xdr:row>
      <xdr:rowOff>25400</xdr:rowOff>
    </xdr:from>
    <xdr:to>
      <xdr:col>8</xdr:col>
      <xdr:colOff>885190</xdr:colOff>
      <xdr:row>4119</xdr:row>
      <xdr:rowOff>1209040</xdr:rowOff>
    </xdr:to>
    <xdr:pic>
      <xdr:nvPicPr>
        <xdr:cNvPr id="7456" name="Изображение 7455" descr="resizeПП-00263261"/>
        <xdr:cNvPicPr>
          <a:picLocks noChangeAspect="1"/>
        </xdr:cNvPicPr>
      </xdr:nvPicPr>
      <xdr:blipFill>
        <a:blip xmlns:r="http://schemas.openxmlformats.org/officeDocument/2006/relationships" r:embed="rId3152"/>
        <a:stretch>
          <a:fillRect/>
        </a:stretch>
      </xdr:blipFill>
      <xdr:spPr>
        <a:xfrm>
          <a:off x="7264400" y="4106678350"/>
          <a:ext cx="878840" cy="1183640"/>
        </a:xfrm>
        <a:prstGeom prst="rect">
          <a:avLst/>
        </a:prstGeom>
      </xdr:spPr>
    </xdr:pic>
    <xdr:clientData/>
  </xdr:twoCellAnchor>
  <xdr:twoCellAnchor>
    <xdr:from>
      <xdr:col>8</xdr:col>
      <xdr:colOff>6350</xdr:colOff>
      <xdr:row>4122</xdr:row>
      <xdr:rowOff>25400</xdr:rowOff>
    </xdr:from>
    <xdr:to>
      <xdr:col>8</xdr:col>
      <xdr:colOff>885190</xdr:colOff>
      <xdr:row>4122</xdr:row>
      <xdr:rowOff>1209040</xdr:rowOff>
    </xdr:to>
    <xdr:pic>
      <xdr:nvPicPr>
        <xdr:cNvPr id="7457" name="Изображение 7456" descr="resizeПП-00279606"/>
        <xdr:cNvPicPr>
          <a:picLocks noChangeAspect="1"/>
        </xdr:cNvPicPr>
      </xdr:nvPicPr>
      <xdr:blipFill>
        <a:blip xmlns:r="http://schemas.openxmlformats.org/officeDocument/2006/relationships" r:embed="rId3153"/>
        <a:stretch>
          <a:fillRect/>
        </a:stretch>
      </xdr:blipFill>
      <xdr:spPr>
        <a:xfrm>
          <a:off x="7264400" y="4108205525"/>
          <a:ext cx="878840" cy="1183640"/>
        </a:xfrm>
        <a:prstGeom prst="rect">
          <a:avLst/>
        </a:prstGeom>
      </xdr:spPr>
    </xdr:pic>
    <xdr:clientData/>
  </xdr:twoCellAnchor>
  <xdr:twoCellAnchor>
    <xdr:from>
      <xdr:col>8</xdr:col>
      <xdr:colOff>6350</xdr:colOff>
      <xdr:row>4123</xdr:row>
      <xdr:rowOff>25400</xdr:rowOff>
    </xdr:from>
    <xdr:to>
      <xdr:col>8</xdr:col>
      <xdr:colOff>885190</xdr:colOff>
      <xdr:row>4123</xdr:row>
      <xdr:rowOff>1209040</xdr:rowOff>
    </xdr:to>
    <xdr:pic>
      <xdr:nvPicPr>
        <xdr:cNvPr id="7458" name="Изображение 7457" descr="resizeПП-00279608"/>
        <xdr:cNvPicPr>
          <a:picLocks noChangeAspect="1"/>
        </xdr:cNvPicPr>
      </xdr:nvPicPr>
      <xdr:blipFill>
        <a:blip xmlns:r="http://schemas.openxmlformats.org/officeDocument/2006/relationships" r:embed="rId3154"/>
        <a:stretch>
          <a:fillRect/>
        </a:stretch>
      </xdr:blipFill>
      <xdr:spPr>
        <a:xfrm>
          <a:off x="7264400" y="4109427900"/>
          <a:ext cx="878840" cy="1183640"/>
        </a:xfrm>
        <a:prstGeom prst="rect">
          <a:avLst/>
        </a:prstGeom>
      </xdr:spPr>
    </xdr:pic>
    <xdr:clientData/>
  </xdr:twoCellAnchor>
  <xdr:twoCellAnchor>
    <xdr:from>
      <xdr:col>8</xdr:col>
      <xdr:colOff>6350</xdr:colOff>
      <xdr:row>4126</xdr:row>
      <xdr:rowOff>25400</xdr:rowOff>
    </xdr:from>
    <xdr:to>
      <xdr:col>8</xdr:col>
      <xdr:colOff>885190</xdr:colOff>
      <xdr:row>4126</xdr:row>
      <xdr:rowOff>1209040</xdr:rowOff>
    </xdr:to>
    <xdr:pic>
      <xdr:nvPicPr>
        <xdr:cNvPr id="7459" name="Изображение 7458" descr="resizeПП-00262880"/>
        <xdr:cNvPicPr>
          <a:picLocks noChangeAspect="1"/>
        </xdr:cNvPicPr>
      </xdr:nvPicPr>
      <xdr:blipFill>
        <a:blip xmlns:r="http://schemas.openxmlformats.org/officeDocument/2006/relationships" r:embed="rId3155"/>
        <a:stretch>
          <a:fillRect/>
        </a:stretch>
      </xdr:blipFill>
      <xdr:spPr>
        <a:xfrm>
          <a:off x="7264400" y="4110955075"/>
          <a:ext cx="878840" cy="1183640"/>
        </a:xfrm>
        <a:prstGeom prst="rect">
          <a:avLst/>
        </a:prstGeom>
      </xdr:spPr>
    </xdr:pic>
    <xdr:clientData/>
  </xdr:twoCellAnchor>
  <xdr:twoCellAnchor>
    <xdr:from>
      <xdr:col>8</xdr:col>
      <xdr:colOff>6350</xdr:colOff>
      <xdr:row>4127</xdr:row>
      <xdr:rowOff>25400</xdr:rowOff>
    </xdr:from>
    <xdr:to>
      <xdr:col>8</xdr:col>
      <xdr:colOff>885190</xdr:colOff>
      <xdr:row>4127</xdr:row>
      <xdr:rowOff>1209040</xdr:rowOff>
    </xdr:to>
    <xdr:pic>
      <xdr:nvPicPr>
        <xdr:cNvPr id="7460" name="Изображение 7459" descr="resizeПП-00262876"/>
        <xdr:cNvPicPr>
          <a:picLocks noChangeAspect="1"/>
        </xdr:cNvPicPr>
      </xdr:nvPicPr>
      <xdr:blipFill>
        <a:blip xmlns:r="http://schemas.openxmlformats.org/officeDocument/2006/relationships" r:embed="rId3156"/>
        <a:stretch>
          <a:fillRect/>
        </a:stretch>
      </xdr:blipFill>
      <xdr:spPr>
        <a:xfrm>
          <a:off x="7264400" y="4112177450"/>
          <a:ext cx="878840" cy="1183640"/>
        </a:xfrm>
        <a:prstGeom prst="rect">
          <a:avLst/>
        </a:prstGeom>
      </xdr:spPr>
    </xdr:pic>
    <xdr:clientData/>
  </xdr:twoCellAnchor>
  <xdr:twoCellAnchor>
    <xdr:from>
      <xdr:col>8</xdr:col>
      <xdr:colOff>6350</xdr:colOff>
      <xdr:row>4128</xdr:row>
      <xdr:rowOff>25400</xdr:rowOff>
    </xdr:from>
    <xdr:to>
      <xdr:col>8</xdr:col>
      <xdr:colOff>885190</xdr:colOff>
      <xdr:row>4128</xdr:row>
      <xdr:rowOff>1209040</xdr:rowOff>
    </xdr:to>
    <xdr:pic>
      <xdr:nvPicPr>
        <xdr:cNvPr id="7461" name="Изображение 7460" descr="resizeПП-00262874"/>
        <xdr:cNvPicPr>
          <a:picLocks noChangeAspect="1"/>
        </xdr:cNvPicPr>
      </xdr:nvPicPr>
      <xdr:blipFill>
        <a:blip xmlns:r="http://schemas.openxmlformats.org/officeDocument/2006/relationships" r:embed="rId3157"/>
        <a:stretch>
          <a:fillRect/>
        </a:stretch>
      </xdr:blipFill>
      <xdr:spPr>
        <a:xfrm>
          <a:off x="7264400" y="4113399825"/>
          <a:ext cx="878840" cy="1183640"/>
        </a:xfrm>
        <a:prstGeom prst="rect">
          <a:avLst/>
        </a:prstGeom>
      </xdr:spPr>
    </xdr:pic>
    <xdr:clientData/>
  </xdr:twoCellAnchor>
  <xdr:twoCellAnchor>
    <xdr:from>
      <xdr:col>8</xdr:col>
      <xdr:colOff>6350</xdr:colOff>
      <xdr:row>4129</xdr:row>
      <xdr:rowOff>25400</xdr:rowOff>
    </xdr:from>
    <xdr:to>
      <xdr:col>8</xdr:col>
      <xdr:colOff>885190</xdr:colOff>
      <xdr:row>4129</xdr:row>
      <xdr:rowOff>1209040</xdr:rowOff>
    </xdr:to>
    <xdr:pic>
      <xdr:nvPicPr>
        <xdr:cNvPr id="7462" name="Изображение 7461" descr="resizeПП-00262873"/>
        <xdr:cNvPicPr>
          <a:picLocks noChangeAspect="1"/>
        </xdr:cNvPicPr>
      </xdr:nvPicPr>
      <xdr:blipFill>
        <a:blip xmlns:r="http://schemas.openxmlformats.org/officeDocument/2006/relationships" r:embed="rId3158"/>
        <a:stretch>
          <a:fillRect/>
        </a:stretch>
      </xdr:blipFill>
      <xdr:spPr>
        <a:xfrm>
          <a:off x="7264400" y="4114622200"/>
          <a:ext cx="878840" cy="1183640"/>
        </a:xfrm>
        <a:prstGeom prst="rect">
          <a:avLst/>
        </a:prstGeom>
      </xdr:spPr>
    </xdr:pic>
    <xdr:clientData/>
  </xdr:twoCellAnchor>
  <xdr:twoCellAnchor>
    <xdr:from>
      <xdr:col>8</xdr:col>
      <xdr:colOff>6350</xdr:colOff>
      <xdr:row>4130</xdr:row>
      <xdr:rowOff>25400</xdr:rowOff>
    </xdr:from>
    <xdr:to>
      <xdr:col>8</xdr:col>
      <xdr:colOff>885190</xdr:colOff>
      <xdr:row>4130</xdr:row>
      <xdr:rowOff>1209040</xdr:rowOff>
    </xdr:to>
    <xdr:pic>
      <xdr:nvPicPr>
        <xdr:cNvPr id="7463" name="Изображение 7462" descr="resizeПП-00243325"/>
        <xdr:cNvPicPr>
          <a:picLocks noChangeAspect="1"/>
        </xdr:cNvPicPr>
      </xdr:nvPicPr>
      <xdr:blipFill>
        <a:blip xmlns:r="http://schemas.openxmlformats.org/officeDocument/2006/relationships" r:embed="rId3159"/>
        <a:stretch>
          <a:fillRect/>
        </a:stretch>
      </xdr:blipFill>
      <xdr:spPr>
        <a:xfrm>
          <a:off x="7264400" y="4115844575"/>
          <a:ext cx="878840" cy="1183640"/>
        </a:xfrm>
        <a:prstGeom prst="rect">
          <a:avLst/>
        </a:prstGeom>
      </xdr:spPr>
    </xdr:pic>
    <xdr:clientData/>
  </xdr:twoCellAnchor>
  <xdr:twoCellAnchor>
    <xdr:from>
      <xdr:col>8</xdr:col>
      <xdr:colOff>6350</xdr:colOff>
      <xdr:row>4132</xdr:row>
      <xdr:rowOff>25400</xdr:rowOff>
    </xdr:from>
    <xdr:to>
      <xdr:col>8</xdr:col>
      <xdr:colOff>885190</xdr:colOff>
      <xdr:row>4132</xdr:row>
      <xdr:rowOff>1209040</xdr:rowOff>
    </xdr:to>
    <xdr:pic>
      <xdr:nvPicPr>
        <xdr:cNvPr id="7464" name="Изображение 7463" descr="resizeПП-00263219"/>
        <xdr:cNvPicPr>
          <a:picLocks noChangeAspect="1"/>
        </xdr:cNvPicPr>
      </xdr:nvPicPr>
      <xdr:blipFill>
        <a:blip xmlns:r="http://schemas.openxmlformats.org/officeDocument/2006/relationships" r:embed="rId3160"/>
        <a:stretch>
          <a:fillRect/>
        </a:stretch>
      </xdr:blipFill>
      <xdr:spPr>
        <a:xfrm>
          <a:off x="7264400" y="4117219350"/>
          <a:ext cx="878840" cy="1183640"/>
        </a:xfrm>
        <a:prstGeom prst="rect">
          <a:avLst/>
        </a:prstGeom>
      </xdr:spPr>
    </xdr:pic>
    <xdr:clientData/>
  </xdr:twoCellAnchor>
  <xdr:twoCellAnchor>
    <xdr:from>
      <xdr:col>8</xdr:col>
      <xdr:colOff>6350</xdr:colOff>
      <xdr:row>4133</xdr:row>
      <xdr:rowOff>25400</xdr:rowOff>
    </xdr:from>
    <xdr:to>
      <xdr:col>8</xdr:col>
      <xdr:colOff>885190</xdr:colOff>
      <xdr:row>4133</xdr:row>
      <xdr:rowOff>1209040</xdr:rowOff>
    </xdr:to>
    <xdr:pic>
      <xdr:nvPicPr>
        <xdr:cNvPr id="7465" name="Изображение 7464" descr="resizeПП-00263221"/>
        <xdr:cNvPicPr>
          <a:picLocks noChangeAspect="1"/>
        </xdr:cNvPicPr>
      </xdr:nvPicPr>
      <xdr:blipFill>
        <a:blip xmlns:r="http://schemas.openxmlformats.org/officeDocument/2006/relationships" r:embed="rId3161"/>
        <a:stretch>
          <a:fillRect/>
        </a:stretch>
      </xdr:blipFill>
      <xdr:spPr>
        <a:xfrm>
          <a:off x="7264400" y="4118441725"/>
          <a:ext cx="878840" cy="1183640"/>
        </a:xfrm>
        <a:prstGeom prst="rect">
          <a:avLst/>
        </a:prstGeom>
      </xdr:spPr>
    </xdr:pic>
    <xdr:clientData/>
  </xdr:twoCellAnchor>
  <xdr:twoCellAnchor>
    <xdr:from>
      <xdr:col>8</xdr:col>
      <xdr:colOff>6350</xdr:colOff>
      <xdr:row>4134</xdr:row>
      <xdr:rowOff>25400</xdr:rowOff>
    </xdr:from>
    <xdr:to>
      <xdr:col>8</xdr:col>
      <xdr:colOff>885190</xdr:colOff>
      <xdr:row>4134</xdr:row>
      <xdr:rowOff>1209040</xdr:rowOff>
    </xdr:to>
    <xdr:pic>
      <xdr:nvPicPr>
        <xdr:cNvPr id="7466" name="Изображение 7465" descr="resizeПП-00263220"/>
        <xdr:cNvPicPr>
          <a:picLocks noChangeAspect="1"/>
        </xdr:cNvPicPr>
      </xdr:nvPicPr>
      <xdr:blipFill>
        <a:blip xmlns:r="http://schemas.openxmlformats.org/officeDocument/2006/relationships" r:embed="rId3162"/>
        <a:stretch>
          <a:fillRect/>
        </a:stretch>
      </xdr:blipFill>
      <xdr:spPr>
        <a:xfrm>
          <a:off x="7264400" y="4119664100"/>
          <a:ext cx="878840" cy="1183640"/>
        </a:xfrm>
        <a:prstGeom prst="rect">
          <a:avLst/>
        </a:prstGeom>
      </xdr:spPr>
    </xdr:pic>
    <xdr:clientData/>
  </xdr:twoCellAnchor>
  <xdr:twoCellAnchor>
    <xdr:from>
      <xdr:col>8</xdr:col>
      <xdr:colOff>6350</xdr:colOff>
      <xdr:row>4135</xdr:row>
      <xdr:rowOff>25400</xdr:rowOff>
    </xdr:from>
    <xdr:to>
      <xdr:col>8</xdr:col>
      <xdr:colOff>885190</xdr:colOff>
      <xdr:row>4135</xdr:row>
      <xdr:rowOff>1209040</xdr:rowOff>
    </xdr:to>
    <xdr:pic>
      <xdr:nvPicPr>
        <xdr:cNvPr id="7467" name="Изображение 7466" descr="resizeПП-00263218"/>
        <xdr:cNvPicPr>
          <a:picLocks noChangeAspect="1"/>
        </xdr:cNvPicPr>
      </xdr:nvPicPr>
      <xdr:blipFill>
        <a:blip xmlns:r="http://schemas.openxmlformats.org/officeDocument/2006/relationships" r:embed="rId3163"/>
        <a:stretch>
          <a:fillRect/>
        </a:stretch>
      </xdr:blipFill>
      <xdr:spPr>
        <a:xfrm>
          <a:off x="7264400" y="4120886475"/>
          <a:ext cx="878840" cy="1183640"/>
        </a:xfrm>
        <a:prstGeom prst="rect">
          <a:avLst/>
        </a:prstGeom>
      </xdr:spPr>
    </xdr:pic>
    <xdr:clientData/>
  </xdr:twoCellAnchor>
  <xdr:twoCellAnchor>
    <xdr:from>
      <xdr:col>8</xdr:col>
      <xdr:colOff>6350</xdr:colOff>
      <xdr:row>4139</xdr:row>
      <xdr:rowOff>25400</xdr:rowOff>
    </xdr:from>
    <xdr:to>
      <xdr:col>8</xdr:col>
      <xdr:colOff>885190</xdr:colOff>
      <xdr:row>4139</xdr:row>
      <xdr:rowOff>1209040</xdr:rowOff>
    </xdr:to>
    <xdr:pic>
      <xdr:nvPicPr>
        <xdr:cNvPr id="7468" name="Изображение 7467" descr="resizeПП-00272372"/>
        <xdr:cNvPicPr>
          <a:picLocks noChangeAspect="1"/>
        </xdr:cNvPicPr>
      </xdr:nvPicPr>
      <xdr:blipFill>
        <a:blip xmlns:r="http://schemas.openxmlformats.org/officeDocument/2006/relationships" r:embed="rId3164"/>
        <a:stretch>
          <a:fillRect/>
        </a:stretch>
      </xdr:blipFill>
      <xdr:spPr>
        <a:xfrm>
          <a:off x="7264400" y="4122566050"/>
          <a:ext cx="878840" cy="1183640"/>
        </a:xfrm>
        <a:prstGeom prst="rect">
          <a:avLst/>
        </a:prstGeom>
      </xdr:spPr>
    </xdr:pic>
    <xdr:clientData/>
  </xdr:twoCellAnchor>
  <xdr:twoCellAnchor>
    <xdr:from>
      <xdr:col>8</xdr:col>
      <xdr:colOff>6350</xdr:colOff>
      <xdr:row>4140</xdr:row>
      <xdr:rowOff>25400</xdr:rowOff>
    </xdr:from>
    <xdr:to>
      <xdr:col>8</xdr:col>
      <xdr:colOff>885190</xdr:colOff>
      <xdr:row>4140</xdr:row>
      <xdr:rowOff>1209040</xdr:rowOff>
    </xdr:to>
    <xdr:pic>
      <xdr:nvPicPr>
        <xdr:cNvPr id="7469" name="Изображение 7468" descr="resizeПП-00272373"/>
        <xdr:cNvPicPr>
          <a:picLocks noChangeAspect="1"/>
        </xdr:cNvPicPr>
      </xdr:nvPicPr>
      <xdr:blipFill>
        <a:blip xmlns:r="http://schemas.openxmlformats.org/officeDocument/2006/relationships" r:embed="rId3165"/>
        <a:stretch>
          <a:fillRect/>
        </a:stretch>
      </xdr:blipFill>
      <xdr:spPr>
        <a:xfrm>
          <a:off x="7264400" y="4123788425"/>
          <a:ext cx="878840" cy="1183640"/>
        </a:xfrm>
        <a:prstGeom prst="rect">
          <a:avLst/>
        </a:prstGeom>
      </xdr:spPr>
    </xdr:pic>
    <xdr:clientData/>
  </xdr:twoCellAnchor>
  <xdr:twoCellAnchor>
    <xdr:from>
      <xdr:col>8</xdr:col>
      <xdr:colOff>6350</xdr:colOff>
      <xdr:row>4141</xdr:row>
      <xdr:rowOff>25400</xdr:rowOff>
    </xdr:from>
    <xdr:to>
      <xdr:col>8</xdr:col>
      <xdr:colOff>885190</xdr:colOff>
      <xdr:row>4141</xdr:row>
      <xdr:rowOff>1209040</xdr:rowOff>
    </xdr:to>
    <xdr:pic>
      <xdr:nvPicPr>
        <xdr:cNvPr id="7470" name="Изображение 7469" descr="resizeПП-00272375"/>
        <xdr:cNvPicPr>
          <a:picLocks noChangeAspect="1"/>
        </xdr:cNvPicPr>
      </xdr:nvPicPr>
      <xdr:blipFill>
        <a:blip xmlns:r="http://schemas.openxmlformats.org/officeDocument/2006/relationships" r:embed="rId3166"/>
        <a:stretch>
          <a:fillRect/>
        </a:stretch>
      </xdr:blipFill>
      <xdr:spPr>
        <a:xfrm>
          <a:off x="7264400" y="4125010800"/>
          <a:ext cx="878840" cy="1183640"/>
        </a:xfrm>
        <a:prstGeom prst="rect">
          <a:avLst/>
        </a:prstGeom>
      </xdr:spPr>
    </xdr:pic>
    <xdr:clientData/>
  </xdr:twoCellAnchor>
  <xdr:twoCellAnchor>
    <xdr:from>
      <xdr:col>8</xdr:col>
      <xdr:colOff>6350</xdr:colOff>
      <xdr:row>4142</xdr:row>
      <xdr:rowOff>25400</xdr:rowOff>
    </xdr:from>
    <xdr:to>
      <xdr:col>8</xdr:col>
      <xdr:colOff>885190</xdr:colOff>
      <xdr:row>4142</xdr:row>
      <xdr:rowOff>1209040</xdr:rowOff>
    </xdr:to>
    <xdr:pic>
      <xdr:nvPicPr>
        <xdr:cNvPr id="7471" name="Изображение 7470" descr="resizeПП-00272374"/>
        <xdr:cNvPicPr>
          <a:picLocks noChangeAspect="1"/>
        </xdr:cNvPicPr>
      </xdr:nvPicPr>
      <xdr:blipFill>
        <a:blip xmlns:r="http://schemas.openxmlformats.org/officeDocument/2006/relationships" r:embed="rId3167"/>
        <a:stretch>
          <a:fillRect/>
        </a:stretch>
      </xdr:blipFill>
      <xdr:spPr>
        <a:xfrm>
          <a:off x="7264400" y="4126233175"/>
          <a:ext cx="878840" cy="1183640"/>
        </a:xfrm>
        <a:prstGeom prst="rect">
          <a:avLst/>
        </a:prstGeom>
      </xdr:spPr>
    </xdr:pic>
    <xdr:clientData/>
  </xdr:twoCellAnchor>
  <xdr:twoCellAnchor>
    <xdr:from>
      <xdr:col>8</xdr:col>
      <xdr:colOff>6350</xdr:colOff>
      <xdr:row>4144</xdr:row>
      <xdr:rowOff>25400</xdr:rowOff>
    </xdr:from>
    <xdr:to>
      <xdr:col>8</xdr:col>
      <xdr:colOff>885190</xdr:colOff>
      <xdr:row>4144</xdr:row>
      <xdr:rowOff>1209040</xdr:rowOff>
    </xdr:to>
    <xdr:pic>
      <xdr:nvPicPr>
        <xdr:cNvPr id="7472" name="Изображение 7471" descr="resizeПП-00258153"/>
        <xdr:cNvPicPr>
          <a:picLocks noChangeAspect="1"/>
        </xdr:cNvPicPr>
      </xdr:nvPicPr>
      <xdr:blipFill>
        <a:blip xmlns:r="http://schemas.openxmlformats.org/officeDocument/2006/relationships" r:embed="rId3168"/>
        <a:stretch>
          <a:fillRect/>
        </a:stretch>
      </xdr:blipFill>
      <xdr:spPr>
        <a:xfrm>
          <a:off x="7264400" y="4127607950"/>
          <a:ext cx="878840" cy="1183640"/>
        </a:xfrm>
        <a:prstGeom prst="rect">
          <a:avLst/>
        </a:prstGeom>
      </xdr:spPr>
    </xdr:pic>
    <xdr:clientData/>
  </xdr:twoCellAnchor>
  <xdr:twoCellAnchor>
    <xdr:from>
      <xdr:col>8</xdr:col>
      <xdr:colOff>6350</xdr:colOff>
      <xdr:row>4145</xdr:row>
      <xdr:rowOff>25400</xdr:rowOff>
    </xdr:from>
    <xdr:to>
      <xdr:col>8</xdr:col>
      <xdr:colOff>885190</xdr:colOff>
      <xdr:row>4145</xdr:row>
      <xdr:rowOff>1209040</xdr:rowOff>
    </xdr:to>
    <xdr:pic>
      <xdr:nvPicPr>
        <xdr:cNvPr id="7473" name="Изображение 7472" descr="resizeПП-00258156"/>
        <xdr:cNvPicPr>
          <a:picLocks noChangeAspect="1"/>
        </xdr:cNvPicPr>
      </xdr:nvPicPr>
      <xdr:blipFill>
        <a:blip xmlns:r="http://schemas.openxmlformats.org/officeDocument/2006/relationships" r:embed="rId3169"/>
        <a:stretch>
          <a:fillRect/>
        </a:stretch>
      </xdr:blipFill>
      <xdr:spPr>
        <a:xfrm>
          <a:off x="7264400" y="4128830325"/>
          <a:ext cx="878840" cy="1183640"/>
        </a:xfrm>
        <a:prstGeom prst="rect">
          <a:avLst/>
        </a:prstGeom>
      </xdr:spPr>
    </xdr:pic>
    <xdr:clientData/>
  </xdr:twoCellAnchor>
  <xdr:twoCellAnchor>
    <xdr:from>
      <xdr:col>8</xdr:col>
      <xdr:colOff>6350</xdr:colOff>
      <xdr:row>4147</xdr:row>
      <xdr:rowOff>25400</xdr:rowOff>
    </xdr:from>
    <xdr:to>
      <xdr:col>8</xdr:col>
      <xdr:colOff>885190</xdr:colOff>
      <xdr:row>4147</xdr:row>
      <xdr:rowOff>1209040</xdr:rowOff>
    </xdr:to>
    <xdr:pic>
      <xdr:nvPicPr>
        <xdr:cNvPr id="7474" name="Изображение 7473" descr="resizeПП-00261788"/>
        <xdr:cNvPicPr>
          <a:picLocks noChangeAspect="1"/>
        </xdr:cNvPicPr>
      </xdr:nvPicPr>
      <xdr:blipFill>
        <a:blip xmlns:r="http://schemas.openxmlformats.org/officeDocument/2006/relationships" r:embed="rId3170"/>
        <a:stretch>
          <a:fillRect/>
        </a:stretch>
      </xdr:blipFill>
      <xdr:spPr>
        <a:xfrm>
          <a:off x="7264400" y="4130205100"/>
          <a:ext cx="878840" cy="1183640"/>
        </a:xfrm>
        <a:prstGeom prst="rect">
          <a:avLst/>
        </a:prstGeom>
      </xdr:spPr>
    </xdr:pic>
    <xdr:clientData/>
  </xdr:twoCellAnchor>
  <xdr:twoCellAnchor>
    <xdr:from>
      <xdr:col>8</xdr:col>
      <xdr:colOff>6350</xdr:colOff>
      <xdr:row>4148</xdr:row>
      <xdr:rowOff>25400</xdr:rowOff>
    </xdr:from>
    <xdr:to>
      <xdr:col>8</xdr:col>
      <xdr:colOff>885190</xdr:colOff>
      <xdr:row>4148</xdr:row>
      <xdr:rowOff>1209040</xdr:rowOff>
    </xdr:to>
    <xdr:pic>
      <xdr:nvPicPr>
        <xdr:cNvPr id="7475" name="Изображение 7474" descr="resizeПП-00261789"/>
        <xdr:cNvPicPr>
          <a:picLocks noChangeAspect="1"/>
        </xdr:cNvPicPr>
      </xdr:nvPicPr>
      <xdr:blipFill>
        <a:blip xmlns:r="http://schemas.openxmlformats.org/officeDocument/2006/relationships" r:embed="rId3171"/>
        <a:stretch>
          <a:fillRect/>
        </a:stretch>
      </xdr:blipFill>
      <xdr:spPr>
        <a:xfrm>
          <a:off x="7264400" y="4131427475"/>
          <a:ext cx="878840" cy="1183640"/>
        </a:xfrm>
        <a:prstGeom prst="rect">
          <a:avLst/>
        </a:prstGeom>
      </xdr:spPr>
    </xdr:pic>
    <xdr:clientData/>
  </xdr:twoCellAnchor>
  <xdr:twoCellAnchor>
    <xdr:from>
      <xdr:col>8</xdr:col>
      <xdr:colOff>6350</xdr:colOff>
      <xdr:row>4149</xdr:row>
      <xdr:rowOff>25400</xdr:rowOff>
    </xdr:from>
    <xdr:to>
      <xdr:col>8</xdr:col>
      <xdr:colOff>885190</xdr:colOff>
      <xdr:row>4149</xdr:row>
      <xdr:rowOff>1209040</xdr:rowOff>
    </xdr:to>
    <xdr:pic>
      <xdr:nvPicPr>
        <xdr:cNvPr id="7476" name="Изображение 7475" descr="resizeПП-00261793"/>
        <xdr:cNvPicPr>
          <a:picLocks noChangeAspect="1"/>
        </xdr:cNvPicPr>
      </xdr:nvPicPr>
      <xdr:blipFill>
        <a:blip xmlns:r="http://schemas.openxmlformats.org/officeDocument/2006/relationships" r:embed="rId3172"/>
        <a:stretch>
          <a:fillRect/>
        </a:stretch>
      </xdr:blipFill>
      <xdr:spPr>
        <a:xfrm>
          <a:off x="7264400" y="4132649850"/>
          <a:ext cx="878840" cy="1183640"/>
        </a:xfrm>
        <a:prstGeom prst="rect">
          <a:avLst/>
        </a:prstGeom>
      </xdr:spPr>
    </xdr:pic>
    <xdr:clientData/>
  </xdr:twoCellAnchor>
  <xdr:twoCellAnchor>
    <xdr:from>
      <xdr:col>8</xdr:col>
      <xdr:colOff>6350</xdr:colOff>
      <xdr:row>4150</xdr:row>
      <xdr:rowOff>25400</xdr:rowOff>
    </xdr:from>
    <xdr:to>
      <xdr:col>8</xdr:col>
      <xdr:colOff>885190</xdr:colOff>
      <xdr:row>4150</xdr:row>
      <xdr:rowOff>1209040</xdr:rowOff>
    </xdr:to>
    <xdr:pic>
      <xdr:nvPicPr>
        <xdr:cNvPr id="7477" name="Изображение 7476" descr="resizeПП-00261791"/>
        <xdr:cNvPicPr>
          <a:picLocks noChangeAspect="1"/>
        </xdr:cNvPicPr>
      </xdr:nvPicPr>
      <xdr:blipFill>
        <a:blip xmlns:r="http://schemas.openxmlformats.org/officeDocument/2006/relationships" r:embed="rId3173"/>
        <a:stretch>
          <a:fillRect/>
        </a:stretch>
      </xdr:blipFill>
      <xdr:spPr>
        <a:xfrm>
          <a:off x="7264400" y="4133872225"/>
          <a:ext cx="878840" cy="1183640"/>
        </a:xfrm>
        <a:prstGeom prst="rect">
          <a:avLst/>
        </a:prstGeom>
      </xdr:spPr>
    </xdr:pic>
    <xdr:clientData/>
  </xdr:twoCellAnchor>
  <xdr:twoCellAnchor>
    <xdr:from>
      <xdr:col>8</xdr:col>
      <xdr:colOff>6350</xdr:colOff>
      <xdr:row>4153</xdr:row>
      <xdr:rowOff>25400</xdr:rowOff>
    </xdr:from>
    <xdr:to>
      <xdr:col>8</xdr:col>
      <xdr:colOff>885190</xdr:colOff>
      <xdr:row>4153</xdr:row>
      <xdr:rowOff>1209040</xdr:rowOff>
    </xdr:to>
    <xdr:pic>
      <xdr:nvPicPr>
        <xdr:cNvPr id="7478" name="Изображение 7477" descr="resizeПП-00261770"/>
        <xdr:cNvPicPr>
          <a:picLocks noChangeAspect="1"/>
        </xdr:cNvPicPr>
      </xdr:nvPicPr>
      <xdr:blipFill>
        <a:blip xmlns:r="http://schemas.openxmlformats.org/officeDocument/2006/relationships" r:embed="rId3174"/>
        <a:stretch>
          <a:fillRect/>
        </a:stretch>
      </xdr:blipFill>
      <xdr:spPr>
        <a:xfrm>
          <a:off x="7264400" y="4135399400"/>
          <a:ext cx="878840" cy="1183640"/>
        </a:xfrm>
        <a:prstGeom prst="rect">
          <a:avLst/>
        </a:prstGeom>
      </xdr:spPr>
    </xdr:pic>
    <xdr:clientData/>
  </xdr:twoCellAnchor>
  <xdr:twoCellAnchor>
    <xdr:from>
      <xdr:col>8</xdr:col>
      <xdr:colOff>6350</xdr:colOff>
      <xdr:row>4154</xdr:row>
      <xdr:rowOff>25400</xdr:rowOff>
    </xdr:from>
    <xdr:to>
      <xdr:col>8</xdr:col>
      <xdr:colOff>885190</xdr:colOff>
      <xdr:row>4154</xdr:row>
      <xdr:rowOff>1209040</xdr:rowOff>
    </xdr:to>
    <xdr:pic>
      <xdr:nvPicPr>
        <xdr:cNvPr id="7479" name="Изображение 7478" descr="resizeПП-00261772"/>
        <xdr:cNvPicPr>
          <a:picLocks noChangeAspect="1"/>
        </xdr:cNvPicPr>
      </xdr:nvPicPr>
      <xdr:blipFill>
        <a:blip xmlns:r="http://schemas.openxmlformats.org/officeDocument/2006/relationships" r:embed="rId3175"/>
        <a:stretch>
          <a:fillRect/>
        </a:stretch>
      </xdr:blipFill>
      <xdr:spPr>
        <a:xfrm>
          <a:off x="7264400" y="4136621775"/>
          <a:ext cx="878840" cy="1183640"/>
        </a:xfrm>
        <a:prstGeom prst="rect">
          <a:avLst/>
        </a:prstGeom>
      </xdr:spPr>
    </xdr:pic>
    <xdr:clientData/>
  </xdr:twoCellAnchor>
  <xdr:twoCellAnchor>
    <xdr:from>
      <xdr:col>8</xdr:col>
      <xdr:colOff>6350</xdr:colOff>
      <xdr:row>4155</xdr:row>
      <xdr:rowOff>25400</xdr:rowOff>
    </xdr:from>
    <xdr:to>
      <xdr:col>8</xdr:col>
      <xdr:colOff>885190</xdr:colOff>
      <xdr:row>4155</xdr:row>
      <xdr:rowOff>1209040</xdr:rowOff>
    </xdr:to>
    <xdr:pic>
      <xdr:nvPicPr>
        <xdr:cNvPr id="7480" name="Изображение 7479" descr="resizeПП-00261771"/>
        <xdr:cNvPicPr>
          <a:picLocks noChangeAspect="1"/>
        </xdr:cNvPicPr>
      </xdr:nvPicPr>
      <xdr:blipFill>
        <a:blip xmlns:r="http://schemas.openxmlformats.org/officeDocument/2006/relationships" r:embed="rId3176"/>
        <a:stretch>
          <a:fillRect/>
        </a:stretch>
      </xdr:blipFill>
      <xdr:spPr>
        <a:xfrm>
          <a:off x="7264400" y="4137844150"/>
          <a:ext cx="878840" cy="1183640"/>
        </a:xfrm>
        <a:prstGeom prst="rect">
          <a:avLst/>
        </a:prstGeom>
      </xdr:spPr>
    </xdr:pic>
    <xdr:clientData/>
  </xdr:twoCellAnchor>
  <xdr:twoCellAnchor>
    <xdr:from>
      <xdr:col>8</xdr:col>
      <xdr:colOff>6350</xdr:colOff>
      <xdr:row>4157</xdr:row>
      <xdr:rowOff>25400</xdr:rowOff>
    </xdr:from>
    <xdr:to>
      <xdr:col>8</xdr:col>
      <xdr:colOff>885190</xdr:colOff>
      <xdr:row>4157</xdr:row>
      <xdr:rowOff>1209040</xdr:rowOff>
    </xdr:to>
    <xdr:pic>
      <xdr:nvPicPr>
        <xdr:cNvPr id="7481" name="Изображение 7480" descr="resizeПП-00272388"/>
        <xdr:cNvPicPr>
          <a:picLocks noChangeAspect="1"/>
        </xdr:cNvPicPr>
      </xdr:nvPicPr>
      <xdr:blipFill>
        <a:blip xmlns:r="http://schemas.openxmlformats.org/officeDocument/2006/relationships" r:embed="rId3133"/>
        <a:stretch>
          <a:fillRect/>
        </a:stretch>
      </xdr:blipFill>
      <xdr:spPr>
        <a:xfrm>
          <a:off x="7264400" y="4139218925"/>
          <a:ext cx="878840" cy="1183640"/>
        </a:xfrm>
        <a:prstGeom prst="rect">
          <a:avLst/>
        </a:prstGeom>
      </xdr:spPr>
    </xdr:pic>
    <xdr:clientData/>
  </xdr:twoCellAnchor>
  <xdr:twoCellAnchor>
    <xdr:from>
      <xdr:col>8</xdr:col>
      <xdr:colOff>6350</xdr:colOff>
      <xdr:row>4158</xdr:row>
      <xdr:rowOff>25400</xdr:rowOff>
    </xdr:from>
    <xdr:to>
      <xdr:col>8</xdr:col>
      <xdr:colOff>885190</xdr:colOff>
      <xdr:row>4158</xdr:row>
      <xdr:rowOff>1209040</xdr:rowOff>
    </xdr:to>
    <xdr:pic>
      <xdr:nvPicPr>
        <xdr:cNvPr id="7482" name="Изображение 7481" descr="resizeПП-00272389"/>
        <xdr:cNvPicPr>
          <a:picLocks noChangeAspect="1"/>
        </xdr:cNvPicPr>
      </xdr:nvPicPr>
      <xdr:blipFill>
        <a:blip xmlns:r="http://schemas.openxmlformats.org/officeDocument/2006/relationships" r:embed="rId3132"/>
        <a:stretch>
          <a:fillRect/>
        </a:stretch>
      </xdr:blipFill>
      <xdr:spPr>
        <a:xfrm>
          <a:off x="7264400" y="4140441300"/>
          <a:ext cx="878840" cy="1183640"/>
        </a:xfrm>
        <a:prstGeom prst="rect">
          <a:avLst/>
        </a:prstGeom>
      </xdr:spPr>
    </xdr:pic>
    <xdr:clientData/>
  </xdr:twoCellAnchor>
  <xdr:twoCellAnchor>
    <xdr:from>
      <xdr:col>8</xdr:col>
      <xdr:colOff>6350</xdr:colOff>
      <xdr:row>4159</xdr:row>
      <xdr:rowOff>25400</xdr:rowOff>
    </xdr:from>
    <xdr:to>
      <xdr:col>8</xdr:col>
      <xdr:colOff>885190</xdr:colOff>
      <xdr:row>4159</xdr:row>
      <xdr:rowOff>1209040</xdr:rowOff>
    </xdr:to>
    <xdr:pic>
      <xdr:nvPicPr>
        <xdr:cNvPr id="7483" name="Изображение 7482" descr="resizeПП-00272390"/>
        <xdr:cNvPicPr>
          <a:picLocks noChangeAspect="1"/>
        </xdr:cNvPicPr>
      </xdr:nvPicPr>
      <xdr:blipFill>
        <a:blip xmlns:r="http://schemas.openxmlformats.org/officeDocument/2006/relationships" r:embed="rId3177"/>
        <a:stretch>
          <a:fillRect/>
        </a:stretch>
      </xdr:blipFill>
      <xdr:spPr>
        <a:xfrm>
          <a:off x="7264400" y="4141663675"/>
          <a:ext cx="878840" cy="1183640"/>
        </a:xfrm>
        <a:prstGeom prst="rect">
          <a:avLst/>
        </a:prstGeom>
      </xdr:spPr>
    </xdr:pic>
    <xdr:clientData/>
  </xdr:twoCellAnchor>
  <xdr:twoCellAnchor>
    <xdr:from>
      <xdr:col>8</xdr:col>
      <xdr:colOff>6350</xdr:colOff>
      <xdr:row>4160</xdr:row>
      <xdr:rowOff>25400</xdr:rowOff>
    </xdr:from>
    <xdr:to>
      <xdr:col>8</xdr:col>
      <xdr:colOff>885190</xdr:colOff>
      <xdr:row>4160</xdr:row>
      <xdr:rowOff>1209040</xdr:rowOff>
    </xdr:to>
    <xdr:pic>
      <xdr:nvPicPr>
        <xdr:cNvPr id="7484" name="Изображение 7483" descr="resizeПП-00272386"/>
        <xdr:cNvPicPr>
          <a:picLocks noChangeAspect="1"/>
        </xdr:cNvPicPr>
      </xdr:nvPicPr>
      <xdr:blipFill>
        <a:blip xmlns:r="http://schemas.openxmlformats.org/officeDocument/2006/relationships" r:embed="rId3178"/>
        <a:stretch>
          <a:fillRect/>
        </a:stretch>
      </xdr:blipFill>
      <xdr:spPr>
        <a:xfrm>
          <a:off x="7264400" y="4142886050"/>
          <a:ext cx="878840" cy="1183640"/>
        </a:xfrm>
        <a:prstGeom prst="rect">
          <a:avLst/>
        </a:prstGeom>
      </xdr:spPr>
    </xdr:pic>
    <xdr:clientData/>
  </xdr:twoCellAnchor>
  <xdr:twoCellAnchor>
    <xdr:from>
      <xdr:col>8</xdr:col>
      <xdr:colOff>6350</xdr:colOff>
      <xdr:row>4163</xdr:row>
      <xdr:rowOff>25400</xdr:rowOff>
    </xdr:from>
    <xdr:to>
      <xdr:col>8</xdr:col>
      <xdr:colOff>885190</xdr:colOff>
      <xdr:row>4163</xdr:row>
      <xdr:rowOff>1209040</xdr:rowOff>
    </xdr:to>
    <xdr:pic>
      <xdr:nvPicPr>
        <xdr:cNvPr id="7485" name="Изображение 7484" descr="resizeПП-00252793"/>
        <xdr:cNvPicPr>
          <a:picLocks noChangeAspect="1"/>
        </xdr:cNvPicPr>
      </xdr:nvPicPr>
      <xdr:blipFill>
        <a:blip xmlns:r="http://schemas.openxmlformats.org/officeDocument/2006/relationships" r:embed="rId3179"/>
        <a:stretch>
          <a:fillRect/>
        </a:stretch>
      </xdr:blipFill>
      <xdr:spPr>
        <a:xfrm>
          <a:off x="7264400" y="4144413225"/>
          <a:ext cx="878840" cy="1183640"/>
        </a:xfrm>
        <a:prstGeom prst="rect">
          <a:avLst/>
        </a:prstGeom>
      </xdr:spPr>
    </xdr:pic>
    <xdr:clientData/>
  </xdr:twoCellAnchor>
  <xdr:twoCellAnchor>
    <xdr:from>
      <xdr:col>8</xdr:col>
      <xdr:colOff>6350</xdr:colOff>
      <xdr:row>4164</xdr:row>
      <xdr:rowOff>25400</xdr:rowOff>
    </xdr:from>
    <xdr:to>
      <xdr:col>8</xdr:col>
      <xdr:colOff>885190</xdr:colOff>
      <xdr:row>4164</xdr:row>
      <xdr:rowOff>1209040</xdr:rowOff>
    </xdr:to>
    <xdr:pic>
      <xdr:nvPicPr>
        <xdr:cNvPr id="7486" name="Изображение 7485" descr="resizeПП-00265757"/>
        <xdr:cNvPicPr>
          <a:picLocks noChangeAspect="1"/>
        </xdr:cNvPicPr>
      </xdr:nvPicPr>
      <xdr:blipFill>
        <a:blip xmlns:r="http://schemas.openxmlformats.org/officeDocument/2006/relationships" r:embed="rId3180"/>
        <a:stretch>
          <a:fillRect/>
        </a:stretch>
      </xdr:blipFill>
      <xdr:spPr>
        <a:xfrm>
          <a:off x="7264400" y="4145635600"/>
          <a:ext cx="878840" cy="1183640"/>
        </a:xfrm>
        <a:prstGeom prst="rect">
          <a:avLst/>
        </a:prstGeom>
      </xdr:spPr>
    </xdr:pic>
    <xdr:clientData/>
  </xdr:twoCellAnchor>
  <xdr:twoCellAnchor>
    <xdr:from>
      <xdr:col>8</xdr:col>
      <xdr:colOff>6350</xdr:colOff>
      <xdr:row>4165</xdr:row>
      <xdr:rowOff>25400</xdr:rowOff>
    </xdr:from>
    <xdr:to>
      <xdr:col>8</xdr:col>
      <xdr:colOff>885190</xdr:colOff>
      <xdr:row>4165</xdr:row>
      <xdr:rowOff>1209040</xdr:rowOff>
    </xdr:to>
    <xdr:pic>
      <xdr:nvPicPr>
        <xdr:cNvPr id="7487" name="Изображение 7486" descr="resizeПП-00265755"/>
        <xdr:cNvPicPr>
          <a:picLocks noChangeAspect="1"/>
        </xdr:cNvPicPr>
      </xdr:nvPicPr>
      <xdr:blipFill>
        <a:blip xmlns:r="http://schemas.openxmlformats.org/officeDocument/2006/relationships" r:embed="rId3181"/>
        <a:stretch>
          <a:fillRect/>
        </a:stretch>
      </xdr:blipFill>
      <xdr:spPr>
        <a:xfrm>
          <a:off x="7264400" y="4146857975"/>
          <a:ext cx="878840" cy="1183640"/>
        </a:xfrm>
        <a:prstGeom prst="rect">
          <a:avLst/>
        </a:prstGeom>
      </xdr:spPr>
    </xdr:pic>
    <xdr:clientData/>
  </xdr:twoCellAnchor>
  <xdr:twoCellAnchor>
    <xdr:from>
      <xdr:col>8</xdr:col>
      <xdr:colOff>6350</xdr:colOff>
      <xdr:row>4166</xdr:row>
      <xdr:rowOff>25400</xdr:rowOff>
    </xdr:from>
    <xdr:to>
      <xdr:col>8</xdr:col>
      <xdr:colOff>885190</xdr:colOff>
      <xdr:row>4166</xdr:row>
      <xdr:rowOff>1209040</xdr:rowOff>
    </xdr:to>
    <xdr:pic>
      <xdr:nvPicPr>
        <xdr:cNvPr id="7488" name="Изображение 7487" descr="resizeПП-00265756"/>
        <xdr:cNvPicPr>
          <a:picLocks noChangeAspect="1"/>
        </xdr:cNvPicPr>
      </xdr:nvPicPr>
      <xdr:blipFill>
        <a:blip xmlns:r="http://schemas.openxmlformats.org/officeDocument/2006/relationships" r:embed="rId3182"/>
        <a:stretch>
          <a:fillRect/>
        </a:stretch>
      </xdr:blipFill>
      <xdr:spPr>
        <a:xfrm>
          <a:off x="7264400" y="4148080350"/>
          <a:ext cx="878840" cy="1183640"/>
        </a:xfrm>
        <a:prstGeom prst="rect">
          <a:avLst/>
        </a:prstGeom>
      </xdr:spPr>
    </xdr:pic>
    <xdr:clientData/>
  </xdr:twoCellAnchor>
  <xdr:twoCellAnchor>
    <xdr:from>
      <xdr:col>8</xdr:col>
      <xdr:colOff>6350</xdr:colOff>
      <xdr:row>4167</xdr:row>
      <xdr:rowOff>25400</xdr:rowOff>
    </xdr:from>
    <xdr:to>
      <xdr:col>8</xdr:col>
      <xdr:colOff>885190</xdr:colOff>
      <xdr:row>4167</xdr:row>
      <xdr:rowOff>1209040</xdr:rowOff>
    </xdr:to>
    <xdr:pic>
      <xdr:nvPicPr>
        <xdr:cNvPr id="7489" name="Изображение 7488" descr="resizeПП-00229916"/>
        <xdr:cNvPicPr>
          <a:picLocks noChangeAspect="1"/>
        </xdr:cNvPicPr>
      </xdr:nvPicPr>
      <xdr:blipFill>
        <a:blip xmlns:r="http://schemas.openxmlformats.org/officeDocument/2006/relationships" r:embed="rId3183"/>
        <a:stretch>
          <a:fillRect/>
        </a:stretch>
      </xdr:blipFill>
      <xdr:spPr>
        <a:xfrm>
          <a:off x="7264400" y="4149302725"/>
          <a:ext cx="878840" cy="1183640"/>
        </a:xfrm>
        <a:prstGeom prst="rect">
          <a:avLst/>
        </a:prstGeom>
      </xdr:spPr>
    </xdr:pic>
    <xdr:clientData/>
  </xdr:twoCellAnchor>
  <xdr:twoCellAnchor>
    <xdr:from>
      <xdr:col>8</xdr:col>
      <xdr:colOff>6350</xdr:colOff>
      <xdr:row>4169</xdr:row>
      <xdr:rowOff>25400</xdr:rowOff>
    </xdr:from>
    <xdr:to>
      <xdr:col>8</xdr:col>
      <xdr:colOff>885190</xdr:colOff>
      <xdr:row>4169</xdr:row>
      <xdr:rowOff>1209040</xdr:rowOff>
    </xdr:to>
    <xdr:pic>
      <xdr:nvPicPr>
        <xdr:cNvPr id="7490" name="Изображение 7489" descr="resizeПП-00272392"/>
        <xdr:cNvPicPr>
          <a:picLocks noChangeAspect="1"/>
        </xdr:cNvPicPr>
      </xdr:nvPicPr>
      <xdr:blipFill>
        <a:blip xmlns:r="http://schemas.openxmlformats.org/officeDocument/2006/relationships" r:embed="rId3140"/>
        <a:stretch>
          <a:fillRect/>
        </a:stretch>
      </xdr:blipFill>
      <xdr:spPr>
        <a:xfrm>
          <a:off x="7264400" y="4150677500"/>
          <a:ext cx="878840" cy="1183640"/>
        </a:xfrm>
        <a:prstGeom prst="rect">
          <a:avLst/>
        </a:prstGeom>
      </xdr:spPr>
    </xdr:pic>
    <xdr:clientData/>
  </xdr:twoCellAnchor>
  <xdr:twoCellAnchor>
    <xdr:from>
      <xdr:col>8</xdr:col>
      <xdr:colOff>6350</xdr:colOff>
      <xdr:row>4170</xdr:row>
      <xdr:rowOff>25400</xdr:rowOff>
    </xdr:from>
    <xdr:to>
      <xdr:col>8</xdr:col>
      <xdr:colOff>885190</xdr:colOff>
      <xdr:row>4170</xdr:row>
      <xdr:rowOff>1209040</xdr:rowOff>
    </xdr:to>
    <xdr:pic>
      <xdr:nvPicPr>
        <xdr:cNvPr id="7491" name="Изображение 7490" descr="resizeПП-00272393"/>
        <xdr:cNvPicPr>
          <a:picLocks noChangeAspect="1"/>
        </xdr:cNvPicPr>
      </xdr:nvPicPr>
      <xdr:blipFill>
        <a:blip xmlns:r="http://schemas.openxmlformats.org/officeDocument/2006/relationships" r:embed="rId3142"/>
        <a:stretch>
          <a:fillRect/>
        </a:stretch>
      </xdr:blipFill>
      <xdr:spPr>
        <a:xfrm>
          <a:off x="7264400" y="4151899875"/>
          <a:ext cx="878840" cy="1183640"/>
        </a:xfrm>
        <a:prstGeom prst="rect">
          <a:avLst/>
        </a:prstGeom>
      </xdr:spPr>
    </xdr:pic>
    <xdr:clientData/>
  </xdr:twoCellAnchor>
  <xdr:twoCellAnchor>
    <xdr:from>
      <xdr:col>8</xdr:col>
      <xdr:colOff>6350</xdr:colOff>
      <xdr:row>4171</xdr:row>
      <xdr:rowOff>25400</xdr:rowOff>
    </xdr:from>
    <xdr:to>
      <xdr:col>8</xdr:col>
      <xdr:colOff>885190</xdr:colOff>
      <xdr:row>4171</xdr:row>
      <xdr:rowOff>1209040</xdr:rowOff>
    </xdr:to>
    <xdr:pic>
      <xdr:nvPicPr>
        <xdr:cNvPr id="7492" name="Изображение 7491" descr="resizeПП-00272391"/>
        <xdr:cNvPicPr>
          <a:picLocks noChangeAspect="1"/>
        </xdr:cNvPicPr>
      </xdr:nvPicPr>
      <xdr:blipFill>
        <a:blip xmlns:r="http://schemas.openxmlformats.org/officeDocument/2006/relationships" r:embed="rId3141"/>
        <a:stretch>
          <a:fillRect/>
        </a:stretch>
      </xdr:blipFill>
      <xdr:spPr>
        <a:xfrm>
          <a:off x="7264400" y="4153122250"/>
          <a:ext cx="878840" cy="1183640"/>
        </a:xfrm>
        <a:prstGeom prst="rect">
          <a:avLst/>
        </a:prstGeom>
      </xdr:spPr>
    </xdr:pic>
    <xdr:clientData/>
  </xdr:twoCellAnchor>
  <xdr:twoCellAnchor>
    <xdr:from>
      <xdr:col>8</xdr:col>
      <xdr:colOff>6350</xdr:colOff>
      <xdr:row>4174</xdr:row>
      <xdr:rowOff>25400</xdr:rowOff>
    </xdr:from>
    <xdr:to>
      <xdr:col>8</xdr:col>
      <xdr:colOff>885190</xdr:colOff>
      <xdr:row>4174</xdr:row>
      <xdr:rowOff>1209040</xdr:rowOff>
    </xdr:to>
    <xdr:pic>
      <xdr:nvPicPr>
        <xdr:cNvPr id="7493" name="Изображение 7492" descr="resizeПП-00236229"/>
        <xdr:cNvPicPr>
          <a:picLocks noChangeAspect="1"/>
        </xdr:cNvPicPr>
      </xdr:nvPicPr>
      <xdr:blipFill>
        <a:blip xmlns:r="http://schemas.openxmlformats.org/officeDocument/2006/relationships" r:embed="rId3184"/>
        <a:stretch>
          <a:fillRect/>
        </a:stretch>
      </xdr:blipFill>
      <xdr:spPr>
        <a:xfrm>
          <a:off x="7264400" y="4154649425"/>
          <a:ext cx="878840" cy="1183640"/>
        </a:xfrm>
        <a:prstGeom prst="rect">
          <a:avLst/>
        </a:prstGeom>
      </xdr:spPr>
    </xdr:pic>
    <xdr:clientData/>
  </xdr:twoCellAnchor>
  <xdr:twoCellAnchor>
    <xdr:from>
      <xdr:col>8</xdr:col>
      <xdr:colOff>6350</xdr:colOff>
      <xdr:row>4175</xdr:row>
      <xdr:rowOff>25400</xdr:rowOff>
    </xdr:from>
    <xdr:to>
      <xdr:col>8</xdr:col>
      <xdr:colOff>885190</xdr:colOff>
      <xdr:row>4175</xdr:row>
      <xdr:rowOff>1209040</xdr:rowOff>
    </xdr:to>
    <xdr:pic>
      <xdr:nvPicPr>
        <xdr:cNvPr id="7494" name="Изображение 7493" descr="resizeПП-00236230"/>
        <xdr:cNvPicPr>
          <a:picLocks noChangeAspect="1"/>
        </xdr:cNvPicPr>
      </xdr:nvPicPr>
      <xdr:blipFill>
        <a:blip xmlns:r="http://schemas.openxmlformats.org/officeDocument/2006/relationships" r:embed="rId3185"/>
        <a:stretch>
          <a:fillRect/>
        </a:stretch>
      </xdr:blipFill>
      <xdr:spPr>
        <a:xfrm>
          <a:off x="7264400" y="4155871800"/>
          <a:ext cx="878840" cy="1183640"/>
        </a:xfrm>
        <a:prstGeom prst="rect">
          <a:avLst/>
        </a:prstGeom>
      </xdr:spPr>
    </xdr:pic>
    <xdr:clientData/>
  </xdr:twoCellAnchor>
  <xdr:twoCellAnchor>
    <xdr:from>
      <xdr:col>8</xdr:col>
      <xdr:colOff>6350</xdr:colOff>
      <xdr:row>4176</xdr:row>
      <xdr:rowOff>25400</xdr:rowOff>
    </xdr:from>
    <xdr:to>
      <xdr:col>8</xdr:col>
      <xdr:colOff>885190</xdr:colOff>
      <xdr:row>4176</xdr:row>
      <xdr:rowOff>1209040</xdr:rowOff>
    </xdr:to>
    <xdr:pic>
      <xdr:nvPicPr>
        <xdr:cNvPr id="7495" name="Изображение 7494" descr="resizeПП-00236228"/>
        <xdr:cNvPicPr>
          <a:picLocks noChangeAspect="1"/>
        </xdr:cNvPicPr>
      </xdr:nvPicPr>
      <xdr:blipFill>
        <a:blip xmlns:r="http://schemas.openxmlformats.org/officeDocument/2006/relationships" r:embed="rId3186"/>
        <a:stretch>
          <a:fillRect/>
        </a:stretch>
      </xdr:blipFill>
      <xdr:spPr>
        <a:xfrm>
          <a:off x="7264400" y="4157094175"/>
          <a:ext cx="878840" cy="1183640"/>
        </a:xfrm>
        <a:prstGeom prst="rect">
          <a:avLst/>
        </a:prstGeom>
      </xdr:spPr>
    </xdr:pic>
    <xdr:clientData/>
  </xdr:twoCellAnchor>
  <xdr:twoCellAnchor>
    <xdr:from>
      <xdr:col>8</xdr:col>
      <xdr:colOff>6350</xdr:colOff>
      <xdr:row>4180</xdr:row>
      <xdr:rowOff>25400</xdr:rowOff>
    </xdr:from>
    <xdr:to>
      <xdr:col>8</xdr:col>
      <xdr:colOff>885190</xdr:colOff>
      <xdr:row>4180</xdr:row>
      <xdr:rowOff>1209040</xdr:rowOff>
    </xdr:to>
    <xdr:pic>
      <xdr:nvPicPr>
        <xdr:cNvPr id="7496" name="Изображение 7495" descr="resizeПП-00263235"/>
        <xdr:cNvPicPr>
          <a:picLocks noChangeAspect="1"/>
        </xdr:cNvPicPr>
      </xdr:nvPicPr>
      <xdr:blipFill>
        <a:blip xmlns:r="http://schemas.openxmlformats.org/officeDocument/2006/relationships" r:embed="rId3187"/>
        <a:stretch>
          <a:fillRect/>
        </a:stretch>
      </xdr:blipFill>
      <xdr:spPr>
        <a:xfrm>
          <a:off x="7264400" y="4158773750"/>
          <a:ext cx="878840" cy="1183640"/>
        </a:xfrm>
        <a:prstGeom prst="rect">
          <a:avLst/>
        </a:prstGeom>
      </xdr:spPr>
    </xdr:pic>
    <xdr:clientData/>
  </xdr:twoCellAnchor>
  <xdr:twoCellAnchor>
    <xdr:from>
      <xdr:col>8</xdr:col>
      <xdr:colOff>6350</xdr:colOff>
      <xdr:row>4181</xdr:row>
      <xdr:rowOff>25400</xdr:rowOff>
    </xdr:from>
    <xdr:to>
      <xdr:col>8</xdr:col>
      <xdr:colOff>885190</xdr:colOff>
      <xdr:row>4181</xdr:row>
      <xdr:rowOff>1209040</xdr:rowOff>
    </xdr:to>
    <xdr:pic>
      <xdr:nvPicPr>
        <xdr:cNvPr id="7497" name="Изображение 7496" descr="resizeПП-00263236"/>
        <xdr:cNvPicPr>
          <a:picLocks noChangeAspect="1"/>
        </xdr:cNvPicPr>
      </xdr:nvPicPr>
      <xdr:blipFill>
        <a:blip xmlns:r="http://schemas.openxmlformats.org/officeDocument/2006/relationships" r:embed="rId3188"/>
        <a:stretch>
          <a:fillRect/>
        </a:stretch>
      </xdr:blipFill>
      <xdr:spPr>
        <a:xfrm>
          <a:off x="7264400" y="4159996125"/>
          <a:ext cx="878840" cy="1183640"/>
        </a:xfrm>
        <a:prstGeom prst="rect">
          <a:avLst/>
        </a:prstGeom>
      </xdr:spPr>
    </xdr:pic>
    <xdr:clientData/>
  </xdr:twoCellAnchor>
  <xdr:twoCellAnchor>
    <xdr:from>
      <xdr:col>8</xdr:col>
      <xdr:colOff>6350</xdr:colOff>
      <xdr:row>4182</xdr:row>
      <xdr:rowOff>25400</xdr:rowOff>
    </xdr:from>
    <xdr:to>
      <xdr:col>8</xdr:col>
      <xdr:colOff>885190</xdr:colOff>
      <xdr:row>4182</xdr:row>
      <xdr:rowOff>1209040</xdr:rowOff>
    </xdr:to>
    <xdr:pic>
      <xdr:nvPicPr>
        <xdr:cNvPr id="7498" name="Изображение 7497" descr="resizeПП-00263237"/>
        <xdr:cNvPicPr>
          <a:picLocks noChangeAspect="1"/>
        </xdr:cNvPicPr>
      </xdr:nvPicPr>
      <xdr:blipFill>
        <a:blip xmlns:r="http://schemas.openxmlformats.org/officeDocument/2006/relationships" r:embed="rId3189"/>
        <a:stretch>
          <a:fillRect/>
        </a:stretch>
      </xdr:blipFill>
      <xdr:spPr>
        <a:xfrm>
          <a:off x="7264400" y="4161218500"/>
          <a:ext cx="878840" cy="1183640"/>
        </a:xfrm>
        <a:prstGeom prst="rect">
          <a:avLst/>
        </a:prstGeom>
      </xdr:spPr>
    </xdr:pic>
    <xdr:clientData/>
  </xdr:twoCellAnchor>
  <xdr:twoCellAnchor>
    <xdr:from>
      <xdr:col>8</xdr:col>
      <xdr:colOff>6350</xdr:colOff>
      <xdr:row>4183</xdr:row>
      <xdr:rowOff>25400</xdr:rowOff>
    </xdr:from>
    <xdr:to>
      <xdr:col>8</xdr:col>
      <xdr:colOff>885190</xdr:colOff>
      <xdr:row>4183</xdr:row>
      <xdr:rowOff>1209040</xdr:rowOff>
    </xdr:to>
    <xdr:pic>
      <xdr:nvPicPr>
        <xdr:cNvPr id="7499" name="Изображение 7498" descr="resizeПП-00263234"/>
        <xdr:cNvPicPr>
          <a:picLocks noChangeAspect="1"/>
        </xdr:cNvPicPr>
      </xdr:nvPicPr>
      <xdr:blipFill>
        <a:blip xmlns:r="http://schemas.openxmlformats.org/officeDocument/2006/relationships" r:embed="rId3190"/>
        <a:stretch>
          <a:fillRect/>
        </a:stretch>
      </xdr:blipFill>
      <xdr:spPr>
        <a:xfrm>
          <a:off x="7264400" y="4162440875"/>
          <a:ext cx="878840" cy="1183640"/>
        </a:xfrm>
        <a:prstGeom prst="rect">
          <a:avLst/>
        </a:prstGeom>
      </xdr:spPr>
    </xdr:pic>
    <xdr:clientData/>
  </xdr:twoCellAnchor>
  <xdr:twoCellAnchor>
    <xdr:from>
      <xdr:col>8</xdr:col>
      <xdr:colOff>6350</xdr:colOff>
      <xdr:row>4184</xdr:row>
      <xdr:rowOff>25400</xdr:rowOff>
    </xdr:from>
    <xdr:to>
      <xdr:col>8</xdr:col>
      <xdr:colOff>885190</xdr:colOff>
      <xdr:row>4184</xdr:row>
      <xdr:rowOff>1209040</xdr:rowOff>
    </xdr:to>
    <xdr:pic>
      <xdr:nvPicPr>
        <xdr:cNvPr id="7500" name="Изображение 7499" descr="resizeПП-00237703"/>
        <xdr:cNvPicPr>
          <a:picLocks noChangeAspect="1"/>
        </xdr:cNvPicPr>
      </xdr:nvPicPr>
      <xdr:blipFill>
        <a:blip xmlns:r="http://schemas.openxmlformats.org/officeDocument/2006/relationships" r:embed="rId3191"/>
        <a:stretch>
          <a:fillRect/>
        </a:stretch>
      </xdr:blipFill>
      <xdr:spPr>
        <a:xfrm>
          <a:off x="7264400" y="4163663250"/>
          <a:ext cx="878840" cy="1183640"/>
        </a:xfrm>
        <a:prstGeom prst="rect">
          <a:avLst/>
        </a:prstGeom>
      </xdr:spPr>
    </xdr:pic>
    <xdr:clientData/>
  </xdr:twoCellAnchor>
  <xdr:twoCellAnchor>
    <xdr:from>
      <xdr:col>8</xdr:col>
      <xdr:colOff>6350</xdr:colOff>
      <xdr:row>4188</xdr:row>
      <xdr:rowOff>25400</xdr:rowOff>
    </xdr:from>
    <xdr:to>
      <xdr:col>8</xdr:col>
      <xdr:colOff>885190</xdr:colOff>
      <xdr:row>4188</xdr:row>
      <xdr:rowOff>1209040</xdr:rowOff>
    </xdr:to>
    <xdr:pic>
      <xdr:nvPicPr>
        <xdr:cNvPr id="7501" name="Изображение 7500" descr="resizeПП-00234268"/>
        <xdr:cNvPicPr>
          <a:picLocks noChangeAspect="1"/>
        </xdr:cNvPicPr>
      </xdr:nvPicPr>
      <xdr:blipFill>
        <a:blip xmlns:r="http://schemas.openxmlformats.org/officeDocument/2006/relationships" r:embed="rId3192"/>
        <a:stretch>
          <a:fillRect/>
        </a:stretch>
      </xdr:blipFill>
      <xdr:spPr>
        <a:xfrm>
          <a:off x="7264400" y="4165342825"/>
          <a:ext cx="878840" cy="1183640"/>
        </a:xfrm>
        <a:prstGeom prst="rect">
          <a:avLst/>
        </a:prstGeom>
      </xdr:spPr>
    </xdr:pic>
    <xdr:clientData/>
  </xdr:twoCellAnchor>
  <xdr:twoCellAnchor>
    <xdr:from>
      <xdr:col>8</xdr:col>
      <xdr:colOff>6350</xdr:colOff>
      <xdr:row>4190</xdr:row>
      <xdr:rowOff>25400</xdr:rowOff>
    </xdr:from>
    <xdr:to>
      <xdr:col>8</xdr:col>
      <xdr:colOff>885190</xdr:colOff>
      <xdr:row>4190</xdr:row>
      <xdr:rowOff>1209040</xdr:rowOff>
    </xdr:to>
    <xdr:pic>
      <xdr:nvPicPr>
        <xdr:cNvPr id="7502" name="Изображение 7501" descr="resizeПП-00246385"/>
        <xdr:cNvPicPr>
          <a:picLocks noChangeAspect="1"/>
        </xdr:cNvPicPr>
      </xdr:nvPicPr>
      <xdr:blipFill>
        <a:blip xmlns:r="http://schemas.openxmlformats.org/officeDocument/2006/relationships" r:embed="rId3193"/>
        <a:stretch>
          <a:fillRect/>
        </a:stretch>
      </xdr:blipFill>
      <xdr:spPr>
        <a:xfrm>
          <a:off x="7264400" y="4166717600"/>
          <a:ext cx="878840" cy="1183640"/>
        </a:xfrm>
        <a:prstGeom prst="rect">
          <a:avLst/>
        </a:prstGeom>
      </xdr:spPr>
    </xdr:pic>
    <xdr:clientData/>
  </xdr:twoCellAnchor>
  <xdr:twoCellAnchor>
    <xdr:from>
      <xdr:col>8</xdr:col>
      <xdr:colOff>6350</xdr:colOff>
      <xdr:row>4192</xdr:row>
      <xdr:rowOff>25400</xdr:rowOff>
    </xdr:from>
    <xdr:to>
      <xdr:col>8</xdr:col>
      <xdr:colOff>885190</xdr:colOff>
      <xdr:row>4192</xdr:row>
      <xdr:rowOff>1209040</xdr:rowOff>
    </xdr:to>
    <xdr:pic>
      <xdr:nvPicPr>
        <xdr:cNvPr id="7503" name="Изображение 7502" descr="resizeПП-00246386"/>
        <xdr:cNvPicPr>
          <a:picLocks noChangeAspect="1"/>
        </xdr:cNvPicPr>
      </xdr:nvPicPr>
      <xdr:blipFill>
        <a:blip xmlns:r="http://schemas.openxmlformats.org/officeDocument/2006/relationships" r:embed="rId3194"/>
        <a:stretch>
          <a:fillRect/>
        </a:stretch>
      </xdr:blipFill>
      <xdr:spPr>
        <a:xfrm>
          <a:off x="7264400" y="4168092375"/>
          <a:ext cx="878840" cy="1183640"/>
        </a:xfrm>
        <a:prstGeom prst="rect">
          <a:avLst/>
        </a:prstGeom>
      </xdr:spPr>
    </xdr:pic>
    <xdr:clientData/>
  </xdr:twoCellAnchor>
  <xdr:twoCellAnchor>
    <xdr:from>
      <xdr:col>8</xdr:col>
      <xdr:colOff>6350</xdr:colOff>
      <xdr:row>4194</xdr:row>
      <xdr:rowOff>25400</xdr:rowOff>
    </xdr:from>
    <xdr:to>
      <xdr:col>8</xdr:col>
      <xdr:colOff>885190</xdr:colOff>
      <xdr:row>4194</xdr:row>
      <xdr:rowOff>1209040</xdr:rowOff>
    </xdr:to>
    <xdr:pic>
      <xdr:nvPicPr>
        <xdr:cNvPr id="7504" name="Изображение 7503" descr="resizeПП-00261796"/>
        <xdr:cNvPicPr>
          <a:picLocks noChangeAspect="1"/>
        </xdr:cNvPicPr>
      </xdr:nvPicPr>
      <xdr:blipFill>
        <a:blip xmlns:r="http://schemas.openxmlformats.org/officeDocument/2006/relationships" r:embed="rId3171"/>
        <a:stretch>
          <a:fillRect/>
        </a:stretch>
      </xdr:blipFill>
      <xdr:spPr>
        <a:xfrm>
          <a:off x="7264400" y="4169467150"/>
          <a:ext cx="878840" cy="1183640"/>
        </a:xfrm>
        <a:prstGeom prst="rect">
          <a:avLst/>
        </a:prstGeom>
      </xdr:spPr>
    </xdr:pic>
    <xdr:clientData/>
  </xdr:twoCellAnchor>
  <xdr:twoCellAnchor>
    <xdr:from>
      <xdr:col>8</xdr:col>
      <xdr:colOff>6350</xdr:colOff>
      <xdr:row>4195</xdr:row>
      <xdr:rowOff>25400</xdr:rowOff>
    </xdr:from>
    <xdr:to>
      <xdr:col>8</xdr:col>
      <xdr:colOff>885190</xdr:colOff>
      <xdr:row>4195</xdr:row>
      <xdr:rowOff>1209040</xdr:rowOff>
    </xdr:to>
    <xdr:pic>
      <xdr:nvPicPr>
        <xdr:cNvPr id="7505" name="Изображение 7504" descr="resizeПП-00252800"/>
        <xdr:cNvPicPr>
          <a:picLocks noChangeAspect="1"/>
        </xdr:cNvPicPr>
      </xdr:nvPicPr>
      <xdr:blipFill>
        <a:blip xmlns:r="http://schemas.openxmlformats.org/officeDocument/2006/relationships" r:embed="rId3172"/>
        <a:stretch>
          <a:fillRect/>
        </a:stretch>
      </xdr:blipFill>
      <xdr:spPr>
        <a:xfrm>
          <a:off x="7264400" y="4170689525"/>
          <a:ext cx="878840" cy="1183640"/>
        </a:xfrm>
        <a:prstGeom prst="rect">
          <a:avLst/>
        </a:prstGeom>
      </xdr:spPr>
    </xdr:pic>
    <xdr:clientData/>
  </xdr:twoCellAnchor>
  <xdr:twoCellAnchor>
    <xdr:from>
      <xdr:col>8</xdr:col>
      <xdr:colOff>6350</xdr:colOff>
      <xdr:row>4196</xdr:row>
      <xdr:rowOff>25400</xdr:rowOff>
    </xdr:from>
    <xdr:to>
      <xdr:col>8</xdr:col>
      <xdr:colOff>885190</xdr:colOff>
      <xdr:row>4196</xdr:row>
      <xdr:rowOff>1209040</xdr:rowOff>
    </xdr:to>
    <xdr:pic>
      <xdr:nvPicPr>
        <xdr:cNvPr id="7506" name="Изображение 7505" descr="resizeПП-00261798"/>
        <xdr:cNvPicPr>
          <a:picLocks noChangeAspect="1"/>
        </xdr:cNvPicPr>
      </xdr:nvPicPr>
      <xdr:blipFill>
        <a:blip xmlns:r="http://schemas.openxmlformats.org/officeDocument/2006/relationships" r:embed="rId3173"/>
        <a:stretch>
          <a:fillRect/>
        </a:stretch>
      </xdr:blipFill>
      <xdr:spPr>
        <a:xfrm>
          <a:off x="7264400" y="4171911900"/>
          <a:ext cx="878840" cy="1183640"/>
        </a:xfrm>
        <a:prstGeom prst="rect">
          <a:avLst/>
        </a:prstGeom>
      </xdr:spPr>
    </xdr:pic>
    <xdr:clientData/>
  </xdr:twoCellAnchor>
  <xdr:twoCellAnchor>
    <xdr:from>
      <xdr:col>8</xdr:col>
      <xdr:colOff>6350</xdr:colOff>
      <xdr:row>4198</xdr:row>
      <xdr:rowOff>25400</xdr:rowOff>
    </xdr:from>
    <xdr:to>
      <xdr:col>8</xdr:col>
      <xdr:colOff>885190</xdr:colOff>
      <xdr:row>4198</xdr:row>
      <xdr:rowOff>1209040</xdr:rowOff>
    </xdr:to>
    <xdr:pic>
      <xdr:nvPicPr>
        <xdr:cNvPr id="7507" name="Изображение 7506" descr="resizeПП-00262863"/>
        <xdr:cNvPicPr>
          <a:picLocks noChangeAspect="1"/>
        </xdr:cNvPicPr>
      </xdr:nvPicPr>
      <xdr:blipFill>
        <a:blip xmlns:r="http://schemas.openxmlformats.org/officeDocument/2006/relationships" r:embed="rId3195"/>
        <a:stretch>
          <a:fillRect/>
        </a:stretch>
      </xdr:blipFill>
      <xdr:spPr>
        <a:xfrm>
          <a:off x="7264400" y="4173286675"/>
          <a:ext cx="878840" cy="1183640"/>
        </a:xfrm>
        <a:prstGeom prst="rect">
          <a:avLst/>
        </a:prstGeom>
      </xdr:spPr>
    </xdr:pic>
    <xdr:clientData/>
  </xdr:twoCellAnchor>
  <xdr:twoCellAnchor>
    <xdr:from>
      <xdr:col>8</xdr:col>
      <xdr:colOff>6350</xdr:colOff>
      <xdr:row>4199</xdr:row>
      <xdr:rowOff>25400</xdr:rowOff>
    </xdr:from>
    <xdr:to>
      <xdr:col>8</xdr:col>
      <xdr:colOff>885190</xdr:colOff>
      <xdr:row>4199</xdr:row>
      <xdr:rowOff>1209040</xdr:rowOff>
    </xdr:to>
    <xdr:pic>
      <xdr:nvPicPr>
        <xdr:cNvPr id="7508" name="Изображение 7507" descr="resizeПП-00262864"/>
        <xdr:cNvPicPr>
          <a:picLocks noChangeAspect="1"/>
        </xdr:cNvPicPr>
      </xdr:nvPicPr>
      <xdr:blipFill>
        <a:blip xmlns:r="http://schemas.openxmlformats.org/officeDocument/2006/relationships" r:embed="rId3196"/>
        <a:stretch>
          <a:fillRect/>
        </a:stretch>
      </xdr:blipFill>
      <xdr:spPr>
        <a:xfrm>
          <a:off x="7264400" y="4174509050"/>
          <a:ext cx="878840" cy="1183640"/>
        </a:xfrm>
        <a:prstGeom prst="rect">
          <a:avLst/>
        </a:prstGeom>
      </xdr:spPr>
    </xdr:pic>
    <xdr:clientData/>
  </xdr:twoCellAnchor>
  <xdr:twoCellAnchor>
    <xdr:from>
      <xdr:col>8</xdr:col>
      <xdr:colOff>6350</xdr:colOff>
      <xdr:row>4200</xdr:row>
      <xdr:rowOff>25400</xdr:rowOff>
    </xdr:from>
    <xdr:to>
      <xdr:col>8</xdr:col>
      <xdr:colOff>885190</xdr:colOff>
      <xdr:row>4200</xdr:row>
      <xdr:rowOff>1209040</xdr:rowOff>
    </xdr:to>
    <xdr:pic>
      <xdr:nvPicPr>
        <xdr:cNvPr id="7509" name="Изображение 7508" descr="resizeПП-00262865"/>
        <xdr:cNvPicPr>
          <a:picLocks noChangeAspect="1"/>
        </xdr:cNvPicPr>
      </xdr:nvPicPr>
      <xdr:blipFill>
        <a:blip xmlns:r="http://schemas.openxmlformats.org/officeDocument/2006/relationships" r:embed="rId3197"/>
        <a:stretch>
          <a:fillRect/>
        </a:stretch>
      </xdr:blipFill>
      <xdr:spPr>
        <a:xfrm>
          <a:off x="7264400" y="4175731425"/>
          <a:ext cx="878840" cy="1183640"/>
        </a:xfrm>
        <a:prstGeom prst="rect">
          <a:avLst/>
        </a:prstGeom>
      </xdr:spPr>
    </xdr:pic>
    <xdr:clientData/>
  </xdr:twoCellAnchor>
  <xdr:twoCellAnchor>
    <xdr:from>
      <xdr:col>8</xdr:col>
      <xdr:colOff>6350</xdr:colOff>
      <xdr:row>4201</xdr:row>
      <xdr:rowOff>25400</xdr:rowOff>
    </xdr:from>
    <xdr:to>
      <xdr:col>8</xdr:col>
      <xdr:colOff>885190</xdr:colOff>
      <xdr:row>4201</xdr:row>
      <xdr:rowOff>1209040</xdr:rowOff>
    </xdr:to>
    <xdr:pic>
      <xdr:nvPicPr>
        <xdr:cNvPr id="7510" name="Изображение 7509" descr="resizeПП-00262867"/>
        <xdr:cNvPicPr>
          <a:picLocks noChangeAspect="1"/>
        </xdr:cNvPicPr>
      </xdr:nvPicPr>
      <xdr:blipFill>
        <a:blip xmlns:r="http://schemas.openxmlformats.org/officeDocument/2006/relationships" r:embed="rId3198"/>
        <a:stretch>
          <a:fillRect/>
        </a:stretch>
      </xdr:blipFill>
      <xdr:spPr>
        <a:xfrm>
          <a:off x="7264400" y="4176953800"/>
          <a:ext cx="878840" cy="1183640"/>
        </a:xfrm>
        <a:prstGeom prst="rect">
          <a:avLst/>
        </a:prstGeom>
      </xdr:spPr>
    </xdr:pic>
    <xdr:clientData/>
  </xdr:twoCellAnchor>
  <xdr:twoCellAnchor>
    <xdr:from>
      <xdr:col>8</xdr:col>
      <xdr:colOff>6350</xdr:colOff>
      <xdr:row>4204</xdr:row>
      <xdr:rowOff>25400</xdr:rowOff>
    </xdr:from>
    <xdr:to>
      <xdr:col>8</xdr:col>
      <xdr:colOff>885190</xdr:colOff>
      <xdr:row>4204</xdr:row>
      <xdr:rowOff>1209040</xdr:rowOff>
    </xdr:to>
    <xdr:pic>
      <xdr:nvPicPr>
        <xdr:cNvPr id="7511" name="Изображение 7510" descr="resizeПП-00262878"/>
        <xdr:cNvPicPr>
          <a:picLocks noChangeAspect="1"/>
        </xdr:cNvPicPr>
      </xdr:nvPicPr>
      <xdr:blipFill>
        <a:blip xmlns:r="http://schemas.openxmlformats.org/officeDocument/2006/relationships" r:embed="rId3199"/>
        <a:stretch>
          <a:fillRect/>
        </a:stretch>
      </xdr:blipFill>
      <xdr:spPr>
        <a:xfrm>
          <a:off x="7264400" y="4178480975"/>
          <a:ext cx="878840" cy="1183640"/>
        </a:xfrm>
        <a:prstGeom prst="rect">
          <a:avLst/>
        </a:prstGeom>
      </xdr:spPr>
    </xdr:pic>
    <xdr:clientData/>
  </xdr:twoCellAnchor>
  <xdr:twoCellAnchor>
    <xdr:from>
      <xdr:col>8</xdr:col>
      <xdr:colOff>6350</xdr:colOff>
      <xdr:row>4206</xdr:row>
      <xdr:rowOff>25400</xdr:rowOff>
    </xdr:from>
    <xdr:to>
      <xdr:col>8</xdr:col>
      <xdr:colOff>885190</xdr:colOff>
      <xdr:row>4206</xdr:row>
      <xdr:rowOff>1209040</xdr:rowOff>
    </xdr:to>
    <xdr:pic>
      <xdr:nvPicPr>
        <xdr:cNvPr id="7512" name="Изображение 7511" descr="resizeПП-00261774"/>
        <xdr:cNvPicPr>
          <a:picLocks noChangeAspect="1"/>
        </xdr:cNvPicPr>
      </xdr:nvPicPr>
      <xdr:blipFill>
        <a:blip xmlns:r="http://schemas.openxmlformats.org/officeDocument/2006/relationships" r:embed="rId3174"/>
        <a:stretch>
          <a:fillRect/>
        </a:stretch>
      </xdr:blipFill>
      <xdr:spPr>
        <a:xfrm>
          <a:off x="7264400" y="4179855750"/>
          <a:ext cx="878840" cy="1183640"/>
        </a:xfrm>
        <a:prstGeom prst="rect">
          <a:avLst/>
        </a:prstGeom>
      </xdr:spPr>
    </xdr:pic>
    <xdr:clientData/>
  </xdr:twoCellAnchor>
  <xdr:twoCellAnchor>
    <xdr:from>
      <xdr:col>8</xdr:col>
      <xdr:colOff>6350</xdr:colOff>
      <xdr:row>4207</xdr:row>
      <xdr:rowOff>25400</xdr:rowOff>
    </xdr:from>
    <xdr:to>
      <xdr:col>8</xdr:col>
      <xdr:colOff>885190</xdr:colOff>
      <xdr:row>4207</xdr:row>
      <xdr:rowOff>1209040</xdr:rowOff>
    </xdr:to>
    <xdr:pic>
      <xdr:nvPicPr>
        <xdr:cNvPr id="7513" name="Изображение 7512" descr="resizeПП-00261777"/>
        <xdr:cNvPicPr>
          <a:picLocks noChangeAspect="1"/>
        </xdr:cNvPicPr>
      </xdr:nvPicPr>
      <xdr:blipFill>
        <a:blip xmlns:r="http://schemas.openxmlformats.org/officeDocument/2006/relationships" r:embed="rId3200"/>
        <a:stretch>
          <a:fillRect/>
        </a:stretch>
      </xdr:blipFill>
      <xdr:spPr>
        <a:xfrm>
          <a:off x="7264400" y="4181078125"/>
          <a:ext cx="878840" cy="1183640"/>
        </a:xfrm>
        <a:prstGeom prst="rect">
          <a:avLst/>
        </a:prstGeom>
      </xdr:spPr>
    </xdr:pic>
    <xdr:clientData/>
  </xdr:twoCellAnchor>
  <xdr:twoCellAnchor>
    <xdr:from>
      <xdr:col>8</xdr:col>
      <xdr:colOff>6350</xdr:colOff>
      <xdr:row>4208</xdr:row>
      <xdr:rowOff>25400</xdr:rowOff>
    </xdr:from>
    <xdr:to>
      <xdr:col>8</xdr:col>
      <xdr:colOff>885190</xdr:colOff>
      <xdr:row>4208</xdr:row>
      <xdr:rowOff>1209040</xdr:rowOff>
    </xdr:to>
    <xdr:pic>
      <xdr:nvPicPr>
        <xdr:cNvPr id="7514" name="Изображение 7513" descr="resizeПП-00261776"/>
        <xdr:cNvPicPr>
          <a:picLocks noChangeAspect="1"/>
        </xdr:cNvPicPr>
      </xdr:nvPicPr>
      <xdr:blipFill>
        <a:blip xmlns:r="http://schemas.openxmlformats.org/officeDocument/2006/relationships" r:embed="rId3176"/>
        <a:stretch>
          <a:fillRect/>
        </a:stretch>
      </xdr:blipFill>
      <xdr:spPr>
        <a:xfrm>
          <a:off x="7264400" y="4182300500"/>
          <a:ext cx="878840" cy="1183640"/>
        </a:xfrm>
        <a:prstGeom prst="rect">
          <a:avLst/>
        </a:prstGeom>
      </xdr:spPr>
    </xdr:pic>
    <xdr:clientData/>
  </xdr:twoCellAnchor>
  <xdr:twoCellAnchor>
    <xdr:from>
      <xdr:col>8</xdr:col>
      <xdr:colOff>6350</xdr:colOff>
      <xdr:row>4209</xdr:row>
      <xdr:rowOff>25400</xdr:rowOff>
    </xdr:from>
    <xdr:to>
      <xdr:col>8</xdr:col>
      <xdr:colOff>885190</xdr:colOff>
      <xdr:row>4209</xdr:row>
      <xdr:rowOff>1209040</xdr:rowOff>
    </xdr:to>
    <xdr:pic>
      <xdr:nvPicPr>
        <xdr:cNvPr id="7515" name="Изображение 7514" descr="resizeПП-00265761"/>
        <xdr:cNvPicPr>
          <a:picLocks noChangeAspect="1"/>
        </xdr:cNvPicPr>
      </xdr:nvPicPr>
      <xdr:blipFill>
        <a:blip xmlns:r="http://schemas.openxmlformats.org/officeDocument/2006/relationships" r:embed="rId3201"/>
        <a:stretch>
          <a:fillRect/>
        </a:stretch>
      </xdr:blipFill>
      <xdr:spPr>
        <a:xfrm>
          <a:off x="7264400" y="4183522875"/>
          <a:ext cx="878840" cy="1183640"/>
        </a:xfrm>
        <a:prstGeom prst="rect">
          <a:avLst/>
        </a:prstGeom>
      </xdr:spPr>
    </xdr:pic>
    <xdr:clientData/>
  </xdr:twoCellAnchor>
  <xdr:twoCellAnchor>
    <xdr:from>
      <xdr:col>8</xdr:col>
      <xdr:colOff>6350</xdr:colOff>
      <xdr:row>4210</xdr:row>
      <xdr:rowOff>25400</xdr:rowOff>
    </xdr:from>
    <xdr:to>
      <xdr:col>8</xdr:col>
      <xdr:colOff>885190</xdr:colOff>
      <xdr:row>4210</xdr:row>
      <xdr:rowOff>1209040</xdr:rowOff>
    </xdr:to>
    <xdr:pic>
      <xdr:nvPicPr>
        <xdr:cNvPr id="7516" name="Изображение 7515" descr="resizeПП-00265762"/>
        <xdr:cNvPicPr>
          <a:picLocks noChangeAspect="1"/>
        </xdr:cNvPicPr>
      </xdr:nvPicPr>
      <xdr:blipFill>
        <a:blip xmlns:r="http://schemas.openxmlformats.org/officeDocument/2006/relationships" r:embed="rId3202"/>
        <a:stretch>
          <a:fillRect/>
        </a:stretch>
      </xdr:blipFill>
      <xdr:spPr>
        <a:xfrm>
          <a:off x="7264400" y="4184745250"/>
          <a:ext cx="878840" cy="1183640"/>
        </a:xfrm>
        <a:prstGeom prst="rect">
          <a:avLst/>
        </a:prstGeom>
      </xdr:spPr>
    </xdr:pic>
    <xdr:clientData/>
  </xdr:twoCellAnchor>
  <xdr:twoCellAnchor>
    <xdr:from>
      <xdr:col>8</xdr:col>
      <xdr:colOff>6350</xdr:colOff>
      <xdr:row>4211</xdr:row>
      <xdr:rowOff>25400</xdr:rowOff>
    </xdr:from>
    <xdr:to>
      <xdr:col>8</xdr:col>
      <xdr:colOff>885190</xdr:colOff>
      <xdr:row>4211</xdr:row>
      <xdr:rowOff>1209040</xdr:rowOff>
    </xdr:to>
    <xdr:pic>
      <xdr:nvPicPr>
        <xdr:cNvPr id="7517" name="Изображение 7516" descr="resizeПП-00265760"/>
        <xdr:cNvPicPr>
          <a:picLocks noChangeAspect="1"/>
        </xdr:cNvPicPr>
      </xdr:nvPicPr>
      <xdr:blipFill>
        <a:blip xmlns:r="http://schemas.openxmlformats.org/officeDocument/2006/relationships" r:embed="rId3203"/>
        <a:stretch>
          <a:fillRect/>
        </a:stretch>
      </xdr:blipFill>
      <xdr:spPr>
        <a:xfrm>
          <a:off x="7264400" y="4185967625"/>
          <a:ext cx="878840" cy="1183640"/>
        </a:xfrm>
        <a:prstGeom prst="rect">
          <a:avLst/>
        </a:prstGeom>
      </xdr:spPr>
    </xdr:pic>
    <xdr:clientData/>
  </xdr:twoCellAnchor>
  <xdr:twoCellAnchor>
    <xdr:from>
      <xdr:col>8</xdr:col>
      <xdr:colOff>6350</xdr:colOff>
      <xdr:row>4212</xdr:row>
      <xdr:rowOff>25400</xdr:rowOff>
    </xdr:from>
    <xdr:to>
      <xdr:col>8</xdr:col>
      <xdr:colOff>885190</xdr:colOff>
      <xdr:row>4212</xdr:row>
      <xdr:rowOff>1209040</xdr:rowOff>
    </xdr:to>
    <xdr:pic>
      <xdr:nvPicPr>
        <xdr:cNvPr id="7518" name="Изображение 7517" descr="resizeПП-00263223"/>
        <xdr:cNvPicPr>
          <a:picLocks noChangeAspect="1"/>
        </xdr:cNvPicPr>
      </xdr:nvPicPr>
      <xdr:blipFill>
        <a:blip xmlns:r="http://schemas.openxmlformats.org/officeDocument/2006/relationships" r:embed="rId3204"/>
        <a:stretch>
          <a:fillRect/>
        </a:stretch>
      </xdr:blipFill>
      <xdr:spPr>
        <a:xfrm>
          <a:off x="7264400" y="4187190000"/>
          <a:ext cx="878840" cy="1183640"/>
        </a:xfrm>
        <a:prstGeom prst="rect">
          <a:avLst/>
        </a:prstGeom>
      </xdr:spPr>
    </xdr:pic>
    <xdr:clientData/>
  </xdr:twoCellAnchor>
  <xdr:twoCellAnchor>
    <xdr:from>
      <xdr:col>8</xdr:col>
      <xdr:colOff>6350</xdr:colOff>
      <xdr:row>4213</xdr:row>
      <xdr:rowOff>25400</xdr:rowOff>
    </xdr:from>
    <xdr:to>
      <xdr:col>8</xdr:col>
      <xdr:colOff>885190</xdr:colOff>
      <xdr:row>4213</xdr:row>
      <xdr:rowOff>1209040</xdr:rowOff>
    </xdr:to>
    <xdr:pic>
      <xdr:nvPicPr>
        <xdr:cNvPr id="7519" name="Изображение 7518" descr="resizeПП-00263229"/>
        <xdr:cNvPicPr>
          <a:picLocks noChangeAspect="1"/>
        </xdr:cNvPicPr>
      </xdr:nvPicPr>
      <xdr:blipFill>
        <a:blip xmlns:r="http://schemas.openxmlformats.org/officeDocument/2006/relationships" r:embed="rId3205"/>
        <a:stretch>
          <a:fillRect/>
        </a:stretch>
      </xdr:blipFill>
      <xdr:spPr>
        <a:xfrm>
          <a:off x="7264400" y="4188412375"/>
          <a:ext cx="878840" cy="1183640"/>
        </a:xfrm>
        <a:prstGeom prst="rect">
          <a:avLst/>
        </a:prstGeom>
      </xdr:spPr>
    </xdr:pic>
    <xdr:clientData/>
  </xdr:twoCellAnchor>
  <xdr:twoCellAnchor>
    <xdr:from>
      <xdr:col>8</xdr:col>
      <xdr:colOff>6350</xdr:colOff>
      <xdr:row>4214</xdr:row>
      <xdr:rowOff>25400</xdr:rowOff>
    </xdr:from>
    <xdr:to>
      <xdr:col>8</xdr:col>
      <xdr:colOff>885190</xdr:colOff>
      <xdr:row>4214</xdr:row>
      <xdr:rowOff>1209040</xdr:rowOff>
    </xdr:to>
    <xdr:pic>
      <xdr:nvPicPr>
        <xdr:cNvPr id="7520" name="Изображение 7519" descr="resizeПП-00263226"/>
        <xdr:cNvPicPr>
          <a:picLocks noChangeAspect="1"/>
        </xdr:cNvPicPr>
      </xdr:nvPicPr>
      <xdr:blipFill>
        <a:blip xmlns:r="http://schemas.openxmlformats.org/officeDocument/2006/relationships" r:embed="rId3206"/>
        <a:stretch>
          <a:fillRect/>
        </a:stretch>
      </xdr:blipFill>
      <xdr:spPr>
        <a:xfrm>
          <a:off x="7264400" y="4189634750"/>
          <a:ext cx="878840" cy="1183640"/>
        </a:xfrm>
        <a:prstGeom prst="rect">
          <a:avLst/>
        </a:prstGeom>
      </xdr:spPr>
    </xdr:pic>
    <xdr:clientData/>
  </xdr:twoCellAnchor>
  <xdr:twoCellAnchor>
    <xdr:from>
      <xdr:col>8</xdr:col>
      <xdr:colOff>6350</xdr:colOff>
      <xdr:row>4215</xdr:row>
      <xdr:rowOff>25400</xdr:rowOff>
    </xdr:from>
    <xdr:to>
      <xdr:col>8</xdr:col>
      <xdr:colOff>885190</xdr:colOff>
      <xdr:row>4215</xdr:row>
      <xdr:rowOff>1209040</xdr:rowOff>
    </xdr:to>
    <xdr:pic>
      <xdr:nvPicPr>
        <xdr:cNvPr id="7521" name="Изображение 7520" descr="resizeПП-00263232"/>
        <xdr:cNvPicPr>
          <a:picLocks noChangeAspect="1"/>
        </xdr:cNvPicPr>
      </xdr:nvPicPr>
      <xdr:blipFill>
        <a:blip xmlns:r="http://schemas.openxmlformats.org/officeDocument/2006/relationships" r:embed="rId3207"/>
        <a:stretch>
          <a:fillRect/>
        </a:stretch>
      </xdr:blipFill>
      <xdr:spPr>
        <a:xfrm>
          <a:off x="7264400" y="4190857125"/>
          <a:ext cx="878840" cy="1183640"/>
        </a:xfrm>
        <a:prstGeom prst="rect">
          <a:avLst/>
        </a:prstGeom>
      </xdr:spPr>
    </xdr:pic>
    <xdr:clientData/>
  </xdr:twoCellAnchor>
  <xdr:twoCellAnchor>
    <xdr:from>
      <xdr:col>8</xdr:col>
      <xdr:colOff>6350</xdr:colOff>
      <xdr:row>4216</xdr:row>
      <xdr:rowOff>25400</xdr:rowOff>
    </xdr:from>
    <xdr:to>
      <xdr:col>8</xdr:col>
      <xdr:colOff>885190</xdr:colOff>
      <xdr:row>4216</xdr:row>
      <xdr:rowOff>1209040</xdr:rowOff>
    </xdr:to>
    <xdr:pic>
      <xdr:nvPicPr>
        <xdr:cNvPr id="7522" name="Изображение 7521" descr="resizeПП-00263222"/>
        <xdr:cNvPicPr>
          <a:picLocks noChangeAspect="1"/>
        </xdr:cNvPicPr>
      </xdr:nvPicPr>
      <xdr:blipFill>
        <a:blip xmlns:r="http://schemas.openxmlformats.org/officeDocument/2006/relationships" r:embed="rId3208"/>
        <a:stretch>
          <a:fillRect/>
        </a:stretch>
      </xdr:blipFill>
      <xdr:spPr>
        <a:xfrm>
          <a:off x="7264400" y="4192079500"/>
          <a:ext cx="878840" cy="1183640"/>
        </a:xfrm>
        <a:prstGeom prst="rect">
          <a:avLst/>
        </a:prstGeom>
      </xdr:spPr>
    </xdr:pic>
    <xdr:clientData/>
  </xdr:twoCellAnchor>
  <xdr:twoCellAnchor>
    <xdr:from>
      <xdr:col>8</xdr:col>
      <xdr:colOff>6350</xdr:colOff>
      <xdr:row>4217</xdr:row>
      <xdr:rowOff>25400</xdr:rowOff>
    </xdr:from>
    <xdr:to>
      <xdr:col>8</xdr:col>
      <xdr:colOff>885190</xdr:colOff>
      <xdr:row>4217</xdr:row>
      <xdr:rowOff>1209040</xdr:rowOff>
    </xdr:to>
    <xdr:pic>
      <xdr:nvPicPr>
        <xdr:cNvPr id="7523" name="Изображение 7522" descr="resizeПП-00263231"/>
        <xdr:cNvPicPr>
          <a:picLocks noChangeAspect="1"/>
        </xdr:cNvPicPr>
      </xdr:nvPicPr>
      <xdr:blipFill>
        <a:blip xmlns:r="http://schemas.openxmlformats.org/officeDocument/2006/relationships" r:embed="rId3209"/>
        <a:stretch>
          <a:fillRect/>
        </a:stretch>
      </xdr:blipFill>
      <xdr:spPr>
        <a:xfrm>
          <a:off x="7264400" y="4193301875"/>
          <a:ext cx="878840" cy="1183640"/>
        </a:xfrm>
        <a:prstGeom prst="rect">
          <a:avLst/>
        </a:prstGeom>
      </xdr:spPr>
    </xdr:pic>
    <xdr:clientData/>
  </xdr:twoCellAnchor>
  <xdr:twoCellAnchor>
    <xdr:from>
      <xdr:col>8</xdr:col>
      <xdr:colOff>6350</xdr:colOff>
      <xdr:row>4218</xdr:row>
      <xdr:rowOff>25400</xdr:rowOff>
    </xdr:from>
    <xdr:to>
      <xdr:col>8</xdr:col>
      <xdr:colOff>885190</xdr:colOff>
      <xdr:row>4218</xdr:row>
      <xdr:rowOff>1209040</xdr:rowOff>
    </xdr:to>
    <xdr:pic>
      <xdr:nvPicPr>
        <xdr:cNvPr id="7524" name="Изображение 7523" descr="resizeПП-00263228"/>
        <xdr:cNvPicPr>
          <a:picLocks noChangeAspect="1"/>
        </xdr:cNvPicPr>
      </xdr:nvPicPr>
      <xdr:blipFill>
        <a:blip xmlns:r="http://schemas.openxmlformats.org/officeDocument/2006/relationships" r:embed="rId3210"/>
        <a:stretch>
          <a:fillRect/>
        </a:stretch>
      </xdr:blipFill>
      <xdr:spPr>
        <a:xfrm>
          <a:off x="7264400" y="4194524250"/>
          <a:ext cx="878840" cy="1183640"/>
        </a:xfrm>
        <a:prstGeom prst="rect">
          <a:avLst/>
        </a:prstGeom>
      </xdr:spPr>
    </xdr:pic>
    <xdr:clientData/>
  </xdr:twoCellAnchor>
  <xdr:twoCellAnchor>
    <xdr:from>
      <xdr:col>8</xdr:col>
      <xdr:colOff>6350</xdr:colOff>
      <xdr:row>4219</xdr:row>
      <xdr:rowOff>25400</xdr:rowOff>
    </xdr:from>
    <xdr:to>
      <xdr:col>8</xdr:col>
      <xdr:colOff>885190</xdr:colOff>
      <xdr:row>4219</xdr:row>
      <xdr:rowOff>1209040</xdr:rowOff>
    </xdr:to>
    <xdr:pic>
      <xdr:nvPicPr>
        <xdr:cNvPr id="7525" name="Изображение 7524" descr="resizeПП-00263227"/>
        <xdr:cNvPicPr>
          <a:picLocks noChangeAspect="1"/>
        </xdr:cNvPicPr>
      </xdr:nvPicPr>
      <xdr:blipFill>
        <a:blip xmlns:r="http://schemas.openxmlformats.org/officeDocument/2006/relationships" r:embed="rId3211"/>
        <a:stretch>
          <a:fillRect/>
        </a:stretch>
      </xdr:blipFill>
      <xdr:spPr>
        <a:xfrm>
          <a:off x="7264400" y="4195746625"/>
          <a:ext cx="878840" cy="1183640"/>
        </a:xfrm>
        <a:prstGeom prst="rect">
          <a:avLst/>
        </a:prstGeom>
      </xdr:spPr>
    </xdr:pic>
    <xdr:clientData/>
  </xdr:twoCellAnchor>
  <xdr:twoCellAnchor>
    <xdr:from>
      <xdr:col>8</xdr:col>
      <xdr:colOff>6350</xdr:colOff>
      <xdr:row>4220</xdr:row>
      <xdr:rowOff>25400</xdr:rowOff>
    </xdr:from>
    <xdr:to>
      <xdr:col>8</xdr:col>
      <xdr:colOff>885190</xdr:colOff>
      <xdr:row>4220</xdr:row>
      <xdr:rowOff>1209040</xdr:rowOff>
    </xdr:to>
    <xdr:pic>
      <xdr:nvPicPr>
        <xdr:cNvPr id="7526" name="Изображение 7525" descr="resizeПП-00263225"/>
        <xdr:cNvPicPr>
          <a:picLocks noChangeAspect="1"/>
        </xdr:cNvPicPr>
      </xdr:nvPicPr>
      <xdr:blipFill>
        <a:blip xmlns:r="http://schemas.openxmlformats.org/officeDocument/2006/relationships" r:embed="rId3212"/>
        <a:stretch>
          <a:fillRect/>
        </a:stretch>
      </xdr:blipFill>
      <xdr:spPr>
        <a:xfrm>
          <a:off x="7264400" y="4196969000"/>
          <a:ext cx="878840" cy="1183640"/>
        </a:xfrm>
        <a:prstGeom prst="rect">
          <a:avLst/>
        </a:prstGeom>
      </xdr:spPr>
    </xdr:pic>
    <xdr:clientData/>
  </xdr:twoCellAnchor>
  <xdr:twoCellAnchor>
    <xdr:from>
      <xdr:col>8</xdr:col>
      <xdr:colOff>6350</xdr:colOff>
      <xdr:row>4221</xdr:row>
      <xdr:rowOff>25400</xdr:rowOff>
    </xdr:from>
    <xdr:to>
      <xdr:col>8</xdr:col>
      <xdr:colOff>885190</xdr:colOff>
      <xdr:row>4221</xdr:row>
      <xdr:rowOff>1209040</xdr:rowOff>
    </xdr:to>
    <xdr:pic>
      <xdr:nvPicPr>
        <xdr:cNvPr id="7527" name="Изображение 7526" descr="resizeПП-00263224"/>
        <xdr:cNvPicPr>
          <a:picLocks noChangeAspect="1"/>
        </xdr:cNvPicPr>
      </xdr:nvPicPr>
      <xdr:blipFill>
        <a:blip xmlns:r="http://schemas.openxmlformats.org/officeDocument/2006/relationships" r:embed="rId3213"/>
        <a:stretch>
          <a:fillRect/>
        </a:stretch>
      </xdr:blipFill>
      <xdr:spPr>
        <a:xfrm>
          <a:off x="7264400" y="4198191375"/>
          <a:ext cx="878840" cy="1183640"/>
        </a:xfrm>
        <a:prstGeom prst="rect">
          <a:avLst/>
        </a:prstGeom>
      </xdr:spPr>
    </xdr:pic>
    <xdr:clientData/>
  </xdr:twoCellAnchor>
  <xdr:twoCellAnchor>
    <xdr:from>
      <xdr:col>8</xdr:col>
      <xdr:colOff>6350</xdr:colOff>
      <xdr:row>4222</xdr:row>
      <xdr:rowOff>25400</xdr:rowOff>
    </xdr:from>
    <xdr:to>
      <xdr:col>8</xdr:col>
      <xdr:colOff>885190</xdr:colOff>
      <xdr:row>4222</xdr:row>
      <xdr:rowOff>1209040</xdr:rowOff>
    </xdr:to>
    <xdr:pic>
      <xdr:nvPicPr>
        <xdr:cNvPr id="7528" name="Изображение 7527" descr="resizeПП-00263230"/>
        <xdr:cNvPicPr>
          <a:picLocks noChangeAspect="1"/>
        </xdr:cNvPicPr>
      </xdr:nvPicPr>
      <xdr:blipFill>
        <a:blip xmlns:r="http://schemas.openxmlformats.org/officeDocument/2006/relationships" r:embed="rId3214"/>
        <a:stretch>
          <a:fillRect/>
        </a:stretch>
      </xdr:blipFill>
      <xdr:spPr>
        <a:xfrm>
          <a:off x="7264400" y="4199413750"/>
          <a:ext cx="878840" cy="1183640"/>
        </a:xfrm>
        <a:prstGeom prst="rect">
          <a:avLst/>
        </a:prstGeom>
      </xdr:spPr>
    </xdr:pic>
    <xdr:clientData/>
  </xdr:twoCellAnchor>
  <xdr:twoCellAnchor>
    <xdr:from>
      <xdr:col>8</xdr:col>
      <xdr:colOff>6350</xdr:colOff>
      <xdr:row>4223</xdr:row>
      <xdr:rowOff>25400</xdr:rowOff>
    </xdr:from>
    <xdr:to>
      <xdr:col>8</xdr:col>
      <xdr:colOff>885190</xdr:colOff>
      <xdr:row>4223</xdr:row>
      <xdr:rowOff>1209040</xdr:rowOff>
    </xdr:to>
    <xdr:pic>
      <xdr:nvPicPr>
        <xdr:cNvPr id="7529" name="Изображение 7528" descr="resizeПП-00265759"/>
        <xdr:cNvPicPr>
          <a:picLocks noChangeAspect="1"/>
        </xdr:cNvPicPr>
      </xdr:nvPicPr>
      <xdr:blipFill>
        <a:blip xmlns:r="http://schemas.openxmlformats.org/officeDocument/2006/relationships" r:embed="rId3215"/>
        <a:stretch>
          <a:fillRect/>
        </a:stretch>
      </xdr:blipFill>
      <xdr:spPr>
        <a:xfrm>
          <a:off x="7264400" y="4200636125"/>
          <a:ext cx="878840" cy="1183640"/>
        </a:xfrm>
        <a:prstGeom prst="rect">
          <a:avLst/>
        </a:prstGeom>
      </xdr:spPr>
    </xdr:pic>
    <xdr:clientData/>
  </xdr:twoCellAnchor>
  <xdr:twoCellAnchor>
    <xdr:from>
      <xdr:col>8</xdr:col>
      <xdr:colOff>6350</xdr:colOff>
      <xdr:row>4224</xdr:row>
      <xdr:rowOff>25400</xdr:rowOff>
    </xdr:from>
    <xdr:to>
      <xdr:col>8</xdr:col>
      <xdr:colOff>885190</xdr:colOff>
      <xdr:row>4224</xdr:row>
      <xdr:rowOff>1209040</xdr:rowOff>
    </xdr:to>
    <xdr:pic>
      <xdr:nvPicPr>
        <xdr:cNvPr id="7530" name="Изображение 7529" descr="resizeПП-00265764"/>
        <xdr:cNvPicPr>
          <a:picLocks noChangeAspect="1"/>
        </xdr:cNvPicPr>
      </xdr:nvPicPr>
      <xdr:blipFill>
        <a:blip xmlns:r="http://schemas.openxmlformats.org/officeDocument/2006/relationships" r:embed="rId3216"/>
        <a:stretch>
          <a:fillRect/>
        </a:stretch>
      </xdr:blipFill>
      <xdr:spPr>
        <a:xfrm>
          <a:off x="7264400" y="4201858500"/>
          <a:ext cx="878840" cy="1183640"/>
        </a:xfrm>
        <a:prstGeom prst="rect">
          <a:avLst/>
        </a:prstGeom>
      </xdr:spPr>
    </xdr:pic>
    <xdr:clientData/>
  </xdr:twoCellAnchor>
  <xdr:twoCellAnchor>
    <xdr:from>
      <xdr:col>8</xdr:col>
      <xdr:colOff>6350</xdr:colOff>
      <xdr:row>4225</xdr:row>
      <xdr:rowOff>25400</xdr:rowOff>
    </xdr:from>
    <xdr:to>
      <xdr:col>8</xdr:col>
      <xdr:colOff>885190</xdr:colOff>
      <xdr:row>4225</xdr:row>
      <xdr:rowOff>1209040</xdr:rowOff>
    </xdr:to>
    <xdr:pic>
      <xdr:nvPicPr>
        <xdr:cNvPr id="7531" name="Изображение 7530" descr="resizeПП-00265765"/>
        <xdr:cNvPicPr>
          <a:picLocks noChangeAspect="1"/>
        </xdr:cNvPicPr>
      </xdr:nvPicPr>
      <xdr:blipFill>
        <a:blip xmlns:r="http://schemas.openxmlformats.org/officeDocument/2006/relationships" r:embed="rId3217"/>
        <a:stretch>
          <a:fillRect/>
        </a:stretch>
      </xdr:blipFill>
      <xdr:spPr>
        <a:xfrm>
          <a:off x="7264400" y="4203080875"/>
          <a:ext cx="878840" cy="1183640"/>
        </a:xfrm>
        <a:prstGeom prst="rect">
          <a:avLst/>
        </a:prstGeom>
      </xdr:spPr>
    </xdr:pic>
    <xdr:clientData/>
  </xdr:twoCellAnchor>
  <xdr:twoCellAnchor>
    <xdr:from>
      <xdr:col>8</xdr:col>
      <xdr:colOff>6350</xdr:colOff>
      <xdr:row>4226</xdr:row>
      <xdr:rowOff>25400</xdr:rowOff>
    </xdr:from>
    <xdr:to>
      <xdr:col>8</xdr:col>
      <xdr:colOff>885190</xdr:colOff>
      <xdr:row>4226</xdr:row>
      <xdr:rowOff>1209040</xdr:rowOff>
    </xdr:to>
    <xdr:pic>
      <xdr:nvPicPr>
        <xdr:cNvPr id="7532" name="Изображение 7531" descr="resizeПП-00265766"/>
        <xdr:cNvPicPr>
          <a:picLocks noChangeAspect="1"/>
        </xdr:cNvPicPr>
      </xdr:nvPicPr>
      <xdr:blipFill>
        <a:blip xmlns:r="http://schemas.openxmlformats.org/officeDocument/2006/relationships" r:embed="rId3218"/>
        <a:stretch>
          <a:fillRect/>
        </a:stretch>
      </xdr:blipFill>
      <xdr:spPr>
        <a:xfrm>
          <a:off x="7264400" y="4204303250"/>
          <a:ext cx="878840" cy="1183640"/>
        </a:xfrm>
        <a:prstGeom prst="rect">
          <a:avLst/>
        </a:prstGeom>
      </xdr:spPr>
    </xdr:pic>
    <xdr:clientData/>
  </xdr:twoCellAnchor>
  <xdr:twoCellAnchor>
    <xdr:from>
      <xdr:col>8</xdr:col>
      <xdr:colOff>6350</xdr:colOff>
      <xdr:row>4227</xdr:row>
      <xdr:rowOff>25400</xdr:rowOff>
    </xdr:from>
    <xdr:to>
      <xdr:col>8</xdr:col>
      <xdr:colOff>885190</xdr:colOff>
      <xdr:row>4227</xdr:row>
      <xdr:rowOff>1209040</xdr:rowOff>
    </xdr:to>
    <xdr:pic>
      <xdr:nvPicPr>
        <xdr:cNvPr id="7533" name="Изображение 7532" descr="resizeПП-00265758"/>
        <xdr:cNvPicPr>
          <a:picLocks noChangeAspect="1"/>
        </xdr:cNvPicPr>
      </xdr:nvPicPr>
      <xdr:blipFill>
        <a:blip xmlns:r="http://schemas.openxmlformats.org/officeDocument/2006/relationships" r:embed="rId3219"/>
        <a:stretch>
          <a:fillRect/>
        </a:stretch>
      </xdr:blipFill>
      <xdr:spPr>
        <a:xfrm>
          <a:off x="7264400" y="4205525625"/>
          <a:ext cx="878840" cy="1183640"/>
        </a:xfrm>
        <a:prstGeom prst="rect">
          <a:avLst/>
        </a:prstGeom>
      </xdr:spPr>
    </xdr:pic>
    <xdr:clientData/>
  </xdr:twoCellAnchor>
  <xdr:twoCellAnchor>
    <xdr:from>
      <xdr:col>8</xdr:col>
      <xdr:colOff>6350</xdr:colOff>
      <xdr:row>4228</xdr:row>
      <xdr:rowOff>25400</xdr:rowOff>
    </xdr:from>
    <xdr:to>
      <xdr:col>8</xdr:col>
      <xdr:colOff>885190</xdr:colOff>
      <xdr:row>4228</xdr:row>
      <xdr:rowOff>1209040</xdr:rowOff>
    </xdr:to>
    <xdr:pic>
      <xdr:nvPicPr>
        <xdr:cNvPr id="7534" name="Изображение 7533" descr="resizeПП-00265763"/>
        <xdr:cNvPicPr>
          <a:picLocks noChangeAspect="1"/>
        </xdr:cNvPicPr>
      </xdr:nvPicPr>
      <xdr:blipFill>
        <a:blip xmlns:r="http://schemas.openxmlformats.org/officeDocument/2006/relationships" r:embed="rId3220"/>
        <a:stretch>
          <a:fillRect/>
        </a:stretch>
      </xdr:blipFill>
      <xdr:spPr>
        <a:xfrm>
          <a:off x="7264400" y="4206748000"/>
          <a:ext cx="878840" cy="1183640"/>
        </a:xfrm>
        <a:prstGeom prst="rect">
          <a:avLst/>
        </a:prstGeom>
      </xdr:spPr>
    </xdr:pic>
    <xdr:clientData/>
  </xdr:twoCellAnchor>
  <xdr:twoCellAnchor>
    <xdr:from>
      <xdr:col>8</xdr:col>
      <xdr:colOff>6350</xdr:colOff>
      <xdr:row>4232</xdr:row>
      <xdr:rowOff>25400</xdr:rowOff>
    </xdr:from>
    <xdr:to>
      <xdr:col>8</xdr:col>
      <xdr:colOff>885190</xdr:colOff>
      <xdr:row>4232</xdr:row>
      <xdr:rowOff>1209040</xdr:rowOff>
    </xdr:to>
    <xdr:pic>
      <xdr:nvPicPr>
        <xdr:cNvPr id="7535" name="Изображение 7534" descr="resizeПП-00263264"/>
        <xdr:cNvPicPr>
          <a:picLocks noChangeAspect="1"/>
        </xdr:cNvPicPr>
      </xdr:nvPicPr>
      <xdr:blipFill>
        <a:blip xmlns:r="http://schemas.openxmlformats.org/officeDocument/2006/relationships" r:embed="rId3221"/>
        <a:stretch>
          <a:fillRect/>
        </a:stretch>
      </xdr:blipFill>
      <xdr:spPr>
        <a:xfrm>
          <a:off x="7264400" y="4208427575"/>
          <a:ext cx="878840" cy="1183640"/>
        </a:xfrm>
        <a:prstGeom prst="rect">
          <a:avLst/>
        </a:prstGeom>
      </xdr:spPr>
    </xdr:pic>
    <xdr:clientData/>
  </xdr:twoCellAnchor>
  <xdr:twoCellAnchor>
    <xdr:from>
      <xdr:col>8</xdr:col>
      <xdr:colOff>6350</xdr:colOff>
      <xdr:row>4233</xdr:row>
      <xdr:rowOff>25400</xdr:rowOff>
    </xdr:from>
    <xdr:to>
      <xdr:col>8</xdr:col>
      <xdr:colOff>885190</xdr:colOff>
      <xdr:row>4233</xdr:row>
      <xdr:rowOff>1209040</xdr:rowOff>
    </xdr:to>
    <xdr:pic>
      <xdr:nvPicPr>
        <xdr:cNvPr id="7536" name="Изображение 7535" descr="resizeПП-00263265"/>
        <xdr:cNvPicPr>
          <a:picLocks noChangeAspect="1"/>
        </xdr:cNvPicPr>
      </xdr:nvPicPr>
      <xdr:blipFill>
        <a:blip xmlns:r="http://schemas.openxmlformats.org/officeDocument/2006/relationships" r:embed="rId3222"/>
        <a:stretch>
          <a:fillRect/>
        </a:stretch>
      </xdr:blipFill>
      <xdr:spPr>
        <a:xfrm>
          <a:off x="7264400" y="4209649950"/>
          <a:ext cx="878840" cy="1183640"/>
        </a:xfrm>
        <a:prstGeom prst="rect">
          <a:avLst/>
        </a:prstGeom>
      </xdr:spPr>
    </xdr:pic>
    <xdr:clientData/>
  </xdr:twoCellAnchor>
  <xdr:twoCellAnchor>
    <xdr:from>
      <xdr:col>8</xdr:col>
      <xdr:colOff>6350</xdr:colOff>
      <xdr:row>4236</xdr:row>
      <xdr:rowOff>25400</xdr:rowOff>
    </xdr:from>
    <xdr:to>
      <xdr:col>8</xdr:col>
      <xdr:colOff>885190</xdr:colOff>
      <xdr:row>4236</xdr:row>
      <xdr:rowOff>1209040</xdr:rowOff>
    </xdr:to>
    <xdr:pic>
      <xdr:nvPicPr>
        <xdr:cNvPr id="7537" name="Изображение 7536" descr="resizeПП-00263267"/>
        <xdr:cNvPicPr>
          <a:picLocks noChangeAspect="1"/>
        </xdr:cNvPicPr>
      </xdr:nvPicPr>
      <xdr:blipFill>
        <a:blip xmlns:r="http://schemas.openxmlformats.org/officeDocument/2006/relationships" r:embed="rId3223"/>
        <a:stretch>
          <a:fillRect/>
        </a:stretch>
      </xdr:blipFill>
      <xdr:spPr>
        <a:xfrm>
          <a:off x="7264400" y="4211177125"/>
          <a:ext cx="878840" cy="1183640"/>
        </a:xfrm>
        <a:prstGeom prst="rect">
          <a:avLst/>
        </a:prstGeom>
      </xdr:spPr>
    </xdr:pic>
    <xdr:clientData/>
  </xdr:twoCellAnchor>
  <xdr:twoCellAnchor>
    <xdr:from>
      <xdr:col>8</xdr:col>
      <xdr:colOff>6350</xdr:colOff>
      <xdr:row>4237</xdr:row>
      <xdr:rowOff>25400</xdr:rowOff>
    </xdr:from>
    <xdr:to>
      <xdr:col>8</xdr:col>
      <xdr:colOff>885190</xdr:colOff>
      <xdr:row>4237</xdr:row>
      <xdr:rowOff>1209040</xdr:rowOff>
    </xdr:to>
    <xdr:pic>
      <xdr:nvPicPr>
        <xdr:cNvPr id="7538" name="Изображение 7537" descr="resizeПП-00263266"/>
        <xdr:cNvPicPr>
          <a:picLocks noChangeAspect="1"/>
        </xdr:cNvPicPr>
      </xdr:nvPicPr>
      <xdr:blipFill>
        <a:blip xmlns:r="http://schemas.openxmlformats.org/officeDocument/2006/relationships" r:embed="rId3224"/>
        <a:stretch>
          <a:fillRect/>
        </a:stretch>
      </xdr:blipFill>
      <xdr:spPr>
        <a:xfrm>
          <a:off x="7264400" y="4212399500"/>
          <a:ext cx="878840" cy="1183640"/>
        </a:xfrm>
        <a:prstGeom prst="rect">
          <a:avLst/>
        </a:prstGeom>
      </xdr:spPr>
    </xdr:pic>
    <xdr:clientData/>
  </xdr:twoCellAnchor>
  <xdr:twoCellAnchor>
    <xdr:from>
      <xdr:col>8</xdr:col>
      <xdr:colOff>6350</xdr:colOff>
      <xdr:row>4238</xdr:row>
      <xdr:rowOff>25400</xdr:rowOff>
    </xdr:from>
    <xdr:to>
      <xdr:col>8</xdr:col>
      <xdr:colOff>885190</xdr:colOff>
      <xdr:row>4238</xdr:row>
      <xdr:rowOff>1209040</xdr:rowOff>
    </xdr:to>
    <xdr:pic>
      <xdr:nvPicPr>
        <xdr:cNvPr id="7539" name="Изображение 7538" descr="resizeПП-00243343"/>
        <xdr:cNvPicPr>
          <a:picLocks noChangeAspect="1"/>
        </xdr:cNvPicPr>
      </xdr:nvPicPr>
      <xdr:blipFill>
        <a:blip xmlns:r="http://schemas.openxmlformats.org/officeDocument/2006/relationships" r:embed="rId3225"/>
        <a:stretch>
          <a:fillRect/>
        </a:stretch>
      </xdr:blipFill>
      <xdr:spPr>
        <a:xfrm>
          <a:off x="7264400" y="4213621875"/>
          <a:ext cx="878840" cy="1183640"/>
        </a:xfrm>
        <a:prstGeom prst="rect">
          <a:avLst/>
        </a:prstGeom>
      </xdr:spPr>
    </xdr:pic>
    <xdr:clientData/>
  </xdr:twoCellAnchor>
  <xdr:twoCellAnchor>
    <xdr:from>
      <xdr:col>8</xdr:col>
      <xdr:colOff>6350</xdr:colOff>
      <xdr:row>4240</xdr:row>
      <xdr:rowOff>25400</xdr:rowOff>
    </xdr:from>
    <xdr:to>
      <xdr:col>8</xdr:col>
      <xdr:colOff>885190</xdr:colOff>
      <xdr:row>4240</xdr:row>
      <xdr:rowOff>1209040</xdr:rowOff>
    </xdr:to>
    <xdr:pic>
      <xdr:nvPicPr>
        <xdr:cNvPr id="7540" name="Изображение 7539" descr="resizeПП-00263270"/>
        <xdr:cNvPicPr>
          <a:picLocks noChangeAspect="1"/>
        </xdr:cNvPicPr>
      </xdr:nvPicPr>
      <xdr:blipFill>
        <a:blip xmlns:r="http://schemas.openxmlformats.org/officeDocument/2006/relationships" r:embed="rId3226"/>
        <a:stretch>
          <a:fillRect/>
        </a:stretch>
      </xdr:blipFill>
      <xdr:spPr>
        <a:xfrm>
          <a:off x="7264400" y="4214996650"/>
          <a:ext cx="878840" cy="1183640"/>
        </a:xfrm>
        <a:prstGeom prst="rect">
          <a:avLst/>
        </a:prstGeom>
      </xdr:spPr>
    </xdr:pic>
    <xdr:clientData/>
  </xdr:twoCellAnchor>
  <xdr:twoCellAnchor>
    <xdr:from>
      <xdr:col>8</xdr:col>
      <xdr:colOff>6350</xdr:colOff>
      <xdr:row>4241</xdr:row>
      <xdr:rowOff>25400</xdr:rowOff>
    </xdr:from>
    <xdr:to>
      <xdr:col>8</xdr:col>
      <xdr:colOff>885190</xdr:colOff>
      <xdr:row>4241</xdr:row>
      <xdr:rowOff>1209040</xdr:rowOff>
    </xdr:to>
    <xdr:pic>
      <xdr:nvPicPr>
        <xdr:cNvPr id="7541" name="Изображение 7540" descr="resizeПП-00263271"/>
        <xdr:cNvPicPr>
          <a:picLocks noChangeAspect="1"/>
        </xdr:cNvPicPr>
      </xdr:nvPicPr>
      <xdr:blipFill>
        <a:blip xmlns:r="http://schemas.openxmlformats.org/officeDocument/2006/relationships" r:embed="rId3227"/>
        <a:stretch>
          <a:fillRect/>
        </a:stretch>
      </xdr:blipFill>
      <xdr:spPr>
        <a:xfrm>
          <a:off x="7264400" y="4216219025"/>
          <a:ext cx="878840" cy="1183640"/>
        </a:xfrm>
        <a:prstGeom prst="rect">
          <a:avLst/>
        </a:prstGeom>
      </xdr:spPr>
    </xdr:pic>
    <xdr:clientData/>
  </xdr:twoCellAnchor>
  <xdr:twoCellAnchor>
    <xdr:from>
      <xdr:col>8</xdr:col>
      <xdr:colOff>6350</xdr:colOff>
      <xdr:row>4243</xdr:row>
      <xdr:rowOff>25400</xdr:rowOff>
    </xdr:from>
    <xdr:to>
      <xdr:col>8</xdr:col>
      <xdr:colOff>885190</xdr:colOff>
      <xdr:row>4243</xdr:row>
      <xdr:rowOff>1209040</xdr:rowOff>
    </xdr:to>
    <xdr:pic>
      <xdr:nvPicPr>
        <xdr:cNvPr id="7542" name="Изображение 7541" descr="resizeПП-00263269"/>
        <xdr:cNvPicPr>
          <a:picLocks noChangeAspect="1"/>
        </xdr:cNvPicPr>
      </xdr:nvPicPr>
      <xdr:blipFill>
        <a:blip xmlns:r="http://schemas.openxmlformats.org/officeDocument/2006/relationships" r:embed="rId3228"/>
        <a:stretch>
          <a:fillRect/>
        </a:stretch>
      </xdr:blipFill>
      <xdr:spPr>
        <a:xfrm>
          <a:off x="7264400" y="4217593800"/>
          <a:ext cx="878840" cy="1183640"/>
        </a:xfrm>
        <a:prstGeom prst="rect">
          <a:avLst/>
        </a:prstGeom>
      </xdr:spPr>
    </xdr:pic>
    <xdr:clientData/>
  </xdr:twoCellAnchor>
  <xdr:twoCellAnchor>
    <xdr:from>
      <xdr:col>8</xdr:col>
      <xdr:colOff>6350</xdr:colOff>
      <xdr:row>4244</xdr:row>
      <xdr:rowOff>25400</xdr:rowOff>
    </xdr:from>
    <xdr:to>
      <xdr:col>8</xdr:col>
      <xdr:colOff>885190</xdr:colOff>
      <xdr:row>4244</xdr:row>
      <xdr:rowOff>1209040</xdr:rowOff>
    </xdr:to>
    <xdr:pic>
      <xdr:nvPicPr>
        <xdr:cNvPr id="7543" name="Изображение 7542" descr="resizeПП-00263268"/>
        <xdr:cNvPicPr>
          <a:picLocks noChangeAspect="1"/>
        </xdr:cNvPicPr>
      </xdr:nvPicPr>
      <xdr:blipFill>
        <a:blip xmlns:r="http://schemas.openxmlformats.org/officeDocument/2006/relationships" r:embed="rId3229"/>
        <a:stretch>
          <a:fillRect/>
        </a:stretch>
      </xdr:blipFill>
      <xdr:spPr>
        <a:xfrm>
          <a:off x="7264400" y="4218816175"/>
          <a:ext cx="878840" cy="1183640"/>
        </a:xfrm>
        <a:prstGeom prst="rect">
          <a:avLst/>
        </a:prstGeom>
      </xdr:spPr>
    </xdr:pic>
    <xdr:clientData/>
  </xdr:twoCellAnchor>
  <xdr:twoCellAnchor>
    <xdr:from>
      <xdr:col>8</xdr:col>
      <xdr:colOff>6350</xdr:colOff>
      <xdr:row>4253</xdr:row>
      <xdr:rowOff>25400</xdr:rowOff>
    </xdr:from>
    <xdr:to>
      <xdr:col>8</xdr:col>
      <xdr:colOff>885190</xdr:colOff>
      <xdr:row>4253</xdr:row>
      <xdr:rowOff>1209040</xdr:rowOff>
    </xdr:to>
    <xdr:pic>
      <xdr:nvPicPr>
        <xdr:cNvPr id="7544" name="Изображение 7543" descr="resizeПП-00204395"/>
        <xdr:cNvPicPr>
          <a:picLocks noChangeAspect="1"/>
        </xdr:cNvPicPr>
      </xdr:nvPicPr>
      <xdr:blipFill>
        <a:blip xmlns:r="http://schemas.openxmlformats.org/officeDocument/2006/relationships" r:embed="rId3230"/>
        <a:stretch>
          <a:fillRect/>
        </a:stretch>
      </xdr:blipFill>
      <xdr:spPr>
        <a:xfrm>
          <a:off x="7264400" y="4222324550"/>
          <a:ext cx="878840" cy="1183640"/>
        </a:xfrm>
        <a:prstGeom prst="rect">
          <a:avLst/>
        </a:prstGeom>
      </xdr:spPr>
    </xdr:pic>
    <xdr:clientData/>
  </xdr:twoCellAnchor>
  <xdr:twoCellAnchor>
    <xdr:from>
      <xdr:col>8</xdr:col>
      <xdr:colOff>6350</xdr:colOff>
      <xdr:row>4254</xdr:row>
      <xdr:rowOff>25400</xdr:rowOff>
    </xdr:from>
    <xdr:to>
      <xdr:col>8</xdr:col>
      <xdr:colOff>885190</xdr:colOff>
      <xdr:row>4254</xdr:row>
      <xdr:rowOff>1209040</xdr:rowOff>
    </xdr:to>
    <xdr:pic>
      <xdr:nvPicPr>
        <xdr:cNvPr id="7545" name="Изображение 7544" descr="resizeПП-00247076"/>
        <xdr:cNvPicPr>
          <a:picLocks noChangeAspect="1"/>
        </xdr:cNvPicPr>
      </xdr:nvPicPr>
      <xdr:blipFill>
        <a:blip xmlns:r="http://schemas.openxmlformats.org/officeDocument/2006/relationships" r:embed="rId3231"/>
        <a:stretch>
          <a:fillRect/>
        </a:stretch>
      </xdr:blipFill>
      <xdr:spPr>
        <a:xfrm>
          <a:off x="7264400" y="4223546925"/>
          <a:ext cx="878840" cy="1183640"/>
        </a:xfrm>
        <a:prstGeom prst="rect">
          <a:avLst/>
        </a:prstGeom>
      </xdr:spPr>
    </xdr:pic>
    <xdr:clientData/>
  </xdr:twoCellAnchor>
  <xdr:twoCellAnchor>
    <xdr:from>
      <xdr:col>8</xdr:col>
      <xdr:colOff>6350</xdr:colOff>
      <xdr:row>4256</xdr:row>
      <xdr:rowOff>25400</xdr:rowOff>
    </xdr:from>
    <xdr:to>
      <xdr:col>8</xdr:col>
      <xdr:colOff>885190</xdr:colOff>
      <xdr:row>4256</xdr:row>
      <xdr:rowOff>1209040</xdr:rowOff>
    </xdr:to>
    <xdr:pic>
      <xdr:nvPicPr>
        <xdr:cNvPr id="7546" name="Изображение 7545" descr="resizeПП-00256577"/>
        <xdr:cNvPicPr>
          <a:picLocks noChangeAspect="1"/>
        </xdr:cNvPicPr>
      </xdr:nvPicPr>
      <xdr:blipFill>
        <a:blip xmlns:r="http://schemas.openxmlformats.org/officeDocument/2006/relationships" r:embed="rId3232"/>
        <a:stretch>
          <a:fillRect/>
        </a:stretch>
      </xdr:blipFill>
      <xdr:spPr>
        <a:xfrm>
          <a:off x="7264400" y="4224921700"/>
          <a:ext cx="878840" cy="1183640"/>
        </a:xfrm>
        <a:prstGeom prst="rect">
          <a:avLst/>
        </a:prstGeom>
      </xdr:spPr>
    </xdr:pic>
    <xdr:clientData/>
  </xdr:twoCellAnchor>
  <xdr:twoCellAnchor>
    <xdr:from>
      <xdr:col>8</xdr:col>
      <xdr:colOff>6350</xdr:colOff>
      <xdr:row>4257</xdr:row>
      <xdr:rowOff>25400</xdr:rowOff>
    </xdr:from>
    <xdr:to>
      <xdr:col>8</xdr:col>
      <xdr:colOff>885190</xdr:colOff>
      <xdr:row>4257</xdr:row>
      <xdr:rowOff>1209040</xdr:rowOff>
    </xdr:to>
    <xdr:pic>
      <xdr:nvPicPr>
        <xdr:cNvPr id="7547" name="Изображение 7546" descr="resizeПП-00174915"/>
        <xdr:cNvPicPr>
          <a:picLocks noChangeAspect="1"/>
        </xdr:cNvPicPr>
      </xdr:nvPicPr>
      <xdr:blipFill>
        <a:blip xmlns:r="http://schemas.openxmlformats.org/officeDocument/2006/relationships" r:embed="rId3233"/>
        <a:stretch>
          <a:fillRect/>
        </a:stretch>
      </xdr:blipFill>
      <xdr:spPr>
        <a:xfrm>
          <a:off x="7264400" y="4226144075"/>
          <a:ext cx="878840" cy="1183640"/>
        </a:xfrm>
        <a:prstGeom prst="rect">
          <a:avLst/>
        </a:prstGeom>
      </xdr:spPr>
    </xdr:pic>
    <xdr:clientData/>
  </xdr:twoCellAnchor>
  <xdr:twoCellAnchor>
    <xdr:from>
      <xdr:col>8</xdr:col>
      <xdr:colOff>6350</xdr:colOff>
      <xdr:row>4258</xdr:row>
      <xdr:rowOff>25400</xdr:rowOff>
    </xdr:from>
    <xdr:to>
      <xdr:col>8</xdr:col>
      <xdr:colOff>885190</xdr:colOff>
      <xdr:row>4258</xdr:row>
      <xdr:rowOff>1209040</xdr:rowOff>
    </xdr:to>
    <xdr:pic>
      <xdr:nvPicPr>
        <xdr:cNvPr id="7548" name="Изображение 7547" descr="resizeПП-00281619"/>
        <xdr:cNvPicPr>
          <a:picLocks noChangeAspect="1"/>
        </xdr:cNvPicPr>
      </xdr:nvPicPr>
      <xdr:blipFill>
        <a:blip xmlns:r="http://schemas.openxmlformats.org/officeDocument/2006/relationships" r:embed="rId3234"/>
        <a:stretch>
          <a:fillRect/>
        </a:stretch>
      </xdr:blipFill>
      <xdr:spPr>
        <a:xfrm>
          <a:off x="7264400" y="4227366450"/>
          <a:ext cx="878840" cy="1183640"/>
        </a:xfrm>
        <a:prstGeom prst="rect">
          <a:avLst/>
        </a:prstGeom>
      </xdr:spPr>
    </xdr:pic>
    <xdr:clientData/>
  </xdr:twoCellAnchor>
  <xdr:twoCellAnchor>
    <xdr:from>
      <xdr:col>8</xdr:col>
      <xdr:colOff>6350</xdr:colOff>
      <xdr:row>4259</xdr:row>
      <xdr:rowOff>25400</xdr:rowOff>
    </xdr:from>
    <xdr:to>
      <xdr:col>8</xdr:col>
      <xdr:colOff>885190</xdr:colOff>
      <xdr:row>4259</xdr:row>
      <xdr:rowOff>1209040</xdr:rowOff>
    </xdr:to>
    <xdr:pic>
      <xdr:nvPicPr>
        <xdr:cNvPr id="7549" name="Изображение 7548" descr="resizeПП-00268495"/>
        <xdr:cNvPicPr>
          <a:picLocks noChangeAspect="1"/>
        </xdr:cNvPicPr>
      </xdr:nvPicPr>
      <xdr:blipFill>
        <a:blip xmlns:r="http://schemas.openxmlformats.org/officeDocument/2006/relationships" r:embed="rId3235"/>
        <a:stretch>
          <a:fillRect/>
        </a:stretch>
      </xdr:blipFill>
      <xdr:spPr>
        <a:xfrm>
          <a:off x="7264400" y="4228588825"/>
          <a:ext cx="878840" cy="1183640"/>
        </a:xfrm>
        <a:prstGeom prst="rect">
          <a:avLst/>
        </a:prstGeom>
      </xdr:spPr>
    </xdr:pic>
    <xdr:clientData/>
  </xdr:twoCellAnchor>
  <xdr:twoCellAnchor>
    <xdr:from>
      <xdr:col>8</xdr:col>
      <xdr:colOff>6350</xdr:colOff>
      <xdr:row>4260</xdr:row>
      <xdr:rowOff>25400</xdr:rowOff>
    </xdr:from>
    <xdr:to>
      <xdr:col>8</xdr:col>
      <xdr:colOff>885190</xdr:colOff>
      <xdr:row>4260</xdr:row>
      <xdr:rowOff>1209040</xdr:rowOff>
    </xdr:to>
    <xdr:pic>
      <xdr:nvPicPr>
        <xdr:cNvPr id="7550" name="Изображение 7549" descr="resizeПП-00256578"/>
        <xdr:cNvPicPr>
          <a:picLocks noChangeAspect="1"/>
        </xdr:cNvPicPr>
      </xdr:nvPicPr>
      <xdr:blipFill>
        <a:blip xmlns:r="http://schemas.openxmlformats.org/officeDocument/2006/relationships" r:embed="rId3236"/>
        <a:stretch>
          <a:fillRect/>
        </a:stretch>
      </xdr:blipFill>
      <xdr:spPr>
        <a:xfrm>
          <a:off x="7264400" y="4229811200"/>
          <a:ext cx="878840" cy="1183640"/>
        </a:xfrm>
        <a:prstGeom prst="rect">
          <a:avLst/>
        </a:prstGeom>
      </xdr:spPr>
    </xdr:pic>
    <xdr:clientData/>
  </xdr:twoCellAnchor>
  <xdr:twoCellAnchor>
    <xdr:from>
      <xdr:col>8</xdr:col>
      <xdr:colOff>6350</xdr:colOff>
      <xdr:row>4261</xdr:row>
      <xdr:rowOff>25400</xdr:rowOff>
    </xdr:from>
    <xdr:to>
      <xdr:col>8</xdr:col>
      <xdr:colOff>885190</xdr:colOff>
      <xdr:row>4261</xdr:row>
      <xdr:rowOff>1209040</xdr:rowOff>
    </xdr:to>
    <xdr:pic>
      <xdr:nvPicPr>
        <xdr:cNvPr id="7551" name="Изображение 7550" descr="resizeПП-00197002"/>
        <xdr:cNvPicPr>
          <a:picLocks noChangeAspect="1"/>
        </xdr:cNvPicPr>
      </xdr:nvPicPr>
      <xdr:blipFill>
        <a:blip xmlns:r="http://schemas.openxmlformats.org/officeDocument/2006/relationships" r:embed="rId3237"/>
        <a:stretch>
          <a:fillRect/>
        </a:stretch>
      </xdr:blipFill>
      <xdr:spPr>
        <a:xfrm>
          <a:off x="7264400" y="4231033575"/>
          <a:ext cx="878840" cy="1183640"/>
        </a:xfrm>
        <a:prstGeom prst="rect">
          <a:avLst/>
        </a:prstGeom>
      </xdr:spPr>
    </xdr:pic>
    <xdr:clientData/>
  </xdr:twoCellAnchor>
  <xdr:twoCellAnchor>
    <xdr:from>
      <xdr:col>8</xdr:col>
      <xdr:colOff>6350</xdr:colOff>
      <xdr:row>4262</xdr:row>
      <xdr:rowOff>25400</xdr:rowOff>
    </xdr:from>
    <xdr:to>
      <xdr:col>8</xdr:col>
      <xdr:colOff>885190</xdr:colOff>
      <xdr:row>4262</xdr:row>
      <xdr:rowOff>1209040</xdr:rowOff>
    </xdr:to>
    <xdr:pic>
      <xdr:nvPicPr>
        <xdr:cNvPr id="7552" name="Изображение 7551" descr="resizeПП-00286705"/>
        <xdr:cNvPicPr>
          <a:picLocks noChangeAspect="1"/>
        </xdr:cNvPicPr>
      </xdr:nvPicPr>
      <xdr:blipFill>
        <a:blip xmlns:r="http://schemas.openxmlformats.org/officeDocument/2006/relationships" r:embed="rId3238"/>
        <a:stretch>
          <a:fillRect/>
        </a:stretch>
      </xdr:blipFill>
      <xdr:spPr>
        <a:xfrm>
          <a:off x="7264400" y="4232255950"/>
          <a:ext cx="878840" cy="1183640"/>
        </a:xfrm>
        <a:prstGeom prst="rect">
          <a:avLst/>
        </a:prstGeom>
      </xdr:spPr>
    </xdr:pic>
    <xdr:clientData/>
  </xdr:twoCellAnchor>
  <xdr:twoCellAnchor>
    <xdr:from>
      <xdr:col>8</xdr:col>
      <xdr:colOff>6350</xdr:colOff>
      <xdr:row>4263</xdr:row>
      <xdr:rowOff>25400</xdr:rowOff>
    </xdr:from>
    <xdr:to>
      <xdr:col>8</xdr:col>
      <xdr:colOff>885190</xdr:colOff>
      <xdr:row>4263</xdr:row>
      <xdr:rowOff>1209040</xdr:rowOff>
    </xdr:to>
    <xdr:pic>
      <xdr:nvPicPr>
        <xdr:cNvPr id="7553" name="Изображение 7552" descr="resizeПП-00273212"/>
        <xdr:cNvPicPr>
          <a:picLocks noChangeAspect="1"/>
        </xdr:cNvPicPr>
      </xdr:nvPicPr>
      <xdr:blipFill>
        <a:blip xmlns:r="http://schemas.openxmlformats.org/officeDocument/2006/relationships" r:embed="rId3239"/>
        <a:stretch>
          <a:fillRect/>
        </a:stretch>
      </xdr:blipFill>
      <xdr:spPr>
        <a:xfrm>
          <a:off x="7264400" y="4233478325"/>
          <a:ext cx="878840" cy="1183640"/>
        </a:xfrm>
        <a:prstGeom prst="rect">
          <a:avLst/>
        </a:prstGeom>
      </xdr:spPr>
    </xdr:pic>
    <xdr:clientData/>
  </xdr:twoCellAnchor>
  <xdr:twoCellAnchor>
    <xdr:from>
      <xdr:col>8</xdr:col>
      <xdr:colOff>6350</xdr:colOff>
      <xdr:row>4264</xdr:row>
      <xdr:rowOff>25400</xdr:rowOff>
    </xdr:from>
    <xdr:to>
      <xdr:col>8</xdr:col>
      <xdr:colOff>885190</xdr:colOff>
      <xdr:row>4264</xdr:row>
      <xdr:rowOff>1209040</xdr:rowOff>
    </xdr:to>
    <xdr:pic>
      <xdr:nvPicPr>
        <xdr:cNvPr id="7554" name="Изображение 7553" descr="resizeПП-00268494"/>
        <xdr:cNvPicPr>
          <a:picLocks noChangeAspect="1"/>
        </xdr:cNvPicPr>
      </xdr:nvPicPr>
      <xdr:blipFill>
        <a:blip xmlns:r="http://schemas.openxmlformats.org/officeDocument/2006/relationships" r:embed="rId3240"/>
        <a:stretch>
          <a:fillRect/>
        </a:stretch>
      </xdr:blipFill>
      <xdr:spPr>
        <a:xfrm>
          <a:off x="7264400" y="4234700700"/>
          <a:ext cx="878840" cy="1183640"/>
        </a:xfrm>
        <a:prstGeom prst="rect">
          <a:avLst/>
        </a:prstGeom>
      </xdr:spPr>
    </xdr:pic>
    <xdr:clientData/>
  </xdr:twoCellAnchor>
  <xdr:twoCellAnchor>
    <xdr:from>
      <xdr:col>8</xdr:col>
      <xdr:colOff>6350</xdr:colOff>
      <xdr:row>4265</xdr:row>
      <xdr:rowOff>25400</xdr:rowOff>
    </xdr:from>
    <xdr:to>
      <xdr:col>8</xdr:col>
      <xdr:colOff>885190</xdr:colOff>
      <xdr:row>4265</xdr:row>
      <xdr:rowOff>1209040</xdr:rowOff>
    </xdr:to>
    <xdr:pic>
      <xdr:nvPicPr>
        <xdr:cNvPr id="7555" name="Изображение 7554" descr="resizeПП-00256617"/>
        <xdr:cNvPicPr>
          <a:picLocks noChangeAspect="1"/>
        </xdr:cNvPicPr>
      </xdr:nvPicPr>
      <xdr:blipFill>
        <a:blip xmlns:r="http://schemas.openxmlformats.org/officeDocument/2006/relationships" r:embed="rId3241"/>
        <a:stretch>
          <a:fillRect/>
        </a:stretch>
      </xdr:blipFill>
      <xdr:spPr>
        <a:xfrm>
          <a:off x="7264400" y="4235923075"/>
          <a:ext cx="878840" cy="1183640"/>
        </a:xfrm>
        <a:prstGeom prst="rect">
          <a:avLst/>
        </a:prstGeom>
      </xdr:spPr>
    </xdr:pic>
    <xdr:clientData/>
  </xdr:twoCellAnchor>
  <xdr:twoCellAnchor>
    <xdr:from>
      <xdr:col>8</xdr:col>
      <xdr:colOff>6350</xdr:colOff>
      <xdr:row>4266</xdr:row>
      <xdr:rowOff>25400</xdr:rowOff>
    </xdr:from>
    <xdr:to>
      <xdr:col>8</xdr:col>
      <xdr:colOff>885190</xdr:colOff>
      <xdr:row>4266</xdr:row>
      <xdr:rowOff>1209040</xdr:rowOff>
    </xdr:to>
    <xdr:pic>
      <xdr:nvPicPr>
        <xdr:cNvPr id="7556" name="Изображение 7555" descr="resizeПП-00256580"/>
        <xdr:cNvPicPr>
          <a:picLocks noChangeAspect="1"/>
        </xdr:cNvPicPr>
      </xdr:nvPicPr>
      <xdr:blipFill>
        <a:blip xmlns:r="http://schemas.openxmlformats.org/officeDocument/2006/relationships" r:embed="rId3242"/>
        <a:stretch>
          <a:fillRect/>
        </a:stretch>
      </xdr:blipFill>
      <xdr:spPr>
        <a:xfrm>
          <a:off x="7264400" y="4237145450"/>
          <a:ext cx="878840" cy="1183640"/>
        </a:xfrm>
        <a:prstGeom prst="rect">
          <a:avLst/>
        </a:prstGeom>
      </xdr:spPr>
    </xdr:pic>
    <xdr:clientData/>
  </xdr:twoCellAnchor>
  <xdr:twoCellAnchor>
    <xdr:from>
      <xdr:col>8</xdr:col>
      <xdr:colOff>6350</xdr:colOff>
      <xdr:row>4267</xdr:row>
      <xdr:rowOff>25400</xdr:rowOff>
    </xdr:from>
    <xdr:to>
      <xdr:col>8</xdr:col>
      <xdr:colOff>885190</xdr:colOff>
      <xdr:row>4267</xdr:row>
      <xdr:rowOff>1209040</xdr:rowOff>
    </xdr:to>
    <xdr:pic>
      <xdr:nvPicPr>
        <xdr:cNvPr id="7557" name="Изображение 7556" descr="resizeПП-00207239"/>
        <xdr:cNvPicPr>
          <a:picLocks noChangeAspect="1"/>
        </xdr:cNvPicPr>
      </xdr:nvPicPr>
      <xdr:blipFill>
        <a:blip xmlns:r="http://schemas.openxmlformats.org/officeDocument/2006/relationships" r:embed="rId3243"/>
        <a:stretch>
          <a:fillRect/>
        </a:stretch>
      </xdr:blipFill>
      <xdr:spPr>
        <a:xfrm>
          <a:off x="7264400" y="4238367825"/>
          <a:ext cx="878840" cy="1183640"/>
        </a:xfrm>
        <a:prstGeom prst="rect">
          <a:avLst/>
        </a:prstGeom>
      </xdr:spPr>
    </xdr:pic>
    <xdr:clientData/>
  </xdr:twoCellAnchor>
  <xdr:twoCellAnchor>
    <xdr:from>
      <xdr:col>8</xdr:col>
      <xdr:colOff>6350</xdr:colOff>
      <xdr:row>4268</xdr:row>
      <xdr:rowOff>25400</xdr:rowOff>
    </xdr:from>
    <xdr:to>
      <xdr:col>8</xdr:col>
      <xdr:colOff>885190</xdr:colOff>
      <xdr:row>4268</xdr:row>
      <xdr:rowOff>1209040</xdr:rowOff>
    </xdr:to>
    <xdr:pic>
      <xdr:nvPicPr>
        <xdr:cNvPr id="7558" name="Изображение 7557" descr="resizeПП-00206494"/>
        <xdr:cNvPicPr>
          <a:picLocks noChangeAspect="1"/>
        </xdr:cNvPicPr>
      </xdr:nvPicPr>
      <xdr:blipFill>
        <a:blip xmlns:r="http://schemas.openxmlformats.org/officeDocument/2006/relationships" r:embed="rId3244"/>
        <a:stretch>
          <a:fillRect/>
        </a:stretch>
      </xdr:blipFill>
      <xdr:spPr>
        <a:xfrm>
          <a:off x="7264400" y="4239590200"/>
          <a:ext cx="878840" cy="1183640"/>
        </a:xfrm>
        <a:prstGeom prst="rect">
          <a:avLst/>
        </a:prstGeom>
      </xdr:spPr>
    </xdr:pic>
    <xdr:clientData/>
  </xdr:twoCellAnchor>
  <xdr:twoCellAnchor>
    <xdr:from>
      <xdr:col>8</xdr:col>
      <xdr:colOff>6350</xdr:colOff>
      <xdr:row>4269</xdr:row>
      <xdr:rowOff>25400</xdr:rowOff>
    </xdr:from>
    <xdr:to>
      <xdr:col>8</xdr:col>
      <xdr:colOff>885190</xdr:colOff>
      <xdr:row>4269</xdr:row>
      <xdr:rowOff>1209040</xdr:rowOff>
    </xdr:to>
    <xdr:pic>
      <xdr:nvPicPr>
        <xdr:cNvPr id="7559" name="Изображение 7558" descr="resizeПП-00273211"/>
        <xdr:cNvPicPr>
          <a:picLocks noChangeAspect="1"/>
        </xdr:cNvPicPr>
      </xdr:nvPicPr>
      <xdr:blipFill>
        <a:blip xmlns:r="http://schemas.openxmlformats.org/officeDocument/2006/relationships" r:embed="rId3245"/>
        <a:stretch>
          <a:fillRect/>
        </a:stretch>
      </xdr:blipFill>
      <xdr:spPr>
        <a:xfrm>
          <a:off x="7264400" y="4240812575"/>
          <a:ext cx="878840" cy="1183640"/>
        </a:xfrm>
        <a:prstGeom prst="rect">
          <a:avLst/>
        </a:prstGeom>
      </xdr:spPr>
    </xdr:pic>
    <xdr:clientData/>
  </xdr:twoCellAnchor>
  <xdr:twoCellAnchor>
    <xdr:from>
      <xdr:col>8</xdr:col>
      <xdr:colOff>6350</xdr:colOff>
      <xdr:row>4270</xdr:row>
      <xdr:rowOff>25400</xdr:rowOff>
    </xdr:from>
    <xdr:to>
      <xdr:col>8</xdr:col>
      <xdr:colOff>885190</xdr:colOff>
      <xdr:row>4270</xdr:row>
      <xdr:rowOff>1209040</xdr:rowOff>
    </xdr:to>
    <xdr:pic>
      <xdr:nvPicPr>
        <xdr:cNvPr id="7560" name="Изображение 7559" descr="resizeПП-00286704"/>
        <xdr:cNvPicPr>
          <a:picLocks noChangeAspect="1"/>
        </xdr:cNvPicPr>
      </xdr:nvPicPr>
      <xdr:blipFill>
        <a:blip xmlns:r="http://schemas.openxmlformats.org/officeDocument/2006/relationships" r:embed="rId3246"/>
        <a:stretch>
          <a:fillRect/>
        </a:stretch>
      </xdr:blipFill>
      <xdr:spPr>
        <a:xfrm>
          <a:off x="7264400" y="4242034950"/>
          <a:ext cx="878840" cy="1183640"/>
        </a:xfrm>
        <a:prstGeom prst="rect">
          <a:avLst/>
        </a:prstGeom>
      </xdr:spPr>
    </xdr:pic>
    <xdr:clientData/>
  </xdr:twoCellAnchor>
  <xdr:twoCellAnchor>
    <xdr:from>
      <xdr:col>8</xdr:col>
      <xdr:colOff>6350</xdr:colOff>
      <xdr:row>4271</xdr:row>
      <xdr:rowOff>25400</xdr:rowOff>
    </xdr:from>
    <xdr:to>
      <xdr:col>8</xdr:col>
      <xdr:colOff>885190</xdr:colOff>
      <xdr:row>4271</xdr:row>
      <xdr:rowOff>1209040</xdr:rowOff>
    </xdr:to>
    <xdr:pic>
      <xdr:nvPicPr>
        <xdr:cNvPr id="7561" name="Изображение 7560" descr="resizeПП-00197006"/>
        <xdr:cNvPicPr>
          <a:picLocks noChangeAspect="1"/>
        </xdr:cNvPicPr>
      </xdr:nvPicPr>
      <xdr:blipFill>
        <a:blip xmlns:r="http://schemas.openxmlformats.org/officeDocument/2006/relationships" r:embed="rId3247"/>
        <a:stretch>
          <a:fillRect/>
        </a:stretch>
      </xdr:blipFill>
      <xdr:spPr>
        <a:xfrm>
          <a:off x="7264400" y="4243257325"/>
          <a:ext cx="878840" cy="1183640"/>
        </a:xfrm>
        <a:prstGeom prst="rect">
          <a:avLst/>
        </a:prstGeom>
      </xdr:spPr>
    </xdr:pic>
    <xdr:clientData/>
  </xdr:twoCellAnchor>
  <xdr:twoCellAnchor>
    <xdr:from>
      <xdr:col>8</xdr:col>
      <xdr:colOff>6350</xdr:colOff>
      <xdr:row>4272</xdr:row>
      <xdr:rowOff>25400</xdr:rowOff>
    </xdr:from>
    <xdr:to>
      <xdr:col>8</xdr:col>
      <xdr:colOff>885190</xdr:colOff>
      <xdr:row>4272</xdr:row>
      <xdr:rowOff>1209040</xdr:rowOff>
    </xdr:to>
    <xdr:pic>
      <xdr:nvPicPr>
        <xdr:cNvPr id="7562" name="Изображение 7561" descr="resizeПП-00286703"/>
        <xdr:cNvPicPr>
          <a:picLocks noChangeAspect="1"/>
        </xdr:cNvPicPr>
      </xdr:nvPicPr>
      <xdr:blipFill>
        <a:blip xmlns:r="http://schemas.openxmlformats.org/officeDocument/2006/relationships" r:embed="rId3248"/>
        <a:stretch>
          <a:fillRect/>
        </a:stretch>
      </xdr:blipFill>
      <xdr:spPr>
        <a:xfrm>
          <a:off x="7264400" y="4244479700"/>
          <a:ext cx="878840" cy="1183640"/>
        </a:xfrm>
        <a:prstGeom prst="rect">
          <a:avLst/>
        </a:prstGeom>
      </xdr:spPr>
    </xdr:pic>
    <xdr:clientData/>
  </xdr:twoCellAnchor>
  <xdr:twoCellAnchor>
    <xdr:from>
      <xdr:col>8</xdr:col>
      <xdr:colOff>6350</xdr:colOff>
      <xdr:row>4273</xdr:row>
      <xdr:rowOff>25400</xdr:rowOff>
    </xdr:from>
    <xdr:to>
      <xdr:col>8</xdr:col>
      <xdr:colOff>885190</xdr:colOff>
      <xdr:row>4273</xdr:row>
      <xdr:rowOff>1209040</xdr:rowOff>
    </xdr:to>
    <xdr:pic>
      <xdr:nvPicPr>
        <xdr:cNvPr id="7563" name="Изображение 7562" descr="resizeПП-00273210"/>
        <xdr:cNvPicPr>
          <a:picLocks noChangeAspect="1"/>
        </xdr:cNvPicPr>
      </xdr:nvPicPr>
      <xdr:blipFill>
        <a:blip xmlns:r="http://schemas.openxmlformats.org/officeDocument/2006/relationships" r:embed="rId3249"/>
        <a:stretch>
          <a:fillRect/>
        </a:stretch>
      </xdr:blipFill>
      <xdr:spPr>
        <a:xfrm>
          <a:off x="7264400" y="4245702075"/>
          <a:ext cx="878840" cy="1183640"/>
        </a:xfrm>
        <a:prstGeom prst="rect">
          <a:avLst/>
        </a:prstGeom>
      </xdr:spPr>
    </xdr:pic>
    <xdr:clientData/>
  </xdr:twoCellAnchor>
  <xdr:twoCellAnchor>
    <xdr:from>
      <xdr:col>8</xdr:col>
      <xdr:colOff>6350</xdr:colOff>
      <xdr:row>4274</xdr:row>
      <xdr:rowOff>25400</xdr:rowOff>
    </xdr:from>
    <xdr:to>
      <xdr:col>8</xdr:col>
      <xdr:colOff>885190</xdr:colOff>
      <xdr:row>4274</xdr:row>
      <xdr:rowOff>1209040</xdr:rowOff>
    </xdr:to>
    <xdr:pic>
      <xdr:nvPicPr>
        <xdr:cNvPr id="7564" name="Изображение 7563" descr="resizeПП-00206496"/>
        <xdr:cNvPicPr>
          <a:picLocks noChangeAspect="1"/>
        </xdr:cNvPicPr>
      </xdr:nvPicPr>
      <xdr:blipFill>
        <a:blip xmlns:r="http://schemas.openxmlformats.org/officeDocument/2006/relationships" r:embed="rId3250"/>
        <a:stretch>
          <a:fillRect/>
        </a:stretch>
      </xdr:blipFill>
      <xdr:spPr>
        <a:xfrm>
          <a:off x="7264400" y="4246924450"/>
          <a:ext cx="878840" cy="1183640"/>
        </a:xfrm>
        <a:prstGeom prst="rect">
          <a:avLst/>
        </a:prstGeom>
      </xdr:spPr>
    </xdr:pic>
    <xdr:clientData/>
  </xdr:twoCellAnchor>
  <xdr:twoCellAnchor>
    <xdr:from>
      <xdr:col>8</xdr:col>
      <xdr:colOff>6350</xdr:colOff>
      <xdr:row>4275</xdr:row>
      <xdr:rowOff>25400</xdr:rowOff>
    </xdr:from>
    <xdr:to>
      <xdr:col>8</xdr:col>
      <xdr:colOff>885190</xdr:colOff>
      <xdr:row>4275</xdr:row>
      <xdr:rowOff>1209040</xdr:rowOff>
    </xdr:to>
    <xdr:pic>
      <xdr:nvPicPr>
        <xdr:cNvPr id="7565" name="Изображение 7564" descr="resizeПП-00184883"/>
        <xdr:cNvPicPr>
          <a:picLocks noChangeAspect="1"/>
        </xdr:cNvPicPr>
      </xdr:nvPicPr>
      <xdr:blipFill>
        <a:blip xmlns:r="http://schemas.openxmlformats.org/officeDocument/2006/relationships" r:embed="rId3251"/>
        <a:stretch>
          <a:fillRect/>
        </a:stretch>
      </xdr:blipFill>
      <xdr:spPr>
        <a:xfrm>
          <a:off x="7264400" y="4248146825"/>
          <a:ext cx="878840" cy="1183640"/>
        </a:xfrm>
        <a:prstGeom prst="rect">
          <a:avLst/>
        </a:prstGeom>
      </xdr:spPr>
    </xdr:pic>
    <xdr:clientData/>
  </xdr:twoCellAnchor>
  <xdr:twoCellAnchor>
    <xdr:from>
      <xdr:col>8</xdr:col>
      <xdr:colOff>6350</xdr:colOff>
      <xdr:row>4276</xdr:row>
      <xdr:rowOff>25400</xdr:rowOff>
    </xdr:from>
    <xdr:to>
      <xdr:col>8</xdr:col>
      <xdr:colOff>885190</xdr:colOff>
      <xdr:row>4276</xdr:row>
      <xdr:rowOff>1209040</xdr:rowOff>
    </xdr:to>
    <xdr:pic>
      <xdr:nvPicPr>
        <xdr:cNvPr id="7566" name="Изображение 7565" descr="resizeПП-00218206"/>
        <xdr:cNvPicPr>
          <a:picLocks noChangeAspect="1"/>
        </xdr:cNvPicPr>
      </xdr:nvPicPr>
      <xdr:blipFill>
        <a:blip xmlns:r="http://schemas.openxmlformats.org/officeDocument/2006/relationships" r:embed="rId3252"/>
        <a:stretch>
          <a:fillRect/>
        </a:stretch>
      </xdr:blipFill>
      <xdr:spPr>
        <a:xfrm>
          <a:off x="7264400" y="4249369200"/>
          <a:ext cx="878840" cy="1183640"/>
        </a:xfrm>
        <a:prstGeom prst="rect">
          <a:avLst/>
        </a:prstGeom>
      </xdr:spPr>
    </xdr:pic>
    <xdr:clientData/>
  </xdr:twoCellAnchor>
  <xdr:twoCellAnchor>
    <xdr:from>
      <xdr:col>8</xdr:col>
      <xdr:colOff>6350</xdr:colOff>
      <xdr:row>4279</xdr:row>
      <xdr:rowOff>25400</xdr:rowOff>
    </xdr:from>
    <xdr:to>
      <xdr:col>8</xdr:col>
      <xdr:colOff>885190</xdr:colOff>
      <xdr:row>4279</xdr:row>
      <xdr:rowOff>1209040</xdr:rowOff>
    </xdr:to>
    <xdr:pic>
      <xdr:nvPicPr>
        <xdr:cNvPr id="7567" name="Изображение 7566" descr="resizeПП-00260868"/>
        <xdr:cNvPicPr>
          <a:picLocks noChangeAspect="1"/>
        </xdr:cNvPicPr>
      </xdr:nvPicPr>
      <xdr:blipFill>
        <a:blip xmlns:r="http://schemas.openxmlformats.org/officeDocument/2006/relationships" r:embed="rId3253"/>
        <a:stretch>
          <a:fillRect/>
        </a:stretch>
      </xdr:blipFill>
      <xdr:spPr>
        <a:xfrm>
          <a:off x="7264400" y="4250896375"/>
          <a:ext cx="878840" cy="1183640"/>
        </a:xfrm>
        <a:prstGeom prst="rect">
          <a:avLst/>
        </a:prstGeom>
      </xdr:spPr>
    </xdr:pic>
    <xdr:clientData/>
  </xdr:twoCellAnchor>
  <xdr:twoCellAnchor>
    <xdr:from>
      <xdr:col>8</xdr:col>
      <xdr:colOff>6350</xdr:colOff>
      <xdr:row>4281</xdr:row>
      <xdr:rowOff>25400</xdr:rowOff>
    </xdr:from>
    <xdr:to>
      <xdr:col>8</xdr:col>
      <xdr:colOff>885190</xdr:colOff>
      <xdr:row>4281</xdr:row>
      <xdr:rowOff>1209040</xdr:rowOff>
    </xdr:to>
    <xdr:pic>
      <xdr:nvPicPr>
        <xdr:cNvPr id="7568" name="Изображение 7567" descr="resizeПП-00104924"/>
        <xdr:cNvPicPr>
          <a:picLocks noChangeAspect="1"/>
        </xdr:cNvPicPr>
      </xdr:nvPicPr>
      <xdr:blipFill>
        <a:blip xmlns:r="http://schemas.openxmlformats.org/officeDocument/2006/relationships" r:embed="rId3254"/>
        <a:stretch>
          <a:fillRect/>
        </a:stretch>
      </xdr:blipFill>
      <xdr:spPr>
        <a:xfrm>
          <a:off x="7264400" y="4252271150"/>
          <a:ext cx="878840" cy="1183640"/>
        </a:xfrm>
        <a:prstGeom prst="rect">
          <a:avLst/>
        </a:prstGeom>
      </xdr:spPr>
    </xdr:pic>
    <xdr:clientData/>
  </xdr:twoCellAnchor>
  <xdr:twoCellAnchor>
    <xdr:from>
      <xdr:col>8</xdr:col>
      <xdr:colOff>6350</xdr:colOff>
      <xdr:row>4282</xdr:row>
      <xdr:rowOff>25400</xdr:rowOff>
    </xdr:from>
    <xdr:to>
      <xdr:col>8</xdr:col>
      <xdr:colOff>885190</xdr:colOff>
      <xdr:row>4282</xdr:row>
      <xdr:rowOff>1209040</xdr:rowOff>
    </xdr:to>
    <xdr:pic>
      <xdr:nvPicPr>
        <xdr:cNvPr id="7569" name="Изображение 7568" descr="resizeПП-00152538"/>
        <xdr:cNvPicPr>
          <a:picLocks noChangeAspect="1"/>
        </xdr:cNvPicPr>
      </xdr:nvPicPr>
      <xdr:blipFill>
        <a:blip xmlns:r="http://schemas.openxmlformats.org/officeDocument/2006/relationships" r:embed="rId3255"/>
        <a:stretch>
          <a:fillRect/>
        </a:stretch>
      </xdr:blipFill>
      <xdr:spPr>
        <a:xfrm>
          <a:off x="7264400" y="4253493525"/>
          <a:ext cx="878840" cy="1183640"/>
        </a:xfrm>
        <a:prstGeom prst="rect">
          <a:avLst/>
        </a:prstGeom>
      </xdr:spPr>
    </xdr:pic>
    <xdr:clientData/>
  </xdr:twoCellAnchor>
  <xdr:twoCellAnchor>
    <xdr:from>
      <xdr:col>8</xdr:col>
      <xdr:colOff>6350</xdr:colOff>
      <xdr:row>4283</xdr:row>
      <xdr:rowOff>25400</xdr:rowOff>
    </xdr:from>
    <xdr:to>
      <xdr:col>8</xdr:col>
      <xdr:colOff>885190</xdr:colOff>
      <xdr:row>4283</xdr:row>
      <xdr:rowOff>1209040</xdr:rowOff>
    </xdr:to>
    <xdr:pic>
      <xdr:nvPicPr>
        <xdr:cNvPr id="7570" name="Изображение 7569" descr="resizeПП-00268502"/>
        <xdr:cNvPicPr>
          <a:picLocks noChangeAspect="1"/>
        </xdr:cNvPicPr>
      </xdr:nvPicPr>
      <xdr:blipFill>
        <a:blip xmlns:r="http://schemas.openxmlformats.org/officeDocument/2006/relationships" r:embed="rId3256"/>
        <a:stretch>
          <a:fillRect/>
        </a:stretch>
      </xdr:blipFill>
      <xdr:spPr>
        <a:xfrm>
          <a:off x="7264400" y="4254715900"/>
          <a:ext cx="878840" cy="1183640"/>
        </a:xfrm>
        <a:prstGeom prst="rect">
          <a:avLst/>
        </a:prstGeom>
      </xdr:spPr>
    </xdr:pic>
    <xdr:clientData/>
  </xdr:twoCellAnchor>
  <xdr:twoCellAnchor>
    <xdr:from>
      <xdr:col>8</xdr:col>
      <xdr:colOff>6350</xdr:colOff>
      <xdr:row>4284</xdr:row>
      <xdr:rowOff>25400</xdr:rowOff>
    </xdr:from>
    <xdr:to>
      <xdr:col>8</xdr:col>
      <xdr:colOff>885190</xdr:colOff>
      <xdr:row>4284</xdr:row>
      <xdr:rowOff>1209040</xdr:rowOff>
    </xdr:to>
    <xdr:pic>
      <xdr:nvPicPr>
        <xdr:cNvPr id="7571" name="Изображение 7570" descr="resizeПП-00197014"/>
        <xdr:cNvPicPr>
          <a:picLocks noChangeAspect="1"/>
        </xdr:cNvPicPr>
      </xdr:nvPicPr>
      <xdr:blipFill>
        <a:blip xmlns:r="http://schemas.openxmlformats.org/officeDocument/2006/relationships" r:embed="rId3257"/>
        <a:stretch>
          <a:fillRect/>
        </a:stretch>
      </xdr:blipFill>
      <xdr:spPr>
        <a:xfrm>
          <a:off x="7264400" y="4255938275"/>
          <a:ext cx="878840" cy="1183640"/>
        </a:xfrm>
        <a:prstGeom prst="rect">
          <a:avLst/>
        </a:prstGeom>
      </xdr:spPr>
    </xdr:pic>
    <xdr:clientData/>
  </xdr:twoCellAnchor>
  <xdr:twoCellAnchor>
    <xdr:from>
      <xdr:col>8</xdr:col>
      <xdr:colOff>6350</xdr:colOff>
      <xdr:row>4285</xdr:row>
      <xdr:rowOff>25400</xdr:rowOff>
    </xdr:from>
    <xdr:to>
      <xdr:col>8</xdr:col>
      <xdr:colOff>885190</xdr:colOff>
      <xdr:row>4285</xdr:row>
      <xdr:rowOff>1209040</xdr:rowOff>
    </xdr:to>
    <xdr:pic>
      <xdr:nvPicPr>
        <xdr:cNvPr id="7572" name="Изображение 7571" descr="resizeПП-00218170"/>
        <xdr:cNvPicPr>
          <a:picLocks noChangeAspect="1"/>
        </xdr:cNvPicPr>
      </xdr:nvPicPr>
      <xdr:blipFill>
        <a:blip xmlns:r="http://schemas.openxmlformats.org/officeDocument/2006/relationships" r:embed="rId3258"/>
        <a:stretch>
          <a:fillRect/>
        </a:stretch>
      </xdr:blipFill>
      <xdr:spPr>
        <a:xfrm>
          <a:off x="7264400" y="4257160650"/>
          <a:ext cx="878840" cy="1183640"/>
        </a:xfrm>
        <a:prstGeom prst="rect">
          <a:avLst/>
        </a:prstGeom>
      </xdr:spPr>
    </xdr:pic>
    <xdr:clientData/>
  </xdr:twoCellAnchor>
  <xdr:twoCellAnchor>
    <xdr:from>
      <xdr:col>8</xdr:col>
      <xdr:colOff>6350</xdr:colOff>
      <xdr:row>4287</xdr:row>
      <xdr:rowOff>25400</xdr:rowOff>
    </xdr:from>
    <xdr:to>
      <xdr:col>8</xdr:col>
      <xdr:colOff>885190</xdr:colOff>
      <xdr:row>4287</xdr:row>
      <xdr:rowOff>1209040</xdr:rowOff>
    </xdr:to>
    <xdr:pic>
      <xdr:nvPicPr>
        <xdr:cNvPr id="7573" name="Изображение 7572" descr="resizeПП-00197079"/>
        <xdr:cNvPicPr>
          <a:picLocks noChangeAspect="1"/>
        </xdr:cNvPicPr>
      </xdr:nvPicPr>
      <xdr:blipFill>
        <a:blip xmlns:r="http://schemas.openxmlformats.org/officeDocument/2006/relationships" r:embed="rId3259"/>
        <a:stretch>
          <a:fillRect/>
        </a:stretch>
      </xdr:blipFill>
      <xdr:spPr>
        <a:xfrm>
          <a:off x="7264400" y="4258535425"/>
          <a:ext cx="878840" cy="1183640"/>
        </a:xfrm>
        <a:prstGeom prst="rect">
          <a:avLst/>
        </a:prstGeom>
      </xdr:spPr>
    </xdr:pic>
    <xdr:clientData/>
  </xdr:twoCellAnchor>
  <xdr:twoCellAnchor>
    <xdr:from>
      <xdr:col>8</xdr:col>
      <xdr:colOff>6350</xdr:colOff>
      <xdr:row>4288</xdr:row>
      <xdr:rowOff>25400</xdr:rowOff>
    </xdr:from>
    <xdr:to>
      <xdr:col>8</xdr:col>
      <xdr:colOff>885190</xdr:colOff>
      <xdr:row>4288</xdr:row>
      <xdr:rowOff>1209040</xdr:rowOff>
    </xdr:to>
    <xdr:pic>
      <xdr:nvPicPr>
        <xdr:cNvPr id="7574" name="Изображение 7573" descr="resizeПП-00197084"/>
        <xdr:cNvPicPr>
          <a:picLocks noChangeAspect="1"/>
        </xdr:cNvPicPr>
      </xdr:nvPicPr>
      <xdr:blipFill>
        <a:blip xmlns:r="http://schemas.openxmlformats.org/officeDocument/2006/relationships" r:embed="rId3260"/>
        <a:stretch>
          <a:fillRect/>
        </a:stretch>
      </xdr:blipFill>
      <xdr:spPr>
        <a:xfrm>
          <a:off x="7264400" y="4259757800"/>
          <a:ext cx="878840" cy="1183640"/>
        </a:xfrm>
        <a:prstGeom prst="rect">
          <a:avLst/>
        </a:prstGeom>
      </xdr:spPr>
    </xdr:pic>
    <xdr:clientData/>
  </xdr:twoCellAnchor>
  <xdr:twoCellAnchor>
    <xdr:from>
      <xdr:col>8</xdr:col>
      <xdr:colOff>6350</xdr:colOff>
      <xdr:row>4289</xdr:row>
      <xdr:rowOff>25400</xdr:rowOff>
    </xdr:from>
    <xdr:to>
      <xdr:col>8</xdr:col>
      <xdr:colOff>885190</xdr:colOff>
      <xdr:row>4289</xdr:row>
      <xdr:rowOff>1209040</xdr:rowOff>
    </xdr:to>
    <xdr:pic>
      <xdr:nvPicPr>
        <xdr:cNvPr id="7575" name="Изображение 7574" descr="resizeПП-00185573"/>
        <xdr:cNvPicPr>
          <a:picLocks noChangeAspect="1"/>
        </xdr:cNvPicPr>
      </xdr:nvPicPr>
      <xdr:blipFill>
        <a:blip xmlns:r="http://schemas.openxmlformats.org/officeDocument/2006/relationships" r:embed="rId3261"/>
        <a:stretch>
          <a:fillRect/>
        </a:stretch>
      </xdr:blipFill>
      <xdr:spPr>
        <a:xfrm>
          <a:off x="7264400" y="4260980175"/>
          <a:ext cx="878840" cy="1183640"/>
        </a:xfrm>
        <a:prstGeom prst="rect">
          <a:avLst/>
        </a:prstGeom>
      </xdr:spPr>
    </xdr:pic>
    <xdr:clientData/>
  </xdr:twoCellAnchor>
  <xdr:twoCellAnchor>
    <xdr:from>
      <xdr:col>8</xdr:col>
      <xdr:colOff>6350</xdr:colOff>
      <xdr:row>4290</xdr:row>
      <xdr:rowOff>25400</xdr:rowOff>
    </xdr:from>
    <xdr:to>
      <xdr:col>8</xdr:col>
      <xdr:colOff>885190</xdr:colOff>
      <xdr:row>4290</xdr:row>
      <xdr:rowOff>1209040</xdr:rowOff>
    </xdr:to>
    <xdr:pic>
      <xdr:nvPicPr>
        <xdr:cNvPr id="7576" name="Изображение 7575" descr="resizeПП-00197019"/>
        <xdr:cNvPicPr>
          <a:picLocks noChangeAspect="1"/>
        </xdr:cNvPicPr>
      </xdr:nvPicPr>
      <xdr:blipFill>
        <a:blip xmlns:r="http://schemas.openxmlformats.org/officeDocument/2006/relationships" r:embed="rId3262"/>
        <a:stretch>
          <a:fillRect/>
        </a:stretch>
      </xdr:blipFill>
      <xdr:spPr>
        <a:xfrm>
          <a:off x="7264400" y="4262202550"/>
          <a:ext cx="878840" cy="1183640"/>
        </a:xfrm>
        <a:prstGeom prst="rect">
          <a:avLst/>
        </a:prstGeom>
      </xdr:spPr>
    </xdr:pic>
    <xdr:clientData/>
  </xdr:twoCellAnchor>
  <xdr:twoCellAnchor>
    <xdr:from>
      <xdr:col>8</xdr:col>
      <xdr:colOff>6350</xdr:colOff>
      <xdr:row>4291</xdr:row>
      <xdr:rowOff>25400</xdr:rowOff>
    </xdr:from>
    <xdr:to>
      <xdr:col>8</xdr:col>
      <xdr:colOff>885190</xdr:colOff>
      <xdr:row>4291</xdr:row>
      <xdr:rowOff>1209040</xdr:rowOff>
    </xdr:to>
    <xdr:pic>
      <xdr:nvPicPr>
        <xdr:cNvPr id="7577" name="Изображение 7576" descr="resizeПП-00197080"/>
        <xdr:cNvPicPr>
          <a:picLocks noChangeAspect="1"/>
        </xdr:cNvPicPr>
      </xdr:nvPicPr>
      <xdr:blipFill>
        <a:blip xmlns:r="http://schemas.openxmlformats.org/officeDocument/2006/relationships" r:embed="rId3263"/>
        <a:stretch>
          <a:fillRect/>
        </a:stretch>
      </xdr:blipFill>
      <xdr:spPr>
        <a:xfrm>
          <a:off x="7264400" y="4263424925"/>
          <a:ext cx="878840" cy="1183640"/>
        </a:xfrm>
        <a:prstGeom prst="rect">
          <a:avLst/>
        </a:prstGeom>
      </xdr:spPr>
    </xdr:pic>
    <xdr:clientData/>
  </xdr:twoCellAnchor>
  <xdr:twoCellAnchor>
    <xdr:from>
      <xdr:col>8</xdr:col>
      <xdr:colOff>6350</xdr:colOff>
      <xdr:row>4292</xdr:row>
      <xdr:rowOff>25400</xdr:rowOff>
    </xdr:from>
    <xdr:to>
      <xdr:col>8</xdr:col>
      <xdr:colOff>885190</xdr:colOff>
      <xdr:row>4292</xdr:row>
      <xdr:rowOff>1209040</xdr:rowOff>
    </xdr:to>
    <xdr:pic>
      <xdr:nvPicPr>
        <xdr:cNvPr id="7578" name="Изображение 7577" descr="resizeПП-00256585"/>
        <xdr:cNvPicPr>
          <a:picLocks noChangeAspect="1"/>
        </xdr:cNvPicPr>
      </xdr:nvPicPr>
      <xdr:blipFill>
        <a:blip xmlns:r="http://schemas.openxmlformats.org/officeDocument/2006/relationships" r:embed="rId3264"/>
        <a:stretch>
          <a:fillRect/>
        </a:stretch>
      </xdr:blipFill>
      <xdr:spPr>
        <a:xfrm>
          <a:off x="7264400" y="4264647300"/>
          <a:ext cx="878840" cy="1183640"/>
        </a:xfrm>
        <a:prstGeom prst="rect">
          <a:avLst/>
        </a:prstGeom>
      </xdr:spPr>
    </xdr:pic>
    <xdr:clientData/>
  </xdr:twoCellAnchor>
  <xdr:twoCellAnchor>
    <xdr:from>
      <xdr:col>8</xdr:col>
      <xdr:colOff>6350</xdr:colOff>
      <xdr:row>4293</xdr:row>
      <xdr:rowOff>25400</xdr:rowOff>
    </xdr:from>
    <xdr:to>
      <xdr:col>8</xdr:col>
      <xdr:colOff>885190</xdr:colOff>
      <xdr:row>4293</xdr:row>
      <xdr:rowOff>1209040</xdr:rowOff>
    </xdr:to>
    <xdr:pic>
      <xdr:nvPicPr>
        <xdr:cNvPr id="7579" name="Изображение 7578" descr="resizeПП-00197082"/>
        <xdr:cNvPicPr>
          <a:picLocks noChangeAspect="1"/>
        </xdr:cNvPicPr>
      </xdr:nvPicPr>
      <xdr:blipFill>
        <a:blip xmlns:r="http://schemas.openxmlformats.org/officeDocument/2006/relationships" r:embed="rId3265"/>
        <a:stretch>
          <a:fillRect/>
        </a:stretch>
      </xdr:blipFill>
      <xdr:spPr>
        <a:xfrm>
          <a:off x="7264400" y="4265869675"/>
          <a:ext cx="878840" cy="1183640"/>
        </a:xfrm>
        <a:prstGeom prst="rect">
          <a:avLst/>
        </a:prstGeom>
      </xdr:spPr>
    </xdr:pic>
    <xdr:clientData/>
  </xdr:twoCellAnchor>
  <xdr:twoCellAnchor>
    <xdr:from>
      <xdr:col>8</xdr:col>
      <xdr:colOff>6350</xdr:colOff>
      <xdr:row>4294</xdr:row>
      <xdr:rowOff>25400</xdr:rowOff>
    </xdr:from>
    <xdr:to>
      <xdr:col>8</xdr:col>
      <xdr:colOff>885190</xdr:colOff>
      <xdr:row>4294</xdr:row>
      <xdr:rowOff>1209040</xdr:rowOff>
    </xdr:to>
    <xdr:pic>
      <xdr:nvPicPr>
        <xdr:cNvPr id="7580" name="Изображение 7579" descr="resizeПП-00217497"/>
        <xdr:cNvPicPr>
          <a:picLocks noChangeAspect="1"/>
        </xdr:cNvPicPr>
      </xdr:nvPicPr>
      <xdr:blipFill>
        <a:blip xmlns:r="http://schemas.openxmlformats.org/officeDocument/2006/relationships" r:embed="rId3266"/>
        <a:stretch>
          <a:fillRect/>
        </a:stretch>
      </xdr:blipFill>
      <xdr:spPr>
        <a:xfrm>
          <a:off x="7264400" y="4267092050"/>
          <a:ext cx="878840" cy="1183640"/>
        </a:xfrm>
        <a:prstGeom prst="rect">
          <a:avLst/>
        </a:prstGeom>
      </xdr:spPr>
    </xdr:pic>
    <xdr:clientData/>
  </xdr:twoCellAnchor>
  <xdr:twoCellAnchor>
    <xdr:from>
      <xdr:col>8</xdr:col>
      <xdr:colOff>6350</xdr:colOff>
      <xdr:row>4295</xdr:row>
      <xdr:rowOff>25400</xdr:rowOff>
    </xdr:from>
    <xdr:to>
      <xdr:col>8</xdr:col>
      <xdr:colOff>885190</xdr:colOff>
      <xdr:row>4295</xdr:row>
      <xdr:rowOff>1209040</xdr:rowOff>
    </xdr:to>
    <xdr:pic>
      <xdr:nvPicPr>
        <xdr:cNvPr id="7581" name="Изображение 7580" descr="resizeПП-00184894"/>
        <xdr:cNvPicPr>
          <a:picLocks noChangeAspect="1"/>
        </xdr:cNvPicPr>
      </xdr:nvPicPr>
      <xdr:blipFill>
        <a:blip xmlns:r="http://schemas.openxmlformats.org/officeDocument/2006/relationships" r:embed="rId3267"/>
        <a:stretch>
          <a:fillRect/>
        </a:stretch>
      </xdr:blipFill>
      <xdr:spPr>
        <a:xfrm>
          <a:off x="7264400" y="4268314425"/>
          <a:ext cx="878840" cy="1183640"/>
        </a:xfrm>
        <a:prstGeom prst="rect">
          <a:avLst/>
        </a:prstGeom>
      </xdr:spPr>
    </xdr:pic>
    <xdr:clientData/>
  </xdr:twoCellAnchor>
  <xdr:twoCellAnchor>
    <xdr:from>
      <xdr:col>8</xdr:col>
      <xdr:colOff>6350</xdr:colOff>
      <xdr:row>4296</xdr:row>
      <xdr:rowOff>25400</xdr:rowOff>
    </xdr:from>
    <xdr:to>
      <xdr:col>8</xdr:col>
      <xdr:colOff>885190</xdr:colOff>
      <xdr:row>4296</xdr:row>
      <xdr:rowOff>1209040</xdr:rowOff>
    </xdr:to>
    <xdr:pic>
      <xdr:nvPicPr>
        <xdr:cNvPr id="7582" name="Изображение 7581" descr="resizeПП-00184897"/>
        <xdr:cNvPicPr>
          <a:picLocks noChangeAspect="1"/>
        </xdr:cNvPicPr>
      </xdr:nvPicPr>
      <xdr:blipFill>
        <a:blip xmlns:r="http://schemas.openxmlformats.org/officeDocument/2006/relationships" r:embed="rId3268"/>
        <a:stretch>
          <a:fillRect/>
        </a:stretch>
      </xdr:blipFill>
      <xdr:spPr>
        <a:xfrm>
          <a:off x="7264400" y="4269536800"/>
          <a:ext cx="878840" cy="1183640"/>
        </a:xfrm>
        <a:prstGeom prst="rect">
          <a:avLst/>
        </a:prstGeom>
      </xdr:spPr>
    </xdr:pic>
    <xdr:clientData/>
  </xdr:twoCellAnchor>
  <xdr:twoCellAnchor>
    <xdr:from>
      <xdr:col>8</xdr:col>
      <xdr:colOff>6350</xdr:colOff>
      <xdr:row>4297</xdr:row>
      <xdr:rowOff>25400</xdr:rowOff>
    </xdr:from>
    <xdr:to>
      <xdr:col>8</xdr:col>
      <xdr:colOff>885190</xdr:colOff>
      <xdr:row>4297</xdr:row>
      <xdr:rowOff>1209040</xdr:rowOff>
    </xdr:to>
    <xdr:pic>
      <xdr:nvPicPr>
        <xdr:cNvPr id="7583" name="Изображение 7582" descr="resizeПП-00184898"/>
        <xdr:cNvPicPr>
          <a:picLocks noChangeAspect="1"/>
        </xdr:cNvPicPr>
      </xdr:nvPicPr>
      <xdr:blipFill>
        <a:blip xmlns:r="http://schemas.openxmlformats.org/officeDocument/2006/relationships" r:embed="rId3269"/>
        <a:stretch>
          <a:fillRect/>
        </a:stretch>
      </xdr:blipFill>
      <xdr:spPr>
        <a:xfrm>
          <a:off x="7264400" y="4270759175"/>
          <a:ext cx="878840" cy="1183640"/>
        </a:xfrm>
        <a:prstGeom prst="rect">
          <a:avLst/>
        </a:prstGeom>
      </xdr:spPr>
    </xdr:pic>
    <xdr:clientData/>
  </xdr:twoCellAnchor>
  <xdr:twoCellAnchor>
    <xdr:from>
      <xdr:col>8</xdr:col>
      <xdr:colOff>6350</xdr:colOff>
      <xdr:row>4298</xdr:row>
      <xdr:rowOff>25400</xdr:rowOff>
    </xdr:from>
    <xdr:to>
      <xdr:col>8</xdr:col>
      <xdr:colOff>885190</xdr:colOff>
      <xdr:row>4298</xdr:row>
      <xdr:rowOff>1209040</xdr:rowOff>
    </xdr:to>
    <xdr:pic>
      <xdr:nvPicPr>
        <xdr:cNvPr id="7584" name="Изображение 7583" descr="resizeПП-00184895"/>
        <xdr:cNvPicPr>
          <a:picLocks noChangeAspect="1"/>
        </xdr:cNvPicPr>
      </xdr:nvPicPr>
      <xdr:blipFill>
        <a:blip xmlns:r="http://schemas.openxmlformats.org/officeDocument/2006/relationships" r:embed="rId3270"/>
        <a:stretch>
          <a:fillRect/>
        </a:stretch>
      </xdr:blipFill>
      <xdr:spPr>
        <a:xfrm>
          <a:off x="7264400" y="4271981550"/>
          <a:ext cx="878840" cy="1183640"/>
        </a:xfrm>
        <a:prstGeom prst="rect">
          <a:avLst/>
        </a:prstGeom>
      </xdr:spPr>
    </xdr:pic>
    <xdr:clientData/>
  </xdr:twoCellAnchor>
  <xdr:twoCellAnchor>
    <xdr:from>
      <xdr:col>8</xdr:col>
      <xdr:colOff>6350</xdr:colOff>
      <xdr:row>4300</xdr:row>
      <xdr:rowOff>25400</xdr:rowOff>
    </xdr:from>
    <xdr:to>
      <xdr:col>8</xdr:col>
      <xdr:colOff>885190</xdr:colOff>
      <xdr:row>4300</xdr:row>
      <xdr:rowOff>1209040</xdr:rowOff>
    </xdr:to>
    <xdr:pic>
      <xdr:nvPicPr>
        <xdr:cNvPr id="7585" name="Изображение 7584" descr="resizeПП-00281622"/>
        <xdr:cNvPicPr>
          <a:picLocks noChangeAspect="1"/>
        </xdr:cNvPicPr>
      </xdr:nvPicPr>
      <xdr:blipFill>
        <a:blip xmlns:r="http://schemas.openxmlformats.org/officeDocument/2006/relationships" r:embed="rId3271"/>
        <a:stretch>
          <a:fillRect/>
        </a:stretch>
      </xdr:blipFill>
      <xdr:spPr>
        <a:xfrm>
          <a:off x="7264400" y="4273356325"/>
          <a:ext cx="878840" cy="1183640"/>
        </a:xfrm>
        <a:prstGeom prst="rect">
          <a:avLst/>
        </a:prstGeom>
      </xdr:spPr>
    </xdr:pic>
    <xdr:clientData/>
  </xdr:twoCellAnchor>
  <xdr:twoCellAnchor>
    <xdr:from>
      <xdr:col>8</xdr:col>
      <xdr:colOff>6350</xdr:colOff>
      <xdr:row>4301</xdr:row>
      <xdr:rowOff>25400</xdr:rowOff>
    </xdr:from>
    <xdr:to>
      <xdr:col>8</xdr:col>
      <xdr:colOff>885190</xdr:colOff>
      <xdr:row>4301</xdr:row>
      <xdr:rowOff>1209040</xdr:rowOff>
    </xdr:to>
    <xdr:pic>
      <xdr:nvPicPr>
        <xdr:cNvPr id="7586" name="Изображение 7585" descr="resizeПП-00281624"/>
        <xdr:cNvPicPr>
          <a:picLocks noChangeAspect="1"/>
        </xdr:cNvPicPr>
      </xdr:nvPicPr>
      <xdr:blipFill>
        <a:blip xmlns:r="http://schemas.openxmlformats.org/officeDocument/2006/relationships" r:embed="rId3272"/>
        <a:stretch>
          <a:fillRect/>
        </a:stretch>
      </xdr:blipFill>
      <xdr:spPr>
        <a:xfrm>
          <a:off x="7264400" y="4274578700"/>
          <a:ext cx="878840" cy="1183640"/>
        </a:xfrm>
        <a:prstGeom prst="rect">
          <a:avLst/>
        </a:prstGeom>
      </xdr:spPr>
    </xdr:pic>
    <xdr:clientData/>
  </xdr:twoCellAnchor>
  <xdr:twoCellAnchor>
    <xdr:from>
      <xdr:col>8</xdr:col>
      <xdr:colOff>6350</xdr:colOff>
      <xdr:row>4302</xdr:row>
      <xdr:rowOff>25400</xdr:rowOff>
    </xdr:from>
    <xdr:to>
      <xdr:col>8</xdr:col>
      <xdr:colOff>885190</xdr:colOff>
      <xdr:row>4302</xdr:row>
      <xdr:rowOff>1209040</xdr:rowOff>
    </xdr:to>
    <xdr:pic>
      <xdr:nvPicPr>
        <xdr:cNvPr id="7587" name="Изображение 7586" descr="resizeПП-00286714"/>
        <xdr:cNvPicPr>
          <a:picLocks noChangeAspect="1"/>
        </xdr:cNvPicPr>
      </xdr:nvPicPr>
      <xdr:blipFill>
        <a:blip xmlns:r="http://schemas.openxmlformats.org/officeDocument/2006/relationships" r:embed="rId3273"/>
        <a:stretch>
          <a:fillRect/>
        </a:stretch>
      </xdr:blipFill>
      <xdr:spPr>
        <a:xfrm>
          <a:off x="7264400" y="4275801075"/>
          <a:ext cx="878840" cy="1183640"/>
        </a:xfrm>
        <a:prstGeom prst="rect">
          <a:avLst/>
        </a:prstGeom>
      </xdr:spPr>
    </xdr:pic>
    <xdr:clientData/>
  </xdr:twoCellAnchor>
  <xdr:twoCellAnchor>
    <xdr:from>
      <xdr:col>8</xdr:col>
      <xdr:colOff>6350</xdr:colOff>
      <xdr:row>4303</xdr:row>
      <xdr:rowOff>25400</xdr:rowOff>
    </xdr:from>
    <xdr:to>
      <xdr:col>8</xdr:col>
      <xdr:colOff>885190</xdr:colOff>
      <xdr:row>4303</xdr:row>
      <xdr:rowOff>1209040</xdr:rowOff>
    </xdr:to>
    <xdr:pic>
      <xdr:nvPicPr>
        <xdr:cNvPr id="7588" name="Изображение 7587" descr="resizeПП-00286708"/>
        <xdr:cNvPicPr>
          <a:picLocks noChangeAspect="1"/>
        </xdr:cNvPicPr>
      </xdr:nvPicPr>
      <xdr:blipFill>
        <a:blip xmlns:r="http://schemas.openxmlformats.org/officeDocument/2006/relationships" r:embed="rId3274"/>
        <a:stretch>
          <a:fillRect/>
        </a:stretch>
      </xdr:blipFill>
      <xdr:spPr>
        <a:xfrm>
          <a:off x="7264400" y="4277023450"/>
          <a:ext cx="878840" cy="1183640"/>
        </a:xfrm>
        <a:prstGeom prst="rect">
          <a:avLst/>
        </a:prstGeom>
      </xdr:spPr>
    </xdr:pic>
    <xdr:clientData/>
  </xdr:twoCellAnchor>
  <xdr:twoCellAnchor>
    <xdr:from>
      <xdr:col>8</xdr:col>
      <xdr:colOff>6350</xdr:colOff>
      <xdr:row>4304</xdr:row>
      <xdr:rowOff>25400</xdr:rowOff>
    </xdr:from>
    <xdr:to>
      <xdr:col>8</xdr:col>
      <xdr:colOff>885190</xdr:colOff>
      <xdr:row>4304</xdr:row>
      <xdr:rowOff>1209040</xdr:rowOff>
    </xdr:to>
    <xdr:pic>
      <xdr:nvPicPr>
        <xdr:cNvPr id="7589" name="Изображение 7588" descr="resizeПП-00286713"/>
        <xdr:cNvPicPr>
          <a:picLocks noChangeAspect="1"/>
        </xdr:cNvPicPr>
      </xdr:nvPicPr>
      <xdr:blipFill>
        <a:blip xmlns:r="http://schemas.openxmlformats.org/officeDocument/2006/relationships" r:embed="rId3275"/>
        <a:stretch>
          <a:fillRect/>
        </a:stretch>
      </xdr:blipFill>
      <xdr:spPr>
        <a:xfrm>
          <a:off x="7264400" y="4278245825"/>
          <a:ext cx="878840" cy="1183640"/>
        </a:xfrm>
        <a:prstGeom prst="rect">
          <a:avLst/>
        </a:prstGeom>
      </xdr:spPr>
    </xdr:pic>
    <xdr:clientData/>
  </xdr:twoCellAnchor>
  <xdr:twoCellAnchor>
    <xdr:from>
      <xdr:col>8</xdr:col>
      <xdr:colOff>6350</xdr:colOff>
      <xdr:row>4305</xdr:row>
      <xdr:rowOff>25400</xdr:rowOff>
    </xdr:from>
    <xdr:to>
      <xdr:col>8</xdr:col>
      <xdr:colOff>885190</xdr:colOff>
      <xdr:row>4305</xdr:row>
      <xdr:rowOff>1209040</xdr:rowOff>
    </xdr:to>
    <xdr:pic>
      <xdr:nvPicPr>
        <xdr:cNvPr id="7590" name="Изображение 7589" descr="resizeПП-00105051"/>
        <xdr:cNvPicPr>
          <a:picLocks noChangeAspect="1"/>
        </xdr:cNvPicPr>
      </xdr:nvPicPr>
      <xdr:blipFill>
        <a:blip xmlns:r="http://schemas.openxmlformats.org/officeDocument/2006/relationships" r:embed="rId3276"/>
        <a:stretch>
          <a:fillRect/>
        </a:stretch>
      </xdr:blipFill>
      <xdr:spPr>
        <a:xfrm>
          <a:off x="7264400" y="4279468200"/>
          <a:ext cx="878840" cy="1183640"/>
        </a:xfrm>
        <a:prstGeom prst="rect">
          <a:avLst/>
        </a:prstGeom>
      </xdr:spPr>
    </xdr:pic>
    <xdr:clientData/>
  </xdr:twoCellAnchor>
  <xdr:twoCellAnchor>
    <xdr:from>
      <xdr:col>8</xdr:col>
      <xdr:colOff>6350</xdr:colOff>
      <xdr:row>4306</xdr:row>
      <xdr:rowOff>25400</xdr:rowOff>
    </xdr:from>
    <xdr:to>
      <xdr:col>8</xdr:col>
      <xdr:colOff>885190</xdr:colOff>
      <xdr:row>4306</xdr:row>
      <xdr:rowOff>1209040</xdr:rowOff>
    </xdr:to>
    <xdr:pic>
      <xdr:nvPicPr>
        <xdr:cNvPr id="7591" name="Изображение 7590" descr="resizeПП-00268504"/>
        <xdr:cNvPicPr>
          <a:picLocks noChangeAspect="1"/>
        </xdr:cNvPicPr>
      </xdr:nvPicPr>
      <xdr:blipFill>
        <a:blip xmlns:r="http://schemas.openxmlformats.org/officeDocument/2006/relationships" r:embed="rId3277"/>
        <a:stretch>
          <a:fillRect/>
        </a:stretch>
      </xdr:blipFill>
      <xdr:spPr>
        <a:xfrm>
          <a:off x="7264400" y="4280690575"/>
          <a:ext cx="878840" cy="1183640"/>
        </a:xfrm>
        <a:prstGeom prst="rect">
          <a:avLst/>
        </a:prstGeom>
      </xdr:spPr>
    </xdr:pic>
    <xdr:clientData/>
  </xdr:twoCellAnchor>
  <xdr:twoCellAnchor>
    <xdr:from>
      <xdr:col>8</xdr:col>
      <xdr:colOff>6350</xdr:colOff>
      <xdr:row>4307</xdr:row>
      <xdr:rowOff>25400</xdr:rowOff>
    </xdr:from>
    <xdr:to>
      <xdr:col>8</xdr:col>
      <xdr:colOff>885190</xdr:colOff>
      <xdr:row>4307</xdr:row>
      <xdr:rowOff>1209040</xdr:rowOff>
    </xdr:to>
    <xdr:pic>
      <xdr:nvPicPr>
        <xdr:cNvPr id="7592" name="Изображение 7591" descr="resizeПП-00273213"/>
        <xdr:cNvPicPr>
          <a:picLocks noChangeAspect="1"/>
        </xdr:cNvPicPr>
      </xdr:nvPicPr>
      <xdr:blipFill>
        <a:blip xmlns:r="http://schemas.openxmlformats.org/officeDocument/2006/relationships" r:embed="rId3278"/>
        <a:stretch>
          <a:fillRect/>
        </a:stretch>
      </xdr:blipFill>
      <xdr:spPr>
        <a:xfrm>
          <a:off x="7264400" y="4281912950"/>
          <a:ext cx="878840" cy="1183640"/>
        </a:xfrm>
        <a:prstGeom prst="rect">
          <a:avLst/>
        </a:prstGeom>
      </xdr:spPr>
    </xdr:pic>
    <xdr:clientData/>
  </xdr:twoCellAnchor>
  <xdr:twoCellAnchor>
    <xdr:from>
      <xdr:col>8</xdr:col>
      <xdr:colOff>6350</xdr:colOff>
      <xdr:row>4308</xdr:row>
      <xdr:rowOff>25400</xdr:rowOff>
    </xdr:from>
    <xdr:to>
      <xdr:col>8</xdr:col>
      <xdr:colOff>885190</xdr:colOff>
      <xdr:row>4308</xdr:row>
      <xdr:rowOff>1209040</xdr:rowOff>
    </xdr:to>
    <xdr:pic>
      <xdr:nvPicPr>
        <xdr:cNvPr id="7593" name="Изображение 7592" descr="resizeПП-00268505"/>
        <xdr:cNvPicPr>
          <a:picLocks noChangeAspect="1"/>
        </xdr:cNvPicPr>
      </xdr:nvPicPr>
      <xdr:blipFill>
        <a:blip xmlns:r="http://schemas.openxmlformats.org/officeDocument/2006/relationships" r:embed="rId3279"/>
        <a:stretch>
          <a:fillRect/>
        </a:stretch>
      </xdr:blipFill>
      <xdr:spPr>
        <a:xfrm>
          <a:off x="7264400" y="4283135325"/>
          <a:ext cx="878840" cy="1183640"/>
        </a:xfrm>
        <a:prstGeom prst="rect">
          <a:avLst/>
        </a:prstGeom>
      </xdr:spPr>
    </xdr:pic>
    <xdr:clientData/>
  </xdr:twoCellAnchor>
  <xdr:twoCellAnchor>
    <xdr:from>
      <xdr:col>8</xdr:col>
      <xdr:colOff>6350</xdr:colOff>
      <xdr:row>4309</xdr:row>
      <xdr:rowOff>25400</xdr:rowOff>
    </xdr:from>
    <xdr:to>
      <xdr:col>8</xdr:col>
      <xdr:colOff>885190</xdr:colOff>
      <xdr:row>4309</xdr:row>
      <xdr:rowOff>1209040</xdr:rowOff>
    </xdr:to>
    <xdr:pic>
      <xdr:nvPicPr>
        <xdr:cNvPr id="7594" name="Изображение 7593" descr="resizeПП-00273215"/>
        <xdr:cNvPicPr>
          <a:picLocks noChangeAspect="1"/>
        </xdr:cNvPicPr>
      </xdr:nvPicPr>
      <xdr:blipFill>
        <a:blip xmlns:r="http://schemas.openxmlformats.org/officeDocument/2006/relationships" r:embed="rId3280"/>
        <a:stretch>
          <a:fillRect/>
        </a:stretch>
      </xdr:blipFill>
      <xdr:spPr>
        <a:xfrm>
          <a:off x="7264400" y="4284357700"/>
          <a:ext cx="878840" cy="1183640"/>
        </a:xfrm>
        <a:prstGeom prst="rect">
          <a:avLst/>
        </a:prstGeom>
      </xdr:spPr>
    </xdr:pic>
    <xdr:clientData/>
  </xdr:twoCellAnchor>
  <xdr:twoCellAnchor>
    <xdr:from>
      <xdr:col>8</xdr:col>
      <xdr:colOff>6350</xdr:colOff>
      <xdr:row>4310</xdr:row>
      <xdr:rowOff>25400</xdr:rowOff>
    </xdr:from>
    <xdr:to>
      <xdr:col>8</xdr:col>
      <xdr:colOff>885190</xdr:colOff>
      <xdr:row>4310</xdr:row>
      <xdr:rowOff>1209040</xdr:rowOff>
    </xdr:to>
    <xdr:pic>
      <xdr:nvPicPr>
        <xdr:cNvPr id="7595" name="Изображение 7594" descr="resizeПП-00174889"/>
        <xdr:cNvPicPr>
          <a:picLocks noChangeAspect="1"/>
        </xdr:cNvPicPr>
      </xdr:nvPicPr>
      <xdr:blipFill>
        <a:blip xmlns:r="http://schemas.openxmlformats.org/officeDocument/2006/relationships" r:embed="rId3281"/>
        <a:stretch>
          <a:fillRect/>
        </a:stretch>
      </xdr:blipFill>
      <xdr:spPr>
        <a:xfrm>
          <a:off x="7264400" y="4285580075"/>
          <a:ext cx="878840" cy="1183640"/>
        </a:xfrm>
        <a:prstGeom prst="rect">
          <a:avLst/>
        </a:prstGeom>
      </xdr:spPr>
    </xdr:pic>
    <xdr:clientData/>
  </xdr:twoCellAnchor>
  <xdr:twoCellAnchor>
    <xdr:from>
      <xdr:col>8</xdr:col>
      <xdr:colOff>6350</xdr:colOff>
      <xdr:row>4311</xdr:row>
      <xdr:rowOff>25400</xdr:rowOff>
    </xdr:from>
    <xdr:to>
      <xdr:col>8</xdr:col>
      <xdr:colOff>885190</xdr:colOff>
      <xdr:row>4311</xdr:row>
      <xdr:rowOff>1209040</xdr:rowOff>
    </xdr:to>
    <xdr:pic>
      <xdr:nvPicPr>
        <xdr:cNvPr id="7596" name="Изображение 7595" descr="resizeПП-00256622"/>
        <xdr:cNvPicPr>
          <a:picLocks noChangeAspect="1"/>
        </xdr:cNvPicPr>
      </xdr:nvPicPr>
      <xdr:blipFill>
        <a:blip xmlns:r="http://schemas.openxmlformats.org/officeDocument/2006/relationships" r:embed="rId3282"/>
        <a:stretch>
          <a:fillRect/>
        </a:stretch>
      </xdr:blipFill>
      <xdr:spPr>
        <a:xfrm>
          <a:off x="7264400" y="4286802450"/>
          <a:ext cx="878840" cy="1183640"/>
        </a:xfrm>
        <a:prstGeom prst="rect">
          <a:avLst/>
        </a:prstGeom>
      </xdr:spPr>
    </xdr:pic>
    <xdr:clientData/>
  </xdr:twoCellAnchor>
  <xdr:twoCellAnchor>
    <xdr:from>
      <xdr:col>8</xdr:col>
      <xdr:colOff>6350</xdr:colOff>
      <xdr:row>4312</xdr:row>
      <xdr:rowOff>25400</xdr:rowOff>
    </xdr:from>
    <xdr:to>
      <xdr:col>8</xdr:col>
      <xdr:colOff>885190</xdr:colOff>
      <xdr:row>4312</xdr:row>
      <xdr:rowOff>1209040</xdr:rowOff>
    </xdr:to>
    <xdr:pic>
      <xdr:nvPicPr>
        <xdr:cNvPr id="7597" name="Изображение 7596" descr="resizeПП-00196934"/>
        <xdr:cNvPicPr>
          <a:picLocks noChangeAspect="1"/>
        </xdr:cNvPicPr>
      </xdr:nvPicPr>
      <xdr:blipFill>
        <a:blip xmlns:r="http://schemas.openxmlformats.org/officeDocument/2006/relationships" r:embed="rId3283"/>
        <a:stretch>
          <a:fillRect/>
        </a:stretch>
      </xdr:blipFill>
      <xdr:spPr>
        <a:xfrm>
          <a:off x="7264400" y="4288024825"/>
          <a:ext cx="878840" cy="1183640"/>
        </a:xfrm>
        <a:prstGeom prst="rect">
          <a:avLst/>
        </a:prstGeom>
      </xdr:spPr>
    </xdr:pic>
    <xdr:clientData/>
  </xdr:twoCellAnchor>
  <xdr:twoCellAnchor>
    <xdr:from>
      <xdr:col>8</xdr:col>
      <xdr:colOff>6350</xdr:colOff>
      <xdr:row>4313</xdr:row>
      <xdr:rowOff>25400</xdr:rowOff>
    </xdr:from>
    <xdr:to>
      <xdr:col>8</xdr:col>
      <xdr:colOff>885190</xdr:colOff>
      <xdr:row>4313</xdr:row>
      <xdr:rowOff>1209040</xdr:rowOff>
    </xdr:to>
    <xdr:pic>
      <xdr:nvPicPr>
        <xdr:cNvPr id="7598" name="Изображение 7597" descr="resizeПП-00247081"/>
        <xdr:cNvPicPr>
          <a:picLocks noChangeAspect="1"/>
        </xdr:cNvPicPr>
      </xdr:nvPicPr>
      <xdr:blipFill>
        <a:blip xmlns:r="http://schemas.openxmlformats.org/officeDocument/2006/relationships" r:embed="rId3284"/>
        <a:stretch>
          <a:fillRect/>
        </a:stretch>
      </xdr:blipFill>
      <xdr:spPr>
        <a:xfrm>
          <a:off x="7264400" y="4289247200"/>
          <a:ext cx="878840" cy="1183640"/>
        </a:xfrm>
        <a:prstGeom prst="rect">
          <a:avLst/>
        </a:prstGeom>
      </xdr:spPr>
    </xdr:pic>
    <xdr:clientData/>
  </xdr:twoCellAnchor>
  <xdr:twoCellAnchor>
    <xdr:from>
      <xdr:col>8</xdr:col>
      <xdr:colOff>6350</xdr:colOff>
      <xdr:row>4314</xdr:row>
      <xdr:rowOff>25400</xdr:rowOff>
    </xdr:from>
    <xdr:to>
      <xdr:col>8</xdr:col>
      <xdr:colOff>885190</xdr:colOff>
      <xdr:row>4314</xdr:row>
      <xdr:rowOff>1209040</xdr:rowOff>
    </xdr:to>
    <xdr:pic>
      <xdr:nvPicPr>
        <xdr:cNvPr id="7599" name="Изображение 7598" descr="resizeПП-00286715"/>
        <xdr:cNvPicPr>
          <a:picLocks noChangeAspect="1"/>
        </xdr:cNvPicPr>
      </xdr:nvPicPr>
      <xdr:blipFill>
        <a:blip xmlns:r="http://schemas.openxmlformats.org/officeDocument/2006/relationships" r:embed="rId3285"/>
        <a:stretch>
          <a:fillRect/>
        </a:stretch>
      </xdr:blipFill>
      <xdr:spPr>
        <a:xfrm>
          <a:off x="7264400" y="4290469575"/>
          <a:ext cx="878840" cy="1183640"/>
        </a:xfrm>
        <a:prstGeom prst="rect">
          <a:avLst/>
        </a:prstGeom>
      </xdr:spPr>
    </xdr:pic>
    <xdr:clientData/>
  </xdr:twoCellAnchor>
  <xdr:twoCellAnchor>
    <xdr:from>
      <xdr:col>8</xdr:col>
      <xdr:colOff>6350</xdr:colOff>
      <xdr:row>4315</xdr:row>
      <xdr:rowOff>25400</xdr:rowOff>
    </xdr:from>
    <xdr:to>
      <xdr:col>8</xdr:col>
      <xdr:colOff>885190</xdr:colOff>
      <xdr:row>4315</xdr:row>
      <xdr:rowOff>1209040</xdr:rowOff>
    </xdr:to>
    <xdr:pic>
      <xdr:nvPicPr>
        <xdr:cNvPr id="7600" name="Изображение 7599" descr="resizeПП-00247080"/>
        <xdr:cNvPicPr>
          <a:picLocks noChangeAspect="1"/>
        </xdr:cNvPicPr>
      </xdr:nvPicPr>
      <xdr:blipFill>
        <a:blip xmlns:r="http://schemas.openxmlformats.org/officeDocument/2006/relationships" r:embed="rId3286"/>
        <a:stretch>
          <a:fillRect/>
        </a:stretch>
      </xdr:blipFill>
      <xdr:spPr>
        <a:xfrm>
          <a:off x="7264400" y="4291691950"/>
          <a:ext cx="878840" cy="1183640"/>
        </a:xfrm>
        <a:prstGeom prst="rect">
          <a:avLst/>
        </a:prstGeom>
      </xdr:spPr>
    </xdr:pic>
    <xdr:clientData/>
  </xdr:twoCellAnchor>
  <xdr:twoCellAnchor>
    <xdr:from>
      <xdr:col>8</xdr:col>
      <xdr:colOff>6350</xdr:colOff>
      <xdr:row>4316</xdr:row>
      <xdr:rowOff>25400</xdr:rowOff>
    </xdr:from>
    <xdr:to>
      <xdr:col>8</xdr:col>
      <xdr:colOff>885190</xdr:colOff>
      <xdr:row>4316</xdr:row>
      <xdr:rowOff>1209040</xdr:rowOff>
    </xdr:to>
    <xdr:pic>
      <xdr:nvPicPr>
        <xdr:cNvPr id="7601" name="Изображение 7600" descr="resizeПП-00273214"/>
        <xdr:cNvPicPr>
          <a:picLocks noChangeAspect="1"/>
        </xdr:cNvPicPr>
      </xdr:nvPicPr>
      <xdr:blipFill>
        <a:blip xmlns:r="http://schemas.openxmlformats.org/officeDocument/2006/relationships" r:embed="rId3287"/>
        <a:stretch>
          <a:fillRect/>
        </a:stretch>
      </xdr:blipFill>
      <xdr:spPr>
        <a:xfrm>
          <a:off x="7264400" y="4292914325"/>
          <a:ext cx="878840" cy="1183640"/>
        </a:xfrm>
        <a:prstGeom prst="rect">
          <a:avLst/>
        </a:prstGeom>
      </xdr:spPr>
    </xdr:pic>
    <xdr:clientData/>
  </xdr:twoCellAnchor>
  <xdr:twoCellAnchor>
    <xdr:from>
      <xdr:col>8</xdr:col>
      <xdr:colOff>6350</xdr:colOff>
      <xdr:row>4317</xdr:row>
      <xdr:rowOff>25400</xdr:rowOff>
    </xdr:from>
    <xdr:to>
      <xdr:col>8</xdr:col>
      <xdr:colOff>885190</xdr:colOff>
      <xdr:row>4317</xdr:row>
      <xdr:rowOff>1209040</xdr:rowOff>
    </xdr:to>
    <xdr:pic>
      <xdr:nvPicPr>
        <xdr:cNvPr id="7602" name="Изображение 7601" descr="resizeПП-00197025"/>
        <xdr:cNvPicPr>
          <a:picLocks noChangeAspect="1"/>
        </xdr:cNvPicPr>
      </xdr:nvPicPr>
      <xdr:blipFill>
        <a:blip xmlns:r="http://schemas.openxmlformats.org/officeDocument/2006/relationships" r:embed="rId3288"/>
        <a:stretch>
          <a:fillRect/>
        </a:stretch>
      </xdr:blipFill>
      <xdr:spPr>
        <a:xfrm>
          <a:off x="7264400" y="4294136700"/>
          <a:ext cx="878840" cy="1183640"/>
        </a:xfrm>
        <a:prstGeom prst="rect">
          <a:avLst/>
        </a:prstGeom>
      </xdr:spPr>
    </xdr:pic>
    <xdr:clientData/>
  </xdr:twoCellAnchor>
  <xdr:twoCellAnchor>
    <xdr:from>
      <xdr:col>8</xdr:col>
      <xdr:colOff>6350</xdr:colOff>
      <xdr:row>4318</xdr:row>
      <xdr:rowOff>25400</xdr:rowOff>
    </xdr:from>
    <xdr:to>
      <xdr:col>8</xdr:col>
      <xdr:colOff>885190</xdr:colOff>
      <xdr:row>4318</xdr:row>
      <xdr:rowOff>1209040</xdr:rowOff>
    </xdr:to>
    <xdr:pic>
      <xdr:nvPicPr>
        <xdr:cNvPr id="7603" name="Изображение 7602" descr="resizeПП-00286716"/>
        <xdr:cNvPicPr>
          <a:picLocks noChangeAspect="1"/>
        </xdr:cNvPicPr>
      </xdr:nvPicPr>
      <xdr:blipFill>
        <a:blip xmlns:r="http://schemas.openxmlformats.org/officeDocument/2006/relationships" r:embed="rId3289"/>
        <a:stretch>
          <a:fillRect/>
        </a:stretch>
      </xdr:blipFill>
      <xdr:spPr>
        <a:xfrm>
          <a:off x="7264400" y="4295359075"/>
          <a:ext cx="878840" cy="1183640"/>
        </a:xfrm>
        <a:prstGeom prst="rect">
          <a:avLst/>
        </a:prstGeom>
      </xdr:spPr>
    </xdr:pic>
    <xdr:clientData/>
  </xdr:twoCellAnchor>
  <xdr:twoCellAnchor>
    <xdr:from>
      <xdr:col>8</xdr:col>
      <xdr:colOff>6350</xdr:colOff>
      <xdr:row>4319</xdr:row>
      <xdr:rowOff>25400</xdr:rowOff>
    </xdr:from>
    <xdr:to>
      <xdr:col>8</xdr:col>
      <xdr:colOff>885190</xdr:colOff>
      <xdr:row>4319</xdr:row>
      <xdr:rowOff>1209040</xdr:rowOff>
    </xdr:to>
    <xdr:pic>
      <xdr:nvPicPr>
        <xdr:cNvPr id="7604" name="Изображение 7603" descr="resizeПП-00246122"/>
        <xdr:cNvPicPr>
          <a:picLocks noChangeAspect="1"/>
        </xdr:cNvPicPr>
      </xdr:nvPicPr>
      <xdr:blipFill>
        <a:blip xmlns:r="http://schemas.openxmlformats.org/officeDocument/2006/relationships" r:embed="rId3290"/>
        <a:stretch>
          <a:fillRect/>
        </a:stretch>
      </xdr:blipFill>
      <xdr:spPr>
        <a:xfrm>
          <a:off x="7264400" y="4296581450"/>
          <a:ext cx="878840" cy="1183640"/>
        </a:xfrm>
        <a:prstGeom prst="rect">
          <a:avLst/>
        </a:prstGeom>
      </xdr:spPr>
    </xdr:pic>
    <xdr:clientData/>
  </xdr:twoCellAnchor>
  <xdr:twoCellAnchor>
    <xdr:from>
      <xdr:col>8</xdr:col>
      <xdr:colOff>6350</xdr:colOff>
      <xdr:row>4320</xdr:row>
      <xdr:rowOff>25400</xdr:rowOff>
    </xdr:from>
    <xdr:to>
      <xdr:col>8</xdr:col>
      <xdr:colOff>885190</xdr:colOff>
      <xdr:row>4320</xdr:row>
      <xdr:rowOff>1209040</xdr:rowOff>
    </xdr:to>
    <xdr:pic>
      <xdr:nvPicPr>
        <xdr:cNvPr id="7605" name="Изображение 7604" descr="resizeПП-00196933"/>
        <xdr:cNvPicPr>
          <a:picLocks noChangeAspect="1"/>
        </xdr:cNvPicPr>
      </xdr:nvPicPr>
      <xdr:blipFill>
        <a:blip xmlns:r="http://schemas.openxmlformats.org/officeDocument/2006/relationships" r:embed="rId3291"/>
        <a:stretch>
          <a:fillRect/>
        </a:stretch>
      </xdr:blipFill>
      <xdr:spPr>
        <a:xfrm>
          <a:off x="7264400" y="4297803825"/>
          <a:ext cx="878840" cy="1183640"/>
        </a:xfrm>
        <a:prstGeom prst="rect">
          <a:avLst/>
        </a:prstGeom>
      </xdr:spPr>
    </xdr:pic>
    <xdr:clientData/>
  </xdr:twoCellAnchor>
  <xdr:twoCellAnchor>
    <xdr:from>
      <xdr:col>8</xdr:col>
      <xdr:colOff>6350</xdr:colOff>
      <xdr:row>4321</xdr:row>
      <xdr:rowOff>25400</xdr:rowOff>
    </xdr:from>
    <xdr:to>
      <xdr:col>8</xdr:col>
      <xdr:colOff>885190</xdr:colOff>
      <xdr:row>4321</xdr:row>
      <xdr:rowOff>1209040</xdr:rowOff>
    </xdr:to>
    <xdr:pic>
      <xdr:nvPicPr>
        <xdr:cNvPr id="7606" name="Изображение 7605" descr="resizeПП-00268503"/>
        <xdr:cNvPicPr>
          <a:picLocks noChangeAspect="1"/>
        </xdr:cNvPicPr>
      </xdr:nvPicPr>
      <xdr:blipFill>
        <a:blip xmlns:r="http://schemas.openxmlformats.org/officeDocument/2006/relationships" r:embed="rId3292"/>
        <a:stretch>
          <a:fillRect/>
        </a:stretch>
      </xdr:blipFill>
      <xdr:spPr>
        <a:xfrm>
          <a:off x="7264400" y="4299026200"/>
          <a:ext cx="878840" cy="1183640"/>
        </a:xfrm>
        <a:prstGeom prst="rect">
          <a:avLst/>
        </a:prstGeom>
      </xdr:spPr>
    </xdr:pic>
    <xdr:clientData/>
  </xdr:twoCellAnchor>
  <xdr:twoCellAnchor>
    <xdr:from>
      <xdr:col>8</xdr:col>
      <xdr:colOff>6350</xdr:colOff>
      <xdr:row>4322</xdr:row>
      <xdr:rowOff>25400</xdr:rowOff>
    </xdr:from>
    <xdr:to>
      <xdr:col>8</xdr:col>
      <xdr:colOff>885190</xdr:colOff>
      <xdr:row>4322</xdr:row>
      <xdr:rowOff>1209040</xdr:rowOff>
    </xdr:to>
    <xdr:pic>
      <xdr:nvPicPr>
        <xdr:cNvPr id="7607" name="Изображение 7606" descr="resizeПП-00183744"/>
        <xdr:cNvPicPr>
          <a:picLocks noChangeAspect="1"/>
        </xdr:cNvPicPr>
      </xdr:nvPicPr>
      <xdr:blipFill>
        <a:blip xmlns:r="http://schemas.openxmlformats.org/officeDocument/2006/relationships" r:embed="rId3293"/>
        <a:stretch>
          <a:fillRect/>
        </a:stretch>
      </xdr:blipFill>
      <xdr:spPr>
        <a:xfrm>
          <a:off x="7264400" y="4300248575"/>
          <a:ext cx="878840" cy="1183640"/>
        </a:xfrm>
        <a:prstGeom prst="rect">
          <a:avLst/>
        </a:prstGeom>
      </xdr:spPr>
    </xdr:pic>
    <xdr:clientData/>
  </xdr:twoCellAnchor>
  <xdr:twoCellAnchor>
    <xdr:from>
      <xdr:col>8</xdr:col>
      <xdr:colOff>6350</xdr:colOff>
      <xdr:row>4323</xdr:row>
      <xdr:rowOff>25400</xdr:rowOff>
    </xdr:from>
    <xdr:to>
      <xdr:col>8</xdr:col>
      <xdr:colOff>885190</xdr:colOff>
      <xdr:row>4323</xdr:row>
      <xdr:rowOff>1209040</xdr:rowOff>
    </xdr:to>
    <xdr:pic>
      <xdr:nvPicPr>
        <xdr:cNvPr id="7608" name="Изображение 7607" descr="resizeПП-00217500"/>
        <xdr:cNvPicPr>
          <a:picLocks noChangeAspect="1"/>
        </xdr:cNvPicPr>
      </xdr:nvPicPr>
      <xdr:blipFill>
        <a:blip xmlns:r="http://schemas.openxmlformats.org/officeDocument/2006/relationships" r:embed="rId3294"/>
        <a:stretch>
          <a:fillRect/>
        </a:stretch>
      </xdr:blipFill>
      <xdr:spPr>
        <a:xfrm>
          <a:off x="7264400" y="4301470950"/>
          <a:ext cx="878840" cy="1183640"/>
        </a:xfrm>
        <a:prstGeom prst="rect">
          <a:avLst/>
        </a:prstGeom>
      </xdr:spPr>
    </xdr:pic>
    <xdr:clientData/>
  </xdr:twoCellAnchor>
  <xdr:twoCellAnchor>
    <xdr:from>
      <xdr:col>8</xdr:col>
      <xdr:colOff>6350</xdr:colOff>
      <xdr:row>4324</xdr:row>
      <xdr:rowOff>25400</xdr:rowOff>
    </xdr:from>
    <xdr:to>
      <xdr:col>8</xdr:col>
      <xdr:colOff>885190</xdr:colOff>
      <xdr:row>4324</xdr:row>
      <xdr:rowOff>1209040</xdr:rowOff>
    </xdr:to>
    <xdr:pic>
      <xdr:nvPicPr>
        <xdr:cNvPr id="7609" name="Изображение 7608" descr="resizeПП-00218184"/>
        <xdr:cNvPicPr>
          <a:picLocks noChangeAspect="1"/>
        </xdr:cNvPicPr>
      </xdr:nvPicPr>
      <xdr:blipFill>
        <a:blip xmlns:r="http://schemas.openxmlformats.org/officeDocument/2006/relationships" r:embed="rId3295"/>
        <a:stretch>
          <a:fillRect/>
        </a:stretch>
      </xdr:blipFill>
      <xdr:spPr>
        <a:xfrm>
          <a:off x="7264400" y="4302693325"/>
          <a:ext cx="878840" cy="1183640"/>
        </a:xfrm>
        <a:prstGeom prst="rect">
          <a:avLst/>
        </a:prstGeom>
      </xdr:spPr>
    </xdr:pic>
    <xdr:clientData/>
  </xdr:twoCellAnchor>
  <xdr:twoCellAnchor>
    <xdr:from>
      <xdr:col>8</xdr:col>
      <xdr:colOff>6350</xdr:colOff>
      <xdr:row>4327</xdr:row>
      <xdr:rowOff>25400</xdr:rowOff>
    </xdr:from>
    <xdr:to>
      <xdr:col>8</xdr:col>
      <xdr:colOff>885190</xdr:colOff>
      <xdr:row>4327</xdr:row>
      <xdr:rowOff>1209040</xdr:rowOff>
    </xdr:to>
    <xdr:pic>
      <xdr:nvPicPr>
        <xdr:cNvPr id="7610" name="Изображение 7609" descr="resizeПП-00260870"/>
        <xdr:cNvPicPr>
          <a:picLocks noChangeAspect="1"/>
        </xdr:cNvPicPr>
      </xdr:nvPicPr>
      <xdr:blipFill>
        <a:blip xmlns:r="http://schemas.openxmlformats.org/officeDocument/2006/relationships" r:embed="rId3296"/>
        <a:stretch>
          <a:fillRect/>
        </a:stretch>
      </xdr:blipFill>
      <xdr:spPr>
        <a:xfrm>
          <a:off x="7264400" y="4304220500"/>
          <a:ext cx="878840" cy="1183640"/>
        </a:xfrm>
        <a:prstGeom prst="rect">
          <a:avLst/>
        </a:prstGeom>
      </xdr:spPr>
    </xdr:pic>
    <xdr:clientData/>
  </xdr:twoCellAnchor>
  <xdr:twoCellAnchor>
    <xdr:from>
      <xdr:col>8</xdr:col>
      <xdr:colOff>6350</xdr:colOff>
      <xdr:row>4329</xdr:row>
      <xdr:rowOff>25400</xdr:rowOff>
    </xdr:from>
    <xdr:to>
      <xdr:col>8</xdr:col>
      <xdr:colOff>885190</xdr:colOff>
      <xdr:row>4329</xdr:row>
      <xdr:rowOff>1209040</xdr:rowOff>
    </xdr:to>
    <xdr:pic>
      <xdr:nvPicPr>
        <xdr:cNvPr id="7611" name="Изображение 7610" descr="resizeПП-00197093"/>
        <xdr:cNvPicPr>
          <a:picLocks noChangeAspect="1"/>
        </xdr:cNvPicPr>
      </xdr:nvPicPr>
      <xdr:blipFill>
        <a:blip xmlns:r="http://schemas.openxmlformats.org/officeDocument/2006/relationships" r:embed="rId3297"/>
        <a:stretch>
          <a:fillRect/>
        </a:stretch>
      </xdr:blipFill>
      <xdr:spPr>
        <a:xfrm>
          <a:off x="7264400" y="4305595275"/>
          <a:ext cx="878840" cy="1183640"/>
        </a:xfrm>
        <a:prstGeom prst="rect">
          <a:avLst/>
        </a:prstGeom>
      </xdr:spPr>
    </xdr:pic>
    <xdr:clientData/>
  </xdr:twoCellAnchor>
  <xdr:twoCellAnchor>
    <xdr:from>
      <xdr:col>8</xdr:col>
      <xdr:colOff>6350</xdr:colOff>
      <xdr:row>4330</xdr:row>
      <xdr:rowOff>25400</xdr:rowOff>
    </xdr:from>
    <xdr:to>
      <xdr:col>8</xdr:col>
      <xdr:colOff>885190</xdr:colOff>
      <xdr:row>4330</xdr:row>
      <xdr:rowOff>1209040</xdr:rowOff>
    </xdr:to>
    <xdr:pic>
      <xdr:nvPicPr>
        <xdr:cNvPr id="7612" name="Изображение 7611" descr="resizeПП-00217496"/>
        <xdr:cNvPicPr>
          <a:picLocks noChangeAspect="1"/>
        </xdr:cNvPicPr>
      </xdr:nvPicPr>
      <xdr:blipFill>
        <a:blip xmlns:r="http://schemas.openxmlformats.org/officeDocument/2006/relationships" r:embed="rId3298"/>
        <a:stretch>
          <a:fillRect/>
        </a:stretch>
      </xdr:blipFill>
      <xdr:spPr>
        <a:xfrm>
          <a:off x="7264400" y="4306817650"/>
          <a:ext cx="878840" cy="1183640"/>
        </a:xfrm>
        <a:prstGeom prst="rect">
          <a:avLst/>
        </a:prstGeom>
      </xdr:spPr>
    </xdr:pic>
    <xdr:clientData/>
  </xdr:twoCellAnchor>
  <xdr:twoCellAnchor>
    <xdr:from>
      <xdr:col>8</xdr:col>
      <xdr:colOff>6350</xdr:colOff>
      <xdr:row>4332</xdr:row>
      <xdr:rowOff>25400</xdr:rowOff>
    </xdr:from>
    <xdr:to>
      <xdr:col>8</xdr:col>
      <xdr:colOff>885190</xdr:colOff>
      <xdr:row>4332</xdr:row>
      <xdr:rowOff>1209040</xdr:rowOff>
    </xdr:to>
    <xdr:pic>
      <xdr:nvPicPr>
        <xdr:cNvPr id="7613" name="Изображение 7612" descr="resizeПП-00246126"/>
        <xdr:cNvPicPr>
          <a:picLocks noChangeAspect="1"/>
        </xdr:cNvPicPr>
      </xdr:nvPicPr>
      <xdr:blipFill>
        <a:blip xmlns:r="http://schemas.openxmlformats.org/officeDocument/2006/relationships" r:embed="rId3299"/>
        <a:stretch>
          <a:fillRect/>
        </a:stretch>
      </xdr:blipFill>
      <xdr:spPr>
        <a:xfrm>
          <a:off x="7264400" y="4308192425"/>
          <a:ext cx="878840" cy="1183640"/>
        </a:xfrm>
        <a:prstGeom prst="rect">
          <a:avLst/>
        </a:prstGeom>
      </xdr:spPr>
    </xdr:pic>
    <xdr:clientData/>
  </xdr:twoCellAnchor>
  <xdr:twoCellAnchor>
    <xdr:from>
      <xdr:col>8</xdr:col>
      <xdr:colOff>6350</xdr:colOff>
      <xdr:row>4333</xdr:row>
      <xdr:rowOff>25400</xdr:rowOff>
    </xdr:from>
    <xdr:to>
      <xdr:col>8</xdr:col>
      <xdr:colOff>885190</xdr:colOff>
      <xdr:row>4333</xdr:row>
      <xdr:rowOff>1209040</xdr:rowOff>
    </xdr:to>
    <xdr:pic>
      <xdr:nvPicPr>
        <xdr:cNvPr id="7614" name="Изображение 7613" descr="resizeПП-00268507"/>
        <xdr:cNvPicPr>
          <a:picLocks noChangeAspect="1"/>
        </xdr:cNvPicPr>
      </xdr:nvPicPr>
      <xdr:blipFill>
        <a:blip xmlns:r="http://schemas.openxmlformats.org/officeDocument/2006/relationships" r:embed="rId3300"/>
        <a:stretch>
          <a:fillRect/>
        </a:stretch>
      </xdr:blipFill>
      <xdr:spPr>
        <a:xfrm>
          <a:off x="7264400" y="4309414800"/>
          <a:ext cx="878840" cy="1183640"/>
        </a:xfrm>
        <a:prstGeom prst="rect">
          <a:avLst/>
        </a:prstGeom>
      </xdr:spPr>
    </xdr:pic>
    <xdr:clientData/>
  </xdr:twoCellAnchor>
  <xdr:twoCellAnchor>
    <xdr:from>
      <xdr:col>8</xdr:col>
      <xdr:colOff>6350</xdr:colOff>
      <xdr:row>4334</xdr:row>
      <xdr:rowOff>25400</xdr:rowOff>
    </xdr:from>
    <xdr:to>
      <xdr:col>8</xdr:col>
      <xdr:colOff>885190</xdr:colOff>
      <xdr:row>4334</xdr:row>
      <xdr:rowOff>1209040</xdr:rowOff>
    </xdr:to>
    <xdr:pic>
      <xdr:nvPicPr>
        <xdr:cNvPr id="7615" name="Изображение 7614" descr="resizeПП-00197054"/>
        <xdr:cNvPicPr>
          <a:picLocks noChangeAspect="1"/>
        </xdr:cNvPicPr>
      </xdr:nvPicPr>
      <xdr:blipFill>
        <a:blip xmlns:r="http://schemas.openxmlformats.org/officeDocument/2006/relationships" r:embed="rId3301"/>
        <a:stretch>
          <a:fillRect/>
        </a:stretch>
      </xdr:blipFill>
      <xdr:spPr>
        <a:xfrm>
          <a:off x="7264400" y="4310637175"/>
          <a:ext cx="878840" cy="1183640"/>
        </a:xfrm>
        <a:prstGeom prst="rect">
          <a:avLst/>
        </a:prstGeom>
      </xdr:spPr>
    </xdr:pic>
    <xdr:clientData/>
  </xdr:twoCellAnchor>
  <xdr:twoCellAnchor>
    <xdr:from>
      <xdr:col>8</xdr:col>
      <xdr:colOff>6350</xdr:colOff>
      <xdr:row>4335</xdr:row>
      <xdr:rowOff>25400</xdr:rowOff>
    </xdr:from>
    <xdr:to>
      <xdr:col>8</xdr:col>
      <xdr:colOff>885190</xdr:colOff>
      <xdr:row>4335</xdr:row>
      <xdr:rowOff>1209040</xdr:rowOff>
    </xdr:to>
    <xdr:pic>
      <xdr:nvPicPr>
        <xdr:cNvPr id="7616" name="Изображение 7615" descr="resizeПП-00286722"/>
        <xdr:cNvPicPr>
          <a:picLocks noChangeAspect="1"/>
        </xdr:cNvPicPr>
      </xdr:nvPicPr>
      <xdr:blipFill>
        <a:blip xmlns:r="http://schemas.openxmlformats.org/officeDocument/2006/relationships" r:embed="rId3302"/>
        <a:stretch>
          <a:fillRect/>
        </a:stretch>
      </xdr:blipFill>
      <xdr:spPr>
        <a:xfrm>
          <a:off x="7264400" y="4311859550"/>
          <a:ext cx="878840" cy="1183640"/>
        </a:xfrm>
        <a:prstGeom prst="rect">
          <a:avLst/>
        </a:prstGeom>
      </xdr:spPr>
    </xdr:pic>
    <xdr:clientData/>
  </xdr:twoCellAnchor>
  <xdr:twoCellAnchor>
    <xdr:from>
      <xdr:col>8</xdr:col>
      <xdr:colOff>6350</xdr:colOff>
      <xdr:row>4336</xdr:row>
      <xdr:rowOff>25400</xdr:rowOff>
    </xdr:from>
    <xdr:to>
      <xdr:col>8</xdr:col>
      <xdr:colOff>885190</xdr:colOff>
      <xdr:row>4336</xdr:row>
      <xdr:rowOff>1209040</xdr:rowOff>
    </xdr:to>
    <xdr:pic>
      <xdr:nvPicPr>
        <xdr:cNvPr id="7617" name="Изображение 7616" descr="resizeПП-00268510"/>
        <xdr:cNvPicPr>
          <a:picLocks noChangeAspect="1"/>
        </xdr:cNvPicPr>
      </xdr:nvPicPr>
      <xdr:blipFill>
        <a:blip xmlns:r="http://schemas.openxmlformats.org/officeDocument/2006/relationships" r:embed="rId3303"/>
        <a:stretch>
          <a:fillRect/>
        </a:stretch>
      </xdr:blipFill>
      <xdr:spPr>
        <a:xfrm>
          <a:off x="7264400" y="4313081925"/>
          <a:ext cx="878840" cy="1183640"/>
        </a:xfrm>
        <a:prstGeom prst="rect">
          <a:avLst/>
        </a:prstGeom>
      </xdr:spPr>
    </xdr:pic>
    <xdr:clientData/>
  </xdr:twoCellAnchor>
  <xdr:twoCellAnchor>
    <xdr:from>
      <xdr:col>8</xdr:col>
      <xdr:colOff>6350</xdr:colOff>
      <xdr:row>4337</xdr:row>
      <xdr:rowOff>25400</xdr:rowOff>
    </xdr:from>
    <xdr:to>
      <xdr:col>8</xdr:col>
      <xdr:colOff>885190</xdr:colOff>
      <xdr:row>4337</xdr:row>
      <xdr:rowOff>1209040</xdr:rowOff>
    </xdr:to>
    <xdr:pic>
      <xdr:nvPicPr>
        <xdr:cNvPr id="7618" name="Изображение 7617" descr="resizeПП-00196930"/>
        <xdr:cNvPicPr>
          <a:picLocks noChangeAspect="1"/>
        </xdr:cNvPicPr>
      </xdr:nvPicPr>
      <xdr:blipFill>
        <a:blip xmlns:r="http://schemas.openxmlformats.org/officeDocument/2006/relationships" r:embed="rId3304"/>
        <a:stretch>
          <a:fillRect/>
        </a:stretch>
      </xdr:blipFill>
      <xdr:spPr>
        <a:xfrm>
          <a:off x="7264400" y="4314304300"/>
          <a:ext cx="878840" cy="1183640"/>
        </a:xfrm>
        <a:prstGeom prst="rect">
          <a:avLst/>
        </a:prstGeom>
      </xdr:spPr>
    </xdr:pic>
    <xdr:clientData/>
  </xdr:twoCellAnchor>
  <xdr:twoCellAnchor>
    <xdr:from>
      <xdr:col>8</xdr:col>
      <xdr:colOff>6350</xdr:colOff>
      <xdr:row>4338</xdr:row>
      <xdr:rowOff>25400</xdr:rowOff>
    </xdr:from>
    <xdr:to>
      <xdr:col>8</xdr:col>
      <xdr:colOff>885190</xdr:colOff>
      <xdr:row>4338</xdr:row>
      <xdr:rowOff>1209040</xdr:rowOff>
    </xdr:to>
    <xdr:pic>
      <xdr:nvPicPr>
        <xdr:cNvPr id="7619" name="Изображение 7618" descr="resizeПП-00286721"/>
        <xdr:cNvPicPr>
          <a:picLocks noChangeAspect="1"/>
        </xdr:cNvPicPr>
      </xdr:nvPicPr>
      <xdr:blipFill>
        <a:blip xmlns:r="http://schemas.openxmlformats.org/officeDocument/2006/relationships" r:embed="rId3305"/>
        <a:stretch>
          <a:fillRect/>
        </a:stretch>
      </xdr:blipFill>
      <xdr:spPr>
        <a:xfrm>
          <a:off x="7264400" y="4315526675"/>
          <a:ext cx="878840" cy="1183640"/>
        </a:xfrm>
        <a:prstGeom prst="rect">
          <a:avLst/>
        </a:prstGeom>
      </xdr:spPr>
    </xdr:pic>
    <xdr:clientData/>
  </xdr:twoCellAnchor>
  <xdr:twoCellAnchor>
    <xdr:from>
      <xdr:col>8</xdr:col>
      <xdr:colOff>6350</xdr:colOff>
      <xdr:row>4339</xdr:row>
      <xdr:rowOff>25400</xdr:rowOff>
    </xdr:from>
    <xdr:to>
      <xdr:col>8</xdr:col>
      <xdr:colOff>885190</xdr:colOff>
      <xdr:row>4339</xdr:row>
      <xdr:rowOff>1209040</xdr:rowOff>
    </xdr:to>
    <xdr:pic>
      <xdr:nvPicPr>
        <xdr:cNvPr id="7620" name="Изображение 7619" descr="resizeПП-00246130"/>
        <xdr:cNvPicPr>
          <a:picLocks noChangeAspect="1"/>
        </xdr:cNvPicPr>
      </xdr:nvPicPr>
      <xdr:blipFill>
        <a:blip xmlns:r="http://schemas.openxmlformats.org/officeDocument/2006/relationships" r:embed="rId3306"/>
        <a:stretch>
          <a:fillRect/>
        </a:stretch>
      </xdr:blipFill>
      <xdr:spPr>
        <a:xfrm>
          <a:off x="7264400" y="4316749050"/>
          <a:ext cx="878840" cy="1183640"/>
        </a:xfrm>
        <a:prstGeom prst="rect">
          <a:avLst/>
        </a:prstGeom>
      </xdr:spPr>
    </xdr:pic>
    <xdr:clientData/>
  </xdr:twoCellAnchor>
  <xdr:twoCellAnchor>
    <xdr:from>
      <xdr:col>8</xdr:col>
      <xdr:colOff>6350</xdr:colOff>
      <xdr:row>4340</xdr:row>
      <xdr:rowOff>25400</xdr:rowOff>
    </xdr:from>
    <xdr:to>
      <xdr:col>8</xdr:col>
      <xdr:colOff>885190</xdr:colOff>
      <xdr:row>4340</xdr:row>
      <xdr:rowOff>1209040</xdr:rowOff>
    </xdr:to>
    <xdr:pic>
      <xdr:nvPicPr>
        <xdr:cNvPr id="7621" name="Изображение 7620" descr="resizeПП-00286723"/>
        <xdr:cNvPicPr>
          <a:picLocks noChangeAspect="1"/>
        </xdr:cNvPicPr>
      </xdr:nvPicPr>
      <xdr:blipFill>
        <a:blip xmlns:r="http://schemas.openxmlformats.org/officeDocument/2006/relationships" r:embed="rId3307"/>
        <a:stretch>
          <a:fillRect/>
        </a:stretch>
      </xdr:blipFill>
      <xdr:spPr>
        <a:xfrm>
          <a:off x="7264400" y="4317971425"/>
          <a:ext cx="878840" cy="1183640"/>
        </a:xfrm>
        <a:prstGeom prst="rect">
          <a:avLst/>
        </a:prstGeom>
      </xdr:spPr>
    </xdr:pic>
    <xdr:clientData/>
  </xdr:twoCellAnchor>
  <xdr:twoCellAnchor>
    <xdr:from>
      <xdr:col>8</xdr:col>
      <xdr:colOff>6350</xdr:colOff>
      <xdr:row>4341</xdr:row>
      <xdr:rowOff>25400</xdr:rowOff>
    </xdr:from>
    <xdr:to>
      <xdr:col>8</xdr:col>
      <xdr:colOff>885190</xdr:colOff>
      <xdr:row>4341</xdr:row>
      <xdr:rowOff>1209040</xdr:rowOff>
    </xdr:to>
    <xdr:pic>
      <xdr:nvPicPr>
        <xdr:cNvPr id="7622" name="Изображение 7621" descr="resizeПП-00217857"/>
        <xdr:cNvPicPr>
          <a:picLocks noChangeAspect="1"/>
        </xdr:cNvPicPr>
      </xdr:nvPicPr>
      <xdr:blipFill>
        <a:blip xmlns:r="http://schemas.openxmlformats.org/officeDocument/2006/relationships" r:embed="rId3308"/>
        <a:stretch>
          <a:fillRect/>
        </a:stretch>
      </xdr:blipFill>
      <xdr:spPr>
        <a:xfrm>
          <a:off x="7264400" y="4319193800"/>
          <a:ext cx="878840" cy="1183640"/>
        </a:xfrm>
        <a:prstGeom prst="rect">
          <a:avLst/>
        </a:prstGeom>
      </xdr:spPr>
    </xdr:pic>
    <xdr:clientData/>
  </xdr:twoCellAnchor>
  <xdr:twoCellAnchor>
    <xdr:from>
      <xdr:col>8</xdr:col>
      <xdr:colOff>6350</xdr:colOff>
      <xdr:row>4342</xdr:row>
      <xdr:rowOff>25400</xdr:rowOff>
    </xdr:from>
    <xdr:to>
      <xdr:col>8</xdr:col>
      <xdr:colOff>885190</xdr:colOff>
      <xdr:row>4342</xdr:row>
      <xdr:rowOff>1209040</xdr:rowOff>
    </xdr:to>
    <xdr:pic>
      <xdr:nvPicPr>
        <xdr:cNvPr id="7623" name="Изображение 7622" descr="resizeПП-00217858"/>
        <xdr:cNvPicPr>
          <a:picLocks noChangeAspect="1"/>
        </xdr:cNvPicPr>
      </xdr:nvPicPr>
      <xdr:blipFill>
        <a:blip xmlns:r="http://schemas.openxmlformats.org/officeDocument/2006/relationships" r:embed="rId3309"/>
        <a:stretch>
          <a:fillRect/>
        </a:stretch>
      </xdr:blipFill>
      <xdr:spPr>
        <a:xfrm>
          <a:off x="7264400" y="4320416175"/>
          <a:ext cx="878840" cy="1183640"/>
        </a:xfrm>
        <a:prstGeom prst="rect">
          <a:avLst/>
        </a:prstGeom>
      </xdr:spPr>
    </xdr:pic>
    <xdr:clientData/>
  </xdr:twoCellAnchor>
  <xdr:twoCellAnchor>
    <xdr:from>
      <xdr:col>8</xdr:col>
      <xdr:colOff>6350</xdr:colOff>
      <xdr:row>4343</xdr:row>
      <xdr:rowOff>25400</xdr:rowOff>
    </xdr:from>
    <xdr:to>
      <xdr:col>8</xdr:col>
      <xdr:colOff>885190</xdr:colOff>
      <xdr:row>4343</xdr:row>
      <xdr:rowOff>1209040</xdr:rowOff>
    </xdr:to>
    <xdr:pic>
      <xdr:nvPicPr>
        <xdr:cNvPr id="7624" name="Изображение 7623" descr="resizeПП-00218173"/>
        <xdr:cNvPicPr>
          <a:picLocks noChangeAspect="1"/>
        </xdr:cNvPicPr>
      </xdr:nvPicPr>
      <xdr:blipFill>
        <a:blip xmlns:r="http://schemas.openxmlformats.org/officeDocument/2006/relationships" r:embed="rId3310"/>
        <a:stretch>
          <a:fillRect/>
        </a:stretch>
      </xdr:blipFill>
      <xdr:spPr>
        <a:xfrm>
          <a:off x="7264400" y="4321638550"/>
          <a:ext cx="878840" cy="1183640"/>
        </a:xfrm>
        <a:prstGeom prst="rect">
          <a:avLst/>
        </a:prstGeom>
      </xdr:spPr>
    </xdr:pic>
    <xdr:clientData/>
  </xdr:twoCellAnchor>
  <xdr:twoCellAnchor>
    <xdr:from>
      <xdr:col>8</xdr:col>
      <xdr:colOff>6350</xdr:colOff>
      <xdr:row>4344</xdr:row>
      <xdr:rowOff>25400</xdr:rowOff>
    </xdr:from>
    <xdr:to>
      <xdr:col>8</xdr:col>
      <xdr:colOff>885190</xdr:colOff>
      <xdr:row>4344</xdr:row>
      <xdr:rowOff>1209040</xdr:rowOff>
    </xdr:to>
    <xdr:pic>
      <xdr:nvPicPr>
        <xdr:cNvPr id="7625" name="Изображение 7624" descr="resizeПП-00218180"/>
        <xdr:cNvPicPr>
          <a:picLocks noChangeAspect="1"/>
        </xdr:cNvPicPr>
      </xdr:nvPicPr>
      <xdr:blipFill>
        <a:blip xmlns:r="http://schemas.openxmlformats.org/officeDocument/2006/relationships" r:embed="rId3311"/>
        <a:stretch>
          <a:fillRect/>
        </a:stretch>
      </xdr:blipFill>
      <xdr:spPr>
        <a:xfrm>
          <a:off x="7264400" y="4322860925"/>
          <a:ext cx="878840" cy="1183640"/>
        </a:xfrm>
        <a:prstGeom prst="rect">
          <a:avLst/>
        </a:prstGeom>
      </xdr:spPr>
    </xdr:pic>
    <xdr:clientData/>
  </xdr:twoCellAnchor>
  <xdr:twoCellAnchor>
    <xdr:from>
      <xdr:col>8</xdr:col>
      <xdr:colOff>6350</xdr:colOff>
      <xdr:row>4346</xdr:row>
      <xdr:rowOff>25400</xdr:rowOff>
    </xdr:from>
    <xdr:to>
      <xdr:col>8</xdr:col>
      <xdr:colOff>885190</xdr:colOff>
      <xdr:row>4346</xdr:row>
      <xdr:rowOff>1209040</xdr:rowOff>
    </xdr:to>
    <xdr:pic>
      <xdr:nvPicPr>
        <xdr:cNvPr id="7626" name="Изображение 7625" descr="resizeПП-00286724"/>
        <xdr:cNvPicPr>
          <a:picLocks noChangeAspect="1"/>
        </xdr:cNvPicPr>
      </xdr:nvPicPr>
      <xdr:blipFill>
        <a:blip xmlns:r="http://schemas.openxmlformats.org/officeDocument/2006/relationships" r:embed="rId3312"/>
        <a:stretch>
          <a:fillRect/>
        </a:stretch>
      </xdr:blipFill>
      <xdr:spPr>
        <a:xfrm>
          <a:off x="7264400" y="4324235700"/>
          <a:ext cx="878840" cy="1183640"/>
        </a:xfrm>
        <a:prstGeom prst="rect">
          <a:avLst/>
        </a:prstGeom>
      </xdr:spPr>
    </xdr:pic>
    <xdr:clientData/>
  </xdr:twoCellAnchor>
  <xdr:twoCellAnchor>
    <xdr:from>
      <xdr:col>8</xdr:col>
      <xdr:colOff>6350</xdr:colOff>
      <xdr:row>4349</xdr:row>
      <xdr:rowOff>25400</xdr:rowOff>
    </xdr:from>
    <xdr:to>
      <xdr:col>8</xdr:col>
      <xdr:colOff>885190</xdr:colOff>
      <xdr:row>4349</xdr:row>
      <xdr:rowOff>1209040</xdr:rowOff>
    </xdr:to>
    <xdr:pic>
      <xdr:nvPicPr>
        <xdr:cNvPr id="7627" name="Изображение 7626" descr="resizeПП-00247085"/>
        <xdr:cNvPicPr>
          <a:picLocks noChangeAspect="1"/>
        </xdr:cNvPicPr>
      </xdr:nvPicPr>
      <xdr:blipFill>
        <a:blip xmlns:r="http://schemas.openxmlformats.org/officeDocument/2006/relationships" r:embed="rId3313"/>
        <a:stretch>
          <a:fillRect/>
        </a:stretch>
      </xdr:blipFill>
      <xdr:spPr>
        <a:xfrm>
          <a:off x="7264400" y="4325762875"/>
          <a:ext cx="878840" cy="1183640"/>
        </a:xfrm>
        <a:prstGeom prst="rect">
          <a:avLst/>
        </a:prstGeom>
      </xdr:spPr>
    </xdr:pic>
    <xdr:clientData/>
  </xdr:twoCellAnchor>
  <xdr:twoCellAnchor>
    <xdr:from>
      <xdr:col>8</xdr:col>
      <xdr:colOff>6350</xdr:colOff>
      <xdr:row>4350</xdr:row>
      <xdr:rowOff>25400</xdr:rowOff>
    </xdr:from>
    <xdr:to>
      <xdr:col>8</xdr:col>
      <xdr:colOff>885190</xdr:colOff>
      <xdr:row>4350</xdr:row>
      <xdr:rowOff>1209040</xdr:rowOff>
    </xdr:to>
    <xdr:pic>
      <xdr:nvPicPr>
        <xdr:cNvPr id="7628" name="Изображение 7627" descr="resizeПП-00217503"/>
        <xdr:cNvPicPr>
          <a:picLocks noChangeAspect="1"/>
        </xdr:cNvPicPr>
      </xdr:nvPicPr>
      <xdr:blipFill>
        <a:blip xmlns:r="http://schemas.openxmlformats.org/officeDocument/2006/relationships" r:embed="rId3314"/>
        <a:stretch>
          <a:fillRect/>
        </a:stretch>
      </xdr:blipFill>
      <xdr:spPr>
        <a:xfrm>
          <a:off x="7264400" y="4326985250"/>
          <a:ext cx="878840" cy="1183640"/>
        </a:xfrm>
        <a:prstGeom prst="rect">
          <a:avLst/>
        </a:prstGeom>
      </xdr:spPr>
    </xdr:pic>
    <xdr:clientData/>
  </xdr:twoCellAnchor>
  <xdr:twoCellAnchor>
    <xdr:from>
      <xdr:col>8</xdr:col>
      <xdr:colOff>6350</xdr:colOff>
      <xdr:row>4351</xdr:row>
      <xdr:rowOff>25400</xdr:rowOff>
    </xdr:from>
    <xdr:to>
      <xdr:col>8</xdr:col>
      <xdr:colOff>885190</xdr:colOff>
      <xdr:row>4351</xdr:row>
      <xdr:rowOff>1209040</xdr:rowOff>
    </xdr:to>
    <xdr:pic>
      <xdr:nvPicPr>
        <xdr:cNvPr id="7629" name="Изображение 7628" descr="resizeПП-00104983"/>
        <xdr:cNvPicPr>
          <a:picLocks noChangeAspect="1"/>
        </xdr:cNvPicPr>
      </xdr:nvPicPr>
      <xdr:blipFill>
        <a:blip xmlns:r="http://schemas.openxmlformats.org/officeDocument/2006/relationships" r:embed="rId3315"/>
        <a:stretch>
          <a:fillRect/>
        </a:stretch>
      </xdr:blipFill>
      <xdr:spPr>
        <a:xfrm>
          <a:off x="7264400" y="4328207625"/>
          <a:ext cx="878840" cy="1183640"/>
        </a:xfrm>
        <a:prstGeom prst="rect">
          <a:avLst/>
        </a:prstGeom>
      </xdr:spPr>
    </xdr:pic>
    <xdr:clientData/>
  </xdr:twoCellAnchor>
  <xdr:twoCellAnchor>
    <xdr:from>
      <xdr:col>8</xdr:col>
      <xdr:colOff>6350</xdr:colOff>
      <xdr:row>4352</xdr:row>
      <xdr:rowOff>25400</xdr:rowOff>
    </xdr:from>
    <xdr:to>
      <xdr:col>8</xdr:col>
      <xdr:colOff>885190</xdr:colOff>
      <xdr:row>4352</xdr:row>
      <xdr:rowOff>1209040</xdr:rowOff>
    </xdr:to>
    <xdr:pic>
      <xdr:nvPicPr>
        <xdr:cNvPr id="7630" name="Изображение 7629" descr="resizeПП-00217502"/>
        <xdr:cNvPicPr>
          <a:picLocks noChangeAspect="1"/>
        </xdr:cNvPicPr>
      </xdr:nvPicPr>
      <xdr:blipFill>
        <a:blip xmlns:r="http://schemas.openxmlformats.org/officeDocument/2006/relationships" r:embed="rId3316"/>
        <a:stretch>
          <a:fillRect/>
        </a:stretch>
      </xdr:blipFill>
      <xdr:spPr>
        <a:xfrm>
          <a:off x="7264400" y="4329430000"/>
          <a:ext cx="878840" cy="1183640"/>
        </a:xfrm>
        <a:prstGeom prst="rect">
          <a:avLst/>
        </a:prstGeom>
      </xdr:spPr>
    </xdr:pic>
    <xdr:clientData/>
  </xdr:twoCellAnchor>
  <xdr:twoCellAnchor>
    <xdr:from>
      <xdr:col>8</xdr:col>
      <xdr:colOff>6350</xdr:colOff>
      <xdr:row>4354</xdr:row>
      <xdr:rowOff>25400</xdr:rowOff>
    </xdr:from>
    <xdr:to>
      <xdr:col>8</xdr:col>
      <xdr:colOff>885190</xdr:colOff>
      <xdr:row>4354</xdr:row>
      <xdr:rowOff>1209040</xdr:rowOff>
    </xdr:to>
    <xdr:pic>
      <xdr:nvPicPr>
        <xdr:cNvPr id="7631" name="Изображение 7630" descr="resizeПП-00217863"/>
        <xdr:cNvPicPr>
          <a:picLocks noChangeAspect="1"/>
        </xdr:cNvPicPr>
      </xdr:nvPicPr>
      <xdr:blipFill>
        <a:blip xmlns:r="http://schemas.openxmlformats.org/officeDocument/2006/relationships" r:embed="rId3317"/>
        <a:stretch>
          <a:fillRect/>
        </a:stretch>
      </xdr:blipFill>
      <xdr:spPr>
        <a:xfrm>
          <a:off x="7264400" y="4330804775"/>
          <a:ext cx="878840" cy="1183640"/>
        </a:xfrm>
        <a:prstGeom prst="rect">
          <a:avLst/>
        </a:prstGeom>
      </xdr:spPr>
    </xdr:pic>
    <xdr:clientData/>
  </xdr:twoCellAnchor>
  <xdr:twoCellAnchor>
    <xdr:from>
      <xdr:col>8</xdr:col>
      <xdr:colOff>6350</xdr:colOff>
      <xdr:row>4355</xdr:row>
      <xdr:rowOff>25400</xdr:rowOff>
    </xdr:from>
    <xdr:to>
      <xdr:col>8</xdr:col>
      <xdr:colOff>885190</xdr:colOff>
      <xdr:row>4355</xdr:row>
      <xdr:rowOff>1209040</xdr:rowOff>
    </xdr:to>
    <xdr:pic>
      <xdr:nvPicPr>
        <xdr:cNvPr id="7632" name="Изображение 7631" descr="resizeПП-00286729"/>
        <xdr:cNvPicPr>
          <a:picLocks noChangeAspect="1"/>
        </xdr:cNvPicPr>
      </xdr:nvPicPr>
      <xdr:blipFill>
        <a:blip xmlns:r="http://schemas.openxmlformats.org/officeDocument/2006/relationships" r:embed="rId3318"/>
        <a:stretch>
          <a:fillRect/>
        </a:stretch>
      </xdr:blipFill>
      <xdr:spPr>
        <a:xfrm>
          <a:off x="7264400" y="4332027150"/>
          <a:ext cx="878840" cy="1183640"/>
        </a:xfrm>
        <a:prstGeom prst="rect">
          <a:avLst/>
        </a:prstGeom>
      </xdr:spPr>
    </xdr:pic>
    <xdr:clientData/>
  </xdr:twoCellAnchor>
  <xdr:twoCellAnchor>
    <xdr:from>
      <xdr:col>8</xdr:col>
      <xdr:colOff>6350</xdr:colOff>
      <xdr:row>4356</xdr:row>
      <xdr:rowOff>25400</xdr:rowOff>
    </xdr:from>
    <xdr:to>
      <xdr:col>8</xdr:col>
      <xdr:colOff>885190</xdr:colOff>
      <xdr:row>4356</xdr:row>
      <xdr:rowOff>1209040</xdr:rowOff>
    </xdr:to>
    <xdr:pic>
      <xdr:nvPicPr>
        <xdr:cNvPr id="7633" name="Изображение 7632" descr="resizeПП-00286727"/>
        <xdr:cNvPicPr>
          <a:picLocks noChangeAspect="1"/>
        </xdr:cNvPicPr>
      </xdr:nvPicPr>
      <xdr:blipFill>
        <a:blip xmlns:r="http://schemas.openxmlformats.org/officeDocument/2006/relationships" r:embed="rId3319"/>
        <a:stretch>
          <a:fillRect/>
        </a:stretch>
      </xdr:blipFill>
      <xdr:spPr>
        <a:xfrm>
          <a:off x="7264400" y="4333249525"/>
          <a:ext cx="878840" cy="1183640"/>
        </a:xfrm>
        <a:prstGeom prst="rect">
          <a:avLst/>
        </a:prstGeom>
      </xdr:spPr>
    </xdr:pic>
    <xdr:clientData/>
  </xdr:twoCellAnchor>
  <xdr:twoCellAnchor>
    <xdr:from>
      <xdr:col>8</xdr:col>
      <xdr:colOff>6350</xdr:colOff>
      <xdr:row>4357</xdr:row>
      <xdr:rowOff>25400</xdr:rowOff>
    </xdr:from>
    <xdr:to>
      <xdr:col>8</xdr:col>
      <xdr:colOff>885190</xdr:colOff>
      <xdr:row>4357</xdr:row>
      <xdr:rowOff>1209040</xdr:rowOff>
    </xdr:to>
    <xdr:pic>
      <xdr:nvPicPr>
        <xdr:cNvPr id="7634" name="Изображение 7633" descr="resizeПП-00286728"/>
        <xdr:cNvPicPr>
          <a:picLocks noChangeAspect="1"/>
        </xdr:cNvPicPr>
      </xdr:nvPicPr>
      <xdr:blipFill>
        <a:blip xmlns:r="http://schemas.openxmlformats.org/officeDocument/2006/relationships" r:embed="rId3320"/>
        <a:stretch>
          <a:fillRect/>
        </a:stretch>
      </xdr:blipFill>
      <xdr:spPr>
        <a:xfrm>
          <a:off x="7264400" y="4334471900"/>
          <a:ext cx="878840" cy="1183640"/>
        </a:xfrm>
        <a:prstGeom prst="rect">
          <a:avLst/>
        </a:prstGeom>
      </xdr:spPr>
    </xdr:pic>
    <xdr:clientData/>
  </xdr:twoCellAnchor>
  <xdr:twoCellAnchor>
    <xdr:from>
      <xdr:col>8</xdr:col>
      <xdr:colOff>6350</xdr:colOff>
      <xdr:row>4358</xdr:row>
      <xdr:rowOff>25400</xdr:rowOff>
    </xdr:from>
    <xdr:to>
      <xdr:col>8</xdr:col>
      <xdr:colOff>885190</xdr:colOff>
      <xdr:row>4358</xdr:row>
      <xdr:rowOff>1209040</xdr:rowOff>
    </xdr:to>
    <xdr:pic>
      <xdr:nvPicPr>
        <xdr:cNvPr id="7635" name="Изображение 7634" descr="resizeПП-00217862"/>
        <xdr:cNvPicPr>
          <a:picLocks noChangeAspect="1"/>
        </xdr:cNvPicPr>
      </xdr:nvPicPr>
      <xdr:blipFill>
        <a:blip xmlns:r="http://schemas.openxmlformats.org/officeDocument/2006/relationships" r:embed="rId3321"/>
        <a:stretch>
          <a:fillRect/>
        </a:stretch>
      </xdr:blipFill>
      <xdr:spPr>
        <a:xfrm>
          <a:off x="7264400" y="4335694275"/>
          <a:ext cx="878840" cy="1183640"/>
        </a:xfrm>
        <a:prstGeom prst="rect">
          <a:avLst/>
        </a:prstGeom>
      </xdr:spPr>
    </xdr:pic>
    <xdr:clientData/>
  </xdr:twoCellAnchor>
  <xdr:twoCellAnchor>
    <xdr:from>
      <xdr:col>8</xdr:col>
      <xdr:colOff>6350</xdr:colOff>
      <xdr:row>4360</xdr:row>
      <xdr:rowOff>25400</xdr:rowOff>
    </xdr:from>
    <xdr:to>
      <xdr:col>8</xdr:col>
      <xdr:colOff>885190</xdr:colOff>
      <xdr:row>4360</xdr:row>
      <xdr:rowOff>1209040</xdr:rowOff>
    </xdr:to>
    <xdr:pic>
      <xdr:nvPicPr>
        <xdr:cNvPr id="7636" name="Изображение 7635" descr="resizeПП-00247087"/>
        <xdr:cNvPicPr>
          <a:picLocks noChangeAspect="1"/>
        </xdr:cNvPicPr>
      </xdr:nvPicPr>
      <xdr:blipFill>
        <a:blip xmlns:r="http://schemas.openxmlformats.org/officeDocument/2006/relationships" r:embed="rId3322"/>
        <a:stretch>
          <a:fillRect/>
        </a:stretch>
      </xdr:blipFill>
      <xdr:spPr>
        <a:xfrm>
          <a:off x="7264400" y="4337069050"/>
          <a:ext cx="878840" cy="1183640"/>
        </a:xfrm>
        <a:prstGeom prst="rect">
          <a:avLst/>
        </a:prstGeom>
      </xdr:spPr>
    </xdr:pic>
    <xdr:clientData/>
  </xdr:twoCellAnchor>
  <xdr:twoCellAnchor>
    <xdr:from>
      <xdr:col>8</xdr:col>
      <xdr:colOff>6350</xdr:colOff>
      <xdr:row>4361</xdr:row>
      <xdr:rowOff>25400</xdr:rowOff>
    </xdr:from>
    <xdr:to>
      <xdr:col>8</xdr:col>
      <xdr:colOff>885190</xdr:colOff>
      <xdr:row>4361</xdr:row>
      <xdr:rowOff>1209040</xdr:rowOff>
    </xdr:to>
    <xdr:pic>
      <xdr:nvPicPr>
        <xdr:cNvPr id="7637" name="Изображение 7636" descr="resizeПП-00197056"/>
        <xdr:cNvPicPr>
          <a:picLocks noChangeAspect="1"/>
        </xdr:cNvPicPr>
      </xdr:nvPicPr>
      <xdr:blipFill>
        <a:blip xmlns:r="http://schemas.openxmlformats.org/officeDocument/2006/relationships" r:embed="rId3323"/>
        <a:stretch>
          <a:fillRect/>
        </a:stretch>
      </xdr:blipFill>
      <xdr:spPr>
        <a:xfrm>
          <a:off x="7264400" y="4338291425"/>
          <a:ext cx="878840" cy="1183640"/>
        </a:xfrm>
        <a:prstGeom prst="rect">
          <a:avLst/>
        </a:prstGeom>
      </xdr:spPr>
    </xdr:pic>
    <xdr:clientData/>
  </xdr:twoCellAnchor>
  <xdr:twoCellAnchor>
    <xdr:from>
      <xdr:col>8</xdr:col>
      <xdr:colOff>6350</xdr:colOff>
      <xdr:row>4362</xdr:row>
      <xdr:rowOff>25400</xdr:rowOff>
    </xdr:from>
    <xdr:to>
      <xdr:col>8</xdr:col>
      <xdr:colOff>885190</xdr:colOff>
      <xdr:row>4362</xdr:row>
      <xdr:rowOff>1209040</xdr:rowOff>
    </xdr:to>
    <xdr:pic>
      <xdr:nvPicPr>
        <xdr:cNvPr id="7638" name="Изображение 7637" descr="resizeПП-00268513"/>
        <xdr:cNvPicPr>
          <a:picLocks noChangeAspect="1"/>
        </xdr:cNvPicPr>
      </xdr:nvPicPr>
      <xdr:blipFill>
        <a:blip xmlns:r="http://schemas.openxmlformats.org/officeDocument/2006/relationships" r:embed="rId3324"/>
        <a:stretch>
          <a:fillRect/>
        </a:stretch>
      </xdr:blipFill>
      <xdr:spPr>
        <a:xfrm>
          <a:off x="7264400" y="4339513800"/>
          <a:ext cx="878840" cy="1183640"/>
        </a:xfrm>
        <a:prstGeom prst="rect">
          <a:avLst/>
        </a:prstGeom>
      </xdr:spPr>
    </xdr:pic>
    <xdr:clientData/>
  </xdr:twoCellAnchor>
  <xdr:twoCellAnchor>
    <xdr:from>
      <xdr:col>8</xdr:col>
      <xdr:colOff>6350</xdr:colOff>
      <xdr:row>4364</xdr:row>
      <xdr:rowOff>25400</xdr:rowOff>
    </xdr:from>
    <xdr:to>
      <xdr:col>8</xdr:col>
      <xdr:colOff>885190</xdr:colOff>
      <xdr:row>4364</xdr:row>
      <xdr:rowOff>1209040</xdr:rowOff>
    </xdr:to>
    <xdr:pic>
      <xdr:nvPicPr>
        <xdr:cNvPr id="7639" name="Изображение 7638" descr="resizeПП-00197101"/>
        <xdr:cNvPicPr>
          <a:picLocks noChangeAspect="1"/>
        </xdr:cNvPicPr>
      </xdr:nvPicPr>
      <xdr:blipFill>
        <a:blip xmlns:r="http://schemas.openxmlformats.org/officeDocument/2006/relationships" r:embed="rId3325"/>
        <a:stretch>
          <a:fillRect/>
        </a:stretch>
      </xdr:blipFill>
      <xdr:spPr>
        <a:xfrm>
          <a:off x="7264400" y="4340888575"/>
          <a:ext cx="878840" cy="1183640"/>
        </a:xfrm>
        <a:prstGeom prst="rect">
          <a:avLst/>
        </a:prstGeom>
      </xdr:spPr>
    </xdr:pic>
    <xdr:clientData/>
  </xdr:twoCellAnchor>
  <xdr:twoCellAnchor>
    <xdr:from>
      <xdr:col>8</xdr:col>
      <xdr:colOff>6350</xdr:colOff>
      <xdr:row>4365</xdr:row>
      <xdr:rowOff>25400</xdr:rowOff>
    </xdr:from>
    <xdr:to>
      <xdr:col>8</xdr:col>
      <xdr:colOff>885190</xdr:colOff>
      <xdr:row>4365</xdr:row>
      <xdr:rowOff>1209040</xdr:rowOff>
    </xdr:to>
    <xdr:pic>
      <xdr:nvPicPr>
        <xdr:cNvPr id="7640" name="Изображение 7639" descr="resizeПП-00273934"/>
        <xdr:cNvPicPr>
          <a:picLocks noChangeAspect="1"/>
        </xdr:cNvPicPr>
      </xdr:nvPicPr>
      <xdr:blipFill>
        <a:blip xmlns:r="http://schemas.openxmlformats.org/officeDocument/2006/relationships" r:embed="rId3326"/>
        <a:stretch>
          <a:fillRect/>
        </a:stretch>
      </xdr:blipFill>
      <xdr:spPr>
        <a:xfrm>
          <a:off x="7264400" y="4342110950"/>
          <a:ext cx="878840" cy="1183640"/>
        </a:xfrm>
        <a:prstGeom prst="rect">
          <a:avLst/>
        </a:prstGeom>
      </xdr:spPr>
    </xdr:pic>
    <xdr:clientData/>
  </xdr:twoCellAnchor>
  <xdr:twoCellAnchor>
    <xdr:from>
      <xdr:col>8</xdr:col>
      <xdr:colOff>6350</xdr:colOff>
      <xdr:row>4366</xdr:row>
      <xdr:rowOff>25400</xdr:rowOff>
    </xdr:from>
    <xdr:to>
      <xdr:col>8</xdr:col>
      <xdr:colOff>885190</xdr:colOff>
      <xdr:row>4366</xdr:row>
      <xdr:rowOff>1209040</xdr:rowOff>
    </xdr:to>
    <xdr:pic>
      <xdr:nvPicPr>
        <xdr:cNvPr id="7641" name="Изображение 7640" descr="resizeПП-00197098"/>
        <xdr:cNvPicPr>
          <a:picLocks noChangeAspect="1"/>
        </xdr:cNvPicPr>
      </xdr:nvPicPr>
      <xdr:blipFill>
        <a:blip xmlns:r="http://schemas.openxmlformats.org/officeDocument/2006/relationships" r:embed="rId3327"/>
        <a:stretch>
          <a:fillRect/>
        </a:stretch>
      </xdr:blipFill>
      <xdr:spPr>
        <a:xfrm>
          <a:off x="7264400" y="4343333325"/>
          <a:ext cx="878840" cy="1183640"/>
        </a:xfrm>
        <a:prstGeom prst="rect">
          <a:avLst/>
        </a:prstGeom>
      </xdr:spPr>
    </xdr:pic>
    <xdr:clientData/>
  </xdr:twoCellAnchor>
  <xdr:twoCellAnchor>
    <xdr:from>
      <xdr:col>8</xdr:col>
      <xdr:colOff>6350</xdr:colOff>
      <xdr:row>4368</xdr:row>
      <xdr:rowOff>25400</xdr:rowOff>
    </xdr:from>
    <xdr:to>
      <xdr:col>8</xdr:col>
      <xdr:colOff>885190</xdr:colOff>
      <xdr:row>4368</xdr:row>
      <xdr:rowOff>1209040</xdr:rowOff>
    </xdr:to>
    <xdr:pic>
      <xdr:nvPicPr>
        <xdr:cNvPr id="7642" name="Изображение 7641" descr="resizeПП-00097440"/>
        <xdr:cNvPicPr>
          <a:picLocks noChangeAspect="1"/>
        </xdr:cNvPicPr>
      </xdr:nvPicPr>
      <xdr:blipFill>
        <a:blip xmlns:r="http://schemas.openxmlformats.org/officeDocument/2006/relationships" r:embed="rId3328"/>
        <a:stretch>
          <a:fillRect/>
        </a:stretch>
      </xdr:blipFill>
      <xdr:spPr>
        <a:xfrm>
          <a:off x="7264400" y="4344708100"/>
          <a:ext cx="878840" cy="1183640"/>
        </a:xfrm>
        <a:prstGeom prst="rect">
          <a:avLst/>
        </a:prstGeom>
      </xdr:spPr>
    </xdr:pic>
    <xdr:clientData/>
  </xdr:twoCellAnchor>
  <xdr:twoCellAnchor>
    <xdr:from>
      <xdr:col>8</xdr:col>
      <xdr:colOff>6350</xdr:colOff>
      <xdr:row>4370</xdr:row>
      <xdr:rowOff>25400</xdr:rowOff>
    </xdr:from>
    <xdr:to>
      <xdr:col>8</xdr:col>
      <xdr:colOff>885190</xdr:colOff>
      <xdr:row>4370</xdr:row>
      <xdr:rowOff>1209040</xdr:rowOff>
    </xdr:to>
    <xdr:pic>
      <xdr:nvPicPr>
        <xdr:cNvPr id="7643" name="Изображение 7642" descr="resizeПП-00247090"/>
        <xdr:cNvPicPr>
          <a:picLocks noChangeAspect="1"/>
        </xdr:cNvPicPr>
      </xdr:nvPicPr>
      <xdr:blipFill>
        <a:blip xmlns:r="http://schemas.openxmlformats.org/officeDocument/2006/relationships" r:embed="rId3329"/>
        <a:stretch>
          <a:fillRect/>
        </a:stretch>
      </xdr:blipFill>
      <xdr:spPr>
        <a:xfrm>
          <a:off x="7264400" y="4346082875"/>
          <a:ext cx="878840" cy="1183640"/>
        </a:xfrm>
        <a:prstGeom prst="rect">
          <a:avLst/>
        </a:prstGeom>
      </xdr:spPr>
    </xdr:pic>
    <xdr:clientData/>
  </xdr:twoCellAnchor>
  <xdr:twoCellAnchor>
    <xdr:from>
      <xdr:col>8</xdr:col>
      <xdr:colOff>6350</xdr:colOff>
      <xdr:row>4372</xdr:row>
      <xdr:rowOff>25400</xdr:rowOff>
    </xdr:from>
    <xdr:to>
      <xdr:col>8</xdr:col>
      <xdr:colOff>885190</xdr:colOff>
      <xdr:row>4372</xdr:row>
      <xdr:rowOff>1209040</xdr:rowOff>
    </xdr:to>
    <xdr:pic>
      <xdr:nvPicPr>
        <xdr:cNvPr id="7644" name="Изображение 7643" descr="resizeПП-00256614"/>
        <xdr:cNvPicPr>
          <a:picLocks noChangeAspect="1"/>
        </xdr:cNvPicPr>
      </xdr:nvPicPr>
      <xdr:blipFill>
        <a:blip xmlns:r="http://schemas.openxmlformats.org/officeDocument/2006/relationships" r:embed="rId3330"/>
        <a:stretch>
          <a:fillRect/>
        </a:stretch>
      </xdr:blipFill>
      <xdr:spPr>
        <a:xfrm>
          <a:off x="7264400" y="4347457650"/>
          <a:ext cx="878840" cy="1183640"/>
        </a:xfrm>
        <a:prstGeom prst="rect">
          <a:avLst/>
        </a:prstGeom>
      </xdr:spPr>
    </xdr:pic>
    <xdr:clientData/>
  </xdr:twoCellAnchor>
  <xdr:twoCellAnchor>
    <xdr:from>
      <xdr:col>8</xdr:col>
      <xdr:colOff>6350</xdr:colOff>
      <xdr:row>4373</xdr:row>
      <xdr:rowOff>25400</xdr:rowOff>
    </xdr:from>
    <xdr:to>
      <xdr:col>8</xdr:col>
      <xdr:colOff>885190</xdr:colOff>
      <xdr:row>4373</xdr:row>
      <xdr:rowOff>1209040</xdr:rowOff>
    </xdr:to>
    <xdr:pic>
      <xdr:nvPicPr>
        <xdr:cNvPr id="7645" name="Изображение 7644" descr="resizeПП-00286732"/>
        <xdr:cNvPicPr>
          <a:picLocks noChangeAspect="1"/>
        </xdr:cNvPicPr>
      </xdr:nvPicPr>
      <xdr:blipFill>
        <a:blip xmlns:r="http://schemas.openxmlformats.org/officeDocument/2006/relationships" r:embed="rId3331"/>
        <a:stretch>
          <a:fillRect/>
        </a:stretch>
      </xdr:blipFill>
      <xdr:spPr>
        <a:xfrm>
          <a:off x="7264400" y="4348680025"/>
          <a:ext cx="878840" cy="1183640"/>
        </a:xfrm>
        <a:prstGeom prst="rect">
          <a:avLst/>
        </a:prstGeom>
      </xdr:spPr>
    </xdr:pic>
    <xdr:clientData/>
  </xdr:twoCellAnchor>
  <xdr:twoCellAnchor>
    <xdr:from>
      <xdr:col>8</xdr:col>
      <xdr:colOff>6350</xdr:colOff>
      <xdr:row>4374</xdr:row>
      <xdr:rowOff>25400</xdr:rowOff>
    </xdr:from>
    <xdr:to>
      <xdr:col>8</xdr:col>
      <xdr:colOff>885190</xdr:colOff>
      <xdr:row>4374</xdr:row>
      <xdr:rowOff>1209040</xdr:rowOff>
    </xdr:to>
    <xdr:pic>
      <xdr:nvPicPr>
        <xdr:cNvPr id="7646" name="Изображение 7645" descr="resizeПП-00285477"/>
        <xdr:cNvPicPr>
          <a:picLocks noChangeAspect="1"/>
        </xdr:cNvPicPr>
      </xdr:nvPicPr>
      <xdr:blipFill>
        <a:blip xmlns:r="http://schemas.openxmlformats.org/officeDocument/2006/relationships" r:embed="rId3332"/>
        <a:stretch>
          <a:fillRect/>
        </a:stretch>
      </xdr:blipFill>
      <xdr:spPr>
        <a:xfrm>
          <a:off x="7264400" y="4349902400"/>
          <a:ext cx="878840" cy="1183640"/>
        </a:xfrm>
        <a:prstGeom prst="rect">
          <a:avLst/>
        </a:prstGeom>
      </xdr:spPr>
    </xdr:pic>
    <xdr:clientData/>
  </xdr:twoCellAnchor>
  <xdr:twoCellAnchor>
    <xdr:from>
      <xdr:col>8</xdr:col>
      <xdr:colOff>6350</xdr:colOff>
      <xdr:row>4377</xdr:row>
      <xdr:rowOff>25400</xdr:rowOff>
    </xdr:from>
    <xdr:to>
      <xdr:col>8</xdr:col>
      <xdr:colOff>885190</xdr:colOff>
      <xdr:row>4377</xdr:row>
      <xdr:rowOff>1209040</xdr:rowOff>
    </xdr:to>
    <xdr:pic>
      <xdr:nvPicPr>
        <xdr:cNvPr id="7647" name="Изображение 7646" descr="resizeПП-00246135"/>
        <xdr:cNvPicPr>
          <a:picLocks noChangeAspect="1"/>
        </xdr:cNvPicPr>
      </xdr:nvPicPr>
      <xdr:blipFill>
        <a:blip xmlns:r="http://schemas.openxmlformats.org/officeDocument/2006/relationships" r:embed="rId3333"/>
        <a:stretch>
          <a:fillRect/>
        </a:stretch>
      </xdr:blipFill>
      <xdr:spPr>
        <a:xfrm>
          <a:off x="7264400" y="4351429575"/>
          <a:ext cx="878840" cy="1183640"/>
        </a:xfrm>
        <a:prstGeom prst="rect">
          <a:avLst/>
        </a:prstGeom>
      </xdr:spPr>
    </xdr:pic>
    <xdr:clientData/>
  </xdr:twoCellAnchor>
  <xdr:twoCellAnchor>
    <xdr:from>
      <xdr:col>8</xdr:col>
      <xdr:colOff>6350</xdr:colOff>
      <xdr:row>4378</xdr:row>
      <xdr:rowOff>25400</xdr:rowOff>
    </xdr:from>
    <xdr:to>
      <xdr:col>8</xdr:col>
      <xdr:colOff>885190</xdr:colOff>
      <xdr:row>4378</xdr:row>
      <xdr:rowOff>1209040</xdr:rowOff>
    </xdr:to>
    <xdr:pic>
      <xdr:nvPicPr>
        <xdr:cNvPr id="7648" name="Изображение 7647" descr="resizeПП-00246138"/>
        <xdr:cNvPicPr>
          <a:picLocks noChangeAspect="1"/>
        </xdr:cNvPicPr>
      </xdr:nvPicPr>
      <xdr:blipFill>
        <a:blip xmlns:r="http://schemas.openxmlformats.org/officeDocument/2006/relationships" r:embed="rId3334"/>
        <a:stretch>
          <a:fillRect/>
        </a:stretch>
      </xdr:blipFill>
      <xdr:spPr>
        <a:xfrm>
          <a:off x="7264400" y="4352651950"/>
          <a:ext cx="878840" cy="1183640"/>
        </a:xfrm>
        <a:prstGeom prst="rect">
          <a:avLst/>
        </a:prstGeom>
      </xdr:spPr>
    </xdr:pic>
    <xdr:clientData/>
  </xdr:twoCellAnchor>
  <xdr:twoCellAnchor>
    <xdr:from>
      <xdr:col>8</xdr:col>
      <xdr:colOff>6350</xdr:colOff>
      <xdr:row>4379</xdr:row>
      <xdr:rowOff>25400</xdr:rowOff>
    </xdr:from>
    <xdr:to>
      <xdr:col>8</xdr:col>
      <xdr:colOff>885190</xdr:colOff>
      <xdr:row>4379</xdr:row>
      <xdr:rowOff>1209040</xdr:rowOff>
    </xdr:to>
    <xdr:pic>
      <xdr:nvPicPr>
        <xdr:cNvPr id="7649" name="Изображение 7648" descr="resizeПП-00286733"/>
        <xdr:cNvPicPr>
          <a:picLocks noChangeAspect="1"/>
        </xdr:cNvPicPr>
      </xdr:nvPicPr>
      <xdr:blipFill>
        <a:blip xmlns:r="http://schemas.openxmlformats.org/officeDocument/2006/relationships" r:embed="rId3335"/>
        <a:stretch>
          <a:fillRect/>
        </a:stretch>
      </xdr:blipFill>
      <xdr:spPr>
        <a:xfrm>
          <a:off x="7264400" y="4353874325"/>
          <a:ext cx="878840" cy="1183640"/>
        </a:xfrm>
        <a:prstGeom prst="rect">
          <a:avLst/>
        </a:prstGeom>
      </xdr:spPr>
    </xdr:pic>
    <xdr:clientData/>
  </xdr:twoCellAnchor>
  <xdr:twoCellAnchor>
    <xdr:from>
      <xdr:col>8</xdr:col>
      <xdr:colOff>6350</xdr:colOff>
      <xdr:row>4380</xdr:row>
      <xdr:rowOff>25400</xdr:rowOff>
    </xdr:from>
    <xdr:to>
      <xdr:col>8</xdr:col>
      <xdr:colOff>885190</xdr:colOff>
      <xdr:row>4380</xdr:row>
      <xdr:rowOff>1209040</xdr:rowOff>
    </xdr:to>
    <xdr:pic>
      <xdr:nvPicPr>
        <xdr:cNvPr id="7650" name="Изображение 7649" descr="resizeПП-00206491"/>
        <xdr:cNvPicPr>
          <a:picLocks noChangeAspect="1"/>
        </xdr:cNvPicPr>
      </xdr:nvPicPr>
      <xdr:blipFill>
        <a:blip xmlns:r="http://schemas.openxmlformats.org/officeDocument/2006/relationships" r:embed="rId3336"/>
        <a:stretch>
          <a:fillRect/>
        </a:stretch>
      </xdr:blipFill>
      <xdr:spPr>
        <a:xfrm>
          <a:off x="7264400" y="4355096700"/>
          <a:ext cx="878840" cy="1183640"/>
        </a:xfrm>
        <a:prstGeom prst="rect">
          <a:avLst/>
        </a:prstGeom>
      </xdr:spPr>
    </xdr:pic>
    <xdr:clientData/>
  </xdr:twoCellAnchor>
  <xdr:twoCellAnchor>
    <xdr:from>
      <xdr:col>8</xdr:col>
      <xdr:colOff>6350</xdr:colOff>
      <xdr:row>4381</xdr:row>
      <xdr:rowOff>25400</xdr:rowOff>
    </xdr:from>
    <xdr:to>
      <xdr:col>8</xdr:col>
      <xdr:colOff>885190</xdr:colOff>
      <xdr:row>4381</xdr:row>
      <xdr:rowOff>1209040</xdr:rowOff>
    </xdr:to>
    <xdr:pic>
      <xdr:nvPicPr>
        <xdr:cNvPr id="7651" name="Изображение 7650" descr="resizeПП-00246141"/>
        <xdr:cNvPicPr>
          <a:picLocks noChangeAspect="1"/>
        </xdr:cNvPicPr>
      </xdr:nvPicPr>
      <xdr:blipFill>
        <a:blip xmlns:r="http://schemas.openxmlformats.org/officeDocument/2006/relationships" r:embed="rId3337"/>
        <a:stretch>
          <a:fillRect/>
        </a:stretch>
      </xdr:blipFill>
      <xdr:spPr>
        <a:xfrm>
          <a:off x="7264400" y="4356319075"/>
          <a:ext cx="878840" cy="1183640"/>
        </a:xfrm>
        <a:prstGeom prst="rect">
          <a:avLst/>
        </a:prstGeom>
      </xdr:spPr>
    </xdr:pic>
    <xdr:clientData/>
  </xdr:twoCellAnchor>
  <xdr:twoCellAnchor>
    <xdr:from>
      <xdr:col>8</xdr:col>
      <xdr:colOff>6350</xdr:colOff>
      <xdr:row>4382</xdr:row>
      <xdr:rowOff>25400</xdr:rowOff>
    </xdr:from>
    <xdr:to>
      <xdr:col>8</xdr:col>
      <xdr:colOff>885190</xdr:colOff>
      <xdr:row>4382</xdr:row>
      <xdr:rowOff>1209040</xdr:rowOff>
    </xdr:to>
    <xdr:pic>
      <xdr:nvPicPr>
        <xdr:cNvPr id="7652" name="Изображение 7651" descr="resizeПП-00256610"/>
        <xdr:cNvPicPr>
          <a:picLocks noChangeAspect="1"/>
        </xdr:cNvPicPr>
      </xdr:nvPicPr>
      <xdr:blipFill>
        <a:blip xmlns:r="http://schemas.openxmlformats.org/officeDocument/2006/relationships" r:embed="rId3338"/>
        <a:stretch>
          <a:fillRect/>
        </a:stretch>
      </xdr:blipFill>
      <xdr:spPr>
        <a:xfrm>
          <a:off x="7264400" y="4357541450"/>
          <a:ext cx="878840" cy="1183640"/>
        </a:xfrm>
        <a:prstGeom prst="rect">
          <a:avLst/>
        </a:prstGeom>
      </xdr:spPr>
    </xdr:pic>
    <xdr:clientData/>
  </xdr:twoCellAnchor>
  <xdr:twoCellAnchor>
    <xdr:from>
      <xdr:col>8</xdr:col>
      <xdr:colOff>6350</xdr:colOff>
      <xdr:row>4383</xdr:row>
      <xdr:rowOff>25400</xdr:rowOff>
    </xdr:from>
    <xdr:to>
      <xdr:col>8</xdr:col>
      <xdr:colOff>885190</xdr:colOff>
      <xdr:row>4383</xdr:row>
      <xdr:rowOff>1209040</xdr:rowOff>
    </xdr:to>
    <xdr:pic>
      <xdr:nvPicPr>
        <xdr:cNvPr id="7653" name="Изображение 7652" descr="resizeПП-00257193"/>
        <xdr:cNvPicPr>
          <a:picLocks noChangeAspect="1"/>
        </xdr:cNvPicPr>
      </xdr:nvPicPr>
      <xdr:blipFill>
        <a:blip xmlns:r="http://schemas.openxmlformats.org/officeDocument/2006/relationships" r:embed="rId3339"/>
        <a:stretch>
          <a:fillRect/>
        </a:stretch>
      </xdr:blipFill>
      <xdr:spPr>
        <a:xfrm>
          <a:off x="7264400" y="4358763825"/>
          <a:ext cx="878840" cy="1183640"/>
        </a:xfrm>
        <a:prstGeom prst="rect">
          <a:avLst/>
        </a:prstGeom>
      </xdr:spPr>
    </xdr:pic>
    <xdr:clientData/>
  </xdr:twoCellAnchor>
  <xdr:twoCellAnchor>
    <xdr:from>
      <xdr:col>8</xdr:col>
      <xdr:colOff>6350</xdr:colOff>
      <xdr:row>4385</xdr:row>
      <xdr:rowOff>25400</xdr:rowOff>
    </xdr:from>
    <xdr:to>
      <xdr:col>8</xdr:col>
      <xdr:colOff>885190</xdr:colOff>
      <xdr:row>4385</xdr:row>
      <xdr:rowOff>1209040</xdr:rowOff>
    </xdr:to>
    <xdr:pic>
      <xdr:nvPicPr>
        <xdr:cNvPr id="7654" name="Изображение 7653" descr="resizeПП-00195067"/>
        <xdr:cNvPicPr>
          <a:picLocks noChangeAspect="1"/>
        </xdr:cNvPicPr>
      </xdr:nvPicPr>
      <xdr:blipFill>
        <a:blip xmlns:r="http://schemas.openxmlformats.org/officeDocument/2006/relationships" r:embed="rId3340"/>
        <a:stretch>
          <a:fillRect/>
        </a:stretch>
      </xdr:blipFill>
      <xdr:spPr>
        <a:xfrm>
          <a:off x="7264400" y="4360138600"/>
          <a:ext cx="878840" cy="1183640"/>
        </a:xfrm>
        <a:prstGeom prst="rect">
          <a:avLst/>
        </a:prstGeom>
      </xdr:spPr>
    </xdr:pic>
    <xdr:clientData/>
  </xdr:twoCellAnchor>
  <xdr:twoCellAnchor>
    <xdr:from>
      <xdr:col>8</xdr:col>
      <xdr:colOff>6350</xdr:colOff>
      <xdr:row>4386</xdr:row>
      <xdr:rowOff>25400</xdr:rowOff>
    </xdr:from>
    <xdr:to>
      <xdr:col>8</xdr:col>
      <xdr:colOff>885190</xdr:colOff>
      <xdr:row>4386</xdr:row>
      <xdr:rowOff>1209040</xdr:rowOff>
    </xdr:to>
    <xdr:pic>
      <xdr:nvPicPr>
        <xdr:cNvPr id="7655" name="Изображение 7654" descr="resizeПП-00286738"/>
        <xdr:cNvPicPr>
          <a:picLocks noChangeAspect="1"/>
        </xdr:cNvPicPr>
      </xdr:nvPicPr>
      <xdr:blipFill>
        <a:blip xmlns:r="http://schemas.openxmlformats.org/officeDocument/2006/relationships" r:embed="rId3341"/>
        <a:stretch>
          <a:fillRect/>
        </a:stretch>
      </xdr:blipFill>
      <xdr:spPr>
        <a:xfrm>
          <a:off x="7264400" y="4361360975"/>
          <a:ext cx="878840" cy="1183640"/>
        </a:xfrm>
        <a:prstGeom prst="rect">
          <a:avLst/>
        </a:prstGeom>
      </xdr:spPr>
    </xdr:pic>
    <xdr:clientData/>
  </xdr:twoCellAnchor>
  <xdr:twoCellAnchor>
    <xdr:from>
      <xdr:col>8</xdr:col>
      <xdr:colOff>6350</xdr:colOff>
      <xdr:row>4387</xdr:row>
      <xdr:rowOff>25400</xdr:rowOff>
    </xdr:from>
    <xdr:to>
      <xdr:col>8</xdr:col>
      <xdr:colOff>885190</xdr:colOff>
      <xdr:row>4387</xdr:row>
      <xdr:rowOff>1209040</xdr:rowOff>
    </xdr:to>
    <xdr:pic>
      <xdr:nvPicPr>
        <xdr:cNvPr id="7656" name="Изображение 7655" descr="resizeПП-00217868"/>
        <xdr:cNvPicPr>
          <a:picLocks noChangeAspect="1"/>
        </xdr:cNvPicPr>
      </xdr:nvPicPr>
      <xdr:blipFill>
        <a:blip xmlns:r="http://schemas.openxmlformats.org/officeDocument/2006/relationships" r:embed="rId3342"/>
        <a:stretch>
          <a:fillRect/>
        </a:stretch>
      </xdr:blipFill>
      <xdr:spPr>
        <a:xfrm>
          <a:off x="7264400" y="4362583350"/>
          <a:ext cx="878840" cy="1183640"/>
        </a:xfrm>
        <a:prstGeom prst="rect">
          <a:avLst/>
        </a:prstGeom>
      </xdr:spPr>
    </xdr:pic>
    <xdr:clientData/>
  </xdr:twoCellAnchor>
  <xdr:twoCellAnchor>
    <xdr:from>
      <xdr:col>8</xdr:col>
      <xdr:colOff>6350</xdr:colOff>
      <xdr:row>4388</xdr:row>
      <xdr:rowOff>25400</xdr:rowOff>
    </xdr:from>
    <xdr:to>
      <xdr:col>8</xdr:col>
      <xdr:colOff>885190</xdr:colOff>
      <xdr:row>4388</xdr:row>
      <xdr:rowOff>1209040</xdr:rowOff>
    </xdr:to>
    <xdr:pic>
      <xdr:nvPicPr>
        <xdr:cNvPr id="7657" name="Изображение 7656" descr="resizeПП-00286739"/>
        <xdr:cNvPicPr>
          <a:picLocks noChangeAspect="1"/>
        </xdr:cNvPicPr>
      </xdr:nvPicPr>
      <xdr:blipFill>
        <a:blip xmlns:r="http://schemas.openxmlformats.org/officeDocument/2006/relationships" r:embed="rId3343"/>
        <a:stretch>
          <a:fillRect/>
        </a:stretch>
      </xdr:blipFill>
      <xdr:spPr>
        <a:xfrm>
          <a:off x="7264400" y="4363805725"/>
          <a:ext cx="878840" cy="1183640"/>
        </a:xfrm>
        <a:prstGeom prst="rect">
          <a:avLst/>
        </a:prstGeom>
      </xdr:spPr>
    </xdr:pic>
    <xdr:clientData/>
  </xdr:twoCellAnchor>
  <xdr:twoCellAnchor>
    <xdr:from>
      <xdr:col>8</xdr:col>
      <xdr:colOff>6350</xdr:colOff>
      <xdr:row>4389</xdr:row>
      <xdr:rowOff>25400</xdr:rowOff>
    </xdr:from>
    <xdr:to>
      <xdr:col>8</xdr:col>
      <xdr:colOff>885190</xdr:colOff>
      <xdr:row>4389</xdr:row>
      <xdr:rowOff>1209040</xdr:rowOff>
    </xdr:to>
    <xdr:pic>
      <xdr:nvPicPr>
        <xdr:cNvPr id="7658" name="Изображение 7657" descr="resizeПП-00257192"/>
        <xdr:cNvPicPr>
          <a:picLocks noChangeAspect="1"/>
        </xdr:cNvPicPr>
      </xdr:nvPicPr>
      <xdr:blipFill>
        <a:blip xmlns:r="http://schemas.openxmlformats.org/officeDocument/2006/relationships" r:embed="rId3344"/>
        <a:stretch>
          <a:fillRect/>
        </a:stretch>
      </xdr:blipFill>
      <xdr:spPr>
        <a:xfrm>
          <a:off x="7264400" y="4365028100"/>
          <a:ext cx="878840" cy="1183640"/>
        </a:xfrm>
        <a:prstGeom prst="rect">
          <a:avLst/>
        </a:prstGeom>
      </xdr:spPr>
    </xdr:pic>
    <xdr:clientData/>
  </xdr:twoCellAnchor>
  <xdr:twoCellAnchor>
    <xdr:from>
      <xdr:col>8</xdr:col>
      <xdr:colOff>6350</xdr:colOff>
      <xdr:row>4390</xdr:row>
      <xdr:rowOff>25400</xdr:rowOff>
    </xdr:from>
    <xdr:to>
      <xdr:col>8</xdr:col>
      <xdr:colOff>885190</xdr:colOff>
      <xdr:row>4390</xdr:row>
      <xdr:rowOff>1209040</xdr:rowOff>
    </xdr:to>
    <xdr:pic>
      <xdr:nvPicPr>
        <xdr:cNvPr id="7659" name="Изображение 7658" descr="resizeПП-00256611"/>
        <xdr:cNvPicPr>
          <a:picLocks noChangeAspect="1"/>
        </xdr:cNvPicPr>
      </xdr:nvPicPr>
      <xdr:blipFill>
        <a:blip xmlns:r="http://schemas.openxmlformats.org/officeDocument/2006/relationships" r:embed="rId3345"/>
        <a:stretch>
          <a:fillRect/>
        </a:stretch>
      </xdr:blipFill>
      <xdr:spPr>
        <a:xfrm>
          <a:off x="7264400" y="4366250475"/>
          <a:ext cx="878840" cy="1183640"/>
        </a:xfrm>
        <a:prstGeom prst="rect">
          <a:avLst/>
        </a:prstGeom>
      </xdr:spPr>
    </xdr:pic>
    <xdr:clientData/>
  </xdr:twoCellAnchor>
  <xdr:twoCellAnchor>
    <xdr:from>
      <xdr:col>8</xdr:col>
      <xdr:colOff>6350</xdr:colOff>
      <xdr:row>4392</xdr:row>
      <xdr:rowOff>25400</xdr:rowOff>
    </xdr:from>
    <xdr:to>
      <xdr:col>8</xdr:col>
      <xdr:colOff>885190</xdr:colOff>
      <xdr:row>4392</xdr:row>
      <xdr:rowOff>1209040</xdr:rowOff>
    </xdr:to>
    <xdr:pic>
      <xdr:nvPicPr>
        <xdr:cNvPr id="7660" name="Изображение 7659" descr="resizeПП-00097442"/>
        <xdr:cNvPicPr>
          <a:picLocks noChangeAspect="1"/>
        </xdr:cNvPicPr>
      </xdr:nvPicPr>
      <xdr:blipFill>
        <a:blip xmlns:r="http://schemas.openxmlformats.org/officeDocument/2006/relationships" r:embed="rId3346"/>
        <a:stretch>
          <a:fillRect/>
        </a:stretch>
      </xdr:blipFill>
      <xdr:spPr>
        <a:xfrm>
          <a:off x="7264400" y="4367625250"/>
          <a:ext cx="878840" cy="1183640"/>
        </a:xfrm>
        <a:prstGeom prst="rect">
          <a:avLst/>
        </a:prstGeom>
      </xdr:spPr>
    </xdr:pic>
    <xdr:clientData/>
  </xdr:twoCellAnchor>
  <xdr:twoCellAnchor>
    <xdr:from>
      <xdr:col>8</xdr:col>
      <xdr:colOff>6350</xdr:colOff>
      <xdr:row>4393</xdr:row>
      <xdr:rowOff>25400</xdr:rowOff>
    </xdr:from>
    <xdr:to>
      <xdr:col>8</xdr:col>
      <xdr:colOff>885190</xdr:colOff>
      <xdr:row>4393</xdr:row>
      <xdr:rowOff>1209040</xdr:rowOff>
    </xdr:to>
    <xdr:pic>
      <xdr:nvPicPr>
        <xdr:cNvPr id="7661" name="Изображение 7660" descr="resizeПП-00273935"/>
        <xdr:cNvPicPr>
          <a:picLocks noChangeAspect="1"/>
        </xdr:cNvPicPr>
      </xdr:nvPicPr>
      <xdr:blipFill>
        <a:blip xmlns:r="http://schemas.openxmlformats.org/officeDocument/2006/relationships" r:embed="rId3347"/>
        <a:stretch>
          <a:fillRect/>
        </a:stretch>
      </xdr:blipFill>
      <xdr:spPr>
        <a:xfrm>
          <a:off x="7264400" y="4368847625"/>
          <a:ext cx="878840" cy="1183640"/>
        </a:xfrm>
        <a:prstGeom prst="rect">
          <a:avLst/>
        </a:prstGeom>
      </xdr:spPr>
    </xdr:pic>
    <xdr:clientData/>
  </xdr:twoCellAnchor>
  <xdr:twoCellAnchor>
    <xdr:from>
      <xdr:col>8</xdr:col>
      <xdr:colOff>6350</xdr:colOff>
      <xdr:row>4394</xdr:row>
      <xdr:rowOff>25400</xdr:rowOff>
    </xdr:from>
    <xdr:to>
      <xdr:col>8</xdr:col>
      <xdr:colOff>885190</xdr:colOff>
      <xdr:row>4394</xdr:row>
      <xdr:rowOff>1209040</xdr:rowOff>
    </xdr:to>
    <xdr:pic>
      <xdr:nvPicPr>
        <xdr:cNvPr id="7662" name="Изображение 7661" descr="resizeПП-00273936"/>
        <xdr:cNvPicPr>
          <a:picLocks noChangeAspect="1"/>
        </xdr:cNvPicPr>
      </xdr:nvPicPr>
      <xdr:blipFill>
        <a:blip xmlns:r="http://schemas.openxmlformats.org/officeDocument/2006/relationships" r:embed="rId3348"/>
        <a:stretch>
          <a:fillRect/>
        </a:stretch>
      </xdr:blipFill>
      <xdr:spPr>
        <a:xfrm>
          <a:off x="7264400" y="4370070000"/>
          <a:ext cx="878840" cy="1183640"/>
        </a:xfrm>
        <a:prstGeom prst="rect">
          <a:avLst/>
        </a:prstGeom>
      </xdr:spPr>
    </xdr:pic>
    <xdr:clientData/>
  </xdr:twoCellAnchor>
  <xdr:twoCellAnchor>
    <xdr:from>
      <xdr:col>8</xdr:col>
      <xdr:colOff>6350</xdr:colOff>
      <xdr:row>4395</xdr:row>
      <xdr:rowOff>25400</xdr:rowOff>
    </xdr:from>
    <xdr:to>
      <xdr:col>8</xdr:col>
      <xdr:colOff>885190</xdr:colOff>
      <xdr:row>4395</xdr:row>
      <xdr:rowOff>1209040</xdr:rowOff>
    </xdr:to>
    <xdr:pic>
      <xdr:nvPicPr>
        <xdr:cNvPr id="7663" name="Изображение 7662" descr="resizeПП-00286743"/>
        <xdr:cNvPicPr>
          <a:picLocks noChangeAspect="1"/>
        </xdr:cNvPicPr>
      </xdr:nvPicPr>
      <xdr:blipFill>
        <a:blip xmlns:r="http://schemas.openxmlformats.org/officeDocument/2006/relationships" r:embed="rId3349"/>
        <a:stretch>
          <a:fillRect/>
        </a:stretch>
      </xdr:blipFill>
      <xdr:spPr>
        <a:xfrm>
          <a:off x="7264400" y="4371292375"/>
          <a:ext cx="878840" cy="1183640"/>
        </a:xfrm>
        <a:prstGeom prst="rect">
          <a:avLst/>
        </a:prstGeom>
      </xdr:spPr>
    </xdr:pic>
    <xdr:clientData/>
  </xdr:twoCellAnchor>
  <xdr:twoCellAnchor>
    <xdr:from>
      <xdr:col>8</xdr:col>
      <xdr:colOff>6350</xdr:colOff>
      <xdr:row>4396</xdr:row>
      <xdr:rowOff>25400</xdr:rowOff>
    </xdr:from>
    <xdr:to>
      <xdr:col>8</xdr:col>
      <xdr:colOff>885190</xdr:colOff>
      <xdr:row>4396</xdr:row>
      <xdr:rowOff>1209040</xdr:rowOff>
    </xdr:to>
    <xdr:pic>
      <xdr:nvPicPr>
        <xdr:cNvPr id="7664" name="Изображение 7663" descr="resizeПП-00184921"/>
        <xdr:cNvPicPr>
          <a:picLocks noChangeAspect="1"/>
        </xdr:cNvPicPr>
      </xdr:nvPicPr>
      <xdr:blipFill>
        <a:blip xmlns:r="http://schemas.openxmlformats.org/officeDocument/2006/relationships" r:embed="rId3350"/>
        <a:stretch>
          <a:fillRect/>
        </a:stretch>
      </xdr:blipFill>
      <xdr:spPr>
        <a:xfrm>
          <a:off x="7264400" y="4372514750"/>
          <a:ext cx="878840" cy="1183640"/>
        </a:xfrm>
        <a:prstGeom prst="rect">
          <a:avLst/>
        </a:prstGeom>
      </xdr:spPr>
    </xdr:pic>
    <xdr:clientData/>
  </xdr:twoCellAnchor>
  <xdr:twoCellAnchor>
    <xdr:from>
      <xdr:col>8</xdr:col>
      <xdr:colOff>6350</xdr:colOff>
      <xdr:row>4397</xdr:row>
      <xdr:rowOff>25400</xdr:rowOff>
    </xdr:from>
    <xdr:to>
      <xdr:col>8</xdr:col>
      <xdr:colOff>885190</xdr:colOff>
      <xdr:row>4397</xdr:row>
      <xdr:rowOff>1209040</xdr:rowOff>
    </xdr:to>
    <xdr:pic>
      <xdr:nvPicPr>
        <xdr:cNvPr id="7665" name="Изображение 7664" descr="resizeПП-00184926"/>
        <xdr:cNvPicPr>
          <a:picLocks noChangeAspect="1"/>
        </xdr:cNvPicPr>
      </xdr:nvPicPr>
      <xdr:blipFill>
        <a:blip xmlns:r="http://schemas.openxmlformats.org/officeDocument/2006/relationships" r:embed="rId3351"/>
        <a:stretch>
          <a:fillRect/>
        </a:stretch>
      </xdr:blipFill>
      <xdr:spPr>
        <a:xfrm>
          <a:off x="7264400" y="4373737125"/>
          <a:ext cx="878840" cy="1183640"/>
        </a:xfrm>
        <a:prstGeom prst="rect">
          <a:avLst/>
        </a:prstGeom>
      </xdr:spPr>
    </xdr:pic>
    <xdr:clientData/>
  </xdr:twoCellAnchor>
  <xdr:twoCellAnchor>
    <xdr:from>
      <xdr:col>8</xdr:col>
      <xdr:colOff>6350</xdr:colOff>
      <xdr:row>4398</xdr:row>
      <xdr:rowOff>25400</xdr:rowOff>
    </xdr:from>
    <xdr:to>
      <xdr:col>8</xdr:col>
      <xdr:colOff>885190</xdr:colOff>
      <xdr:row>4398</xdr:row>
      <xdr:rowOff>1209040</xdr:rowOff>
    </xdr:to>
    <xdr:pic>
      <xdr:nvPicPr>
        <xdr:cNvPr id="7666" name="Изображение 7665" descr="resizeПП-00283482"/>
        <xdr:cNvPicPr>
          <a:picLocks noChangeAspect="1"/>
        </xdr:cNvPicPr>
      </xdr:nvPicPr>
      <xdr:blipFill>
        <a:blip xmlns:r="http://schemas.openxmlformats.org/officeDocument/2006/relationships" r:embed="rId3352"/>
        <a:stretch>
          <a:fillRect/>
        </a:stretch>
      </xdr:blipFill>
      <xdr:spPr>
        <a:xfrm>
          <a:off x="7264400" y="4374959500"/>
          <a:ext cx="878840" cy="1183640"/>
        </a:xfrm>
        <a:prstGeom prst="rect">
          <a:avLst/>
        </a:prstGeom>
      </xdr:spPr>
    </xdr:pic>
    <xdr:clientData/>
  </xdr:twoCellAnchor>
  <xdr:twoCellAnchor>
    <xdr:from>
      <xdr:col>8</xdr:col>
      <xdr:colOff>6350</xdr:colOff>
      <xdr:row>4402</xdr:row>
      <xdr:rowOff>25400</xdr:rowOff>
    </xdr:from>
    <xdr:to>
      <xdr:col>8</xdr:col>
      <xdr:colOff>885190</xdr:colOff>
      <xdr:row>4402</xdr:row>
      <xdr:rowOff>1209040</xdr:rowOff>
    </xdr:to>
    <xdr:pic>
      <xdr:nvPicPr>
        <xdr:cNvPr id="7667" name="Изображение 7666" descr="resizeПП-00266928"/>
        <xdr:cNvPicPr>
          <a:picLocks noChangeAspect="1"/>
        </xdr:cNvPicPr>
      </xdr:nvPicPr>
      <xdr:blipFill>
        <a:blip xmlns:r="http://schemas.openxmlformats.org/officeDocument/2006/relationships" r:embed="rId3353"/>
        <a:stretch>
          <a:fillRect/>
        </a:stretch>
      </xdr:blipFill>
      <xdr:spPr>
        <a:xfrm>
          <a:off x="7264400" y="4376639075"/>
          <a:ext cx="878840" cy="1183640"/>
        </a:xfrm>
        <a:prstGeom prst="rect">
          <a:avLst/>
        </a:prstGeom>
      </xdr:spPr>
    </xdr:pic>
    <xdr:clientData/>
  </xdr:twoCellAnchor>
  <xdr:twoCellAnchor>
    <xdr:from>
      <xdr:col>8</xdr:col>
      <xdr:colOff>6350</xdr:colOff>
      <xdr:row>4403</xdr:row>
      <xdr:rowOff>25400</xdr:rowOff>
    </xdr:from>
    <xdr:to>
      <xdr:col>8</xdr:col>
      <xdr:colOff>885190</xdr:colOff>
      <xdr:row>4403</xdr:row>
      <xdr:rowOff>1209040</xdr:rowOff>
    </xdr:to>
    <xdr:pic>
      <xdr:nvPicPr>
        <xdr:cNvPr id="7668" name="Изображение 7667" descr="resizeПП-00266926"/>
        <xdr:cNvPicPr>
          <a:picLocks noChangeAspect="1"/>
        </xdr:cNvPicPr>
      </xdr:nvPicPr>
      <xdr:blipFill>
        <a:blip xmlns:r="http://schemas.openxmlformats.org/officeDocument/2006/relationships" r:embed="rId3354"/>
        <a:stretch>
          <a:fillRect/>
        </a:stretch>
      </xdr:blipFill>
      <xdr:spPr>
        <a:xfrm>
          <a:off x="7264400" y="4377861450"/>
          <a:ext cx="878840" cy="1183640"/>
        </a:xfrm>
        <a:prstGeom prst="rect">
          <a:avLst/>
        </a:prstGeom>
      </xdr:spPr>
    </xdr:pic>
    <xdr:clientData/>
  </xdr:twoCellAnchor>
  <xdr:twoCellAnchor>
    <xdr:from>
      <xdr:col>8</xdr:col>
      <xdr:colOff>6350</xdr:colOff>
      <xdr:row>4404</xdr:row>
      <xdr:rowOff>25400</xdr:rowOff>
    </xdr:from>
    <xdr:to>
      <xdr:col>8</xdr:col>
      <xdr:colOff>885190</xdr:colOff>
      <xdr:row>4404</xdr:row>
      <xdr:rowOff>1209040</xdr:rowOff>
    </xdr:to>
    <xdr:pic>
      <xdr:nvPicPr>
        <xdr:cNvPr id="7669" name="Изображение 7668" descr="resizeПП-00266932"/>
        <xdr:cNvPicPr>
          <a:picLocks noChangeAspect="1"/>
        </xdr:cNvPicPr>
      </xdr:nvPicPr>
      <xdr:blipFill>
        <a:blip xmlns:r="http://schemas.openxmlformats.org/officeDocument/2006/relationships" r:embed="rId3355"/>
        <a:stretch>
          <a:fillRect/>
        </a:stretch>
      </xdr:blipFill>
      <xdr:spPr>
        <a:xfrm>
          <a:off x="7264400" y="4379083825"/>
          <a:ext cx="878840" cy="1183640"/>
        </a:xfrm>
        <a:prstGeom prst="rect">
          <a:avLst/>
        </a:prstGeom>
      </xdr:spPr>
    </xdr:pic>
    <xdr:clientData/>
  </xdr:twoCellAnchor>
  <xdr:twoCellAnchor>
    <xdr:from>
      <xdr:col>8</xdr:col>
      <xdr:colOff>6350</xdr:colOff>
      <xdr:row>4405</xdr:row>
      <xdr:rowOff>25400</xdr:rowOff>
    </xdr:from>
    <xdr:to>
      <xdr:col>8</xdr:col>
      <xdr:colOff>885190</xdr:colOff>
      <xdr:row>4405</xdr:row>
      <xdr:rowOff>1209040</xdr:rowOff>
    </xdr:to>
    <xdr:pic>
      <xdr:nvPicPr>
        <xdr:cNvPr id="7670" name="Изображение 7669" descr="resizeПП-00266930"/>
        <xdr:cNvPicPr>
          <a:picLocks noChangeAspect="1"/>
        </xdr:cNvPicPr>
      </xdr:nvPicPr>
      <xdr:blipFill>
        <a:blip xmlns:r="http://schemas.openxmlformats.org/officeDocument/2006/relationships" r:embed="rId3356"/>
        <a:stretch>
          <a:fillRect/>
        </a:stretch>
      </xdr:blipFill>
      <xdr:spPr>
        <a:xfrm>
          <a:off x="7264400" y="4380306200"/>
          <a:ext cx="878840" cy="1183640"/>
        </a:xfrm>
        <a:prstGeom prst="rect">
          <a:avLst/>
        </a:prstGeom>
      </xdr:spPr>
    </xdr:pic>
    <xdr:clientData/>
  </xdr:twoCellAnchor>
  <xdr:twoCellAnchor>
    <xdr:from>
      <xdr:col>8</xdr:col>
      <xdr:colOff>6350</xdr:colOff>
      <xdr:row>4406</xdr:row>
      <xdr:rowOff>25400</xdr:rowOff>
    </xdr:from>
    <xdr:to>
      <xdr:col>8</xdr:col>
      <xdr:colOff>885190</xdr:colOff>
      <xdr:row>4406</xdr:row>
      <xdr:rowOff>1209040</xdr:rowOff>
    </xdr:to>
    <xdr:pic>
      <xdr:nvPicPr>
        <xdr:cNvPr id="7671" name="Изображение 7670" descr="resizeПП-00266927"/>
        <xdr:cNvPicPr>
          <a:picLocks noChangeAspect="1"/>
        </xdr:cNvPicPr>
      </xdr:nvPicPr>
      <xdr:blipFill>
        <a:blip xmlns:r="http://schemas.openxmlformats.org/officeDocument/2006/relationships" r:embed="rId3357"/>
        <a:stretch>
          <a:fillRect/>
        </a:stretch>
      </xdr:blipFill>
      <xdr:spPr>
        <a:xfrm>
          <a:off x="7264400" y="4381528575"/>
          <a:ext cx="878840" cy="1183640"/>
        </a:xfrm>
        <a:prstGeom prst="rect">
          <a:avLst/>
        </a:prstGeom>
      </xdr:spPr>
    </xdr:pic>
    <xdr:clientData/>
  </xdr:twoCellAnchor>
  <xdr:twoCellAnchor>
    <xdr:from>
      <xdr:col>8</xdr:col>
      <xdr:colOff>6350</xdr:colOff>
      <xdr:row>4407</xdr:row>
      <xdr:rowOff>25400</xdr:rowOff>
    </xdr:from>
    <xdr:to>
      <xdr:col>8</xdr:col>
      <xdr:colOff>885190</xdr:colOff>
      <xdr:row>4407</xdr:row>
      <xdr:rowOff>1209040</xdr:rowOff>
    </xdr:to>
    <xdr:pic>
      <xdr:nvPicPr>
        <xdr:cNvPr id="7672" name="Изображение 7671" descr="resizeПП-00266931"/>
        <xdr:cNvPicPr>
          <a:picLocks noChangeAspect="1"/>
        </xdr:cNvPicPr>
      </xdr:nvPicPr>
      <xdr:blipFill>
        <a:blip xmlns:r="http://schemas.openxmlformats.org/officeDocument/2006/relationships" r:embed="rId3358"/>
        <a:stretch>
          <a:fillRect/>
        </a:stretch>
      </xdr:blipFill>
      <xdr:spPr>
        <a:xfrm>
          <a:off x="7264400" y="4382750950"/>
          <a:ext cx="878840" cy="1183640"/>
        </a:xfrm>
        <a:prstGeom prst="rect">
          <a:avLst/>
        </a:prstGeom>
      </xdr:spPr>
    </xdr:pic>
    <xdr:clientData/>
  </xdr:twoCellAnchor>
  <xdr:twoCellAnchor>
    <xdr:from>
      <xdr:col>8</xdr:col>
      <xdr:colOff>6350</xdr:colOff>
      <xdr:row>4408</xdr:row>
      <xdr:rowOff>25400</xdr:rowOff>
    </xdr:from>
    <xdr:to>
      <xdr:col>8</xdr:col>
      <xdr:colOff>885190</xdr:colOff>
      <xdr:row>4408</xdr:row>
      <xdr:rowOff>1209040</xdr:rowOff>
    </xdr:to>
    <xdr:pic>
      <xdr:nvPicPr>
        <xdr:cNvPr id="7673" name="Изображение 7672" descr="resizeПП-00266933"/>
        <xdr:cNvPicPr>
          <a:picLocks noChangeAspect="1"/>
        </xdr:cNvPicPr>
      </xdr:nvPicPr>
      <xdr:blipFill>
        <a:blip xmlns:r="http://schemas.openxmlformats.org/officeDocument/2006/relationships" r:embed="rId3359"/>
        <a:stretch>
          <a:fillRect/>
        </a:stretch>
      </xdr:blipFill>
      <xdr:spPr>
        <a:xfrm>
          <a:off x="7264400" y="4383973325"/>
          <a:ext cx="878840" cy="1183640"/>
        </a:xfrm>
        <a:prstGeom prst="rect">
          <a:avLst/>
        </a:prstGeom>
      </xdr:spPr>
    </xdr:pic>
    <xdr:clientData/>
  </xdr:twoCellAnchor>
  <xdr:twoCellAnchor>
    <xdr:from>
      <xdr:col>8</xdr:col>
      <xdr:colOff>6350</xdr:colOff>
      <xdr:row>4409</xdr:row>
      <xdr:rowOff>25400</xdr:rowOff>
    </xdr:from>
    <xdr:to>
      <xdr:col>8</xdr:col>
      <xdr:colOff>885190</xdr:colOff>
      <xdr:row>4409</xdr:row>
      <xdr:rowOff>1209040</xdr:rowOff>
    </xdr:to>
    <xdr:pic>
      <xdr:nvPicPr>
        <xdr:cNvPr id="7674" name="Изображение 7673" descr="resizeПП-00266934"/>
        <xdr:cNvPicPr>
          <a:picLocks noChangeAspect="1"/>
        </xdr:cNvPicPr>
      </xdr:nvPicPr>
      <xdr:blipFill>
        <a:blip xmlns:r="http://schemas.openxmlformats.org/officeDocument/2006/relationships" r:embed="rId3360"/>
        <a:stretch>
          <a:fillRect/>
        </a:stretch>
      </xdr:blipFill>
      <xdr:spPr>
        <a:xfrm>
          <a:off x="7264400" y="4385195700"/>
          <a:ext cx="878840" cy="1183640"/>
        </a:xfrm>
        <a:prstGeom prst="rect">
          <a:avLst/>
        </a:prstGeom>
      </xdr:spPr>
    </xdr:pic>
    <xdr:clientData/>
  </xdr:twoCellAnchor>
  <xdr:twoCellAnchor>
    <xdr:from>
      <xdr:col>8</xdr:col>
      <xdr:colOff>6350</xdr:colOff>
      <xdr:row>4410</xdr:row>
      <xdr:rowOff>25400</xdr:rowOff>
    </xdr:from>
    <xdr:to>
      <xdr:col>8</xdr:col>
      <xdr:colOff>885190</xdr:colOff>
      <xdr:row>4410</xdr:row>
      <xdr:rowOff>1209040</xdr:rowOff>
    </xdr:to>
    <xdr:pic>
      <xdr:nvPicPr>
        <xdr:cNvPr id="7675" name="Изображение 7674" descr="resizeПП-00266929"/>
        <xdr:cNvPicPr>
          <a:picLocks noChangeAspect="1"/>
        </xdr:cNvPicPr>
      </xdr:nvPicPr>
      <xdr:blipFill>
        <a:blip xmlns:r="http://schemas.openxmlformats.org/officeDocument/2006/relationships" r:embed="rId3361"/>
        <a:stretch>
          <a:fillRect/>
        </a:stretch>
      </xdr:blipFill>
      <xdr:spPr>
        <a:xfrm>
          <a:off x="7264400" y="4386418075"/>
          <a:ext cx="878840" cy="1183640"/>
        </a:xfrm>
        <a:prstGeom prst="rect">
          <a:avLst/>
        </a:prstGeom>
      </xdr:spPr>
    </xdr:pic>
    <xdr:clientData/>
  </xdr:twoCellAnchor>
  <xdr:twoCellAnchor>
    <xdr:from>
      <xdr:col>8</xdr:col>
      <xdr:colOff>6350</xdr:colOff>
      <xdr:row>4411</xdr:row>
      <xdr:rowOff>25400</xdr:rowOff>
    </xdr:from>
    <xdr:to>
      <xdr:col>8</xdr:col>
      <xdr:colOff>885190</xdr:colOff>
      <xdr:row>4411</xdr:row>
      <xdr:rowOff>1209040</xdr:rowOff>
    </xdr:to>
    <xdr:pic>
      <xdr:nvPicPr>
        <xdr:cNvPr id="7676" name="Изображение 7675" descr="resizeПП-00259227"/>
        <xdr:cNvPicPr>
          <a:picLocks noChangeAspect="1"/>
        </xdr:cNvPicPr>
      </xdr:nvPicPr>
      <xdr:blipFill>
        <a:blip xmlns:r="http://schemas.openxmlformats.org/officeDocument/2006/relationships" r:embed="rId3362"/>
        <a:stretch>
          <a:fillRect/>
        </a:stretch>
      </xdr:blipFill>
      <xdr:spPr>
        <a:xfrm>
          <a:off x="7264400" y="4387640450"/>
          <a:ext cx="878840" cy="1183640"/>
        </a:xfrm>
        <a:prstGeom prst="rect">
          <a:avLst/>
        </a:prstGeom>
      </xdr:spPr>
    </xdr:pic>
    <xdr:clientData/>
  </xdr:twoCellAnchor>
  <xdr:twoCellAnchor>
    <xdr:from>
      <xdr:col>8</xdr:col>
      <xdr:colOff>6350</xdr:colOff>
      <xdr:row>4412</xdr:row>
      <xdr:rowOff>25400</xdr:rowOff>
    </xdr:from>
    <xdr:to>
      <xdr:col>8</xdr:col>
      <xdr:colOff>885190</xdr:colOff>
      <xdr:row>4412</xdr:row>
      <xdr:rowOff>1209040</xdr:rowOff>
    </xdr:to>
    <xdr:pic>
      <xdr:nvPicPr>
        <xdr:cNvPr id="7677" name="Изображение 7676" descr="resizeПП-00266925"/>
        <xdr:cNvPicPr>
          <a:picLocks noChangeAspect="1"/>
        </xdr:cNvPicPr>
      </xdr:nvPicPr>
      <xdr:blipFill>
        <a:blip xmlns:r="http://schemas.openxmlformats.org/officeDocument/2006/relationships" r:embed="rId3363"/>
        <a:stretch>
          <a:fillRect/>
        </a:stretch>
      </xdr:blipFill>
      <xdr:spPr>
        <a:xfrm>
          <a:off x="7264400" y="4388862825"/>
          <a:ext cx="878840" cy="1183640"/>
        </a:xfrm>
        <a:prstGeom prst="rect">
          <a:avLst/>
        </a:prstGeom>
      </xdr:spPr>
    </xdr:pic>
    <xdr:clientData/>
  </xdr:twoCellAnchor>
  <xdr:twoCellAnchor>
    <xdr:from>
      <xdr:col>8</xdr:col>
      <xdr:colOff>6350</xdr:colOff>
      <xdr:row>4413</xdr:row>
      <xdr:rowOff>25400</xdr:rowOff>
    </xdr:from>
    <xdr:to>
      <xdr:col>8</xdr:col>
      <xdr:colOff>885190</xdr:colOff>
      <xdr:row>4413</xdr:row>
      <xdr:rowOff>1209040</xdr:rowOff>
    </xdr:to>
    <xdr:pic>
      <xdr:nvPicPr>
        <xdr:cNvPr id="7678" name="Изображение 7677" descr="resizeПП-00221686"/>
        <xdr:cNvPicPr>
          <a:picLocks noChangeAspect="1"/>
        </xdr:cNvPicPr>
      </xdr:nvPicPr>
      <xdr:blipFill>
        <a:blip xmlns:r="http://schemas.openxmlformats.org/officeDocument/2006/relationships" r:embed="rId3364"/>
        <a:stretch>
          <a:fillRect/>
        </a:stretch>
      </xdr:blipFill>
      <xdr:spPr>
        <a:xfrm>
          <a:off x="7264400" y="4390085200"/>
          <a:ext cx="878840" cy="1183640"/>
        </a:xfrm>
        <a:prstGeom prst="rect">
          <a:avLst/>
        </a:prstGeom>
      </xdr:spPr>
    </xdr:pic>
    <xdr:clientData/>
  </xdr:twoCellAnchor>
  <xdr:twoCellAnchor>
    <xdr:from>
      <xdr:col>8</xdr:col>
      <xdr:colOff>6350</xdr:colOff>
      <xdr:row>4414</xdr:row>
      <xdr:rowOff>25400</xdr:rowOff>
    </xdr:from>
    <xdr:to>
      <xdr:col>8</xdr:col>
      <xdr:colOff>885190</xdr:colOff>
      <xdr:row>4414</xdr:row>
      <xdr:rowOff>1209040</xdr:rowOff>
    </xdr:to>
    <xdr:pic>
      <xdr:nvPicPr>
        <xdr:cNvPr id="7679" name="Изображение 7678" descr="resizeПП-00266923"/>
        <xdr:cNvPicPr>
          <a:picLocks noChangeAspect="1"/>
        </xdr:cNvPicPr>
      </xdr:nvPicPr>
      <xdr:blipFill>
        <a:blip xmlns:r="http://schemas.openxmlformats.org/officeDocument/2006/relationships" r:embed="rId3365"/>
        <a:stretch>
          <a:fillRect/>
        </a:stretch>
      </xdr:blipFill>
      <xdr:spPr>
        <a:xfrm>
          <a:off x="7264400" y="4391307575"/>
          <a:ext cx="878840" cy="1183640"/>
        </a:xfrm>
        <a:prstGeom prst="rect">
          <a:avLst/>
        </a:prstGeom>
      </xdr:spPr>
    </xdr:pic>
    <xdr:clientData/>
  </xdr:twoCellAnchor>
  <xdr:twoCellAnchor>
    <xdr:from>
      <xdr:col>8</xdr:col>
      <xdr:colOff>6350</xdr:colOff>
      <xdr:row>4415</xdr:row>
      <xdr:rowOff>25400</xdr:rowOff>
    </xdr:from>
    <xdr:to>
      <xdr:col>8</xdr:col>
      <xdr:colOff>885190</xdr:colOff>
      <xdr:row>4415</xdr:row>
      <xdr:rowOff>1209040</xdr:rowOff>
    </xdr:to>
    <xdr:pic>
      <xdr:nvPicPr>
        <xdr:cNvPr id="7680" name="Изображение 7679" descr="resizeПП-00259231"/>
        <xdr:cNvPicPr>
          <a:picLocks noChangeAspect="1"/>
        </xdr:cNvPicPr>
      </xdr:nvPicPr>
      <xdr:blipFill>
        <a:blip xmlns:r="http://schemas.openxmlformats.org/officeDocument/2006/relationships" r:embed="rId3366"/>
        <a:stretch>
          <a:fillRect/>
        </a:stretch>
      </xdr:blipFill>
      <xdr:spPr>
        <a:xfrm>
          <a:off x="7264400" y="4392529950"/>
          <a:ext cx="878840" cy="1183640"/>
        </a:xfrm>
        <a:prstGeom prst="rect">
          <a:avLst/>
        </a:prstGeom>
      </xdr:spPr>
    </xdr:pic>
    <xdr:clientData/>
  </xdr:twoCellAnchor>
  <xdr:twoCellAnchor>
    <xdr:from>
      <xdr:col>8</xdr:col>
      <xdr:colOff>6350</xdr:colOff>
      <xdr:row>4416</xdr:row>
      <xdr:rowOff>25400</xdr:rowOff>
    </xdr:from>
    <xdr:to>
      <xdr:col>8</xdr:col>
      <xdr:colOff>885190</xdr:colOff>
      <xdr:row>4416</xdr:row>
      <xdr:rowOff>1209040</xdr:rowOff>
    </xdr:to>
    <xdr:pic>
      <xdr:nvPicPr>
        <xdr:cNvPr id="7681" name="Изображение 7680" descr="resizeПП-00221684"/>
        <xdr:cNvPicPr>
          <a:picLocks noChangeAspect="1"/>
        </xdr:cNvPicPr>
      </xdr:nvPicPr>
      <xdr:blipFill>
        <a:blip xmlns:r="http://schemas.openxmlformats.org/officeDocument/2006/relationships" r:embed="rId3367"/>
        <a:stretch>
          <a:fillRect/>
        </a:stretch>
      </xdr:blipFill>
      <xdr:spPr>
        <a:xfrm>
          <a:off x="7264400" y="4393752325"/>
          <a:ext cx="878840" cy="1183640"/>
        </a:xfrm>
        <a:prstGeom prst="rect">
          <a:avLst/>
        </a:prstGeom>
      </xdr:spPr>
    </xdr:pic>
    <xdr:clientData/>
  </xdr:twoCellAnchor>
  <xdr:twoCellAnchor>
    <xdr:from>
      <xdr:col>8</xdr:col>
      <xdr:colOff>6350</xdr:colOff>
      <xdr:row>4417</xdr:row>
      <xdr:rowOff>25400</xdr:rowOff>
    </xdr:from>
    <xdr:to>
      <xdr:col>8</xdr:col>
      <xdr:colOff>885190</xdr:colOff>
      <xdr:row>4417</xdr:row>
      <xdr:rowOff>1209040</xdr:rowOff>
    </xdr:to>
    <xdr:pic>
      <xdr:nvPicPr>
        <xdr:cNvPr id="7682" name="Изображение 7681" descr="resizeПП-00221685"/>
        <xdr:cNvPicPr>
          <a:picLocks noChangeAspect="1"/>
        </xdr:cNvPicPr>
      </xdr:nvPicPr>
      <xdr:blipFill>
        <a:blip xmlns:r="http://schemas.openxmlformats.org/officeDocument/2006/relationships" r:embed="rId3368"/>
        <a:stretch>
          <a:fillRect/>
        </a:stretch>
      </xdr:blipFill>
      <xdr:spPr>
        <a:xfrm>
          <a:off x="7264400" y="4394974700"/>
          <a:ext cx="878840" cy="1183640"/>
        </a:xfrm>
        <a:prstGeom prst="rect">
          <a:avLst/>
        </a:prstGeom>
      </xdr:spPr>
    </xdr:pic>
    <xdr:clientData/>
  </xdr:twoCellAnchor>
  <xdr:twoCellAnchor>
    <xdr:from>
      <xdr:col>8</xdr:col>
      <xdr:colOff>6350</xdr:colOff>
      <xdr:row>4418</xdr:row>
      <xdr:rowOff>25400</xdr:rowOff>
    </xdr:from>
    <xdr:to>
      <xdr:col>8</xdr:col>
      <xdr:colOff>885190</xdr:colOff>
      <xdr:row>4418</xdr:row>
      <xdr:rowOff>1209040</xdr:rowOff>
    </xdr:to>
    <xdr:pic>
      <xdr:nvPicPr>
        <xdr:cNvPr id="7683" name="Изображение 7682" descr="resizeПП-00221681"/>
        <xdr:cNvPicPr>
          <a:picLocks noChangeAspect="1"/>
        </xdr:cNvPicPr>
      </xdr:nvPicPr>
      <xdr:blipFill>
        <a:blip xmlns:r="http://schemas.openxmlformats.org/officeDocument/2006/relationships" r:embed="rId3369"/>
        <a:stretch>
          <a:fillRect/>
        </a:stretch>
      </xdr:blipFill>
      <xdr:spPr>
        <a:xfrm>
          <a:off x="7264400" y="4396197075"/>
          <a:ext cx="878840" cy="1183640"/>
        </a:xfrm>
        <a:prstGeom prst="rect">
          <a:avLst/>
        </a:prstGeom>
      </xdr:spPr>
    </xdr:pic>
    <xdr:clientData/>
  </xdr:twoCellAnchor>
  <xdr:twoCellAnchor>
    <xdr:from>
      <xdr:col>8</xdr:col>
      <xdr:colOff>6350</xdr:colOff>
      <xdr:row>4422</xdr:row>
      <xdr:rowOff>25400</xdr:rowOff>
    </xdr:from>
    <xdr:to>
      <xdr:col>8</xdr:col>
      <xdr:colOff>885190</xdr:colOff>
      <xdr:row>4422</xdr:row>
      <xdr:rowOff>1209040</xdr:rowOff>
    </xdr:to>
    <xdr:pic>
      <xdr:nvPicPr>
        <xdr:cNvPr id="7684" name="Изображение 7683" descr="resizeПП-00273012"/>
        <xdr:cNvPicPr>
          <a:picLocks noChangeAspect="1"/>
        </xdr:cNvPicPr>
      </xdr:nvPicPr>
      <xdr:blipFill>
        <a:blip xmlns:r="http://schemas.openxmlformats.org/officeDocument/2006/relationships" r:embed="rId3370"/>
        <a:stretch>
          <a:fillRect/>
        </a:stretch>
      </xdr:blipFill>
      <xdr:spPr>
        <a:xfrm>
          <a:off x="7264400" y="4397876650"/>
          <a:ext cx="878840" cy="1183640"/>
        </a:xfrm>
        <a:prstGeom prst="rect">
          <a:avLst/>
        </a:prstGeom>
      </xdr:spPr>
    </xdr:pic>
    <xdr:clientData/>
  </xdr:twoCellAnchor>
  <xdr:twoCellAnchor>
    <xdr:from>
      <xdr:col>8</xdr:col>
      <xdr:colOff>6350</xdr:colOff>
      <xdr:row>4423</xdr:row>
      <xdr:rowOff>25400</xdr:rowOff>
    </xdr:from>
    <xdr:to>
      <xdr:col>8</xdr:col>
      <xdr:colOff>885190</xdr:colOff>
      <xdr:row>4423</xdr:row>
      <xdr:rowOff>1209040</xdr:rowOff>
    </xdr:to>
    <xdr:pic>
      <xdr:nvPicPr>
        <xdr:cNvPr id="7685" name="Изображение 7684" descr="resizeПП-00273019"/>
        <xdr:cNvPicPr>
          <a:picLocks noChangeAspect="1"/>
        </xdr:cNvPicPr>
      </xdr:nvPicPr>
      <xdr:blipFill>
        <a:blip xmlns:r="http://schemas.openxmlformats.org/officeDocument/2006/relationships" r:embed="rId3371"/>
        <a:stretch>
          <a:fillRect/>
        </a:stretch>
      </xdr:blipFill>
      <xdr:spPr>
        <a:xfrm>
          <a:off x="7264400" y="4399099025"/>
          <a:ext cx="878840" cy="1183640"/>
        </a:xfrm>
        <a:prstGeom prst="rect">
          <a:avLst/>
        </a:prstGeom>
      </xdr:spPr>
    </xdr:pic>
    <xdr:clientData/>
  </xdr:twoCellAnchor>
  <xdr:twoCellAnchor>
    <xdr:from>
      <xdr:col>8</xdr:col>
      <xdr:colOff>6350</xdr:colOff>
      <xdr:row>4424</xdr:row>
      <xdr:rowOff>25400</xdr:rowOff>
    </xdr:from>
    <xdr:to>
      <xdr:col>8</xdr:col>
      <xdr:colOff>885190</xdr:colOff>
      <xdr:row>4424</xdr:row>
      <xdr:rowOff>1209040</xdr:rowOff>
    </xdr:to>
    <xdr:pic>
      <xdr:nvPicPr>
        <xdr:cNvPr id="7686" name="Изображение 7685" descr="resizeПП-00273016"/>
        <xdr:cNvPicPr>
          <a:picLocks noChangeAspect="1"/>
        </xdr:cNvPicPr>
      </xdr:nvPicPr>
      <xdr:blipFill>
        <a:blip xmlns:r="http://schemas.openxmlformats.org/officeDocument/2006/relationships" r:embed="rId3372"/>
        <a:stretch>
          <a:fillRect/>
        </a:stretch>
      </xdr:blipFill>
      <xdr:spPr>
        <a:xfrm>
          <a:off x="7264400" y="4400321400"/>
          <a:ext cx="878840" cy="1183640"/>
        </a:xfrm>
        <a:prstGeom prst="rect">
          <a:avLst/>
        </a:prstGeom>
      </xdr:spPr>
    </xdr:pic>
    <xdr:clientData/>
  </xdr:twoCellAnchor>
  <xdr:twoCellAnchor>
    <xdr:from>
      <xdr:col>8</xdr:col>
      <xdr:colOff>6350</xdr:colOff>
      <xdr:row>4425</xdr:row>
      <xdr:rowOff>25400</xdr:rowOff>
    </xdr:from>
    <xdr:to>
      <xdr:col>8</xdr:col>
      <xdr:colOff>885190</xdr:colOff>
      <xdr:row>4425</xdr:row>
      <xdr:rowOff>1209040</xdr:rowOff>
    </xdr:to>
    <xdr:pic>
      <xdr:nvPicPr>
        <xdr:cNvPr id="7687" name="Изображение 7686" descr="resizeПП-00273015"/>
        <xdr:cNvPicPr>
          <a:picLocks noChangeAspect="1"/>
        </xdr:cNvPicPr>
      </xdr:nvPicPr>
      <xdr:blipFill>
        <a:blip xmlns:r="http://schemas.openxmlformats.org/officeDocument/2006/relationships" r:embed="rId3373"/>
        <a:stretch>
          <a:fillRect/>
        </a:stretch>
      </xdr:blipFill>
      <xdr:spPr>
        <a:xfrm>
          <a:off x="7264400" y="4401543775"/>
          <a:ext cx="878840" cy="1183640"/>
        </a:xfrm>
        <a:prstGeom prst="rect">
          <a:avLst/>
        </a:prstGeom>
      </xdr:spPr>
    </xdr:pic>
    <xdr:clientData/>
  </xdr:twoCellAnchor>
  <xdr:twoCellAnchor>
    <xdr:from>
      <xdr:col>8</xdr:col>
      <xdr:colOff>6350</xdr:colOff>
      <xdr:row>4426</xdr:row>
      <xdr:rowOff>25400</xdr:rowOff>
    </xdr:from>
    <xdr:to>
      <xdr:col>8</xdr:col>
      <xdr:colOff>885190</xdr:colOff>
      <xdr:row>4426</xdr:row>
      <xdr:rowOff>1209040</xdr:rowOff>
    </xdr:to>
    <xdr:pic>
      <xdr:nvPicPr>
        <xdr:cNvPr id="7688" name="Изображение 7687" descr="resizeПП-00273014"/>
        <xdr:cNvPicPr>
          <a:picLocks noChangeAspect="1"/>
        </xdr:cNvPicPr>
      </xdr:nvPicPr>
      <xdr:blipFill>
        <a:blip xmlns:r="http://schemas.openxmlformats.org/officeDocument/2006/relationships" r:embed="rId3374"/>
        <a:stretch>
          <a:fillRect/>
        </a:stretch>
      </xdr:blipFill>
      <xdr:spPr>
        <a:xfrm>
          <a:off x="7264400" y="4402766150"/>
          <a:ext cx="878840" cy="1183640"/>
        </a:xfrm>
        <a:prstGeom prst="rect">
          <a:avLst/>
        </a:prstGeom>
      </xdr:spPr>
    </xdr:pic>
    <xdr:clientData/>
  </xdr:twoCellAnchor>
  <xdr:twoCellAnchor>
    <xdr:from>
      <xdr:col>8</xdr:col>
      <xdr:colOff>6350</xdr:colOff>
      <xdr:row>4427</xdr:row>
      <xdr:rowOff>25400</xdr:rowOff>
    </xdr:from>
    <xdr:to>
      <xdr:col>8</xdr:col>
      <xdr:colOff>885190</xdr:colOff>
      <xdr:row>4427</xdr:row>
      <xdr:rowOff>1209040</xdr:rowOff>
    </xdr:to>
    <xdr:pic>
      <xdr:nvPicPr>
        <xdr:cNvPr id="7689" name="Изображение 7688" descr="resizeПП-00273013"/>
        <xdr:cNvPicPr>
          <a:picLocks noChangeAspect="1"/>
        </xdr:cNvPicPr>
      </xdr:nvPicPr>
      <xdr:blipFill>
        <a:blip xmlns:r="http://schemas.openxmlformats.org/officeDocument/2006/relationships" r:embed="rId3375"/>
        <a:stretch>
          <a:fillRect/>
        </a:stretch>
      </xdr:blipFill>
      <xdr:spPr>
        <a:xfrm>
          <a:off x="7264400" y="4403988525"/>
          <a:ext cx="878840" cy="1183640"/>
        </a:xfrm>
        <a:prstGeom prst="rect">
          <a:avLst/>
        </a:prstGeom>
      </xdr:spPr>
    </xdr:pic>
    <xdr:clientData/>
  </xdr:twoCellAnchor>
  <xdr:twoCellAnchor>
    <xdr:from>
      <xdr:col>8</xdr:col>
      <xdr:colOff>6350</xdr:colOff>
      <xdr:row>4428</xdr:row>
      <xdr:rowOff>25400</xdr:rowOff>
    </xdr:from>
    <xdr:to>
      <xdr:col>8</xdr:col>
      <xdr:colOff>885190</xdr:colOff>
      <xdr:row>4428</xdr:row>
      <xdr:rowOff>1209040</xdr:rowOff>
    </xdr:to>
    <xdr:pic>
      <xdr:nvPicPr>
        <xdr:cNvPr id="7690" name="Изображение 7689" descr="resizeПП-00273017"/>
        <xdr:cNvPicPr>
          <a:picLocks noChangeAspect="1"/>
        </xdr:cNvPicPr>
      </xdr:nvPicPr>
      <xdr:blipFill>
        <a:blip xmlns:r="http://schemas.openxmlformats.org/officeDocument/2006/relationships" r:embed="rId3376"/>
        <a:stretch>
          <a:fillRect/>
        </a:stretch>
      </xdr:blipFill>
      <xdr:spPr>
        <a:xfrm>
          <a:off x="7264400" y="4405210900"/>
          <a:ext cx="878840" cy="1183640"/>
        </a:xfrm>
        <a:prstGeom prst="rect">
          <a:avLst/>
        </a:prstGeom>
      </xdr:spPr>
    </xdr:pic>
    <xdr:clientData/>
  </xdr:twoCellAnchor>
  <xdr:twoCellAnchor>
    <xdr:from>
      <xdr:col>8</xdr:col>
      <xdr:colOff>6350</xdr:colOff>
      <xdr:row>4429</xdr:row>
      <xdr:rowOff>25400</xdr:rowOff>
    </xdr:from>
    <xdr:to>
      <xdr:col>8</xdr:col>
      <xdr:colOff>1189990</xdr:colOff>
      <xdr:row>4429</xdr:row>
      <xdr:rowOff>904240</xdr:rowOff>
    </xdr:to>
    <xdr:pic>
      <xdr:nvPicPr>
        <xdr:cNvPr id="7691" name="Изображение 7690" descr="resizeПП-00253599"/>
        <xdr:cNvPicPr>
          <a:picLocks noChangeAspect="1"/>
        </xdr:cNvPicPr>
      </xdr:nvPicPr>
      <xdr:blipFill>
        <a:blip xmlns:r="http://schemas.openxmlformats.org/officeDocument/2006/relationships" r:embed="rId3377"/>
        <a:stretch>
          <a:fillRect/>
        </a:stretch>
      </xdr:blipFill>
      <xdr:spPr>
        <a:xfrm>
          <a:off x="7264400" y="4406433275"/>
          <a:ext cx="1183640" cy="878840"/>
        </a:xfrm>
        <a:prstGeom prst="rect">
          <a:avLst/>
        </a:prstGeom>
      </xdr:spPr>
    </xdr:pic>
    <xdr:clientData/>
  </xdr:twoCellAnchor>
  <xdr:twoCellAnchor>
    <xdr:from>
      <xdr:col>8</xdr:col>
      <xdr:colOff>6350</xdr:colOff>
      <xdr:row>4431</xdr:row>
      <xdr:rowOff>25400</xdr:rowOff>
    </xdr:from>
    <xdr:to>
      <xdr:col>8</xdr:col>
      <xdr:colOff>885190</xdr:colOff>
      <xdr:row>4431</xdr:row>
      <xdr:rowOff>1209040</xdr:rowOff>
    </xdr:to>
    <xdr:pic>
      <xdr:nvPicPr>
        <xdr:cNvPr id="7692" name="Изображение 7691" descr="resizeПП-00273008"/>
        <xdr:cNvPicPr>
          <a:picLocks noChangeAspect="1"/>
        </xdr:cNvPicPr>
      </xdr:nvPicPr>
      <xdr:blipFill>
        <a:blip xmlns:r="http://schemas.openxmlformats.org/officeDocument/2006/relationships" r:embed="rId3378"/>
        <a:stretch>
          <a:fillRect/>
        </a:stretch>
      </xdr:blipFill>
      <xdr:spPr>
        <a:xfrm>
          <a:off x="7264400" y="4407808050"/>
          <a:ext cx="878840" cy="1183640"/>
        </a:xfrm>
        <a:prstGeom prst="rect">
          <a:avLst/>
        </a:prstGeom>
      </xdr:spPr>
    </xdr:pic>
    <xdr:clientData/>
  </xdr:twoCellAnchor>
  <xdr:twoCellAnchor>
    <xdr:from>
      <xdr:col>8</xdr:col>
      <xdr:colOff>6350</xdr:colOff>
      <xdr:row>4432</xdr:row>
      <xdr:rowOff>25400</xdr:rowOff>
    </xdr:from>
    <xdr:to>
      <xdr:col>8</xdr:col>
      <xdr:colOff>885190</xdr:colOff>
      <xdr:row>4432</xdr:row>
      <xdr:rowOff>1209040</xdr:rowOff>
    </xdr:to>
    <xdr:pic>
      <xdr:nvPicPr>
        <xdr:cNvPr id="7693" name="Изображение 7692" descr="resizeПП-00273009"/>
        <xdr:cNvPicPr>
          <a:picLocks noChangeAspect="1"/>
        </xdr:cNvPicPr>
      </xdr:nvPicPr>
      <xdr:blipFill>
        <a:blip xmlns:r="http://schemas.openxmlformats.org/officeDocument/2006/relationships" r:embed="rId3379"/>
        <a:stretch>
          <a:fillRect/>
        </a:stretch>
      </xdr:blipFill>
      <xdr:spPr>
        <a:xfrm>
          <a:off x="7264400" y="4409030425"/>
          <a:ext cx="878840" cy="1183640"/>
        </a:xfrm>
        <a:prstGeom prst="rect">
          <a:avLst/>
        </a:prstGeom>
      </xdr:spPr>
    </xdr:pic>
    <xdr:clientData/>
  </xdr:twoCellAnchor>
  <xdr:twoCellAnchor>
    <xdr:from>
      <xdr:col>8</xdr:col>
      <xdr:colOff>6350</xdr:colOff>
      <xdr:row>4433</xdr:row>
      <xdr:rowOff>25400</xdr:rowOff>
    </xdr:from>
    <xdr:to>
      <xdr:col>8</xdr:col>
      <xdr:colOff>885190</xdr:colOff>
      <xdr:row>4433</xdr:row>
      <xdr:rowOff>1209040</xdr:rowOff>
    </xdr:to>
    <xdr:pic>
      <xdr:nvPicPr>
        <xdr:cNvPr id="7694" name="Изображение 7693" descr="resizeПП-00273010"/>
        <xdr:cNvPicPr>
          <a:picLocks noChangeAspect="1"/>
        </xdr:cNvPicPr>
      </xdr:nvPicPr>
      <xdr:blipFill>
        <a:blip xmlns:r="http://schemas.openxmlformats.org/officeDocument/2006/relationships" r:embed="rId3380"/>
        <a:stretch>
          <a:fillRect/>
        </a:stretch>
      </xdr:blipFill>
      <xdr:spPr>
        <a:xfrm>
          <a:off x="7264400" y="4410252800"/>
          <a:ext cx="878840" cy="1183640"/>
        </a:xfrm>
        <a:prstGeom prst="rect">
          <a:avLst/>
        </a:prstGeom>
      </xdr:spPr>
    </xdr:pic>
    <xdr:clientData/>
  </xdr:twoCellAnchor>
  <xdr:twoCellAnchor>
    <xdr:from>
      <xdr:col>8</xdr:col>
      <xdr:colOff>6350</xdr:colOff>
      <xdr:row>4436</xdr:row>
      <xdr:rowOff>25400</xdr:rowOff>
    </xdr:from>
    <xdr:to>
      <xdr:col>8</xdr:col>
      <xdr:colOff>885190</xdr:colOff>
      <xdr:row>4436</xdr:row>
      <xdr:rowOff>1209040</xdr:rowOff>
    </xdr:to>
    <xdr:pic>
      <xdr:nvPicPr>
        <xdr:cNvPr id="7695" name="Изображение 7694" descr="resizeПП-00272975"/>
        <xdr:cNvPicPr>
          <a:picLocks noChangeAspect="1"/>
        </xdr:cNvPicPr>
      </xdr:nvPicPr>
      <xdr:blipFill>
        <a:blip xmlns:r="http://schemas.openxmlformats.org/officeDocument/2006/relationships" r:embed="rId3381"/>
        <a:stretch>
          <a:fillRect/>
        </a:stretch>
      </xdr:blipFill>
      <xdr:spPr>
        <a:xfrm>
          <a:off x="7264400" y="4411779975"/>
          <a:ext cx="878840" cy="1183640"/>
        </a:xfrm>
        <a:prstGeom prst="rect">
          <a:avLst/>
        </a:prstGeom>
      </xdr:spPr>
    </xdr:pic>
    <xdr:clientData/>
  </xdr:twoCellAnchor>
  <xdr:twoCellAnchor>
    <xdr:from>
      <xdr:col>8</xdr:col>
      <xdr:colOff>6350</xdr:colOff>
      <xdr:row>4437</xdr:row>
      <xdr:rowOff>25400</xdr:rowOff>
    </xdr:from>
    <xdr:to>
      <xdr:col>8</xdr:col>
      <xdr:colOff>885190</xdr:colOff>
      <xdr:row>4437</xdr:row>
      <xdr:rowOff>1209040</xdr:rowOff>
    </xdr:to>
    <xdr:pic>
      <xdr:nvPicPr>
        <xdr:cNvPr id="7696" name="Изображение 7695" descr="resizeПП-00253606"/>
        <xdr:cNvPicPr>
          <a:picLocks noChangeAspect="1"/>
        </xdr:cNvPicPr>
      </xdr:nvPicPr>
      <xdr:blipFill>
        <a:blip xmlns:r="http://schemas.openxmlformats.org/officeDocument/2006/relationships" r:embed="rId3382"/>
        <a:stretch>
          <a:fillRect/>
        </a:stretch>
      </xdr:blipFill>
      <xdr:spPr>
        <a:xfrm>
          <a:off x="7264400" y="4413002350"/>
          <a:ext cx="878840" cy="1183640"/>
        </a:xfrm>
        <a:prstGeom prst="rect">
          <a:avLst/>
        </a:prstGeom>
      </xdr:spPr>
    </xdr:pic>
    <xdr:clientData/>
  </xdr:twoCellAnchor>
  <xdr:twoCellAnchor>
    <xdr:from>
      <xdr:col>8</xdr:col>
      <xdr:colOff>6350</xdr:colOff>
      <xdr:row>4438</xdr:row>
      <xdr:rowOff>25400</xdr:rowOff>
    </xdr:from>
    <xdr:to>
      <xdr:col>8</xdr:col>
      <xdr:colOff>885190</xdr:colOff>
      <xdr:row>4438</xdr:row>
      <xdr:rowOff>1209040</xdr:rowOff>
    </xdr:to>
    <xdr:pic>
      <xdr:nvPicPr>
        <xdr:cNvPr id="7697" name="Изображение 7696" descr="resizeПП-00272976"/>
        <xdr:cNvPicPr>
          <a:picLocks noChangeAspect="1"/>
        </xdr:cNvPicPr>
      </xdr:nvPicPr>
      <xdr:blipFill>
        <a:blip xmlns:r="http://schemas.openxmlformats.org/officeDocument/2006/relationships" r:embed="rId3383"/>
        <a:stretch>
          <a:fillRect/>
        </a:stretch>
      </xdr:blipFill>
      <xdr:spPr>
        <a:xfrm>
          <a:off x="7264400" y="4414224725"/>
          <a:ext cx="878840" cy="1183640"/>
        </a:xfrm>
        <a:prstGeom prst="rect">
          <a:avLst/>
        </a:prstGeom>
      </xdr:spPr>
    </xdr:pic>
    <xdr:clientData/>
  </xdr:twoCellAnchor>
  <xdr:twoCellAnchor>
    <xdr:from>
      <xdr:col>8</xdr:col>
      <xdr:colOff>6350</xdr:colOff>
      <xdr:row>4443</xdr:row>
      <xdr:rowOff>25400</xdr:rowOff>
    </xdr:from>
    <xdr:to>
      <xdr:col>8</xdr:col>
      <xdr:colOff>885190</xdr:colOff>
      <xdr:row>4443</xdr:row>
      <xdr:rowOff>1209040</xdr:rowOff>
    </xdr:to>
    <xdr:pic>
      <xdr:nvPicPr>
        <xdr:cNvPr id="7698" name="Изображение 7697" descr="resizeПП-00233613"/>
        <xdr:cNvPicPr>
          <a:picLocks noChangeAspect="1"/>
        </xdr:cNvPicPr>
      </xdr:nvPicPr>
      <xdr:blipFill>
        <a:blip xmlns:r="http://schemas.openxmlformats.org/officeDocument/2006/relationships" r:embed="rId3384"/>
        <a:stretch>
          <a:fillRect/>
        </a:stretch>
      </xdr:blipFill>
      <xdr:spPr>
        <a:xfrm>
          <a:off x="7264400" y="4416056700"/>
          <a:ext cx="878840" cy="1183640"/>
        </a:xfrm>
        <a:prstGeom prst="rect">
          <a:avLst/>
        </a:prstGeom>
      </xdr:spPr>
    </xdr:pic>
    <xdr:clientData/>
  </xdr:twoCellAnchor>
  <xdr:twoCellAnchor>
    <xdr:from>
      <xdr:col>8</xdr:col>
      <xdr:colOff>6350</xdr:colOff>
      <xdr:row>4445</xdr:row>
      <xdr:rowOff>25400</xdr:rowOff>
    </xdr:from>
    <xdr:to>
      <xdr:col>8</xdr:col>
      <xdr:colOff>885190</xdr:colOff>
      <xdr:row>4445</xdr:row>
      <xdr:rowOff>1209040</xdr:rowOff>
    </xdr:to>
    <xdr:pic>
      <xdr:nvPicPr>
        <xdr:cNvPr id="7699" name="Изображение 7698" descr="resizeПП-00257942"/>
        <xdr:cNvPicPr>
          <a:picLocks noChangeAspect="1"/>
        </xdr:cNvPicPr>
      </xdr:nvPicPr>
      <xdr:blipFill>
        <a:blip xmlns:r="http://schemas.openxmlformats.org/officeDocument/2006/relationships" r:embed="rId3385"/>
        <a:stretch>
          <a:fillRect/>
        </a:stretch>
      </xdr:blipFill>
      <xdr:spPr>
        <a:xfrm>
          <a:off x="7264400" y="4417431475"/>
          <a:ext cx="878840" cy="1183640"/>
        </a:xfrm>
        <a:prstGeom prst="rect">
          <a:avLst/>
        </a:prstGeom>
      </xdr:spPr>
    </xdr:pic>
    <xdr:clientData/>
  </xdr:twoCellAnchor>
  <xdr:twoCellAnchor>
    <xdr:from>
      <xdr:col>8</xdr:col>
      <xdr:colOff>6350</xdr:colOff>
      <xdr:row>4446</xdr:row>
      <xdr:rowOff>25400</xdr:rowOff>
    </xdr:from>
    <xdr:to>
      <xdr:col>8</xdr:col>
      <xdr:colOff>885190</xdr:colOff>
      <xdr:row>4446</xdr:row>
      <xdr:rowOff>1209040</xdr:rowOff>
    </xdr:to>
    <xdr:pic>
      <xdr:nvPicPr>
        <xdr:cNvPr id="7700" name="Изображение 7699" descr="resizeПП-00257945"/>
        <xdr:cNvPicPr>
          <a:picLocks noChangeAspect="1"/>
        </xdr:cNvPicPr>
      </xdr:nvPicPr>
      <xdr:blipFill>
        <a:blip xmlns:r="http://schemas.openxmlformats.org/officeDocument/2006/relationships" r:embed="rId3386"/>
        <a:stretch>
          <a:fillRect/>
        </a:stretch>
      </xdr:blipFill>
      <xdr:spPr>
        <a:xfrm>
          <a:off x="7264400" y="4418653850"/>
          <a:ext cx="878840" cy="1183640"/>
        </a:xfrm>
        <a:prstGeom prst="rect">
          <a:avLst/>
        </a:prstGeom>
      </xdr:spPr>
    </xdr:pic>
    <xdr:clientData/>
  </xdr:twoCellAnchor>
  <xdr:twoCellAnchor>
    <xdr:from>
      <xdr:col>8</xdr:col>
      <xdr:colOff>6350</xdr:colOff>
      <xdr:row>4447</xdr:row>
      <xdr:rowOff>25400</xdr:rowOff>
    </xdr:from>
    <xdr:to>
      <xdr:col>8</xdr:col>
      <xdr:colOff>885190</xdr:colOff>
      <xdr:row>4447</xdr:row>
      <xdr:rowOff>1209040</xdr:rowOff>
    </xdr:to>
    <xdr:pic>
      <xdr:nvPicPr>
        <xdr:cNvPr id="7701" name="Изображение 7700" descr="resizeПП-00257950"/>
        <xdr:cNvPicPr>
          <a:picLocks noChangeAspect="1"/>
        </xdr:cNvPicPr>
      </xdr:nvPicPr>
      <xdr:blipFill>
        <a:blip xmlns:r="http://schemas.openxmlformats.org/officeDocument/2006/relationships" r:embed="rId3387"/>
        <a:stretch>
          <a:fillRect/>
        </a:stretch>
      </xdr:blipFill>
      <xdr:spPr>
        <a:xfrm>
          <a:off x="7264400" y="4419876225"/>
          <a:ext cx="878840" cy="1183640"/>
        </a:xfrm>
        <a:prstGeom prst="rect">
          <a:avLst/>
        </a:prstGeom>
      </xdr:spPr>
    </xdr:pic>
    <xdr:clientData/>
  </xdr:twoCellAnchor>
  <xdr:twoCellAnchor>
    <xdr:from>
      <xdr:col>8</xdr:col>
      <xdr:colOff>6350</xdr:colOff>
      <xdr:row>4451</xdr:row>
      <xdr:rowOff>25400</xdr:rowOff>
    </xdr:from>
    <xdr:to>
      <xdr:col>8</xdr:col>
      <xdr:colOff>885190</xdr:colOff>
      <xdr:row>4451</xdr:row>
      <xdr:rowOff>1209040</xdr:rowOff>
    </xdr:to>
    <xdr:pic>
      <xdr:nvPicPr>
        <xdr:cNvPr id="7702" name="Изображение 7701" descr="resizeПП-00233625"/>
        <xdr:cNvPicPr>
          <a:picLocks noChangeAspect="1"/>
        </xdr:cNvPicPr>
      </xdr:nvPicPr>
      <xdr:blipFill>
        <a:blip xmlns:r="http://schemas.openxmlformats.org/officeDocument/2006/relationships" r:embed="rId3388"/>
        <a:stretch>
          <a:fillRect/>
        </a:stretch>
      </xdr:blipFill>
      <xdr:spPr>
        <a:xfrm>
          <a:off x="7264400" y="4421555800"/>
          <a:ext cx="878840" cy="1183640"/>
        </a:xfrm>
        <a:prstGeom prst="rect">
          <a:avLst/>
        </a:prstGeom>
      </xdr:spPr>
    </xdr:pic>
    <xdr:clientData/>
  </xdr:twoCellAnchor>
  <xdr:twoCellAnchor>
    <xdr:from>
      <xdr:col>8</xdr:col>
      <xdr:colOff>6350</xdr:colOff>
      <xdr:row>4454</xdr:row>
      <xdr:rowOff>25400</xdr:rowOff>
    </xdr:from>
    <xdr:to>
      <xdr:col>8</xdr:col>
      <xdr:colOff>885190</xdr:colOff>
      <xdr:row>4454</xdr:row>
      <xdr:rowOff>1209040</xdr:rowOff>
    </xdr:to>
    <xdr:pic>
      <xdr:nvPicPr>
        <xdr:cNvPr id="7703" name="Изображение 7702" descr="resizeПП-00233544"/>
        <xdr:cNvPicPr>
          <a:picLocks noChangeAspect="1"/>
        </xdr:cNvPicPr>
      </xdr:nvPicPr>
      <xdr:blipFill>
        <a:blip xmlns:r="http://schemas.openxmlformats.org/officeDocument/2006/relationships" r:embed="rId3389"/>
        <a:stretch>
          <a:fillRect/>
        </a:stretch>
      </xdr:blipFill>
      <xdr:spPr>
        <a:xfrm>
          <a:off x="7264400" y="4423082975"/>
          <a:ext cx="878840" cy="1183640"/>
        </a:xfrm>
        <a:prstGeom prst="rect">
          <a:avLst/>
        </a:prstGeom>
      </xdr:spPr>
    </xdr:pic>
    <xdr:clientData/>
  </xdr:twoCellAnchor>
  <xdr:twoCellAnchor>
    <xdr:from>
      <xdr:col>8</xdr:col>
      <xdr:colOff>6350</xdr:colOff>
      <xdr:row>4459</xdr:row>
      <xdr:rowOff>25400</xdr:rowOff>
    </xdr:from>
    <xdr:to>
      <xdr:col>8</xdr:col>
      <xdr:colOff>885190</xdr:colOff>
      <xdr:row>4459</xdr:row>
      <xdr:rowOff>1209040</xdr:rowOff>
    </xdr:to>
    <xdr:pic>
      <xdr:nvPicPr>
        <xdr:cNvPr id="7704" name="Изображение 7703" descr="resizeПП-00259219"/>
        <xdr:cNvPicPr>
          <a:picLocks noChangeAspect="1"/>
        </xdr:cNvPicPr>
      </xdr:nvPicPr>
      <xdr:blipFill>
        <a:blip xmlns:r="http://schemas.openxmlformats.org/officeDocument/2006/relationships" r:embed="rId3390"/>
        <a:stretch>
          <a:fillRect/>
        </a:stretch>
      </xdr:blipFill>
      <xdr:spPr>
        <a:xfrm>
          <a:off x="7264400" y="4424914950"/>
          <a:ext cx="878840" cy="1183640"/>
        </a:xfrm>
        <a:prstGeom prst="rect">
          <a:avLst/>
        </a:prstGeom>
      </xdr:spPr>
    </xdr:pic>
    <xdr:clientData/>
  </xdr:twoCellAnchor>
  <xdr:twoCellAnchor>
    <xdr:from>
      <xdr:col>8</xdr:col>
      <xdr:colOff>6350</xdr:colOff>
      <xdr:row>4460</xdr:row>
      <xdr:rowOff>25400</xdr:rowOff>
    </xdr:from>
    <xdr:to>
      <xdr:col>8</xdr:col>
      <xdr:colOff>885190</xdr:colOff>
      <xdr:row>4460</xdr:row>
      <xdr:rowOff>1209040</xdr:rowOff>
    </xdr:to>
    <xdr:pic>
      <xdr:nvPicPr>
        <xdr:cNvPr id="7705" name="Изображение 7704" descr="resizeПП-00259218"/>
        <xdr:cNvPicPr>
          <a:picLocks noChangeAspect="1"/>
        </xdr:cNvPicPr>
      </xdr:nvPicPr>
      <xdr:blipFill>
        <a:blip xmlns:r="http://schemas.openxmlformats.org/officeDocument/2006/relationships" r:embed="rId3391"/>
        <a:stretch>
          <a:fillRect/>
        </a:stretch>
      </xdr:blipFill>
      <xdr:spPr>
        <a:xfrm>
          <a:off x="7264400" y="4426137325"/>
          <a:ext cx="878840" cy="1183640"/>
        </a:xfrm>
        <a:prstGeom prst="rect">
          <a:avLst/>
        </a:prstGeom>
      </xdr:spPr>
    </xdr:pic>
    <xdr:clientData/>
  </xdr:twoCellAnchor>
  <xdr:twoCellAnchor>
    <xdr:from>
      <xdr:col>8</xdr:col>
      <xdr:colOff>6350</xdr:colOff>
      <xdr:row>4461</xdr:row>
      <xdr:rowOff>25400</xdr:rowOff>
    </xdr:from>
    <xdr:to>
      <xdr:col>8</xdr:col>
      <xdr:colOff>885190</xdr:colOff>
      <xdr:row>4461</xdr:row>
      <xdr:rowOff>1209040</xdr:rowOff>
    </xdr:to>
    <xdr:pic>
      <xdr:nvPicPr>
        <xdr:cNvPr id="7706" name="Изображение 7705" descr="resizeПП-00259221"/>
        <xdr:cNvPicPr>
          <a:picLocks noChangeAspect="1"/>
        </xdr:cNvPicPr>
      </xdr:nvPicPr>
      <xdr:blipFill>
        <a:blip xmlns:r="http://schemas.openxmlformats.org/officeDocument/2006/relationships" r:embed="rId3392"/>
        <a:stretch>
          <a:fillRect/>
        </a:stretch>
      </xdr:blipFill>
      <xdr:spPr>
        <a:xfrm>
          <a:off x="7264400" y="4427359700"/>
          <a:ext cx="878840" cy="1183640"/>
        </a:xfrm>
        <a:prstGeom prst="rect">
          <a:avLst/>
        </a:prstGeom>
      </xdr:spPr>
    </xdr:pic>
    <xdr:clientData/>
  </xdr:twoCellAnchor>
  <xdr:twoCellAnchor>
    <xdr:from>
      <xdr:col>8</xdr:col>
      <xdr:colOff>6350</xdr:colOff>
      <xdr:row>4463</xdr:row>
      <xdr:rowOff>25400</xdr:rowOff>
    </xdr:from>
    <xdr:to>
      <xdr:col>8</xdr:col>
      <xdr:colOff>885190</xdr:colOff>
      <xdr:row>4463</xdr:row>
      <xdr:rowOff>1209040</xdr:rowOff>
    </xdr:to>
    <xdr:pic>
      <xdr:nvPicPr>
        <xdr:cNvPr id="7707" name="Изображение 7706" descr="resizeПП-00259195"/>
        <xdr:cNvPicPr>
          <a:picLocks noChangeAspect="1"/>
        </xdr:cNvPicPr>
      </xdr:nvPicPr>
      <xdr:blipFill>
        <a:blip xmlns:r="http://schemas.openxmlformats.org/officeDocument/2006/relationships" r:embed="rId3393"/>
        <a:stretch>
          <a:fillRect/>
        </a:stretch>
      </xdr:blipFill>
      <xdr:spPr>
        <a:xfrm>
          <a:off x="7264400" y="4428734475"/>
          <a:ext cx="878840" cy="1183640"/>
        </a:xfrm>
        <a:prstGeom prst="rect">
          <a:avLst/>
        </a:prstGeom>
      </xdr:spPr>
    </xdr:pic>
    <xdr:clientData/>
  </xdr:twoCellAnchor>
  <xdr:twoCellAnchor>
    <xdr:from>
      <xdr:col>8</xdr:col>
      <xdr:colOff>6350</xdr:colOff>
      <xdr:row>4464</xdr:row>
      <xdr:rowOff>25400</xdr:rowOff>
    </xdr:from>
    <xdr:to>
      <xdr:col>8</xdr:col>
      <xdr:colOff>885190</xdr:colOff>
      <xdr:row>4464</xdr:row>
      <xdr:rowOff>1209040</xdr:rowOff>
    </xdr:to>
    <xdr:pic>
      <xdr:nvPicPr>
        <xdr:cNvPr id="7708" name="Изображение 7707" descr="resizeПП-00259213"/>
        <xdr:cNvPicPr>
          <a:picLocks noChangeAspect="1"/>
        </xdr:cNvPicPr>
      </xdr:nvPicPr>
      <xdr:blipFill>
        <a:blip xmlns:r="http://schemas.openxmlformats.org/officeDocument/2006/relationships" r:embed="rId3394"/>
        <a:stretch>
          <a:fillRect/>
        </a:stretch>
      </xdr:blipFill>
      <xdr:spPr>
        <a:xfrm>
          <a:off x="7264400" y="4429956850"/>
          <a:ext cx="878840" cy="1183640"/>
        </a:xfrm>
        <a:prstGeom prst="rect">
          <a:avLst/>
        </a:prstGeom>
      </xdr:spPr>
    </xdr:pic>
    <xdr:clientData/>
  </xdr:twoCellAnchor>
  <xdr:twoCellAnchor>
    <xdr:from>
      <xdr:col>8</xdr:col>
      <xdr:colOff>6350</xdr:colOff>
      <xdr:row>4465</xdr:row>
      <xdr:rowOff>25400</xdr:rowOff>
    </xdr:from>
    <xdr:to>
      <xdr:col>8</xdr:col>
      <xdr:colOff>885190</xdr:colOff>
      <xdr:row>4465</xdr:row>
      <xdr:rowOff>1209040</xdr:rowOff>
    </xdr:to>
    <xdr:pic>
      <xdr:nvPicPr>
        <xdr:cNvPr id="7709" name="Изображение 7708" descr="resizeПП-00259212"/>
        <xdr:cNvPicPr>
          <a:picLocks noChangeAspect="1"/>
        </xdr:cNvPicPr>
      </xdr:nvPicPr>
      <xdr:blipFill>
        <a:blip xmlns:r="http://schemas.openxmlformats.org/officeDocument/2006/relationships" r:embed="rId3395"/>
        <a:stretch>
          <a:fillRect/>
        </a:stretch>
      </xdr:blipFill>
      <xdr:spPr>
        <a:xfrm>
          <a:off x="7264400" y="4431179225"/>
          <a:ext cx="878840" cy="1183640"/>
        </a:xfrm>
        <a:prstGeom prst="rect">
          <a:avLst/>
        </a:prstGeom>
      </xdr:spPr>
    </xdr:pic>
    <xdr:clientData/>
  </xdr:twoCellAnchor>
  <xdr:twoCellAnchor>
    <xdr:from>
      <xdr:col>8</xdr:col>
      <xdr:colOff>6350</xdr:colOff>
      <xdr:row>4466</xdr:row>
      <xdr:rowOff>25400</xdr:rowOff>
    </xdr:from>
    <xdr:to>
      <xdr:col>8</xdr:col>
      <xdr:colOff>885190</xdr:colOff>
      <xdr:row>4466</xdr:row>
      <xdr:rowOff>1209040</xdr:rowOff>
    </xdr:to>
    <xdr:pic>
      <xdr:nvPicPr>
        <xdr:cNvPr id="7710" name="Изображение 7709" descr="resizeПП-00259204"/>
        <xdr:cNvPicPr>
          <a:picLocks noChangeAspect="1"/>
        </xdr:cNvPicPr>
      </xdr:nvPicPr>
      <xdr:blipFill>
        <a:blip xmlns:r="http://schemas.openxmlformats.org/officeDocument/2006/relationships" r:embed="rId3396"/>
        <a:stretch>
          <a:fillRect/>
        </a:stretch>
      </xdr:blipFill>
      <xdr:spPr>
        <a:xfrm>
          <a:off x="7264400" y="4432401600"/>
          <a:ext cx="878840" cy="1183640"/>
        </a:xfrm>
        <a:prstGeom prst="rect">
          <a:avLst/>
        </a:prstGeom>
      </xdr:spPr>
    </xdr:pic>
    <xdr:clientData/>
  </xdr:twoCellAnchor>
  <xdr:twoCellAnchor>
    <xdr:from>
      <xdr:col>8</xdr:col>
      <xdr:colOff>6350</xdr:colOff>
      <xdr:row>4467</xdr:row>
      <xdr:rowOff>25400</xdr:rowOff>
    </xdr:from>
    <xdr:to>
      <xdr:col>8</xdr:col>
      <xdr:colOff>885190</xdr:colOff>
      <xdr:row>4467</xdr:row>
      <xdr:rowOff>1209040</xdr:rowOff>
    </xdr:to>
    <xdr:pic>
      <xdr:nvPicPr>
        <xdr:cNvPr id="7711" name="Изображение 7710" descr="resizeПП-00259201"/>
        <xdr:cNvPicPr>
          <a:picLocks noChangeAspect="1"/>
        </xdr:cNvPicPr>
      </xdr:nvPicPr>
      <xdr:blipFill>
        <a:blip xmlns:r="http://schemas.openxmlformats.org/officeDocument/2006/relationships" r:embed="rId3397"/>
        <a:stretch>
          <a:fillRect/>
        </a:stretch>
      </xdr:blipFill>
      <xdr:spPr>
        <a:xfrm>
          <a:off x="7264400" y="4433623975"/>
          <a:ext cx="878840" cy="1183640"/>
        </a:xfrm>
        <a:prstGeom prst="rect">
          <a:avLst/>
        </a:prstGeom>
      </xdr:spPr>
    </xdr:pic>
    <xdr:clientData/>
  </xdr:twoCellAnchor>
  <xdr:twoCellAnchor>
    <xdr:from>
      <xdr:col>8</xdr:col>
      <xdr:colOff>6350</xdr:colOff>
      <xdr:row>4468</xdr:row>
      <xdr:rowOff>25400</xdr:rowOff>
    </xdr:from>
    <xdr:to>
      <xdr:col>8</xdr:col>
      <xdr:colOff>885190</xdr:colOff>
      <xdr:row>4468</xdr:row>
      <xdr:rowOff>1209040</xdr:rowOff>
    </xdr:to>
    <xdr:pic>
      <xdr:nvPicPr>
        <xdr:cNvPr id="7712" name="Изображение 7711" descr="resizeПП-00259207"/>
        <xdr:cNvPicPr>
          <a:picLocks noChangeAspect="1"/>
        </xdr:cNvPicPr>
      </xdr:nvPicPr>
      <xdr:blipFill>
        <a:blip xmlns:r="http://schemas.openxmlformats.org/officeDocument/2006/relationships" r:embed="rId3398"/>
        <a:stretch>
          <a:fillRect/>
        </a:stretch>
      </xdr:blipFill>
      <xdr:spPr>
        <a:xfrm>
          <a:off x="7264400" y="4434846350"/>
          <a:ext cx="878840" cy="1183640"/>
        </a:xfrm>
        <a:prstGeom prst="rect">
          <a:avLst/>
        </a:prstGeom>
      </xdr:spPr>
    </xdr:pic>
    <xdr:clientData/>
  </xdr:twoCellAnchor>
  <xdr:twoCellAnchor>
    <xdr:from>
      <xdr:col>8</xdr:col>
      <xdr:colOff>6350</xdr:colOff>
      <xdr:row>4469</xdr:row>
      <xdr:rowOff>25400</xdr:rowOff>
    </xdr:from>
    <xdr:to>
      <xdr:col>8</xdr:col>
      <xdr:colOff>885190</xdr:colOff>
      <xdr:row>4469</xdr:row>
      <xdr:rowOff>1209040</xdr:rowOff>
    </xdr:to>
    <xdr:pic>
      <xdr:nvPicPr>
        <xdr:cNvPr id="7713" name="Изображение 7712" descr="resizeПП-00259200"/>
        <xdr:cNvPicPr>
          <a:picLocks noChangeAspect="1"/>
        </xdr:cNvPicPr>
      </xdr:nvPicPr>
      <xdr:blipFill>
        <a:blip xmlns:r="http://schemas.openxmlformats.org/officeDocument/2006/relationships" r:embed="rId3399"/>
        <a:stretch>
          <a:fillRect/>
        </a:stretch>
      </xdr:blipFill>
      <xdr:spPr>
        <a:xfrm>
          <a:off x="7264400" y="4436068725"/>
          <a:ext cx="878840" cy="1183640"/>
        </a:xfrm>
        <a:prstGeom prst="rect">
          <a:avLst/>
        </a:prstGeom>
      </xdr:spPr>
    </xdr:pic>
    <xdr:clientData/>
  </xdr:twoCellAnchor>
  <xdr:twoCellAnchor>
    <xdr:from>
      <xdr:col>8</xdr:col>
      <xdr:colOff>6350</xdr:colOff>
      <xdr:row>4470</xdr:row>
      <xdr:rowOff>25400</xdr:rowOff>
    </xdr:from>
    <xdr:to>
      <xdr:col>8</xdr:col>
      <xdr:colOff>885190</xdr:colOff>
      <xdr:row>4470</xdr:row>
      <xdr:rowOff>1209040</xdr:rowOff>
    </xdr:to>
    <xdr:pic>
      <xdr:nvPicPr>
        <xdr:cNvPr id="7714" name="Изображение 7713" descr="resizeПП-00259198"/>
        <xdr:cNvPicPr>
          <a:picLocks noChangeAspect="1"/>
        </xdr:cNvPicPr>
      </xdr:nvPicPr>
      <xdr:blipFill>
        <a:blip xmlns:r="http://schemas.openxmlformats.org/officeDocument/2006/relationships" r:embed="rId3400"/>
        <a:stretch>
          <a:fillRect/>
        </a:stretch>
      </xdr:blipFill>
      <xdr:spPr>
        <a:xfrm>
          <a:off x="7264400" y="4437291100"/>
          <a:ext cx="878840" cy="1183640"/>
        </a:xfrm>
        <a:prstGeom prst="rect">
          <a:avLst/>
        </a:prstGeom>
      </xdr:spPr>
    </xdr:pic>
    <xdr:clientData/>
  </xdr:twoCellAnchor>
  <xdr:twoCellAnchor>
    <xdr:from>
      <xdr:col>8</xdr:col>
      <xdr:colOff>6350</xdr:colOff>
      <xdr:row>4472</xdr:row>
      <xdr:rowOff>25400</xdr:rowOff>
    </xdr:from>
    <xdr:to>
      <xdr:col>8</xdr:col>
      <xdr:colOff>885190</xdr:colOff>
      <xdr:row>4472</xdr:row>
      <xdr:rowOff>1209040</xdr:rowOff>
    </xdr:to>
    <xdr:pic>
      <xdr:nvPicPr>
        <xdr:cNvPr id="7715" name="Изображение 7714" descr="resizeПП-00275332"/>
        <xdr:cNvPicPr>
          <a:picLocks noChangeAspect="1"/>
        </xdr:cNvPicPr>
      </xdr:nvPicPr>
      <xdr:blipFill>
        <a:blip xmlns:r="http://schemas.openxmlformats.org/officeDocument/2006/relationships" r:embed="rId3401"/>
        <a:stretch>
          <a:fillRect/>
        </a:stretch>
      </xdr:blipFill>
      <xdr:spPr>
        <a:xfrm>
          <a:off x="7264400" y="4438665875"/>
          <a:ext cx="878840" cy="1183640"/>
        </a:xfrm>
        <a:prstGeom prst="rect">
          <a:avLst/>
        </a:prstGeom>
      </xdr:spPr>
    </xdr:pic>
    <xdr:clientData/>
  </xdr:twoCellAnchor>
  <xdr:twoCellAnchor>
    <xdr:from>
      <xdr:col>8</xdr:col>
      <xdr:colOff>6350</xdr:colOff>
      <xdr:row>4473</xdr:row>
      <xdr:rowOff>25400</xdr:rowOff>
    </xdr:from>
    <xdr:to>
      <xdr:col>8</xdr:col>
      <xdr:colOff>885190</xdr:colOff>
      <xdr:row>4473</xdr:row>
      <xdr:rowOff>1209040</xdr:rowOff>
    </xdr:to>
    <xdr:pic>
      <xdr:nvPicPr>
        <xdr:cNvPr id="7716" name="Изображение 7715" descr="resizeПП-00275330"/>
        <xdr:cNvPicPr>
          <a:picLocks noChangeAspect="1"/>
        </xdr:cNvPicPr>
      </xdr:nvPicPr>
      <xdr:blipFill>
        <a:blip xmlns:r="http://schemas.openxmlformats.org/officeDocument/2006/relationships" r:embed="rId3402"/>
        <a:stretch>
          <a:fillRect/>
        </a:stretch>
      </xdr:blipFill>
      <xdr:spPr>
        <a:xfrm>
          <a:off x="7264400" y="4439888250"/>
          <a:ext cx="878840" cy="1183640"/>
        </a:xfrm>
        <a:prstGeom prst="rect">
          <a:avLst/>
        </a:prstGeom>
      </xdr:spPr>
    </xdr:pic>
    <xdr:clientData/>
  </xdr:twoCellAnchor>
  <xdr:twoCellAnchor>
    <xdr:from>
      <xdr:col>8</xdr:col>
      <xdr:colOff>6350</xdr:colOff>
      <xdr:row>4474</xdr:row>
      <xdr:rowOff>25400</xdr:rowOff>
    </xdr:from>
    <xdr:to>
      <xdr:col>8</xdr:col>
      <xdr:colOff>885190</xdr:colOff>
      <xdr:row>4474</xdr:row>
      <xdr:rowOff>1209040</xdr:rowOff>
    </xdr:to>
    <xdr:pic>
      <xdr:nvPicPr>
        <xdr:cNvPr id="7717" name="Изображение 7716" descr="resizeПП-00275328"/>
        <xdr:cNvPicPr>
          <a:picLocks noChangeAspect="1"/>
        </xdr:cNvPicPr>
      </xdr:nvPicPr>
      <xdr:blipFill>
        <a:blip xmlns:r="http://schemas.openxmlformats.org/officeDocument/2006/relationships" r:embed="rId3403"/>
        <a:stretch>
          <a:fillRect/>
        </a:stretch>
      </xdr:blipFill>
      <xdr:spPr>
        <a:xfrm>
          <a:off x="7264400" y="4441110625"/>
          <a:ext cx="878840" cy="1183640"/>
        </a:xfrm>
        <a:prstGeom prst="rect">
          <a:avLst/>
        </a:prstGeom>
      </xdr:spPr>
    </xdr:pic>
    <xdr:clientData/>
  </xdr:twoCellAnchor>
  <xdr:twoCellAnchor>
    <xdr:from>
      <xdr:col>8</xdr:col>
      <xdr:colOff>6350</xdr:colOff>
      <xdr:row>4475</xdr:row>
      <xdr:rowOff>25400</xdr:rowOff>
    </xdr:from>
    <xdr:to>
      <xdr:col>8</xdr:col>
      <xdr:colOff>885190</xdr:colOff>
      <xdr:row>4475</xdr:row>
      <xdr:rowOff>1209040</xdr:rowOff>
    </xdr:to>
    <xdr:pic>
      <xdr:nvPicPr>
        <xdr:cNvPr id="7718" name="Изображение 7717" descr="resizeПП-00275329"/>
        <xdr:cNvPicPr>
          <a:picLocks noChangeAspect="1"/>
        </xdr:cNvPicPr>
      </xdr:nvPicPr>
      <xdr:blipFill>
        <a:blip xmlns:r="http://schemas.openxmlformats.org/officeDocument/2006/relationships" r:embed="rId3404"/>
        <a:stretch>
          <a:fillRect/>
        </a:stretch>
      </xdr:blipFill>
      <xdr:spPr>
        <a:xfrm>
          <a:off x="7264400" y="4442333000"/>
          <a:ext cx="878840" cy="1183640"/>
        </a:xfrm>
        <a:prstGeom prst="rect">
          <a:avLst/>
        </a:prstGeom>
      </xdr:spPr>
    </xdr:pic>
    <xdr:clientData/>
  </xdr:twoCellAnchor>
  <xdr:twoCellAnchor>
    <xdr:from>
      <xdr:col>8</xdr:col>
      <xdr:colOff>6350</xdr:colOff>
      <xdr:row>4477</xdr:row>
      <xdr:rowOff>25400</xdr:rowOff>
    </xdr:from>
    <xdr:to>
      <xdr:col>8</xdr:col>
      <xdr:colOff>885190</xdr:colOff>
      <xdr:row>4477</xdr:row>
      <xdr:rowOff>1209040</xdr:rowOff>
    </xdr:to>
    <xdr:pic>
      <xdr:nvPicPr>
        <xdr:cNvPr id="7719" name="Изображение 7718" descr="resizeПП-00234099"/>
        <xdr:cNvPicPr>
          <a:picLocks noChangeAspect="1"/>
        </xdr:cNvPicPr>
      </xdr:nvPicPr>
      <xdr:blipFill>
        <a:blip xmlns:r="http://schemas.openxmlformats.org/officeDocument/2006/relationships" r:embed="rId3405"/>
        <a:stretch>
          <a:fillRect/>
        </a:stretch>
      </xdr:blipFill>
      <xdr:spPr>
        <a:xfrm>
          <a:off x="7264400" y="4443707775"/>
          <a:ext cx="878840" cy="1183640"/>
        </a:xfrm>
        <a:prstGeom prst="rect">
          <a:avLst/>
        </a:prstGeom>
      </xdr:spPr>
    </xdr:pic>
    <xdr:clientData/>
  </xdr:twoCellAnchor>
  <xdr:twoCellAnchor>
    <xdr:from>
      <xdr:col>8</xdr:col>
      <xdr:colOff>6350</xdr:colOff>
      <xdr:row>4478</xdr:row>
      <xdr:rowOff>25400</xdr:rowOff>
    </xdr:from>
    <xdr:to>
      <xdr:col>8</xdr:col>
      <xdr:colOff>885190</xdr:colOff>
      <xdr:row>4478</xdr:row>
      <xdr:rowOff>1209040</xdr:rowOff>
    </xdr:to>
    <xdr:pic>
      <xdr:nvPicPr>
        <xdr:cNvPr id="7720" name="Изображение 7719" descr="resizeПП-00234096"/>
        <xdr:cNvPicPr>
          <a:picLocks noChangeAspect="1"/>
        </xdr:cNvPicPr>
      </xdr:nvPicPr>
      <xdr:blipFill>
        <a:blip xmlns:r="http://schemas.openxmlformats.org/officeDocument/2006/relationships" r:embed="rId3406"/>
        <a:stretch>
          <a:fillRect/>
        </a:stretch>
      </xdr:blipFill>
      <xdr:spPr>
        <a:xfrm>
          <a:off x="7264400" y="4444930150"/>
          <a:ext cx="878840" cy="1183640"/>
        </a:xfrm>
        <a:prstGeom prst="rect">
          <a:avLst/>
        </a:prstGeom>
      </xdr:spPr>
    </xdr:pic>
    <xdr:clientData/>
  </xdr:twoCellAnchor>
  <xdr:twoCellAnchor>
    <xdr:from>
      <xdr:col>8</xdr:col>
      <xdr:colOff>6350</xdr:colOff>
      <xdr:row>4479</xdr:row>
      <xdr:rowOff>25400</xdr:rowOff>
    </xdr:from>
    <xdr:to>
      <xdr:col>8</xdr:col>
      <xdr:colOff>885190</xdr:colOff>
      <xdr:row>4479</xdr:row>
      <xdr:rowOff>1209040</xdr:rowOff>
    </xdr:to>
    <xdr:pic>
      <xdr:nvPicPr>
        <xdr:cNvPr id="7721" name="Изображение 7720" descr="resizeПП-00234100"/>
        <xdr:cNvPicPr>
          <a:picLocks noChangeAspect="1"/>
        </xdr:cNvPicPr>
      </xdr:nvPicPr>
      <xdr:blipFill>
        <a:blip xmlns:r="http://schemas.openxmlformats.org/officeDocument/2006/relationships" r:embed="rId3407"/>
        <a:stretch>
          <a:fillRect/>
        </a:stretch>
      </xdr:blipFill>
      <xdr:spPr>
        <a:xfrm>
          <a:off x="7264400" y="4446152525"/>
          <a:ext cx="878840" cy="1183640"/>
        </a:xfrm>
        <a:prstGeom prst="rect">
          <a:avLst/>
        </a:prstGeom>
      </xdr:spPr>
    </xdr:pic>
    <xdr:clientData/>
  </xdr:twoCellAnchor>
  <xdr:twoCellAnchor>
    <xdr:from>
      <xdr:col>8</xdr:col>
      <xdr:colOff>6350</xdr:colOff>
      <xdr:row>4480</xdr:row>
      <xdr:rowOff>25400</xdr:rowOff>
    </xdr:from>
    <xdr:to>
      <xdr:col>8</xdr:col>
      <xdr:colOff>885190</xdr:colOff>
      <xdr:row>4480</xdr:row>
      <xdr:rowOff>1209040</xdr:rowOff>
    </xdr:to>
    <xdr:pic>
      <xdr:nvPicPr>
        <xdr:cNvPr id="7722" name="Изображение 7721" descr="resizeПП-00210832"/>
        <xdr:cNvPicPr>
          <a:picLocks noChangeAspect="1"/>
        </xdr:cNvPicPr>
      </xdr:nvPicPr>
      <xdr:blipFill>
        <a:blip xmlns:r="http://schemas.openxmlformats.org/officeDocument/2006/relationships" r:embed="rId3408"/>
        <a:stretch>
          <a:fillRect/>
        </a:stretch>
      </xdr:blipFill>
      <xdr:spPr>
        <a:xfrm>
          <a:off x="7264400" y="4447374900"/>
          <a:ext cx="878840" cy="1183640"/>
        </a:xfrm>
        <a:prstGeom prst="rect">
          <a:avLst/>
        </a:prstGeom>
      </xdr:spPr>
    </xdr:pic>
    <xdr:clientData/>
  </xdr:twoCellAnchor>
  <xdr:twoCellAnchor>
    <xdr:from>
      <xdr:col>8</xdr:col>
      <xdr:colOff>6350</xdr:colOff>
      <xdr:row>4481</xdr:row>
      <xdr:rowOff>25400</xdr:rowOff>
    </xdr:from>
    <xdr:to>
      <xdr:col>8</xdr:col>
      <xdr:colOff>885190</xdr:colOff>
      <xdr:row>4481</xdr:row>
      <xdr:rowOff>1209040</xdr:rowOff>
    </xdr:to>
    <xdr:pic>
      <xdr:nvPicPr>
        <xdr:cNvPr id="7723" name="Изображение 7722" descr="resizeПП-00266830"/>
        <xdr:cNvPicPr>
          <a:picLocks noChangeAspect="1"/>
        </xdr:cNvPicPr>
      </xdr:nvPicPr>
      <xdr:blipFill>
        <a:blip xmlns:r="http://schemas.openxmlformats.org/officeDocument/2006/relationships" r:embed="rId3409"/>
        <a:stretch>
          <a:fillRect/>
        </a:stretch>
      </xdr:blipFill>
      <xdr:spPr>
        <a:xfrm>
          <a:off x="7264400" y="4448597275"/>
          <a:ext cx="878840" cy="1183640"/>
        </a:xfrm>
        <a:prstGeom prst="rect">
          <a:avLst/>
        </a:prstGeom>
      </xdr:spPr>
    </xdr:pic>
    <xdr:clientData/>
  </xdr:twoCellAnchor>
  <xdr:twoCellAnchor>
    <xdr:from>
      <xdr:col>8</xdr:col>
      <xdr:colOff>6350</xdr:colOff>
      <xdr:row>4482</xdr:row>
      <xdr:rowOff>25400</xdr:rowOff>
    </xdr:from>
    <xdr:to>
      <xdr:col>8</xdr:col>
      <xdr:colOff>885190</xdr:colOff>
      <xdr:row>4482</xdr:row>
      <xdr:rowOff>1209040</xdr:rowOff>
    </xdr:to>
    <xdr:pic>
      <xdr:nvPicPr>
        <xdr:cNvPr id="7724" name="Изображение 7723" descr="resizeПП-00210836"/>
        <xdr:cNvPicPr>
          <a:picLocks noChangeAspect="1"/>
        </xdr:cNvPicPr>
      </xdr:nvPicPr>
      <xdr:blipFill>
        <a:blip xmlns:r="http://schemas.openxmlformats.org/officeDocument/2006/relationships" r:embed="rId3410"/>
        <a:stretch>
          <a:fillRect/>
        </a:stretch>
      </xdr:blipFill>
      <xdr:spPr>
        <a:xfrm>
          <a:off x="7264400" y="4449819650"/>
          <a:ext cx="878840" cy="1183640"/>
        </a:xfrm>
        <a:prstGeom prst="rect">
          <a:avLst/>
        </a:prstGeom>
      </xdr:spPr>
    </xdr:pic>
    <xdr:clientData/>
  </xdr:twoCellAnchor>
  <xdr:twoCellAnchor>
    <xdr:from>
      <xdr:col>8</xdr:col>
      <xdr:colOff>6350</xdr:colOff>
      <xdr:row>4483</xdr:row>
      <xdr:rowOff>25400</xdr:rowOff>
    </xdr:from>
    <xdr:to>
      <xdr:col>8</xdr:col>
      <xdr:colOff>885190</xdr:colOff>
      <xdr:row>4483</xdr:row>
      <xdr:rowOff>1209040</xdr:rowOff>
    </xdr:to>
    <xdr:pic>
      <xdr:nvPicPr>
        <xdr:cNvPr id="7725" name="Изображение 7724" descr="resizeПП-00266828"/>
        <xdr:cNvPicPr>
          <a:picLocks noChangeAspect="1"/>
        </xdr:cNvPicPr>
      </xdr:nvPicPr>
      <xdr:blipFill>
        <a:blip xmlns:r="http://schemas.openxmlformats.org/officeDocument/2006/relationships" r:embed="rId3411"/>
        <a:stretch>
          <a:fillRect/>
        </a:stretch>
      </xdr:blipFill>
      <xdr:spPr>
        <a:xfrm>
          <a:off x="7264400" y="4451042025"/>
          <a:ext cx="878840" cy="1183640"/>
        </a:xfrm>
        <a:prstGeom prst="rect">
          <a:avLst/>
        </a:prstGeom>
      </xdr:spPr>
    </xdr:pic>
    <xdr:clientData/>
  </xdr:twoCellAnchor>
  <xdr:twoCellAnchor>
    <xdr:from>
      <xdr:col>8</xdr:col>
      <xdr:colOff>6350</xdr:colOff>
      <xdr:row>4484</xdr:row>
      <xdr:rowOff>25400</xdr:rowOff>
    </xdr:from>
    <xdr:to>
      <xdr:col>8</xdr:col>
      <xdr:colOff>885190</xdr:colOff>
      <xdr:row>4484</xdr:row>
      <xdr:rowOff>1209040</xdr:rowOff>
    </xdr:to>
    <xdr:pic>
      <xdr:nvPicPr>
        <xdr:cNvPr id="7726" name="Изображение 7725" descr="resizeПП-00266832"/>
        <xdr:cNvPicPr>
          <a:picLocks noChangeAspect="1"/>
        </xdr:cNvPicPr>
      </xdr:nvPicPr>
      <xdr:blipFill>
        <a:blip xmlns:r="http://schemas.openxmlformats.org/officeDocument/2006/relationships" r:embed="rId3412"/>
        <a:stretch>
          <a:fillRect/>
        </a:stretch>
      </xdr:blipFill>
      <xdr:spPr>
        <a:xfrm>
          <a:off x="7264400" y="4452264400"/>
          <a:ext cx="878840" cy="1183640"/>
        </a:xfrm>
        <a:prstGeom prst="rect">
          <a:avLst/>
        </a:prstGeom>
      </xdr:spPr>
    </xdr:pic>
    <xdr:clientData/>
  </xdr:twoCellAnchor>
  <xdr:twoCellAnchor>
    <xdr:from>
      <xdr:col>8</xdr:col>
      <xdr:colOff>6350</xdr:colOff>
      <xdr:row>4485</xdr:row>
      <xdr:rowOff>25400</xdr:rowOff>
    </xdr:from>
    <xdr:to>
      <xdr:col>8</xdr:col>
      <xdr:colOff>885190</xdr:colOff>
      <xdr:row>4485</xdr:row>
      <xdr:rowOff>1209040</xdr:rowOff>
    </xdr:to>
    <xdr:pic>
      <xdr:nvPicPr>
        <xdr:cNvPr id="7727" name="Изображение 7726" descr="resizeПП-00266833"/>
        <xdr:cNvPicPr>
          <a:picLocks noChangeAspect="1"/>
        </xdr:cNvPicPr>
      </xdr:nvPicPr>
      <xdr:blipFill>
        <a:blip xmlns:r="http://schemas.openxmlformats.org/officeDocument/2006/relationships" r:embed="rId3413"/>
        <a:stretch>
          <a:fillRect/>
        </a:stretch>
      </xdr:blipFill>
      <xdr:spPr>
        <a:xfrm>
          <a:off x="7264400" y="4453486775"/>
          <a:ext cx="878840" cy="1183640"/>
        </a:xfrm>
        <a:prstGeom prst="rect">
          <a:avLst/>
        </a:prstGeom>
      </xdr:spPr>
    </xdr:pic>
    <xdr:clientData/>
  </xdr:twoCellAnchor>
  <xdr:twoCellAnchor>
    <xdr:from>
      <xdr:col>8</xdr:col>
      <xdr:colOff>6350</xdr:colOff>
      <xdr:row>4486</xdr:row>
      <xdr:rowOff>25400</xdr:rowOff>
    </xdr:from>
    <xdr:to>
      <xdr:col>8</xdr:col>
      <xdr:colOff>885190</xdr:colOff>
      <xdr:row>4486</xdr:row>
      <xdr:rowOff>1209040</xdr:rowOff>
    </xdr:to>
    <xdr:pic>
      <xdr:nvPicPr>
        <xdr:cNvPr id="7728" name="Изображение 7727" descr="resizeПП-00210835"/>
        <xdr:cNvPicPr>
          <a:picLocks noChangeAspect="1"/>
        </xdr:cNvPicPr>
      </xdr:nvPicPr>
      <xdr:blipFill>
        <a:blip xmlns:r="http://schemas.openxmlformats.org/officeDocument/2006/relationships" r:embed="rId3414"/>
        <a:stretch>
          <a:fillRect/>
        </a:stretch>
      </xdr:blipFill>
      <xdr:spPr>
        <a:xfrm>
          <a:off x="7264400" y="4454709150"/>
          <a:ext cx="878840" cy="1183640"/>
        </a:xfrm>
        <a:prstGeom prst="rect">
          <a:avLst/>
        </a:prstGeom>
      </xdr:spPr>
    </xdr:pic>
    <xdr:clientData/>
  </xdr:twoCellAnchor>
  <xdr:twoCellAnchor>
    <xdr:from>
      <xdr:col>8</xdr:col>
      <xdr:colOff>6350</xdr:colOff>
      <xdr:row>4487</xdr:row>
      <xdr:rowOff>25400</xdr:rowOff>
    </xdr:from>
    <xdr:to>
      <xdr:col>8</xdr:col>
      <xdr:colOff>885190</xdr:colOff>
      <xdr:row>4487</xdr:row>
      <xdr:rowOff>1209040</xdr:rowOff>
    </xdr:to>
    <xdr:pic>
      <xdr:nvPicPr>
        <xdr:cNvPr id="7729" name="Изображение 7728" descr="resizeПП-00234097"/>
        <xdr:cNvPicPr>
          <a:picLocks noChangeAspect="1"/>
        </xdr:cNvPicPr>
      </xdr:nvPicPr>
      <xdr:blipFill>
        <a:blip xmlns:r="http://schemas.openxmlformats.org/officeDocument/2006/relationships" r:embed="rId3415"/>
        <a:stretch>
          <a:fillRect/>
        </a:stretch>
      </xdr:blipFill>
      <xdr:spPr>
        <a:xfrm>
          <a:off x="7264400" y="4455931525"/>
          <a:ext cx="878840" cy="1183640"/>
        </a:xfrm>
        <a:prstGeom prst="rect">
          <a:avLst/>
        </a:prstGeom>
      </xdr:spPr>
    </xdr:pic>
    <xdr:clientData/>
  </xdr:twoCellAnchor>
  <xdr:twoCellAnchor>
    <xdr:from>
      <xdr:col>8</xdr:col>
      <xdr:colOff>6350</xdr:colOff>
      <xdr:row>4488</xdr:row>
      <xdr:rowOff>25400</xdr:rowOff>
    </xdr:from>
    <xdr:to>
      <xdr:col>8</xdr:col>
      <xdr:colOff>885190</xdr:colOff>
      <xdr:row>4488</xdr:row>
      <xdr:rowOff>1209040</xdr:rowOff>
    </xdr:to>
    <xdr:pic>
      <xdr:nvPicPr>
        <xdr:cNvPr id="7730" name="Изображение 7729" descr="resizeПП-00275325"/>
        <xdr:cNvPicPr>
          <a:picLocks noChangeAspect="1"/>
        </xdr:cNvPicPr>
      </xdr:nvPicPr>
      <xdr:blipFill>
        <a:blip xmlns:r="http://schemas.openxmlformats.org/officeDocument/2006/relationships" r:embed="rId3416"/>
        <a:stretch>
          <a:fillRect/>
        </a:stretch>
      </xdr:blipFill>
      <xdr:spPr>
        <a:xfrm>
          <a:off x="7264400" y="4457153900"/>
          <a:ext cx="878840" cy="1183640"/>
        </a:xfrm>
        <a:prstGeom prst="rect">
          <a:avLst/>
        </a:prstGeom>
      </xdr:spPr>
    </xdr:pic>
    <xdr:clientData/>
  </xdr:twoCellAnchor>
  <xdr:twoCellAnchor>
    <xdr:from>
      <xdr:col>8</xdr:col>
      <xdr:colOff>6350</xdr:colOff>
      <xdr:row>4489</xdr:row>
      <xdr:rowOff>25400</xdr:rowOff>
    </xdr:from>
    <xdr:to>
      <xdr:col>8</xdr:col>
      <xdr:colOff>885190</xdr:colOff>
      <xdr:row>4489</xdr:row>
      <xdr:rowOff>1209040</xdr:rowOff>
    </xdr:to>
    <xdr:pic>
      <xdr:nvPicPr>
        <xdr:cNvPr id="7731" name="Изображение 7730" descr="resizeПП-00275327"/>
        <xdr:cNvPicPr>
          <a:picLocks noChangeAspect="1"/>
        </xdr:cNvPicPr>
      </xdr:nvPicPr>
      <xdr:blipFill>
        <a:blip xmlns:r="http://schemas.openxmlformats.org/officeDocument/2006/relationships" r:embed="rId3417"/>
        <a:stretch>
          <a:fillRect/>
        </a:stretch>
      </xdr:blipFill>
      <xdr:spPr>
        <a:xfrm>
          <a:off x="7264400" y="4458376275"/>
          <a:ext cx="878840" cy="1183640"/>
        </a:xfrm>
        <a:prstGeom prst="rect">
          <a:avLst/>
        </a:prstGeom>
      </xdr:spPr>
    </xdr:pic>
    <xdr:clientData/>
  </xdr:twoCellAnchor>
  <xdr:twoCellAnchor>
    <xdr:from>
      <xdr:col>8</xdr:col>
      <xdr:colOff>6350</xdr:colOff>
      <xdr:row>4490</xdr:row>
      <xdr:rowOff>25400</xdr:rowOff>
    </xdr:from>
    <xdr:to>
      <xdr:col>8</xdr:col>
      <xdr:colOff>885190</xdr:colOff>
      <xdr:row>4490</xdr:row>
      <xdr:rowOff>1209040</xdr:rowOff>
    </xdr:to>
    <xdr:pic>
      <xdr:nvPicPr>
        <xdr:cNvPr id="7732" name="Изображение 7731" descr="resizeПП-00275326"/>
        <xdr:cNvPicPr>
          <a:picLocks noChangeAspect="1"/>
        </xdr:cNvPicPr>
      </xdr:nvPicPr>
      <xdr:blipFill>
        <a:blip xmlns:r="http://schemas.openxmlformats.org/officeDocument/2006/relationships" r:embed="rId3418"/>
        <a:stretch>
          <a:fillRect/>
        </a:stretch>
      </xdr:blipFill>
      <xdr:spPr>
        <a:xfrm>
          <a:off x="7264400" y="4459598650"/>
          <a:ext cx="878840" cy="1183640"/>
        </a:xfrm>
        <a:prstGeom prst="rect">
          <a:avLst/>
        </a:prstGeom>
      </xdr:spPr>
    </xdr:pic>
    <xdr:clientData/>
  </xdr:twoCellAnchor>
  <xdr:twoCellAnchor>
    <xdr:from>
      <xdr:col>8</xdr:col>
      <xdr:colOff>6350</xdr:colOff>
      <xdr:row>4492</xdr:row>
      <xdr:rowOff>25400</xdr:rowOff>
    </xdr:from>
    <xdr:to>
      <xdr:col>8</xdr:col>
      <xdr:colOff>885190</xdr:colOff>
      <xdr:row>4492</xdr:row>
      <xdr:rowOff>1209040</xdr:rowOff>
    </xdr:to>
    <xdr:pic>
      <xdr:nvPicPr>
        <xdr:cNvPr id="7733" name="Изображение 7732" descr="resizeПП-00266835"/>
        <xdr:cNvPicPr>
          <a:picLocks noChangeAspect="1"/>
        </xdr:cNvPicPr>
      </xdr:nvPicPr>
      <xdr:blipFill>
        <a:blip xmlns:r="http://schemas.openxmlformats.org/officeDocument/2006/relationships" r:embed="rId3419"/>
        <a:stretch>
          <a:fillRect/>
        </a:stretch>
      </xdr:blipFill>
      <xdr:spPr>
        <a:xfrm>
          <a:off x="7264400" y="4460973425"/>
          <a:ext cx="878840" cy="1183640"/>
        </a:xfrm>
        <a:prstGeom prst="rect">
          <a:avLst/>
        </a:prstGeom>
      </xdr:spPr>
    </xdr:pic>
    <xdr:clientData/>
  </xdr:twoCellAnchor>
  <xdr:twoCellAnchor>
    <xdr:from>
      <xdr:col>8</xdr:col>
      <xdr:colOff>6350</xdr:colOff>
      <xdr:row>4493</xdr:row>
      <xdr:rowOff>25400</xdr:rowOff>
    </xdr:from>
    <xdr:to>
      <xdr:col>8</xdr:col>
      <xdr:colOff>885190</xdr:colOff>
      <xdr:row>4493</xdr:row>
      <xdr:rowOff>1209040</xdr:rowOff>
    </xdr:to>
    <xdr:pic>
      <xdr:nvPicPr>
        <xdr:cNvPr id="7734" name="Изображение 7733" descr="resizeПП-00266836"/>
        <xdr:cNvPicPr>
          <a:picLocks noChangeAspect="1"/>
        </xdr:cNvPicPr>
      </xdr:nvPicPr>
      <xdr:blipFill>
        <a:blip xmlns:r="http://schemas.openxmlformats.org/officeDocument/2006/relationships" r:embed="rId3420"/>
        <a:stretch>
          <a:fillRect/>
        </a:stretch>
      </xdr:blipFill>
      <xdr:spPr>
        <a:xfrm>
          <a:off x="7264400" y="4462195800"/>
          <a:ext cx="878840" cy="1183640"/>
        </a:xfrm>
        <a:prstGeom prst="rect">
          <a:avLst/>
        </a:prstGeom>
      </xdr:spPr>
    </xdr:pic>
    <xdr:clientData/>
  </xdr:twoCellAnchor>
  <xdr:twoCellAnchor>
    <xdr:from>
      <xdr:col>8</xdr:col>
      <xdr:colOff>6350</xdr:colOff>
      <xdr:row>4496</xdr:row>
      <xdr:rowOff>25400</xdr:rowOff>
    </xdr:from>
    <xdr:to>
      <xdr:col>8</xdr:col>
      <xdr:colOff>885190</xdr:colOff>
      <xdr:row>4496</xdr:row>
      <xdr:rowOff>1209040</xdr:rowOff>
    </xdr:to>
    <xdr:pic>
      <xdr:nvPicPr>
        <xdr:cNvPr id="7735" name="Изображение 7734" descr="resizeПП-00096686"/>
        <xdr:cNvPicPr>
          <a:picLocks noChangeAspect="1"/>
        </xdr:cNvPicPr>
      </xdr:nvPicPr>
      <xdr:blipFill>
        <a:blip xmlns:r="http://schemas.openxmlformats.org/officeDocument/2006/relationships" r:embed="rId3421"/>
        <a:stretch>
          <a:fillRect/>
        </a:stretch>
      </xdr:blipFill>
      <xdr:spPr>
        <a:xfrm>
          <a:off x="7264400" y="4463722975"/>
          <a:ext cx="878840" cy="1183640"/>
        </a:xfrm>
        <a:prstGeom prst="rect">
          <a:avLst/>
        </a:prstGeom>
      </xdr:spPr>
    </xdr:pic>
    <xdr:clientData/>
  </xdr:twoCellAnchor>
  <xdr:twoCellAnchor>
    <xdr:from>
      <xdr:col>8</xdr:col>
      <xdr:colOff>6350</xdr:colOff>
      <xdr:row>4497</xdr:row>
      <xdr:rowOff>25400</xdr:rowOff>
    </xdr:from>
    <xdr:to>
      <xdr:col>8</xdr:col>
      <xdr:colOff>885190</xdr:colOff>
      <xdr:row>4497</xdr:row>
      <xdr:rowOff>1209040</xdr:rowOff>
    </xdr:to>
    <xdr:pic>
      <xdr:nvPicPr>
        <xdr:cNvPr id="7736" name="Изображение 7735" descr="resizeПП-00096689"/>
        <xdr:cNvPicPr>
          <a:picLocks noChangeAspect="1"/>
        </xdr:cNvPicPr>
      </xdr:nvPicPr>
      <xdr:blipFill>
        <a:blip xmlns:r="http://schemas.openxmlformats.org/officeDocument/2006/relationships" r:embed="rId3422"/>
        <a:stretch>
          <a:fillRect/>
        </a:stretch>
      </xdr:blipFill>
      <xdr:spPr>
        <a:xfrm>
          <a:off x="7264400" y="4464945350"/>
          <a:ext cx="878840" cy="1183640"/>
        </a:xfrm>
        <a:prstGeom prst="rect">
          <a:avLst/>
        </a:prstGeom>
      </xdr:spPr>
    </xdr:pic>
    <xdr:clientData/>
  </xdr:twoCellAnchor>
  <xdr:twoCellAnchor>
    <xdr:from>
      <xdr:col>8</xdr:col>
      <xdr:colOff>6350</xdr:colOff>
      <xdr:row>4498</xdr:row>
      <xdr:rowOff>25400</xdr:rowOff>
    </xdr:from>
    <xdr:to>
      <xdr:col>8</xdr:col>
      <xdr:colOff>885190</xdr:colOff>
      <xdr:row>4498</xdr:row>
      <xdr:rowOff>1209040</xdr:rowOff>
    </xdr:to>
    <xdr:pic>
      <xdr:nvPicPr>
        <xdr:cNvPr id="7737" name="Изображение 7736" descr="resizeПП-00096693"/>
        <xdr:cNvPicPr>
          <a:picLocks noChangeAspect="1"/>
        </xdr:cNvPicPr>
      </xdr:nvPicPr>
      <xdr:blipFill>
        <a:blip xmlns:r="http://schemas.openxmlformats.org/officeDocument/2006/relationships" r:embed="rId3423"/>
        <a:stretch>
          <a:fillRect/>
        </a:stretch>
      </xdr:blipFill>
      <xdr:spPr>
        <a:xfrm>
          <a:off x="7264400" y="4466167725"/>
          <a:ext cx="878840" cy="1183640"/>
        </a:xfrm>
        <a:prstGeom prst="rect">
          <a:avLst/>
        </a:prstGeom>
      </xdr:spPr>
    </xdr:pic>
    <xdr:clientData/>
  </xdr:twoCellAnchor>
  <xdr:twoCellAnchor>
    <xdr:from>
      <xdr:col>8</xdr:col>
      <xdr:colOff>6350</xdr:colOff>
      <xdr:row>4499</xdr:row>
      <xdr:rowOff>25400</xdr:rowOff>
    </xdr:from>
    <xdr:to>
      <xdr:col>8</xdr:col>
      <xdr:colOff>885190</xdr:colOff>
      <xdr:row>4499</xdr:row>
      <xdr:rowOff>1209040</xdr:rowOff>
    </xdr:to>
    <xdr:pic>
      <xdr:nvPicPr>
        <xdr:cNvPr id="7738" name="Изображение 7737" descr="resizeПП-00096690"/>
        <xdr:cNvPicPr>
          <a:picLocks noChangeAspect="1"/>
        </xdr:cNvPicPr>
      </xdr:nvPicPr>
      <xdr:blipFill>
        <a:blip xmlns:r="http://schemas.openxmlformats.org/officeDocument/2006/relationships" r:embed="rId3424"/>
        <a:stretch>
          <a:fillRect/>
        </a:stretch>
      </xdr:blipFill>
      <xdr:spPr>
        <a:xfrm>
          <a:off x="7264400" y="4467390100"/>
          <a:ext cx="878840" cy="1183640"/>
        </a:xfrm>
        <a:prstGeom prst="rect">
          <a:avLst/>
        </a:prstGeom>
      </xdr:spPr>
    </xdr:pic>
    <xdr:clientData/>
  </xdr:twoCellAnchor>
  <xdr:twoCellAnchor>
    <xdr:from>
      <xdr:col>8</xdr:col>
      <xdr:colOff>6350</xdr:colOff>
      <xdr:row>4500</xdr:row>
      <xdr:rowOff>25400</xdr:rowOff>
    </xdr:from>
    <xdr:to>
      <xdr:col>8</xdr:col>
      <xdr:colOff>885190</xdr:colOff>
      <xdr:row>4500</xdr:row>
      <xdr:rowOff>1209040</xdr:rowOff>
    </xdr:to>
    <xdr:pic>
      <xdr:nvPicPr>
        <xdr:cNvPr id="7739" name="Изображение 7738" descr="resizeПП-00122787"/>
        <xdr:cNvPicPr>
          <a:picLocks noChangeAspect="1"/>
        </xdr:cNvPicPr>
      </xdr:nvPicPr>
      <xdr:blipFill>
        <a:blip xmlns:r="http://schemas.openxmlformats.org/officeDocument/2006/relationships" r:embed="rId3425"/>
        <a:stretch>
          <a:fillRect/>
        </a:stretch>
      </xdr:blipFill>
      <xdr:spPr>
        <a:xfrm>
          <a:off x="7264400" y="4468612475"/>
          <a:ext cx="878840" cy="1183640"/>
        </a:xfrm>
        <a:prstGeom prst="rect">
          <a:avLst/>
        </a:prstGeom>
      </xdr:spPr>
    </xdr:pic>
    <xdr:clientData/>
  </xdr:twoCellAnchor>
  <xdr:twoCellAnchor>
    <xdr:from>
      <xdr:col>8</xdr:col>
      <xdr:colOff>6350</xdr:colOff>
      <xdr:row>4503</xdr:row>
      <xdr:rowOff>25400</xdr:rowOff>
    </xdr:from>
    <xdr:to>
      <xdr:col>8</xdr:col>
      <xdr:colOff>885190</xdr:colOff>
      <xdr:row>4503</xdr:row>
      <xdr:rowOff>1209040</xdr:rowOff>
    </xdr:to>
    <xdr:pic>
      <xdr:nvPicPr>
        <xdr:cNvPr id="7740" name="Изображение 7739" descr="resizeПП-00122510"/>
        <xdr:cNvPicPr>
          <a:picLocks noChangeAspect="1"/>
        </xdr:cNvPicPr>
      </xdr:nvPicPr>
      <xdr:blipFill>
        <a:blip xmlns:r="http://schemas.openxmlformats.org/officeDocument/2006/relationships" r:embed="rId3426"/>
        <a:stretch>
          <a:fillRect/>
        </a:stretch>
      </xdr:blipFill>
      <xdr:spPr>
        <a:xfrm>
          <a:off x="7264400" y="4470139650"/>
          <a:ext cx="878840" cy="1183640"/>
        </a:xfrm>
        <a:prstGeom prst="rect">
          <a:avLst/>
        </a:prstGeom>
      </xdr:spPr>
    </xdr:pic>
    <xdr:clientData/>
  </xdr:twoCellAnchor>
  <xdr:twoCellAnchor>
    <xdr:from>
      <xdr:col>8</xdr:col>
      <xdr:colOff>6350</xdr:colOff>
      <xdr:row>4504</xdr:row>
      <xdr:rowOff>25400</xdr:rowOff>
    </xdr:from>
    <xdr:to>
      <xdr:col>8</xdr:col>
      <xdr:colOff>885190</xdr:colOff>
      <xdr:row>4504</xdr:row>
      <xdr:rowOff>1209040</xdr:rowOff>
    </xdr:to>
    <xdr:pic>
      <xdr:nvPicPr>
        <xdr:cNvPr id="7741" name="Изображение 7740" descr="resizeПП-00122503"/>
        <xdr:cNvPicPr>
          <a:picLocks noChangeAspect="1"/>
        </xdr:cNvPicPr>
      </xdr:nvPicPr>
      <xdr:blipFill>
        <a:blip xmlns:r="http://schemas.openxmlformats.org/officeDocument/2006/relationships" r:embed="rId3427"/>
        <a:stretch>
          <a:fillRect/>
        </a:stretch>
      </xdr:blipFill>
      <xdr:spPr>
        <a:xfrm>
          <a:off x="7264400" y="4471362025"/>
          <a:ext cx="878840" cy="1183640"/>
        </a:xfrm>
        <a:prstGeom prst="rect">
          <a:avLst/>
        </a:prstGeom>
      </xdr:spPr>
    </xdr:pic>
    <xdr:clientData/>
  </xdr:twoCellAnchor>
  <xdr:twoCellAnchor>
    <xdr:from>
      <xdr:col>8</xdr:col>
      <xdr:colOff>6350</xdr:colOff>
      <xdr:row>4505</xdr:row>
      <xdr:rowOff>25400</xdr:rowOff>
    </xdr:from>
    <xdr:to>
      <xdr:col>8</xdr:col>
      <xdr:colOff>885190</xdr:colOff>
      <xdr:row>4505</xdr:row>
      <xdr:rowOff>1209040</xdr:rowOff>
    </xdr:to>
    <xdr:pic>
      <xdr:nvPicPr>
        <xdr:cNvPr id="7742" name="Изображение 7741" descr="resizeПП-00122512"/>
        <xdr:cNvPicPr>
          <a:picLocks noChangeAspect="1"/>
        </xdr:cNvPicPr>
      </xdr:nvPicPr>
      <xdr:blipFill>
        <a:blip xmlns:r="http://schemas.openxmlformats.org/officeDocument/2006/relationships" r:embed="rId3428"/>
        <a:stretch>
          <a:fillRect/>
        </a:stretch>
      </xdr:blipFill>
      <xdr:spPr>
        <a:xfrm>
          <a:off x="7264400" y="4472584400"/>
          <a:ext cx="878840" cy="1183640"/>
        </a:xfrm>
        <a:prstGeom prst="rect">
          <a:avLst/>
        </a:prstGeom>
      </xdr:spPr>
    </xdr:pic>
    <xdr:clientData/>
  </xdr:twoCellAnchor>
  <xdr:twoCellAnchor>
    <xdr:from>
      <xdr:col>8</xdr:col>
      <xdr:colOff>6350</xdr:colOff>
      <xdr:row>4506</xdr:row>
      <xdr:rowOff>25400</xdr:rowOff>
    </xdr:from>
    <xdr:to>
      <xdr:col>8</xdr:col>
      <xdr:colOff>885190</xdr:colOff>
      <xdr:row>4506</xdr:row>
      <xdr:rowOff>1209040</xdr:rowOff>
    </xdr:to>
    <xdr:pic>
      <xdr:nvPicPr>
        <xdr:cNvPr id="7743" name="Изображение 7742" descr="resizeПП-00122504"/>
        <xdr:cNvPicPr>
          <a:picLocks noChangeAspect="1"/>
        </xdr:cNvPicPr>
      </xdr:nvPicPr>
      <xdr:blipFill>
        <a:blip xmlns:r="http://schemas.openxmlformats.org/officeDocument/2006/relationships" r:embed="rId3429"/>
        <a:stretch>
          <a:fillRect/>
        </a:stretch>
      </xdr:blipFill>
      <xdr:spPr>
        <a:xfrm>
          <a:off x="7264400" y="4473806775"/>
          <a:ext cx="878840" cy="1183640"/>
        </a:xfrm>
        <a:prstGeom prst="rect">
          <a:avLst/>
        </a:prstGeom>
      </xdr:spPr>
    </xdr:pic>
    <xdr:clientData/>
  </xdr:twoCellAnchor>
  <xdr:twoCellAnchor>
    <xdr:from>
      <xdr:col>8</xdr:col>
      <xdr:colOff>6350</xdr:colOff>
      <xdr:row>4507</xdr:row>
      <xdr:rowOff>25400</xdr:rowOff>
    </xdr:from>
    <xdr:to>
      <xdr:col>8</xdr:col>
      <xdr:colOff>885190</xdr:colOff>
      <xdr:row>4507</xdr:row>
      <xdr:rowOff>1209040</xdr:rowOff>
    </xdr:to>
    <xdr:pic>
      <xdr:nvPicPr>
        <xdr:cNvPr id="7744" name="Изображение 7743" descr="resizeПП-00122509"/>
        <xdr:cNvPicPr>
          <a:picLocks noChangeAspect="1"/>
        </xdr:cNvPicPr>
      </xdr:nvPicPr>
      <xdr:blipFill>
        <a:blip xmlns:r="http://schemas.openxmlformats.org/officeDocument/2006/relationships" r:embed="rId3430"/>
        <a:stretch>
          <a:fillRect/>
        </a:stretch>
      </xdr:blipFill>
      <xdr:spPr>
        <a:xfrm>
          <a:off x="7264400" y="4475029150"/>
          <a:ext cx="878840" cy="1183640"/>
        </a:xfrm>
        <a:prstGeom prst="rect">
          <a:avLst/>
        </a:prstGeom>
      </xdr:spPr>
    </xdr:pic>
    <xdr:clientData/>
  </xdr:twoCellAnchor>
  <xdr:twoCellAnchor>
    <xdr:from>
      <xdr:col>8</xdr:col>
      <xdr:colOff>6350</xdr:colOff>
      <xdr:row>4508</xdr:row>
      <xdr:rowOff>25400</xdr:rowOff>
    </xdr:from>
    <xdr:to>
      <xdr:col>8</xdr:col>
      <xdr:colOff>885190</xdr:colOff>
      <xdr:row>4508</xdr:row>
      <xdr:rowOff>1209040</xdr:rowOff>
    </xdr:to>
    <xdr:pic>
      <xdr:nvPicPr>
        <xdr:cNvPr id="7745" name="Изображение 7744" descr="resizeПП-00122519"/>
        <xdr:cNvPicPr>
          <a:picLocks noChangeAspect="1"/>
        </xdr:cNvPicPr>
      </xdr:nvPicPr>
      <xdr:blipFill>
        <a:blip xmlns:r="http://schemas.openxmlformats.org/officeDocument/2006/relationships" r:embed="rId3431"/>
        <a:stretch>
          <a:fillRect/>
        </a:stretch>
      </xdr:blipFill>
      <xdr:spPr>
        <a:xfrm>
          <a:off x="7264400" y="4476251525"/>
          <a:ext cx="878840" cy="1183640"/>
        </a:xfrm>
        <a:prstGeom prst="rect">
          <a:avLst/>
        </a:prstGeom>
      </xdr:spPr>
    </xdr:pic>
    <xdr:clientData/>
  </xdr:twoCellAnchor>
  <xdr:twoCellAnchor>
    <xdr:from>
      <xdr:col>8</xdr:col>
      <xdr:colOff>6350</xdr:colOff>
      <xdr:row>4510</xdr:row>
      <xdr:rowOff>25400</xdr:rowOff>
    </xdr:from>
    <xdr:to>
      <xdr:col>8</xdr:col>
      <xdr:colOff>885190</xdr:colOff>
      <xdr:row>4510</xdr:row>
      <xdr:rowOff>1209040</xdr:rowOff>
    </xdr:to>
    <xdr:pic>
      <xdr:nvPicPr>
        <xdr:cNvPr id="7746" name="Изображение 7745" descr="resizeПП-00108830"/>
        <xdr:cNvPicPr>
          <a:picLocks noChangeAspect="1"/>
        </xdr:cNvPicPr>
      </xdr:nvPicPr>
      <xdr:blipFill>
        <a:blip xmlns:r="http://schemas.openxmlformats.org/officeDocument/2006/relationships" r:embed="rId3432"/>
        <a:stretch>
          <a:fillRect/>
        </a:stretch>
      </xdr:blipFill>
      <xdr:spPr>
        <a:xfrm>
          <a:off x="7264400" y="4477626300"/>
          <a:ext cx="878840" cy="1183640"/>
        </a:xfrm>
        <a:prstGeom prst="rect">
          <a:avLst/>
        </a:prstGeom>
      </xdr:spPr>
    </xdr:pic>
    <xdr:clientData/>
  </xdr:twoCellAnchor>
  <xdr:twoCellAnchor>
    <xdr:from>
      <xdr:col>8</xdr:col>
      <xdr:colOff>6350</xdr:colOff>
      <xdr:row>4511</xdr:row>
      <xdr:rowOff>25400</xdr:rowOff>
    </xdr:from>
    <xdr:to>
      <xdr:col>8</xdr:col>
      <xdr:colOff>885190</xdr:colOff>
      <xdr:row>4511</xdr:row>
      <xdr:rowOff>1209040</xdr:rowOff>
    </xdr:to>
    <xdr:pic>
      <xdr:nvPicPr>
        <xdr:cNvPr id="7747" name="Изображение 7746" descr="resizeПП-00108822"/>
        <xdr:cNvPicPr>
          <a:picLocks noChangeAspect="1"/>
        </xdr:cNvPicPr>
      </xdr:nvPicPr>
      <xdr:blipFill>
        <a:blip xmlns:r="http://schemas.openxmlformats.org/officeDocument/2006/relationships" r:embed="rId3433"/>
        <a:stretch>
          <a:fillRect/>
        </a:stretch>
      </xdr:blipFill>
      <xdr:spPr>
        <a:xfrm>
          <a:off x="7264400" y="4478848675"/>
          <a:ext cx="878840" cy="1183640"/>
        </a:xfrm>
        <a:prstGeom prst="rect">
          <a:avLst/>
        </a:prstGeom>
      </xdr:spPr>
    </xdr:pic>
    <xdr:clientData/>
  </xdr:twoCellAnchor>
  <xdr:twoCellAnchor>
    <xdr:from>
      <xdr:col>8</xdr:col>
      <xdr:colOff>6350</xdr:colOff>
      <xdr:row>4512</xdr:row>
      <xdr:rowOff>25400</xdr:rowOff>
    </xdr:from>
    <xdr:to>
      <xdr:col>8</xdr:col>
      <xdr:colOff>885190</xdr:colOff>
      <xdr:row>4512</xdr:row>
      <xdr:rowOff>1209040</xdr:rowOff>
    </xdr:to>
    <xdr:pic>
      <xdr:nvPicPr>
        <xdr:cNvPr id="7748" name="Изображение 7747" descr="resizeПП-00108834"/>
        <xdr:cNvPicPr>
          <a:picLocks noChangeAspect="1"/>
        </xdr:cNvPicPr>
      </xdr:nvPicPr>
      <xdr:blipFill>
        <a:blip xmlns:r="http://schemas.openxmlformats.org/officeDocument/2006/relationships" r:embed="rId3434"/>
        <a:stretch>
          <a:fillRect/>
        </a:stretch>
      </xdr:blipFill>
      <xdr:spPr>
        <a:xfrm>
          <a:off x="7264400" y="4480071050"/>
          <a:ext cx="878840" cy="1183640"/>
        </a:xfrm>
        <a:prstGeom prst="rect">
          <a:avLst/>
        </a:prstGeom>
      </xdr:spPr>
    </xdr:pic>
    <xdr:clientData/>
  </xdr:twoCellAnchor>
  <xdr:twoCellAnchor>
    <xdr:from>
      <xdr:col>8</xdr:col>
      <xdr:colOff>6350</xdr:colOff>
      <xdr:row>4513</xdr:row>
      <xdr:rowOff>25400</xdr:rowOff>
    </xdr:from>
    <xdr:to>
      <xdr:col>8</xdr:col>
      <xdr:colOff>885190</xdr:colOff>
      <xdr:row>4513</xdr:row>
      <xdr:rowOff>1209040</xdr:rowOff>
    </xdr:to>
    <xdr:pic>
      <xdr:nvPicPr>
        <xdr:cNvPr id="7749" name="Изображение 7748" descr="resizeПП-00108832"/>
        <xdr:cNvPicPr>
          <a:picLocks noChangeAspect="1"/>
        </xdr:cNvPicPr>
      </xdr:nvPicPr>
      <xdr:blipFill>
        <a:blip xmlns:r="http://schemas.openxmlformats.org/officeDocument/2006/relationships" r:embed="rId3435"/>
        <a:stretch>
          <a:fillRect/>
        </a:stretch>
      </xdr:blipFill>
      <xdr:spPr>
        <a:xfrm>
          <a:off x="7264400" y="4481293425"/>
          <a:ext cx="878840" cy="1183640"/>
        </a:xfrm>
        <a:prstGeom prst="rect">
          <a:avLst/>
        </a:prstGeom>
      </xdr:spPr>
    </xdr:pic>
    <xdr:clientData/>
  </xdr:twoCellAnchor>
  <xdr:twoCellAnchor>
    <xdr:from>
      <xdr:col>8</xdr:col>
      <xdr:colOff>6350</xdr:colOff>
      <xdr:row>4514</xdr:row>
      <xdr:rowOff>25400</xdr:rowOff>
    </xdr:from>
    <xdr:to>
      <xdr:col>8</xdr:col>
      <xdr:colOff>885190</xdr:colOff>
      <xdr:row>4514</xdr:row>
      <xdr:rowOff>1209040</xdr:rowOff>
    </xdr:to>
    <xdr:pic>
      <xdr:nvPicPr>
        <xdr:cNvPr id="7750" name="Изображение 7749" descr="resizeПП-00108827"/>
        <xdr:cNvPicPr>
          <a:picLocks noChangeAspect="1"/>
        </xdr:cNvPicPr>
      </xdr:nvPicPr>
      <xdr:blipFill>
        <a:blip xmlns:r="http://schemas.openxmlformats.org/officeDocument/2006/relationships" r:embed="rId3436"/>
        <a:stretch>
          <a:fillRect/>
        </a:stretch>
      </xdr:blipFill>
      <xdr:spPr>
        <a:xfrm>
          <a:off x="7264400" y="4482515800"/>
          <a:ext cx="878840" cy="1183640"/>
        </a:xfrm>
        <a:prstGeom prst="rect">
          <a:avLst/>
        </a:prstGeom>
      </xdr:spPr>
    </xdr:pic>
    <xdr:clientData/>
  </xdr:twoCellAnchor>
  <xdr:twoCellAnchor>
    <xdr:from>
      <xdr:col>8</xdr:col>
      <xdr:colOff>6350</xdr:colOff>
      <xdr:row>4515</xdr:row>
      <xdr:rowOff>25400</xdr:rowOff>
    </xdr:from>
    <xdr:to>
      <xdr:col>8</xdr:col>
      <xdr:colOff>885190</xdr:colOff>
      <xdr:row>4515</xdr:row>
      <xdr:rowOff>1209040</xdr:rowOff>
    </xdr:to>
    <xdr:pic>
      <xdr:nvPicPr>
        <xdr:cNvPr id="7751" name="Изображение 7750" descr="resizeПП-00108828"/>
        <xdr:cNvPicPr>
          <a:picLocks noChangeAspect="1"/>
        </xdr:cNvPicPr>
      </xdr:nvPicPr>
      <xdr:blipFill>
        <a:blip xmlns:r="http://schemas.openxmlformats.org/officeDocument/2006/relationships" r:embed="rId3437"/>
        <a:stretch>
          <a:fillRect/>
        </a:stretch>
      </xdr:blipFill>
      <xdr:spPr>
        <a:xfrm>
          <a:off x="7264400" y="4483738175"/>
          <a:ext cx="878840" cy="1183640"/>
        </a:xfrm>
        <a:prstGeom prst="rect">
          <a:avLst/>
        </a:prstGeom>
      </xdr:spPr>
    </xdr:pic>
    <xdr:clientData/>
  </xdr:twoCellAnchor>
  <xdr:twoCellAnchor>
    <xdr:from>
      <xdr:col>8</xdr:col>
      <xdr:colOff>6350</xdr:colOff>
      <xdr:row>4516</xdr:row>
      <xdr:rowOff>25400</xdr:rowOff>
    </xdr:from>
    <xdr:to>
      <xdr:col>8</xdr:col>
      <xdr:colOff>885190</xdr:colOff>
      <xdr:row>4516</xdr:row>
      <xdr:rowOff>1209040</xdr:rowOff>
    </xdr:to>
    <xdr:pic>
      <xdr:nvPicPr>
        <xdr:cNvPr id="7752" name="Изображение 7751" descr="resizeПП-00108823"/>
        <xdr:cNvPicPr>
          <a:picLocks noChangeAspect="1"/>
        </xdr:cNvPicPr>
      </xdr:nvPicPr>
      <xdr:blipFill>
        <a:blip xmlns:r="http://schemas.openxmlformats.org/officeDocument/2006/relationships" r:embed="rId3438"/>
        <a:stretch>
          <a:fillRect/>
        </a:stretch>
      </xdr:blipFill>
      <xdr:spPr>
        <a:xfrm>
          <a:off x="7264400" y="4484960550"/>
          <a:ext cx="878840" cy="1183640"/>
        </a:xfrm>
        <a:prstGeom prst="rect">
          <a:avLst/>
        </a:prstGeom>
      </xdr:spPr>
    </xdr:pic>
    <xdr:clientData/>
  </xdr:twoCellAnchor>
  <xdr:twoCellAnchor>
    <xdr:from>
      <xdr:col>8</xdr:col>
      <xdr:colOff>6350</xdr:colOff>
      <xdr:row>4517</xdr:row>
      <xdr:rowOff>25400</xdr:rowOff>
    </xdr:from>
    <xdr:to>
      <xdr:col>8</xdr:col>
      <xdr:colOff>885190</xdr:colOff>
      <xdr:row>4517</xdr:row>
      <xdr:rowOff>1209040</xdr:rowOff>
    </xdr:to>
    <xdr:pic>
      <xdr:nvPicPr>
        <xdr:cNvPr id="7753" name="Изображение 7752" descr="resizeПП-00108831"/>
        <xdr:cNvPicPr>
          <a:picLocks noChangeAspect="1"/>
        </xdr:cNvPicPr>
      </xdr:nvPicPr>
      <xdr:blipFill>
        <a:blip xmlns:r="http://schemas.openxmlformats.org/officeDocument/2006/relationships" r:embed="rId3439"/>
        <a:stretch>
          <a:fillRect/>
        </a:stretch>
      </xdr:blipFill>
      <xdr:spPr>
        <a:xfrm>
          <a:off x="7264400" y="4486182925"/>
          <a:ext cx="878840" cy="1183640"/>
        </a:xfrm>
        <a:prstGeom prst="rect">
          <a:avLst/>
        </a:prstGeom>
      </xdr:spPr>
    </xdr:pic>
    <xdr:clientData/>
  </xdr:twoCellAnchor>
  <xdr:twoCellAnchor>
    <xdr:from>
      <xdr:col>8</xdr:col>
      <xdr:colOff>6350</xdr:colOff>
      <xdr:row>4518</xdr:row>
      <xdr:rowOff>25400</xdr:rowOff>
    </xdr:from>
    <xdr:to>
      <xdr:col>8</xdr:col>
      <xdr:colOff>885190</xdr:colOff>
      <xdr:row>4518</xdr:row>
      <xdr:rowOff>1209040</xdr:rowOff>
    </xdr:to>
    <xdr:pic>
      <xdr:nvPicPr>
        <xdr:cNvPr id="7754" name="Изображение 7753" descr="resizeПП-00108824"/>
        <xdr:cNvPicPr>
          <a:picLocks noChangeAspect="1"/>
        </xdr:cNvPicPr>
      </xdr:nvPicPr>
      <xdr:blipFill>
        <a:blip xmlns:r="http://schemas.openxmlformats.org/officeDocument/2006/relationships" r:embed="rId3440"/>
        <a:stretch>
          <a:fillRect/>
        </a:stretch>
      </xdr:blipFill>
      <xdr:spPr>
        <a:xfrm>
          <a:off x="7264400" y="4487405300"/>
          <a:ext cx="878840" cy="1183640"/>
        </a:xfrm>
        <a:prstGeom prst="rect">
          <a:avLst/>
        </a:prstGeom>
      </xdr:spPr>
    </xdr:pic>
    <xdr:clientData/>
  </xdr:twoCellAnchor>
  <xdr:twoCellAnchor>
    <xdr:from>
      <xdr:col>8</xdr:col>
      <xdr:colOff>6350</xdr:colOff>
      <xdr:row>4519</xdr:row>
      <xdr:rowOff>25400</xdr:rowOff>
    </xdr:from>
    <xdr:to>
      <xdr:col>8</xdr:col>
      <xdr:colOff>885190</xdr:colOff>
      <xdr:row>4519</xdr:row>
      <xdr:rowOff>1209040</xdr:rowOff>
    </xdr:to>
    <xdr:pic>
      <xdr:nvPicPr>
        <xdr:cNvPr id="7755" name="Изображение 7754" descr="resizeПП-00222708"/>
        <xdr:cNvPicPr>
          <a:picLocks noChangeAspect="1"/>
        </xdr:cNvPicPr>
      </xdr:nvPicPr>
      <xdr:blipFill>
        <a:blip xmlns:r="http://schemas.openxmlformats.org/officeDocument/2006/relationships" r:embed="rId3441"/>
        <a:stretch>
          <a:fillRect/>
        </a:stretch>
      </xdr:blipFill>
      <xdr:spPr>
        <a:xfrm>
          <a:off x="7264400" y="4488627675"/>
          <a:ext cx="878840" cy="1183640"/>
        </a:xfrm>
        <a:prstGeom prst="rect">
          <a:avLst/>
        </a:prstGeom>
      </xdr:spPr>
    </xdr:pic>
    <xdr:clientData/>
  </xdr:twoCellAnchor>
  <xdr:twoCellAnchor>
    <xdr:from>
      <xdr:col>8</xdr:col>
      <xdr:colOff>6350</xdr:colOff>
      <xdr:row>4520</xdr:row>
      <xdr:rowOff>25400</xdr:rowOff>
    </xdr:from>
    <xdr:to>
      <xdr:col>8</xdr:col>
      <xdr:colOff>885190</xdr:colOff>
      <xdr:row>4520</xdr:row>
      <xdr:rowOff>1209040</xdr:rowOff>
    </xdr:to>
    <xdr:pic>
      <xdr:nvPicPr>
        <xdr:cNvPr id="7756" name="Изображение 7755" descr="resizeПП-00222709"/>
        <xdr:cNvPicPr>
          <a:picLocks noChangeAspect="1"/>
        </xdr:cNvPicPr>
      </xdr:nvPicPr>
      <xdr:blipFill>
        <a:blip xmlns:r="http://schemas.openxmlformats.org/officeDocument/2006/relationships" r:embed="rId3442"/>
        <a:stretch>
          <a:fillRect/>
        </a:stretch>
      </xdr:blipFill>
      <xdr:spPr>
        <a:xfrm>
          <a:off x="7264400" y="4489850050"/>
          <a:ext cx="878840" cy="1183640"/>
        </a:xfrm>
        <a:prstGeom prst="rect">
          <a:avLst/>
        </a:prstGeom>
      </xdr:spPr>
    </xdr:pic>
    <xdr:clientData/>
  </xdr:twoCellAnchor>
  <xdr:twoCellAnchor>
    <xdr:from>
      <xdr:col>8</xdr:col>
      <xdr:colOff>6350</xdr:colOff>
      <xdr:row>4522</xdr:row>
      <xdr:rowOff>25400</xdr:rowOff>
    </xdr:from>
    <xdr:to>
      <xdr:col>8</xdr:col>
      <xdr:colOff>885190</xdr:colOff>
      <xdr:row>4522</xdr:row>
      <xdr:rowOff>1209040</xdr:rowOff>
    </xdr:to>
    <xdr:pic>
      <xdr:nvPicPr>
        <xdr:cNvPr id="7757" name="Изображение 7756" descr="resizeПП-00122526"/>
        <xdr:cNvPicPr>
          <a:picLocks noChangeAspect="1"/>
        </xdr:cNvPicPr>
      </xdr:nvPicPr>
      <xdr:blipFill>
        <a:blip xmlns:r="http://schemas.openxmlformats.org/officeDocument/2006/relationships" r:embed="rId3443"/>
        <a:stretch>
          <a:fillRect/>
        </a:stretch>
      </xdr:blipFill>
      <xdr:spPr>
        <a:xfrm>
          <a:off x="7264400" y="4491224825"/>
          <a:ext cx="878840" cy="1183640"/>
        </a:xfrm>
        <a:prstGeom prst="rect">
          <a:avLst/>
        </a:prstGeom>
      </xdr:spPr>
    </xdr:pic>
    <xdr:clientData/>
  </xdr:twoCellAnchor>
  <xdr:twoCellAnchor>
    <xdr:from>
      <xdr:col>8</xdr:col>
      <xdr:colOff>6350</xdr:colOff>
      <xdr:row>4523</xdr:row>
      <xdr:rowOff>25400</xdr:rowOff>
    </xdr:from>
    <xdr:to>
      <xdr:col>8</xdr:col>
      <xdr:colOff>885190</xdr:colOff>
      <xdr:row>4523</xdr:row>
      <xdr:rowOff>1209040</xdr:rowOff>
    </xdr:to>
    <xdr:pic>
      <xdr:nvPicPr>
        <xdr:cNvPr id="7758" name="Изображение 7757" descr="resizeПП-00122528"/>
        <xdr:cNvPicPr>
          <a:picLocks noChangeAspect="1"/>
        </xdr:cNvPicPr>
      </xdr:nvPicPr>
      <xdr:blipFill>
        <a:blip xmlns:r="http://schemas.openxmlformats.org/officeDocument/2006/relationships" r:embed="rId3444"/>
        <a:stretch>
          <a:fillRect/>
        </a:stretch>
      </xdr:blipFill>
      <xdr:spPr>
        <a:xfrm>
          <a:off x="7264400" y="4492447200"/>
          <a:ext cx="878840" cy="1183640"/>
        </a:xfrm>
        <a:prstGeom prst="rect">
          <a:avLst/>
        </a:prstGeom>
      </xdr:spPr>
    </xdr:pic>
    <xdr:clientData/>
  </xdr:twoCellAnchor>
  <xdr:twoCellAnchor>
    <xdr:from>
      <xdr:col>8</xdr:col>
      <xdr:colOff>6350</xdr:colOff>
      <xdr:row>4524</xdr:row>
      <xdr:rowOff>25400</xdr:rowOff>
    </xdr:from>
    <xdr:to>
      <xdr:col>8</xdr:col>
      <xdr:colOff>885190</xdr:colOff>
      <xdr:row>4524</xdr:row>
      <xdr:rowOff>1209040</xdr:rowOff>
    </xdr:to>
    <xdr:pic>
      <xdr:nvPicPr>
        <xdr:cNvPr id="7759" name="Изображение 7758" descr="resizeПП-00122523"/>
        <xdr:cNvPicPr>
          <a:picLocks noChangeAspect="1"/>
        </xdr:cNvPicPr>
      </xdr:nvPicPr>
      <xdr:blipFill>
        <a:blip xmlns:r="http://schemas.openxmlformats.org/officeDocument/2006/relationships" r:embed="rId3445"/>
        <a:stretch>
          <a:fillRect/>
        </a:stretch>
      </xdr:blipFill>
      <xdr:spPr>
        <a:xfrm>
          <a:off x="7264400" y="4493669575"/>
          <a:ext cx="878840" cy="1183640"/>
        </a:xfrm>
        <a:prstGeom prst="rect">
          <a:avLst/>
        </a:prstGeom>
      </xdr:spPr>
    </xdr:pic>
    <xdr:clientData/>
  </xdr:twoCellAnchor>
  <xdr:twoCellAnchor>
    <xdr:from>
      <xdr:col>8</xdr:col>
      <xdr:colOff>6350</xdr:colOff>
      <xdr:row>4526</xdr:row>
      <xdr:rowOff>25400</xdr:rowOff>
    </xdr:from>
    <xdr:to>
      <xdr:col>8</xdr:col>
      <xdr:colOff>885190</xdr:colOff>
      <xdr:row>4526</xdr:row>
      <xdr:rowOff>1209040</xdr:rowOff>
    </xdr:to>
    <xdr:pic>
      <xdr:nvPicPr>
        <xdr:cNvPr id="7760" name="Изображение 7759" descr="resizeПП-00163647"/>
        <xdr:cNvPicPr>
          <a:picLocks noChangeAspect="1"/>
        </xdr:cNvPicPr>
      </xdr:nvPicPr>
      <xdr:blipFill>
        <a:blip xmlns:r="http://schemas.openxmlformats.org/officeDocument/2006/relationships" r:embed="rId3446"/>
        <a:stretch>
          <a:fillRect/>
        </a:stretch>
      </xdr:blipFill>
      <xdr:spPr>
        <a:xfrm>
          <a:off x="7264400" y="4495044350"/>
          <a:ext cx="878840" cy="1183640"/>
        </a:xfrm>
        <a:prstGeom prst="rect">
          <a:avLst/>
        </a:prstGeom>
      </xdr:spPr>
    </xdr:pic>
    <xdr:clientData/>
  </xdr:twoCellAnchor>
  <xdr:twoCellAnchor>
    <xdr:from>
      <xdr:col>8</xdr:col>
      <xdr:colOff>6350</xdr:colOff>
      <xdr:row>4527</xdr:row>
      <xdr:rowOff>25400</xdr:rowOff>
    </xdr:from>
    <xdr:to>
      <xdr:col>8</xdr:col>
      <xdr:colOff>885190</xdr:colOff>
      <xdr:row>4527</xdr:row>
      <xdr:rowOff>1209040</xdr:rowOff>
    </xdr:to>
    <xdr:pic>
      <xdr:nvPicPr>
        <xdr:cNvPr id="7761" name="Изображение 7760" descr="resizeПП-00163665"/>
        <xdr:cNvPicPr>
          <a:picLocks noChangeAspect="1"/>
        </xdr:cNvPicPr>
      </xdr:nvPicPr>
      <xdr:blipFill>
        <a:blip xmlns:r="http://schemas.openxmlformats.org/officeDocument/2006/relationships" r:embed="rId3447"/>
        <a:stretch>
          <a:fillRect/>
        </a:stretch>
      </xdr:blipFill>
      <xdr:spPr>
        <a:xfrm>
          <a:off x="7264400" y="4496266725"/>
          <a:ext cx="878840" cy="1183640"/>
        </a:xfrm>
        <a:prstGeom prst="rect">
          <a:avLst/>
        </a:prstGeom>
      </xdr:spPr>
    </xdr:pic>
    <xdr:clientData/>
  </xdr:twoCellAnchor>
  <xdr:twoCellAnchor>
    <xdr:from>
      <xdr:col>8</xdr:col>
      <xdr:colOff>6350</xdr:colOff>
      <xdr:row>4528</xdr:row>
      <xdr:rowOff>25400</xdr:rowOff>
    </xdr:from>
    <xdr:to>
      <xdr:col>8</xdr:col>
      <xdr:colOff>885190</xdr:colOff>
      <xdr:row>4528</xdr:row>
      <xdr:rowOff>1209040</xdr:rowOff>
    </xdr:to>
    <xdr:pic>
      <xdr:nvPicPr>
        <xdr:cNvPr id="7762" name="Изображение 7761" descr="resizeПП-00163588"/>
        <xdr:cNvPicPr>
          <a:picLocks noChangeAspect="1"/>
        </xdr:cNvPicPr>
      </xdr:nvPicPr>
      <xdr:blipFill>
        <a:blip xmlns:r="http://schemas.openxmlformats.org/officeDocument/2006/relationships" r:embed="rId3448"/>
        <a:stretch>
          <a:fillRect/>
        </a:stretch>
      </xdr:blipFill>
      <xdr:spPr>
        <a:xfrm>
          <a:off x="7264400" y="4497489100"/>
          <a:ext cx="878840" cy="1183640"/>
        </a:xfrm>
        <a:prstGeom prst="rect">
          <a:avLst/>
        </a:prstGeom>
      </xdr:spPr>
    </xdr:pic>
    <xdr:clientData/>
  </xdr:twoCellAnchor>
  <xdr:twoCellAnchor>
    <xdr:from>
      <xdr:col>8</xdr:col>
      <xdr:colOff>6350</xdr:colOff>
      <xdr:row>4529</xdr:row>
      <xdr:rowOff>25400</xdr:rowOff>
    </xdr:from>
    <xdr:to>
      <xdr:col>8</xdr:col>
      <xdr:colOff>885190</xdr:colOff>
      <xdr:row>4529</xdr:row>
      <xdr:rowOff>1209040</xdr:rowOff>
    </xdr:to>
    <xdr:pic>
      <xdr:nvPicPr>
        <xdr:cNvPr id="7763" name="Изображение 7762" descr="resizeПП-00163573"/>
        <xdr:cNvPicPr>
          <a:picLocks noChangeAspect="1"/>
        </xdr:cNvPicPr>
      </xdr:nvPicPr>
      <xdr:blipFill>
        <a:blip xmlns:r="http://schemas.openxmlformats.org/officeDocument/2006/relationships" r:embed="rId3449"/>
        <a:stretch>
          <a:fillRect/>
        </a:stretch>
      </xdr:blipFill>
      <xdr:spPr>
        <a:xfrm>
          <a:off x="7264400" y="4498711475"/>
          <a:ext cx="878840" cy="1183640"/>
        </a:xfrm>
        <a:prstGeom prst="rect">
          <a:avLst/>
        </a:prstGeom>
      </xdr:spPr>
    </xdr:pic>
    <xdr:clientData/>
  </xdr:twoCellAnchor>
  <xdr:twoCellAnchor>
    <xdr:from>
      <xdr:col>8</xdr:col>
      <xdr:colOff>6350</xdr:colOff>
      <xdr:row>4532</xdr:row>
      <xdr:rowOff>25400</xdr:rowOff>
    </xdr:from>
    <xdr:to>
      <xdr:col>8</xdr:col>
      <xdr:colOff>885190</xdr:colOff>
      <xdr:row>4532</xdr:row>
      <xdr:rowOff>1209040</xdr:rowOff>
    </xdr:to>
    <xdr:pic>
      <xdr:nvPicPr>
        <xdr:cNvPr id="7764" name="Изображение 7763" descr="resizeПП-00111331"/>
        <xdr:cNvPicPr>
          <a:picLocks noChangeAspect="1"/>
        </xdr:cNvPicPr>
      </xdr:nvPicPr>
      <xdr:blipFill>
        <a:blip xmlns:r="http://schemas.openxmlformats.org/officeDocument/2006/relationships" r:embed="rId3450"/>
        <a:stretch>
          <a:fillRect/>
        </a:stretch>
      </xdr:blipFill>
      <xdr:spPr>
        <a:xfrm>
          <a:off x="7264400" y="4500238650"/>
          <a:ext cx="878840" cy="1183640"/>
        </a:xfrm>
        <a:prstGeom prst="rect">
          <a:avLst/>
        </a:prstGeom>
      </xdr:spPr>
    </xdr:pic>
    <xdr:clientData/>
  </xdr:twoCellAnchor>
  <xdr:twoCellAnchor>
    <xdr:from>
      <xdr:col>8</xdr:col>
      <xdr:colOff>6350</xdr:colOff>
      <xdr:row>4533</xdr:row>
      <xdr:rowOff>25400</xdr:rowOff>
    </xdr:from>
    <xdr:to>
      <xdr:col>8</xdr:col>
      <xdr:colOff>1189990</xdr:colOff>
      <xdr:row>4533</xdr:row>
      <xdr:rowOff>904240</xdr:rowOff>
    </xdr:to>
    <xdr:pic>
      <xdr:nvPicPr>
        <xdr:cNvPr id="7765" name="Изображение 7764" descr="resizeПП-00111325"/>
        <xdr:cNvPicPr>
          <a:picLocks noChangeAspect="1"/>
        </xdr:cNvPicPr>
      </xdr:nvPicPr>
      <xdr:blipFill>
        <a:blip xmlns:r="http://schemas.openxmlformats.org/officeDocument/2006/relationships" r:embed="rId3451"/>
        <a:stretch>
          <a:fillRect/>
        </a:stretch>
      </xdr:blipFill>
      <xdr:spPr>
        <a:xfrm>
          <a:off x="7264400" y="4501461025"/>
          <a:ext cx="1183640" cy="878840"/>
        </a:xfrm>
        <a:prstGeom prst="rect">
          <a:avLst/>
        </a:prstGeom>
      </xdr:spPr>
    </xdr:pic>
    <xdr:clientData/>
  </xdr:twoCellAnchor>
  <xdr:twoCellAnchor>
    <xdr:from>
      <xdr:col>8</xdr:col>
      <xdr:colOff>6350</xdr:colOff>
      <xdr:row>4534</xdr:row>
      <xdr:rowOff>25400</xdr:rowOff>
    </xdr:from>
    <xdr:to>
      <xdr:col>8</xdr:col>
      <xdr:colOff>885190</xdr:colOff>
      <xdr:row>4534</xdr:row>
      <xdr:rowOff>1209040</xdr:rowOff>
    </xdr:to>
    <xdr:pic>
      <xdr:nvPicPr>
        <xdr:cNvPr id="7766" name="Изображение 7765" descr="resizeПП-00111319"/>
        <xdr:cNvPicPr>
          <a:picLocks noChangeAspect="1"/>
        </xdr:cNvPicPr>
      </xdr:nvPicPr>
      <xdr:blipFill>
        <a:blip xmlns:r="http://schemas.openxmlformats.org/officeDocument/2006/relationships" r:embed="rId3452"/>
        <a:stretch>
          <a:fillRect/>
        </a:stretch>
      </xdr:blipFill>
      <xdr:spPr>
        <a:xfrm>
          <a:off x="7264400" y="4502683400"/>
          <a:ext cx="878840" cy="1183640"/>
        </a:xfrm>
        <a:prstGeom prst="rect">
          <a:avLst/>
        </a:prstGeom>
      </xdr:spPr>
    </xdr:pic>
    <xdr:clientData/>
  </xdr:twoCellAnchor>
  <xdr:twoCellAnchor>
    <xdr:from>
      <xdr:col>8</xdr:col>
      <xdr:colOff>6350</xdr:colOff>
      <xdr:row>4535</xdr:row>
      <xdr:rowOff>25400</xdr:rowOff>
    </xdr:from>
    <xdr:to>
      <xdr:col>8</xdr:col>
      <xdr:colOff>885190</xdr:colOff>
      <xdr:row>4535</xdr:row>
      <xdr:rowOff>1209040</xdr:rowOff>
    </xdr:to>
    <xdr:pic>
      <xdr:nvPicPr>
        <xdr:cNvPr id="7767" name="Изображение 7766" descr="resizeПП-00111321"/>
        <xdr:cNvPicPr>
          <a:picLocks noChangeAspect="1"/>
        </xdr:cNvPicPr>
      </xdr:nvPicPr>
      <xdr:blipFill>
        <a:blip xmlns:r="http://schemas.openxmlformats.org/officeDocument/2006/relationships" r:embed="rId3453"/>
        <a:stretch>
          <a:fillRect/>
        </a:stretch>
      </xdr:blipFill>
      <xdr:spPr>
        <a:xfrm>
          <a:off x="7264400" y="4503905775"/>
          <a:ext cx="878840" cy="1183640"/>
        </a:xfrm>
        <a:prstGeom prst="rect">
          <a:avLst/>
        </a:prstGeom>
      </xdr:spPr>
    </xdr:pic>
    <xdr:clientData/>
  </xdr:twoCellAnchor>
  <xdr:twoCellAnchor>
    <xdr:from>
      <xdr:col>8</xdr:col>
      <xdr:colOff>6350</xdr:colOff>
      <xdr:row>4536</xdr:row>
      <xdr:rowOff>25400</xdr:rowOff>
    </xdr:from>
    <xdr:to>
      <xdr:col>8</xdr:col>
      <xdr:colOff>885190</xdr:colOff>
      <xdr:row>4536</xdr:row>
      <xdr:rowOff>1209040</xdr:rowOff>
    </xdr:to>
    <xdr:pic>
      <xdr:nvPicPr>
        <xdr:cNvPr id="7768" name="Изображение 7767" descr="resizeПП-00111324"/>
        <xdr:cNvPicPr>
          <a:picLocks noChangeAspect="1"/>
        </xdr:cNvPicPr>
      </xdr:nvPicPr>
      <xdr:blipFill>
        <a:blip xmlns:r="http://schemas.openxmlformats.org/officeDocument/2006/relationships" r:embed="rId3454"/>
        <a:stretch>
          <a:fillRect/>
        </a:stretch>
      </xdr:blipFill>
      <xdr:spPr>
        <a:xfrm>
          <a:off x="7264400" y="4505128150"/>
          <a:ext cx="878840" cy="1183640"/>
        </a:xfrm>
        <a:prstGeom prst="rect">
          <a:avLst/>
        </a:prstGeom>
      </xdr:spPr>
    </xdr:pic>
    <xdr:clientData/>
  </xdr:twoCellAnchor>
  <xdr:twoCellAnchor>
    <xdr:from>
      <xdr:col>8</xdr:col>
      <xdr:colOff>6350</xdr:colOff>
      <xdr:row>4537</xdr:row>
      <xdr:rowOff>25400</xdr:rowOff>
    </xdr:from>
    <xdr:to>
      <xdr:col>8</xdr:col>
      <xdr:colOff>885190</xdr:colOff>
      <xdr:row>4537</xdr:row>
      <xdr:rowOff>1209040</xdr:rowOff>
    </xdr:to>
    <xdr:pic>
      <xdr:nvPicPr>
        <xdr:cNvPr id="7769" name="Изображение 7768" descr="resizeПП-00111323"/>
        <xdr:cNvPicPr>
          <a:picLocks noChangeAspect="1"/>
        </xdr:cNvPicPr>
      </xdr:nvPicPr>
      <xdr:blipFill>
        <a:blip xmlns:r="http://schemas.openxmlformats.org/officeDocument/2006/relationships" r:embed="rId3455"/>
        <a:stretch>
          <a:fillRect/>
        </a:stretch>
      </xdr:blipFill>
      <xdr:spPr>
        <a:xfrm>
          <a:off x="7264400" y="4506350525"/>
          <a:ext cx="878840" cy="1183640"/>
        </a:xfrm>
        <a:prstGeom prst="rect">
          <a:avLst/>
        </a:prstGeom>
      </xdr:spPr>
    </xdr:pic>
    <xdr:clientData/>
  </xdr:twoCellAnchor>
  <xdr:twoCellAnchor>
    <xdr:from>
      <xdr:col>8</xdr:col>
      <xdr:colOff>6350</xdr:colOff>
      <xdr:row>4538</xdr:row>
      <xdr:rowOff>25400</xdr:rowOff>
    </xdr:from>
    <xdr:to>
      <xdr:col>8</xdr:col>
      <xdr:colOff>885190</xdr:colOff>
      <xdr:row>4538</xdr:row>
      <xdr:rowOff>1209040</xdr:rowOff>
    </xdr:to>
    <xdr:pic>
      <xdr:nvPicPr>
        <xdr:cNvPr id="7770" name="Изображение 7769" descr="resizeПП-00111326"/>
        <xdr:cNvPicPr>
          <a:picLocks noChangeAspect="1"/>
        </xdr:cNvPicPr>
      </xdr:nvPicPr>
      <xdr:blipFill>
        <a:blip xmlns:r="http://schemas.openxmlformats.org/officeDocument/2006/relationships" r:embed="rId3456"/>
        <a:stretch>
          <a:fillRect/>
        </a:stretch>
      </xdr:blipFill>
      <xdr:spPr>
        <a:xfrm>
          <a:off x="7264400" y="4507572900"/>
          <a:ext cx="878840" cy="1183640"/>
        </a:xfrm>
        <a:prstGeom prst="rect">
          <a:avLst/>
        </a:prstGeom>
      </xdr:spPr>
    </xdr:pic>
    <xdr:clientData/>
  </xdr:twoCellAnchor>
  <xdr:twoCellAnchor>
    <xdr:from>
      <xdr:col>8</xdr:col>
      <xdr:colOff>6350</xdr:colOff>
      <xdr:row>4539</xdr:row>
      <xdr:rowOff>25400</xdr:rowOff>
    </xdr:from>
    <xdr:to>
      <xdr:col>8</xdr:col>
      <xdr:colOff>885190</xdr:colOff>
      <xdr:row>4539</xdr:row>
      <xdr:rowOff>1209040</xdr:rowOff>
    </xdr:to>
    <xdr:pic>
      <xdr:nvPicPr>
        <xdr:cNvPr id="7771" name="Изображение 7770" descr="resizeПП-00111334"/>
        <xdr:cNvPicPr>
          <a:picLocks noChangeAspect="1"/>
        </xdr:cNvPicPr>
      </xdr:nvPicPr>
      <xdr:blipFill>
        <a:blip xmlns:r="http://schemas.openxmlformats.org/officeDocument/2006/relationships" r:embed="rId3457"/>
        <a:stretch>
          <a:fillRect/>
        </a:stretch>
      </xdr:blipFill>
      <xdr:spPr>
        <a:xfrm>
          <a:off x="7264400" y="4508795275"/>
          <a:ext cx="878840" cy="1183640"/>
        </a:xfrm>
        <a:prstGeom prst="rect">
          <a:avLst/>
        </a:prstGeom>
      </xdr:spPr>
    </xdr:pic>
    <xdr:clientData/>
  </xdr:twoCellAnchor>
  <xdr:twoCellAnchor>
    <xdr:from>
      <xdr:col>8</xdr:col>
      <xdr:colOff>6350</xdr:colOff>
      <xdr:row>4540</xdr:row>
      <xdr:rowOff>25400</xdr:rowOff>
    </xdr:from>
    <xdr:to>
      <xdr:col>8</xdr:col>
      <xdr:colOff>885190</xdr:colOff>
      <xdr:row>4540</xdr:row>
      <xdr:rowOff>1209040</xdr:rowOff>
    </xdr:to>
    <xdr:pic>
      <xdr:nvPicPr>
        <xdr:cNvPr id="7772" name="Изображение 7771" descr="resizeПП-00111335"/>
        <xdr:cNvPicPr>
          <a:picLocks noChangeAspect="1"/>
        </xdr:cNvPicPr>
      </xdr:nvPicPr>
      <xdr:blipFill>
        <a:blip xmlns:r="http://schemas.openxmlformats.org/officeDocument/2006/relationships" r:embed="rId3458"/>
        <a:stretch>
          <a:fillRect/>
        </a:stretch>
      </xdr:blipFill>
      <xdr:spPr>
        <a:xfrm>
          <a:off x="7264400" y="4510017650"/>
          <a:ext cx="878840" cy="1183640"/>
        </a:xfrm>
        <a:prstGeom prst="rect">
          <a:avLst/>
        </a:prstGeom>
      </xdr:spPr>
    </xdr:pic>
    <xdr:clientData/>
  </xdr:twoCellAnchor>
  <xdr:twoCellAnchor>
    <xdr:from>
      <xdr:col>8</xdr:col>
      <xdr:colOff>6350</xdr:colOff>
      <xdr:row>4541</xdr:row>
      <xdr:rowOff>25400</xdr:rowOff>
    </xdr:from>
    <xdr:to>
      <xdr:col>8</xdr:col>
      <xdr:colOff>885190</xdr:colOff>
      <xdr:row>4541</xdr:row>
      <xdr:rowOff>1209040</xdr:rowOff>
    </xdr:to>
    <xdr:pic>
      <xdr:nvPicPr>
        <xdr:cNvPr id="7773" name="Изображение 7772" descr="resizeПП-00111333"/>
        <xdr:cNvPicPr>
          <a:picLocks noChangeAspect="1"/>
        </xdr:cNvPicPr>
      </xdr:nvPicPr>
      <xdr:blipFill>
        <a:blip xmlns:r="http://schemas.openxmlformats.org/officeDocument/2006/relationships" r:embed="rId3459"/>
        <a:stretch>
          <a:fillRect/>
        </a:stretch>
      </xdr:blipFill>
      <xdr:spPr>
        <a:xfrm>
          <a:off x="7264400" y="4511240025"/>
          <a:ext cx="878840" cy="1183640"/>
        </a:xfrm>
        <a:prstGeom prst="rect">
          <a:avLst/>
        </a:prstGeom>
      </xdr:spPr>
    </xdr:pic>
    <xdr:clientData/>
  </xdr:twoCellAnchor>
  <xdr:twoCellAnchor>
    <xdr:from>
      <xdr:col>8</xdr:col>
      <xdr:colOff>6350</xdr:colOff>
      <xdr:row>4542</xdr:row>
      <xdr:rowOff>25400</xdr:rowOff>
    </xdr:from>
    <xdr:to>
      <xdr:col>8</xdr:col>
      <xdr:colOff>885190</xdr:colOff>
      <xdr:row>4542</xdr:row>
      <xdr:rowOff>1209040</xdr:rowOff>
    </xdr:to>
    <xdr:pic>
      <xdr:nvPicPr>
        <xdr:cNvPr id="7774" name="Изображение 7773" descr="resizeПП-00111332"/>
        <xdr:cNvPicPr>
          <a:picLocks noChangeAspect="1"/>
        </xdr:cNvPicPr>
      </xdr:nvPicPr>
      <xdr:blipFill>
        <a:blip xmlns:r="http://schemas.openxmlformats.org/officeDocument/2006/relationships" r:embed="rId3460"/>
        <a:stretch>
          <a:fillRect/>
        </a:stretch>
      </xdr:blipFill>
      <xdr:spPr>
        <a:xfrm>
          <a:off x="7264400" y="4512462400"/>
          <a:ext cx="878840" cy="1183640"/>
        </a:xfrm>
        <a:prstGeom prst="rect">
          <a:avLst/>
        </a:prstGeom>
      </xdr:spPr>
    </xdr:pic>
    <xdr:clientData/>
  </xdr:twoCellAnchor>
  <xdr:twoCellAnchor>
    <xdr:from>
      <xdr:col>8</xdr:col>
      <xdr:colOff>6350</xdr:colOff>
      <xdr:row>4543</xdr:row>
      <xdr:rowOff>25400</xdr:rowOff>
    </xdr:from>
    <xdr:to>
      <xdr:col>8</xdr:col>
      <xdr:colOff>885190</xdr:colOff>
      <xdr:row>4543</xdr:row>
      <xdr:rowOff>1209040</xdr:rowOff>
    </xdr:to>
    <xdr:pic>
      <xdr:nvPicPr>
        <xdr:cNvPr id="7775" name="Изображение 7774" descr="resizeПП-00111312"/>
        <xdr:cNvPicPr>
          <a:picLocks noChangeAspect="1"/>
        </xdr:cNvPicPr>
      </xdr:nvPicPr>
      <xdr:blipFill>
        <a:blip xmlns:r="http://schemas.openxmlformats.org/officeDocument/2006/relationships" r:embed="rId3461"/>
        <a:stretch>
          <a:fillRect/>
        </a:stretch>
      </xdr:blipFill>
      <xdr:spPr>
        <a:xfrm>
          <a:off x="7264400" y="4513684775"/>
          <a:ext cx="878840" cy="1183640"/>
        </a:xfrm>
        <a:prstGeom prst="rect">
          <a:avLst/>
        </a:prstGeom>
      </xdr:spPr>
    </xdr:pic>
    <xdr:clientData/>
  </xdr:twoCellAnchor>
  <xdr:twoCellAnchor>
    <xdr:from>
      <xdr:col>8</xdr:col>
      <xdr:colOff>6350</xdr:colOff>
      <xdr:row>4544</xdr:row>
      <xdr:rowOff>25400</xdr:rowOff>
    </xdr:from>
    <xdr:to>
      <xdr:col>8</xdr:col>
      <xdr:colOff>885190</xdr:colOff>
      <xdr:row>4544</xdr:row>
      <xdr:rowOff>1209040</xdr:rowOff>
    </xdr:to>
    <xdr:pic>
      <xdr:nvPicPr>
        <xdr:cNvPr id="7776" name="Изображение 7775" descr="resizeПП-00111317"/>
        <xdr:cNvPicPr>
          <a:picLocks noChangeAspect="1"/>
        </xdr:cNvPicPr>
      </xdr:nvPicPr>
      <xdr:blipFill>
        <a:blip xmlns:r="http://schemas.openxmlformats.org/officeDocument/2006/relationships" r:embed="rId3462"/>
        <a:stretch>
          <a:fillRect/>
        </a:stretch>
      </xdr:blipFill>
      <xdr:spPr>
        <a:xfrm>
          <a:off x="7264400" y="4514907150"/>
          <a:ext cx="878840" cy="1183640"/>
        </a:xfrm>
        <a:prstGeom prst="rect">
          <a:avLst/>
        </a:prstGeom>
      </xdr:spPr>
    </xdr:pic>
    <xdr:clientData/>
  </xdr:twoCellAnchor>
  <xdr:twoCellAnchor>
    <xdr:from>
      <xdr:col>8</xdr:col>
      <xdr:colOff>6350</xdr:colOff>
      <xdr:row>4545</xdr:row>
      <xdr:rowOff>25400</xdr:rowOff>
    </xdr:from>
    <xdr:to>
      <xdr:col>8</xdr:col>
      <xdr:colOff>885190</xdr:colOff>
      <xdr:row>4545</xdr:row>
      <xdr:rowOff>1209040</xdr:rowOff>
    </xdr:to>
    <xdr:pic>
      <xdr:nvPicPr>
        <xdr:cNvPr id="7777" name="Изображение 7776" descr="resizeПП-00111305"/>
        <xdr:cNvPicPr>
          <a:picLocks noChangeAspect="1"/>
        </xdr:cNvPicPr>
      </xdr:nvPicPr>
      <xdr:blipFill>
        <a:blip xmlns:r="http://schemas.openxmlformats.org/officeDocument/2006/relationships" r:embed="rId3463"/>
        <a:stretch>
          <a:fillRect/>
        </a:stretch>
      </xdr:blipFill>
      <xdr:spPr>
        <a:xfrm>
          <a:off x="7264400" y="4516129525"/>
          <a:ext cx="878840" cy="1183640"/>
        </a:xfrm>
        <a:prstGeom prst="rect">
          <a:avLst/>
        </a:prstGeom>
      </xdr:spPr>
    </xdr:pic>
    <xdr:clientData/>
  </xdr:twoCellAnchor>
  <xdr:twoCellAnchor>
    <xdr:from>
      <xdr:col>8</xdr:col>
      <xdr:colOff>6350</xdr:colOff>
      <xdr:row>4546</xdr:row>
      <xdr:rowOff>25400</xdr:rowOff>
    </xdr:from>
    <xdr:to>
      <xdr:col>8</xdr:col>
      <xdr:colOff>885190</xdr:colOff>
      <xdr:row>4546</xdr:row>
      <xdr:rowOff>1209040</xdr:rowOff>
    </xdr:to>
    <xdr:pic>
      <xdr:nvPicPr>
        <xdr:cNvPr id="7778" name="Изображение 7777" descr="resizeПП-00111314"/>
        <xdr:cNvPicPr>
          <a:picLocks noChangeAspect="1"/>
        </xdr:cNvPicPr>
      </xdr:nvPicPr>
      <xdr:blipFill>
        <a:blip xmlns:r="http://schemas.openxmlformats.org/officeDocument/2006/relationships" r:embed="rId3464"/>
        <a:stretch>
          <a:fillRect/>
        </a:stretch>
      </xdr:blipFill>
      <xdr:spPr>
        <a:xfrm>
          <a:off x="7264400" y="4517351900"/>
          <a:ext cx="878840" cy="1183640"/>
        </a:xfrm>
        <a:prstGeom prst="rect">
          <a:avLst/>
        </a:prstGeom>
      </xdr:spPr>
    </xdr:pic>
    <xdr:clientData/>
  </xdr:twoCellAnchor>
  <xdr:twoCellAnchor>
    <xdr:from>
      <xdr:col>8</xdr:col>
      <xdr:colOff>6350</xdr:colOff>
      <xdr:row>4547</xdr:row>
      <xdr:rowOff>25400</xdr:rowOff>
    </xdr:from>
    <xdr:to>
      <xdr:col>8</xdr:col>
      <xdr:colOff>885190</xdr:colOff>
      <xdr:row>4547</xdr:row>
      <xdr:rowOff>1209040</xdr:rowOff>
    </xdr:to>
    <xdr:pic>
      <xdr:nvPicPr>
        <xdr:cNvPr id="7779" name="Изображение 7778" descr="resizeПП-00111311"/>
        <xdr:cNvPicPr>
          <a:picLocks noChangeAspect="1"/>
        </xdr:cNvPicPr>
      </xdr:nvPicPr>
      <xdr:blipFill>
        <a:blip xmlns:r="http://schemas.openxmlformats.org/officeDocument/2006/relationships" r:embed="rId3465"/>
        <a:stretch>
          <a:fillRect/>
        </a:stretch>
      </xdr:blipFill>
      <xdr:spPr>
        <a:xfrm>
          <a:off x="7264400" y="4518574275"/>
          <a:ext cx="878840" cy="1183640"/>
        </a:xfrm>
        <a:prstGeom prst="rect">
          <a:avLst/>
        </a:prstGeom>
      </xdr:spPr>
    </xdr:pic>
    <xdr:clientData/>
  </xdr:twoCellAnchor>
  <xdr:twoCellAnchor>
    <xdr:from>
      <xdr:col>8</xdr:col>
      <xdr:colOff>6350</xdr:colOff>
      <xdr:row>4548</xdr:row>
      <xdr:rowOff>25400</xdr:rowOff>
    </xdr:from>
    <xdr:to>
      <xdr:col>8</xdr:col>
      <xdr:colOff>885190</xdr:colOff>
      <xdr:row>4548</xdr:row>
      <xdr:rowOff>1209040</xdr:rowOff>
    </xdr:to>
    <xdr:pic>
      <xdr:nvPicPr>
        <xdr:cNvPr id="7780" name="Изображение 7779" descr="resizeПП-00152765"/>
        <xdr:cNvPicPr>
          <a:picLocks noChangeAspect="1"/>
        </xdr:cNvPicPr>
      </xdr:nvPicPr>
      <xdr:blipFill>
        <a:blip xmlns:r="http://schemas.openxmlformats.org/officeDocument/2006/relationships" r:embed="rId3466"/>
        <a:stretch>
          <a:fillRect/>
        </a:stretch>
      </xdr:blipFill>
      <xdr:spPr>
        <a:xfrm>
          <a:off x="7264400" y="4519796650"/>
          <a:ext cx="878840" cy="1183640"/>
        </a:xfrm>
        <a:prstGeom prst="rect">
          <a:avLst/>
        </a:prstGeom>
      </xdr:spPr>
    </xdr:pic>
    <xdr:clientData/>
  </xdr:twoCellAnchor>
  <xdr:twoCellAnchor>
    <xdr:from>
      <xdr:col>8</xdr:col>
      <xdr:colOff>6350</xdr:colOff>
      <xdr:row>4550</xdr:row>
      <xdr:rowOff>25400</xdr:rowOff>
    </xdr:from>
    <xdr:to>
      <xdr:col>8</xdr:col>
      <xdr:colOff>885190</xdr:colOff>
      <xdr:row>4550</xdr:row>
      <xdr:rowOff>1209040</xdr:rowOff>
    </xdr:to>
    <xdr:pic>
      <xdr:nvPicPr>
        <xdr:cNvPr id="7781" name="Изображение 7780" descr="resizeПП-00259154"/>
        <xdr:cNvPicPr>
          <a:picLocks noChangeAspect="1"/>
        </xdr:cNvPicPr>
      </xdr:nvPicPr>
      <xdr:blipFill>
        <a:blip xmlns:r="http://schemas.openxmlformats.org/officeDocument/2006/relationships" r:embed="rId3467"/>
        <a:stretch>
          <a:fillRect/>
        </a:stretch>
      </xdr:blipFill>
      <xdr:spPr>
        <a:xfrm>
          <a:off x="7264400" y="4521171425"/>
          <a:ext cx="878840" cy="1183640"/>
        </a:xfrm>
        <a:prstGeom prst="rect">
          <a:avLst/>
        </a:prstGeom>
      </xdr:spPr>
    </xdr:pic>
    <xdr:clientData/>
  </xdr:twoCellAnchor>
  <xdr:twoCellAnchor>
    <xdr:from>
      <xdr:col>8</xdr:col>
      <xdr:colOff>6350</xdr:colOff>
      <xdr:row>4551</xdr:row>
      <xdr:rowOff>25400</xdr:rowOff>
    </xdr:from>
    <xdr:to>
      <xdr:col>8</xdr:col>
      <xdr:colOff>885190</xdr:colOff>
      <xdr:row>4551</xdr:row>
      <xdr:rowOff>1209040</xdr:rowOff>
    </xdr:to>
    <xdr:pic>
      <xdr:nvPicPr>
        <xdr:cNvPr id="7782" name="Изображение 7781" descr="resizeПП-00259155"/>
        <xdr:cNvPicPr>
          <a:picLocks noChangeAspect="1"/>
        </xdr:cNvPicPr>
      </xdr:nvPicPr>
      <xdr:blipFill>
        <a:blip xmlns:r="http://schemas.openxmlformats.org/officeDocument/2006/relationships" r:embed="rId3468"/>
        <a:stretch>
          <a:fillRect/>
        </a:stretch>
      </xdr:blipFill>
      <xdr:spPr>
        <a:xfrm>
          <a:off x="7264400" y="4522393800"/>
          <a:ext cx="878840" cy="1183640"/>
        </a:xfrm>
        <a:prstGeom prst="rect">
          <a:avLst/>
        </a:prstGeom>
      </xdr:spPr>
    </xdr:pic>
    <xdr:clientData/>
  </xdr:twoCellAnchor>
  <xdr:twoCellAnchor>
    <xdr:from>
      <xdr:col>8</xdr:col>
      <xdr:colOff>6350</xdr:colOff>
      <xdr:row>4553</xdr:row>
      <xdr:rowOff>25400</xdr:rowOff>
    </xdr:from>
    <xdr:to>
      <xdr:col>8</xdr:col>
      <xdr:colOff>885190</xdr:colOff>
      <xdr:row>4553</xdr:row>
      <xdr:rowOff>1209040</xdr:rowOff>
    </xdr:to>
    <xdr:pic>
      <xdr:nvPicPr>
        <xdr:cNvPr id="7783" name="Изображение 7782" descr="resizeПП-00249561"/>
        <xdr:cNvPicPr>
          <a:picLocks noChangeAspect="1"/>
        </xdr:cNvPicPr>
      </xdr:nvPicPr>
      <xdr:blipFill>
        <a:blip xmlns:r="http://schemas.openxmlformats.org/officeDocument/2006/relationships" r:embed="rId3469"/>
        <a:stretch>
          <a:fillRect/>
        </a:stretch>
      </xdr:blipFill>
      <xdr:spPr>
        <a:xfrm>
          <a:off x="7264400" y="4523768575"/>
          <a:ext cx="878840" cy="1183640"/>
        </a:xfrm>
        <a:prstGeom prst="rect">
          <a:avLst/>
        </a:prstGeom>
      </xdr:spPr>
    </xdr:pic>
    <xdr:clientData/>
  </xdr:twoCellAnchor>
  <xdr:twoCellAnchor>
    <xdr:from>
      <xdr:col>8</xdr:col>
      <xdr:colOff>6350</xdr:colOff>
      <xdr:row>4554</xdr:row>
      <xdr:rowOff>25400</xdr:rowOff>
    </xdr:from>
    <xdr:to>
      <xdr:col>8</xdr:col>
      <xdr:colOff>885190</xdr:colOff>
      <xdr:row>4554</xdr:row>
      <xdr:rowOff>1209040</xdr:rowOff>
    </xdr:to>
    <xdr:pic>
      <xdr:nvPicPr>
        <xdr:cNvPr id="7784" name="Изображение 7783" descr="resizeПП-00249564"/>
        <xdr:cNvPicPr>
          <a:picLocks noChangeAspect="1"/>
        </xdr:cNvPicPr>
      </xdr:nvPicPr>
      <xdr:blipFill>
        <a:blip xmlns:r="http://schemas.openxmlformats.org/officeDocument/2006/relationships" r:embed="rId3470"/>
        <a:stretch>
          <a:fillRect/>
        </a:stretch>
      </xdr:blipFill>
      <xdr:spPr>
        <a:xfrm>
          <a:off x="7264400" y="4524990950"/>
          <a:ext cx="878840" cy="1183640"/>
        </a:xfrm>
        <a:prstGeom prst="rect">
          <a:avLst/>
        </a:prstGeom>
      </xdr:spPr>
    </xdr:pic>
    <xdr:clientData/>
  </xdr:twoCellAnchor>
  <xdr:twoCellAnchor>
    <xdr:from>
      <xdr:col>8</xdr:col>
      <xdr:colOff>6350</xdr:colOff>
      <xdr:row>4555</xdr:row>
      <xdr:rowOff>25400</xdr:rowOff>
    </xdr:from>
    <xdr:to>
      <xdr:col>8</xdr:col>
      <xdr:colOff>885190</xdr:colOff>
      <xdr:row>4555</xdr:row>
      <xdr:rowOff>1209040</xdr:rowOff>
    </xdr:to>
    <xdr:pic>
      <xdr:nvPicPr>
        <xdr:cNvPr id="7785" name="Изображение 7784" descr="resizeПП-00249558"/>
        <xdr:cNvPicPr>
          <a:picLocks noChangeAspect="1"/>
        </xdr:cNvPicPr>
      </xdr:nvPicPr>
      <xdr:blipFill>
        <a:blip xmlns:r="http://schemas.openxmlformats.org/officeDocument/2006/relationships" r:embed="rId3471"/>
        <a:stretch>
          <a:fillRect/>
        </a:stretch>
      </xdr:blipFill>
      <xdr:spPr>
        <a:xfrm>
          <a:off x="7264400" y="4526213325"/>
          <a:ext cx="878840" cy="1183640"/>
        </a:xfrm>
        <a:prstGeom prst="rect">
          <a:avLst/>
        </a:prstGeom>
      </xdr:spPr>
    </xdr:pic>
    <xdr:clientData/>
  </xdr:twoCellAnchor>
  <xdr:twoCellAnchor>
    <xdr:from>
      <xdr:col>8</xdr:col>
      <xdr:colOff>6350</xdr:colOff>
      <xdr:row>4556</xdr:row>
      <xdr:rowOff>25400</xdr:rowOff>
    </xdr:from>
    <xdr:to>
      <xdr:col>8</xdr:col>
      <xdr:colOff>885190</xdr:colOff>
      <xdr:row>4556</xdr:row>
      <xdr:rowOff>1209040</xdr:rowOff>
    </xdr:to>
    <xdr:pic>
      <xdr:nvPicPr>
        <xdr:cNvPr id="7786" name="Изображение 7785" descr="resizeПП-00249559"/>
        <xdr:cNvPicPr>
          <a:picLocks noChangeAspect="1"/>
        </xdr:cNvPicPr>
      </xdr:nvPicPr>
      <xdr:blipFill>
        <a:blip xmlns:r="http://schemas.openxmlformats.org/officeDocument/2006/relationships" r:embed="rId3472"/>
        <a:stretch>
          <a:fillRect/>
        </a:stretch>
      </xdr:blipFill>
      <xdr:spPr>
        <a:xfrm>
          <a:off x="7264400" y="4527435700"/>
          <a:ext cx="878840" cy="1183640"/>
        </a:xfrm>
        <a:prstGeom prst="rect">
          <a:avLst/>
        </a:prstGeom>
      </xdr:spPr>
    </xdr:pic>
    <xdr:clientData/>
  </xdr:twoCellAnchor>
  <xdr:twoCellAnchor>
    <xdr:from>
      <xdr:col>8</xdr:col>
      <xdr:colOff>6350</xdr:colOff>
      <xdr:row>4557</xdr:row>
      <xdr:rowOff>25400</xdr:rowOff>
    </xdr:from>
    <xdr:to>
      <xdr:col>8</xdr:col>
      <xdr:colOff>885190</xdr:colOff>
      <xdr:row>4557</xdr:row>
      <xdr:rowOff>1209040</xdr:rowOff>
    </xdr:to>
    <xdr:pic>
      <xdr:nvPicPr>
        <xdr:cNvPr id="7787" name="Изображение 7786" descr="resizeПП-00249563"/>
        <xdr:cNvPicPr>
          <a:picLocks noChangeAspect="1"/>
        </xdr:cNvPicPr>
      </xdr:nvPicPr>
      <xdr:blipFill>
        <a:blip xmlns:r="http://schemas.openxmlformats.org/officeDocument/2006/relationships" r:embed="rId3473"/>
        <a:stretch>
          <a:fillRect/>
        </a:stretch>
      </xdr:blipFill>
      <xdr:spPr>
        <a:xfrm>
          <a:off x="7264400" y="4528658075"/>
          <a:ext cx="878840" cy="1183640"/>
        </a:xfrm>
        <a:prstGeom prst="rect">
          <a:avLst/>
        </a:prstGeom>
      </xdr:spPr>
    </xdr:pic>
    <xdr:clientData/>
  </xdr:twoCellAnchor>
  <xdr:twoCellAnchor>
    <xdr:from>
      <xdr:col>8</xdr:col>
      <xdr:colOff>6350</xdr:colOff>
      <xdr:row>4563</xdr:row>
      <xdr:rowOff>25400</xdr:rowOff>
    </xdr:from>
    <xdr:to>
      <xdr:col>8</xdr:col>
      <xdr:colOff>885190</xdr:colOff>
      <xdr:row>4563</xdr:row>
      <xdr:rowOff>1209040</xdr:rowOff>
    </xdr:to>
    <xdr:pic>
      <xdr:nvPicPr>
        <xdr:cNvPr id="7788" name="Изображение 7787" descr="resizeПП-00245651"/>
        <xdr:cNvPicPr>
          <a:picLocks noChangeAspect="1"/>
        </xdr:cNvPicPr>
      </xdr:nvPicPr>
      <xdr:blipFill>
        <a:blip xmlns:r="http://schemas.openxmlformats.org/officeDocument/2006/relationships" r:embed="rId3474"/>
        <a:stretch>
          <a:fillRect/>
        </a:stretch>
      </xdr:blipFill>
      <xdr:spPr>
        <a:xfrm>
          <a:off x="7264400" y="4530693250"/>
          <a:ext cx="878840" cy="1183640"/>
        </a:xfrm>
        <a:prstGeom prst="rect">
          <a:avLst/>
        </a:prstGeom>
      </xdr:spPr>
    </xdr:pic>
    <xdr:clientData/>
  </xdr:twoCellAnchor>
  <xdr:twoCellAnchor>
    <xdr:from>
      <xdr:col>8</xdr:col>
      <xdr:colOff>6350</xdr:colOff>
      <xdr:row>4564</xdr:row>
      <xdr:rowOff>25400</xdr:rowOff>
    </xdr:from>
    <xdr:to>
      <xdr:col>8</xdr:col>
      <xdr:colOff>885190</xdr:colOff>
      <xdr:row>4564</xdr:row>
      <xdr:rowOff>1209040</xdr:rowOff>
    </xdr:to>
    <xdr:pic>
      <xdr:nvPicPr>
        <xdr:cNvPr id="7789" name="Изображение 7788" descr="resizeПП-00245656"/>
        <xdr:cNvPicPr>
          <a:picLocks noChangeAspect="1"/>
        </xdr:cNvPicPr>
      </xdr:nvPicPr>
      <xdr:blipFill>
        <a:blip xmlns:r="http://schemas.openxmlformats.org/officeDocument/2006/relationships" r:embed="rId3475"/>
        <a:stretch>
          <a:fillRect/>
        </a:stretch>
      </xdr:blipFill>
      <xdr:spPr>
        <a:xfrm>
          <a:off x="7264400" y="4531915625"/>
          <a:ext cx="878840" cy="1183640"/>
        </a:xfrm>
        <a:prstGeom prst="rect">
          <a:avLst/>
        </a:prstGeom>
      </xdr:spPr>
    </xdr:pic>
    <xdr:clientData/>
  </xdr:twoCellAnchor>
  <xdr:twoCellAnchor>
    <xdr:from>
      <xdr:col>8</xdr:col>
      <xdr:colOff>6350</xdr:colOff>
      <xdr:row>4566</xdr:row>
      <xdr:rowOff>25400</xdr:rowOff>
    </xdr:from>
    <xdr:to>
      <xdr:col>8</xdr:col>
      <xdr:colOff>885190</xdr:colOff>
      <xdr:row>4566</xdr:row>
      <xdr:rowOff>1209040</xdr:rowOff>
    </xdr:to>
    <xdr:pic>
      <xdr:nvPicPr>
        <xdr:cNvPr id="7790" name="Изображение 7789" descr="resizeПП-00282832"/>
        <xdr:cNvPicPr>
          <a:picLocks noChangeAspect="1"/>
        </xdr:cNvPicPr>
      </xdr:nvPicPr>
      <xdr:blipFill>
        <a:blip xmlns:r="http://schemas.openxmlformats.org/officeDocument/2006/relationships" r:embed="rId3476"/>
        <a:stretch>
          <a:fillRect/>
        </a:stretch>
      </xdr:blipFill>
      <xdr:spPr>
        <a:xfrm>
          <a:off x="7264400" y="4533290400"/>
          <a:ext cx="878840" cy="1183640"/>
        </a:xfrm>
        <a:prstGeom prst="rect">
          <a:avLst/>
        </a:prstGeom>
      </xdr:spPr>
    </xdr:pic>
    <xdr:clientData/>
  </xdr:twoCellAnchor>
  <xdr:twoCellAnchor>
    <xdr:from>
      <xdr:col>8</xdr:col>
      <xdr:colOff>6350</xdr:colOff>
      <xdr:row>4567</xdr:row>
      <xdr:rowOff>25400</xdr:rowOff>
    </xdr:from>
    <xdr:to>
      <xdr:col>8</xdr:col>
      <xdr:colOff>885190</xdr:colOff>
      <xdr:row>4567</xdr:row>
      <xdr:rowOff>1209040</xdr:rowOff>
    </xdr:to>
    <xdr:pic>
      <xdr:nvPicPr>
        <xdr:cNvPr id="7791" name="Изображение 7790" descr="resizeПП-00282828"/>
        <xdr:cNvPicPr>
          <a:picLocks noChangeAspect="1"/>
        </xdr:cNvPicPr>
      </xdr:nvPicPr>
      <xdr:blipFill>
        <a:blip xmlns:r="http://schemas.openxmlformats.org/officeDocument/2006/relationships" r:embed="rId3477"/>
        <a:stretch>
          <a:fillRect/>
        </a:stretch>
      </xdr:blipFill>
      <xdr:spPr>
        <a:xfrm>
          <a:off x="7264400" y="4534512775"/>
          <a:ext cx="878840" cy="1183640"/>
        </a:xfrm>
        <a:prstGeom prst="rect">
          <a:avLst/>
        </a:prstGeom>
      </xdr:spPr>
    </xdr:pic>
    <xdr:clientData/>
  </xdr:twoCellAnchor>
  <xdr:twoCellAnchor>
    <xdr:from>
      <xdr:col>8</xdr:col>
      <xdr:colOff>6350</xdr:colOff>
      <xdr:row>4568</xdr:row>
      <xdr:rowOff>25400</xdr:rowOff>
    </xdr:from>
    <xdr:to>
      <xdr:col>8</xdr:col>
      <xdr:colOff>885190</xdr:colOff>
      <xdr:row>4568</xdr:row>
      <xdr:rowOff>1209040</xdr:rowOff>
    </xdr:to>
    <xdr:pic>
      <xdr:nvPicPr>
        <xdr:cNvPr id="7792" name="Изображение 7791" descr="resizeПП-00282829"/>
        <xdr:cNvPicPr>
          <a:picLocks noChangeAspect="1"/>
        </xdr:cNvPicPr>
      </xdr:nvPicPr>
      <xdr:blipFill>
        <a:blip xmlns:r="http://schemas.openxmlformats.org/officeDocument/2006/relationships" r:embed="rId3478"/>
        <a:stretch>
          <a:fillRect/>
        </a:stretch>
      </xdr:blipFill>
      <xdr:spPr>
        <a:xfrm>
          <a:off x="7264400" y="4535735150"/>
          <a:ext cx="878840" cy="1183640"/>
        </a:xfrm>
        <a:prstGeom prst="rect">
          <a:avLst/>
        </a:prstGeom>
      </xdr:spPr>
    </xdr:pic>
    <xdr:clientData/>
  </xdr:twoCellAnchor>
  <xdr:twoCellAnchor>
    <xdr:from>
      <xdr:col>8</xdr:col>
      <xdr:colOff>6350</xdr:colOff>
      <xdr:row>4569</xdr:row>
      <xdr:rowOff>25400</xdr:rowOff>
    </xdr:from>
    <xdr:to>
      <xdr:col>8</xdr:col>
      <xdr:colOff>885190</xdr:colOff>
      <xdr:row>4569</xdr:row>
      <xdr:rowOff>1209040</xdr:rowOff>
    </xdr:to>
    <xdr:pic>
      <xdr:nvPicPr>
        <xdr:cNvPr id="7793" name="Изображение 7792" descr="resizeПП-00282831"/>
        <xdr:cNvPicPr>
          <a:picLocks noChangeAspect="1"/>
        </xdr:cNvPicPr>
      </xdr:nvPicPr>
      <xdr:blipFill>
        <a:blip xmlns:r="http://schemas.openxmlformats.org/officeDocument/2006/relationships" r:embed="rId3479"/>
        <a:stretch>
          <a:fillRect/>
        </a:stretch>
      </xdr:blipFill>
      <xdr:spPr>
        <a:xfrm>
          <a:off x="7264400" y="4536957525"/>
          <a:ext cx="878840" cy="1183640"/>
        </a:xfrm>
        <a:prstGeom prst="rect">
          <a:avLst/>
        </a:prstGeom>
      </xdr:spPr>
    </xdr:pic>
    <xdr:clientData/>
  </xdr:twoCellAnchor>
  <xdr:twoCellAnchor>
    <xdr:from>
      <xdr:col>8</xdr:col>
      <xdr:colOff>6350</xdr:colOff>
      <xdr:row>4570</xdr:row>
      <xdr:rowOff>25400</xdr:rowOff>
    </xdr:from>
    <xdr:to>
      <xdr:col>8</xdr:col>
      <xdr:colOff>885190</xdr:colOff>
      <xdr:row>4570</xdr:row>
      <xdr:rowOff>1209040</xdr:rowOff>
    </xdr:to>
    <xdr:pic>
      <xdr:nvPicPr>
        <xdr:cNvPr id="7794" name="Изображение 7793" descr="resizeПП-00282834"/>
        <xdr:cNvPicPr>
          <a:picLocks noChangeAspect="1"/>
        </xdr:cNvPicPr>
      </xdr:nvPicPr>
      <xdr:blipFill>
        <a:blip xmlns:r="http://schemas.openxmlformats.org/officeDocument/2006/relationships" r:embed="rId3480"/>
        <a:stretch>
          <a:fillRect/>
        </a:stretch>
      </xdr:blipFill>
      <xdr:spPr>
        <a:xfrm>
          <a:off x="7264400" y="4538179900"/>
          <a:ext cx="878840" cy="1183640"/>
        </a:xfrm>
        <a:prstGeom prst="rect">
          <a:avLst/>
        </a:prstGeom>
      </xdr:spPr>
    </xdr:pic>
    <xdr:clientData/>
  </xdr:twoCellAnchor>
  <xdr:twoCellAnchor>
    <xdr:from>
      <xdr:col>8</xdr:col>
      <xdr:colOff>6350</xdr:colOff>
      <xdr:row>4571</xdr:row>
      <xdr:rowOff>25400</xdr:rowOff>
    </xdr:from>
    <xdr:to>
      <xdr:col>8</xdr:col>
      <xdr:colOff>885190</xdr:colOff>
      <xdr:row>4571</xdr:row>
      <xdr:rowOff>1209040</xdr:rowOff>
    </xdr:to>
    <xdr:pic>
      <xdr:nvPicPr>
        <xdr:cNvPr id="7795" name="Изображение 7794" descr="resizeПП-00282835"/>
        <xdr:cNvPicPr>
          <a:picLocks noChangeAspect="1"/>
        </xdr:cNvPicPr>
      </xdr:nvPicPr>
      <xdr:blipFill>
        <a:blip xmlns:r="http://schemas.openxmlformats.org/officeDocument/2006/relationships" r:embed="rId3481"/>
        <a:stretch>
          <a:fillRect/>
        </a:stretch>
      </xdr:blipFill>
      <xdr:spPr>
        <a:xfrm>
          <a:off x="7264400" y="4539402275"/>
          <a:ext cx="878840" cy="1183640"/>
        </a:xfrm>
        <a:prstGeom prst="rect">
          <a:avLst/>
        </a:prstGeom>
      </xdr:spPr>
    </xdr:pic>
    <xdr:clientData/>
  </xdr:twoCellAnchor>
  <xdr:twoCellAnchor>
    <xdr:from>
      <xdr:col>8</xdr:col>
      <xdr:colOff>6350</xdr:colOff>
      <xdr:row>4572</xdr:row>
      <xdr:rowOff>25400</xdr:rowOff>
    </xdr:from>
    <xdr:to>
      <xdr:col>8</xdr:col>
      <xdr:colOff>885190</xdr:colOff>
      <xdr:row>4572</xdr:row>
      <xdr:rowOff>1209040</xdr:rowOff>
    </xdr:to>
    <xdr:pic>
      <xdr:nvPicPr>
        <xdr:cNvPr id="7796" name="Изображение 7795" descr="resizeПП-00282830"/>
        <xdr:cNvPicPr>
          <a:picLocks noChangeAspect="1"/>
        </xdr:cNvPicPr>
      </xdr:nvPicPr>
      <xdr:blipFill>
        <a:blip xmlns:r="http://schemas.openxmlformats.org/officeDocument/2006/relationships" r:embed="rId3482"/>
        <a:stretch>
          <a:fillRect/>
        </a:stretch>
      </xdr:blipFill>
      <xdr:spPr>
        <a:xfrm>
          <a:off x="7264400" y="4540624650"/>
          <a:ext cx="878840" cy="1183640"/>
        </a:xfrm>
        <a:prstGeom prst="rect">
          <a:avLst/>
        </a:prstGeom>
      </xdr:spPr>
    </xdr:pic>
    <xdr:clientData/>
  </xdr:twoCellAnchor>
  <xdr:twoCellAnchor>
    <xdr:from>
      <xdr:col>8</xdr:col>
      <xdr:colOff>6350</xdr:colOff>
      <xdr:row>4573</xdr:row>
      <xdr:rowOff>25400</xdr:rowOff>
    </xdr:from>
    <xdr:to>
      <xdr:col>8</xdr:col>
      <xdr:colOff>885190</xdr:colOff>
      <xdr:row>4573</xdr:row>
      <xdr:rowOff>1209040</xdr:rowOff>
    </xdr:to>
    <xdr:pic>
      <xdr:nvPicPr>
        <xdr:cNvPr id="7797" name="Изображение 7796" descr="resizeПП-00282833"/>
        <xdr:cNvPicPr>
          <a:picLocks noChangeAspect="1"/>
        </xdr:cNvPicPr>
      </xdr:nvPicPr>
      <xdr:blipFill>
        <a:blip xmlns:r="http://schemas.openxmlformats.org/officeDocument/2006/relationships" r:embed="rId3483"/>
        <a:stretch>
          <a:fillRect/>
        </a:stretch>
      </xdr:blipFill>
      <xdr:spPr>
        <a:xfrm>
          <a:off x="7264400" y="4541847025"/>
          <a:ext cx="878840" cy="1183640"/>
        </a:xfrm>
        <a:prstGeom prst="rect">
          <a:avLst/>
        </a:prstGeom>
      </xdr:spPr>
    </xdr:pic>
    <xdr:clientData/>
  </xdr:twoCellAnchor>
  <xdr:twoCellAnchor>
    <xdr:from>
      <xdr:col>8</xdr:col>
      <xdr:colOff>6350</xdr:colOff>
      <xdr:row>4575</xdr:row>
      <xdr:rowOff>25400</xdr:rowOff>
    </xdr:from>
    <xdr:to>
      <xdr:col>8</xdr:col>
      <xdr:colOff>885190</xdr:colOff>
      <xdr:row>4575</xdr:row>
      <xdr:rowOff>1209040</xdr:rowOff>
    </xdr:to>
    <xdr:pic>
      <xdr:nvPicPr>
        <xdr:cNvPr id="7798" name="Изображение 7797" descr="resizeПП-00282843"/>
        <xdr:cNvPicPr>
          <a:picLocks noChangeAspect="1"/>
        </xdr:cNvPicPr>
      </xdr:nvPicPr>
      <xdr:blipFill>
        <a:blip xmlns:r="http://schemas.openxmlformats.org/officeDocument/2006/relationships" r:embed="rId3484"/>
        <a:stretch>
          <a:fillRect/>
        </a:stretch>
      </xdr:blipFill>
      <xdr:spPr>
        <a:xfrm>
          <a:off x="7264400" y="4543221800"/>
          <a:ext cx="878840" cy="1183640"/>
        </a:xfrm>
        <a:prstGeom prst="rect">
          <a:avLst/>
        </a:prstGeom>
      </xdr:spPr>
    </xdr:pic>
    <xdr:clientData/>
  </xdr:twoCellAnchor>
  <xdr:twoCellAnchor>
    <xdr:from>
      <xdr:col>8</xdr:col>
      <xdr:colOff>6350</xdr:colOff>
      <xdr:row>4576</xdr:row>
      <xdr:rowOff>25400</xdr:rowOff>
    </xdr:from>
    <xdr:to>
      <xdr:col>8</xdr:col>
      <xdr:colOff>885190</xdr:colOff>
      <xdr:row>4576</xdr:row>
      <xdr:rowOff>1209040</xdr:rowOff>
    </xdr:to>
    <xdr:pic>
      <xdr:nvPicPr>
        <xdr:cNvPr id="7799" name="Изображение 7798" descr="resizeПП-00282841"/>
        <xdr:cNvPicPr>
          <a:picLocks noChangeAspect="1"/>
        </xdr:cNvPicPr>
      </xdr:nvPicPr>
      <xdr:blipFill>
        <a:blip xmlns:r="http://schemas.openxmlformats.org/officeDocument/2006/relationships" r:embed="rId3476"/>
        <a:stretch>
          <a:fillRect/>
        </a:stretch>
      </xdr:blipFill>
      <xdr:spPr>
        <a:xfrm>
          <a:off x="7264400" y="4544444175"/>
          <a:ext cx="878840" cy="1183640"/>
        </a:xfrm>
        <a:prstGeom prst="rect">
          <a:avLst/>
        </a:prstGeom>
      </xdr:spPr>
    </xdr:pic>
    <xdr:clientData/>
  </xdr:twoCellAnchor>
  <xdr:twoCellAnchor>
    <xdr:from>
      <xdr:col>8</xdr:col>
      <xdr:colOff>6350</xdr:colOff>
      <xdr:row>4577</xdr:row>
      <xdr:rowOff>25400</xdr:rowOff>
    </xdr:from>
    <xdr:to>
      <xdr:col>8</xdr:col>
      <xdr:colOff>885190</xdr:colOff>
      <xdr:row>4577</xdr:row>
      <xdr:rowOff>1209040</xdr:rowOff>
    </xdr:to>
    <xdr:pic>
      <xdr:nvPicPr>
        <xdr:cNvPr id="7800" name="Изображение 7799" descr="resizeПП-00282836"/>
        <xdr:cNvPicPr>
          <a:picLocks noChangeAspect="1"/>
        </xdr:cNvPicPr>
      </xdr:nvPicPr>
      <xdr:blipFill>
        <a:blip xmlns:r="http://schemas.openxmlformats.org/officeDocument/2006/relationships" r:embed="rId3477"/>
        <a:stretch>
          <a:fillRect/>
        </a:stretch>
      </xdr:blipFill>
      <xdr:spPr>
        <a:xfrm>
          <a:off x="7264400" y="4545666550"/>
          <a:ext cx="878840" cy="1183640"/>
        </a:xfrm>
        <a:prstGeom prst="rect">
          <a:avLst/>
        </a:prstGeom>
      </xdr:spPr>
    </xdr:pic>
    <xdr:clientData/>
  </xdr:twoCellAnchor>
  <xdr:twoCellAnchor>
    <xdr:from>
      <xdr:col>8</xdr:col>
      <xdr:colOff>6350</xdr:colOff>
      <xdr:row>4578</xdr:row>
      <xdr:rowOff>25400</xdr:rowOff>
    </xdr:from>
    <xdr:to>
      <xdr:col>8</xdr:col>
      <xdr:colOff>885190</xdr:colOff>
      <xdr:row>4578</xdr:row>
      <xdr:rowOff>1209040</xdr:rowOff>
    </xdr:to>
    <xdr:pic>
      <xdr:nvPicPr>
        <xdr:cNvPr id="7801" name="Изображение 7800" descr="resizeПП-00282842"/>
        <xdr:cNvPicPr>
          <a:picLocks noChangeAspect="1"/>
        </xdr:cNvPicPr>
      </xdr:nvPicPr>
      <xdr:blipFill>
        <a:blip xmlns:r="http://schemas.openxmlformats.org/officeDocument/2006/relationships" r:embed="rId3478"/>
        <a:stretch>
          <a:fillRect/>
        </a:stretch>
      </xdr:blipFill>
      <xdr:spPr>
        <a:xfrm>
          <a:off x="7264400" y="4546888925"/>
          <a:ext cx="878840" cy="1183640"/>
        </a:xfrm>
        <a:prstGeom prst="rect">
          <a:avLst/>
        </a:prstGeom>
      </xdr:spPr>
    </xdr:pic>
    <xdr:clientData/>
  </xdr:twoCellAnchor>
  <xdr:twoCellAnchor>
    <xdr:from>
      <xdr:col>8</xdr:col>
      <xdr:colOff>6350</xdr:colOff>
      <xdr:row>4579</xdr:row>
      <xdr:rowOff>25400</xdr:rowOff>
    </xdr:from>
    <xdr:to>
      <xdr:col>8</xdr:col>
      <xdr:colOff>885190</xdr:colOff>
      <xdr:row>4579</xdr:row>
      <xdr:rowOff>1209040</xdr:rowOff>
    </xdr:to>
    <xdr:pic>
      <xdr:nvPicPr>
        <xdr:cNvPr id="7802" name="Изображение 7801" descr="resizeПП-00282840"/>
        <xdr:cNvPicPr>
          <a:picLocks noChangeAspect="1"/>
        </xdr:cNvPicPr>
      </xdr:nvPicPr>
      <xdr:blipFill>
        <a:blip xmlns:r="http://schemas.openxmlformats.org/officeDocument/2006/relationships" r:embed="rId3485"/>
        <a:stretch>
          <a:fillRect/>
        </a:stretch>
      </xdr:blipFill>
      <xdr:spPr>
        <a:xfrm>
          <a:off x="7264400" y="4548111300"/>
          <a:ext cx="878840" cy="1183640"/>
        </a:xfrm>
        <a:prstGeom prst="rect">
          <a:avLst/>
        </a:prstGeom>
      </xdr:spPr>
    </xdr:pic>
    <xdr:clientData/>
  </xdr:twoCellAnchor>
  <xdr:twoCellAnchor>
    <xdr:from>
      <xdr:col>8</xdr:col>
      <xdr:colOff>6350</xdr:colOff>
      <xdr:row>4580</xdr:row>
      <xdr:rowOff>25400</xdr:rowOff>
    </xdr:from>
    <xdr:to>
      <xdr:col>8</xdr:col>
      <xdr:colOff>885190</xdr:colOff>
      <xdr:row>4580</xdr:row>
      <xdr:rowOff>1209040</xdr:rowOff>
    </xdr:to>
    <xdr:pic>
      <xdr:nvPicPr>
        <xdr:cNvPr id="7803" name="Изображение 7802" descr="resizeПП-00282838"/>
        <xdr:cNvPicPr>
          <a:picLocks noChangeAspect="1"/>
        </xdr:cNvPicPr>
      </xdr:nvPicPr>
      <xdr:blipFill>
        <a:blip xmlns:r="http://schemas.openxmlformats.org/officeDocument/2006/relationships" r:embed="rId3480"/>
        <a:stretch>
          <a:fillRect/>
        </a:stretch>
      </xdr:blipFill>
      <xdr:spPr>
        <a:xfrm>
          <a:off x="7264400" y="4549333675"/>
          <a:ext cx="878840" cy="1183640"/>
        </a:xfrm>
        <a:prstGeom prst="rect">
          <a:avLst/>
        </a:prstGeom>
      </xdr:spPr>
    </xdr:pic>
    <xdr:clientData/>
  </xdr:twoCellAnchor>
  <xdr:twoCellAnchor>
    <xdr:from>
      <xdr:col>8</xdr:col>
      <xdr:colOff>6350</xdr:colOff>
      <xdr:row>4581</xdr:row>
      <xdr:rowOff>25400</xdr:rowOff>
    </xdr:from>
    <xdr:to>
      <xdr:col>8</xdr:col>
      <xdr:colOff>885190</xdr:colOff>
      <xdr:row>4581</xdr:row>
      <xdr:rowOff>1209040</xdr:rowOff>
    </xdr:to>
    <xdr:pic>
      <xdr:nvPicPr>
        <xdr:cNvPr id="7804" name="Изображение 7803" descr="resizeПП-00282839"/>
        <xdr:cNvPicPr>
          <a:picLocks noChangeAspect="1"/>
        </xdr:cNvPicPr>
      </xdr:nvPicPr>
      <xdr:blipFill>
        <a:blip xmlns:r="http://schemas.openxmlformats.org/officeDocument/2006/relationships" r:embed="rId3481"/>
        <a:stretch>
          <a:fillRect/>
        </a:stretch>
      </xdr:blipFill>
      <xdr:spPr>
        <a:xfrm>
          <a:off x="7264400" y="4550556050"/>
          <a:ext cx="878840" cy="1183640"/>
        </a:xfrm>
        <a:prstGeom prst="rect">
          <a:avLst/>
        </a:prstGeom>
      </xdr:spPr>
    </xdr:pic>
    <xdr:clientData/>
  </xdr:twoCellAnchor>
  <xdr:twoCellAnchor>
    <xdr:from>
      <xdr:col>8</xdr:col>
      <xdr:colOff>6350</xdr:colOff>
      <xdr:row>4582</xdr:row>
      <xdr:rowOff>25400</xdr:rowOff>
    </xdr:from>
    <xdr:to>
      <xdr:col>8</xdr:col>
      <xdr:colOff>885190</xdr:colOff>
      <xdr:row>4582</xdr:row>
      <xdr:rowOff>1209040</xdr:rowOff>
    </xdr:to>
    <xdr:pic>
      <xdr:nvPicPr>
        <xdr:cNvPr id="7805" name="Изображение 7804" descr="resizeПП-00282837"/>
        <xdr:cNvPicPr>
          <a:picLocks noChangeAspect="1"/>
        </xdr:cNvPicPr>
      </xdr:nvPicPr>
      <xdr:blipFill>
        <a:blip xmlns:r="http://schemas.openxmlformats.org/officeDocument/2006/relationships" r:embed="rId3482"/>
        <a:stretch>
          <a:fillRect/>
        </a:stretch>
      </xdr:blipFill>
      <xdr:spPr>
        <a:xfrm>
          <a:off x="7264400" y="4551778425"/>
          <a:ext cx="878840" cy="1183640"/>
        </a:xfrm>
        <a:prstGeom prst="rect">
          <a:avLst/>
        </a:prstGeom>
      </xdr:spPr>
    </xdr:pic>
    <xdr:clientData/>
  </xdr:twoCellAnchor>
  <xdr:twoCellAnchor>
    <xdr:from>
      <xdr:col>8</xdr:col>
      <xdr:colOff>6350</xdr:colOff>
      <xdr:row>4583</xdr:row>
      <xdr:rowOff>25400</xdr:rowOff>
    </xdr:from>
    <xdr:to>
      <xdr:col>8</xdr:col>
      <xdr:colOff>885190</xdr:colOff>
      <xdr:row>4583</xdr:row>
      <xdr:rowOff>1209040</xdr:rowOff>
    </xdr:to>
    <xdr:pic>
      <xdr:nvPicPr>
        <xdr:cNvPr id="7806" name="Изображение 7805" descr="resizeПП-00282844"/>
        <xdr:cNvPicPr>
          <a:picLocks noChangeAspect="1"/>
        </xdr:cNvPicPr>
      </xdr:nvPicPr>
      <xdr:blipFill>
        <a:blip xmlns:r="http://schemas.openxmlformats.org/officeDocument/2006/relationships" r:embed="rId3483"/>
        <a:stretch>
          <a:fillRect/>
        </a:stretch>
      </xdr:blipFill>
      <xdr:spPr>
        <a:xfrm>
          <a:off x="7264400" y="4553000800"/>
          <a:ext cx="878840" cy="1183640"/>
        </a:xfrm>
        <a:prstGeom prst="rect">
          <a:avLst/>
        </a:prstGeom>
      </xdr:spPr>
    </xdr:pic>
    <xdr:clientData/>
  </xdr:twoCellAnchor>
  <xdr:twoCellAnchor>
    <xdr:from>
      <xdr:col>8</xdr:col>
      <xdr:colOff>6350</xdr:colOff>
      <xdr:row>4586</xdr:row>
      <xdr:rowOff>25400</xdr:rowOff>
    </xdr:from>
    <xdr:to>
      <xdr:col>8</xdr:col>
      <xdr:colOff>885190</xdr:colOff>
      <xdr:row>4586</xdr:row>
      <xdr:rowOff>1209040</xdr:rowOff>
    </xdr:to>
    <xdr:pic>
      <xdr:nvPicPr>
        <xdr:cNvPr id="7807" name="Изображение 7806" descr="resizeПП-00245660"/>
        <xdr:cNvPicPr>
          <a:picLocks noChangeAspect="1"/>
        </xdr:cNvPicPr>
      </xdr:nvPicPr>
      <xdr:blipFill>
        <a:blip xmlns:r="http://schemas.openxmlformats.org/officeDocument/2006/relationships" r:embed="rId3486"/>
        <a:stretch>
          <a:fillRect/>
        </a:stretch>
      </xdr:blipFill>
      <xdr:spPr>
        <a:xfrm>
          <a:off x="7264400" y="4554527975"/>
          <a:ext cx="878840" cy="1183640"/>
        </a:xfrm>
        <a:prstGeom prst="rect">
          <a:avLst/>
        </a:prstGeom>
      </xdr:spPr>
    </xdr:pic>
    <xdr:clientData/>
  </xdr:twoCellAnchor>
  <xdr:twoCellAnchor>
    <xdr:from>
      <xdr:col>8</xdr:col>
      <xdr:colOff>6350</xdr:colOff>
      <xdr:row>4587</xdr:row>
      <xdr:rowOff>25400</xdr:rowOff>
    </xdr:from>
    <xdr:to>
      <xdr:col>8</xdr:col>
      <xdr:colOff>885190</xdr:colOff>
      <xdr:row>4587</xdr:row>
      <xdr:rowOff>1209040</xdr:rowOff>
    </xdr:to>
    <xdr:pic>
      <xdr:nvPicPr>
        <xdr:cNvPr id="7808" name="Изображение 7807" descr="resizeПП-00245662"/>
        <xdr:cNvPicPr>
          <a:picLocks noChangeAspect="1"/>
        </xdr:cNvPicPr>
      </xdr:nvPicPr>
      <xdr:blipFill>
        <a:blip xmlns:r="http://schemas.openxmlformats.org/officeDocument/2006/relationships" r:embed="rId3487"/>
        <a:stretch>
          <a:fillRect/>
        </a:stretch>
      </xdr:blipFill>
      <xdr:spPr>
        <a:xfrm>
          <a:off x="7264400" y="4555750350"/>
          <a:ext cx="878840" cy="1183640"/>
        </a:xfrm>
        <a:prstGeom prst="rect">
          <a:avLst/>
        </a:prstGeom>
      </xdr:spPr>
    </xdr:pic>
    <xdr:clientData/>
  </xdr:twoCellAnchor>
  <xdr:twoCellAnchor>
    <xdr:from>
      <xdr:col>8</xdr:col>
      <xdr:colOff>6350</xdr:colOff>
      <xdr:row>4588</xdr:row>
      <xdr:rowOff>25400</xdr:rowOff>
    </xdr:from>
    <xdr:to>
      <xdr:col>8</xdr:col>
      <xdr:colOff>885190</xdr:colOff>
      <xdr:row>4588</xdr:row>
      <xdr:rowOff>1209040</xdr:rowOff>
    </xdr:to>
    <xdr:pic>
      <xdr:nvPicPr>
        <xdr:cNvPr id="7809" name="Изображение 7808" descr="resizeПП-00245658"/>
        <xdr:cNvPicPr>
          <a:picLocks noChangeAspect="1"/>
        </xdr:cNvPicPr>
      </xdr:nvPicPr>
      <xdr:blipFill>
        <a:blip xmlns:r="http://schemas.openxmlformats.org/officeDocument/2006/relationships" r:embed="rId3488"/>
        <a:stretch>
          <a:fillRect/>
        </a:stretch>
      </xdr:blipFill>
      <xdr:spPr>
        <a:xfrm>
          <a:off x="7264400" y="4556972725"/>
          <a:ext cx="878840" cy="1183640"/>
        </a:xfrm>
        <a:prstGeom prst="rect">
          <a:avLst/>
        </a:prstGeom>
      </xdr:spPr>
    </xdr:pic>
    <xdr:clientData/>
  </xdr:twoCellAnchor>
  <xdr:twoCellAnchor>
    <xdr:from>
      <xdr:col>8</xdr:col>
      <xdr:colOff>6350</xdr:colOff>
      <xdr:row>4592</xdr:row>
      <xdr:rowOff>25400</xdr:rowOff>
    </xdr:from>
    <xdr:to>
      <xdr:col>8</xdr:col>
      <xdr:colOff>885190</xdr:colOff>
      <xdr:row>4592</xdr:row>
      <xdr:rowOff>1209040</xdr:rowOff>
    </xdr:to>
    <xdr:pic>
      <xdr:nvPicPr>
        <xdr:cNvPr id="7810" name="Изображение 7809" descr="resizeПП-00245872"/>
        <xdr:cNvPicPr>
          <a:picLocks noChangeAspect="1"/>
        </xdr:cNvPicPr>
      </xdr:nvPicPr>
      <xdr:blipFill>
        <a:blip xmlns:r="http://schemas.openxmlformats.org/officeDocument/2006/relationships" r:embed="rId3489"/>
        <a:stretch>
          <a:fillRect/>
        </a:stretch>
      </xdr:blipFill>
      <xdr:spPr>
        <a:xfrm>
          <a:off x="7264400" y="4558652300"/>
          <a:ext cx="878840" cy="1183640"/>
        </a:xfrm>
        <a:prstGeom prst="rect">
          <a:avLst/>
        </a:prstGeom>
      </xdr:spPr>
    </xdr:pic>
    <xdr:clientData/>
  </xdr:twoCellAnchor>
  <xdr:twoCellAnchor>
    <xdr:from>
      <xdr:col>8</xdr:col>
      <xdr:colOff>6350</xdr:colOff>
      <xdr:row>4593</xdr:row>
      <xdr:rowOff>25400</xdr:rowOff>
    </xdr:from>
    <xdr:to>
      <xdr:col>8</xdr:col>
      <xdr:colOff>885190</xdr:colOff>
      <xdr:row>4593</xdr:row>
      <xdr:rowOff>1209040</xdr:rowOff>
    </xdr:to>
    <xdr:pic>
      <xdr:nvPicPr>
        <xdr:cNvPr id="7811" name="Изображение 7810" descr="resizeПП-00245644"/>
        <xdr:cNvPicPr>
          <a:picLocks noChangeAspect="1"/>
        </xdr:cNvPicPr>
      </xdr:nvPicPr>
      <xdr:blipFill>
        <a:blip xmlns:r="http://schemas.openxmlformats.org/officeDocument/2006/relationships" r:embed="rId3490"/>
        <a:stretch>
          <a:fillRect/>
        </a:stretch>
      </xdr:blipFill>
      <xdr:spPr>
        <a:xfrm>
          <a:off x="7264400" y="4559874675"/>
          <a:ext cx="878840" cy="1183640"/>
        </a:xfrm>
        <a:prstGeom prst="rect">
          <a:avLst/>
        </a:prstGeom>
      </xdr:spPr>
    </xdr:pic>
    <xdr:clientData/>
  </xdr:twoCellAnchor>
  <xdr:twoCellAnchor>
    <xdr:from>
      <xdr:col>8</xdr:col>
      <xdr:colOff>6350</xdr:colOff>
      <xdr:row>4594</xdr:row>
      <xdr:rowOff>25400</xdr:rowOff>
    </xdr:from>
    <xdr:to>
      <xdr:col>8</xdr:col>
      <xdr:colOff>885190</xdr:colOff>
      <xdr:row>4594</xdr:row>
      <xdr:rowOff>1209040</xdr:rowOff>
    </xdr:to>
    <xdr:pic>
      <xdr:nvPicPr>
        <xdr:cNvPr id="7812" name="Изображение 7811" descr="resizeПП-00245645"/>
        <xdr:cNvPicPr>
          <a:picLocks noChangeAspect="1"/>
        </xdr:cNvPicPr>
      </xdr:nvPicPr>
      <xdr:blipFill>
        <a:blip xmlns:r="http://schemas.openxmlformats.org/officeDocument/2006/relationships" r:embed="rId3491"/>
        <a:stretch>
          <a:fillRect/>
        </a:stretch>
      </xdr:blipFill>
      <xdr:spPr>
        <a:xfrm>
          <a:off x="7264400" y="4561097050"/>
          <a:ext cx="878840" cy="1183640"/>
        </a:xfrm>
        <a:prstGeom prst="rect">
          <a:avLst/>
        </a:prstGeom>
      </xdr:spPr>
    </xdr:pic>
    <xdr:clientData/>
  </xdr:twoCellAnchor>
  <xdr:twoCellAnchor>
    <xdr:from>
      <xdr:col>8</xdr:col>
      <xdr:colOff>6350</xdr:colOff>
      <xdr:row>4595</xdr:row>
      <xdr:rowOff>25400</xdr:rowOff>
    </xdr:from>
    <xdr:to>
      <xdr:col>8</xdr:col>
      <xdr:colOff>885190</xdr:colOff>
      <xdr:row>4595</xdr:row>
      <xdr:rowOff>1209040</xdr:rowOff>
    </xdr:to>
    <xdr:pic>
      <xdr:nvPicPr>
        <xdr:cNvPr id="7813" name="Изображение 7812" descr="resizeПП-00245646"/>
        <xdr:cNvPicPr>
          <a:picLocks noChangeAspect="1"/>
        </xdr:cNvPicPr>
      </xdr:nvPicPr>
      <xdr:blipFill>
        <a:blip xmlns:r="http://schemas.openxmlformats.org/officeDocument/2006/relationships" r:embed="rId3492"/>
        <a:stretch>
          <a:fillRect/>
        </a:stretch>
      </xdr:blipFill>
      <xdr:spPr>
        <a:xfrm>
          <a:off x="7264400" y="4562319425"/>
          <a:ext cx="878840" cy="1183640"/>
        </a:xfrm>
        <a:prstGeom prst="rect">
          <a:avLst/>
        </a:prstGeom>
      </xdr:spPr>
    </xdr:pic>
    <xdr:clientData/>
  </xdr:twoCellAnchor>
  <xdr:twoCellAnchor>
    <xdr:from>
      <xdr:col>8</xdr:col>
      <xdr:colOff>6350</xdr:colOff>
      <xdr:row>4596</xdr:row>
      <xdr:rowOff>25400</xdr:rowOff>
    </xdr:from>
    <xdr:to>
      <xdr:col>8</xdr:col>
      <xdr:colOff>885190</xdr:colOff>
      <xdr:row>4596</xdr:row>
      <xdr:rowOff>1209040</xdr:rowOff>
    </xdr:to>
    <xdr:pic>
      <xdr:nvPicPr>
        <xdr:cNvPr id="7814" name="Изображение 7813" descr="resizeПП-00245648"/>
        <xdr:cNvPicPr>
          <a:picLocks noChangeAspect="1"/>
        </xdr:cNvPicPr>
      </xdr:nvPicPr>
      <xdr:blipFill>
        <a:blip xmlns:r="http://schemas.openxmlformats.org/officeDocument/2006/relationships" r:embed="rId3493"/>
        <a:stretch>
          <a:fillRect/>
        </a:stretch>
      </xdr:blipFill>
      <xdr:spPr>
        <a:xfrm>
          <a:off x="7264400" y="4563541800"/>
          <a:ext cx="878840" cy="1183640"/>
        </a:xfrm>
        <a:prstGeom prst="rect">
          <a:avLst/>
        </a:prstGeom>
      </xdr:spPr>
    </xdr:pic>
    <xdr:clientData/>
  </xdr:twoCellAnchor>
  <xdr:twoCellAnchor>
    <xdr:from>
      <xdr:col>8</xdr:col>
      <xdr:colOff>6350</xdr:colOff>
      <xdr:row>4598</xdr:row>
      <xdr:rowOff>25400</xdr:rowOff>
    </xdr:from>
    <xdr:to>
      <xdr:col>8</xdr:col>
      <xdr:colOff>885190</xdr:colOff>
      <xdr:row>4598</xdr:row>
      <xdr:rowOff>1209040</xdr:rowOff>
    </xdr:to>
    <xdr:pic>
      <xdr:nvPicPr>
        <xdr:cNvPr id="7815" name="Изображение 7814" descr="resizeПП-00282827"/>
        <xdr:cNvPicPr>
          <a:picLocks noChangeAspect="1"/>
        </xdr:cNvPicPr>
      </xdr:nvPicPr>
      <xdr:blipFill>
        <a:blip xmlns:r="http://schemas.openxmlformats.org/officeDocument/2006/relationships" r:embed="rId3494"/>
        <a:stretch>
          <a:fillRect/>
        </a:stretch>
      </xdr:blipFill>
      <xdr:spPr>
        <a:xfrm>
          <a:off x="7264400" y="4564916575"/>
          <a:ext cx="878840" cy="1183640"/>
        </a:xfrm>
        <a:prstGeom prst="rect">
          <a:avLst/>
        </a:prstGeom>
      </xdr:spPr>
    </xdr:pic>
    <xdr:clientData/>
  </xdr:twoCellAnchor>
  <xdr:twoCellAnchor>
    <xdr:from>
      <xdr:col>8</xdr:col>
      <xdr:colOff>6350</xdr:colOff>
      <xdr:row>4599</xdr:row>
      <xdr:rowOff>25400</xdr:rowOff>
    </xdr:from>
    <xdr:to>
      <xdr:col>8</xdr:col>
      <xdr:colOff>885190</xdr:colOff>
      <xdr:row>4599</xdr:row>
      <xdr:rowOff>1209040</xdr:rowOff>
    </xdr:to>
    <xdr:pic>
      <xdr:nvPicPr>
        <xdr:cNvPr id="7816" name="Изображение 7815" descr="resizeПП-00282820"/>
        <xdr:cNvPicPr>
          <a:picLocks noChangeAspect="1"/>
        </xdr:cNvPicPr>
      </xdr:nvPicPr>
      <xdr:blipFill>
        <a:blip xmlns:r="http://schemas.openxmlformats.org/officeDocument/2006/relationships" r:embed="rId3495"/>
        <a:stretch>
          <a:fillRect/>
        </a:stretch>
      </xdr:blipFill>
      <xdr:spPr>
        <a:xfrm>
          <a:off x="7264400" y="4566138950"/>
          <a:ext cx="878840" cy="1183640"/>
        </a:xfrm>
        <a:prstGeom prst="rect">
          <a:avLst/>
        </a:prstGeom>
      </xdr:spPr>
    </xdr:pic>
    <xdr:clientData/>
  </xdr:twoCellAnchor>
  <xdr:twoCellAnchor>
    <xdr:from>
      <xdr:col>8</xdr:col>
      <xdr:colOff>6350</xdr:colOff>
      <xdr:row>4600</xdr:row>
      <xdr:rowOff>25400</xdr:rowOff>
    </xdr:from>
    <xdr:to>
      <xdr:col>8</xdr:col>
      <xdr:colOff>885190</xdr:colOff>
      <xdr:row>4600</xdr:row>
      <xdr:rowOff>1209040</xdr:rowOff>
    </xdr:to>
    <xdr:pic>
      <xdr:nvPicPr>
        <xdr:cNvPr id="7817" name="Изображение 7816" descr="resizeПП-00282819"/>
        <xdr:cNvPicPr>
          <a:picLocks noChangeAspect="1"/>
        </xdr:cNvPicPr>
      </xdr:nvPicPr>
      <xdr:blipFill>
        <a:blip xmlns:r="http://schemas.openxmlformats.org/officeDocument/2006/relationships" r:embed="rId3496"/>
        <a:stretch>
          <a:fillRect/>
        </a:stretch>
      </xdr:blipFill>
      <xdr:spPr>
        <a:xfrm>
          <a:off x="7264400" y="4567361325"/>
          <a:ext cx="878840" cy="1183640"/>
        </a:xfrm>
        <a:prstGeom prst="rect">
          <a:avLst/>
        </a:prstGeom>
      </xdr:spPr>
    </xdr:pic>
    <xdr:clientData/>
  </xdr:twoCellAnchor>
  <xdr:twoCellAnchor>
    <xdr:from>
      <xdr:col>8</xdr:col>
      <xdr:colOff>6350</xdr:colOff>
      <xdr:row>4601</xdr:row>
      <xdr:rowOff>25400</xdr:rowOff>
    </xdr:from>
    <xdr:to>
      <xdr:col>8</xdr:col>
      <xdr:colOff>885190</xdr:colOff>
      <xdr:row>4601</xdr:row>
      <xdr:rowOff>1209040</xdr:rowOff>
    </xdr:to>
    <xdr:pic>
      <xdr:nvPicPr>
        <xdr:cNvPr id="7818" name="Изображение 7817" descr="resizeПП-00282821"/>
        <xdr:cNvPicPr>
          <a:picLocks noChangeAspect="1"/>
        </xdr:cNvPicPr>
      </xdr:nvPicPr>
      <xdr:blipFill>
        <a:blip xmlns:r="http://schemas.openxmlformats.org/officeDocument/2006/relationships" r:embed="rId3497"/>
        <a:stretch>
          <a:fillRect/>
        </a:stretch>
      </xdr:blipFill>
      <xdr:spPr>
        <a:xfrm>
          <a:off x="7264400" y="4568583700"/>
          <a:ext cx="878840" cy="1183640"/>
        </a:xfrm>
        <a:prstGeom prst="rect">
          <a:avLst/>
        </a:prstGeom>
      </xdr:spPr>
    </xdr:pic>
    <xdr:clientData/>
  </xdr:twoCellAnchor>
  <xdr:twoCellAnchor>
    <xdr:from>
      <xdr:col>8</xdr:col>
      <xdr:colOff>6350</xdr:colOff>
      <xdr:row>4602</xdr:row>
      <xdr:rowOff>25400</xdr:rowOff>
    </xdr:from>
    <xdr:to>
      <xdr:col>8</xdr:col>
      <xdr:colOff>885190</xdr:colOff>
      <xdr:row>4602</xdr:row>
      <xdr:rowOff>1209040</xdr:rowOff>
    </xdr:to>
    <xdr:pic>
      <xdr:nvPicPr>
        <xdr:cNvPr id="7819" name="Изображение 7818" descr="resizeПП-00282823"/>
        <xdr:cNvPicPr>
          <a:picLocks noChangeAspect="1"/>
        </xdr:cNvPicPr>
      </xdr:nvPicPr>
      <xdr:blipFill>
        <a:blip xmlns:r="http://schemas.openxmlformats.org/officeDocument/2006/relationships" r:embed="rId3498"/>
        <a:stretch>
          <a:fillRect/>
        </a:stretch>
      </xdr:blipFill>
      <xdr:spPr>
        <a:xfrm>
          <a:off x="7264400" y="4569806075"/>
          <a:ext cx="878840" cy="1183640"/>
        </a:xfrm>
        <a:prstGeom prst="rect">
          <a:avLst/>
        </a:prstGeom>
      </xdr:spPr>
    </xdr:pic>
    <xdr:clientData/>
  </xdr:twoCellAnchor>
  <xdr:twoCellAnchor>
    <xdr:from>
      <xdr:col>8</xdr:col>
      <xdr:colOff>6350</xdr:colOff>
      <xdr:row>4603</xdr:row>
      <xdr:rowOff>25400</xdr:rowOff>
    </xdr:from>
    <xdr:to>
      <xdr:col>8</xdr:col>
      <xdr:colOff>885190</xdr:colOff>
      <xdr:row>4603</xdr:row>
      <xdr:rowOff>1209040</xdr:rowOff>
    </xdr:to>
    <xdr:pic>
      <xdr:nvPicPr>
        <xdr:cNvPr id="7820" name="Изображение 7819" descr="resizeПП-00282825"/>
        <xdr:cNvPicPr>
          <a:picLocks noChangeAspect="1"/>
        </xdr:cNvPicPr>
      </xdr:nvPicPr>
      <xdr:blipFill>
        <a:blip xmlns:r="http://schemas.openxmlformats.org/officeDocument/2006/relationships" r:embed="rId3499"/>
        <a:stretch>
          <a:fillRect/>
        </a:stretch>
      </xdr:blipFill>
      <xdr:spPr>
        <a:xfrm>
          <a:off x="7264400" y="4571028450"/>
          <a:ext cx="878840" cy="1183640"/>
        </a:xfrm>
        <a:prstGeom prst="rect">
          <a:avLst/>
        </a:prstGeom>
      </xdr:spPr>
    </xdr:pic>
    <xdr:clientData/>
  </xdr:twoCellAnchor>
  <xdr:twoCellAnchor>
    <xdr:from>
      <xdr:col>8</xdr:col>
      <xdr:colOff>6350</xdr:colOff>
      <xdr:row>4604</xdr:row>
      <xdr:rowOff>25400</xdr:rowOff>
    </xdr:from>
    <xdr:to>
      <xdr:col>8</xdr:col>
      <xdr:colOff>885190</xdr:colOff>
      <xdr:row>4604</xdr:row>
      <xdr:rowOff>1209040</xdr:rowOff>
    </xdr:to>
    <xdr:pic>
      <xdr:nvPicPr>
        <xdr:cNvPr id="7821" name="Изображение 7820" descr="resizeПП-00282826"/>
        <xdr:cNvPicPr>
          <a:picLocks noChangeAspect="1"/>
        </xdr:cNvPicPr>
      </xdr:nvPicPr>
      <xdr:blipFill>
        <a:blip xmlns:r="http://schemas.openxmlformats.org/officeDocument/2006/relationships" r:embed="rId3500"/>
        <a:stretch>
          <a:fillRect/>
        </a:stretch>
      </xdr:blipFill>
      <xdr:spPr>
        <a:xfrm>
          <a:off x="7264400" y="4572250825"/>
          <a:ext cx="878840" cy="1183640"/>
        </a:xfrm>
        <a:prstGeom prst="rect">
          <a:avLst/>
        </a:prstGeom>
      </xdr:spPr>
    </xdr:pic>
    <xdr:clientData/>
  </xdr:twoCellAnchor>
  <xdr:twoCellAnchor>
    <xdr:from>
      <xdr:col>8</xdr:col>
      <xdr:colOff>6350</xdr:colOff>
      <xdr:row>4605</xdr:row>
      <xdr:rowOff>25400</xdr:rowOff>
    </xdr:from>
    <xdr:to>
      <xdr:col>8</xdr:col>
      <xdr:colOff>885190</xdr:colOff>
      <xdr:row>4605</xdr:row>
      <xdr:rowOff>1209040</xdr:rowOff>
    </xdr:to>
    <xdr:pic>
      <xdr:nvPicPr>
        <xdr:cNvPr id="7822" name="Изображение 7821" descr="resizeПП-00282822"/>
        <xdr:cNvPicPr>
          <a:picLocks noChangeAspect="1"/>
        </xdr:cNvPicPr>
      </xdr:nvPicPr>
      <xdr:blipFill>
        <a:blip xmlns:r="http://schemas.openxmlformats.org/officeDocument/2006/relationships" r:embed="rId3501"/>
        <a:stretch>
          <a:fillRect/>
        </a:stretch>
      </xdr:blipFill>
      <xdr:spPr>
        <a:xfrm>
          <a:off x="7264400" y="4573473200"/>
          <a:ext cx="878840" cy="1183640"/>
        </a:xfrm>
        <a:prstGeom prst="rect">
          <a:avLst/>
        </a:prstGeom>
      </xdr:spPr>
    </xdr:pic>
    <xdr:clientData/>
  </xdr:twoCellAnchor>
  <xdr:twoCellAnchor>
    <xdr:from>
      <xdr:col>8</xdr:col>
      <xdr:colOff>6350</xdr:colOff>
      <xdr:row>4606</xdr:row>
      <xdr:rowOff>25400</xdr:rowOff>
    </xdr:from>
    <xdr:to>
      <xdr:col>8</xdr:col>
      <xdr:colOff>885190</xdr:colOff>
      <xdr:row>4606</xdr:row>
      <xdr:rowOff>1209040</xdr:rowOff>
    </xdr:to>
    <xdr:pic>
      <xdr:nvPicPr>
        <xdr:cNvPr id="7823" name="Изображение 7822" descr="resizeПП-00282824"/>
        <xdr:cNvPicPr>
          <a:picLocks noChangeAspect="1"/>
        </xdr:cNvPicPr>
      </xdr:nvPicPr>
      <xdr:blipFill>
        <a:blip xmlns:r="http://schemas.openxmlformats.org/officeDocument/2006/relationships" r:embed="rId3502"/>
        <a:stretch>
          <a:fillRect/>
        </a:stretch>
      </xdr:blipFill>
      <xdr:spPr>
        <a:xfrm>
          <a:off x="7264400" y="4574695575"/>
          <a:ext cx="878840" cy="1183640"/>
        </a:xfrm>
        <a:prstGeom prst="rect">
          <a:avLst/>
        </a:prstGeom>
      </xdr:spPr>
    </xdr:pic>
    <xdr:clientData/>
  </xdr:twoCellAnchor>
  <xdr:twoCellAnchor>
    <xdr:from>
      <xdr:col>8</xdr:col>
      <xdr:colOff>6350</xdr:colOff>
      <xdr:row>4608</xdr:row>
      <xdr:rowOff>25400</xdr:rowOff>
    </xdr:from>
    <xdr:to>
      <xdr:col>8</xdr:col>
      <xdr:colOff>885190</xdr:colOff>
      <xdr:row>4608</xdr:row>
      <xdr:rowOff>1209040</xdr:rowOff>
    </xdr:to>
    <xdr:pic>
      <xdr:nvPicPr>
        <xdr:cNvPr id="7824" name="Изображение 7823" descr="resizeПП-00282818"/>
        <xdr:cNvPicPr>
          <a:picLocks noChangeAspect="1"/>
        </xdr:cNvPicPr>
      </xdr:nvPicPr>
      <xdr:blipFill>
        <a:blip xmlns:r="http://schemas.openxmlformats.org/officeDocument/2006/relationships" r:embed="rId3503"/>
        <a:stretch>
          <a:fillRect/>
        </a:stretch>
      </xdr:blipFill>
      <xdr:spPr>
        <a:xfrm>
          <a:off x="7264400" y="4576070350"/>
          <a:ext cx="878840" cy="1183640"/>
        </a:xfrm>
        <a:prstGeom prst="rect">
          <a:avLst/>
        </a:prstGeom>
      </xdr:spPr>
    </xdr:pic>
    <xdr:clientData/>
  </xdr:twoCellAnchor>
  <xdr:twoCellAnchor>
    <xdr:from>
      <xdr:col>8</xdr:col>
      <xdr:colOff>6350</xdr:colOff>
      <xdr:row>4609</xdr:row>
      <xdr:rowOff>25400</xdr:rowOff>
    </xdr:from>
    <xdr:to>
      <xdr:col>8</xdr:col>
      <xdr:colOff>885190</xdr:colOff>
      <xdr:row>4609</xdr:row>
      <xdr:rowOff>1209040</xdr:rowOff>
    </xdr:to>
    <xdr:pic>
      <xdr:nvPicPr>
        <xdr:cNvPr id="7825" name="Изображение 7824" descr="resizeПП-00282810"/>
        <xdr:cNvPicPr>
          <a:picLocks noChangeAspect="1"/>
        </xdr:cNvPicPr>
      </xdr:nvPicPr>
      <xdr:blipFill>
        <a:blip xmlns:r="http://schemas.openxmlformats.org/officeDocument/2006/relationships" r:embed="rId3504"/>
        <a:stretch>
          <a:fillRect/>
        </a:stretch>
      </xdr:blipFill>
      <xdr:spPr>
        <a:xfrm>
          <a:off x="7264400" y="4577292725"/>
          <a:ext cx="878840" cy="1183640"/>
        </a:xfrm>
        <a:prstGeom prst="rect">
          <a:avLst/>
        </a:prstGeom>
      </xdr:spPr>
    </xdr:pic>
    <xdr:clientData/>
  </xdr:twoCellAnchor>
  <xdr:twoCellAnchor>
    <xdr:from>
      <xdr:col>8</xdr:col>
      <xdr:colOff>6350</xdr:colOff>
      <xdr:row>4610</xdr:row>
      <xdr:rowOff>25400</xdr:rowOff>
    </xdr:from>
    <xdr:to>
      <xdr:col>8</xdr:col>
      <xdr:colOff>885190</xdr:colOff>
      <xdr:row>4610</xdr:row>
      <xdr:rowOff>1209040</xdr:rowOff>
    </xdr:to>
    <xdr:pic>
      <xdr:nvPicPr>
        <xdr:cNvPr id="7826" name="Изображение 7825" descr="resizeПП-00282812"/>
        <xdr:cNvPicPr>
          <a:picLocks noChangeAspect="1"/>
        </xdr:cNvPicPr>
      </xdr:nvPicPr>
      <xdr:blipFill>
        <a:blip xmlns:r="http://schemas.openxmlformats.org/officeDocument/2006/relationships" r:embed="rId3505"/>
        <a:stretch>
          <a:fillRect/>
        </a:stretch>
      </xdr:blipFill>
      <xdr:spPr>
        <a:xfrm>
          <a:off x="7264400" y="4578515100"/>
          <a:ext cx="878840" cy="1183640"/>
        </a:xfrm>
        <a:prstGeom prst="rect">
          <a:avLst/>
        </a:prstGeom>
      </xdr:spPr>
    </xdr:pic>
    <xdr:clientData/>
  </xdr:twoCellAnchor>
  <xdr:twoCellAnchor>
    <xdr:from>
      <xdr:col>8</xdr:col>
      <xdr:colOff>6350</xdr:colOff>
      <xdr:row>4611</xdr:row>
      <xdr:rowOff>25400</xdr:rowOff>
    </xdr:from>
    <xdr:to>
      <xdr:col>8</xdr:col>
      <xdr:colOff>885190</xdr:colOff>
      <xdr:row>4611</xdr:row>
      <xdr:rowOff>1209040</xdr:rowOff>
    </xdr:to>
    <xdr:pic>
      <xdr:nvPicPr>
        <xdr:cNvPr id="7827" name="Изображение 7826" descr="resizeПП-00282814"/>
        <xdr:cNvPicPr>
          <a:picLocks noChangeAspect="1"/>
        </xdr:cNvPicPr>
      </xdr:nvPicPr>
      <xdr:blipFill>
        <a:blip xmlns:r="http://schemas.openxmlformats.org/officeDocument/2006/relationships" r:embed="rId3506"/>
        <a:stretch>
          <a:fillRect/>
        </a:stretch>
      </xdr:blipFill>
      <xdr:spPr>
        <a:xfrm>
          <a:off x="7264400" y="4579737475"/>
          <a:ext cx="878840" cy="1183640"/>
        </a:xfrm>
        <a:prstGeom prst="rect">
          <a:avLst/>
        </a:prstGeom>
      </xdr:spPr>
    </xdr:pic>
    <xdr:clientData/>
  </xdr:twoCellAnchor>
  <xdr:twoCellAnchor>
    <xdr:from>
      <xdr:col>8</xdr:col>
      <xdr:colOff>6350</xdr:colOff>
      <xdr:row>4612</xdr:row>
      <xdr:rowOff>25400</xdr:rowOff>
    </xdr:from>
    <xdr:to>
      <xdr:col>8</xdr:col>
      <xdr:colOff>885190</xdr:colOff>
      <xdr:row>4612</xdr:row>
      <xdr:rowOff>1209040</xdr:rowOff>
    </xdr:to>
    <xdr:pic>
      <xdr:nvPicPr>
        <xdr:cNvPr id="7828" name="Изображение 7827" descr="resizeПП-00282816"/>
        <xdr:cNvPicPr>
          <a:picLocks noChangeAspect="1"/>
        </xdr:cNvPicPr>
      </xdr:nvPicPr>
      <xdr:blipFill>
        <a:blip xmlns:r="http://schemas.openxmlformats.org/officeDocument/2006/relationships" r:embed="rId3507"/>
        <a:stretch>
          <a:fillRect/>
        </a:stretch>
      </xdr:blipFill>
      <xdr:spPr>
        <a:xfrm>
          <a:off x="7264400" y="4580959850"/>
          <a:ext cx="878840" cy="1183640"/>
        </a:xfrm>
        <a:prstGeom prst="rect">
          <a:avLst/>
        </a:prstGeom>
      </xdr:spPr>
    </xdr:pic>
    <xdr:clientData/>
  </xdr:twoCellAnchor>
  <xdr:twoCellAnchor>
    <xdr:from>
      <xdr:col>8</xdr:col>
      <xdr:colOff>6350</xdr:colOff>
      <xdr:row>4613</xdr:row>
      <xdr:rowOff>25400</xdr:rowOff>
    </xdr:from>
    <xdr:to>
      <xdr:col>8</xdr:col>
      <xdr:colOff>885190</xdr:colOff>
      <xdr:row>4613</xdr:row>
      <xdr:rowOff>1209040</xdr:rowOff>
    </xdr:to>
    <xdr:pic>
      <xdr:nvPicPr>
        <xdr:cNvPr id="7829" name="Изображение 7828" descr="resizeПП-00282815"/>
        <xdr:cNvPicPr>
          <a:picLocks noChangeAspect="1"/>
        </xdr:cNvPicPr>
      </xdr:nvPicPr>
      <xdr:blipFill>
        <a:blip xmlns:r="http://schemas.openxmlformats.org/officeDocument/2006/relationships" r:embed="rId3508"/>
        <a:stretch>
          <a:fillRect/>
        </a:stretch>
      </xdr:blipFill>
      <xdr:spPr>
        <a:xfrm>
          <a:off x="7264400" y="4582182225"/>
          <a:ext cx="878840" cy="1183640"/>
        </a:xfrm>
        <a:prstGeom prst="rect">
          <a:avLst/>
        </a:prstGeom>
      </xdr:spPr>
    </xdr:pic>
    <xdr:clientData/>
  </xdr:twoCellAnchor>
  <xdr:twoCellAnchor>
    <xdr:from>
      <xdr:col>8</xdr:col>
      <xdr:colOff>6350</xdr:colOff>
      <xdr:row>4614</xdr:row>
      <xdr:rowOff>25400</xdr:rowOff>
    </xdr:from>
    <xdr:to>
      <xdr:col>8</xdr:col>
      <xdr:colOff>885190</xdr:colOff>
      <xdr:row>4614</xdr:row>
      <xdr:rowOff>1209040</xdr:rowOff>
    </xdr:to>
    <xdr:pic>
      <xdr:nvPicPr>
        <xdr:cNvPr id="7830" name="Изображение 7829" descr="resizeПП-00282813"/>
        <xdr:cNvPicPr>
          <a:picLocks noChangeAspect="1"/>
        </xdr:cNvPicPr>
      </xdr:nvPicPr>
      <xdr:blipFill>
        <a:blip xmlns:r="http://schemas.openxmlformats.org/officeDocument/2006/relationships" r:embed="rId3509"/>
        <a:stretch>
          <a:fillRect/>
        </a:stretch>
      </xdr:blipFill>
      <xdr:spPr>
        <a:xfrm>
          <a:off x="7264400" y="4583404600"/>
          <a:ext cx="878840" cy="1183640"/>
        </a:xfrm>
        <a:prstGeom prst="rect">
          <a:avLst/>
        </a:prstGeom>
      </xdr:spPr>
    </xdr:pic>
    <xdr:clientData/>
  </xdr:twoCellAnchor>
  <xdr:twoCellAnchor>
    <xdr:from>
      <xdr:col>8</xdr:col>
      <xdr:colOff>6350</xdr:colOff>
      <xdr:row>4615</xdr:row>
      <xdr:rowOff>25400</xdr:rowOff>
    </xdr:from>
    <xdr:to>
      <xdr:col>8</xdr:col>
      <xdr:colOff>885190</xdr:colOff>
      <xdr:row>4615</xdr:row>
      <xdr:rowOff>1209040</xdr:rowOff>
    </xdr:to>
    <xdr:pic>
      <xdr:nvPicPr>
        <xdr:cNvPr id="7831" name="Изображение 7830" descr="resizeПП-00282817"/>
        <xdr:cNvPicPr>
          <a:picLocks noChangeAspect="1"/>
        </xdr:cNvPicPr>
      </xdr:nvPicPr>
      <xdr:blipFill>
        <a:blip xmlns:r="http://schemas.openxmlformats.org/officeDocument/2006/relationships" r:embed="rId3510"/>
        <a:stretch>
          <a:fillRect/>
        </a:stretch>
      </xdr:blipFill>
      <xdr:spPr>
        <a:xfrm>
          <a:off x="7264400" y="4584626975"/>
          <a:ext cx="878840" cy="1183640"/>
        </a:xfrm>
        <a:prstGeom prst="rect">
          <a:avLst/>
        </a:prstGeom>
      </xdr:spPr>
    </xdr:pic>
    <xdr:clientData/>
  </xdr:twoCellAnchor>
  <xdr:twoCellAnchor>
    <xdr:from>
      <xdr:col>8</xdr:col>
      <xdr:colOff>6350</xdr:colOff>
      <xdr:row>4618</xdr:row>
      <xdr:rowOff>25400</xdr:rowOff>
    </xdr:from>
    <xdr:to>
      <xdr:col>8</xdr:col>
      <xdr:colOff>885190</xdr:colOff>
      <xdr:row>4618</xdr:row>
      <xdr:rowOff>1209040</xdr:rowOff>
    </xdr:to>
    <xdr:pic>
      <xdr:nvPicPr>
        <xdr:cNvPr id="7832" name="Изображение 7831" descr="resizeПП-00177014"/>
        <xdr:cNvPicPr>
          <a:picLocks noChangeAspect="1"/>
        </xdr:cNvPicPr>
      </xdr:nvPicPr>
      <xdr:blipFill>
        <a:blip xmlns:r="http://schemas.openxmlformats.org/officeDocument/2006/relationships" r:embed="rId3511"/>
        <a:stretch>
          <a:fillRect/>
        </a:stretch>
      </xdr:blipFill>
      <xdr:spPr>
        <a:xfrm>
          <a:off x="7264400" y="4586154150"/>
          <a:ext cx="878840" cy="1183640"/>
        </a:xfrm>
        <a:prstGeom prst="rect">
          <a:avLst/>
        </a:prstGeom>
      </xdr:spPr>
    </xdr:pic>
    <xdr:clientData/>
  </xdr:twoCellAnchor>
  <xdr:twoCellAnchor>
    <xdr:from>
      <xdr:col>8</xdr:col>
      <xdr:colOff>6350</xdr:colOff>
      <xdr:row>4619</xdr:row>
      <xdr:rowOff>25400</xdr:rowOff>
    </xdr:from>
    <xdr:to>
      <xdr:col>8</xdr:col>
      <xdr:colOff>885190</xdr:colOff>
      <xdr:row>4619</xdr:row>
      <xdr:rowOff>1209040</xdr:rowOff>
    </xdr:to>
    <xdr:pic>
      <xdr:nvPicPr>
        <xdr:cNvPr id="7833" name="Изображение 7832" descr="resizeПП-00114036"/>
        <xdr:cNvPicPr>
          <a:picLocks noChangeAspect="1"/>
        </xdr:cNvPicPr>
      </xdr:nvPicPr>
      <xdr:blipFill>
        <a:blip xmlns:r="http://schemas.openxmlformats.org/officeDocument/2006/relationships" r:embed="rId3512"/>
        <a:stretch>
          <a:fillRect/>
        </a:stretch>
      </xdr:blipFill>
      <xdr:spPr>
        <a:xfrm>
          <a:off x="7264400" y="4587376525"/>
          <a:ext cx="878840" cy="1183640"/>
        </a:xfrm>
        <a:prstGeom prst="rect">
          <a:avLst/>
        </a:prstGeom>
      </xdr:spPr>
    </xdr:pic>
    <xdr:clientData/>
  </xdr:twoCellAnchor>
  <xdr:twoCellAnchor>
    <xdr:from>
      <xdr:col>8</xdr:col>
      <xdr:colOff>6350</xdr:colOff>
      <xdr:row>4620</xdr:row>
      <xdr:rowOff>25400</xdr:rowOff>
    </xdr:from>
    <xdr:to>
      <xdr:col>8</xdr:col>
      <xdr:colOff>885190</xdr:colOff>
      <xdr:row>4620</xdr:row>
      <xdr:rowOff>1209040</xdr:rowOff>
    </xdr:to>
    <xdr:pic>
      <xdr:nvPicPr>
        <xdr:cNvPr id="7834" name="Изображение 7833" descr="resizeПП-00114047"/>
        <xdr:cNvPicPr>
          <a:picLocks noChangeAspect="1"/>
        </xdr:cNvPicPr>
      </xdr:nvPicPr>
      <xdr:blipFill>
        <a:blip xmlns:r="http://schemas.openxmlformats.org/officeDocument/2006/relationships" r:embed="rId3513"/>
        <a:stretch>
          <a:fillRect/>
        </a:stretch>
      </xdr:blipFill>
      <xdr:spPr>
        <a:xfrm>
          <a:off x="7264400" y="4588598900"/>
          <a:ext cx="878840" cy="1183640"/>
        </a:xfrm>
        <a:prstGeom prst="rect">
          <a:avLst/>
        </a:prstGeom>
      </xdr:spPr>
    </xdr:pic>
    <xdr:clientData/>
  </xdr:twoCellAnchor>
  <xdr:twoCellAnchor>
    <xdr:from>
      <xdr:col>8</xdr:col>
      <xdr:colOff>6350</xdr:colOff>
      <xdr:row>4621</xdr:row>
      <xdr:rowOff>25400</xdr:rowOff>
    </xdr:from>
    <xdr:to>
      <xdr:col>8</xdr:col>
      <xdr:colOff>885190</xdr:colOff>
      <xdr:row>4621</xdr:row>
      <xdr:rowOff>1209040</xdr:rowOff>
    </xdr:to>
    <xdr:pic>
      <xdr:nvPicPr>
        <xdr:cNvPr id="7835" name="Изображение 7834" descr="resizeПП-00114037"/>
        <xdr:cNvPicPr>
          <a:picLocks noChangeAspect="1"/>
        </xdr:cNvPicPr>
      </xdr:nvPicPr>
      <xdr:blipFill>
        <a:blip xmlns:r="http://schemas.openxmlformats.org/officeDocument/2006/relationships" r:embed="rId3514"/>
        <a:stretch>
          <a:fillRect/>
        </a:stretch>
      </xdr:blipFill>
      <xdr:spPr>
        <a:xfrm>
          <a:off x="7264400" y="4589821275"/>
          <a:ext cx="878840" cy="1183640"/>
        </a:xfrm>
        <a:prstGeom prst="rect">
          <a:avLst/>
        </a:prstGeom>
      </xdr:spPr>
    </xdr:pic>
    <xdr:clientData/>
  </xdr:twoCellAnchor>
  <xdr:twoCellAnchor>
    <xdr:from>
      <xdr:col>8</xdr:col>
      <xdr:colOff>6350</xdr:colOff>
      <xdr:row>4622</xdr:row>
      <xdr:rowOff>25400</xdr:rowOff>
    </xdr:from>
    <xdr:to>
      <xdr:col>8</xdr:col>
      <xdr:colOff>885190</xdr:colOff>
      <xdr:row>4622</xdr:row>
      <xdr:rowOff>1209040</xdr:rowOff>
    </xdr:to>
    <xdr:pic>
      <xdr:nvPicPr>
        <xdr:cNvPr id="7836" name="Изображение 7835" descr="resizeПП-00114048"/>
        <xdr:cNvPicPr>
          <a:picLocks noChangeAspect="1"/>
        </xdr:cNvPicPr>
      </xdr:nvPicPr>
      <xdr:blipFill>
        <a:blip xmlns:r="http://schemas.openxmlformats.org/officeDocument/2006/relationships" r:embed="rId3515"/>
        <a:stretch>
          <a:fillRect/>
        </a:stretch>
      </xdr:blipFill>
      <xdr:spPr>
        <a:xfrm>
          <a:off x="7264400" y="4591043650"/>
          <a:ext cx="878840" cy="1183640"/>
        </a:xfrm>
        <a:prstGeom prst="rect">
          <a:avLst/>
        </a:prstGeom>
      </xdr:spPr>
    </xdr:pic>
    <xdr:clientData/>
  </xdr:twoCellAnchor>
  <xdr:twoCellAnchor>
    <xdr:from>
      <xdr:col>8</xdr:col>
      <xdr:colOff>6350</xdr:colOff>
      <xdr:row>4623</xdr:row>
      <xdr:rowOff>25400</xdr:rowOff>
    </xdr:from>
    <xdr:to>
      <xdr:col>8</xdr:col>
      <xdr:colOff>885190</xdr:colOff>
      <xdr:row>4623</xdr:row>
      <xdr:rowOff>1209040</xdr:rowOff>
    </xdr:to>
    <xdr:pic>
      <xdr:nvPicPr>
        <xdr:cNvPr id="7837" name="Изображение 7836" descr="resizeПП-00114049"/>
        <xdr:cNvPicPr>
          <a:picLocks noChangeAspect="1"/>
        </xdr:cNvPicPr>
      </xdr:nvPicPr>
      <xdr:blipFill>
        <a:blip xmlns:r="http://schemas.openxmlformats.org/officeDocument/2006/relationships" r:embed="rId3516"/>
        <a:stretch>
          <a:fillRect/>
        </a:stretch>
      </xdr:blipFill>
      <xdr:spPr>
        <a:xfrm>
          <a:off x="7264400" y="4592266025"/>
          <a:ext cx="878840" cy="1183640"/>
        </a:xfrm>
        <a:prstGeom prst="rect">
          <a:avLst/>
        </a:prstGeom>
      </xdr:spPr>
    </xdr:pic>
    <xdr:clientData/>
  </xdr:twoCellAnchor>
  <xdr:twoCellAnchor>
    <xdr:from>
      <xdr:col>8</xdr:col>
      <xdr:colOff>6350</xdr:colOff>
      <xdr:row>4624</xdr:row>
      <xdr:rowOff>25400</xdr:rowOff>
    </xdr:from>
    <xdr:to>
      <xdr:col>8</xdr:col>
      <xdr:colOff>885190</xdr:colOff>
      <xdr:row>4624</xdr:row>
      <xdr:rowOff>1209040</xdr:rowOff>
    </xdr:to>
    <xdr:pic>
      <xdr:nvPicPr>
        <xdr:cNvPr id="7838" name="Изображение 7837" descr="resizeПП-00122855"/>
        <xdr:cNvPicPr>
          <a:picLocks noChangeAspect="1"/>
        </xdr:cNvPicPr>
      </xdr:nvPicPr>
      <xdr:blipFill>
        <a:blip xmlns:r="http://schemas.openxmlformats.org/officeDocument/2006/relationships" r:embed="rId3517"/>
        <a:stretch>
          <a:fillRect/>
        </a:stretch>
      </xdr:blipFill>
      <xdr:spPr>
        <a:xfrm>
          <a:off x="7264400" y="4593488400"/>
          <a:ext cx="878840" cy="1183640"/>
        </a:xfrm>
        <a:prstGeom prst="rect">
          <a:avLst/>
        </a:prstGeom>
      </xdr:spPr>
    </xdr:pic>
    <xdr:clientData/>
  </xdr:twoCellAnchor>
  <xdr:twoCellAnchor>
    <xdr:from>
      <xdr:col>8</xdr:col>
      <xdr:colOff>6350</xdr:colOff>
      <xdr:row>4625</xdr:row>
      <xdr:rowOff>25400</xdr:rowOff>
    </xdr:from>
    <xdr:to>
      <xdr:col>8</xdr:col>
      <xdr:colOff>885190</xdr:colOff>
      <xdr:row>4625</xdr:row>
      <xdr:rowOff>1209040</xdr:rowOff>
    </xdr:to>
    <xdr:pic>
      <xdr:nvPicPr>
        <xdr:cNvPr id="7839" name="Изображение 7838" descr="resizeПП-00122864"/>
        <xdr:cNvPicPr>
          <a:picLocks noChangeAspect="1"/>
        </xdr:cNvPicPr>
      </xdr:nvPicPr>
      <xdr:blipFill>
        <a:blip xmlns:r="http://schemas.openxmlformats.org/officeDocument/2006/relationships" r:embed="rId3518"/>
        <a:stretch>
          <a:fillRect/>
        </a:stretch>
      </xdr:blipFill>
      <xdr:spPr>
        <a:xfrm>
          <a:off x="7264400" y="4594710775"/>
          <a:ext cx="878840" cy="1183640"/>
        </a:xfrm>
        <a:prstGeom prst="rect">
          <a:avLst/>
        </a:prstGeom>
      </xdr:spPr>
    </xdr:pic>
    <xdr:clientData/>
  </xdr:twoCellAnchor>
  <xdr:twoCellAnchor>
    <xdr:from>
      <xdr:col>8</xdr:col>
      <xdr:colOff>6350</xdr:colOff>
      <xdr:row>4626</xdr:row>
      <xdr:rowOff>25400</xdr:rowOff>
    </xdr:from>
    <xdr:to>
      <xdr:col>8</xdr:col>
      <xdr:colOff>885190</xdr:colOff>
      <xdr:row>4626</xdr:row>
      <xdr:rowOff>1209040</xdr:rowOff>
    </xdr:to>
    <xdr:pic>
      <xdr:nvPicPr>
        <xdr:cNvPr id="7840" name="Изображение 7839" descr="resizeПП-00122867"/>
        <xdr:cNvPicPr>
          <a:picLocks noChangeAspect="1"/>
        </xdr:cNvPicPr>
      </xdr:nvPicPr>
      <xdr:blipFill>
        <a:blip xmlns:r="http://schemas.openxmlformats.org/officeDocument/2006/relationships" r:embed="rId3519"/>
        <a:stretch>
          <a:fillRect/>
        </a:stretch>
      </xdr:blipFill>
      <xdr:spPr>
        <a:xfrm>
          <a:off x="7264400" y="4595933150"/>
          <a:ext cx="878840" cy="1183640"/>
        </a:xfrm>
        <a:prstGeom prst="rect">
          <a:avLst/>
        </a:prstGeom>
      </xdr:spPr>
    </xdr:pic>
    <xdr:clientData/>
  </xdr:twoCellAnchor>
  <xdr:twoCellAnchor>
    <xdr:from>
      <xdr:col>8</xdr:col>
      <xdr:colOff>6350</xdr:colOff>
      <xdr:row>4627</xdr:row>
      <xdr:rowOff>25400</xdr:rowOff>
    </xdr:from>
    <xdr:to>
      <xdr:col>8</xdr:col>
      <xdr:colOff>885190</xdr:colOff>
      <xdr:row>4627</xdr:row>
      <xdr:rowOff>1209040</xdr:rowOff>
    </xdr:to>
    <xdr:pic>
      <xdr:nvPicPr>
        <xdr:cNvPr id="7841" name="Изображение 7840" descr="resizeПП-00096832"/>
        <xdr:cNvPicPr>
          <a:picLocks noChangeAspect="1"/>
        </xdr:cNvPicPr>
      </xdr:nvPicPr>
      <xdr:blipFill>
        <a:blip xmlns:r="http://schemas.openxmlformats.org/officeDocument/2006/relationships" r:embed="rId3520"/>
        <a:stretch>
          <a:fillRect/>
        </a:stretch>
      </xdr:blipFill>
      <xdr:spPr>
        <a:xfrm>
          <a:off x="7264400" y="4597155525"/>
          <a:ext cx="878840" cy="1183640"/>
        </a:xfrm>
        <a:prstGeom prst="rect">
          <a:avLst/>
        </a:prstGeom>
      </xdr:spPr>
    </xdr:pic>
    <xdr:clientData/>
  </xdr:twoCellAnchor>
  <xdr:twoCellAnchor>
    <xdr:from>
      <xdr:col>8</xdr:col>
      <xdr:colOff>6350</xdr:colOff>
      <xdr:row>4628</xdr:row>
      <xdr:rowOff>25400</xdr:rowOff>
    </xdr:from>
    <xdr:to>
      <xdr:col>8</xdr:col>
      <xdr:colOff>885190</xdr:colOff>
      <xdr:row>4628</xdr:row>
      <xdr:rowOff>1209040</xdr:rowOff>
    </xdr:to>
    <xdr:pic>
      <xdr:nvPicPr>
        <xdr:cNvPr id="7842" name="Изображение 7841" descr="resizeПП-00096834"/>
        <xdr:cNvPicPr>
          <a:picLocks noChangeAspect="1"/>
        </xdr:cNvPicPr>
      </xdr:nvPicPr>
      <xdr:blipFill>
        <a:blip xmlns:r="http://schemas.openxmlformats.org/officeDocument/2006/relationships" r:embed="rId3521"/>
        <a:stretch>
          <a:fillRect/>
        </a:stretch>
      </xdr:blipFill>
      <xdr:spPr>
        <a:xfrm>
          <a:off x="7264400" y="4598377900"/>
          <a:ext cx="878840" cy="1183640"/>
        </a:xfrm>
        <a:prstGeom prst="rect">
          <a:avLst/>
        </a:prstGeom>
      </xdr:spPr>
    </xdr:pic>
    <xdr:clientData/>
  </xdr:twoCellAnchor>
  <xdr:twoCellAnchor>
    <xdr:from>
      <xdr:col>8</xdr:col>
      <xdr:colOff>6350</xdr:colOff>
      <xdr:row>4629</xdr:row>
      <xdr:rowOff>25400</xdr:rowOff>
    </xdr:from>
    <xdr:to>
      <xdr:col>8</xdr:col>
      <xdr:colOff>885190</xdr:colOff>
      <xdr:row>4629</xdr:row>
      <xdr:rowOff>1209040</xdr:rowOff>
    </xdr:to>
    <xdr:pic>
      <xdr:nvPicPr>
        <xdr:cNvPr id="7843" name="Изображение 7842" descr="resizeПП-00122837"/>
        <xdr:cNvPicPr>
          <a:picLocks noChangeAspect="1"/>
        </xdr:cNvPicPr>
      </xdr:nvPicPr>
      <xdr:blipFill>
        <a:blip xmlns:r="http://schemas.openxmlformats.org/officeDocument/2006/relationships" r:embed="rId3522"/>
        <a:stretch>
          <a:fillRect/>
        </a:stretch>
      </xdr:blipFill>
      <xdr:spPr>
        <a:xfrm>
          <a:off x="7264400" y="4599600275"/>
          <a:ext cx="878840" cy="1183640"/>
        </a:xfrm>
        <a:prstGeom prst="rect">
          <a:avLst/>
        </a:prstGeom>
      </xdr:spPr>
    </xdr:pic>
    <xdr:clientData/>
  </xdr:twoCellAnchor>
  <xdr:twoCellAnchor>
    <xdr:from>
      <xdr:col>8</xdr:col>
      <xdr:colOff>6350</xdr:colOff>
      <xdr:row>4630</xdr:row>
      <xdr:rowOff>25400</xdr:rowOff>
    </xdr:from>
    <xdr:to>
      <xdr:col>8</xdr:col>
      <xdr:colOff>885190</xdr:colOff>
      <xdr:row>4630</xdr:row>
      <xdr:rowOff>1209040</xdr:rowOff>
    </xdr:to>
    <xdr:pic>
      <xdr:nvPicPr>
        <xdr:cNvPr id="7844" name="Изображение 7843" descr="resizeПП-00122841"/>
        <xdr:cNvPicPr>
          <a:picLocks noChangeAspect="1"/>
        </xdr:cNvPicPr>
      </xdr:nvPicPr>
      <xdr:blipFill>
        <a:blip xmlns:r="http://schemas.openxmlformats.org/officeDocument/2006/relationships" r:embed="rId3523"/>
        <a:stretch>
          <a:fillRect/>
        </a:stretch>
      </xdr:blipFill>
      <xdr:spPr>
        <a:xfrm>
          <a:off x="7264400" y="4600822650"/>
          <a:ext cx="878840" cy="1183640"/>
        </a:xfrm>
        <a:prstGeom prst="rect">
          <a:avLst/>
        </a:prstGeom>
      </xdr:spPr>
    </xdr:pic>
    <xdr:clientData/>
  </xdr:twoCellAnchor>
  <xdr:twoCellAnchor>
    <xdr:from>
      <xdr:col>8</xdr:col>
      <xdr:colOff>6350</xdr:colOff>
      <xdr:row>4631</xdr:row>
      <xdr:rowOff>25400</xdr:rowOff>
    </xdr:from>
    <xdr:to>
      <xdr:col>8</xdr:col>
      <xdr:colOff>885190</xdr:colOff>
      <xdr:row>4631</xdr:row>
      <xdr:rowOff>1209040</xdr:rowOff>
    </xdr:to>
    <xdr:pic>
      <xdr:nvPicPr>
        <xdr:cNvPr id="7845" name="Изображение 7844" descr="resizeПП-00122843"/>
        <xdr:cNvPicPr>
          <a:picLocks noChangeAspect="1"/>
        </xdr:cNvPicPr>
      </xdr:nvPicPr>
      <xdr:blipFill>
        <a:blip xmlns:r="http://schemas.openxmlformats.org/officeDocument/2006/relationships" r:embed="rId3524"/>
        <a:stretch>
          <a:fillRect/>
        </a:stretch>
      </xdr:blipFill>
      <xdr:spPr>
        <a:xfrm>
          <a:off x="7264400" y="4602045025"/>
          <a:ext cx="878840" cy="1183640"/>
        </a:xfrm>
        <a:prstGeom prst="rect">
          <a:avLst/>
        </a:prstGeom>
      </xdr:spPr>
    </xdr:pic>
    <xdr:clientData/>
  </xdr:twoCellAnchor>
  <xdr:twoCellAnchor>
    <xdr:from>
      <xdr:col>8</xdr:col>
      <xdr:colOff>6350</xdr:colOff>
      <xdr:row>4632</xdr:row>
      <xdr:rowOff>25400</xdr:rowOff>
    </xdr:from>
    <xdr:to>
      <xdr:col>8</xdr:col>
      <xdr:colOff>885190</xdr:colOff>
      <xdr:row>4632</xdr:row>
      <xdr:rowOff>1209040</xdr:rowOff>
    </xdr:to>
    <xdr:pic>
      <xdr:nvPicPr>
        <xdr:cNvPr id="7846" name="Изображение 7845" descr="resizeПП-00122844"/>
        <xdr:cNvPicPr>
          <a:picLocks noChangeAspect="1"/>
        </xdr:cNvPicPr>
      </xdr:nvPicPr>
      <xdr:blipFill>
        <a:blip xmlns:r="http://schemas.openxmlformats.org/officeDocument/2006/relationships" r:embed="rId3525"/>
        <a:stretch>
          <a:fillRect/>
        </a:stretch>
      </xdr:blipFill>
      <xdr:spPr>
        <a:xfrm>
          <a:off x="7264400" y="4603267400"/>
          <a:ext cx="878840" cy="1183640"/>
        </a:xfrm>
        <a:prstGeom prst="rect">
          <a:avLst/>
        </a:prstGeom>
      </xdr:spPr>
    </xdr:pic>
    <xdr:clientData/>
  </xdr:twoCellAnchor>
  <xdr:twoCellAnchor>
    <xdr:from>
      <xdr:col>8</xdr:col>
      <xdr:colOff>6350</xdr:colOff>
      <xdr:row>4633</xdr:row>
      <xdr:rowOff>25400</xdr:rowOff>
    </xdr:from>
    <xdr:to>
      <xdr:col>8</xdr:col>
      <xdr:colOff>885190</xdr:colOff>
      <xdr:row>4633</xdr:row>
      <xdr:rowOff>1209040</xdr:rowOff>
    </xdr:to>
    <xdr:pic>
      <xdr:nvPicPr>
        <xdr:cNvPr id="7847" name="Изображение 7846" descr="resizeПП-00122849"/>
        <xdr:cNvPicPr>
          <a:picLocks noChangeAspect="1"/>
        </xdr:cNvPicPr>
      </xdr:nvPicPr>
      <xdr:blipFill>
        <a:blip xmlns:r="http://schemas.openxmlformats.org/officeDocument/2006/relationships" r:embed="rId3526"/>
        <a:stretch>
          <a:fillRect/>
        </a:stretch>
      </xdr:blipFill>
      <xdr:spPr>
        <a:xfrm>
          <a:off x="7264400" y="4604489775"/>
          <a:ext cx="878840" cy="1183640"/>
        </a:xfrm>
        <a:prstGeom prst="rect">
          <a:avLst/>
        </a:prstGeom>
      </xdr:spPr>
    </xdr:pic>
    <xdr:clientData/>
  </xdr:twoCellAnchor>
  <xdr:twoCellAnchor>
    <xdr:from>
      <xdr:col>8</xdr:col>
      <xdr:colOff>6350</xdr:colOff>
      <xdr:row>4634</xdr:row>
      <xdr:rowOff>25400</xdr:rowOff>
    </xdr:from>
    <xdr:to>
      <xdr:col>8</xdr:col>
      <xdr:colOff>885190</xdr:colOff>
      <xdr:row>4634</xdr:row>
      <xdr:rowOff>1209040</xdr:rowOff>
    </xdr:to>
    <xdr:pic>
      <xdr:nvPicPr>
        <xdr:cNvPr id="7848" name="Изображение 7847" descr="resizeПП-00113958"/>
        <xdr:cNvPicPr>
          <a:picLocks noChangeAspect="1"/>
        </xdr:cNvPicPr>
      </xdr:nvPicPr>
      <xdr:blipFill>
        <a:blip xmlns:r="http://schemas.openxmlformats.org/officeDocument/2006/relationships" r:embed="rId3527"/>
        <a:stretch>
          <a:fillRect/>
        </a:stretch>
      </xdr:blipFill>
      <xdr:spPr>
        <a:xfrm>
          <a:off x="7264400" y="4605712150"/>
          <a:ext cx="878840" cy="1183640"/>
        </a:xfrm>
        <a:prstGeom prst="rect">
          <a:avLst/>
        </a:prstGeom>
      </xdr:spPr>
    </xdr:pic>
    <xdr:clientData/>
  </xdr:twoCellAnchor>
  <xdr:twoCellAnchor>
    <xdr:from>
      <xdr:col>8</xdr:col>
      <xdr:colOff>6350</xdr:colOff>
      <xdr:row>4635</xdr:row>
      <xdr:rowOff>25400</xdr:rowOff>
    </xdr:from>
    <xdr:to>
      <xdr:col>8</xdr:col>
      <xdr:colOff>885190</xdr:colOff>
      <xdr:row>4635</xdr:row>
      <xdr:rowOff>1209040</xdr:rowOff>
    </xdr:to>
    <xdr:pic>
      <xdr:nvPicPr>
        <xdr:cNvPr id="7849" name="Изображение 7848" descr="resizeПП-00113959"/>
        <xdr:cNvPicPr>
          <a:picLocks noChangeAspect="1"/>
        </xdr:cNvPicPr>
      </xdr:nvPicPr>
      <xdr:blipFill>
        <a:blip xmlns:r="http://schemas.openxmlformats.org/officeDocument/2006/relationships" r:embed="rId3528"/>
        <a:stretch>
          <a:fillRect/>
        </a:stretch>
      </xdr:blipFill>
      <xdr:spPr>
        <a:xfrm>
          <a:off x="7264400" y="4606934525"/>
          <a:ext cx="878840" cy="1183640"/>
        </a:xfrm>
        <a:prstGeom prst="rect">
          <a:avLst/>
        </a:prstGeom>
      </xdr:spPr>
    </xdr:pic>
    <xdr:clientData/>
  </xdr:twoCellAnchor>
  <xdr:twoCellAnchor>
    <xdr:from>
      <xdr:col>8</xdr:col>
      <xdr:colOff>6350</xdr:colOff>
      <xdr:row>4636</xdr:row>
      <xdr:rowOff>25400</xdr:rowOff>
    </xdr:from>
    <xdr:to>
      <xdr:col>8</xdr:col>
      <xdr:colOff>885190</xdr:colOff>
      <xdr:row>4636</xdr:row>
      <xdr:rowOff>1209040</xdr:rowOff>
    </xdr:to>
    <xdr:pic>
      <xdr:nvPicPr>
        <xdr:cNvPr id="7850" name="Изображение 7849" descr="resizeПП-00113961"/>
        <xdr:cNvPicPr>
          <a:picLocks noChangeAspect="1"/>
        </xdr:cNvPicPr>
      </xdr:nvPicPr>
      <xdr:blipFill>
        <a:blip xmlns:r="http://schemas.openxmlformats.org/officeDocument/2006/relationships" r:embed="rId3529"/>
        <a:stretch>
          <a:fillRect/>
        </a:stretch>
      </xdr:blipFill>
      <xdr:spPr>
        <a:xfrm>
          <a:off x="7264400" y="4608156900"/>
          <a:ext cx="878840" cy="1183640"/>
        </a:xfrm>
        <a:prstGeom prst="rect">
          <a:avLst/>
        </a:prstGeom>
      </xdr:spPr>
    </xdr:pic>
    <xdr:clientData/>
  </xdr:twoCellAnchor>
  <xdr:twoCellAnchor>
    <xdr:from>
      <xdr:col>8</xdr:col>
      <xdr:colOff>6350</xdr:colOff>
      <xdr:row>4637</xdr:row>
      <xdr:rowOff>25400</xdr:rowOff>
    </xdr:from>
    <xdr:to>
      <xdr:col>8</xdr:col>
      <xdr:colOff>885190</xdr:colOff>
      <xdr:row>4637</xdr:row>
      <xdr:rowOff>1209040</xdr:rowOff>
    </xdr:to>
    <xdr:pic>
      <xdr:nvPicPr>
        <xdr:cNvPr id="7851" name="Изображение 7850" descr="resizeПП-00113962"/>
        <xdr:cNvPicPr>
          <a:picLocks noChangeAspect="1"/>
        </xdr:cNvPicPr>
      </xdr:nvPicPr>
      <xdr:blipFill>
        <a:blip xmlns:r="http://schemas.openxmlformats.org/officeDocument/2006/relationships" r:embed="rId3530"/>
        <a:stretch>
          <a:fillRect/>
        </a:stretch>
      </xdr:blipFill>
      <xdr:spPr>
        <a:xfrm>
          <a:off x="7264400" y="4609379275"/>
          <a:ext cx="878840" cy="1183640"/>
        </a:xfrm>
        <a:prstGeom prst="rect">
          <a:avLst/>
        </a:prstGeom>
      </xdr:spPr>
    </xdr:pic>
    <xdr:clientData/>
  </xdr:twoCellAnchor>
  <xdr:twoCellAnchor>
    <xdr:from>
      <xdr:col>8</xdr:col>
      <xdr:colOff>6350</xdr:colOff>
      <xdr:row>4638</xdr:row>
      <xdr:rowOff>25400</xdr:rowOff>
    </xdr:from>
    <xdr:to>
      <xdr:col>8</xdr:col>
      <xdr:colOff>885190</xdr:colOff>
      <xdr:row>4638</xdr:row>
      <xdr:rowOff>1209040</xdr:rowOff>
    </xdr:to>
    <xdr:pic>
      <xdr:nvPicPr>
        <xdr:cNvPr id="7852" name="Изображение 7851" descr="resizeПП-00113964"/>
        <xdr:cNvPicPr>
          <a:picLocks noChangeAspect="1"/>
        </xdr:cNvPicPr>
      </xdr:nvPicPr>
      <xdr:blipFill>
        <a:blip xmlns:r="http://schemas.openxmlformats.org/officeDocument/2006/relationships" r:embed="rId3531"/>
        <a:stretch>
          <a:fillRect/>
        </a:stretch>
      </xdr:blipFill>
      <xdr:spPr>
        <a:xfrm>
          <a:off x="7264400" y="4610601650"/>
          <a:ext cx="878840" cy="1183640"/>
        </a:xfrm>
        <a:prstGeom prst="rect">
          <a:avLst/>
        </a:prstGeom>
      </xdr:spPr>
    </xdr:pic>
    <xdr:clientData/>
  </xdr:twoCellAnchor>
  <xdr:twoCellAnchor>
    <xdr:from>
      <xdr:col>8</xdr:col>
      <xdr:colOff>6350</xdr:colOff>
      <xdr:row>4639</xdr:row>
      <xdr:rowOff>25400</xdr:rowOff>
    </xdr:from>
    <xdr:to>
      <xdr:col>8</xdr:col>
      <xdr:colOff>885190</xdr:colOff>
      <xdr:row>4639</xdr:row>
      <xdr:rowOff>1209040</xdr:rowOff>
    </xdr:to>
    <xdr:pic>
      <xdr:nvPicPr>
        <xdr:cNvPr id="7853" name="Изображение 7852" descr="resizeПП-00131687"/>
        <xdr:cNvPicPr>
          <a:picLocks noChangeAspect="1"/>
        </xdr:cNvPicPr>
      </xdr:nvPicPr>
      <xdr:blipFill>
        <a:blip xmlns:r="http://schemas.openxmlformats.org/officeDocument/2006/relationships" r:embed="rId3532"/>
        <a:stretch>
          <a:fillRect/>
        </a:stretch>
      </xdr:blipFill>
      <xdr:spPr>
        <a:xfrm>
          <a:off x="7264400" y="4611824025"/>
          <a:ext cx="878840" cy="1183640"/>
        </a:xfrm>
        <a:prstGeom prst="rect">
          <a:avLst/>
        </a:prstGeom>
      </xdr:spPr>
    </xdr:pic>
    <xdr:clientData/>
  </xdr:twoCellAnchor>
  <xdr:twoCellAnchor>
    <xdr:from>
      <xdr:col>8</xdr:col>
      <xdr:colOff>6350</xdr:colOff>
      <xdr:row>4640</xdr:row>
      <xdr:rowOff>25400</xdr:rowOff>
    </xdr:from>
    <xdr:to>
      <xdr:col>8</xdr:col>
      <xdr:colOff>885190</xdr:colOff>
      <xdr:row>4640</xdr:row>
      <xdr:rowOff>1209040</xdr:rowOff>
    </xdr:to>
    <xdr:pic>
      <xdr:nvPicPr>
        <xdr:cNvPr id="7854" name="Изображение 7853" descr="resizeПП-00131688"/>
        <xdr:cNvPicPr>
          <a:picLocks noChangeAspect="1"/>
        </xdr:cNvPicPr>
      </xdr:nvPicPr>
      <xdr:blipFill>
        <a:blip xmlns:r="http://schemas.openxmlformats.org/officeDocument/2006/relationships" r:embed="rId3533"/>
        <a:stretch>
          <a:fillRect/>
        </a:stretch>
      </xdr:blipFill>
      <xdr:spPr>
        <a:xfrm>
          <a:off x="7264400" y="4613046400"/>
          <a:ext cx="878840" cy="1183640"/>
        </a:xfrm>
        <a:prstGeom prst="rect">
          <a:avLst/>
        </a:prstGeom>
      </xdr:spPr>
    </xdr:pic>
    <xdr:clientData/>
  </xdr:twoCellAnchor>
  <xdr:twoCellAnchor>
    <xdr:from>
      <xdr:col>8</xdr:col>
      <xdr:colOff>6350</xdr:colOff>
      <xdr:row>4641</xdr:row>
      <xdr:rowOff>25400</xdr:rowOff>
    </xdr:from>
    <xdr:to>
      <xdr:col>8</xdr:col>
      <xdr:colOff>885190</xdr:colOff>
      <xdr:row>4641</xdr:row>
      <xdr:rowOff>1209040</xdr:rowOff>
    </xdr:to>
    <xdr:pic>
      <xdr:nvPicPr>
        <xdr:cNvPr id="7855" name="Изображение 7854" descr="resizeПП-00096839"/>
        <xdr:cNvPicPr>
          <a:picLocks noChangeAspect="1"/>
        </xdr:cNvPicPr>
      </xdr:nvPicPr>
      <xdr:blipFill>
        <a:blip xmlns:r="http://schemas.openxmlformats.org/officeDocument/2006/relationships" r:embed="rId3534"/>
        <a:stretch>
          <a:fillRect/>
        </a:stretch>
      </xdr:blipFill>
      <xdr:spPr>
        <a:xfrm>
          <a:off x="7264400" y="4614268775"/>
          <a:ext cx="878840" cy="1183640"/>
        </a:xfrm>
        <a:prstGeom prst="rect">
          <a:avLst/>
        </a:prstGeom>
      </xdr:spPr>
    </xdr:pic>
    <xdr:clientData/>
  </xdr:twoCellAnchor>
  <xdr:twoCellAnchor>
    <xdr:from>
      <xdr:col>8</xdr:col>
      <xdr:colOff>6350</xdr:colOff>
      <xdr:row>4642</xdr:row>
      <xdr:rowOff>25400</xdr:rowOff>
    </xdr:from>
    <xdr:to>
      <xdr:col>8</xdr:col>
      <xdr:colOff>885190</xdr:colOff>
      <xdr:row>4642</xdr:row>
      <xdr:rowOff>1209040</xdr:rowOff>
    </xdr:to>
    <xdr:pic>
      <xdr:nvPicPr>
        <xdr:cNvPr id="7856" name="Изображение 7855" descr="resizeПП-00096840"/>
        <xdr:cNvPicPr>
          <a:picLocks noChangeAspect="1"/>
        </xdr:cNvPicPr>
      </xdr:nvPicPr>
      <xdr:blipFill>
        <a:blip xmlns:r="http://schemas.openxmlformats.org/officeDocument/2006/relationships" r:embed="rId3535"/>
        <a:stretch>
          <a:fillRect/>
        </a:stretch>
      </xdr:blipFill>
      <xdr:spPr>
        <a:xfrm>
          <a:off x="7264400" y="4615491150"/>
          <a:ext cx="878840" cy="1183640"/>
        </a:xfrm>
        <a:prstGeom prst="rect">
          <a:avLst/>
        </a:prstGeom>
      </xdr:spPr>
    </xdr:pic>
    <xdr:clientData/>
  </xdr:twoCellAnchor>
  <xdr:twoCellAnchor>
    <xdr:from>
      <xdr:col>8</xdr:col>
      <xdr:colOff>6350</xdr:colOff>
      <xdr:row>4643</xdr:row>
      <xdr:rowOff>25400</xdr:rowOff>
    </xdr:from>
    <xdr:to>
      <xdr:col>8</xdr:col>
      <xdr:colOff>885190</xdr:colOff>
      <xdr:row>4643</xdr:row>
      <xdr:rowOff>1209040</xdr:rowOff>
    </xdr:to>
    <xdr:pic>
      <xdr:nvPicPr>
        <xdr:cNvPr id="7857" name="Изображение 7856" descr="resizeПП-00096841"/>
        <xdr:cNvPicPr>
          <a:picLocks noChangeAspect="1"/>
        </xdr:cNvPicPr>
      </xdr:nvPicPr>
      <xdr:blipFill>
        <a:blip xmlns:r="http://schemas.openxmlformats.org/officeDocument/2006/relationships" r:embed="rId3536"/>
        <a:stretch>
          <a:fillRect/>
        </a:stretch>
      </xdr:blipFill>
      <xdr:spPr>
        <a:xfrm>
          <a:off x="7264400" y="4616713525"/>
          <a:ext cx="878840" cy="1183640"/>
        </a:xfrm>
        <a:prstGeom prst="rect">
          <a:avLst/>
        </a:prstGeom>
      </xdr:spPr>
    </xdr:pic>
    <xdr:clientData/>
  </xdr:twoCellAnchor>
  <xdr:twoCellAnchor>
    <xdr:from>
      <xdr:col>8</xdr:col>
      <xdr:colOff>6350</xdr:colOff>
      <xdr:row>4644</xdr:row>
      <xdr:rowOff>25400</xdr:rowOff>
    </xdr:from>
    <xdr:to>
      <xdr:col>8</xdr:col>
      <xdr:colOff>885190</xdr:colOff>
      <xdr:row>4644</xdr:row>
      <xdr:rowOff>1209040</xdr:rowOff>
    </xdr:to>
    <xdr:pic>
      <xdr:nvPicPr>
        <xdr:cNvPr id="7858" name="Изображение 7857" descr="resizeПП-00096843"/>
        <xdr:cNvPicPr>
          <a:picLocks noChangeAspect="1"/>
        </xdr:cNvPicPr>
      </xdr:nvPicPr>
      <xdr:blipFill>
        <a:blip xmlns:r="http://schemas.openxmlformats.org/officeDocument/2006/relationships" r:embed="rId3537"/>
        <a:stretch>
          <a:fillRect/>
        </a:stretch>
      </xdr:blipFill>
      <xdr:spPr>
        <a:xfrm>
          <a:off x="7264400" y="4617935900"/>
          <a:ext cx="878840" cy="1183640"/>
        </a:xfrm>
        <a:prstGeom prst="rect">
          <a:avLst/>
        </a:prstGeom>
      </xdr:spPr>
    </xdr:pic>
    <xdr:clientData/>
  </xdr:twoCellAnchor>
  <xdr:twoCellAnchor>
    <xdr:from>
      <xdr:col>8</xdr:col>
      <xdr:colOff>6350</xdr:colOff>
      <xdr:row>4645</xdr:row>
      <xdr:rowOff>25400</xdr:rowOff>
    </xdr:from>
    <xdr:to>
      <xdr:col>8</xdr:col>
      <xdr:colOff>885190</xdr:colOff>
      <xdr:row>4645</xdr:row>
      <xdr:rowOff>1209040</xdr:rowOff>
    </xdr:to>
    <xdr:pic>
      <xdr:nvPicPr>
        <xdr:cNvPr id="7859" name="Изображение 7858" descr="resizeПП-00163973"/>
        <xdr:cNvPicPr>
          <a:picLocks noChangeAspect="1"/>
        </xdr:cNvPicPr>
      </xdr:nvPicPr>
      <xdr:blipFill>
        <a:blip xmlns:r="http://schemas.openxmlformats.org/officeDocument/2006/relationships" r:embed="rId3538"/>
        <a:stretch>
          <a:fillRect/>
        </a:stretch>
      </xdr:blipFill>
      <xdr:spPr>
        <a:xfrm>
          <a:off x="7264400" y="4619158275"/>
          <a:ext cx="878840" cy="1183640"/>
        </a:xfrm>
        <a:prstGeom prst="rect">
          <a:avLst/>
        </a:prstGeom>
      </xdr:spPr>
    </xdr:pic>
    <xdr:clientData/>
  </xdr:twoCellAnchor>
  <xdr:twoCellAnchor>
    <xdr:from>
      <xdr:col>8</xdr:col>
      <xdr:colOff>6350</xdr:colOff>
      <xdr:row>4646</xdr:row>
      <xdr:rowOff>25400</xdr:rowOff>
    </xdr:from>
    <xdr:to>
      <xdr:col>8</xdr:col>
      <xdr:colOff>885190</xdr:colOff>
      <xdr:row>4646</xdr:row>
      <xdr:rowOff>1209040</xdr:rowOff>
    </xdr:to>
    <xdr:pic>
      <xdr:nvPicPr>
        <xdr:cNvPr id="7860" name="Изображение 7859" descr="resizeПП-00163996"/>
        <xdr:cNvPicPr>
          <a:picLocks noChangeAspect="1"/>
        </xdr:cNvPicPr>
      </xdr:nvPicPr>
      <xdr:blipFill>
        <a:blip xmlns:r="http://schemas.openxmlformats.org/officeDocument/2006/relationships" r:embed="rId3539"/>
        <a:stretch>
          <a:fillRect/>
        </a:stretch>
      </xdr:blipFill>
      <xdr:spPr>
        <a:xfrm>
          <a:off x="7264400" y="4620380650"/>
          <a:ext cx="878840" cy="1183640"/>
        </a:xfrm>
        <a:prstGeom prst="rect">
          <a:avLst/>
        </a:prstGeom>
      </xdr:spPr>
    </xdr:pic>
    <xdr:clientData/>
  </xdr:twoCellAnchor>
  <xdr:twoCellAnchor>
    <xdr:from>
      <xdr:col>8</xdr:col>
      <xdr:colOff>6350</xdr:colOff>
      <xdr:row>4647</xdr:row>
      <xdr:rowOff>25400</xdr:rowOff>
    </xdr:from>
    <xdr:to>
      <xdr:col>8</xdr:col>
      <xdr:colOff>885190</xdr:colOff>
      <xdr:row>4647</xdr:row>
      <xdr:rowOff>1209040</xdr:rowOff>
    </xdr:to>
    <xdr:pic>
      <xdr:nvPicPr>
        <xdr:cNvPr id="7861" name="Изображение 7860" descr="resizeПП-00114020"/>
        <xdr:cNvPicPr>
          <a:picLocks noChangeAspect="1"/>
        </xdr:cNvPicPr>
      </xdr:nvPicPr>
      <xdr:blipFill>
        <a:blip xmlns:r="http://schemas.openxmlformats.org/officeDocument/2006/relationships" r:embed="rId3540"/>
        <a:stretch>
          <a:fillRect/>
        </a:stretch>
      </xdr:blipFill>
      <xdr:spPr>
        <a:xfrm>
          <a:off x="7264400" y="4621603025"/>
          <a:ext cx="878840" cy="1183640"/>
        </a:xfrm>
        <a:prstGeom prst="rect">
          <a:avLst/>
        </a:prstGeom>
      </xdr:spPr>
    </xdr:pic>
    <xdr:clientData/>
  </xdr:twoCellAnchor>
  <xdr:twoCellAnchor>
    <xdr:from>
      <xdr:col>8</xdr:col>
      <xdr:colOff>6350</xdr:colOff>
      <xdr:row>4648</xdr:row>
      <xdr:rowOff>25400</xdr:rowOff>
    </xdr:from>
    <xdr:to>
      <xdr:col>8</xdr:col>
      <xdr:colOff>885190</xdr:colOff>
      <xdr:row>4648</xdr:row>
      <xdr:rowOff>1209040</xdr:rowOff>
    </xdr:to>
    <xdr:pic>
      <xdr:nvPicPr>
        <xdr:cNvPr id="7862" name="Изображение 7861" descr="resizeПП-00114021"/>
        <xdr:cNvPicPr>
          <a:picLocks noChangeAspect="1"/>
        </xdr:cNvPicPr>
      </xdr:nvPicPr>
      <xdr:blipFill>
        <a:blip xmlns:r="http://schemas.openxmlformats.org/officeDocument/2006/relationships" r:embed="rId3541"/>
        <a:stretch>
          <a:fillRect/>
        </a:stretch>
      </xdr:blipFill>
      <xdr:spPr>
        <a:xfrm>
          <a:off x="7264400" y="4622825400"/>
          <a:ext cx="878840" cy="1183640"/>
        </a:xfrm>
        <a:prstGeom prst="rect">
          <a:avLst/>
        </a:prstGeom>
      </xdr:spPr>
    </xdr:pic>
    <xdr:clientData/>
  </xdr:twoCellAnchor>
  <xdr:twoCellAnchor>
    <xdr:from>
      <xdr:col>8</xdr:col>
      <xdr:colOff>6350</xdr:colOff>
      <xdr:row>4649</xdr:row>
      <xdr:rowOff>25400</xdr:rowOff>
    </xdr:from>
    <xdr:to>
      <xdr:col>8</xdr:col>
      <xdr:colOff>885190</xdr:colOff>
      <xdr:row>4649</xdr:row>
      <xdr:rowOff>1209040</xdr:rowOff>
    </xdr:to>
    <xdr:pic>
      <xdr:nvPicPr>
        <xdr:cNvPr id="7863" name="Изображение 7862" descr="resizeПП-00114011"/>
        <xdr:cNvPicPr>
          <a:picLocks noChangeAspect="1"/>
        </xdr:cNvPicPr>
      </xdr:nvPicPr>
      <xdr:blipFill>
        <a:blip xmlns:r="http://schemas.openxmlformats.org/officeDocument/2006/relationships" r:embed="rId3542"/>
        <a:stretch>
          <a:fillRect/>
        </a:stretch>
      </xdr:blipFill>
      <xdr:spPr>
        <a:xfrm>
          <a:off x="7264400" y="4624047775"/>
          <a:ext cx="878840" cy="1183640"/>
        </a:xfrm>
        <a:prstGeom prst="rect">
          <a:avLst/>
        </a:prstGeom>
      </xdr:spPr>
    </xdr:pic>
    <xdr:clientData/>
  </xdr:twoCellAnchor>
  <xdr:twoCellAnchor>
    <xdr:from>
      <xdr:col>8</xdr:col>
      <xdr:colOff>6350</xdr:colOff>
      <xdr:row>4650</xdr:row>
      <xdr:rowOff>25400</xdr:rowOff>
    </xdr:from>
    <xdr:to>
      <xdr:col>8</xdr:col>
      <xdr:colOff>885190</xdr:colOff>
      <xdr:row>4650</xdr:row>
      <xdr:rowOff>1209040</xdr:rowOff>
    </xdr:to>
    <xdr:pic>
      <xdr:nvPicPr>
        <xdr:cNvPr id="7864" name="Изображение 7863" descr="resizeПП-00114022"/>
        <xdr:cNvPicPr>
          <a:picLocks noChangeAspect="1"/>
        </xdr:cNvPicPr>
      </xdr:nvPicPr>
      <xdr:blipFill>
        <a:blip xmlns:r="http://schemas.openxmlformats.org/officeDocument/2006/relationships" r:embed="rId3543"/>
        <a:stretch>
          <a:fillRect/>
        </a:stretch>
      </xdr:blipFill>
      <xdr:spPr>
        <a:xfrm>
          <a:off x="7264400" y="4625270150"/>
          <a:ext cx="878840" cy="1183640"/>
        </a:xfrm>
        <a:prstGeom prst="rect">
          <a:avLst/>
        </a:prstGeom>
      </xdr:spPr>
    </xdr:pic>
    <xdr:clientData/>
  </xdr:twoCellAnchor>
  <xdr:twoCellAnchor>
    <xdr:from>
      <xdr:col>8</xdr:col>
      <xdr:colOff>6350</xdr:colOff>
      <xdr:row>4651</xdr:row>
      <xdr:rowOff>25400</xdr:rowOff>
    </xdr:from>
    <xdr:to>
      <xdr:col>8</xdr:col>
      <xdr:colOff>885190</xdr:colOff>
      <xdr:row>4651</xdr:row>
      <xdr:rowOff>1209040</xdr:rowOff>
    </xdr:to>
    <xdr:pic>
      <xdr:nvPicPr>
        <xdr:cNvPr id="7865" name="Изображение 7864" descr="resizeПП-00114023"/>
        <xdr:cNvPicPr>
          <a:picLocks noChangeAspect="1"/>
        </xdr:cNvPicPr>
      </xdr:nvPicPr>
      <xdr:blipFill>
        <a:blip xmlns:r="http://schemas.openxmlformats.org/officeDocument/2006/relationships" r:embed="rId3544"/>
        <a:stretch>
          <a:fillRect/>
        </a:stretch>
      </xdr:blipFill>
      <xdr:spPr>
        <a:xfrm>
          <a:off x="7264400" y="4626492525"/>
          <a:ext cx="878840" cy="1183640"/>
        </a:xfrm>
        <a:prstGeom prst="rect">
          <a:avLst/>
        </a:prstGeom>
      </xdr:spPr>
    </xdr:pic>
    <xdr:clientData/>
  </xdr:twoCellAnchor>
  <xdr:twoCellAnchor>
    <xdr:from>
      <xdr:col>8</xdr:col>
      <xdr:colOff>6350</xdr:colOff>
      <xdr:row>4652</xdr:row>
      <xdr:rowOff>25400</xdr:rowOff>
    </xdr:from>
    <xdr:to>
      <xdr:col>8</xdr:col>
      <xdr:colOff>885190</xdr:colOff>
      <xdr:row>4652</xdr:row>
      <xdr:rowOff>1209040</xdr:rowOff>
    </xdr:to>
    <xdr:pic>
      <xdr:nvPicPr>
        <xdr:cNvPr id="7866" name="Изображение 7865" descr="resizeПП-00114025"/>
        <xdr:cNvPicPr>
          <a:picLocks noChangeAspect="1"/>
        </xdr:cNvPicPr>
      </xdr:nvPicPr>
      <xdr:blipFill>
        <a:blip xmlns:r="http://schemas.openxmlformats.org/officeDocument/2006/relationships" r:embed="rId3545"/>
        <a:stretch>
          <a:fillRect/>
        </a:stretch>
      </xdr:blipFill>
      <xdr:spPr>
        <a:xfrm>
          <a:off x="7264400" y="4627714900"/>
          <a:ext cx="878840" cy="1183640"/>
        </a:xfrm>
        <a:prstGeom prst="rect">
          <a:avLst/>
        </a:prstGeom>
      </xdr:spPr>
    </xdr:pic>
    <xdr:clientData/>
  </xdr:twoCellAnchor>
  <xdr:twoCellAnchor>
    <xdr:from>
      <xdr:col>8</xdr:col>
      <xdr:colOff>6350</xdr:colOff>
      <xdr:row>4654</xdr:row>
      <xdr:rowOff>25400</xdr:rowOff>
    </xdr:from>
    <xdr:to>
      <xdr:col>8</xdr:col>
      <xdr:colOff>885190</xdr:colOff>
      <xdr:row>4654</xdr:row>
      <xdr:rowOff>1209040</xdr:rowOff>
    </xdr:to>
    <xdr:pic>
      <xdr:nvPicPr>
        <xdr:cNvPr id="7867" name="Изображение 7866" descr="resizeПП-00244532"/>
        <xdr:cNvPicPr>
          <a:picLocks noChangeAspect="1"/>
        </xdr:cNvPicPr>
      </xdr:nvPicPr>
      <xdr:blipFill>
        <a:blip xmlns:r="http://schemas.openxmlformats.org/officeDocument/2006/relationships" r:embed="rId3546"/>
        <a:stretch>
          <a:fillRect/>
        </a:stretch>
      </xdr:blipFill>
      <xdr:spPr>
        <a:xfrm>
          <a:off x="7264400" y="4629089675"/>
          <a:ext cx="878840" cy="1183640"/>
        </a:xfrm>
        <a:prstGeom prst="rect">
          <a:avLst/>
        </a:prstGeom>
      </xdr:spPr>
    </xdr:pic>
    <xdr:clientData/>
  </xdr:twoCellAnchor>
  <xdr:twoCellAnchor>
    <xdr:from>
      <xdr:col>8</xdr:col>
      <xdr:colOff>6350</xdr:colOff>
      <xdr:row>4655</xdr:row>
      <xdr:rowOff>25400</xdr:rowOff>
    </xdr:from>
    <xdr:to>
      <xdr:col>8</xdr:col>
      <xdr:colOff>885190</xdr:colOff>
      <xdr:row>4655</xdr:row>
      <xdr:rowOff>1209040</xdr:rowOff>
    </xdr:to>
    <xdr:pic>
      <xdr:nvPicPr>
        <xdr:cNvPr id="7868" name="Изображение 7867" descr="resizeПП-00041639"/>
        <xdr:cNvPicPr>
          <a:picLocks noChangeAspect="1"/>
        </xdr:cNvPicPr>
      </xdr:nvPicPr>
      <xdr:blipFill>
        <a:blip xmlns:r="http://schemas.openxmlformats.org/officeDocument/2006/relationships" r:embed="rId3547"/>
        <a:stretch>
          <a:fillRect/>
        </a:stretch>
      </xdr:blipFill>
      <xdr:spPr>
        <a:xfrm>
          <a:off x="7264400" y="4630312050"/>
          <a:ext cx="878840" cy="1183640"/>
        </a:xfrm>
        <a:prstGeom prst="rect">
          <a:avLst/>
        </a:prstGeom>
      </xdr:spPr>
    </xdr:pic>
    <xdr:clientData/>
  </xdr:twoCellAnchor>
  <xdr:twoCellAnchor>
    <xdr:from>
      <xdr:col>8</xdr:col>
      <xdr:colOff>6350</xdr:colOff>
      <xdr:row>4657</xdr:row>
      <xdr:rowOff>25400</xdr:rowOff>
    </xdr:from>
    <xdr:to>
      <xdr:col>8</xdr:col>
      <xdr:colOff>885190</xdr:colOff>
      <xdr:row>4657</xdr:row>
      <xdr:rowOff>1209040</xdr:rowOff>
    </xdr:to>
    <xdr:pic>
      <xdr:nvPicPr>
        <xdr:cNvPr id="7869" name="Изображение 7868" descr="resizeПП-00244521"/>
        <xdr:cNvPicPr>
          <a:picLocks noChangeAspect="1"/>
        </xdr:cNvPicPr>
      </xdr:nvPicPr>
      <xdr:blipFill>
        <a:blip xmlns:r="http://schemas.openxmlformats.org/officeDocument/2006/relationships" r:embed="rId3548"/>
        <a:stretch>
          <a:fillRect/>
        </a:stretch>
      </xdr:blipFill>
      <xdr:spPr>
        <a:xfrm>
          <a:off x="7264400" y="4631686825"/>
          <a:ext cx="878840" cy="1183640"/>
        </a:xfrm>
        <a:prstGeom prst="rect">
          <a:avLst/>
        </a:prstGeom>
      </xdr:spPr>
    </xdr:pic>
    <xdr:clientData/>
  </xdr:twoCellAnchor>
  <xdr:twoCellAnchor>
    <xdr:from>
      <xdr:col>8</xdr:col>
      <xdr:colOff>6350</xdr:colOff>
      <xdr:row>4658</xdr:row>
      <xdr:rowOff>25400</xdr:rowOff>
    </xdr:from>
    <xdr:to>
      <xdr:col>8</xdr:col>
      <xdr:colOff>885190</xdr:colOff>
      <xdr:row>4658</xdr:row>
      <xdr:rowOff>1209040</xdr:rowOff>
    </xdr:to>
    <xdr:pic>
      <xdr:nvPicPr>
        <xdr:cNvPr id="7870" name="Изображение 7869" descr="resizeПП-00041641"/>
        <xdr:cNvPicPr>
          <a:picLocks noChangeAspect="1"/>
        </xdr:cNvPicPr>
      </xdr:nvPicPr>
      <xdr:blipFill>
        <a:blip xmlns:r="http://schemas.openxmlformats.org/officeDocument/2006/relationships" r:embed="rId3549"/>
        <a:stretch>
          <a:fillRect/>
        </a:stretch>
      </xdr:blipFill>
      <xdr:spPr>
        <a:xfrm>
          <a:off x="7264400" y="4632909200"/>
          <a:ext cx="878840" cy="1183640"/>
        </a:xfrm>
        <a:prstGeom prst="rect">
          <a:avLst/>
        </a:prstGeom>
      </xdr:spPr>
    </xdr:pic>
    <xdr:clientData/>
  </xdr:twoCellAnchor>
  <xdr:twoCellAnchor>
    <xdr:from>
      <xdr:col>8</xdr:col>
      <xdr:colOff>6350</xdr:colOff>
      <xdr:row>4659</xdr:row>
      <xdr:rowOff>25400</xdr:rowOff>
    </xdr:from>
    <xdr:to>
      <xdr:col>8</xdr:col>
      <xdr:colOff>885190</xdr:colOff>
      <xdr:row>4659</xdr:row>
      <xdr:rowOff>1209040</xdr:rowOff>
    </xdr:to>
    <xdr:pic>
      <xdr:nvPicPr>
        <xdr:cNvPr id="7871" name="Изображение 7870" descr="resizeПП-00244539"/>
        <xdr:cNvPicPr>
          <a:picLocks noChangeAspect="1"/>
        </xdr:cNvPicPr>
      </xdr:nvPicPr>
      <xdr:blipFill>
        <a:blip xmlns:r="http://schemas.openxmlformats.org/officeDocument/2006/relationships" r:embed="rId3550"/>
        <a:stretch>
          <a:fillRect/>
        </a:stretch>
      </xdr:blipFill>
      <xdr:spPr>
        <a:xfrm>
          <a:off x="7264400" y="4634131575"/>
          <a:ext cx="878840" cy="1183640"/>
        </a:xfrm>
        <a:prstGeom prst="rect">
          <a:avLst/>
        </a:prstGeom>
      </xdr:spPr>
    </xdr:pic>
    <xdr:clientData/>
  </xdr:twoCellAnchor>
  <xdr:twoCellAnchor>
    <xdr:from>
      <xdr:col>8</xdr:col>
      <xdr:colOff>6350</xdr:colOff>
      <xdr:row>4660</xdr:row>
      <xdr:rowOff>25400</xdr:rowOff>
    </xdr:from>
    <xdr:to>
      <xdr:col>8</xdr:col>
      <xdr:colOff>885190</xdr:colOff>
      <xdr:row>4660</xdr:row>
      <xdr:rowOff>1209040</xdr:rowOff>
    </xdr:to>
    <xdr:pic>
      <xdr:nvPicPr>
        <xdr:cNvPr id="7872" name="Изображение 7871" descr="resizeПП-00244540"/>
        <xdr:cNvPicPr>
          <a:picLocks noChangeAspect="1"/>
        </xdr:cNvPicPr>
      </xdr:nvPicPr>
      <xdr:blipFill>
        <a:blip xmlns:r="http://schemas.openxmlformats.org/officeDocument/2006/relationships" r:embed="rId3551"/>
        <a:stretch>
          <a:fillRect/>
        </a:stretch>
      </xdr:blipFill>
      <xdr:spPr>
        <a:xfrm>
          <a:off x="7264400" y="4635353950"/>
          <a:ext cx="878840" cy="1183640"/>
        </a:xfrm>
        <a:prstGeom prst="rect">
          <a:avLst/>
        </a:prstGeom>
      </xdr:spPr>
    </xdr:pic>
    <xdr:clientData/>
  </xdr:twoCellAnchor>
  <xdr:twoCellAnchor>
    <xdr:from>
      <xdr:col>8</xdr:col>
      <xdr:colOff>6350</xdr:colOff>
      <xdr:row>4661</xdr:row>
      <xdr:rowOff>25400</xdr:rowOff>
    </xdr:from>
    <xdr:to>
      <xdr:col>8</xdr:col>
      <xdr:colOff>885190</xdr:colOff>
      <xdr:row>4661</xdr:row>
      <xdr:rowOff>1209040</xdr:rowOff>
    </xdr:to>
    <xdr:pic>
      <xdr:nvPicPr>
        <xdr:cNvPr id="7873" name="Изображение 7872" descr="resizeПП-00244553"/>
        <xdr:cNvPicPr>
          <a:picLocks noChangeAspect="1"/>
        </xdr:cNvPicPr>
      </xdr:nvPicPr>
      <xdr:blipFill>
        <a:blip xmlns:r="http://schemas.openxmlformats.org/officeDocument/2006/relationships" r:embed="rId3552"/>
        <a:stretch>
          <a:fillRect/>
        </a:stretch>
      </xdr:blipFill>
      <xdr:spPr>
        <a:xfrm>
          <a:off x="7264400" y="4636576325"/>
          <a:ext cx="878840" cy="1183640"/>
        </a:xfrm>
        <a:prstGeom prst="rect">
          <a:avLst/>
        </a:prstGeom>
      </xdr:spPr>
    </xdr:pic>
    <xdr:clientData/>
  </xdr:twoCellAnchor>
  <xdr:twoCellAnchor>
    <xdr:from>
      <xdr:col>8</xdr:col>
      <xdr:colOff>6350</xdr:colOff>
      <xdr:row>4662</xdr:row>
      <xdr:rowOff>25400</xdr:rowOff>
    </xdr:from>
    <xdr:to>
      <xdr:col>8</xdr:col>
      <xdr:colOff>885190</xdr:colOff>
      <xdr:row>4662</xdr:row>
      <xdr:rowOff>1209040</xdr:rowOff>
    </xdr:to>
    <xdr:pic>
      <xdr:nvPicPr>
        <xdr:cNvPr id="7874" name="Изображение 7873" descr="resizeПП-00244549"/>
        <xdr:cNvPicPr>
          <a:picLocks noChangeAspect="1"/>
        </xdr:cNvPicPr>
      </xdr:nvPicPr>
      <xdr:blipFill>
        <a:blip xmlns:r="http://schemas.openxmlformats.org/officeDocument/2006/relationships" r:embed="rId3553"/>
        <a:stretch>
          <a:fillRect/>
        </a:stretch>
      </xdr:blipFill>
      <xdr:spPr>
        <a:xfrm>
          <a:off x="7264400" y="4637798700"/>
          <a:ext cx="878840" cy="1183640"/>
        </a:xfrm>
        <a:prstGeom prst="rect">
          <a:avLst/>
        </a:prstGeom>
      </xdr:spPr>
    </xdr:pic>
    <xdr:clientData/>
  </xdr:twoCellAnchor>
  <xdr:twoCellAnchor>
    <xdr:from>
      <xdr:col>8</xdr:col>
      <xdr:colOff>6350</xdr:colOff>
      <xdr:row>4663</xdr:row>
      <xdr:rowOff>25400</xdr:rowOff>
    </xdr:from>
    <xdr:to>
      <xdr:col>8</xdr:col>
      <xdr:colOff>885190</xdr:colOff>
      <xdr:row>4663</xdr:row>
      <xdr:rowOff>1209040</xdr:rowOff>
    </xdr:to>
    <xdr:pic>
      <xdr:nvPicPr>
        <xdr:cNvPr id="7875" name="Изображение 7874" descr="resizeПП-00244550"/>
        <xdr:cNvPicPr>
          <a:picLocks noChangeAspect="1"/>
        </xdr:cNvPicPr>
      </xdr:nvPicPr>
      <xdr:blipFill>
        <a:blip xmlns:r="http://schemas.openxmlformats.org/officeDocument/2006/relationships" r:embed="rId3554"/>
        <a:stretch>
          <a:fillRect/>
        </a:stretch>
      </xdr:blipFill>
      <xdr:spPr>
        <a:xfrm>
          <a:off x="7264400" y="4639021075"/>
          <a:ext cx="878840" cy="1183640"/>
        </a:xfrm>
        <a:prstGeom prst="rect">
          <a:avLst/>
        </a:prstGeom>
      </xdr:spPr>
    </xdr:pic>
    <xdr:clientData/>
  </xdr:twoCellAnchor>
  <xdr:twoCellAnchor>
    <xdr:from>
      <xdr:col>8</xdr:col>
      <xdr:colOff>6350</xdr:colOff>
      <xdr:row>4664</xdr:row>
      <xdr:rowOff>25400</xdr:rowOff>
    </xdr:from>
    <xdr:to>
      <xdr:col>8</xdr:col>
      <xdr:colOff>885190</xdr:colOff>
      <xdr:row>4664</xdr:row>
      <xdr:rowOff>1209040</xdr:rowOff>
    </xdr:to>
    <xdr:pic>
      <xdr:nvPicPr>
        <xdr:cNvPr id="7876" name="Изображение 7875" descr="resizeПП-00244571"/>
        <xdr:cNvPicPr>
          <a:picLocks noChangeAspect="1"/>
        </xdr:cNvPicPr>
      </xdr:nvPicPr>
      <xdr:blipFill>
        <a:blip xmlns:r="http://schemas.openxmlformats.org/officeDocument/2006/relationships" r:embed="rId3555"/>
        <a:stretch>
          <a:fillRect/>
        </a:stretch>
      </xdr:blipFill>
      <xdr:spPr>
        <a:xfrm>
          <a:off x="7264400" y="4640243450"/>
          <a:ext cx="878840" cy="1183640"/>
        </a:xfrm>
        <a:prstGeom prst="rect">
          <a:avLst/>
        </a:prstGeom>
      </xdr:spPr>
    </xdr:pic>
    <xdr:clientData/>
  </xdr:twoCellAnchor>
  <xdr:twoCellAnchor>
    <xdr:from>
      <xdr:col>8</xdr:col>
      <xdr:colOff>6350</xdr:colOff>
      <xdr:row>4665</xdr:row>
      <xdr:rowOff>25400</xdr:rowOff>
    </xdr:from>
    <xdr:to>
      <xdr:col>8</xdr:col>
      <xdr:colOff>885190</xdr:colOff>
      <xdr:row>4665</xdr:row>
      <xdr:rowOff>1209040</xdr:rowOff>
    </xdr:to>
    <xdr:pic>
      <xdr:nvPicPr>
        <xdr:cNvPr id="7877" name="Изображение 7876" descr="resizeПП-00244564"/>
        <xdr:cNvPicPr>
          <a:picLocks noChangeAspect="1"/>
        </xdr:cNvPicPr>
      </xdr:nvPicPr>
      <xdr:blipFill>
        <a:blip xmlns:r="http://schemas.openxmlformats.org/officeDocument/2006/relationships" r:embed="rId3556"/>
        <a:stretch>
          <a:fillRect/>
        </a:stretch>
      </xdr:blipFill>
      <xdr:spPr>
        <a:xfrm>
          <a:off x="7264400" y="4641465825"/>
          <a:ext cx="878840" cy="1183640"/>
        </a:xfrm>
        <a:prstGeom prst="rect">
          <a:avLst/>
        </a:prstGeom>
      </xdr:spPr>
    </xdr:pic>
    <xdr:clientData/>
  </xdr:twoCellAnchor>
  <xdr:twoCellAnchor>
    <xdr:from>
      <xdr:col>8</xdr:col>
      <xdr:colOff>6350</xdr:colOff>
      <xdr:row>4666</xdr:row>
      <xdr:rowOff>25400</xdr:rowOff>
    </xdr:from>
    <xdr:to>
      <xdr:col>8</xdr:col>
      <xdr:colOff>885190</xdr:colOff>
      <xdr:row>4666</xdr:row>
      <xdr:rowOff>1209040</xdr:rowOff>
    </xdr:to>
    <xdr:pic>
      <xdr:nvPicPr>
        <xdr:cNvPr id="7878" name="Изображение 7877" descr="resizeПП-00244523"/>
        <xdr:cNvPicPr>
          <a:picLocks noChangeAspect="1"/>
        </xdr:cNvPicPr>
      </xdr:nvPicPr>
      <xdr:blipFill>
        <a:blip xmlns:r="http://schemas.openxmlformats.org/officeDocument/2006/relationships" r:embed="rId3557"/>
        <a:stretch>
          <a:fillRect/>
        </a:stretch>
      </xdr:blipFill>
      <xdr:spPr>
        <a:xfrm>
          <a:off x="7264400" y="4642688200"/>
          <a:ext cx="878840" cy="1183640"/>
        </a:xfrm>
        <a:prstGeom prst="rect">
          <a:avLst/>
        </a:prstGeom>
      </xdr:spPr>
    </xdr:pic>
    <xdr:clientData/>
  </xdr:twoCellAnchor>
  <xdr:twoCellAnchor>
    <xdr:from>
      <xdr:col>8</xdr:col>
      <xdr:colOff>6350</xdr:colOff>
      <xdr:row>4667</xdr:row>
      <xdr:rowOff>25400</xdr:rowOff>
    </xdr:from>
    <xdr:to>
      <xdr:col>8</xdr:col>
      <xdr:colOff>885190</xdr:colOff>
      <xdr:row>4667</xdr:row>
      <xdr:rowOff>1209040</xdr:rowOff>
    </xdr:to>
    <xdr:pic>
      <xdr:nvPicPr>
        <xdr:cNvPr id="7879" name="Изображение 7878" descr="resizeПП-00244522"/>
        <xdr:cNvPicPr>
          <a:picLocks noChangeAspect="1"/>
        </xdr:cNvPicPr>
      </xdr:nvPicPr>
      <xdr:blipFill>
        <a:blip xmlns:r="http://schemas.openxmlformats.org/officeDocument/2006/relationships" r:embed="rId3558"/>
        <a:stretch>
          <a:fillRect/>
        </a:stretch>
      </xdr:blipFill>
      <xdr:spPr>
        <a:xfrm>
          <a:off x="7264400" y="4643910575"/>
          <a:ext cx="878840" cy="1183640"/>
        </a:xfrm>
        <a:prstGeom prst="rect">
          <a:avLst/>
        </a:prstGeom>
      </xdr:spPr>
    </xdr:pic>
    <xdr:clientData/>
  </xdr:twoCellAnchor>
  <xdr:twoCellAnchor>
    <xdr:from>
      <xdr:col>8</xdr:col>
      <xdr:colOff>6350</xdr:colOff>
      <xdr:row>4668</xdr:row>
      <xdr:rowOff>25400</xdr:rowOff>
    </xdr:from>
    <xdr:to>
      <xdr:col>8</xdr:col>
      <xdr:colOff>885190</xdr:colOff>
      <xdr:row>4668</xdr:row>
      <xdr:rowOff>1209040</xdr:rowOff>
    </xdr:to>
    <xdr:pic>
      <xdr:nvPicPr>
        <xdr:cNvPr id="7880" name="Изображение 7879" descr="resizeПП-00244569"/>
        <xdr:cNvPicPr>
          <a:picLocks noChangeAspect="1"/>
        </xdr:cNvPicPr>
      </xdr:nvPicPr>
      <xdr:blipFill>
        <a:blip xmlns:r="http://schemas.openxmlformats.org/officeDocument/2006/relationships" r:embed="rId3559"/>
        <a:stretch>
          <a:fillRect/>
        </a:stretch>
      </xdr:blipFill>
      <xdr:spPr>
        <a:xfrm>
          <a:off x="7264400" y="4645132950"/>
          <a:ext cx="878840" cy="1183640"/>
        </a:xfrm>
        <a:prstGeom prst="rect">
          <a:avLst/>
        </a:prstGeom>
      </xdr:spPr>
    </xdr:pic>
    <xdr:clientData/>
  </xdr:twoCellAnchor>
  <xdr:twoCellAnchor>
    <xdr:from>
      <xdr:col>8</xdr:col>
      <xdr:colOff>6350</xdr:colOff>
      <xdr:row>4669</xdr:row>
      <xdr:rowOff>25400</xdr:rowOff>
    </xdr:from>
    <xdr:to>
      <xdr:col>8</xdr:col>
      <xdr:colOff>885190</xdr:colOff>
      <xdr:row>4669</xdr:row>
      <xdr:rowOff>1209040</xdr:rowOff>
    </xdr:to>
    <xdr:pic>
      <xdr:nvPicPr>
        <xdr:cNvPr id="7881" name="Изображение 7880" descr="resizeПП-00244568"/>
        <xdr:cNvPicPr>
          <a:picLocks noChangeAspect="1"/>
        </xdr:cNvPicPr>
      </xdr:nvPicPr>
      <xdr:blipFill>
        <a:blip xmlns:r="http://schemas.openxmlformats.org/officeDocument/2006/relationships" r:embed="rId3560"/>
        <a:stretch>
          <a:fillRect/>
        </a:stretch>
      </xdr:blipFill>
      <xdr:spPr>
        <a:xfrm>
          <a:off x="7264400" y="4646355325"/>
          <a:ext cx="878840" cy="1183640"/>
        </a:xfrm>
        <a:prstGeom prst="rect">
          <a:avLst/>
        </a:prstGeom>
      </xdr:spPr>
    </xdr:pic>
    <xdr:clientData/>
  </xdr:twoCellAnchor>
  <xdr:twoCellAnchor>
    <xdr:from>
      <xdr:col>8</xdr:col>
      <xdr:colOff>6350</xdr:colOff>
      <xdr:row>4670</xdr:row>
      <xdr:rowOff>25400</xdr:rowOff>
    </xdr:from>
    <xdr:to>
      <xdr:col>8</xdr:col>
      <xdr:colOff>885190</xdr:colOff>
      <xdr:row>4670</xdr:row>
      <xdr:rowOff>1209040</xdr:rowOff>
    </xdr:to>
    <xdr:pic>
      <xdr:nvPicPr>
        <xdr:cNvPr id="7882" name="Изображение 7881" descr="resizeПП-00244573"/>
        <xdr:cNvPicPr>
          <a:picLocks noChangeAspect="1"/>
        </xdr:cNvPicPr>
      </xdr:nvPicPr>
      <xdr:blipFill>
        <a:blip xmlns:r="http://schemas.openxmlformats.org/officeDocument/2006/relationships" r:embed="rId3561"/>
        <a:stretch>
          <a:fillRect/>
        </a:stretch>
      </xdr:blipFill>
      <xdr:spPr>
        <a:xfrm>
          <a:off x="7264400" y="4647577700"/>
          <a:ext cx="878840" cy="1183640"/>
        </a:xfrm>
        <a:prstGeom prst="rect">
          <a:avLst/>
        </a:prstGeom>
      </xdr:spPr>
    </xdr:pic>
    <xdr:clientData/>
  </xdr:twoCellAnchor>
  <xdr:twoCellAnchor>
    <xdr:from>
      <xdr:col>8</xdr:col>
      <xdr:colOff>6350</xdr:colOff>
      <xdr:row>4671</xdr:row>
      <xdr:rowOff>25400</xdr:rowOff>
    </xdr:from>
    <xdr:to>
      <xdr:col>8</xdr:col>
      <xdr:colOff>885190</xdr:colOff>
      <xdr:row>4671</xdr:row>
      <xdr:rowOff>1209040</xdr:rowOff>
    </xdr:to>
    <xdr:pic>
      <xdr:nvPicPr>
        <xdr:cNvPr id="7883" name="Изображение 7882" descr="resizeПП-00244572"/>
        <xdr:cNvPicPr>
          <a:picLocks noChangeAspect="1"/>
        </xdr:cNvPicPr>
      </xdr:nvPicPr>
      <xdr:blipFill>
        <a:blip xmlns:r="http://schemas.openxmlformats.org/officeDocument/2006/relationships" r:embed="rId3562"/>
        <a:stretch>
          <a:fillRect/>
        </a:stretch>
      </xdr:blipFill>
      <xdr:spPr>
        <a:xfrm>
          <a:off x="7264400" y="4648800075"/>
          <a:ext cx="878840" cy="1183640"/>
        </a:xfrm>
        <a:prstGeom prst="rect">
          <a:avLst/>
        </a:prstGeom>
      </xdr:spPr>
    </xdr:pic>
    <xdr:clientData/>
  </xdr:twoCellAnchor>
  <xdr:twoCellAnchor>
    <xdr:from>
      <xdr:col>8</xdr:col>
      <xdr:colOff>6350</xdr:colOff>
      <xdr:row>4672</xdr:row>
      <xdr:rowOff>25400</xdr:rowOff>
    </xdr:from>
    <xdr:to>
      <xdr:col>8</xdr:col>
      <xdr:colOff>885190</xdr:colOff>
      <xdr:row>4672</xdr:row>
      <xdr:rowOff>1209040</xdr:rowOff>
    </xdr:to>
    <xdr:pic>
      <xdr:nvPicPr>
        <xdr:cNvPr id="7884" name="Изображение 7883" descr="resizeПП-00244547"/>
        <xdr:cNvPicPr>
          <a:picLocks noChangeAspect="1"/>
        </xdr:cNvPicPr>
      </xdr:nvPicPr>
      <xdr:blipFill>
        <a:blip xmlns:r="http://schemas.openxmlformats.org/officeDocument/2006/relationships" r:embed="rId3563"/>
        <a:stretch>
          <a:fillRect/>
        </a:stretch>
      </xdr:blipFill>
      <xdr:spPr>
        <a:xfrm>
          <a:off x="7264400" y="4650022450"/>
          <a:ext cx="878840" cy="1183640"/>
        </a:xfrm>
        <a:prstGeom prst="rect">
          <a:avLst/>
        </a:prstGeom>
      </xdr:spPr>
    </xdr:pic>
    <xdr:clientData/>
  </xdr:twoCellAnchor>
  <xdr:twoCellAnchor>
    <xdr:from>
      <xdr:col>8</xdr:col>
      <xdr:colOff>6350</xdr:colOff>
      <xdr:row>4673</xdr:row>
      <xdr:rowOff>25400</xdr:rowOff>
    </xdr:from>
    <xdr:to>
      <xdr:col>8</xdr:col>
      <xdr:colOff>885190</xdr:colOff>
      <xdr:row>4673</xdr:row>
      <xdr:rowOff>1209040</xdr:rowOff>
    </xdr:to>
    <xdr:pic>
      <xdr:nvPicPr>
        <xdr:cNvPr id="7885" name="Изображение 7884" descr="resizeПП-00244543"/>
        <xdr:cNvPicPr>
          <a:picLocks noChangeAspect="1"/>
        </xdr:cNvPicPr>
      </xdr:nvPicPr>
      <xdr:blipFill>
        <a:blip xmlns:r="http://schemas.openxmlformats.org/officeDocument/2006/relationships" r:embed="rId3564"/>
        <a:stretch>
          <a:fillRect/>
        </a:stretch>
      </xdr:blipFill>
      <xdr:spPr>
        <a:xfrm>
          <a:off x="7264400" y="4651244825"/>
          <a:ext cx="878840" cy="1183640"/>
        </a:xfrm>
        <a:prstGeom prst="rect">
          <a:avLst/>
        </a:prstGeom>
      </xdr:spPr>
    </xdr:pic>
    <xdr:clientData/>
  </xdr:twoCellAnchor>
  <xdr:twoCellAnchor>
    <xdr:from>
      <xdr:col>8</xdr:col>
      <xdr:colOff>6350</xdr:colOff>
      <xdr:row>4674</xdr:row>
      <xdr:rowOff>25400</xdr:rowOff>
    </xdr:from>
    <xdr:to>
      <xdr:col>8</xdr:col>
      <xdr:colOff>885190</xdr:colOff>
      <xdr:row>4674</xdr:row>
      <xdr:rowOff>1209040</xdr:rowOff>
    </xdr:to>
    <xdr:pic>
      <xdr:nvPicPr>
        <xdr:cNvPr id="7886" name="Изображение 7885" descr="resizeПП-00244545"/>
        <xdr:cNvPicPr>
          <a:picLocks noChangeAspect="1"/>
        </xdr:cNvPicPr>
      </xdr:nvPicPr>
      <xdr:blipFill>
        <a:blip xmlns:r="http://schemas.openxmlformats.org/officeDocument/2006/relationships" r:embed="rId3565"/>
        <a:stretch>
          <a:fillRect/>
        </a:stretch>
      </xdr:blipFill>
      <xdr:spPr>
        <a:xfrm>
          <a:off x="7264400" y="4652467200"/>
          <a:ext cx="878840" cy="1183640"/>
        </a:xfrm>
        <a:prstGeom prst="rect">
          <a:avLst/>
        </a:prstGeom>
      </xdr:spPr>
    </xdr:pic>
    <xdr:clientData/>
  </xdr:twoCellAnchor>
  <xdr:twoCellAnchor>
    <xdr:from>
      <xdr:col>8</xdr:col>
      <xdr:colOff>6350</xdr:colOff>
      <xdr:row>4675</xdr:row>
      <xdr:rowOff>25400</xdr:rowOff>
    </xdr:from>
    <xdr:to>
      <xdr:col>8</xdr:col>
      <xdr:colOff>885190</xdr:colOff>
      <xdr:row>4675</xdr:row>
      <xdr:rowOff>1209040</xdr:rowOff>
    </xdr:to>
    <xdr:pic>
      <xdr:nvPicPr>
        <xdr:cNvPr id="7887" name="Изображение 7886" descr="resizeПП-00244546"/>
        <xdr:cNvPicPr>
          <a:picLocks noChangeAspect="1"/>
        </xdr:cNvPicPr>
      </xdr:nvPicPr>
      <xdr:blipFill>
        <a:blip xmlns:r="http://schemas.openxmlformats.org/officeDocument/2006/relationships" r:embed="rId3566"/>
        <a:stretch>
          <a:fillRect/>
        </a:stretch>
      </xdr:blipFill>
      <xdr:spPr>
        <a:xfrm>
          <a:off x="7264400" y="4653689575"/>
          <a:ext cx="878840" cy="1183640"/>
        </a:xfrm>
        <a:prstGeom prst="rect">
          <a:avLst/>
        </a:prstGeom>
      </xdr:spPr>
    </xdr:pic>
    <xdr:clientData/>
  </xdr:twoCellAnchor>
  <xdr:twoCellAnchor>
    <xdr:from>
      <xdr:col>8</xdr:col>
      <xdr:colOff>6350</xdr:colOff>
      <xdr:row>4676</xdr:row>
      <xdr:rowOff>25400</xdr:rowOff>
    </xdr:from>
    <xdr:to>
      <xdr:col>8</xdr:col>
      <xdr:colOff>885190</xdr:colOff>
      <xdr:row>4676</xdr:row>
      <xdr:rowOff>1209040</xdr:rowOff>
    </xdr:to>
    <xdr:pic>
      <xdr:nvPicPr>
        <xdr:cNvPr id="7888" name="Изображение 7887" descr="resizeПП-00244526"/>
        <xdr:cNvPicPr>
          <a:picLocks noChangeAspect="1"/>
        </xdr:cNvPicPr>
      </xdr:nvPicPr>
      <xdr:blipFill>
        <a:blip xmlns:r="http://schemas.openxmlformats.org/officeDocument/2006/relationships" r:embed="rId3567"/>
        <a:stretch>
          <a:fillRect/>
        </a:stretch>
      </xdr:blipFill>
      <xdr:spPr>
        <a:xfrm>
          <a:off x="7264400" y="4654911950"/>
          <a:ext cx="878840" cy="1183640"/>
        </a:xfrm>
        <a:prstGeom prst="rect">
          <a:avLst/>
        </a:prstGeom>
      </xdr:spPr>
    </xdr:pic>
    <xdr:clientData/>
  </xdr:twoCellAnchor>
  <xdr:twoCellAnchor>
    <xdr:from>
      <xdr:col>8</xdr:col>
      <xdr:colOff>6350</xdr:colOff>
      <xdr:row>4677</xdr:row>
      <xdr:rowOff>25400</xdr:rowOff>
    </xdr:from>
    <xdr:to>
      <xdr:col>8</xdr:col>
      <xdr:colOff>885190</xdr:colOff>
      <xdr:row>4677</xdr:row>
      <xdr:rowOff>1209040</xdr:rowOff>
    </xdr:to>
    <xdr:pic>
      <xdr:nvPicPr>
        <xdr:cNvPr id="7889" name="Изображение 7888" descr="resizeПП-00244527"/>
        <xdr:cNvPicPr>
          <a:picLocks noChangeAspect="1"/>
        </xdr:cNvPicPr>
      </xdr:nvPicPr>
      <xdr:blipFill>
        <a:blip xmlns:r="http://schemas.openxmlformats.org/officeDocument/2006/relationships" r:embed="rId3568"/>
        <a:stretch>
          <a:fillRect/>
        </a:stretch>
      </xdr:blipFill>
      <xdr:spPr>
        <a:xfrm>
          <a:off x="7264400" y="4656134325"/>
          <a:ext cx="878840" cy="1183640"/>
        </a:xfrm>
        <a:prstGeom prst="rect">
          <a:avLst/>
        </a:prstGeom>
      </xdr:spPr>
    </xdr:pic>
    <xdr:clientData/>
  </xdr:twoCellAnchor>
  <xdr:twoCellAnchor>
    <xdr:from>
      <xdr:col>8</xdr:col>
      <xdr:colOff>6350</xdr:colOff>
      <xdr:row>4678</xdr:row>
      <xdr:rowOff>25400</xdr:rowOff>
    </xdr:from>
    <xdr:to>
      <xdr:col>8</xdr:col>
      <xdr:colOff>885190</xdr:colOff>
      <xdr:row>4678</xdr:row>
      <xdr:rowOff>1209040</xdr:rowOff>
    </xdr:to>
    <xdr:pic>
      <xdr:nvPicPr>
        <xdr:cNvPr id="7890" name="Изображение 7889" descr="resizeПП-00244554"/>
        <xdr:cNvPicPr>
          <a:picLocks noChangeAspect="1"/>
        </xdr:cNvPicPr>
      </xdr:nvPicPr>
      <xdr:blipFill>
        <a:blip xmlns:r="http://schemas.openxmlformats.org/officeDocument/2006/relationships" r:embed="rId3569"/>
        <a:stretch>
          <a:fillRect/>
        </a:stretch>
      </xdr:blipFill>
      <xdr:spPr>
        <a:xfrm>
          <a:off x="7264400" y="4657356700"/>
          <a:ext cx="878840" cy="1183640"/>
        </a:xfrm>
        <a:prstGeom prst="rect">
          <a:avLst/>
        </a:prstGeom>
      </xdr:spPr>
    </xdr:pic>
    <xdr:clientData/>
  </xdr:twoCellAnchor>
  <xdr:twoCellAnchor>
    <xdr:from>
      <xdr:col>8</xdr:col>
      <xdr:colOff>6350</xdr:colOff>
      <xdr:row>4679</xdr:row>
      <xdr:rowOff>25400</xdr:rowOff>
    </xdr:from>
    <xdr:to>
      <xdr:col>8</xdr:col>
      <xdr:colOff>885190</xdr:colOff>
      <xdr:row>4679</xdr:row>
      <xdr:rowOff>1209040</xdr:rowOff>
    </xdr:to>
    <xdr:pic>
      <xdr:nvPicPr>
        <xdr:cNvPr id="7891" name="Изображение 7890" descr="resizeПП-00244556"/>
        <xdr:cNvPicPr>
          <a:picLocks noChangeAspect="1"/>
        </xdr:cNvPicPr>
      </xdr:nvPicPr>
      <xdr:blipFill>
        <a:blip xmlns:r="http://schemas.openxmlformats.org/officeDocument/2006/relationships" r:embed="rId3570"/>
        <a:stretch>
          <a:fillRect/>
        </a:stretch>
      </xdr:blipFill>
      <xdr:spPr>
        <a:xfrm>
          <a:off x="7264400" y="4658579075"/>
          <a:ext cx="878840" cy="1183640"/>
        </a:xfrm>
        <a:prstGeom prst="rect">
          <a:avLst/>
        </a:prstGeom>
      </xdr:spPr>
    </xdr:pic>
    <xdr:clientData/>
  </xdr:twoCellAnchor>
  <xdr:twoCellAnchor>
    <xdr:from>
      <xdr:col>8</xdr:col>
      <xdr:colOff>6350</xdr:colOff>
      <xdr:row>4680</xdr:row>
      <xdr:rowOff>25400</xdr:rowOff>
    </xdr:from>
    <xdr:to>
      <xdr:col>8</xdr:col>
      <xdr:colOff>885190</xdr:colOff>
      <xdr:row>4680</xdr:row>
      <xdr:rowOff>1209040</xdr:rowOff>
    </xdr:to>
    <xdr:pic>
      <xdr:nvPicPr>
        <xdr:cNvPr id="7892" name="Изображение 7891" descr="resizeПП-00244555"/>
        <xdr:cNvPicPr>
          <a:picLocks noChangeAspect="1"/>
        </xdr:cNvPicPr>
      </xdr:nvPicPr>
      <xdr:blipFill>
        <a:blip xmlns:r="http://schemas.openxmlformats.org/officeDocument/2006/relationships" r:embed="rId3571"/>
        <a:stretch>
          <a:fillRect/>
        </a:stretch>
      </xdr:blipFill>
      <xdr:spPr>
        <a:xfrm>
          <a:off x="7264400" y="4659801450"/>
          <a:ext cx="878840" cy="1183640"/>
        </a:xfrm>
        <a:prstGeom prst="rect">
          <a:avLst/>
        </a:prstGeom>
      </xdr:spPr>
    </xdr:pic>
    <xdr:clientData/>
  </xdr:twoCellAnchor>
  <xdr:twoCellAnchor>
    <xdr:from>
      <xdr:col>8</xdr:col>
      <xdr:colOff>6350</xdr:colOff>
      <xdr:row>4681</xdr:row>
      <xdr:rowOff>25400</xdr:rowOff>
    </xdr:from>
    <xdr:to>
      <xdr:col>8</xdr:col>
      <xdr:colOff>885190</xdr:colOff>
      <xdr:row>4681</xdr:row>
      <xdr:rowOff>1209040</xdr:rowOff>
    </xdr:to>
    <xdr:pic>
      <xdr:nvPicPr>
        <xdr:cNvPr id="7893" name="Изображение 7892" descr="resizeПП-00072915"/>
        <xdr:cNvPicPr>
          <a:picLocks noChangeAspect="1"/>
        </xdr:cNvPicPr>
      </xdr:nvPicPr>
      <xdr:blipFill>
        <a:blip xmlns:r="http://schemas.openxmlformats.org/officeDocument/2006/relationships" r:embed="rId3572"/>
        <a:stretch>
          <a:fillRect/>
        </a:stretch>
      </xdr:blipFill>
      <xdr:spPr>
        <a:xfrm>
          <a:off x="7264400" y="4661023825"/>
          <a:ext cx="878840" cy="1183640"/>
        </a:xfrm>
        <a:prstGeom prst="rect">
          <a:avLst/>
        </a:prstGeom>
      </xdr:spPr>
    </xdr:pic>
    <xdr:clientData/>
  </xdr:twoCellAnchor>
  <xdr:twoCellAnchor>
    <xdr:from>
      <xdr:col>8</xdr:col>
      <xdr:colOff>6350</xdr:colOff>
      <xdr:row>4682</xdr:row>
      <xdr:rowOff>25400</xdr:rowOff>
    </xdr:from>
    <xdr:to>
      <xdr:col>8</xdr:col>
      <xdr:colOff>885190</xdr:colOff>
      <xdr:row>4682</xdr:row>
      <xdr:rowOff>1209040</xdr:rowOff>
    </xdr:to>
    <xdr:pic>
      <xdr:nvPicPr>
        <xdr:cNvPr id="7894" name="Изображение 7893" descr="resizeПП-00072914"/>
        <xdr:cNvPicPr>
          <a:picLocks noChangeAspect="1"/>
        </xdr:cNvPicPr>
      </xdr:nvPicPr>
      <xdr:blipFill>
        <a:blip xmlns:r="http://schemas.openxmlformats.org/officeDocument/2006/relationships" r:embed="rId3573"/>
        <a:stretch>
          <a:fillRect/>
        </a:stretch>
      </xdr:blipFill>
      <xdr:spPr>
        <a:xfrm>
          <a:off x="7264400" y="4662246200"/>
          <a:ext cx="878840" cy="1183640"/>
        </a:xfrm>
        <a:prstGeom prst="rect">
          <a:avLst/>
        </a:prstGeom>
      </xdr:spPr>
    </xdr:pic>
    <xdr:clientData/>
  </xdr:twoCellAnchor>
  <xdr:twoCellAnchor>
    <xdr:from>
      <xdr:col>8</xdr:col>
      <xdr:colOff>6350</xdr:colOff>
      <xdr:row>4683</xdr:row>
      <xdr:rowOff>25400</xdr:rowOff>
    </xdr:from>
    <xdr:to>
      <xdr:col>8</xdr:col>
      <xdr:colOff>885190</xdr:colOff>
      <xdr:row>4683</xdr:row>
      <xdr:rowOff>1209040</xdr:rowOff>
    </xdr:to>
    <xdr:pic>
      <xdr:nvPicPr>
        <xdr:cNvPr id="7895" name="Изображение 7894" descr="resizeПП-00072913"/>
        <xdr:cNvPicPr>
          <a:picLocks noChangeAspect="1"/>
        </xdr:cNvPicPr>
      </xdr:nvPicPr>
      <xdr:blipFill>
        <a:blip xmlns:r="http://schemas.openxmlformats.org/officeDocument/2006/relationships" r:embed="rId3574"/>
        <a:stretch>
          <a:fillRect/>
        </a:stretch>
      </xdr:blipFill>
      <xdr:spPr>
        <a:xfrm>
          <a:off x="7264400" y="4663468575"/>
          <a:ext cx="878840" cy="1183640"/>
        </a:xfrm>
        <a:prstGeom prst="rect">
          <a:avLst/>
        </a:prstGeom>
      </xdr:spPr>
    </xdr:pic>
    <xdr:clientData/>
  </xdr:twoCellAnchor>
  <xdr:twoCellAnchor>
    <xdr:from>
      <xdr:col>8</xdr:col>
      <xdr:colOff>6350</xdr:colOff>
      <xdr:row>4684</xdr:row>
      <xdr:rowOff>25400</xdr:rowOff>
    </xdr:from>
    <xdr:to>
      <xdr:col>8</xdr:col>
      <xdr:colOff>885190</xdr:colOff>
      <xdr:row>4684</xdr:row>
      <xdr:rowOff>1209040</xdr:rowOff>
    </xdr:to>
    <xdr:pic>
      <xdr:nvPicPr>
        <xdr:cNvPr id="7896" name="Изображение 7895" descr="resizeПП-00041627"/>
        <xdr:cNvPicPr>
          <a:picLocks noChangeAspect="1"/>
        </xdr:cNvPicPr>
      </xdr:nvPicPr>
      <xdr:blipFill>
        <a:blip xmlns:r="http://schemas.openxmlformats.org/officeDocument/2006/relationships" r:embed="rId3575"/>
        <a:stretch>
          <a:fillRect/>
        </a:stretch>
      </xdr:blipFill>
      <xdr:spPr>
        <a:xfrm>
          <a:off x="7264400" y="4664690950"/>
          <a:ext cx="878840" cy="1183640"/>
        </a:xfrm>
        <a:prstGeom prst="rect">
          <a:avLst/>
        </a:prstGeom>
      </xdr:spPr>
    </xdr:pic>
    <xdr:clientData/>
  </xdr:twoCellAnchor>
  <xdr:twoCellAnchor>
    <xdr:from>
      <xdr:col>8</xdr:col>
      <xdr:colOff>6350</xdr:colOff>
      <xdr:row>4685</xdr:row>
      <xdr:rowOff>25400</xdr:rowOff>
    </xdr:from>
    <xdr:to>
      <xdr:col>8</xdr:col>
      <xdr:colOff>885190</xdr:colOff>
      <xdr:row>4685</xdr:row>
      <xdr:rowOff>1209040</xdr:rowOff>
    </xdr:to>
    <xdr:pic>
      <xdr:nvPicPr>
        <xdr:cNvPr id="7897" name="Изображение 7896" descr="resizeПП-00163774"/>
        <xdr:cNvPicPr>
          <a:picLocks noChangeAspect="1"/>
        </xdr:cNvPicPr>
      </xdr:nvPicPr>
      <xdr:blipFill>
        <a:blip xmlns:r="http://schemas.openxmlformats.org/officeDocument/2006/relationships" r:embed="rId3576"/>
        <a:stretch>
          <a:fillRect/>
        </a:stretch>
      </xdr:blipFill>
      <xdr:spPr>
        <a:xfrm>
          <a:off x="7264400" y="4665913325"/>
          <a:ext cx="878840" cy="1183640"/>
        </a:xfrm>
        <a:prstGeom prst="rect">
          <a:avLst/>
        </a:prstGeom>
      </xdr:spPr>
    </xdr:pic>
    <xdr:clientData/>
  </xdr:twoCellAnchor>
  <xdr:twoCellAnchor>
    <xdr:from>
      <xdr:col>8</xdr:col>
      <xdr:colOff>6350</xdr:colOff>
      <xdr:row>4686</xdr:row>
      <xdr:rowOff>25400</xdr:rowOff>
    </xdr:from>
    <xdr:to>
      <xdr:col>8</xdr:col>
      <xdr:colOff>885190</xdr:colOff>
      <xdr:row>4686</xdr:row>
      <xdr:rowOff>1209040</xdr:rowOff>
    </xdr:to>
    <xdr:pic>
      <xdr:nvPicPr>
        <xdr:cNvPr id="7898" name="Изображение 7897" descr="resizeПП-00163780"/>
        <xdr:cNvPicPr>
          <a:picLocks noChangeAspect="1"/>
        </xdr:cNvPicPr>
      </xdr:nvPicPr>
      <xdr:blipFill>
        <a:blip xmlns:r="http://schemas.openxmlformats.org/officeDocument/2006/relationships" r:embed="rId3577"/>
        <a:stretch>
          <a:fillRect/>
        </a:stretch>
      </xdr:blipFill>
      <xdr:spPr>
        <a:xfrm>
          <a:off x="7264400" y="4667135700"/>
          <a:ext cx="878840" cy="1183640"/>
        </a:xfrm>
        <a:prstGeom prst="rect">
          <a:avLst/>
        </a:prstGeom>
      </xdr:spPr>
    </xdr:pic>
    <xdr:clientData/>
  </xdr:twoCellAnchor>
  <xdr:twoCellAnchor>
    <xdr:from>
      <xdr:col>8</xdr:col>
      <xdr:colOff>6350</xdr:colOff>
      <xdr:row>4687</xdr:row>
      <xdr:rowOff>25400</xdr:rowOff>
    </xdr:from>
    <xdr:to>
      <xdr:col>8</xdr:col>
      <xdr:colOff>885190</xdr:colOff>
      <xdr:row>4687</xdr:row>
      <xdr:rowOff>1209040</xdr:rowOff>
    </xdr:to>
    <xdr:pic>
      <xdr:nvPicPr>
        <xdr:cNvPr id="7899" name="Изображение 7898" descr="resizeПП-00163776"/>
        <xdr:cNvPicPr>
          <a:picLocks noChangeAspect="1"/>
        </xdr:cNvPicPr>
      </xdr:nvPicPr>
      <xdr:blipFill>
        <a:blip xmlns:r="http://schemas.openxmlformats.org/officeDocument/2006/relationships" r:embed="rId3578"/>
        <a:stretch>
          <a:fillRect/>
        </a:stretch>
      </xdr:blipFill>
      <xdr:spPr>
        <a:xfrm>
          <a:off x="7264400" y="4668358075"/>
          <a:ext cx="878840" cy="1183640"/>
        </a:xfrm>
        <a:prstGeom prst="rect">
          <a:avLst/>
        </a:prstGeom>
      </xdr:spPr>
    </xdr:pic>
    <xdr:clientData/>
  </xdr:twoCellAnchor>
  <xdr:twoCellAnchor>
    <xdr:from>
      <xdr:col>8</xdr:col>
      <xdr:colOff>6350</xdr:colOff>
      <xdr:row>4688</xdr:row>
      <xdr:rowOff>25400</xdr:rowOff>
    </xdr:from>
    <xdr:to>
      <xdr:col>8</xdr:col>
      <xdr:colOff>885190</xdr:colOff>
      <xdr:row>4688</xdr:row>
      <xdr:rowOff>1209040</xdr:rowOff>
    </xdr:to>
    <xdr:pic>
      <xdr:nvPicPr>
        <xdr:cNvPr id="7900" name="Изображение 7899" descr="resizeПП-00163770"/>
        <xdr:cNvPicPr>
          <a:picLocks noChangeAspect="1"/>
        </xdr:cNvPicPr>
      </xdr:nvPicPr>
      <xdr:blipFill>
        <a:blip xmlns:r="http://schemas.openxmlformats.org/officeDocument/2006/relationships" r:embed="rId3579"/>
        <a:stretch>
          <a:fillRect/>
        </a:stretch>
      </xdr:blipFill>
      <xdr:spPr>
        <a:xfrm>
          <a:off x="7264400" y="4669580450"/>
          <a:ext cx="878840" cy="1183640"/>
        </a:xfrm>
        <a:prstGeom prst="rect">
          <a:avLst/>
        </a:prstGeom>
      </xdr:spPr>
    </xdr:pic>
    <xdr:clientData/>
  </xdr:twoCellAnchor>
  <xdr:twoCellAnchor>
    <xdr:from>
      <xdr:col>8</xdr:col>
      <xdr:colOff>6350</xdr:colOff>
      <xdr:row>4689</xdr:row>
      <xdr:rowOff>25400</xdr:rowOff>
    </xdr:from>
    <xdr:to>
      <xdr:col>8</xdr:col>
      <xdr:colOff>885190</xdr:colOff>
      <xdr:row>4689</xdr:row>
      <xdr:rowOff>1209040</xdr:rowOff>
    </xdr:to>
    <xdr:pic>
      <xdr:nvPicPr>
        <xdr:cNvPr id="7901" name="Изображение 7900" descr="resizeПП-00163771"/>
        <xdr:cNvPicPr>
          <a:picLocks noChangeAspect="1"/>
        </xdr:cNvPicPr>
      </xdr:nvPicPr>
      <xdr:blipFill>
        <a:blip xmlns:r="http://schemas.openxmlformats.org/officeDocument/2006/relationships" r:embed="rId3580"/>
        <a:stretch>
          <a:fillRect/>
        </a:stretch>
      </xdr:blipFill>
      <xdr:spPr>
        <a:xfrm>
          <a:off x="7264400" y="4670802825"/>
          <a:ext cx="878840" cy="1183640"/>
        </a:xfrm>
        <a:prstGeom prst="rect">
          <a:avLst/>
        </a:prstGeom>
      </xdr:spPr>
    </xdr:pic>
    <xdr:clientData/>
  </xdr:twoCellAnchor>
  <xdr:twoCellAnchor>
    <xdr:from>
      <xdr:col>8</xdr:col>
      <xdr:colOff>6350</xdr:colOff>
      <xdr:row>4691</xdr:row>
      <xdr:rowOff>25400</xdr:rowOff>
    </xdr:from>
    <xdr:to>
      <xdr:col>8</xdr:col>
      <xdr:colOff>885190</xdr:colOff>
      <xdr:row>4691</xdr:row>
      <xdr:rowOff>1209040</xdr:rowOff>
    </xdr:to>
    <xdr:pic>
      <xdr:nvPicPr>
        <xdr:cNvPr id="7902" name="Изображение 7901" descr="resizeПП-00192865"/>
        <xdr:cNvPicPr>
          <a:picLocks noChangeAspect="1"/>
        </xdr:cNvPicPr>
      </xdr:nvPicPr>
      <xdr:blipFill>
        <a:blip xmlns:r="http://schemas.openxmlformats.org/officeDocument/2006/relationships" r:embed="rId3581"/>
        <a:stretch>
          <a:fillRect/>
        </a:stretch>
      </xdr:blipFill>
      <xdr:spPr>
        <a:xfrm>
          <a:off x="7264400" y="4672177600"/>
          <a:ext cx="878840" cy="1183640"/>
        </a:xfrm>
        <a:prstGeom prst="rect">
          <a:avLst/>
        </a:prstGeom>
      </xdr:spPr>
    </xdr:pic>
    <xdr:clientData/>
  </xdr:twoCellAnchor>
  <xdr:twoCellAnchor>
    <xdr:from>
      <xdr:col>8</xdr:col>
      <xdr:colOff>6350</xdr:colOff>
      <xdr:row>4692</xdr:row>
      <xdr:rowOff>25400</xdr:rowOff>
    </xdr:from>
    <xdr:to>
      <xdr:col>8</xdr:col>
      <xdr:colOff>885190</xdr:colOff>
      <xdr:row>4692</xdr:row>
      <xdr:rowOff>1209040</xdr:rowOff>
    </xdr:to>
    <xdr:pic>
      <xdr:nvPicPr>
        <xdr:cNvPr id="7903" name="Изображение 7902" descr="resizeПП-00192798"/>
        <xdr:cNvPicPr>
          <a:picLocks noChangeAspect="1"/>
        </xdr:cNvPicPr>
      </xdr:nvPicPr>
      <xdr:blipFill>
        <a:blip xmlns:r="http://schemas.openxmlformats.org/officeDocument/2006/relationships" r:embed="rId3582"/>
        <a:stretch>
          <a:fillRect/>
        </a:stretch>
      </xdr:blipFill>
      <xdr:spPr>
        <a:xfrm>
          <a:off x="7264400" y="4673399975"/>
          <a:ext cx="878840" cy="1183640"/>
        </a:xfrm>
        <a:prstGeom prst="rect">
          <a:avLst/>
        </a:prstGeom>
      </xdr:spPr>
    </xdr:pic>
    <xdr:clientData/>
  </xdr:twoCellAnchor>
  <xdr:twoCellAnchor>
    <xdr:from>
      <xdr:col>8</xdr:col>
      <xdr:colOff>6350</xdr:colOff>
      <xdr:row>4693</xdr:row>
      <xdr:rowOff>25400</xdr:rowOff>
    </xdr:from>
    <xdr:to>
      <xdr:col>8</xdr:col>
      <xdr:colOff>885190</xdr:colOff>
      <xdr:row>4693</xdr:row>
      <xdr:rowOff>1209040</xdr:rowOff>
    </xdr:to>
    <xdr:pic>
      <xdr:nvPicPr>
        <xdr:cNvPr id="7904" name="Изображение 7903" descr="resizeПП-00113983"/>
        <xdr:cNvPicPr>
          <a:picLocks noChangeAspect="1"/>
        </xdr:cNvPicPr>
      </xdr:nvPicPr>
      <xdr:blipFill>
        <a:blip xmlns:r="http://schemas.openxmlformats.org/officeDocument/2006/relationships" r:embed="rId3583"/>
        <a:stretch>
          <a:fillRect/>
        </a:stretch>
      </xdr:blipFill>
      <xdr:spPr>
        <a:xfrm>
          <a:off x="7264400" y="4674622350"/>
          <a:ext cx="878840" cy="1183640"/>
        </a:xfrm>
        <a:prstGeom prst="rect">
          <a:avLst/>
        </a:prstGeom>
      </xdr:spPr>
    </xdr:pic>
    <xdr:clientData/>
  </xdr:twoCellAnchor>
  <xdr:twoCellAnchor>
    <xdr:from>
      <xdr:col>8</xdr:col>
      <xdr:colOff>6350</xdr:colOff>
      <xdr:row>4694</xdr:row>
      <xdr:rowOff>25400</xdr:rowOff>
    </xdr:from>
    <xdr:to>
      <xdr:col>8</xdr:col>
      <xdr:colOff>885190</xdr:colOff>
      <xdr:row>4694</xdr:row>
      <xdr:rowOff>1209040</xdr:rowOff>
    </xdr:to>
    <xdr:pic>
      <xdr:nvPicPr>
        <xdr:cNvPr id="7905" name="Изображение 7904" descr="resizeПП-00113982"/>
        <xdr:cNvPicPr>
          <a:picLocks noChangeAspect="1"/>
        </xdr:cNvPicPr>
      </xdr:nvPicPr>
      <xdr:blipFill>
        <a:blip xmlns:r="http://schemas.openxmlformats.org/officeDocument/2006/relationships" r:embed="rId3584"/>
        <a:stretch>
          <a:fillRect/>
        </a:stretch>
      </xdr:blipFill>
      <xdr:spPr>
        <a:xfrm>
          <a:off x="7264400" y="4675844725"/>
          <a:ext cx="878840" cy="1183640"/>
        </a:xfrm>
        <a:prstGeom prst="rect">
          <a:avLst/>
        </a:prstGeom>
      </xdr:spPr>
    </xdr:pic>
    <xdr:clientData/>
  </xdr:twoCellAnchor>
  <xdr:twoCellAnchor>
    <xdr:from>
      <xdr:col>8</xdr:col>
      <xdr:colOff>6350</xdr:colOff>
      <xdr:row>4695</xdr:row>
      <xdr:rowOff>25400</xdr:rowOff>
    </xdr:from>
    <xdr:to>
      <xdr:col>8</xdr:col>
      <xdr:colOff>885190</xdr:colOff>
      <xdr:row>4695</xdr:row>
      <xdr:rowOff>1209040</xdr:rowOff>
    </xdr:to>
    <xdr:pic>
      <xdr:nvPicPr>
        <xdr:cNvPr id="7906" name="Изображение 7905" descr="resizeПП-00122880"/>
        <xdr:cNvPicPr>
          <a:picLocks noChangeAspect="1"/>
        </xdr:cNvPicPr>
      </xdr:nvPicPr>
      <xdr:blipFill>
        <a:blip xmlns:r="http://schemas.openxmlformats.org/officeDocument/2006/relationships" r:embed="rId3585"/>
        <a:stretch>
          <a:fillRect/>
        </a:stretch>
      </xdr:blipFill>
      <xdr:spPr>
        <a:xfrm>
          <a:off x="7264400" y="4677067100"/>
          <a:ext cx="878840" cy="1183640"/>
        </a:xfrm>
        <a:prstGeom prst="rect">
          <a:avLst/>
        </a:prstGeom>
      </xdr:spPr>
    </xdr:pic>
    <xdr:clientData/>
  </xdr:twoCellAnchor>
  <xdr:twoCellAnchor>
    <xdr:from>
      <xdr:col>8</xdr:col>
      <xdr:colOff>6350</xdr:colOff>
      <xdr:row>4696</xdr:row>
      <xdr:rowOff>25400</xdr:rowOff>
    </xdr:from>
    <xdr:to>
      <xdr:col>8</xdr:col>
      <xdr:colOff>885190</xdr:colOff>
      <xdr:row>4696</xdr:row>
      <xdr:rowOff>1209040</xdr:rowOff>
    </xdr:to>
    <xdr:pic>
      <xdr:nvPicPr>
        <xdr:cNvPr id="7907" name="Изображение 7906" descr="resizeПП-00114057"/>
        <xdr:cNvPicPr>
          <a:picLocks noChangeAspect="1"/>
        </xdr:cNvPicPr>
      </xdr:nvPicPr>
      <xdr:blipFill>
        <a:blip xmlns:r="http://schemas.openxmlformats.org/officeDocument/2006/relationships" r:embed="rId3586"/>
        <a:stretch>
          <a:fillRect/>
        </a:stretch>
      </xdr:blipFill>
      <xdr:spPr>
        <a:xfrm>
          <a:off x="7264400" y="4678289475"/>
          <a:ext cx="878840" cy="1183640"/>
        </a:xfrm>
        <a:prstGeom prst="rect">
          <a:avLst/>
        </a:prstGeom>
      </xdr:spPr>
    </xdr:pic>
    <xdr:clientData/>
  </xdr:twoCellAnchor>
  <xdr:twoCellAnchor>
    <xdr:from>
      <xdr:col>8</xdr:col>
      <xdr:colOff>6350</xdr:colOff>
      <xdr:row>4697</xdr:row>
      <xdr:rowOff>25400</xdr:rowOff>
    </xdr:from>
    <xdr:to>
      <xdr:col>8</xdr:col>
      <xdr:colOff>885190</xdr:colOff>
      <xdr:row>4697</xdr:row>
      <xdr:rowOff>1209040</xdr:rowOff>
    </xdr:to>
    <xdr:pic>
      <xdr:nvPicPr>
        <xdr:cNvPr id="7908" name="Изображение 7907" descr="resizeПП-00192867"/>
        <xdr:cNvPicPr>
          <a:picLocks noChangeAspect="1"/>
        </xdr:cNvPicPr>
      </xdr:nvPicPr>
      <xdr:blipFill>
        <a:blip xmlns:r="http://schemas.openxmlformats.org/officeDocument/2006/relationships" r:embed="rId3587"/>
        <a:stretch>
          <a:fillRect/>
        </a:stretch>
      </xdr:blipFill>
      <xdr:spPr>
        <a:xfrm>
          <a:off x="7264400" y="4679511850"/>
          <a:ext cx="878840" cy="1183640"/>
        </a:xfrm>
        <a:prstGeom prst="rect">
          <a:avLst/>
        </a:prstGeom>
      </xdr:spPr>
    </xdr:pic>
    <xdr:clientData/>
  </xdr:twoCellAnchor>
  <xdr:twoCellAnchor>
    <xdr:from>
      <xdr:col>8</xdr:col>
      <xdr:colOff>6350</xdr:colOff>
      <xdr:row>4700</xdr:row>
      <xdr:rowOff>25400</xdr:rowOff>
    </xdr:from>
    <xdr:to>
      <xdr:col>8</xdr:col>
      <xdr:colOff>885190</xdr:colOff>
      <xdr:row>4700</xdr:row>
      <xdr:rowOff>1209040</xdr:rowOff>
    </xdr:to>
    <xdr:pic>
      <xdr:nvPicPr>
        <xdr:cNvPr id="7909" name="Изображение 7908" descr="resizeПП-00230975"/>
        <xdr:cNvPicPr>
          <a:picLocks noChangeAspect="1"/>
        </xdr:cNvPicPr>
      </xdr:nvPicPr>
      <xdr:blipFill>
        <a:blip xmlns:r="http://schemas.openxmlformats.org/officeDocument/2006/relationships" r:embed="rId3588"/>
        <a:stretch>
          <a:fillRect/>
        </a:stretch>
      </xdr:blipFill>
      <xdr:spPr>
        <a:xfrm>
          <a:off x="7264400" y="4681039025"/>
          <a:ext cx="878840" cy="1183640"/>
        </a:xfrm>
        <a:prstGeom prst="rect">
          <a:avLst/>
        </a:prstGeom>
      </xdr:spPr>
    </xdr:pic>
    <xdr:clientData/>
  </xdr:twoCellAnchor>
  <xdr:twoCellAnchor>
    <xdr:from>
      <xdr:col>8</xdr:col>
      <xdr:colOff>6350</xdr:colOff>
      <xdr:row>4701</xdr:row>
      <xdr:rowOff>25400</xdr:rowOff>
    </xdr:from>
    <xdr:to>
      <xdr:col>8</xdr:col>
      <xdr:colOff>885190</xdr:colOff>
      <xdr:row>4701</xdr:row>
      <xdr:rowOff>1209040</xdr:rowOff>
    </xdr:to>
    <xdr:pic>
      <xdr:nvPicPr>
        <xdr:cNvPr id="7910" name="Изображение 7909" descr="resizeПП-00226300"/>
        <xdr:cNvPicPr>
          <a:picLocks noChangeAspect="1"/>
        </xdr:cNvPicPr>
      </xdr:nvPicPr>
      <xdr:blipFill>
        <a:blip xmlns:r="http://schemas.openxmlformats.org/officeDocument/2006/relationships" r:embed="rId3589"/>
        <a:stretch>
          <a:fillRect/>
        </a:stretch>
      </xdr:blipFill>
      <xdr:spPr>
        <a:xfrm>
          <a:off x="7264400" y="4682261400"/>
          <a:ext cx="878840" cy="1183640"/>
        </a:xfrm>
        <a:prstGeom prst="rect">
          <a:avLst/>
        </a:prstGeom>
      </xdr:spPr>
    </xdr:pic>
    <xdr:clientData/>
  </xdr:twoCellAnchor>
  <xdr:twoCellAnchor>
    <xdr:from>
      <xdr:col>8</xdr:col>
      <xdr:colOff>6350</xdr:colOff>
      <xdr:row>4702</xdr:row>
      <xdr:rowOff>25400</xdr:rowOff>
    </xdr:from>
    <xdr:to>
      <xdr:col>8</xdr:col>
      <xdr:colOff>885190</xdr:colOff>
      <xdr:row>4702</xdr:row>
      <xdr:rowOff>1209040</xdr:rowOff>
    </xdr:to>
    <xdr:pic>
      <xdr:nvPicPr>
        <xdr:cNvPr id="7911" name="Изображение 7910" descr="resizeПП-00226296"/>
        <xdr:cNvPicPr>
          <a:picLocks noChangeAspect="1"/>
        </xdr:cNvPicPr>
      </xdr:nvPicPr>
      <xdr:blipFill>
        <a:blip xmlns:r="http://schemas.openxmlformats.org/officeDocument/2006/relationships" r:embed="rId3590"/>
        <a:stretch>
          <a:fillRect/>
        </a:stretch>
      </xdr:blipFill>
      <xdr:spPr>
        <a:xfrm>
          <a:off x="7264400" y="4683483775"/>
          <a:ext cx="878840" cy="1183640"/>
        </a:xfrm>
        <a:prstGeom prst="rect">
          <a:avLst/>
        </a:prstGeom>
      </xdr:spPr>
    </xdr:pic>
    <xdr:clientData/>
  </xdr:twoCellAnchor>
  <xdr:twoCellAnchor>
    <xdr:from>
      <xdr:col>8</xdr:col>
      <xdr:colOff>6350</xdr:colOff>
      <xdr:row>4703</xdr:row>
      <xdr:rowOff>25400</xdr:rowOff>
    </xdr:from>
    <xdr:to>
      <xdr:col>8</xdr:col>
      <xdr:colOff>885190</xdr:colOff>
      <xdr:row>4703</xdr:row>
      <xdr:rowOff>1209040</xdr:rowOff>
    </xdr:to>
    <xdr:pic>
      <xdr:nvPicPr>
        <xdr:cNvPr id="7912" name="Изображение 7911" descr="resizeПП-00206963"/>
        <xdr:cNvPicPr>
          <a:picLocks noChangeAspect="1"/>
        </xdr:cNvPicPr>
      </xdr:nvPicPr>
      <xdr:blipFill>
        <a:blip xmlns:r="http://schemas.openxmlformats.org/officeDocument/2006/relationships" r:embed="rId3591"/>
        <a:stretch>
          <a:fillRect/>
        </a:stretch>
      </xdr:blipFill>
      <xdr:spPr>
        <a:xfrm>
          <a:off x="7264400" y="4684706150"/>
          <a:ext cx="878840" cy="1183640"/>
        </a:xfrm>
        <a:prstGeom prst="rect">
          <a:avLst/>
        </a:prstGeom>
      </xdr:spPr>
    </xdr:pic>
    <xdr:clientData/>
  </xdr:twoCellAnchor>
  <xdr:twoCellAnchor>
    <xdr:from>
      <xdr:col>8</xdr:col>
      <xdr:colOff>6350</xdr:colOff>
      <xdr:row>4706</xdr:row>
      <xdr:rowOff>25400</xdr:rowOff>
    </xdr:from>
    <xdr:to>
      <xdr:col>8</xdr:col>
      <xdr:colOff>885190</xdr:colOff>
      <xdr:row>4706</xdr:row>
      <xdr:rowOff>1209040</xdr:rowOff>
    </xdr:to>
    <xdr:pic>
      <xdr:nvPicPr>
        <xdr:cNvPr id="7913" name="Изображение 7912" descr="resizeПП-00214272"/>
        <xdr:cNvPicPr>
          <a:picLocks noChangeAspect="1"/>
        </xdr:cNvPicPr>
      </xdr:nvPicPr>
      <xdr:blipFill>
        <a:blip xmlns:r="http://schemas.openxmlformats.org/officeDocument/2006/relationships" r:embed="rId3592"/>
        <a:stretch>
          <a:fillRect/>
        </a:stretch>
      </xdr:blipFill>
      <xdr:spPr>
        <a:xfrm>
          <a:off x="7264400" y="4686233325"/>
          <a:ext cx="878840" cy="1183640"/>
        </a:xfrm>
        <a:prstGeom prst="rect">
          <a:avLst/>
        </a:prstGeom>
      </xdr:spPr>
    </xdr:pic>
    <xdr:clientData/>
  </xdr:twoCellAnchor>
  <xdr:twoCellAnchor>
    <xdr:from>
      <xdr:col>8</xdr:col>
      <xdr:colOff>6350</xdr:colOff>
      <xdr:row>4707</xdr:row>
      <xdr:rowOff>25400</xdr:rowOff>
    </xdr:from>
    <xdr:to>
      <xdr:col>8</xdr:col>
      <xdr:colOff>885190</xdr:colOff>
      <xdr:row>4707</xdr:row>
      <xdr:rowOff>1209040</xdr:rowOff>
    </xdr:to>
    <xdr:pic>
      <xdr:nvPicPr>
        <xdr:cNvPr id="7914" name="Изображение 7913" descr="resizeПП-00214270"/>
        <xdr:cNvPicPr>
          <a:picLocks noChangeAspect="1"/>
        </xdr:cNvPicPr>
      </xdr:nvPicPr>
      <xdr:blipFill>
        <a:blip xmlns:r="http://schemas.openxmlformats.org/officeDocument/2006/relationships" r:embed="rId3593"/>
        <a:stretch>
          <a:fillRect/>
        </a:stretch>
      </xdr:blipFill>
      <xdr:spPr>
        <a:xfrm>
          <a:off x="7264400" y="4687455700"/>
          <a:ext cx="878840" cy="1183640"/>
        </a:xfrm>
        <a:prstGeom prst="rect">
          <a:avLst/>
        </a:prstGeom>
      </xdr:spPr>
    </xdr:pic>
    <xdr:clientData/>
  </xdr:twoCellAnchor>
  <xdr:twoCellAnchor>
    <xdr:from>
      <xdr:col>8</xdr:col>
      <xdr:colOff>6350</xdr:colOff>
      <xdr:row>4708</xdr:row>
      <xdr:rowOff>25400</xdr:rowOff>
    </xdr:from>
    <xdr:to>
      <xdr:col>8</xdr:col>
      <xdr:colOff>885190</xdr:colOff>
      <xdr:row>4708</xdr:row>
      <xdr:rowOff>1209040</xdr:rowOff>
    </xdr:to>
    <xdr:pic>
      <xdr:nvPicPr>
        <xdr:cNvPr id="7915" name="Изображение 7914" descr="resizeПП-00214264"/>
        <xdr:cNvPicPr>
          <a:picLocks noChangeAspect="1"/>
        </xdr:cNvPicPr>
      </xdr:nvPicPr>
      <xdr:blipFill>
        <a:blip xmlns:r="http://schemas.openxmlformats.org/officeDocument/2006/relationships" r:embed="rId3594"/>
        <a:stretch>
          <a:fillRect/>
        </a:stretch>
      </xdr:blipFill>
      <xdr:spPr>
        <a:xfrm>
          <a:off x="7264400" y="4688678075"/>
          <a:ext cx="878840" cy="1183640"/>
        </a:xfrm>
        <a:prstGeom prst="rect">
          <a:avLst/>
        </a:prstGeom>
      </xdr:spPr>
    </xdr:pic>
    <xdr:clientData/>
  </xdr:twoCellAnchor>
  <xdr:twoCellAnchor>
    <xdr:from>
      <xdr:col>8</xdr:col>
      <xdr:colOff>6350</xdr:colOff>
      <xdr:row>4709</xdr:row>
      <xdr:rowOff>25400</xdr:rowOff>
    </xdr:from>
    <xdr:to>
      <xdr:col>8</xdr:col>
      <xdr:colOff>885190</xdr:colOff>
      <xdr:row>4709</xdr:row>
      <xdr:rowOff>1209040</xdr:rowOff>
    </xdr:to>
    <xdr:pic>
      <xdr:nvPicPr>
        <xdr:cNvPr id="7916" name="Изображение 7915" descr="resizeПП-00214268"/>
        <xdr:cNvPicPr>
          <a:picLocks noChangeAspect="1"/>
        </xdr:cNvPicPr>
      </xdr:nvPicPr>
      <xdr:blipFill>
        <a:blip xmlns:r="http://schemas.openxmlformats.org/officeDocument/2006/relationships" r:embed="rId3595"/>
        <a:stretch>
          <a:fillRect/>
        </a:stretch>
      </xdr:blipFill>
      <xdr:spPr>
        <a:xfrm>
          <a:off x="7264400" y="4689900450"/>
          <a:ext cx="878840" cy="1183640"/>
        </a:xfrm>
        <a:prstGeom prst="rect">
          <a:avLst/>
        </a:prstGeom>
      </xdr:spPr>
    </xdr:pic>
    <xdr:clientData/>
  </xdr:twoCellAnchor>
  <xdr:twoCellAnchor>
    <xdr:from>
      <xdr:col>8</xdr:col>
      <xdr:colOff>6350</xdr:colOff>
      <xdr:row>4710</xdr:row>
      <xdr:rowOff>25400</xdr:rowOff>
    </xdr:from>
    <xdr:to>
      <xdr:col>8</xdr:col>
      <xdr:colOff>885190</xdr:colOff>
      <xdr:row>4710</xdr:row>
      <xdr:rowOff>1209040</xdr:rowOff>
    </xdr:to>
    <xdr:pic>
      <xdr:nvPicPr>
        <xdr:cNvPr id="7917" name="Изображение 7916" descr="resizeПП-00214266"/>
        <xdr:cNvPicPr>
          <a:picLocks noChangeAspect="1"/>
        </xdr:cNvPicPr>
      </xdr:nvPicPr>
      <xdr:blipFill>
        <a:blip xmlns:r="http://schemas.openxmlformats.org/officeDocument/2006/relationships" r:embed="rId3596"/>
        <a:stretch>
          <a:fillRect/>
        </a:stretch>
      </xdr:blipFill>
      <xdr:spPr>
        <a:xfrm>
          <a:off x="7264400" y="4691122825"/>
          <a:ext cx="878840" cy="1183640"/>
        </a:xfrm>
        <a:prstGeom prst="rect">
          <a:avLst/>
        </a:prstGeom>
      </xdr:spPr>
    </xdr:pic>
    <xdr:clientData/>
  </xdr:twoCellAnchor>
  <xdr:twoCellAnchor>
    <xdr:from>
      <xdr:col>8</xdr:col>
      <xdr:colOff>6350</xdr:colOff>
      <xdr:row>4711</xdr:row>
      <xdr:rowOff>25400</xdr:rowOff>
    </xdr:from>
    <xdr:to>
      <xdr:col>8</xdr:col>
      <xdr:colOff>885190</xdr:colOff>
      <xdr:row>4711</xdr:row>
      <xdr:rowOff>1209040</xdr:rowOff>
    </xdr:to>
    <xdr:pic>
      <xdr:nvPicPr>
        <xdr:cNvPr id="7918" name="Изображение 7917" descr="resizeПП-00214258"/>
        <xdr:cNvPicPr>
          <a:picLocks noChangeAspect="1"/>
        </xdr:cNvPicPr>
      </xdr:nvPicPr>
      <xdr:blipFill>
        <a:blip xmlns:r="http://schemas.openxmlformats.org/officeDocument/2006/relationships" r:embed="rId3597"/>
        <a:stretch>
          <a:fillRect/>
        </a:stretch>
      </xdr:blipFill>
      <xdr:spPr>
        <a:xfrm>
          <a:off x="7264400" y="4692345200"/>
          <a:ext cx="878840" cy="1183640"/>
        </a:xfrm>
        <a:prstGeom prst="rect">
          <a:avLst/>
        </a:prstGeom>
      </xdr:spPr>
    </xdr:pic>
    <xdr:clientData/>
  </xdr:twoCellAnchor>
  <xdr:twoCellAnchor>
    <xdr:from>
      <xdr:col>8</xdr:col>
      <xdr:colOff>6350</xdr:colOff>
      <xdr:row>4712</xdr:row>
      <xdr:rowOff>25400</xdr:rowOff>
    </xdr:from>
    <xdr:to>
      <xdr:col>8</xdr:col>
      <xdr:colOff>885190</xdr:colOff>
      <xdr:row>4712</xdr:row>
      <xdr:rowOff>1209040</xdr:rowOff>
    </xdr:to>
    <xdr:pic>
      <xdr:nvPicPr>
        <xdr:cNvPr id="7919" name="Изображение 7918" descr="resizeПП-00214262"/>
        <xdr:cNvPicPr>
          <a:picLocks noChangeAspect="1"/>
        </xdr:cNvPicPr>
      </xdr:nvPicPr>
      <xdr:blipFill>
        <a:blip xmlns:r="http://schemas.openxmlformats.org/officeDocument/2006/relationships" r:embed="rId3598"/>
        <a:stretch>
          <a:fillRect/>
        </a:stretch>
      </xdr:blipFill>
      <xdr:spPr>
        <a:xfrm>
          <a:off x="7264400" y="4693567575"/>
          <a:ext cx="878840" cy="1183640"/>
        </a:xfrm>
        <a:prstGeom prst="rect">
          <a:avLst/>
        </a:prstGeom>
      </xdr:spPr>
    </xdr:pic>
    <xdr:clientData/>
  </xdr:twoCellAnchor>
  <xdr:twoCellAnchor>
    <xdr:from>
      <xdr:col>8</xdr:col>
      <xdr:colOff>6350</xdr:colOff>
      <xdr:row>4714</xdr:row>
      <xdr:rowOff>25400</xdr:rowOff>
    </xdr:from>
    <xdr:to>
      <xdr:col>8</xdr:col>
      <xdr:colOff>885190</xdr:colOff>
      <xdr:row>4714</xdr:row>
      <xdr:rowOff>1209040</xdr:rowOff>
    </xdr:to>
    <xdr:pic>
      <xdr:nvPicPr>
        <xdr:cNvPr id="7920" name="Изображение 7919" descr="resizeПП-00214261"/>
        <xdr:cNvPicPr>
          <a:picLocks noChangeAspect="1"/>
        </xdr:cNvPicPr>
      </xdr:nvPicPr>
      <xdr:blipFill>
        <a:blip xmlns:r="http://schemas.openxmlformats.org/officeDocument/2006/relationships" r:embed="rId3599"/>
        <a:stretch>
          <a:fillRect/>
        </a:stretch>
      </xdr:blipFill>
      <xdr:spPr>
        <a:xfrm>
          <a:off x="7264400" y="4694942350"/>
          <a:ext cx="878840" cy="1183640"/>
        </a:xfrm>
        <a:prstGeom prst="rect">
          <a:avLst/>
        </a:prstGeom>
      </xdr:spPr>
    </xdr:pic>
    <xdr:clientData/>
  </xdr:twoCellAnchor>
  <xdr:twoCellAnchor>
    <xdr:from>
      <xdr:col>8</xdr:col>
      <xdr:colOff>6350</xdr:colOff>
      <xdr:row>4715</xdr:row>
      <xdr:rowOff>25400</xdr:rowOff>
    </xdr:from>
    <xdr:to>
      <xdr:col>8</xdr:col>
      <xdr:colOff>885190</xdr:colOff>
      <xdr:row>4715</xdr:row>
      <xdr:rowOff>1209040</xdr:rowOff>
    </xdr:to>
    <xdr:pic>
      <xdr:nvPicPr>
        <xdr:cNvPr id="7921" name="Изображение 7920" descr="resizeПП-00214273"/>
        <xdr:cNvPicPr>
          <a:picLocks noChangeAspect="1"/>
        </xdr:cNvPicPr>
      </xdr:nvPicPr>
      <xdr:blipFill>
        <a:blip xmlns:r="http://schemas.openxmlformats.org/officeDocument/2006/relationships" r:embed="rId3600"/>
        <a:stretch>
          <a:fillRect/>
        </a:stretch>
      </xdr:blipFill>
      <xdr:spPr>
        <a:xfrm>
          <a:off x="7264400" y="4696164725"/>
          <a:ext cx="878840" cy="1183640"/>
        </a:xfrm>
        <a:prstGeom prst="rect">
          <a:avLst/>
        </a:prstGeom>
      </xdr:spPr>
    </xdr:pic>
    <xdr:clientData/>
  </xdr:twoCellAnchor>
  <xdr:twoCellAnchor>
    <xdr:from>
      <xdr:col>8</xdr:col>
      <xdr:colOff>6350</xdr:colOff>
      <xdr:row>4716</xdr:row>
      <xdr:rowOff>25400</xdr:rowOff>
    </xdr:from>
    <xdr:to>
      <xdr:col>8</xdr:col>
      <xdr:colOff>885190</xdr:colOff>
      <xdr:row>4716</xdr:row>
      <xdr:rowOff>1209040</xdr:rowOff>
    </xdr:to>
    <xdr:pic>
      <xdr:nvPicPr>
        <xdr:cNvPr id="7922" name="Изображение 7921" descr="resizeПП-00214275"/>
        <xdr:cNvPicPr>
          <a:picLocks noChangeAspect="1"/>
        </xdr:cNvPicPr>
      </xdr:nvPicPr>
      <xdr:blipFill>
        <a:blip xmlns:r="http://schemas.openxmlformats.org/officeDocument/2006/relationships" r:embed="rId3601"/>
        <a:stretch>
          <a:fillRect/>
        </a:stretch>
      </xdr:blipFill>
      <xdr:spPr>
        <a:xfrm>
          <a:off x="7264400" y="4697387100"/>
          <a:ext cx="878840" cy="1183640"/>
        </a:xfrm>
        <a:prstGeom prst="rect">
          <a:avLst/>
        </a:prstGeom>
      </xdr:spPr>
    </xdr:pic>
    <xdr:clientData/>
  </xdr:twoCellAnchor>
  <xdr:twoCellAnchor>
    <xdr:from>
      <xdr:col>8</xdr:col>
      <xdr:colOff>6350</xdr:colOff>
      <xdr:row>4717</xdr:row>
      <xdr:rowOff>25400</xdr:rowOff>
    </xdr:from>
    <xdr:to>
      <xdr:col>8</xdr:col>
      <xdr:colOff>885190</xdr:colOff>
      <xdr:row>4717</xdr:row>
      <xdr:rowOff>1209040</xdr:rowOff>
    </xdr:to>
    <xdr:pic>
      <xdr:nvPicPr>
        <xdr:cNvPr id="7923" name="Изображение 7922" descr="resizeПП-00214269"/>
        <xdr:cNvPicPr>
          <a:picLocks noChangeAspect="1"/>
        </xdr:cNvPicPr>
      </xdr:nvPicPr>
      <xdr:blipFill>
        <a:blip xmlns:r="http://schemas.openxmlformats.org/officeDocument/2006/relationships" r:embed="rId3602"/>
        <a:stretch>
          <a:fillRect/>
        </a:stretch>
      </xdr:blipFill>
      <xdr:spPr>
        <a:xfrm>
          <a:off x="7264400" y="4698609475"/>
          <a:ext cx="878840" cy="1183640"/>
        </a:xfrm>
        <a:prstGeom prst="rect">
          <a:avLst/>
        </a:prstGeom>
      </xdr:spPr>
    </xdr:pic>
    <xdr:clientData/>
  </xdr:twoCellAnchor>
  <xdr:twoCellAnchor>
    <xdr:from>
      <xdr:col>8</xdr:col>
      <xdr:colOff>6350</xdr:colOff>
      <xdr:row>4720</xdr:row>
      <xdr:rowOff>25400</xdr:rowOff>
    </xdr:from>
    <xdr:to>
      <xdr:col>8</xdr:col>
      <xdr:colOff>885190</xdr:colOff>
      <xdr:row>4720</xdr:row>
      <xdr:rowOff>1209040</xdr:rowOff>
    </xdr:to>
    <xdr:pic>
      <xdr:nvPicPr>
        <xdr:cNvPr id="7924" name="Изображение 7923" descr="resizeПП-00236649"/>
        <xdr:cNvPicPr>
          <a:picLocks noChangeAspect="1"/>
        </xdr:cNvPicPr>
      </xdr:nvPicPr>
      <xdr:blipFill>
        <a:blip xmlns:r="http://schemas.openxmlformats.org/officeDocument/2006/relationships" r:embed="rId3603"/>
        <a:stretch>
          <a:fillRect/>
        </a:stretch>
      </xdr:blipFill>
      <xdr:spPr>
        <a:xfrm>
          <a:off x="7264400" y="4700136650"/>
          <a:ext cx="878840" cy="1183640"/>
        </a:xfrm>
        <a:prstGeom prst="rect">
          <a:avLst/>
        </a:prstGeom>
      </xdr:spPr>
    </xdr:pic>
    <xdr:clientData/>
  </xdr:twoCellAnchor>
  <xdr:twoCellAnchor>
    <xdr:from>
      <xdr:col>8</xdr:col>
      <xdr:colOff>6350</xdr:colOff>
      <xdr:row>4723</xdr:row>
      <xdr:rowOff>25400</xdr:rowOff>
    </xdr:from>
    <xdr:to>
      <xdr:col>8</xdr:col>
      <xdr:colOff>885190</xdr:colOff>
      <xdr:row>4723</xdr:row>
      <xdr:rowOff>1209040</xdr:rowOff>
    </xdr:to>
    <xdr:pic>
      <xdr:nvPicPr>
        <xdr:cNvPr id="7925" name="Изображение 7924" descr="resizeПП-00229002"/>
        <xdr:cNvPicPr>
          <a:picLocks noChangeAspect="1"/>
        </xdr:cNvPicPr>
      </xdr:nvPicPr>
      <xdr:blipFill>
        <a:blip xmlns:r="http://schemas.openxmlformats.org/officeDocument/2006/relationships" r:embed="rId3604"/>
        <a:stretch>
          <a:fillRect/>
        </a:stretch>
      </xdr:blipFill>
      <xdr:spPr>
        <a:xfrm>
          <a:off x="7264400" y="4701663825"/>
          <a:ext cx="878840" cy="1183640"/>
        </a:xfrm>
        <a:prstGeom prst="rect">
          <a:avLst/>
        </a:prstGeom>
      </xdr:spPr>
    </xdr:pic>
    <xdr:clientData/>
  </xdr:twoCellAnchor>
  <xdr:twoCellAnchor>
    <xdr:from>
      <xdr:col>8</xdr:col>
      <xdr:colOff>6350</xdr:colOff>
      <xdr:row>4724</xdr:row>
      <xdr:rowOff>25400</xdr:rowOff>
    </xdr:from>
    <xdr:to>
      <xdr:col>8</xdr:col>
      <xdr:colOff>885190</xdr:colOff>
      <xdr:row>4724</xdr:row>
      <xdr:rowOff>1209040</xdr:rowOff>
    </xdr:to>
    <xdr:pic>
      <xdr:nvPicPr>
        <xdr:cNvPr id="7926" name="Изображение 7925" descr="resizeПП-00251238"/>
        <xdr:cNvPicPr>
          <a:picLocks noChangeAspect="1"/>
        </xdr:cNvPicPr>
      </xdr:nvPicPr>
      <xdr:blipFill>
        <a:blip xmlns:r="http://schemas.openxmlformats.org/officeDocument/2006/relationships" r:embed="rId3605"/>
        <a:stretch>
          <a:fillRect/>
        </a:stretch>
      </xdr:blipFill>
      <xdr:spPr>
        <a:xfrm>
          <a:off x="7264400" y="4702886200"/>
          <a:ext cx="878840" cy="1183640"/>
        </a:xfrm>
        <a:prstGeom prst="rect">
          <a:avLst/>
        </a:prstGeom>
      </xdr:spPr>
    </xdr:pic>
    <xdr:clientData/>
  </xdr:twoCellAnchor>
  <xdr:twoCellAnchor>
    <xdr:from>
      <xdr:col>8</xdr:col>
      <xdr:colOff>6350</xdr:colOff>
      <xdr:row>4725</xdr:row>
      <xdr:rowOff>25400</xdr:rowOff>
    </xdr:from>
    <xdr:to>
      <xdr:col>8</xdr:col>
      <xdr:colOff>885190</xdr:colOff>
      <xdr:row>4725</xdr:row>
      <xdr:rowOff>1209040</xdr:rowOff>
    </xdr:to>
    <xdr:pic>
      <xdr:nvPicPr>
        <xdr:cNvPr id="7927" name="Изображение 7926" descr="resizeПП-00229000"/>
        <xdr:cNvPicPr>
          <a:picLocks noChangeAspect="1"/>
        </xdr:cNvPicPr>
      </xdr:nvPicPr>
      <xdr:blipFill>
        <a:blip xmlns:r="http://schemas.openxmlformats.org/officeDocument/2006/relationships" r:embed="rId3606"/>
        <a:stretch>
          <a:fillRect/>
        </a:stretch>
      </xdr:blipFill>
      <xdr:spPr>
        <a:xfrm>
          <a:off x="7264400" y="4704108575"/>
          <a:ext cx="878840" cy="1183640"/>
        </a:xfrm>
        <a:prstGeom prst="rect">
          <a:avLst/>
        </a:prstGeom>
      </xdr:spPr>
    </xdr:pic>
    <xdr:clientData/>
  </xdr:twoCellAnchor>
  <xdr:twoCellAnchor>
    <xdr:from>
      <xdr:col>8</xdr:col>
      <xdr:colOff>6350</xdr:colOff>
      <xdr:row>4726</xdr:row>
      <xdr:rowOff>25400</xdr:rowOff>
    </xdr:from>
    <xdr:to>
      <xdr:col>8</xdr:col>
      <xdr:colOff>885190</xdr:colOff>
      <xdr:row>4726</xdr:row>
      <xdr:rowOff>1209040</xdr:rowOff>
    </xdr:to>
    <xdr:pic>
      <xdr:nvPicPr>
        <xdr:cNvPr id="7928" name="Изображение 7927" descr="resizeПП-00229036"/>
        <xdr:cNvPicPr>
          <a:picLocks noChangeAspect="1"/>
        </xdr:cNvPicPr>
      </xdr:nvPicPr>
      <xdr:blipFill>
        <a:blip xmlns:r="http://schemas.openxmlformats.org/officeDocument/2006/relationships" r:embed="rId3607"/>
        <a:stretch>
          <a:fillRect/>
        </a:stretch>
      </xdr:blipFill>
      <xdr:spPr>
        <a:xfrm>
          <a:off x="7264400" y="4705330950"/>
          <a:ext cx="878840" cy="1183640"/>
        </a:xfrm>
        <a:prstGeom prst="rect">
          <a:avLst/>
        </a:prstGeom>
      </xdr:spPr>
    </xdr:pic>
    <xdr:clientData/>
  </xdr:twoCellAnchor>
  <xdr:twoCellAnchor>
    <xdr:from>
      <xdr:col>8</xdr:col>
      <xdr:colOff>6350</xdr:colOff>
      <xdr:row>4727</xdr:row>
      <xdr:rowOff>25400</xdr:rowOff>
    </xdr:from>
    <xdr:to>
      <xdr:col>8</xdr:col>
      <xdr:colOff>885190</xdr:colOff>
      <xdr:row>4727</xdr:row>
      <xdr:rowOff>1209040</xdr:rowOff>
    </xdr:to>
    <xdr:pic>
      <xdr:nvPicPr>
        <xdr:cNvPr id="7929" name="Изображение 7928" descr="resizeПП-00229028"/>
        <xdr:cNvPicPr>
          <a:picLocks noChangeAspect="1"/>
        </xdr:cNvPicPr>
      </xdr:nvPicPr>
      <xdr:blipFill>
        <a:blip xmlns:r="http://schemas.openxmlformats.org/officeDocument/2006/relationships" r:embed="rId3608"/>
        <a:stretch>
          <a:fillRect/>
        </a:stretch>
      </xdr:blipFill>
      <xdr:spPr>
        <a:xfrm>
          <a:off x="7264400" y="4706553325"/>
          <a:ext cx="878840" cy="1183640"/>
        </a:xfrm>
        <a:prstGeom prst="rect">
          <a:avLst/>
        </a:prstGeom>
      </xdr:spPr>
    </xdr:pic>
    <xdr:clientData/>
  </xdr:twoCellAnchor>
  <xdr:twoCellAnchor>
    <xdr:from>
      <xdr:col>8</xdr:col>
      <xdr:colOff>6350</xdr:colOff>
      <xdr:row>4728</xdr:row>
      <xdr:rowOff>25400</xdr:rowOff>
    </xdr:from>
    <xdr:to>
      <xdr:col>8</xdr:col>
      <xdr:colOff>885190</xdr:colOff>
      <xdr:row>4728</xdr:row>
      <xdr:rowOff>1209040</xdr:rowOff>
    </xdr:to>
    <xdr:pic>
      <xdr:nvPicPr>
        <xdr:cNvPr id="7930" name="Изображение 7929" descr="resizeПП-00229032"/>
        <xdr:cNvPicPr>
          <a:picLocks noChangeAspect="1"/>
        </xdr:cNvPicPr>
      </xdr:nvPicPr>
      <xdr:blipFill>
        <a:blip xmlns:r="http://schemas.openxmlformats.org/officeDocument/2006/relationships" r:embed="rId3607"/>
        <a:stretch>
          <a:fillRect/>
        </a:stretch>
      </xdr:blipFill>
      <xdr:spPr>
        <a:xfrm>
          <a:off x="7264400" y="4707775700"/>
          <a:ext cx="878840" cy="1183640"/>
        </a:xfrm>
        <a:prstGeom prst="rect">
          <a:avLst/>
        </a:prstGeom>
      </xdr:spPr>
    </xdr:pic>
    <xdr:clientData/>
  </xdr:twoCellAnchor>
  <xdr:twoCellAnchor>
    <xdr:from>
      <xdr:col>8</xdr:col>
      <xdr:colOff>6350</xdr:colOff>
      <xdr:row>4729</xdr:row>
      <xdr:rowOff>25400</xdr:rowOff>
    </xdr:from>
    <xdr:to>
      <xdr:col>8</xdr:col>
      <xdr:colOff>885190</xdr:colOff>
      <xdr:row>4729</xdr:row>
      <xdr:rowOff>1209040</xdr:rowOff>
    </xdr:to>
    <xdr:pic>
      <xdr:nvPicPr>
        <xdr:cNvPr id="7931" name="Изображение 7930" descr="resizeПП-00229019"/>
        <xdr:cNvPicPr>
          <a:picLocks noChangeAspect="1"/>
        </xdr:cNvPicPr>
      </xdr:nvPicPr>
      <xdr:blipFill>
        <a:blip xmlns:r="http://schemas.openxmlformats.org/officeDocument/2006/relationships" r:embed="rId3609"/>
        <a:stretch>
          <a:fillRect/>
        </a:stretch>
      </xdr:blipFill>
      <xdr:spPr>
        <a:xfrm>
          <a:off x="7264400" y="4708998075"/>
          <a:ext cx="878840" cy="1183640"/>
        </a:xfrm>
        <a:prstGeom prst="rect">
          <a:avLst/>
        </a:prstGeom>
      </xdr:spPr>
    </xdr:pic>
    <xdr:clientData/>
  </xdr:twoCellAnchor>
  <xdr:twoCellAnchor>
    <xdr:from>
      <xdr:col>8</xdr:col>
      <xdr:colOff>6350</xdr:colOff>
      <xdr:row>4730</xdr:row>
      <xdr:rowOff>25400</xdr:rowOff>
    </xdr:from>
    <xdr:to>
      <xdr:col>8</xdr:col>
      <xdr:colOff>885190</xdr:colOff>
      <xdr:row>4730</xdr:row>
      <xdr:rowOff>1209040</xdr:rowOff>
    </xdr:to>
    <xdr:pic>
      <xdr:nvPicPr>
        <xdr:cNvPr id="7932" name="Изображение 7931" descr="resizeПП-00222527"/>
        <xdr:cNvPicPr>
          <a:picLocks noChangeAspect="1"/>
        </xdr:cNvPicPr>
      </xdr:nvPicPr>
      <xdr:blipFill>
        <a:blip xmlns:r="http://schemas.openxmlformats.org/officeDocument/2006/relationships" r:embed="rId3610"/>
        <a:stretch>
          <a:fillRect/>
        </a:stretch>
      </xdr:blipFill>
      <xdr:spPr>
        <a:xfrm>
          <a:off x="7264400" y="4710220450"/>
          <a:ext cx="878840" cy="1183640"/>
        </a:xfrm>
        <a:prstGeom prst="rect">
          <a:avLst/>
        </a:prstGeom>
      </xdr:spPr>
    </xdr:pic>
    <xdr:clientData/>
  </xdr:twoCellAnchor>
  <xdr:twoCellAnchor>
    <xdr:from>
      <xdr:col>8</xdr:col>
      <xdr:colOff>6350</xdr:colOff>
      <xdr:row>4731</xdr:row>
      <xdr:rowOff>25400</xdr:rowOff>
    </xdr:from>
    <xdr:to>
      <xdr:col>8</xdr:col>
      <xdr:colOff>885190</xdr:colOff>
      <xdr:row>4731</xdr:row>
      <xdr:rowOff>1209040</xdr:rowOff>
    </xdr:to>
    <xdr:pic>
      <xdr:nvPicPr>
        <xdr:cNvPr id="7933" name="Изображение 7932" descr="resizeПП-00222528"/>
        <xdr:cNvPicPr>
          <a:picLocks noChangeAspect="1"/>
        </xdr:cNvPicPr>
      </xdr:nvPicPr>
      <xdr:blipFill>
        <a:blip xmlns:r="http://schemas.openxmlformats.org/officeDocument/2006/relationships" r:embed="rId3611"/>
        <a:stretch>
          <a:fillRect/>
        </a:stretch>
      </xdr:blipFill>
      <xdr:spPr>
        <a:xfrm>
          <a:off x="7264400" y="4711442825"/>
          <a:ext cx="878840" cy="1183640"/>
        </a:xfrm>
        <a:prstGeom prst="rect">
          <a:avLst/>
        </a:prstGeom>
      </xdr:spPr>
    </xdr:pic>
    <xdr:clientData/>
  </xdr:twoCellAnchor>
  <xdr:twoCellAnchor>
    <xdr:from>
      <xdr:col>8</xdr:col>
      <xdr:colOff>6350</xdr:colOff>
      <xdr:row>4732</xdr:row>
      <xdr:rowOff>25400</xdr:rowOff>
    </xdr:from>
    <xdr:to>
      <xdr:col>8</xdr:col>
      <xdr:colOff>885190</xdr:colOff>
      <xdr:row>4732</xdr:row>
      <xdr:rowOff>1209040</xdr:rowOff>
    </xdr:to>
    <xdr:pic>
      <xdr:nvPicPr>
        <xdr:cNvPr id="7934" name="Изображение 7933" descr="resizeПП-00251244"/>
        <xdr:cNvPicPr>
          <a:picLocks noChangeAspect="1"/>
        </xdr:cNvPicPr>
      </xdr:nvPicPr>
      <xdr:blipFill>
        <a:blip xmlns:r="http://schemas.openxmlformats.org/officeDocument/2006/relationships" r:embed="rId3612"/>
        <a:stretch>
          <a:fillRect/>
        </a:stretch>
      </xdr:blipFill>
      <xdr:spPr>
        <a:xfrm>
          <a:off x="7264400" y="4712665200"/>
          <a:ext cx="878840" cy="1183640"/>
        </a:xfrm>
        <a:prstGeom prst="rect">
          <a:avLst/>
        </a:prstGeom>
      </xdr:spPr>
    </xdr:pic>
    <xdr:clientData/>
  </xdr:twoCellAnchor>
  <xdr:twoCellAnchor>
    <xdr:from>
      <xdr:col>8</xdr:col>
      <xdr:colOff>6350</xdr:colOff>
      <xdr:row>4733</xdr:row>
      <xdr:rowOff>25400</xdr:rowOff>
    </xdr:from>
    <xdr:to>
      <xdr:col>8</xdr:col>
      <xdr:colOff>885190</xdr:colOff>
      <xdr:row>4733</xdr:row>
      <xdr:rowOff>1209040</xdr:rowOff>
    </xdr:to>
    <xdr:pic>
      <xdr:nvPicPr>
        <xdr:cNvPr id="7935" name="Изображение 7934" descr="resizeПП-00251247"/>
        <xdr:cNvPicPr>
          <a:picLocks noChangeAspect="1"/>
        </xdr:cNvPicPr>
      </xdr:nvPicPr>
      <xdr:blipFill>
        <a:blip xmlns:r="http://schemas.openxmlformats.org/officeDocument/2006/relationships" r:embed="rId3613"/>
        <a:stretch>
          <a:fillRect/>
        </a:stretch>
      </xdr:blipFill>
      <xdr:spPr>
        <a:xfrm>
          <a:off x="7264400" y="4713887575"/>
          <a:ext cx="878840" cy="1183640"/>
        </a:xfrm>
        <a:prstGeom prst="rect">
          <a:avLst/>
        </a:prstGeom>
      </xdr:spPr>
    </xdr:pic>
    <xdr:clientData/>
  </xdr:twoCellAnchor>
  <xdr:twoCellAnchor>
    <xdr:from>
      <xdr:col>8</xdr:col>
      <xdr:colOff>6350</xdr:colOff>
      <xdr:row>4734</xdr:row>
      <xdr:rowOff>25400</xdr:rowOff>
    </xdr:from>
    <xdr:to>
      <xdr:col>8</xdr:col>
      <xdr:colOff>885190</xdr:colOff>
      <xdr:row>4734</xdr:row>
      <xdr:rowOff>1209040</xdr:rowOff>
    </xdr:to>
    <xdr:pic>
      <xdr:nvPicPr>
        <xdr:cNvPr id="7936" name="Изображение 7935" descr="resizeПП-00251248"/>
        <xdr:cNvPicPr>
          <a:picLocks noChangeAspect="1"/>
        </xdr:cNvPicPr>
      </xdr:nvPicPr>
      <xdr:blipFill>
        <a:blip xmlns:r="http://schemas.openxmlformats.org/officeDocument/2006/relationships" r:embed="rId3613"/>
        <a:stretch>
          <a:fillRect/>
        </a:stretch>
      </xdr:blipFill>
      <xdr:spPr>
        <a:xfrm>
          <a:off x="7264400" y="4715109950"/>
          <a:ext cx="878840" cy="1183640"/>
        </a:xfrm>
        <a:prstGeom prst="rect">
          <a:avLst/>
        </a:prstGeom>
      </xdr:spPr>
    </xdr:pic>
    <xdr:clientData/>
  </xdr:twoCellAnchor>
  <xdr:twoCellAnchor>
    <xdr:from>
      <xdr:col>8</xdr:col>
      <xdr:colOff>6350</xdr:colOff>
      <xdr:row>4735</xdr:row>
      <xdr:rowOff>25400</xdr:rowOff>
    </xdr:from>
    <xdr:to>
      <xdr:col>8</xdr:col>
      <xdr:colOff>885190</xdr:colOff>
      <xdr:row>4735</xdr:row>
      <xdr:rowOff>1209040</xdr:rowOff>
    </xdr:to>
    <xdr:pic>
      <xdr:nvPicPr>
        <xdr:cNvPr id="7937" name="Изображение 7936" descr="resizeПП-00249819"/>
        <xdr:cNvPicPr>
          <a:picLocks noChangeAspect="1"/>
        </xdr:cNvPicPr>
      </xdr:nvPicPr>
      <xdr:blipFill>
        <a:blip xmlns:r="http://schemas.openxmlformats.org/officeDocument/2006/relationships" r:embed="rId3614"/>
        <a:stretch>
          <a:fillRect/>
        </a:stretch>
      </xdr:blipFill>
      <xdr:spPr>
        <a:xfrm>
          <a:off x="7264400" y="4716332325"/>
          <a:ext cx="878840" cy="1183640"/>
        </a:xfrm>
        <a:prstGeom prst="rect">
          <a:avLst/>
        </a:prstGeom>
      </xdr:spPr>
    </xdr:pic>
    <xdr:clientData/>
  </xdr:twoCellAnchor>
  <xdr:twoCellAnchor>
    <xdr:from>
      <xdr:col>8</xdr:col>
      <xdr:colOff>6350</xdr:colOff>
      <xdr:row>4736</xdr:row>
      <xdr:rowOff>25400</xdr:rowOff>
    </xdr:from>
    <xdr:to>
      <xdr:col>8</xdr:col>
      <xdr:colOff>885190</xdr:colOff>
      <xdr:row>4736</xdr:row>
      <xdr:rowOff>1209040</xdr:rowOff>
    </xdr:to>
    <xdr:pic>
      <xdr:nvPicPr>
        <xdr:cNvPr id="7938" name="Изображение 7937" descr="resizeПП-00273993"/>
        <xdr:cNvPicPr>
          <a:picLocks noChangeAspect="1"/>
        </xdr:cNvPicPr>
      </xdr:nvPicPr>
      <xdr:blipFill>
        <a:blip xmlns:r="http://schemas.openxmlformats.org/officeDocument/2006/relationships" r:embed="rId3615"/>
        <a:stretch>
          <a:fillRect/>
        </a:stretch>
      </xdr:blipFill>
      <xdr:spPr>
        <a:xfrm>
          <a:off x="7264400" y="4717554700"/>
          <a:ext cx="878840" cy="1183640"/>
        </a:xfrm>
        <a:prstGeom prst="rect">
          <a:avLst/>
        </a:prstGeom>
      </xdr:spPr>
    </xdr:pic>
    <xdr:clientData/>
  </xdr:twoCellAnchor>
  <xdr:twoCellAnchor>
    <xdr:from>
      <xdr:col>8</xdr:col>
      <xdr:colOff>6350</xdr:colOff>
      <xdr:row>4738</xdr:row>
      <xdr:rowOff>25400</xdr:rowOff>
    </xdr:from>
    <xdr:to>
      <xdr:col>8</xdr:col>
      <xdr:colOff>885190</xdr:colOff>
      <xdr:row>4738</xdr:row>
      <xdr:rowOff>1209040</xdr:rowOff>
    </xdr:to>
    <xdr:pic>
      <xdr:nvPicPr>
        <xdr:cNvPr id="7939" name="Изображение 7938" descr="resizeПП-00228265"/>
        <xdr:cNvPicPr>
          <a:picLocks noChangeAspect="1"/>
        </xdr:cNvPicPr>
      </xdr:nvPicPr>
      <xdr:blipFill>
        <a:blip xmlns:r="http://schemas.openxmlformats.org/officeDocument/2006/relationships" r:embed="rId3616"/>
        <a:stretch>
          <a:fillRect/>
        </a:stretch>
      </xdr:blipFill>
      <xdr:spPr>
        <a:xfrm>
          <a:off x="7264400" y="4718929475"/>
          <a:ext cx="878840" cy="1183640"/>
        </a:xfrm>
        <a:prstGeom prst="rect">
          <a:avLst/>
        </a:prstGeom>
      </xdr:spPr>
    </xdr:pic>
    <xdr:clientData/>
  </xdr:twoCellAnchor>
  <xdr:twoCellAnchor>
    <xdr:from>
      <xdr:col>8</xdr:col>
      <xdr:colOff>6350</xdr:colOff>
      <xdr:row>4739</xdr:row>
      <xdr:rowOff>25400</xdr:rowOff>
    </xdr:from>
    <xdr:to>
      <xdr:col>8</xdr:col>
      <xdr:colOff>885190</xdr:colOff>
      <xdr:row>4739</xdr:row>
      <xdr:rowOff>1209040</xdr:rowOff>
    </xdr:to>
    <xdr:pic>
      <xdr:nvPicPr>
        <xdr:cNvPr id="7940" name="Изображение 7939" descr="resizeПП-00228264"/>
        <xdr:cNvPicPr>
          <a:picLocks noChangeAspect="1"/>
        </xdr:cNvPicPr>
      </xdr:nvPicPr>
      <xdr:blipFill>
        <a:blip xmlns:r="http://schemas.openxmlformats.org/officeDocument/2006/relationships" r:embed="rId3617"/>
        <a:stretch>
          <a:fillRect/>
        </a:stretch>
      </xdr:blipFill>
      <xdr:spPr>
        <a:xfrm>
          <a:off x="7264400" y="4720151850"/>
          <a:ext cx="878840" cy="1183640"/>
        </a:xfrm>
        <a:prstGeom prst="rect">
          <a:avLst/>
        </a:prstGeom>
      </xdr:spPr>
    </xdr:pic>
    <xdr:clientData/>
  </xdr:twoCellAnchor>
  <xdr:twoCellAnchor>
    <xdr:from>
      <xdr:col>8</xdr:col>
      <xdr:colOff>6350</xdr:colOff>
      <xdr:row>4740</xdr:row>
      <xdr:rowOff>25400</xdr:rowOff>
    </xdr:from>
    <xdr:to>
      <xdr:col>8</xdr:col>
      <xdr:colOff>885190</xdr:colOff>
      <xdr:row>4740</xdr:row>
      <xdr:rowOff>1209040</xdr:rowOff>
    </xdr:to>
    <xdr:pic>
      <xdr:nvPicPr>
        <xdr:cNvPr id="7941" name="Изображение 7940" descr="resizeПП-00228266"/>
        <xdr:cNvPicPr>
          <a:picLocks noChangeAspect="1"/>
        </xdr:cNvPicPr>
      </xdr:nvPicPr>
      <xdr:blipFill>
        <a:blip xmlns:r="http://schemas.openxmlformats.org/officeDocument/2006/relationships" r:embed="rId3618"/>
        <a:stretch>
          <a:fillRect/>
        </a:stretch>
      </xdr:blipFill>
      <xdr:spPr>
        <a:xfrm>
          <a:off x="7264400" y="4721374225"/>
          <a:ext cx="878840" cy="1183640"/>
        </a:xfrm>
        <a:prstGeom prst="rect">
          <a:avLst/>
        </a:prstGeom>
      </xdr:spPr>
    </xdr:pic>
    <xdr:clientData/>
  </xdr:twoCellAnchor>
  <xdr:twoCellAnchor>
    <xdr:from>
      <xdr:col>8</xdr:col>
      <xdr:colOff>6350</xdr:colOff>
      <xdr:row>4741</xdr:row>
      <xdr:rowOff>25400</xdr:rowOff>
    </xdr:from>
    <xdr:to>
      <xdr:col>8</xdr:col>
      <xdr:colOff>885190</xdr:colOff>
      <xdr:row>4741</xdr:row>
      <xdr:rowOff>1209040</xdr:rowOff>
    </xdr:to>
    <xdr:pic>
      <xdr:nvPicPr>
        <xdr:cNvPr id="7942" name="Изображение 7941" descr="resizeПП-00228262"/>
        <xdr:cNvPicPr>
          <a:picLocks noChangeAspect="1"/>
        </xdr:cNvPicPr>
      </xdr:nvPicPr>
      <xdr:blipFill>
        <a:blip xmlns:r="http://schemas.openxmlformats.org/officeDocument/2006/relationships" r:embed="rId3619"/>
        <a:stretch>
          <a:fillRect/>
        </a:stretch>
      </xdr:blipFill>
      <xdr:spPr>
        <a:xfrm>
          <a:off x="7264400" y="4722596600"/>
          <a:ext cx="878840" cy="1183640"/>
        </a:xfrm>
        <a:prstGeom prst="rect">
          <a:avLst/>
        </a:prstGeom>
      </xdr:spPr>
    </xdr:pic>
    <xdr:clientData/>
  </xdr:twoCellAnchor>
  <xdr:twoCellAnchor>
    <xdr:from>
      <xdr:col>8</xdr:col>
      <xdr:colOff>6350</xdr:colOff>
      <xdr:row>4742</xdr:row>
      <xdr:rowOff>25400</xdr:rowOff>
    </xdr:from>
    <xdr:to>
      <xdr:col>8</xdr:col>
      <xdr:colOff>885190</xdr:colOff>
      <xdr:row>4742</xdr:row>
      <xdr:rowOff>1209040</xdr:rowOff>
    </xdr:to>
    <xdr:pic>
      <xdr:nvPicPr>
        <xdr:cNvPr id="7943" name="Изображение 7942" descr="resizeПП-00251242"/>
        <xdr:cNvPicPr>
          <a:picLocks noChangeAspect="1"/>
        </xdr:cNvPicPr>
      </xdr:nvPicPr>
      <xdr:blipFill>
        <a:blip xmlns:r="http://schemas.openxmlformats.org/officeDocument/2006/relationships" r:embed="rId3620"/>
        <a:stretch>
          <a:fillRect/>
        </a:stretch>
      </xdr:blipFill>
      <xdr:spPr>
        <a:xfrm>
          <a:off x="7264400" y="4723818975"/>
          <a:ext cx="878840" cy="1183640"/>
        </a:xfrm>
        <a:prstGeom prst="rect">
          <a:avLst/>
        </a:prstGeom>
      </xdr:spPr>
    </xdr:pic>
    <xdr:clientData/>
  </xdr:twoCellAnchor>
  <xdr:twoCellAnchor>
    <xdr:from>
      <xdr:col>8</xdr:col>
      <xdr:colOff>6350</xdr:colOff>
      <xdr:row>4743</xdr:row>
      <xdr:rowOff>25400</xdr:rowOff>
    </xdr:from>
    <xdr:to>
      <xdr:col>8</xdr:col>
      <xdr:colOff>885190</xdr:colOff>
      <xdr:row>4743</xdr:row>
      <xdr:rowOff>1209040</xdr:rowOff>
    </xdr:to>
    <xdr:pic>
      <xdr:nvPicPr>
        <xdr:cNvPr id="7944" name="Изображение 7943" descr="resizeПП-00228996"/>
        <xdr:cNvPicPr>
          <a:picLocks noChangeAspect="1"/>
        </xdr:cNvPicPr>
      </xdr:nvPicPr>
      <xdr:blipFill>
        <a:blip xmlns:r="http://schemas.openxmlformats.org/officeDocument/2006/relationships" r:embed="rId3621"/>
        <a:stretch>
          <a:fillRect/>
        </a:stretch>
      </xdr:blipFill>
      <xdr:spPr>
        <a:xfrm>
          <a:off x="7264400" y="4725041350"/>
          <a:ext cx="878840" cy="1183640"/>
        </a:xfrm>
        <a:prstGeom prst="rect">
          <a:avLst/>
        </a:prstGeom>
      </xdr:spPr>
    </xdr:pic>
    <xdr:clientData/>
  </xdr:twoCellAnchor>
  <xdr:twoCellAnchor>
    <xdr:from>
      <xdr:col>8</xdr:col>
      <xdr:colOff>6350</xdr:colOff>
      <xdr:row>4745</xdr:row>
      <xdr:rowOff>25400</xdr:rowOff>
    </xdr:from>
    <xdr:to>
      <xdr:col>8</xdr:col>
      <xdr:colOff>885190</xdr:colOff>
      <xdr:row>4745</xdr:row>
      <xdr:rowOff>1209040</xdr:rowOff>
    </xdr:to>
    <xdr:pic>
      <xdr:nvPicPr>
        <xdr:cNvPr id="7945" name="Изображение 7944" descr="resizeПП-00209887"/>
        <xdr:cNvPicPr>
          <a:picLocks noChangeAspect="1"/>
        </xdr:cNvPicPr>
      </xdr:nvPicPr>
      <xdr:blipFill>
        <a:blip xmlns:r="http://schemas.openxmlformats.org/officeDocument/2006/relationships" r:embed="rId3622"/>
        <a:stretch>
          <a:fillRect/>
        </a:stretch>
      </xdr:blipFill>
      <xdr:spPr>
        <a:xfrm>
          <a:off x="7264400" y="4726416125"/>
          <a:ext cx="878840" cy="1183640"/>
        </a:xfrm>
        <a:prstGeom prst="rect">
          <a:avLst/>
        </a:prstGeom>
      </xdr:spPr>
    </xdr:pic>
    <xdr:clientData/>
  </xdr:twoCellAnchor>
  <xdr:twoCellAnchor>
    <xdr:from>
      <xdr:col>8</xdr:col>
      <xdr:colOff>6350</xdr:colOff>
      <xdr:row>4746</xdr:row>
      <xdr:rowOff>25400</xdr:rowOff>
    </xdr:from>
    <xdr:to>
      <xdr:col>8</xdr:col>
      <xdr:colOff>885190</xdr:colOff>
      <xdr:row>4746</xdr:row>
      <xdr:rowOff>1209040</xdr:rowOff>
    </xdr:to>
    <xdr:pic>
      <xdr:nvPicPr>
        <xdr:cNvPr id="7946" name="Изображение 7945" descr="resizeПП-00229006"/>
        <xdr:cNvPicPr>
          <a:picLocks noChangeAspect="1"/>
        </xdr:cNvPicPr>
      </xdr:nvPicPr>
      <xdr:blipFill>
        <a:blip xmlns:r="http://schemas.openxmlformats.org/officeDocument/2006/relationships" r:embed="rId3623"/>
        <a:stretch>
          <a:fillRect/>
        </a:stretch>
      </xdr:blipFill>
      <xdr:spPr>
        <a:xfrm>
          <a:off x="7264400" y="4727638500"/>
          <a:ext cx="878840" cy="1183640"/>
        </a:xfrm>
        <a:prstGeom prst="rect">
          <a:avLst/>
        </a:prstGeom>
      </xdr:spPr>
    </xdr:pic>
    <xdr:clientData/>
  </xdr:twoCellAnchor>
  <xdr:twoCellAnchor>
    <xdr:from>
      <xdr:col>8</xdr:col>
      <xdr:colOff>6350</xdr:colOff>
      <xdr:row>4748</xdr:row>
      <xdr:rowOff>25400</xdr:rowOff>
    </xdr:from>
    <xdr:to>
      <xdr:col>8</xdr:col>
      <xdr:colOff>885190</xdr:colOff>
      <xdr:row>4748</xdr:row>
      <xdr:rowOff>1209040</xdr:rowOff>
    </xdr:to>
    <xdr:pic>
      <xdr:nvPicPr>
        <xdr:cNvPr id="7947" name="Изображение 7946" descr="resizeПП-00207992"/>
        <xdr:cNvPicPr>
          <a:picLocks noChangeAspect="1"/>
        </xdr:cNvPicPr>
      </xdr:nvPicPr>
      <xdr:blipFill>
        <a:blip xmlns:r="http://schemas.openxmlformats.org/officeDocument/2006/relationships" r:embed="rId3624"/>
        <a:stretch>
          <a:fillRect/>
        </a:stretch>
      </xdr:blipFill>
      <xdr:spPr>
        <a:xfrm>
          <a:off x="7264400" y="4729013275"/>
          <a:ext cx="878840" cy="1183640"/>
        </a:xfrm>
        <a:prstGeom prst="rect">
          <a:avLst/>
        </a:prstGeom>
      </xdr:spPr>
    </xdr:pic>
    <xdr:clientData/>
  </xdr:twoCellAnchor>
  <xdr:twoCellAnchor>
    <xdr:from>
      <xdr:col>8</xdr:col>
      <xdr:colOff>6350</xdr:colOff>
      <xdr:row>4750</xdr:row>
      <xdr:rowOff>25400</xdr:rowOff>
    </xdr:from>
    <xdr:to>
      <xdr:col>8</xdr:col>
      <xdr:colOff>885190</xdr:colOff>
      <xdr:row>4750</xdr:row>
      <xdr:rowOff>1209040</xdr:rowOff>
    </xdr:to>
    <xdr:pic>
      <xdr:nvPicPr>
        <xdr:cNvPr id="7948" name="Изображение 7947" descr="resizeПП-00207998"/>
        <xdr:cNvPicPr>
          <a:picLocks noChangeAspect="1"/>
        </xdr:cNvPicPr>
      </xdr:nvPicPr>
      <xdr:blipFill>
        <a:blip xmlns:r="http://schemas.openxmlformats.org/officeDocument/2006/relationships" r:embed="rId3625"/>
        <a:stretch>
          <a:fillRect/>
        </a:stretch>
      </xdr:blipFill>
      <xdr:spPr>
        <a:xfrm>
          <a:off x="7264400" y="4730388050"/>
          <a:ext cx="878840" cy="1183640"/>
        </a:xfrm>
        <a:prstGeom prst="rect">
          <a:avLst/>
        </a:prstGeom>
      </xdr:spPr>
    </xdr:pic>
    <xdr:clientData/>
  </xdr:twoCellAnchor>
  <xdr:twoCellAnchor>
    <xdr:from>
      <xdr:col>8</xdr:col>
      <xdr:colOff>6350</xdr:colOff>
      <xdr:row>4751</xdr:row>
      <xdr:rowOff>25400</xdr:rowOff>
    </xdr:from>
    <xdr:to>
      <xdr:col>8</xdr:col>
      <xdr:colOff>885190</xdr:colOff>
      <xdr:row>4751</xdr:row>
      <xdr:rowOff>1209040</xdr:rowOff>
    </xdr:to>
    <xdr:pic>
      <xdr:nvPicPr>
        <xdr:cNvPr id="7949" name="Изображение 7948" descr="resizeПП-00228280"/>
        <xdr:cNvPicPr>
          <a:picLocks noChangeAspect="1"/>
        </xdr:cNvPicPr>
      </xdr:nvPicPr>
      <xdr:blipFill>
        <a:blip xmlns:r="http://schemas.openxmlformats.org/officeDocument/2006/relationships" r:embed="rId3626"/>
        <a:stretch>
          <a:fillRect/>
        </a:stretch>
      </xdr:blipFill>
      <xdr:spPr>
        <a:xfrm>
          <a:off x="7264400" y="4731610425"/>
          <a:ext cx="878840" cy="1183640"/>
        </a:xfrm>
        <a:prstGeom prst="rect">
          <a:avLst/>
        </a:prstGeom>
      </xdr:spPr>
    </xdr:pic>
    <xdr:clientData/>
  </xdr:twoCellAnchor>
  <xdr:twoCellAnchor>
    <xdr:from>
      <xdr:col>8</xdr:col>
      <xdr:colOff>6350</xdr:colOff>
      <xdr:row>4753</xdr:row>
      <xdr:rowOff>25400</xdr:rowOff>
    </xdr:from>
    <xdr:to>
      <xdr:col>8</xdr:col>
      <xdr:colOff>885190</xdr:colOff>
      <xdr:row>4753</xdr:row>
      <xdr:rowOff>1209040</xdr:rowOff>
    </xdr:to>
    <xdr:pic>
      <xdr:nvPicPr>
        <xdr:cNvPr id="7950" name="Изображение 7949" descr="resizeПП-00210003"/>
        <xdr:cNvPicPr>
          <a:picLocks noChangeAspect="1"/>
        </xdr:cNvPicPr>
      </xdr:nvPicPr>
      <xdr:blipFill>
        <a:blip xmlns:r="http://schemas.openxmlformats.org/officeDocument/2006/relationships" r:embed="rId3627"/>
        <a:stretch>
          <a:fillRect/>
        </a:stretch>
      </xdr:blipFill>
      <xdr:spPr>
        <a:xfrm>
          <a:off x="7264400" y="4732985200"/>
          <a:ext cx="878840" cy="1183640"/>
        </a:xfrm>
        <a:prstGeom prst="rect">
          <a:avLst/>
        </a:prstGeom>
      </xdr:spPr>
    </xdr:pic>
    <xdr:clientData/>
  </xdr:twoCellAnchor>
  <xdr:twoCellAnchor>
    <xdr:from>
      <xdr:col>8</xdr:col>
      <xdr:colOff>6350</xdr:colOff>
      <xdr:row>4755</xdr:row>
      <xdr:rowOff>25400</xdr:rowOff>
    </xdr:from>
    <xdr:to>
      <xdr:col>8</xdr:col>
      <xdr:colOff>885190</xdr:colOff>
      <xdr:row>4755</xdr:row>
      <xdr:rowOff>1209040</xdr:rowOff>
    </xdr:to>
    <xdr:pic>
      <xdr:nvPicPr>
        <xdr:cNvPr id="7951" name="Изображение 7950" descr="resizeПП-00251240"/>
        <xdr:cNvPicPr>
          <a:picLocks noChangeAspect="1"/>
        </xdr:cNvPicPr>
      </xdr:nvPicPr>
      <xdr:blipFill>
        <a:blip xmlns:r="http://schemas.openxmlformats.org/officeDocument/2006/relationships" r:embed="rId3628"/>
        <a:stretch>
          <a:fillRect/>
        </a:stretch>
      </xdr:blipFill>
      <xdr:spPr>
        <a:xfrm>
          <a:off x="7264400" y="4734359975"/>
          <a:ext cx="878840" cy="1183640"/>
        </a:xfrm>
        <a:prstGeom prst="rect">
          <a:avLst/>
        </a:prstGeom>
      </xdr:spPr>
    </xdr:pic>
    <xdr:clientData/>
  </xdr:twoCellAnchor>
  <xdr:twoCellAnchor>
    <xdr:from>
      <xdr:col>8</xdr:col>
      <xdr:colOff>6350</xdr:colOff>
      <xdr:row>4756</xdr:row>
      <xdr:rowOff>25400</xdr:rowOff>
    </xdr:from>
    <xdr:to>
      <xdr:col>8</xdr:col>
      <xdr:colOff>885190</xdr:colOff>
      <xdr:row>4756</xdr:row>
      <xdr:rowOff>1209040</xdr:rowOff>
    </xdr:to>
    <xdr:pic>
      <xdr:nvPicPr>
        <xdr:cNvPr id="7952" name="Изображение 7951" descr="resizeПП-00228126"/>
        <xdr:cNvPicPr>
          <a:picLocks noChangeAspect="1"/>
        </xdr:cNvPicPr>
      </xdr:nvPicPr>
      <xdr:blipFill>
        <a:blip xmlns:r="http://schemas.openxmlformats.org/officeDocument/2006/relationships" r:embed="rId3629"/>
        <a:stretch>
          <a:fillRect/>
        </a:stretch>
      </xdr:blipFill>
      <xdr:spPr>
        <a:xfrm>
          <a:off x="7264400" y="4735582350"/>
          <a:ext cx="878840" cy="1183640"/>
        </a:xfrm>
        <a:prstGeom prst="rect">
          <a:avLst/>
        </a:prstGeom>
      </xdr:spPr>
    </xdr:pic>
    <xdr:clientData/>
  </xdr:twoCellAnchor>
  <xdr:twoCellAnchor>
    <xdr:from>
      <xdr:col>8</xdr:col>
      <xdr:colOff>6350</xdr:colOff>
      <xdr:row>4757</xdr:row>
      <xdr:rowOff>25400</xdr:rowOff>
    </xdr:from>
    <xdr:to>
      <xdr:col>8</xdr:col>
      <xdr:colOff>885190</xdr:colOff>
      <xdr:row>4757</xdr:row>
      <xdr:rowOff>1209040</xdr:rowOff>
    </xdr:to>
    <xdr:pic>
      <xdr:nvPicPr>
        <xdr:cNvPr id="7953" name="Изображение 7952" descr="resizeПП-00228129"/>
        <xdr:cNvPicPr>
          <a:picLocks noChangeAspect="1"/>
        </xdr:cNvPicPr>
      </xdr:nvPicPr>
      <xdr:blipFill>
        <a:blip xmlns:r="http://schemas.openxmlformats.org/officeDocument/2006/relationships" r:embed="rId3630"/>
        <a:stretch>
          <a:fillRect/>
        </a:stretch>
      </xdr:blipFill>
      <xdr:spPr>
        <a:xfrm>
          <a:off x="7264400" y="4736804725"/>
          <a:ext cx="878840" cy="1183640"/>
        </a:xfrm>
        <a:prstGeom prst="rect">
          <a:avLst/>
        </a:prstGeom>
      </xdr:spPr>
    </xdr:pic>
    <xdr:clientData/>
  </xdr:twoCellAnchor>
  <xdr:twoCellAnchor>
    <xdr:from>
      <xdr:col>8</xdr:col>
      <xdr:colOff>6350</xdr:colOff>
      <xdr:row>4758</xdr:row>
      <xdr:rowOff>25400</xdr:rowOff>
    </xdr:from>
    <xdr:to>
      <xdr:col>8</xdr:col>
      <xdr:colOff>885190</xdr:colOff>
      <xdr:row>4758</xdr:row>
      <xdr:rowOff>1209040</xdr:rowOff>
    </xdr:to>
    <xdr:pic>
      <xdr:nvPicPr>
        <xdr:cNvPr id="7954" name="Изображение 7953" descr="resizeПП-00228128"/>
        <xdr:cNvPicPr>
          <a:picLocks noChangeAspect="1"/>
        </xdr:cNvPicPr>
      </xdr:nvPicPr>
      <xdr:blipFill>
        <a:blip xmlns:r="http://schemas.openxmlformats.org/officeDocument/2006/relationships" r:embed="rId3631"/>
        <a:stretch>
          <a:fillRect/>
        </a:stretch>
      </xdr:blipFill>
      <xdr:spPr>
        <a:xfrm>
          <a:off x="7264400" y="4738027100"/>
          <a:ext cx="878840" cy="1183640"/>
        </a:xfrm>
        <a:prstGeom prst="rect">
          <a:avLst/>
        </a:prstGeom>
      </xdr:spPr>
    </xdr:pic>
    <xdr:clientData/>
  </xdr:twoCellAnchor>
  <xdr:twoCellAnchor>
    <xdr:from>
      <xdr:col>8</xdr:col>
      <xdr:colOff>6350</xdr:colOff>
      <xdr:row>4759</xdr:row>
      <xdr:rowOff>25400</xdr:rowOff>
    </xdr:from>
    <xdr:to>
      <xdr:col>8</xdr:col>
      <xdr:colOff>885190</xdr:colOff>
      <xdr:row>4759</xdr:row>
      <xdr:rowOff>1209040</xdr:rowOff>
    </xdr:to>
    <xdr:pic>
      <xdr:nvPicPr>
        <xdr:cNvPr id="7955" name="Изображение 7954" descr="resizeПП-00228127"/>
        <xdr:cNvPicPr>
          <a:picLocks noChangeAspect="1"/>
        </xdr:cNvPicPr>
      </xdr:nvPicPr>
      <xdr:blipFill>
        <a:blip xmlns:r="http://schemas.openxmlformats.org/officeDocument/2006/relationships" r:embed="rId3632"/>
        <a:stretch>
          <a:fillRect/>
        </a:stretch>
      </xdr:blipFill>
      <xdr:spPr>
        <a:xfrm>
          <a:off x="7264400" y="4739249475"/>
          <a:ext cx="878840" cy="1183640"/>
        </a:xfrm>
        <a:prstGeom prst="rect">
          <a:avLst/>
        </a:prstGeom>
      </xdr:spPr>
    </xdr:pic>
    <xdr:clientData/>
  </xdr:twoCellAnchor>
  <xdr:twoCellAnchor>
    <xdr:from>
      <xdr:col>8</xdr:col>
      <xdr:colOff>6350</xdr:colOff>
      <xdr:row>4760</xdr:row>
      <xdr:rowOff>25400</xdr:rowOff>
    </xdr:from>
    <xdr:to>
      <xdr:col>8</xdr:col>
      <xdr:colOff>885190</xdr:colOff>
      <xdr:row>4760</xdr:row>
      <xdr:rowOff>1209040</xdr:rowOff>
    </xdr:to>
    <xdr:pic>
      <xdr:nvPicPr>
        <xdr:cNvPr id="7956" name="Изображение 7955" descr="resizeПП-00122421"/>
        <xdr:cNvPicPr>
          <a:picLocks noChangeAspect="1"/>
        </xdr:cNvPicPr>
      </xdr:nvPicPr>
      <xdr:blipFill>
        <a:blip xmlns:r="http://schemas.openxmlformats.org/officeDocument/2006/relationships" r:embed="rId3633"/>
        <a:stretch>
          <a:fillRect/>
        </a:stretch>
      </xdr:blipFill>
      <xdr:spPr>
        <a:xfrm>
          <a:off x="7264400" y="4740471850"/>
          <a:ext cx="878840" cy="1183640"/>
        </a:xfrm>
        <a:prstGeom prst="rect">
          <a:avLst/>
        </a:prstGeom>
      </xdr:spPr>
    </xdr:pic>
    <xdr:clientData/>
  </xdr:twoCellAnchor>
  <xdr:twoCellAnchor>
    <xdr:from>
      <xdr:col>8</xdr:col>
      <xdr:colOff>6350</xdr:colOff>
      <xdr:row>4761</xdr:row>
      <xdr:rowOff>25400</xdr:rowOff>
    </xdr:from>
    <xdr:to>
      <xdr:col>8</xdr:col>
      <xdr:colOff>885190</xdr:colOff>
      <xdr:row>4761</xdr:row>
      <xdr:rowOff>1209040</xdr:rowOff>
    </xdr:to>
    <xdr:pic>
      <xdr:nvPicPr>
        <xdr:cNvPr id="7957" name="Изображение 7956" descr="resizeПП-00275185"/>
        <xdr:cNvPicPr>
          <a:picLocks noChangeAspect="1"/>
        </xdr:cNvPicPr>
      </xdr:nvPicPr>
      <xdr:blipFill>
        <a:blip xmlns:r="http://schemas.openxmlformats.org/officeDocument/2006/relationships" r:embed="rId3634"/>
        <a:stretch>
          <a:fillRect/>
        </a:stretch>
      </xdr:blipFill>
      <xdr:spPr>
        <a:xfrm>
          <a:off x="7264400" y="4741694225"/>
          <a:ext cx="878840" cy="1183640"/>
        </a:xfrm>
        <a:prstGeom prst="rect">
          <a:avLst/>
        </a:prstGeom>
      </xdr:spPr>
    </xdr:pic>
    <xdr:clientData/>
  </xdr:twoCellAnchor>
  <xdr:twoCellAnchor>
    <xdr:from>
      <xdr:col>8</xdr:col>
      <xdr:colOff>6350</xdr:colOff>
      <xdr:row>4762</xdr:row>
      <xdr:rowOff>25400</xdr:rowOff>
    </xdr:from>
    <xdr:to>
      <xdr:col>8</xdr:col>
      <xdr:colOff>885190</xdr:colOff>
      <xdr:row>4762</xdr:row>
      <xdr:rowOff>1209040</xdr:rowOff>
    </xdr:to>
    <xdr:pic>
      <xdr:nvPicPr>
        <xdr:cNvPr id="7958" name="Изображение 7957" descr="resizeПП-00209919"/>
        <xdr:cNvPicPr>
          <a:picLocks noChangeAspect="1"/>
        </xdr:cNvPicPr>
      </xdr:nvPicPr>
      <xdr:blipFill>
        <a:blip xmlns:r="http://schemas.openxmlformats.org/officeDocument/2006/relationships" r:embed="rId3635"/>
        <a:stretch>
          <a:fillRect/>
        </a:stretch>
      </xdr:blipFill>
      <xdr:spPr>
        <a:xfrm>
          <a:off x="7264400" y="4742916600"/>
          <a:ext cx="878840" cy="1183640"/>
        </a:xfrm>
        <a:prstGeom prst="rect">
          <a:avLst/>
        </a:prstGeom>
      </xdr:spPr>
    </xdr:pic>
    <xdr:clientData/>
  </xdr:twoCellAnchor>
  <xdr:twoCellAnchor>
    <xdr:from>
      <xdr:col>8</xdr:col>
      <xdr:colOff>6350</xdr:colOff>
      <xdr:row>4765</xdr:row>
      <xdr:rowOff>25400</xdr:rowOff>
    </xdr:from>
    <xdr:to>
      <xdr:col>8</xdr:col>
      <xdr:colOff>885190</xdr:colOff>
      <xdr:row>4765</xdr:row>
      <xdr:rowOff>1209040</xdr:rowOff>
    </xdr:to>
    <xdr:pic>
      <xdr:nvPicPr>
        <xdr:cNvPr id="7959" name="Изображение 7958" descr="resizeПП-00221604"/>
        <xdr:cNvPicPr>
          <a:picLocks noChangeAspect="1"/>
        </xdr:cNvPicPr>
      </xdr:nvPicPr>
      <xdr:blipFill>
        <a:blip xmlns:r="http://schemas.openxmlformats.org/officeDocument/2006/relationships" r:embed="rId3636"/>
        <a:stretch>
          <a:fillRect/>
        </a:stretch>
      </xdr:blipFill>
      <xdr:spPr>
        <a:xfrm>
          <a:off x="7264400" y="4744443775"/>
          <a:ext cx="878840" cy="1183640"/>
        </a:xfrm>
        <a:prstGeom prst="rect">
          <a:avLst/>
        </a:prstGeom>
      </xdr:spPr>
    </xdr:pic>
    <xdr:clientData/>
  </xdr:twoCellAnchor>
  <xdr:twoCellAnchor>
    <xdr:from>
      <xdr:col>8</xdr:col>
      <xdr:colOff>6350</xdr:colOff>
      <xdr:row>4766</xdr:row>
      <xdr:rowOff>25400</xdr:rowOff>
    </xdr:from>
    <xdr:to>
      <xdr:col>8</xdr:col>
      <xdr:colOff>885190</xdr:colOff>
      <xdr:row>4766</xdr:row>
      <xdr:rowOff>1209040</xdr:rowOff>
    </xdr:to>
    <xdr:pic>
      <xdr:nvPicPr>
        <xdr:cNvPr id="7960" name="Изображение 7959" descr="resizeПП-00221603"/>
        <xdr:cNvPicPr>
          <a:picLocks noChangeAspect="1"/>
        </xdr:cNvPicPr>
      </xdr:nvPicPr>
      <xdr:blipFill>
        <a:blip xmlns:r="http://schemas.openxmlformats.org/officeDocument/2006/relationships" r:embed="rId3637"/>
        <a:stretch>
          <a:fillRect/>
        </a:stretch>
      </xdr:blipFill>
      <xdr:spPr>
        <a:xfrm>
          <a:off x="7264400" y="4745666150"/>
          <a:ext cx="878840" cy="1183640"/>
        </a:xfrm>
        <a:prstGeom prst="rect">
          <a:avLst/>
        </a:prstGeom>
      </xdr:spPr>
    </xdr:pic>
    <xdr:clientData/>
  </xdr:twoCellAnchor>
  <xdr:twoCellAnchor>
    <xdr:from>
      <xdr:col>8</xdr:col>
      <xdr:colOff>6350</xdr:colOff>
      <xdr:row>4768</xdr:row>
      <xdr:rowOff>25400</xdr:rowOff>
    </xdr:from>
    <xdr:to>
      <xdr:col>8</xdr:col>
      <xdr:colOff>885190</xdr:colOff>
      <xdr:row>4768</xdr:row>
      <xdr:rowOff>1209040</xdr:rowOff>
    </xdr:to>
    <xdr:pic>
      <xdr:nvPicPr>
        <xdr:cNvPr id="7961" name="Изображение 7960" descr="resizeПП-00228289"/>
        <xdr:cNvPicPr>
          <a:picLocks noChangeAspect="1"/>
        </xdr:cNvPicPr>
      </xdr:nvPicPr>
      <xdr:blipFill>
        <a:blip xmlns:r="http://schemas.openxmlformats.org/officeDocument/2006/relationships" r:embed="rId3638"/>
        <a:stretch>
          <a:fillRect/>
        </a:stretch>
      </xdr:blipFill>
      <xdr:spPr>
        <a:xfrm>
          <a:off x="7264400" y="4747040925"/>
          <a:ext cx="878840" cy="1183640"/>
        </a:xfrm>
        <a:prstGeom prst="rect">
          <a:avLst/>
        </a:prstGeom>
      </xdr:spPr>
    </xdr:pic>
    <xdr:clientData/>
  </xdr:twoCellAnchor>
  <xdr:twoCellAnchor>
    <xdr:from>
      <xdr:col>8</xdr:col>
      <xdr:colOff>6350</xdr:colOff>
      <xdr:row>4769</xdr:row>
      <xdr:rowOff>25400</xdr:rowOff>
    </xdr:from>
    <xdr:to>
      <xdr:col>8</xdr:col>
      <xdr:colOff>885190</xdr:colOff>
      <xdr:row>4769</xdr:row>
      <xdr:rowOff>1209040</xdr:rowOff>
    </xdr:to>
    <xdr:pic>
      <xdr:nvPicPr>
        <xdr:cNvPr id="7962" name="Изображение 7961" descr="resizeПП-00122374"/>
        <xdr:cNvPicPr>
          <a:picLocks noChangeAspect="1"/>
        </xdr:cNvPicPr>
      </xdr:nvPicPr>
      <xdr:blipFill>
        <a:blip xmlns:r="http://schemas.openxmlformats.org/officeDocument/2006/relationships" r:embed="rId3639"/>
        <a:stretch>
          <a:fillRect/>
        </a:stretch>
      </xdr:blipFill>
      <xdr:spPr>
        <a:xfrm>
          <a:off x="7264400" y="4748263300"/>
          <a:ext cx="878840" cy="1183640"/>
        </a:xfrm>
        <a:prstGeom prst="rect">
          <a:avLst/>
        </a:prstGeom>
      </xdr:spPr>
    </xdr:pic>
    <xdr:clientData/>
  </xdr:twoCellAnchor>
  <xdr:twoCellAnchor>
    <xdr:from>
      <xdr:col>8</xdr:col>
      <xdr:colOff>6350</xdr:colOff>
      <xdr:row>4771</xdr:row>
      <xdr:rowOff>25400</xdr:rowOff>
    </xdr:from>
    <xdr:to>
      <xdr:col>8</xdr:col>
      <xdr:colOff>885190</xdr:colOff>
      <xdr:row>4771</xdr:row>
      <xdr:rowOff>1209040</xdr:rowOff>
    </xdr:to>
    <xdr:pic>
      <xdr:nvPicPr>
        <xdr:cNvPr id="7963" name="Изображение 7962" descr="resizeПП-00172261"/>
        <xdr:cNvPicPr>
          <a:picLocks noChangeAspect="1"/>
        </xdr:cNvPicPr>
      </xdr:nvPicPr>
      <xdr:blipFill>
        <a:blip xmlns:r="http://schemas.openxmlformats.org/officeDocument/2006/relationships" r:embed="rId3640"/>
        <a:stretch>
          <a:fillRect/>
        </a:stretch>
      </xdr:blipFill>
      <xdr:spPr>
        <a:xfrm>
          <a:off x="7264400" y="4749638075"/>
          <a:ext cx="878840" cy="1183640"/>
        </a:xfrm>
        <a:prstGeom prst="rect">
          <a:avLst/>
        </a:prstGeom>
      </xdr:spPr>
    </xdr:pic>
    <xdr:clientData/>
  </xdr:twoCellAnchor>
  <xdr:twoCellAnchor>
    <xdr:from>
      <xdr:col>8</xdr:col>
      <xdr:colOff>6350</xdr:colOff>
      <xdr:row>4772</xdr:row>
      <xdr:rowOff>25400</xdr:rowOff>
    </xdr:from>
    <xdr:to>
      <xdr:col>8</xdr:col>
      <xdr:colOff>885190</xdr:colOff>
      <xdr:row>4772</xdr:row>
      <xdr:rowOff>1209040</xdr:rowOff>
    </xdr:to>
    <xdr:pic>
      <xdr:nvPicPr>
        <xdr:cNvPr id="7964" name="Изображение 7963" descr="resizeПП-00224708"/>
        <xdr:cNvPicPr>
          <a:picLocks noChangeAspect="1"/>
        </xdr:cNvPicPr>
      </xdr:nvPicPr>
      <xdr:blipFill>
        <a:blip xmlns:r="http://schemas.openxmlformats.org/officeDocument/2006/relationships" r:embed="rId3641"/>
        <a:stretch>
          <a:fillRect/>
        </a:stretch>
      </xdr:blipFill>
      <xdr:spPr>
        <a:xfrm>
          <a:off x="7264400" y="4750860450"/>
          <a:ext cx="878840" cy="1183640"/>
        </a:xfrm>
        <a:prstGeom prst="rect">
          <a:avLst/>
        </a:prstGeom>
      </xdr:spPr>
    </xdr:pic>
    <xdr:clientData/>
  </xdr:twoCellAnchor>
  <xdr:twoCellAnchor>
    <xdr:from>
      <xdr:col>8</xdr:col>
      <xdr:colOff>6350</xdr:colOff>
      <xdr:row>4773</xdr:row>
      <xdr:rowOff>25400</xdr:rowOff>
    </xdr:from>
    <xdr:to>
      <xdr:col>8</xdr:col>
      <xdr:colOff>885190</xdr:colOff>
      <xdr:row>4773</xdr:row>
      <xdr:rowOff>1209040</xdr:rowOff>
    </xdr:to>
    <xdr:pic>
      <xdr:nvPicPr>
        <xdr:cNvPr id="7965" name="Изображение 7964" descr="resizeПП-00209877"/>
        <xdr:cNvPicPr>
          <a:picLocks noChangeAspect="1"/>
        </xdr:cNvPicPr>
      </xdr:nvPicPr>
      <xdr:blipFill>
        <a:blip xmlns:r="http://schemas.openxmlformats.org/officeDocument/2006/relationships" r:embed="rId3642"/>
        <a:stretch>
          <a:fillRect/>
        </a:stretch>
      </xdr:blipFill>
      <xdr:spPr>
        <a:xfrm>
          <a:off x="7264400" y="4752082825"/>
          <a:ext cx="878840" cy="1183640"/>
        </a:xfrm>
        <a:prstGeom prst="rect">
          <a:avLst/>
        </a:prstGeom>
      </xdr:spPr>
    </xdr:pic>
    <xdr:clientData/>
  </xdr:twoCellAnchor>
  <xdr:twoCellAnchor>
    <xdr:from>
      <xdr:col>8</xdr:col>
      <xdr:colOff>6350</xdr:colOff>
      <xdr:row>4774</xdr:row>
      <xdr:rowOff>25400</xdr:rowOff>
    </xdr:from>
    <xdr:to>
      <xdr:col>8</xdr:col>
      <xdr:colOff>885190</xdr:colOff>
      <xdr:row>4774</xdr:row>
      <xdr:rowOff>1209040</xdr:rowOff>
    </xdr:to>
    <xdr:pic>
      <xdr:nvPicPr>
        <xdr:cNvPr id="7966" name="Изображение 7965" descr="resizeПП-00209868"/>
        <xdr:cNvPicPr>
          <a:picLocks noChangeAspect="1"/>
        </xdr:cNvPicPr>
      </xdr:nvPicPr>
      <xdr:blipFill>
        <a:blip xmlns:r="http://schemas.openxmlformats.org/officeDocument/2006/relationships" r:embed="rId3643"/>
        <a:stretch>
          <a:fillRect/>
        </a:stretch>
      </xdr:blipFill>
      <xdr:spPr>
        <a:xfrm>
          <a:off x="7264400" y="4753305200"/>
          <a:ext cx="878840" cy="1183640"/>
        </a:xfrm>
        <a:prstGeom prst="rect">
          <a:avLst/>
        </a:prstGeom>
      </xdr:spPr>
    </xdr:pic>
    <xdr:clientData/>
  </xdr:twoCellAnchor>
  <xdr:twoCellAnchor>
    <xdr:from>
      <xdr:col>8</xdr:col>
      <xdr:colOff>6350</xdr:colOff>
      <xdr:row>4775</xdr:row>
      <xdr:rowOff>25400</xdr:rowOff>
    </xdr:from>
    <xdr:to>
      <xdr:col>8</xdr:col>
      <xdr:colOff>885190</xdr:colOff>
      <xdr:row>4775</xdr:row>
      <xdr:rowOff>1209040</xdr:rowOff>
    </xdr:to>
    <xdr:pic>
      <xdr:nvPicPr>
        <xdr:cNvPr id="7967" name="Изображение 7966" descr="resizeПП-00122366"/>
        <xdr:cNvPicPr>
          <a:picLocks noChangeAspect="1"/>
        </xdr:cNvPicPr>
      </xdr:nvPicPr>
      <xdr:blipFill>
        <a:blip xmlns:r="http://schemas.openxmlformats.org/officeDocument/2006/relationships" r:embed="rId3644"/>
        <a:stretch>
          <a:fillRect/>
        </a:stretch>
      </xdr:blipFill>
      <xdr:spPr>
        <a:xfrm>
          <a:off x="7264400" y="4754527575"/>
          <a:ext cx="878840" cy="1183640"/>
        </a:xfrm>
        <a:prstGeom prst="rect">
          <a:avLst/>
        </a:prstGeom>
      </xdr:spPr>
    </xdr:pic>
    <xdr:clientData/>
  </xdr:twoCellAnchor>
  <xdr:twoCellAnchor>
    <xdr:from>
      <xdr:col>8</xdr:col>
      <xdr:colOff>6350</xdr:colOff>
      <xdr:row>4776</xdr:row>
      <xdr:rowOff>25400</xdr:rowOff>
    </xdr:from>
    <xdr:to>
      <xdr:col>8</xdr:col>
      <xdr:colOff>885190</xdr:colOff>
      <xdr:row>4776</xdr:row>
      <xdr:rowOff>1209040</xdr:rowOff>
    </xdr:to>
    <xdr:pic>
      <xdr:nvPicPr>
        <xdr:cNvPr id="7968" name="Изображение 7967" descr="resizeПП-00122361"/>
        <xdr:cNvPicPr>
          <a:picLocks noChangeAspect="1"/>
        </xdr:cNvPicPr>
      </xdr:nvPicPr>
      <xdr:blipFill>
        <a:blip xmlns:r="http://schemas.openxmlformats.org/officeDocument/2006/relationships" r:embed="rId3645"/>
        <a:stretch>
          <a:fillRect/>
        </a:stretch>
      </xdr:blipFill>
      <xdr:spPr>
        <a:xfrm>
          <a:off x="7264400" y="4755749950"/>
          <a:ext cx="878840" cy="1183640"/>
        </a:xfrm>
        <a:prstGeom prst="rect">
          <a:avLst/>
        </a:prstGeom>
      </xdr:spPr>
    </xdr:pic>
    <xdr:clientData/>
  </xdr:twoCellAnchor>
  <xdr:twoCellAnchor>
    <xdr:from>
      <xdr:col>8</xdr:col>
      <xdr:colOff>6350</xdr:colOff>
      <xdr:row>4777</xdr:row>
      <xdr:rowOff>25400</xdr:rowOff>
    </xdr:from>
    <xdr:to>
      <xdr:col>8</xdr:col>
      <xdr:colOff>885190</xdr:colOff>
      <xdr:row>4777</xdr:row>
      <xdr:rowOff>1209040</xdr:rowOff>
    </xdr:to>
    <xdr:pic>
      <xdr:nvPicPr>
        <xdr:cNvPr id="7969" name="Изображение 7968" descr="resizeПП-00275192"/>
        <xdr:cNvPicPr>
          <a:picLocks noChangeAspect="1"/>
        </xdr:cNvPicPr>
      </xdr:nvPicPr>
      <xdr:blipFill>
        <a:blip xmlns:r="http://schemas.openxmlformats.org/officeDocument/2006/relationships" r:embed="rId3646"/>
        <a:stretch>
          <a:fillRect/>
        </a:stretch>
      </xdr:blipFill>
      <xdr:spPr>
        <a:xfrm>
          <a:off x="7264400" y="4756972325"/>
          <a:ext cx="878840" cy="1183640"/>
        </a:xfrm>
        <a:prstGeom prst="rect">
          <a:avLst/>
        </a:prstGeom>
      </xdr:spPr>
    </xdr:pic>
    <xdr:clientData/>
  </xdr:twoCellAnchor>
  <xdr:twoCellAnchor>
    <xdr:from>
      <xdr:col>8</xdr:col>
      <xdr:colOff>6350</xdr:colOff>
      <xdr:row>4778</xdr:row>
      <xdr:rowOff>25400</xdr:rowOff>
    </xdr:from>
    <xdr:to>
      <xdr:col>8</xdr:col>
      <xdr:colOff>885190</xdr:colOff>
      <xdr:row>4778</xdr:row>
      <xdr:rowOff>1209040</xdr:rowOff>
    </xdr:to>
    <xdr:pic>
      <xdr:nvPicPr>
        <xdr:cNvPr id="7970" name="Изображение 7969" descr="resizeПП-00209858"/>
        <xdr:cNvPicPr>
          <a:picLocks noChangeAspect="1"/>
        </xdr:cNvPicPr>
      </xdr:nvPicPr>
      <xdr:blipFill>
        <a:blip xmlns:r="http://schemas.openxmlformats.org/officeDocument/2006/relationships" r:embed="rId3647"/>
        <a:stretch>
          <a:fillRect/>
        </a:stretch>
      </xdr:blipFill>
      <xdr:spPr>
        <a:xfrm>
          <a:off x="7264400" y="4758194700"/>
          <a:ext cx="878840" cy="1183640"/>
        </a:xfrm>
        <a:prstGeom prst="rect">
          <a:avLst/>
        </a:prstGeom>
      </xdr:spPr>
    </xdr:pic>
    <xdr:clientData/>
  </xdr:twoCellAnchor>
  <xdr:twoCellAnchor>
    <xdr:from>
      <xdr:col>8</xdr:col>
      <xdr:colOff>6350</xdr:colOff>
      <xdr:row>4779</xdr:row>
      <xdr:rowOff>25400</xdr:rowOff>
    </xdr:from>
    <xdr:to>
      <xdr:col>8</xdr:col>
      <xdr:colOff>885190</xdr:colOff>
      <xdr:row>4779</xdr:row>
      <xdr:rowOff>1209040</xdr:rowOff>
    </xdr:to>
    <xdr:pic>
      <xdr:nvPicPr>
        <xdr:cNvPr id="7971" name="Изображение 7970" descr="resizeПП-00275193"/>
        <xdr:cNvPicPr>
          <a:picLocks noChangeAspect="1"/>
        </xdr:cNvPicPr>
      </xdr:nvPicPr>
      <xdr:blipFill>
        <a:blip xmlns:r="http://schemas.openxmlformats.org/officeDocument/2006/relationships" r:embed="rId3648"/>
        <a:stretch>
          <a:fillRect/>
        </a:stretch>
      </xdr:blipFill>
      <xdr:spPr>
        <a:xfrm>
          <a:off x="7264400" y="4759417075"/>
          <a:ext cx="878840" cy="1183640"/>
        </a:xfrm>
        <a:prstGeom prst="rect">
          <a:avLst/>
        </a:prstGeom>
      </xdr:spPr>
    </xdr:pic>
    <xdr:clientData/>
  </xdr:twoCellAnchor>
  <xdr:twoCellAnchor>
    <xdr:from>
      <xdr:col>8</xdr:col>
      <xdr:colOff>6350</xdr:colOff>
      <xdr:row>4780</xdr:row>
      <xdr:rowOff>25400</xdr:rowOff>
    </xdr:from>
    <xdr:to>
      <xdr:col>8</xdr:col>
      <xdr:colOff>885190</xdr:colOff>
      <xdr:row>4780</xdr:row>
      <xdr:rowOff>1209040</xdr:rowOff>
    </xdr:to>
    <xdr:pic>
      <xdr:nvPicPr>
        <xdr:cNvPr id="7972" name="Изображение 7971" descr="resizeПП-00209584"/>
        <xdr:cNvPicPr>
          <a:picLocks noChangeAspect="1"/>
        </xdr:cNvPicPr>
      </xdr:nvPicPr>
      <xdr:blipFill>
        <a:blip xmlns:r="http://schemas.openxmlformats.org/officeDocument/2006/relationships" r:embed="rId3649"/>
        <a:stretch>
          <a:fillRect/>
        </a:stretch>
      </xdr:blipFill>
      <xdr:spPr>
        <a:xfrm>
          <a:off x="7264400" y="4760639450"/>
          <a:ext cx="878840" cy="1183640"/>
        </a:xfrm>
        <a:prstGeom prst="rect">
          <a:avLst/>
        </a:prstGeom>
      </xdr:spPr>
    </xdr:pic>
    <xdr:clientData/>
  </xdr:twoCellAnchor>
  <xdr:twoCellAnchor>
    <xdr:from>
      <xdr:col>8</xdr:col>
      <xdr:colOff>6350</xdr:colOff>
      <xdr:row>4781</xdr:row>
      <xdr:rowOff>25400</xdr:rowOff>
    </xdr:from>
    <xdr:to>
      <xdr:col>8</xdr:col>
      <xdr:colOff>885190</xdr:colOff>
      <xdr:row>4781</xdr:row>
      <xdr:rowOff>1209040</xdr:rowOff>
    </xdr:to>
    <xdr:pic>
      <xdr:nvPicPr>
        <xdr:cNvPr id="7973" name="Изображение 7972" descr="resizeПП-00209869"/>
        <xdr:cNvPicPr>
          <a:picLocks noChangeAspect="1"/>
        </xdr:cNvPicPr>
      </xdr:nvPicPr>
      <xdr:blipFill>
        <a:blip xmlns:r="http://schemas.openxmlformats.org/officeDocument/2006/relationships" r:embed="rId3650"/>
        <a:stretch>
          <a:fillRect/>
        </a:stretch>
      </xdr:blipFill>
      <xdr:spPr>
        <a:xfrm>
          <a:off x="7264400" y="4761861825"/>
          <a:ext cx="878840" cy="1183640"/>
        </a:xfrm>
        <a:prstGeom prst="rect">
          <a:avLst/>
        </a:prstGeom>
      </xdr:spPr>
    </xdr:pic>
    <xdr:clientData/>
  </xdr:twoCellAnchor>
  <xdr:twoCellAnchor>
    <xdr:from>
      <xdr:col>8</xdr:col>
      <xdr:colOff>6350</xdr:colOff>
      <xdr:row>4782</xdr:row>
      <xdr:rowOff>25400</xdr:rowOff>
    </xdr:from>
    <xdr:to>
      <xdr:col>8</xdr:col>
      <xdr:colOff>885190</xdr:colOff>
      <xdr:row>4782</xdr:row>
      <xdr:rowOff>1209040</xdr:rowOff>
    </xdr:to>
    <xdr:pic>
      <xdr:nvPicPr>
        <xdr:cNvPr id="7974" name="Изображение 7973" descr="resizeПП-00201881"/>
        <xdr:cNvPicPr>
          <a:picLocks noChangeAspect="1"/>
        </xdr:cNvPicPr>
      </xdr:nvPicPr>
      <xdr:blipFill>
        <a:blip xmlns:r="http://schemas.openxmlformats.org/officeDocument/2006/relationships" r:embed="rId3651"/>
        <a:stretch>
          <a:fillRect/>
        </a:stretch>
      </xdr:blipFill>
      <xdr:spPr>
        <a:xfrm>
          <a:off x="7264400" y="4763084200"/>
          <a:ext cx="878840" cy="1183640"/>
        </a:xfrm>
        <a:prstGeom prst="rect">
          <a:avLst/>
        </a:prstGeom>
      </xdr:spPr>
    </xdr:pic>
    <xdr:clientData/>
  </xdr:twoCellAnchor>
  <xdr:twoCellAnchor>
    <xdr:from>
      <xdr:col>8</xdr:col>
      <xdr:colOff>6350</xdr:colOff>
      <xdr:row>4784</xdr:row>
      <xdr:rowOff>25400</xdr:rowOff>
    </xdr:from>
    <xdr:to>
      <xdr:col>8</xdr:col>
      <xdr:colOff>885190</xdr:colOff>
      <xdr:row>4784</xdr:row>
      <xdr:rowOff>1209040</xdr:rowOff>
    </xdr:to>
    <xdr:pic>
      <xdr:nvPicPr>
        <xdr:cNvPr id="7975" name="Изображение 7974" descr="resizeПП-00208006"/>
        <xdr:cNvPicPr>
          <a:picLocks noChangeAspect="1"/>
        </xdr:cNvPicPr>
      </xdr:nvPicPr>
      <xdr:blipFill>
        <a:blip xmlns:r="http://schemas.openxmlformats.org/officeDocument/2006/relationships" r:embed="rId3652"/>
        <a:stretch>
          <a:fillRect/>
        </a:stretch>
      </xdr:blipFill>
      <xdr:spPr>
        <a:xfrm>
          <a:off x="7264400" y="4764458975"/>
          <a:ext cx="878840" cy="1183640"/>
        </a:xfrm>
        <a:prstGeom prst="rect">
          <a:avLst/>
        </a:prstGeom>
      </xdr:spPr>
    </xdr:pic>
    <xdr:clientData/>
  </xdr:twoCellAnchor>
  <xdr:twoCellAnchor>
    <xdr:from>
      <xdr:col>8</xdr:col>
      <xdr:colOff>6350</xdr:colOff>
      <xdr:row>4785</xdr:row>
      <xdr:rowOff>25400</xdr:rowOff>
    </xdr:from>
    <xdr:to>
      <xdr:col>8</xdr:col>
      <xdr:colOff>885190</xdr:colOff>
      <xdr:row>4785</xdr:row>
      <xdr:rowOff>1209040</xdr:rowOff>
    </xdr:to>
    <xdr:pic>
      <xdr:nvPicPr>
        <xdr:cNvPr id="7976" name="Изображение 7975" descr="resizeПП-00275191"/>
        <xdr:cNvPicPr>
          <a:picLocks noChangeAspect="1"/>
        </xdr:cNvPicPr>
      </xdr:nvPicPr>
      <xdr:blipFill>
        <a:blip xmlns:r="http://schemas.openxmlformats.org/officeDocument/2006/relationships" r:embed="rId3653"/>
        <a:stretch>
          <a:fillRect/>
        </a:stretch>
      </xdr:blipFill>
      <xdr:spPr>
        <a:xfrm>
          <a:off x="7264400" y="4765681350"/>
          <a:ext cx="878840" cy="1183640"/>
        </a:xfrm>
        <a:prstGeom prst="rect">
          <a:avLst/>
        </a:prstGeom>
      </xdr:spPr>
    </xdr:pic>
    <xdr:clientData/>
  </xdr:twoCellAnchor>
  <xdr:twoCellAnchor>
    <xdr:from>
      <xdr:col>8</xdr:col>
      <xdr:colOff>6350</xdr:colOff>
      <xdr:row>4786</xdr:row>
      <xdr:rowOff>25400</xdr:rowOff>
    </xdr:from>
    <xdr:to>
      <xdr:col>8</xdr:col>
      <xdr:colOff>885190</xdr:colOff>
      <xdr:row>4786</xdr:row>
      <xdr:rowOff>1209040</xdr:rowOff>
    </xdr:to>
    <xdr:pic>
      <xdr:nvPicPr>
        <xdr:cNvPr id="7977" name="Изображение 7976" descr="resizeПП-00275190"/>
        <xdr:cNvPicPr>
          <a:picLocks noChangeAspect="1"/>
        </xdr:cNvPicPr>
      </xdr:nvPicPr>
      <xdr:blipFill>
        <a:blip xmlns:r="http://schemas.openxmlformats.org/officeDocument/2006/relationships" r:embed="rId3654"/>
        <a:stretch>
          <a:fillRect/>
        </a:stretch>
      </xdr:blipFill>
      <xdr:spPr>
        <a:xfrm>
          <a:off x="7264400" y="4766903725"/>
          <a:ext cx="878840" cy="1183640"/>
        </a:xfrm>
        <a:prstGeom prst="rect">
          <a:avLst/>
        </a:prstGeom>
      </xdr:spPr>
    </xdr:pic>
    <xdr:clientData/>
  </xdr:twoCellAnchor>
  <xdr:twoCellAnchor>
    <xdr:from>
      <xdr:col>8</xdr:col>
      <xdr:colOff>6350</xdr:colOff>
      <xdr:row>4787</xdr:row>
      <xdr:rowOff>25400</xdr:rowOff>
    </xdr:from>
    <xdr:to>
      <xdr:col>8</xdr:col>
      <xdr:colOff>885190</xdr:colOff>
      <xdr:row>4787</xdr:row>
      <xdr:rowOff>1209040</xdr:rowOff>
    </xdr:to>
    <xdr:pic>
      <xdr:nvPicPr>
        <xdr:cNvPr id="7978" name="Изображение 7977" descr="resizeПП-00208004"/>
        <xdr:cNvPicPr>
          <a:picLocks noChangeAspect="1"/>
        </xdr:cNvPicPr>
      </xdr:nvPicPr>
      <xdr:blipFill>
        <a:blip xmlns:r="http://schemas.openxmlformats.org/officeDocument/2006/relationships" r:embed="rId3655"/>
        <a:stretch>
          <a:fillRect/>
        </a:stretch>
      </xdr:blipFill>
      <xdr:spPr>
        <a:xfrm>
          <a:off x="7264400" y="4768126100"/>
          <a:ext cx="878840" cy="1183640"/>
        </a:xfrm>
        <a:prstGeom prst="rect">
          <a:avLst/>
        </a:prstGeom>
      </xdr:spPr>
    </xdr:pic>
    <xdr:clientData/>
  </xdr:twoCellAnchor>
  <xdr:twoCellAnchor>
    <xdr:from>
      <xdr:col>8</xdr:col>
      <xdr:colOff>6350</xdr:colOff>
      <xdr:row>4788</xdr:row>
      <xdr:rowOff>25400</xdr:rowOff>
    </xdr:from>
    <xdr:to>
      <xdr:col>8</xdr:col>
      <xdr:colOff>885190</xdr:colOff>
      <xdr:row>4788</xdr:row>
      <xdr:rowOff>1209040</xdr:rowOff>
    </xdr:to>
    <xdr:pic>
      <xdr:nvPicPr>
        <xdr:cNvPr id="7979" name="Изображение 7978" descr="resizeПП-00254351"/>
        <xdr:cNvPicPr>
          <a:picLocks noChangeAspect="1"/>
        </xdr:cNvPicPr>
      </xdr:nvPicPr>
      <xdr:blipFill>
        <a:blip xmlns:r="http://schemas.openxmlformats.org/officeDocument/2006/relationships" r:embed="rId3656"/>
        <a:stretch>
          <a:fillRect/>
        </a:stretch>
      </xdr:blipFill>
      <xdr:spPr>
        <a:xfrm>
          <a:off x="7264400" y="4769348475"/>
          <a:ext cx="878840" cy="1183640"/>
        </a:xfrm>
        <a:prstGeom prst="rect">
          <a:avLst/>
        </a:prstGeom>
      </xdr:spPr>
    </xdr:pic>
    <xdr:clientData/>
  </xdr:twoCellAnchor>
  <xdr:twoCellAnchor>
    <xdr:from>
      <xdr:col>8</xdr:col>
      <xdr:colOff>6350</xdr:colOff>
      <xdr:row>4789</xdr:row>
      <xdr:rowOff>25400</xdr:rowOff>
    </xdr:from>
    <xdr:to>
      <xdr:col>8</xdr:col>
      <xdr:colOff>885190</xdr:colOff>
      <xdr:row>4789</xdr:row>
      <xdr:rowOff>1209040</xdr:rowOff>
    </xdr:to>
    <xdr:pic>
      <xdr:nvPicPr>
        <xdr:cNvPr id="7980" name="Изображение 7979" descr="resizeПП-00254338"/>
        <xdr:cNvPicPr>
          <a:picLocks noChangeAspect="1"/>
        </xdr:cNvPicPr>
      </xdr:nvPicPr>
      <xdr:blipFill>
        <a:blip xmlns:r="http://schemas.openxmlformats.org/officeDocument/2006/relationships" r:embed="rId3657"/>
        <a:stretch>
          <a:fillRect/>
        </a:stretch>
      </xdr:blipFill>
      <xdr:spPr>
        <a:xfrm>
          <a:off x="7264400" y="4770570850"/>
          <a:ext cx="878840" cy="1183640"/>
        </a:xfrm>
        <a:prstGeom prst="rect">
          <a:avLst/>
        </a:prstGeom>
      </xdr:spPr>
    </xdr:pic>
    <xdr:clientData/>
  </xdr:twoCellAnchor>
  <xdr:twoCellAnchor>
    <xdr:from>
      <xdr:col>8</xdr:col>
      <xdr:colOff>6350</xdr:colOff>
      <xdr:row>4790</xdr:row>
      <xdr:rowOff>25400</xdr:rowOff>
    </xdr:from>
    <xdr:to>
      <xdr:col>8</xdr:col>
      <xdr:colOff>885190</xdr:colOff>
      <xdr:row>4790</xdr:row>
      <xdr:rowOff>1209040</xdr:rowOff>
    </xdr:to>
    <xdr:pic>
      <xdr:nvPicPr>
        <xdr:cNvPr id="7981" name="Изображение 7980" descr="resizeПП-00254341"/>
        <xdr:cNvPicPr>
          <a:picLocks noChangeAspect="1"/>
        </xdr:cNvPicPr>
      </xdr:nvPicPr>
      <xdr:blipFill>
        <a:blip xmlns:r="http://schemas.openxmlformats.org/officeDocument/2006/relationships" r:embed="rId3658"/>
        <a:stretch>
          <a:fillRect/>
        </a:stretch>
      </xdr:blipFill>
      <xdr:spPr>
        <a:xfrm>
          <a:off x="7264400" y="4771793225"/>
          <a:ext cx="878840" cy="1183640"/>
        </a:xfrm>
        <a:prstGeom prst="rect">
          <a:avLst/>
        </a:prstGeom>
      </xdr:spPr>
    </xdr:pic>
    <xdr:clientData/>
  </xdr:twoCellAnchor>
  <xdr:twoCellAnchor>
    <xdr:from>
      <xdr:col>8</xdr:col>
      <xdr:colOff>6350</xdr:colOff>
      <xdr:row>4791</xdr:row>
      <xdr:rowOff>25400</xdr:rowOff>
    </xdr:from>
    <xdr:to>
      <xdr:col>8</xdr:col>
      <xdr:colOff>885190</xdr:colOff>
      <xdr:row>4791</xdr:row>
      <xdr:rowOff>1209040</xdr:rowOff>
    </xdr:to>
    <xdr:pic>
      <xdr:nvPicPr>
        <xdr:cNvPr id="7982" name="Изображение 7981" descr="resizeПП-00254361"/>
        <xdr:cNvPicPr>
          <a:picLocks noChangeAspect="1"/>
        </xdr:cNvPicPr>
      </xdr:nvPicPr>
      <xdr:blipFill>
        <a:blip xmlns:r="http://schemas.openxmlformats.org/officeDocument/2006/relationships" r:embed="rId3659"/>
        <a:stretch>
          <a:fillRect/>
        </a:stretch>
      </xdr:blipFill>
      <xdr:spPr>
        <a:xfrm>
          <a:off x="7264400" y="4773015600"/>
          <a:ext cx="878840" cy="1183640"/>
        </a:xfrm>
        <a:prstGeom prst="rect">
          <a:avLst/>
        </a:prstGeom>
      </xdr:spPr>
    </xdr:pic>
    <xdr:clientData/>
  </xdr:twoCellAnchor>
  <xdr:twoCellAnchor>
    <xdr:from>
      <xdr:col>8</xdr:col>
      <xdr:colOff>6350</xdr:colOff>
      <xdr:row>4792</xdr:row>
      <xdr:rowOff>25400</xdr:rowOff>
    </xdr:from>
    <xdr:to>
      <xdr:col>8</xdr:col>
      <xdr:colOff>885190</xdr:colOff>
      <xdr:row>4792</xdr:row>
      <xdr:rowOff>1209040</xdr:rowOff>
    </xdr:to>
    <xdr:pic>
      <xdr:nvPicPr>
        <xdr:cNvPr id="7983" name="Изображение 7982" descr="resizeПП-00254348"/>
        <xdr:cNvPicPr>
          <a:picLocks noChangeAspect="1"/>
        </xdr:cNvPicPr>
      </xdr:nvPicPr>
      <xdr:blipFill>
        <a:blip xmlns:r="http://schemas.openxmlformats.org/officeDocument/2006/relationships" r:embed="rId3660"/>
        <a:stretch>
          <a:fillRect/>
        </a:stretch>
      </xdr:blipFill>
      <xdr:spPr>
        <a:xfrm>
          <a:off x="7264400" y="4774237975"/>
          <a:ext cx="878840" cy="1183640"/>
        </a:xfrm>
        <a:prstGeom prst="rect">
          <a:avLst/>
        </a:prstGeom>
      </xdr:spPr>
    </xdr:pic>
    <xdr:clientData/>
  </xdr:twoCellAnchor>
  <xdr:twoCellAnchor>
    <xdr:from>
      <xdr:col>8</xdr:col>
      <xdr:colOff>6350</xdr:colOff>
      <xdr:row>4793</xdr:row>
      <xdr:rowOff>25400</xdr:rowOff>
    </xdr:from>
    <xdr:to>
      <xdr:col>8</xdr:col>
      <xdr:colOff>885190</xdr:colOff>
      <xdr:row>4793</xdr:row>
      <xdr:rowOff>1209040</xdr:rowOff>
    </xdr:to>
    <xdr:pic>
      <xdr:nvPicPr>
        <xdr:cNvPr id="7984" name="Изображение 7983" descr="resizeПП-00254358"/>
        <xdr:cNvPicPr>
          <a:picLocks noChangeAspect="1"/>
        </xdr:cNvPicPr>
      </xdr:nvPicPr>
      <xdr:blipFill>
        <a:blip xmlns:r="http://schemas.openxmlformats.org/officeDocument/2006/relationships" r:embed="rId3661"/>
        <a:stretch>
          <a:fillRect/>
        </a:stretch>
      </xdr:blipFill>
      <xdr:spPr>
        <a:xfrm>
          <a:off x="7264400" y="4775460350"/>
          <a:ext cx="878840" cy="1183640"/>
        </a:xfrm>
        <a:prstGeom prst="rect">
          <a:avLst/>
        </a:prstGeom>
      </xdr:spPr>
    </xdr:pic>
    <xdr:clientData/>
  </xdr:twoCellAnchor>
  <xdr:twoCellAnchor>
    <xdr:from>
      <xdr:col>8</xdr:col>
      <xdr:colOff>6350</xdr:colOff>
      <xdr:row>4794</xdr:row>
      <xdr:rowOff>25400</xdr:rowOff>
    </xdr:from>
    <xdr:to>
      <xdr:col>8</xdr:col>
      <xdr:colOff>885190</xdr:colOff>
      <xdr:row>4794</xdr:row>
      <xdr:rowOff>1209040</xdr:rowOff>
    </xdr:to>
    <xdr:pic>
      <xdr:nvPicPr>
        <xdr:cNvPr id="7985" name="Изображение 7984" descr="resizeПП-00254344"/>
        <xdr:cNvPicPr>
          <a:picLocks noChangeAspect="1"/>
        </xdr:cNvPicPr>
      </xdr:nvPicPr>
      <xdr:blipFill>
        <a:blip xmlns:r="http://schemas.openxmlformats.org/officeDocument/2006/relationships" r:embed="rId3662"/>
        <a:stretch>
          <a:fillRect/>
        </a:stretch>
      </xdr:blipFill>
      <xdr:spPr>
        <a:xfrm>
          <a:off x="7264400" y="4776682725"/>
          <a:ext cx="878840" cy="1183640"/>
        </a:xfrm>
        <a:prstGeom prst="rect">
          <a:avLst/>
        </a:prstGeom>
      </xdr:spPr>
    </xdr:pic>
    <xdr:clientData/>
  </xdr:twoCellAnchor>
  <xdr:twoCellAnchor>
    <xdr:from>
      <xdr:col>8</xdr:col>
      <xdr:colOff>6350</xdr:colOff>
      <xdr:row>4795</xdr:row>
      <xdr:rowOff>25400</xdr:rowOff>
    </xdr:from>
    <xdr:to>
      <xdr:col>8</xdr:col>
      <xdr:colOff>885190</xdr:colOff>
      <xdr:row>4795</xdr:row>
      <xdr:rowOff>1209040</xdr:rowOff>
    </xdr:to>
    <xdr:pic>
      <xdr:nvPicPr>
        <xdr:cNvPr id="7986" name="Изображение 7985" descr="resizeПП-00254365"/>
        <xdr:cNvPicPr>
          <a:picLocks noChangeAspect="1"/>
        </xdr:cNvPicPr>
      </xdr:nvPicPr>
      <xdr:blipFill>
        <a:blip xmlns:r="http://schemas.openxmlformats.org/officeDocument/2006/relationships" r:embed="rId3663"/>
        <a:stretch>
          <a:fillRect/>
        </a:stretch>
      </xdr:blipFill>
      <xdr:spPr>
        <a:xfrm>
          <a:off x="7264400" y="4777905100"/>
          <a:ext cx="878840" cy="1183640"/>
        </a:xfrm>
        <a:prstGeom prst="rect">
          <a:avLst/>
        </a:prstGeom>
      </xdr:spPr>
    </xdr:pic>
    <xdr:clientData/>
  </xdr:twoCellAnchor>
  <xdr:twoCellAnchor>
    <xdr:from>
      <xdr:col>8</xdr:col>
      <xdr:colOff>6350</xdr:colOff>
      <xdr:row>4797</xdr:row>
      <xdr:rowOff>25400</xdr:rowOff>
    </xdr:from>
    <xdr:to>
      <xdr:col>8</xdr:col>
      <xdr:colOff>885190</xdr:colOff>
      <xdr:row>4797</xdr:row>
      <xdr:rowOff>1209040</xdr:rowOff>
    </xdr:to>
    <xdr:pic>
      <xdr:nvPicPr>
        <xdr:cNvPr id="7987" name="Изображение 7986" descr="resizeПП-00209578"/>
        <xdr:cNvPicPr>
          <a:picLocks noChangeAspect="1"/>
        </xdr:cNvPicPr>
      </xdr:nvPicPr>
      <xdr:blipFill>
        <a:blip xmlns:r="http://schemas.openxmlformats.org/officeDocument/2006/relationships" r:embed="rId3664"/>
        <a:stretch>
          <a:fillRect/>
        </a:stretch>
      </xdr:blipFill>
      <xdr:spPr>
        <a:xfrm>
          <a:off x="7264400" y="4779279875"/>
          <a:ext cx="878840" cy="1183640"/>
        </a:xfrm>
        <a:prstGeom prst="rect">
          <a:avLst/>
        </a:prstGeom>
      </xdr:spPr>
    </xdr:pic>
    <xdr:clientData/>
  </xdr:twoCellAnchor>
  <xdr:twoCellAnchor>
    <xdr:from>
      <xdr:col>8</xdr:col>
      <xdr:colOff>6350</xdr:colOff>
      <xdr:row>4798</xdr:row>
      <xdr:rowOff>25400</xdr:rowOff>
    </xdr:from>
    <xdr:to>
      <xdr:col>8</xdr:col>
      <xdr:colOff>885190</xdr:colOff>
      <xdr:row>4798</xdr:row>
      <xdr:rowOff>1209040</xdr:rowOff>
    </xdr:to>
    <xdr:pic>
      <xdr:nvPicPr>
        <xdr:cNvPr id="7988" name="Изображение 7987" descr="resizeПП-00275179"/>
        <xdr:cNvPicPr>
          <a:picLocks noChangeAspect="1"/>
        </xdr:cNvPicPr>
      </xdr:nvPicPr>
      <xdr:blipFill>
        <a:blip xmlns:r="http://schemas.openxmlformats.org/officeDocument/2006/relationships" r:embed="rId3665"/>
        <a:stretch>
          <a:fillRect/>
        </a:stretch>
      </xdr:blipFill>
      <xdr:spPr>
        <a:xfrm>
          <a:off x="7264400" y="4780502250"/>
          <a:ext cx="878840" cy="1183640"/>
        </a:xfrm>
        <a:prstGeom prst="rect">
          <a:avLst/>
        </a:prstGeom>
      </xdr:spPr>
    </xdr:pic>
    <xdr:clientData/>
  </xdr:twoCellAnchor>
  <xdr:twoCellAnchor>
    <xdr:from>
      <xdr:col>8</xdr:col>
      <xdr:colOff>6350</xdr:colOff>
      <xdr:row>4799</xdr:row>
      <xdr:rowOff>25400</xdr:rowOff>
    </xdr:from>
    <xdr:to>
      <xdr:col>8</xdr:col>
      <xdr:colOff>885190</xdr:colOff>
      <xdr:row>4799</xdr:row>
      <xdr:rowOff>1209040</xdr:rowOff>
    </xdr:to>
    <xdr:pic>
      <xdr:nvPicPr>
        <xdr:cNvPr id="7989" name="Изображение 7988" descr="resizeПП-00275178"/>
        <xdr:cNvPicPr>
          <a:picLocks noChangeAspect="1"/>
        </xdr:cNvPicPr>
      </xdr:nvPicPr>
      <xdr:blipFill>
        <a:blip xmlns:r="http://schemas.openxmlformats.org/officeDocument/2006/relationships" r:embed="rId3666"/>
        <a:stretch>
          <a:fillRect/>
        </a:stretch>
      </xdr:blipFill>
      <xdr:spPr>
        <a:xfrm>
          <a:off x="7264400" y="4781724625"/>
          <a:ext cx="878840" cy="1183640"/>
        </a:xfrm>
        <a:prstGeom prst="rect">
          <a:avLst/>
        </a:prstGeom>
      </xdr:spPr>
    </xdr:pic>
    <xdr:clientData/>
  </xdr:twoCellAnchor>
  <xdr:twoCellAnchor>
    <xdr:from>
      <xdr:col>8</xdr:col>
      <xdr:colOff>6350</xdr:colOff>
      <xdr:row>4801</xdr:row>
      <xdr:rowOff>25400</xdr:rowOff>
    </xdr:from>
    <xdr:to>
      <xdr:col>8</xdr:col>
      <xdr:colOff>885190</xdr:colOff>
      <xdr:row>4801</xdr:row>
      <xdr:rowOff>1209040</xdr:rowOff>
    </xdr:to>
    <xdr:pic>
      <xdr:nvPicPr>
        <xdr:cNvPr id="7990" name="Изображение 7989" descr="resizeПП-00209857"/>
        <xdr:cNvPicPr>
          <a:picLocks noChangeAspect="1"/>
        </xdr:cNvPicPr>
      </xdr:nvPicPr>
      <xdr:blipFill>
        <a:blip xmlns:r="http://schemas.openxmlformats.org/officeDocument/2006/relationships" r:embed="rId3667"/>
        <a:stretch>
          <a:fillRect/>
        </a:stretch>
      </xdr:blipFill>
      <xdr:spPr>
        <a:xfrm>
          <a:off x="7264400" y="4783099400"/>
          <a:ext cx="878840" cy="1183640"/>
        </a:xfrm>
        <a:prstGeom prst="rect">
          <a:avLst/>
        </a:prstGeom>
      </xdr:spPr>
    </xdr:pic>
    <xdr:clientData/>
  </xdr:twoCellAnchor>
  <xdr:twoCellAnchor>
    <xdr:from>
      <xdr:col>8</xdr:col>
      <xdr:colOff>6350</xdr:colOff>
      <xdr:row>4803</xdr:row>
      <xdr:rowOff>25400</xdr:rowOff>
    </xdr:from>
    <xdr:to>
      <xdr:col>8</xdr:col>
      <xdr:colOff>885190</xdr:colOff>
      <xdr:row>4803</xdr:row>
      <xdr:rowOff>1209040</xdr:rowOff>
    </xdr:to>
    <xdr:pic>
      <xdr:nvPicPr>
        <xdr:cNvPr id="7991" name="Изображение 7990" descr="resizeПП-00122423"/>
        <xdr:cNvPicPr>
          <a:picLocks noChangeAspect="1"/>
        </xdr:cNvPicPr>
      </xdr:nvPicPr>
      <xdr:blipFill>
        <a:blip xmlns:r="http://schemas.openxmlformats.org/officeDocument/2006/relationships" r:embed="rId3668"/>
        <a:stretch>
          <a:fillRect/>
        </a:stretch>
      </xdr:blipFill>
      <xdr:spPr>
        <a:xfrm>
          <a:off x="7264400" y="4784474175"/>
          <a:ext cx="878840" cy="1183640"/>
        </a:xfrm>
        <a:prstGeom prst="rect">
          <a:avLst/>
        </a:prstGeom>
      </xdr:spPr>
    </xdr:pic>
    <xdr:clientData/>
  </xdr:twoCellAnchor>
  <xdr:twoCellAnchor>
    <xdr:from>
      <xdr:col>8</xdr:col>
      <xdr:colOff>6350</xdr:colOff>
      <xdr:row>4804</xdr:row>
      <xdr:rowOff>25400</xdr:rowOff>
    </xdr:from>
    <xdr:to>
      <xdr:col>8</xdr:col>
      <xdr:colOff>885190</xdr:colOff>
      <xdr:row>4804</xdr:row>
      <xdr:rowOff>1209040</xdr:rowOff>
    </xdr:to>
    <xdr:pic>
      <xdr:nvPicPr>
        <xdr:cNvPr id="7992" name="Изображение 7991" descr="resizeПП-00275189"/>
        <xdr:cNvPicPr>
          <a:picLocks noChangeAspect="1"/>
        </xdr:cNvPicPr>
      </xdr:nvPicPr>
      <xdr:blipFill>
        <a:blip xmlns:r="http://schemas.openxmlformats.org/officeDocument/2006/relationships" r:embed="rId3669"/>
        <a:stretch>
          <a:fillRect/>
        </a:stretch>
      </xdr:blipFill>
      <xdr:spPr>
        <a:xfrm>
          <a:off x="7264400" y="4785696550"/>
          <a:ext cx="878840" cy="1183640"/>
        </a:xfrm>
        <a:prstGeom prst="rect">
          <a:avLst/>
        </a:prstGeom>
      </xdr:spPr>
    </xdr:pic>
    <xdr:clientData/>
  </xdr:twoCellAnchor>
  <xdr:twoCellAnchor>
    <xdr:from>
      <xdr:col>8</xdr:col>
      <xdr:colOff>6350</xdr:colOff>
      <xdr:row>4805</xdr:row>
      <xdr:rowOff>25400</xdr:rowOff>
    </xdr:from>
    <xdr:to>
      <xdr:col>8</xdr:col>
      <xdr:colOff>885190</xdr:colOff>
      <xdr:row>4805</xdr:row>
      <xdr:rowOff>1209040</xdr:rowOff>
    </xdr:to>
    <xdr:pic>
      <xdr:nvPicPr>
        <xdr:cNvPr id="7993" name="Изображение 7992" descr="resizeПП-00209913"/>
        <xdr:cNvPicPr>
          <a:picLocks noChangeAspect="1"/>
        </xdr:cNvPicPr>
      </xdr:nvPicPr>
      <xdr:blipFill>
        <a:blip xmlns:r="http://schemas.openxmlformats.org/officeDocument/2006/relationships" r:embed="rId3670"/>
        <a:stretch>
          <a:fillRect/>
        </a:stretch>
      </xdr:blipFill>
      <xdr:spPr>
        <a:xfrm>
          <a:off x="7264400" y="4786918925"/>
          <a:ext cx="878840" cy="1183640"/>
        </a:xfrm>
        <a:prstGeom prst="rect">
          <a:avLst/>
        </a:prstGeom>
      </xdr:spPr>
    </xdr:pic>
    <xdr:clientData/>
  </xdr:twoCellAnchor>
  <xdr:twoCellAnchor>
    <xdr:from>
      <xdr:col>8</xdr:col>
      <xdr:colOff>6350</xdr:colOff>
      <xdr:row>4806</xdr:row>
      <xdr:rowOff>25400</xdr:rowOff>
    </xdr:from>
    <xdr:to>
      <xdr:col>8</xdr:col>
      <xdr:colOff>885190</xdr:colOff>
      <xdr:row>4806</xdr:row>
      <xdr:rowOff>1209040</xdr:rowOff>
    </xdr:to>
    <xdr:pic>
      <xdr:nvPicPr>
        <xdr:cNvPr id="7994" name="Изображение 7993" descr="resizeПП-00275188"/>
        <xdr:cNvPicPr>
          <a:picLocks noChangeAspect="1"/>
        </xdr:cNvPicPr>
      </xdr:nvPicPr>
      <xdr:blipFill>
        <a:blip xmlns:r="http://schemas.openxmlformats.org/officeDocument/2006/relationships" r:embed="rId3671"/>
        <a:stretch>
          <a:fillRect/>
        </a:stretch>
      </xdr:blipFill>
      <xdr:spPr>
        <a:xfrm>
          <a:off x="7264400" y="4788141300"/>
          <a:ext cx="878840" cy="1183640"/>
        </a:xfrm>
        <a:prstGeom prst="rect">
          <a:avLst/>
        </a:prstGeom>
      </xdr:spPr>
    </xdr:pic>
    <xdr:clientData/>
  </xdr:twoCellAnchor>
  <xdr:twoCellAnchor>
    <xdr:from>
      <xdr:col>8</xdr:col>
      <xdr:colOff>6350</xdr:colOff>
      <xdr:row>4807</xdr:row>
      <xdr:rowOff>25400</xdr:rowOff>
    </xdr:from>
    <xdr:to>
      <xdr:col>8</xdr:col>
      <xdr:colOff>885190</xdr:colOff>
      <xdr:row>4807</xdr:row>
      <xdr:rowOff>1209040</xdr:rowOff>
    </xdr:to>
    <xdr:pic>
      <xdr:nvPicPr>
        <xdr:cNvPr id="7995" name="Изображение 7994" descr="resizeПП-00275184"/>
        <xdr:cNvPicPr>
          <a:picLocks noChangeAspect="1"/>
        </xdr:cNvPicPr>
      </xdr:nvPicPr>
      <xdr:blipFill>
        <a:blip xmlns:r="http://schemas.openxmlformats.org/officeDocument/2006/relationships" r:embed="rId3672"/>
        <a:stretch>
          <a:fillRect/>
        </a:stretch>
      </xdr:blipFill>
      <xdr:spPr>
        <a:xfrm>
          <a:off x="7264400" y="4789363675"/>
          <a:ext cx="878840" cy="1183640"/>
        </a:xfrm>
        <a:prstGeom prst="rect">
          <a:avLst/>
        </a:prstGeom>
      </xdr:spPr>
    </xdr:pic>
    <xdr:clientData/>
  </xdr:twoCellAnchor>
  <xdr:twoCellAnchor>
    <xdr:from>
      <xdr:col>8</xdr:col>
      <xdr:colOff>6350</xdr:colOff>
      <xdr:row>4808</xdr:row>
      <xdr:rowOff>25400</xdr:rowOff>
    </xdr:from>
    <xdr:to>
      <xdr:col>8</xdr:col>
      <xdr:colOff>885190</xdr:colOff>
      <xdr:row>4808</xdr:row>
      <xdr:rowOff>1209040</xdr:rowOff>
    </xdr:to>
    <xdr:pic>
      <xdr:nvPicPr>
        <xdr:cNvPr id="7996" name="Изображение 7995" descr="resizeПП-00275181"/>
        <xdr:cNvPicPr>
          <a:picLocks noChangeAspect="1"/>
        </xdr:cNvPicPr>
      </xdr:nvPicPr>
      <xdr:blipFill>
        <a:blip xmlns:r="http://schemas.openxmlformats.org/officeDocument/2006/relationships" r:embed="rId3673"/>
        <a:stretch>
          <a:fillRect/>
        </a:stretch>
      </xdr:blipFill>
      <xdr:spPr>
        <a:xfrm>
          <a:off x="7264400" y="4790586050"/>
          <a:ext cx="878840" cy="1183640"/>
        </a:xfrm>
        <a:prstGeom prst="rect">
          <a:avLst/>
        </a:prstGeom>
      </xdr:spPr>
    </xdr:pic>
    <xdr:clientData/>
  </xdr:twoCellAnchor>
  <xdr:twoCellAnchor>
    <xdr:from>
      <xdr:col>8</xdr:col>
      <xdr:colOff>6350</xdr:colOff>
      <xdr:row>4809</xdr:row>
      <xdr:rowOff>25400</xdr:rowOff>
    </xdr:from>
    <xdr:to>
      <xdr:col>8</xdr:col>
      <xdr:colOff>885190</xdr:colOff>
      <xdr:row>4809</xdr:row>
      <xdr:rowOff>1209040</xdr:rowOff>
    </xdr:to>
    <xdr:pic>
      <xdr:nvPicPr>
        <xdr:cNvPr id="7997" name="Изображение 7996" descr="resizeПП-00209909"/>
        <xdr:cNvPicPr>
          <a:picLocks noChangeAspect="1"/>
        </xdr:cNvPicPr>
      </xdr:nvPicPr>
      <xdr:blipFill>
        <a:blip xmlns:r="http://schemas.openxmlformats.org/officeDocument/2006/relationships" r:embed="rId3674"/>
        <a:stretch>
          <a:fillRect/>
        </a:stretch>
      </xdr:blipFill>
      <xdr:spPr>
        <a:xfrm>
          <a:off x="7264400" y="4791808425"/>
          <a:ext cx="878840" cy="1183640"/>
        </a:xfrm>
        <a:prstGeom prst="rect">
          <a:avLst/>
        </a:prstGeom>
      </xdr:spPr>
    </xdr:pic>
    <xdr:clientData/>
  </xdr:twoCellAnchor>
  <xdr:twoCellAnchor>
    <xdr:from>
      <xdr:col>8</xdr:col>
      <xdr:colOff>6350</xdr:colOff>
      <xdr:row>4810</xdr:row>
      <xdr:rowOff>25400</xdr:rowOff>
    </xdr:from>
    <xdr:to>
      <xdr:col>8</xdr:col>
      <xdr:colOff>885190</xdr:colOff>
      <xdr:row>4810</xdr:row>
      <xdr:rowOff>1209040</xdr:rowOff>
    </xdr:to>
    <xdr:pic>
      <xdr:nvPicPr>
        <xdr:cNvPr id="7998" name="Изображение 7997" descr="resizeПП-00209921"/>
        <xdr:cNvPicPr>
          <a:picLocks noChangeAspect="1"/>
        </xdr:cNvPicPr>
      </xdr:nvPicPr>
      <xdr:blipFill>
        <a:blip xmlns:r="http://schemas.openxmlformats.org/officeDocument/2006/relationships" r:embed="rId3675"/>
        <a:stretch>
          <a:fillRect/>
        </a:stretch>
      </xdr:blipFill>
      <xdr:spPr>
        <a:xfrm>
          <a:off x="7264400" y="4793030800"/>
          <a:ext cx="878840" cy="1183640"/>
        </a:xfrm>
        <a:prstGeom prst="rect">
          <a:avLst/>
        </a:prstGeom>
      </xdr:spPr>
    </xdr:pic>
    <xdr:clientData/>
  </xdr:twoCellAnchor>
  <xdr:twoCellAnchor>
    <xdr:from>
      <xdr:col>8</xdr:col>
      <xdr:colOff>6350</xdr:colOff>
      <xdr:row>4811</xdr:row>
      <xdr:rowOff>25400</xdr:rowOff>
    </xdr:from>
    <xdr:to>
      <xdr:col>8</xdr:col>
      <xdr:colOff>885190</xdr:colOff>
      <xdr:row>4811</xdr:row>
      <xdr:rowOff>1209040</xdr:rowOff>
    </xdr:to>
    <xdr:pic>
      <xdr:nvPicPr>
        <xdr:cNvPr id="7999" name="Изображение 7998" descr="resizeПП-00228999"/>
        <xdr:cNvPicPr>
          <a:picLocks noChangeAspect="1"/>
        </xdr:cNvPicPr>
      </xdr:nvPicPr>
      <xdr:blipFill>
        <a:blip xmlns:r="http://schemas.openxmlformats.org/officeDocument/2006/relationships" r:embed="rId3676"/>
        <a:stretch>
          <a:fillRect/>
        </a:stretch>
      </xdr:blipFill>
      <xdr:spPr>
        <a:xfrm>
          <a:off x="7264400" y="4794253175"/>
          <a:ext cx="878840" cy="1183640"/>
        </a:xfrm>
        <a:prstGeom prst="rect">
          <a:avLst/>
        </a:prstGeom>
      </xdr:spPr>
    </xdr:pic>
    <xdr:clientData/>
  </xdr:twoCellAnchor>
  <xdr:twoCellAnchor>
    <xdr:from>
      <xdr:col>8</xdr:col>
      <xdr:colOff>6350</xdr:colOff>
      <xdr:row>4812</xdr:row>
      <xdr:rowOff>25400</xdr:rowOff>
    </xdr:from>
    <xdr:to>
      <xdr:col>8</xdr:col>
      <xdr:colOff>885190</xdr:colOff>
      <xdr:row>4812</xdr:row>
      <xdr:rowOff>1209040</xdr:rowOff>
    </xdr:to>
    <xdr:pic>
      <xdr:nvPicPr>
        <xdr:cNvPr id="8000" name="Изображение 7999" descr="resizeПП-00209900"/>
        <xdr:cNvPicPr>
          <a:picLocks noChangeAspect="1"/>
        </xdr:cNvPicPr>
      </xdr:nvPicPr>
      <xdr:blipFill>
        <a:blip xmlns:r="http://schemas.openxmlformats.org/officeDocument/2006/relationships" r:embed="rId3677"/>
        <a:stretch>
          <a:fillRect/>
        </a:stretch>
      </xdr:blipFill>
      <xdr:spPr>
        <a:xfrm>
          <a:off x="7264400" y="4795475550"/>
          <a:ext cx="878840" cy="1183640"/>
        </a:xfrm>
        <a:prstGeom prst="rect">
          <a:avLst/>
        </a:prstGeom>
      </xdr:spPr>
    </xdr:pic>
    <xdr:clientData/>
  </xdr:twoCellAnchor>
  <xdr:twoCellAnchor>
    <xdr:from>
      <xdr:col>8</xdr:col>
      <xdr:colOff>6350</xdr:colOff>
      <xdr:row>4813</xdr:row>
      <xdr:rowOff>25400</xdr:rowOff>
    </xdr:from>
    <xdr:to>
      <xdr:col>8</xdr:col>
      <xdr:colOff>885190</xdr:colOff>
      <xdr:row>4813</xdr:row>
      <xdr:rowOff>1209040</xdr:rowOff>
    </xdr:to>
    <xdr:pic>
      <xdr:nvPicPr>
        <xdr:cNvPr id="8001" name="Изображение 8000" descr="resizeПП-00209898"/>
        <xdr:cNvPicPr>
          <a:picLocks noChangeAspect="1"/>
        </xdr:cNvPicPr>
      </xdr:nvPicPr>
      <xdr:blipFill>
        <a:blip xmlns:r="http://schemas.openxmlformats.org/officeDocument/2006/relationships" r:embed="rId3678"/>
        <a:stretch>
          <a:fillRect/>
        </a:stretch>
      </xdr:blipFill>
      <xdr:spPr>
        <a:xfrm>
          <a:off x="7264400" y="4796697925"/>
          <a:ext cx="878840" cy="1183640"/>
        </a:xfrm>
        <a:prstGeom prst="rect">
          <a:avLst/>
        </a:prstGeom>
      </xdr:spPr>
    </xdr:pic>
    <xdr:clientData/>
  </xdr:twoCellAnchor>
  <xdr:twoCellAnchor>
    <xdr:from>
      <xdr:col>8</xdr:col>
      <xdr:colOff>6350</xdr:colOff>
      <xdr:row>4814</xdr:row>
      <xdr:rowOff>25400</xdr:rowOff>
    </xdr:from>
    <xdr:to>
      <xdr:col>8</xdr:col>
      <xdr:colOff>885190</xdr:colOff>
      <xdr:row>4814</xdr:row>
      <xdr:rowOff>1209040</xdr:rowOff>
    </xdr:to>
    <xdr:pic>
      <xdr:nvPicPr>
        <xdr:cNvPr id="8002" name="Изображение 8001" descr="resizeПП-00275180"/>
        <xdr:cNvPicPr>
          <a:picLocks noChangeAspect="1"/>
        </xdr:cNvPicPr>
      </xdr:nvPicPr>
      <xdr:blipFill>
        <a:blip xmlns:r="http://schemas.openxmlformats.org/officeDocument/2006/relationships" r:embed="rId3679"/>
        <a:stretch>
          <a:fillRect/>
        </a:stretch>
      </xdr:blipFill>
      <xdr:spPr>
        <a:xfrm>
          <a:off x="7264400" y="4797920300"/>
          <a:ext cx="878840" cy="1183640"/>
        </a:xfrm>
        <a:prstGeom prst="rect">
          <a:avLst/>
        </a:prstGeom>
      </xdr:spPr>
    </xdr:pic>
    <xdr:clientData/>
  </xdr:twoCellAnchor>
  <xdr:twoCellAnchor>
    <xdr:from>
      <xdr:col>8</xdr:col>
      <xdr:colOff>6350</xdr:colOff>
      <xdr:row>4816</xdr:row>
      <xdr:rowOff>25400</xdr:rowOff>
    </xdr:from>
    <xdr:to>
      <xdr:col>8</xdr:col>
      <xdr:colOff>885190</xdr:colOff>
      <xdr:row>4816</xdr:row>
      <xdr:rowOff>1209040</xdr:rowOff>
    </xdr:to>
    <xdr:pic>
      <xdr:nvPicPr>
        <xdr:cNvPr id="8003" name="Изображение 8002" descr="resizeПП-00249551"/>
        <xdr:cNvPicPr>
          <a:picLocks noChangeAspect="1"/>
        </xdr:cNvPicPr>
      </xdr:nvPicPr>
      <xdr:blipFill>
        <a:blip xmlns:r="http://schemas.openxmlformats.org/officeDocument/2006/relationships" r:embed="rId3680"/>
        <a:stretch>
          <a:fillRect/>
        </a:stretch>
      </xdr:blipFill>
      <xdr:spPr>
        <a:xfrm>
          <a:off x="7264400" y="4799295075"/>
          <a:ext cx="878840" cy="1183640"/>
        </a:xfrm>
        <a:prstGeom prst="rect">
          <a:avLst/>
        </a:prstGeom>
      </xdr:spPr>
    </xdr:pic>
    <xdr:clientData/>
  </xdr:twoCellAnchor>
  <xdr:twoCellAnchor>
    <xdr:from>
      <xdr:col>8</xdr:col>
      <xdr:colOff>6350</xdr:colOff>
      <xdr:row>4817</xdr:row>
      <xdr:rowOff>25400</xdr:rowOff>
    </xdr:from>
    <xdr:to>
      <xdr:col>8</xdr:col>
      <xdr:colOff>885190</xdr:colOff>
      <xdr:row>4817</xdr:row>
      <xdr:rowOff>1209040</xdr:rowOff>
    </xdr:to>
    <xdr:pic>
      <xdr:nvPicPr>
        <xdr:cNvPr id="8004" name="Изображение 8003" descr="resizeПП-00249552"/>
        <xdr:cNvPicPr>
          <a:picLocks noChangeAspect="1"/>
        </xdr:cNvPicPr>
      </xdr:nvPicPr>
      <xdr:blipFill>
        <a:blip xmlns:r="http://schemas.openxmlformats.org/officeDocument/2006/relationships" r:embed="rId3681"/>
        <a:stretch>
          <a:fillRect/>
        </a:stretch>
      </xdr:blipFill>
      <xdr:spPr>
        <a:xfrm>
          <a:off x="7264400" y="4800517450"/>
          <a:ext cx="878840" cy="1183640"/>
        </a:xfrm>
        <a:prstGeom prst="rect">
          <a:avLst/>
        </a:prstGeom>
      </xdr:spPr>
    </xdr:pic>
    <xdr:clientData/>
  </xdr:twoCellAnchor>
  <xdr:twoCellAnchor>
    <xdr:from>
      <xdr:col>8</xdr:col>
      <xdr:colOff>6350</xdr:colOff>
      <xdr:row>4819</xdr:row>
      <xdr:rowOff>25400</xdr:rowOff>
    </xdr:from>
    <xdr:to>
      <xdr:col>8</xdr:col>
      <xdr:colOff>885190</xdr:colOff>
      <xdr:row>4819</xdr:row>
      <xdr:rowOff>1209040</xdr:rowOff>
    </xdr:to>
    <xdr:pic>
      <xdr:nvPicPr>
        <xdr:cNvPr id="8005" name="Изображение 8004" descr="resizeПП-00213033"/>
        <xdr:cNvPicPr>
          <a:picLocks noChangeAspect="1"/>
        </xdr:cNvPicPr>
      </xdr:nvPicPr>
      <xdr:blipFill>
        <a:blip xmlns:r="http://schemas.openxmlformats.org/officeDocument/2006/relationships" r:embed="rId3682"/>
        <a:stretch>
          <a:fillRect/>
        </a:stretch>
      </xdr:blipFill>
      <xdr:spPr>
        <a:xfrm>
          <a:off x="7264400" y="4801892225"/>
          <a:ext cx="878840" cy="1183640"/>
        </a:xfrm>
        <a:prstGeom prst="rect">
          <a:avLst/>
        </a:prstGeom>
      </xdr:spPr>
    </xdr:pic>
    <xdr:clientData/>
  </xdr:twoCellAnchor>
  <xdr:twoCellAnchor>
    <xdr:from>
      <xdr:col>8</xdr:col>
      <xdr:colOff>6350</xdr:colOff>
      <xdr:row>4820</xdr:row>
      <xdr:rowOff>25400</xdr:rowOff>
    </xdr:from>
    <xdr:to>
      <xdr:col>8</xdr:col>
      <xdr:colOff>885190</xdr:colOff>
      <xdr:row>4820</xdr:row>
      <xdr:rowOff>1209040</xdr:rowOff>
    </xdr:to>
    <xdr:pic>
      <xdr:nvPicPr>
        <xdr:cNvPr id="8006" name="Изображение 8005" descr="resizeПП-00213032"/>
        <xdr:cNvPicPr>
          <a:picLocks noChangeAspect="1"/>
        </xdr:cNvPicPr>
      </xdr:nvPicPr>
      <xdr:blipFill>
        <a:blip xmlns:r="http://schemas.openxmlformats.org/officeDocument/2006/relationships" r:embed="rId3683"/>
        <a:stretch>
          <a:fillRect/>
        </a:stretch>
      </xdr:blipFill>
      <xdr:spPr>
        <a:xfrm>
          <a:off x="7264400" y="4803114600"/>
          <a:ext cx="878840" cy="1183640"/>
        </a:xfrm>
        <a:prstGeom prst="rect">
          <a:avLst/>
        </a:prstGeom>
      </xdr:spPr>
    </xdr:pic>
    <xdr:clientData/>
  </xdr:twoCellAnchor>
  <xdr:twoCellAnchor>
    <xdr:from>
      <xdr:col>8</xdr:col>
      <xdr:colOff>6350</xdr:colOff>
      <xdr:row>4821</xdr:row>
      <xdr:rowOff>25400</xdr:rowOff>
    </xdr:from>
    <xdr:to>
      <xdr:col>8</xdr:col>
      <xdr:colOff>885190</xdr:colOff>
      <xdr:row>4821</xdr:row>
      <xdr:rowOff>1209040</xdr:rowOff>
    </xdr:to>
    <xdr:pic>
      <xdr:nvPicPr>
        <xdr:cNvPr id="8007" name="Изображение 8006" descr="resizeПП-00213031"/>
        <xdr:cNvPicPr>
          <a:picLocks noChangeAspect="1"/>
        </xdr:cNvPicPr>
      </xdr:nvPicPr>
      <xdr:blipFill>
        <a:blip xmlns:r="http://schemas.openxmlformats.org/officeDocument/2006/relationships" r:embed="rId3684"/>
        <a:stretch>
          <a:fillRect/>
        </a:stretch>
      </xdr:blipFill>
      <xdr:spPr>
        <a:xfrm>
          <a:off x="7264400" y="4804336975"/>
          <a:ext cx="878840" cy="1183640"/>
        </a:xfrm>
        <a:prstGeom prst="rect">
          <a:avLst/>
        </a:prstGeom>
      </xdr:spPr>
    </xdr:pic>
    <xdr:clientData/>
  </xdr:twoCellAnchor>
  <xdr:twoCellAnchor>
    <xdr:from>
      <xdr:col>8</xdr:col>
      <xdr:colOff>6350</xdr:colOff>
      <xdr:row>4822</xdr:row>
      <xdr:rowOff>25400</xdr:rowOff>
    </xdr:from>
    <xdr:to>
      <xdr:col>8</xdr:col>
      <xdr:colOff>885190</xdr:colOff>
      <xdr:row>4822</xdr:row>
      <xdr:rowOff>1209040</xdr:rowOff>
    </xdr:to>
    <xdr:pic>
      <xdr:nvPicPr>
        <xdr:cNvPr id="8008" name="Изображение 8007" descr="resizeПП-00213030"/>
        <xdr:cNvPicPr>
          <a:picLocks noChangeAspect="1"/>
        </xdr:cNvPicPr>
      </xdr:nvPicPr>
      <xdr:blipFill>
        <a:blip xmlns:r="http://schemas.openxmlformats.org/officeDocument/2006/relationships" r:embed="rId3685"/>
        <a:stretch>
          <a:fillRect/>
        </a:stretch>
      </xdr:blipFill>
      <xdr:spPr>
        <a:xfrm>
          <a:off x="7264400" y="4805559350"/>
          <a:ext cx="878840" cy="1183640"/>
        </a:xfrm>
        <a:prstGeom prst="rect">
          <a:avLst/>
        </a:prstGeom>
      </xdr:spPr>
    </xdr:pic>
    <xdr:clientData/>
  </xdr:twoCellAnchor>
  <xdr:twoCellAnchor>
    <xdr:from>
      <xdr:col>8</xdr:col>
      <xdr:colOff>6350</xdr:colOff>
      <xdr:row>4823</xdr:row>
      <xdr:rowOff>25400</xdr:rowOff>
    </xdr:from>
    <xdr:to>
      <xdr:col>8</xdr:col>
      <xdr:colOff>885190</xdr:colOff>
      <xdr:row>4823</xdr:row>
      <xdr:rowOff>1209040</xdr:rowOff>
    </xdr:to>
    <xdr:pic>
      <xdr:nvPicPr>
        <xdr:cNvPr id="8009" name="Изображение 8008" descr="resizeПП-00229369"/>
        <xdr:cNvPicPr>
          <a:picLocks noChangeAspect="1"/>
        </xdr:cNvPicPr>
      </xdr:nvPicPr>
      <xdr:blipFill>
        <a:blip xmlns:r="http://schemas.openxmlformats.org/officeDocument/2006/relationships" r:embed="rId3686"/>
        <a:stretch>
          <a:fillRect/>
        </a:stretch>
      </xdr:blipFill>
      <xdr:spPr>
        <a:xfrm>
          <a:off x="7264400" y="4806781725"/>
          <a:ext cx="878840" cy="1183640"/>
        </a:xfrm>
        <a:prstGeom prst="rect">
          <a:avLst/>
        </a:prstGeom>
      </xdr:spPr>
    </xdr:pic>
    <xdr:clientData/>
  </xdr:twoCellAnchor>
  <xdr:twoCellAnchor>
    <xdr:from>
      <xdr:col>8</xdr:col>
      <xdr:colOff>6350</xdr:colOff>
      <xdr:row>4826</xdr:row>
      <xdr:rowOff>25400</xdr:rowOff>
    </xdr:from>
    <xdr:to>
      <xdr:col>8</xdr:col>
      <xdr:colOff>885190</xdr:colOff>
      <xdr:row>4826</xdr:row>
      <xdr:rowOff>1209040</xdr:rowOff>
    </xdr:to>
    <xdr:pic>
      <xdr:nvPicPr>
        <xdr:cNvPr id="8010" name="Изображение 8009" descr="resizeПП-00273767"/>
        <xdr:cNvPicPr>
          <a:picLocks noChangeAspect="1"/>
        </xdr:cNvPicPr>
      </xdr:nvPicPr>
      <xdr:blipFill>
        <a:blip xmlns:r="http://schemas.openxmlformats.org/officeDocument/2006/relationships" r:embed="rId3687"/>
        <a:stretch>
          <a:fillRect/>
        </a:stretch>
      </xdr:blipFill>
      <xdr:spPr>
        <a:xfrm>
          <a:off x="7264400" y="4808359700"/>
          <a:ext cx="878840" cy="1183640"/>
        </a:xfrm>
        <a:prstGeom prst="rect">
          <a:avLst/>
        </a:prstGeom>
      </xdr:spPr>
    </xdr:pic>
    <xdr:clientData/>
  </xdr:twoCellAnchor>
  <xdr:twoCellAnchor>
    <xdr:from>
      <xdr:col>8</xdr:col>
      <xdr:colOff>6350</xdr:colOff>
      <xdr:row>4827</xdr:row>
      <xdr:rowOff>25400</xdr:rowOff>
    </xdr:from>
    <xdr:to>
      <xdr:col>8</xdr:col>
      <xdr:colOff>885190</xdr:colOff>
      <xdr:row>4827</xdr:row>
      <xdr:rowOff>1209040</xdr:rowOff>
    </xdr:to>
    <xdr:pic>
      <xdr:nvPicPr>
        <xdr:cNvPr id="8011" name="Изображение 8010" descr="resizeПП-00273768"/>
        <xdr:cNvPicPr>
          <a:picLocks noChangeAspect="1"/>
        </xdr:cNvPicPr>
      </xdr:nvPicPr>
      <xdr:blipFill>
        <a:blip xmlns:r="http://schemas.openxmlformats.org/officeDocument/2006/relationships" r:embed="rId3688"/>
        <a:stretch>
          <a:fillRect/>
        </a:stretch>
      </xdr:blipFill>
      <xdr:spPr>
        <a:xfrm>
          <a:off x="7264400" y="4809582075"/>
          <a:ext cx="878840" cy="1183640"/>
        </a:xfrm>
        <a:prstGeom prst="rect">
          <a:avLst/>
        </a:prstGeom>
      </xdr:spPr>
    </xdr:pic>
    <xdr:clientData/>
  </xdr:twoCellAnchor>
  <xdr:twoCellAnchor>
    <xdr:from>
      <xdr:col>8</xdr:col>
      <xdr:colOff>6350</xdr:colOff>
      <xdr:row>4828</xdr:row>
      <xdr:rowOff>25400</xdr:rowOff>
    </xdr:from>
    <xdr:to>
      <xdr:col>8</xdr:col>
      <xdr:colOff>885190</xdr:colOff>
      <xdr:row>4828</xdr:row>
      <xdr:rowOff>1209040</xdr:rowOff>
    </xdr:to>
    <xdr:pic>
      <xdr:nvPicPr>
        <xdr:cNvPr id="8012" name="Изображение 8011" descr="resizeПП-00283166"/>
        <xdr:cNvPicPr>
          <a:picLocks noChangeAspect="1"/>
        </xdr:cNvPicPr>
      </xdr:nvPicPr>
      <xdr:blipFill>
        <a:blip xmlns:r="http://schemas.openxmlformats.org/officeDocument/2006/relationships" r:embed="rId3689"/>
        <a:stretch>
          <a:fillRect/>
        </a:stretch>
      </xdr:blipFill>
      <xdr:spPr>
        <a:xfrm>
          <a:off x="7264400" y="4810804450"/>
          <a:ext cx="878840" cy="1183640"/>
        </a:xfrm>
        <a:prstGeom prst="rect">
          <a:avLst/>
        </a:prstGeom>
      </xdr:spPr>
    </xdr:pic>
    <xdr:clientData/>
  </xdr:twoCellAnchor>
  <xdr:twoCellAnchor>
    <xdr:from>
      <xdr:col>8</xdr:col>
      <xdr:colOff>6350</xdr:colOff>
      <xdr:row>4829</xdr:row>
      <xdr:rowOff>25400</xdr:rowOff>
    </xdr:from>
    <xdr:to>
      <xdr:col>8</xdr:col>
      <xdr:colOff>885190</xdr:colOff>
      <xdr:row>4829</xdr:row>
      <xdr:rowOff>1209040</xdr:rowOff>
    </xdr:to>
    <xdr:pic>
      <xdr:nvPicPr>
        <xdr:cNvPr id="8013" name="Изображение 8012" descr="resizeПП-00283165"/>
        <xdr:cNvPicPr>
          <a:picLocks noChangeAspect="1"/>
        </xdr:cNvPicPr>
      </xdr:nvPicPr>
      <xdr:blipFill>
        <a:blip xmlns:r="http://schemas.openxmlformats.org/officeDocument/2006/relationships" r:embed="rId3690"/>
        <a:stretch>
          <a:fillRect/>
        </a:stretch>
      </xdr:blipFill>
      <xdr:spPr>
        <a:xfrm>
          <a:off x="7264400" y="4812026825"/>
          <a:ext cx="878840" cy="1183640"/>
        </a:xfrm>
        <a:prstGeom prst="rect">
          <a:avLst/>
        </a:prstGeom>
      </xdr:spPr>
    </xdr:pic>
    <xdr:clientData/>
  </xdr:twoCellAnchor>
  <xdr:twoCellAnchor>
    <xdr:from>
      <xdr:col>8</xdr:col>
      <xdr:colOff>6350</xdr:colOff>
      <xdr:row>4830</xdr:row>
      <xdr:rowOff>25400</xdr:rowOff>
    </xdr:from>
    <xdr:to>
      <xdr:col>8</xdr:col>
      <xdr:colOff>885190</xdr:colOff>
      <xdr:row>4830</xdr:row>
      <xdr:rowOff>1209040</xdr:rowOff>
    </xdr:to>
    <xdr:pic>
      <xdr:nvPicPr>
        <xdr:cNvPr id="8014" name="Изображение 8013" descr="resizeПП-00283167"/>
        <xdr:cNvPicPr>
          <a:picLocks noChangeAspect="1"/>
        </xdr:cNvPicPr>
      </xdr:nvPicPr>
      <xdr:blipFill>
        <a:blip xmlns:r="http://schemas.openxmlformats.org/officeDocument/2006/relationships" r:embed="rId3691"/>
        <a:stretch>
          <a:fillRect/>
        </a:stretch>
      </xdr:blipFill>
      <xdr:spPr>
        <a:xfrm>
          <a:off x="7264400" y="4813249200"/>
          <a:ext cx="878840" cy="1183640"/>
        </a:xfrm>
        <a:prstGeom prst="rect">
          <a:avLst/>
        </a:prstGeom>
      </xdr:spPr>
    </xdr:pic>
    <xdr:clientData/>
  </xdr:twoCellAnchor>
  <xdr:twoCellAnchor>
    <xdr:from>
      <xdr:col>8</xdr:col>
      <xdr:colOff>6350</xdr:colOff>
      <xdr:row>4831</xdr:row>
      <xdr:rowOff>25400</xdr:rowOff>
    </xdr:from>
    <xdr:to>
      <xdr:col>8</xdr:col>
      <xdr:colOff>885190</xdr:colOff>
      <xdr:row>4831</xdr:row>
      <xdr:rowOff>1209040</xdr:rowOff>
    </xdr:to>
    <xdr:pic>
      <xdr:nvPicPr>
        <xdr:cNvPr id="8015" name="Изображение 8014" descr="resizeПП-00273770"/>
        <xdr:cNvPicPr>
          <a:picLocks noChangeAspect="1"/>
        </xdr:cNvPicPr>
      </xdr:nvPicPr>
      <xdr:blipFill>
        <a:blip xmlns:r="http://schemas.openxmlformats.org/officeDocument/2006/relationships" r:embed="rId3692"/>
        <a:stretch>
          <a:fillRect/>
        </a:stretch>
      </xdr:blipFill>
      <xdr:spPr>
        <a:xfrm>
          <a:off x="7264400" y="4814471575"/>
          <a:ext cx="878840" cy="1183640"/>
        </a:xfrm>
        <a:prstGeom prst="rect">
          <a:avLst/>
        </a:prstGeom>
      </xdr:spPr>
    </xdr:pic>
    <xdr:clientData/>
  </xdr:twoCellAnchor>
  <xdr:twoCellAnchor>
    <xdr:from>
      <xdr:col>8</xdr:col>
      <xdr:colOff>6350</xdr:colOff>
      <xdr:row>4832</xdr:row>
      <xdr:rowOff>25400</xdr:rowOff>
    </xdr:from>
    <xdr:to>
      <xdr:col>8</xdr:col>
      <xdr:colOff>885190</xdr:colOff>
      <xdr:row>4832</xdr:row>
      <xdr:rowOff>1209040</xdr:rowOff>
    </xdr:to>
    <xdr:pic>
      <xdr:nvPicPr>
        <xdr:cNvPr id="8016" name="Изображение 8015" descr="resizeПП-00273769"/>
        <xdr:cNvPicPr>
          <a:picLocks noChangeAspect="1"/>
        </xdr:cNvPicPr>
      </xdr:nvPicPr>
      <xdr:blipFill>
        <a:blip xmlns:r="http://schemas.openxmlformats.org/officeDocument/2006/relationships" r:embed="rId3693"/>
        <a:stretch>
          <a:fillRect/>
        </a:stretch>
      </xdr:blipFill>
      <xdr:spPr>
        <a:xfrm>
          <a:off x="7264400" y="4815693950"/>
          <a:ext cx="878840" cy="1183640"/>
        </a:xfrm>
        <a:prstGeom prst="rect">
          <a:avLst/>
        </a:prstGeom>
      </xdr:spPr>
    </xdr:pic>
    <xdr:clientData/>
  </xdr:twoCellAnchor>
  <xdr:twoCellAnchor>
    <xdr:from>
      <xdr:col>8</xdr:col>
      <xdr:colOff>6350</xdr:colOff>
      <xdr:row>4833</xdr:row>
      <xdr:rowOff>25400</xdr:rowOff>
    </xdr:from>
    <xdr:to>
      <xdr:col>8</xdr:col>
      <xdr:colOff>859790</xdr:colOff>
      <xdr:row>4833</xdr:row>
      <xdr:rowOff>1209040</xdr:rowOff>
    </xdr:to>
    <xdr:pic>
      <xdr:nvPicPr>
        <xdr:cNvPr id="8017" name="Изображение 8016" descr="resizeПП-00273772"/>
        <xdr:cNvPicPr>
          <a:picLocks noChangeAspect="1"/>
        </xdr:cNvPicPr>
      </xdr:nvPicPr>
      <xdr:blipFill>
        <a:blip xmlns:r="http://schemas.openxmlformats.org/officeDocument/2006/relationships" r:embed="rId3694"/>
        <a:stretch>
          <a:fillRect/>
        </a:stretch>
      </xdr:blipFill>
      <xdr:spPr>
        <a:xfrm>
          <a:off x="7264400" y="4816916325"/>
          <a:ext cx="853440" cy="1183640"/>
        </a:xfrm>
        <a:prstGeom prst="rect">
          <a:avLst/>
        </a:prstGeom>
      </xdr:spPr>
    </xdr:pic>
    <xdr:clientData/>
  </xdr:twoCellAnchor>
  <xdr:twoCellAnchor>
    <xdr:from>
      <xdr:col>8</xdr:col>
      <xdr:colOff>6350</xdr:colOff>
      <xdr:row>4834</xdr:row>
      <xdr:rowOff>25400</xdr:rowOff>
    </xdr:from>
    <xdr:to>
      <xdr:col>8</xdr:col>
      <xdr:colOff>885190</xdr:colOff>
      <xdr:row>4834</xdr:row>
      <xdr:rowOff>1209040</xdr:rowOff>
    </xdr:to>
    <xdr:pic>
      <xdr:nvPicPr>
        <xdr:cNvPr id="8018" name="Изображение 8017" descr="resizeПП-00273775"/>
        <xdr:cNvPicPr>
          <a:picLocks noChangeAspect="1"/>
        </xdr:cNvPicPr>
      </xdr:nvPicPr>
      <xdr:blipFill>
        <a:blip xmlns:r="http://schemas.openxmlformats.org/officeDocument/2006/relationships" r:embed="rId3695"/>
        <a:stretch>
          <a:fillRect/>
        </a:stretch>
      </xdr:blipFill>
      <xdr:spPr>
        <a:xfrm>
          <a:off x="7264400" y="4818138700"/>
          <a:ext cx="878840" cy="1183640"/>
        </a:xfrm>
        <a:prstGeom prst="rect">
          <a:avLst/>
        </a:prstGeom>
      </xdr:spPr>
    </xdr:pic>
    <xdr:clientData/>
  </xdr:twoCellAnchor>
  <xdr:twoCellAnchor>
    <xdr:from>
      <xdr:col>8</xdr:col>
      <xdr:colOff>6350</xdr:colOff>
      <xdr:row>4835</xdr:row>
      <xdr:rowOff>25400</xdr:rowOff>
    </xdr:from>
    <xdr:to>
      <xdr:col>8</xdr:col>
      <xdr:colOff>885190</xdr:colOff>
      <xdr:row>4835</xdr:row>
      <xdr:rowOff>1209040</xdr:rowOff>
    </xdr:to>
    <xdr:pic>
      <xdr:nvPicPr>
        <xdr:cNvPr id="8019" name="Изображение 8018" descr="resizeПП-00273771"/>
        <xdr:cNvPicPr>
          <a:picLocks noChangeAspect="1"/>
        </xdr:cNvPicPr>
      </xdr:nvPicPr>
      <xdr:blipFill>
        <a:blip xmlns:r="http://schemas.openxmlformats.org/officeDocument/2006/relationships" r:embed="rId3696"/>
        <a:stretch>
          <a:fillRect/>
        </a:stretch>
      </xdr:blipFill>
      <xdr:spPr>
        <a:xfrm>
          <a:off x="7264400" y="4819361075"/>
          <a:ext cx="878840" cy="1183640"/>
        </a:xfrm>
        <a:prstGeom prst="rect">
          <a:avLst/>
        </a:prstGeom>
      </xdr:spPr>
    </xdr:pic>
    <xdr:clientData/>
  </xdr:twoCellAnchor>
  <xdr:twoCellAnchor>
    <xdr:from>
      <xdr:col>8</xdr:col>
      <xdr:colOff>6350</xdr:colOff>
      <xdr:row>4836</xdr:row>
      <xdr:rowOff>25400</xdr:rowOff>
    </xdr:from>
    <xdr:to>
      <xdr:col>8</xdr:col>
      <xdr:colOff>885190</xdr:colOff>
      <xdr:row>4836</xdr:row>
      <xdr:rowOff>1209040</xdr:rowOff>
    </xdr:to>
    <xdr:pic>
      <xdr:nvPicPr>
        <xdr:cNvPr id="8020" name="Изображение 8019" descr="resizeПП-00273773"/>
        <xdr:cNvPicPr>
          <a:picLocks noChangeAspect="1"/>
        </xdr:cNvPicPr>
      </xdr:nvPicPr>
      <xdr:blipFill>
        <a:blip xmlns:r="http://schemas.openxmlformats.org/officeDocument/2006/relationships" r:embed="rId3697"/>
        <a:stretch>
          <a:fillRect/>
        </a:stretch>
      </xdr:blipFill>
      <xdr:spPr>
        <a:xfrm>
          <a:off x="7264400" y="4820583450"/>
          <a:ext cx="878840" cy="1183640"/>
        </a:xfrm>
        <a:prstGeom prst="rect">
          <a:avLst/>
        </a:prstGeom>
      </xdr:spPr>
    </xdr:pic>
    <xdr:clientData/>
  </xdr:twoCellAnchor>
  <xdr:twoCellAnchor>
    <xdr:from>
      <xdr:col>8</xdr:col>
      <xdr:colOff>6350</xdr:colOff>
      <xdr:row>4837</xdr:row>
      <xdr:rowOff>25400</xdr:rowOff>
    </xdr:from>
    <xdr:to>
      <xdr:col>8</xdr:col>
      <xdr:colOff>885190</xdr:colOff>
      <xdr:row>4837</xdr:row>
      <xdr:rowOff>1209040</xdr:rowOff>
    </xdr:to>
    <xdr:pic>
      <xdr:nvPicPr>
        <xdr:cNvPr id="8021" name="Изображение 8020" descr="resizeПП-00273774"/>
        <xdr:cNvPicPr>
          <a:picLocks noChangeAspect="1"/>
        </xdr:cNvPicPr>
      </xdr:nvPicPr>
      <xdr:blipFill>
        <a:blip xmlns:r="http://schemas.openxmlformats.org/officeDocument/2006/relationships" r:embed="rId3698"/>
        <a:stretch>
          <a:fillRect/>
        </a:stretch>
      </xdr:blipFill>
      <xdr:spPr>
        <a:xfrm>
          <a:off x="7264400" y="4821805825"/>
          <a:ext cx="878840" cy="1183640"/>
        </a:xfrm>
        <a:prstGeom prst="rect">
          <a:avLst/>
        </a:prstGeom>
      </xdr:spPr>
    </xdr:pic>
    <xdr:clientData/>
  </xdr:twoCellAnchor>
  <xdr:twoCellAnchor>
    <xdr:from>
      <xdr:col>8</xdr:col>
      <xdr:colOff>6350</xdr:colOff>
      <xdr:row>4841</xdr:row>
      <xdr:rowOff>25400</xdr:rowOff>
    </xdr:from>
    <xdr:to>
      <xdr:col>8</xdr:col>
      <xdr:colOff>885190</xdr:colOff>
      <xdr:row>4841</xdr:row>
      <xdr:rowOff>1209040</xdr:rowOff>
    </xdr:to>
    <xdr:pic>
      <xdr:nvPicPr>
        <xdr:cNvPr id="8022" name="Изображение 8021" descr="resizeПП-00252885"/>
        <xdr:cNvPicPr>
          <a:picLocks noChangeAspect="1"/>
        </xdr:cNvPicPr>
      </xdr:nvPicPr>
      <xdr:blipFill>
        <a:blip xmlns:r="http://schemas.openxmlformats.org/officeDocument/2006/relationships" r:embed="rId3699"/>
        <a:stretch>
          <a:fillRect/>
        </a:stretch>
      </xdr:blipFill>
      <xdr:spPr>
        <a:xfrm>
          <a:off x="7264400" y="4823485400"/>
          <a:ext cx="878840" cy="1183640"/>
        </a:xfrm>
        <a:prstGeom prst="rect">
          <a:avLst/>
        </a:prstGeom>
      </xdr:spPr>
    </xdr:pic>
    <xdr:clientData/>
  </xdr:twoCellAnchor>
  <xdr:twoCellAnchor>
    <xdr:from>
      <xdr:col>8</xdr:col>
      <xdr:colOff>6350</xdr:colOff>
      <xdr:row>4842</xdr:row>
      <xdr:rowOff>25400</xdr:rowOff>
    </xdr:from>
    <xdr:to>
      <xdr:col>8</xdr:col>
      <xdr:colOff>885190</xdr:colOff>
      <xdr:row>4842</xdr:row>
      <xdr:rowOff>1209040</xdr:rowOff>
    </xdr:to>
    <xdr:pic>
      <xdr:nvPicPr>
        <xdr:cNvPr id="8023" name="Изображение 8022" descr="resizeПП-00177412"/>
        <xdr:cNvPicPr>
          <a:picLocks noChangeAspect="1"/>
        </xdr:cNvPicPr>
      </xdr:nvPicPr>
      <xdr:blipFill>
        <a:blip xmlns:r="http://schemas.openxmlformats.org/officeDocument/2006/relationships" r:embed="rId3700"/>
        <a:stretch>
          <a:fillRect/>
        </a:stretch>
      </xdr:blipFill>
      <xdr:spPr>
        <a:xfrm>
          <a:off x="7264400" y="4824707775"/>
          <a:ext cx="878840" cy="1183640"/>
        </a:xfrm>
        <a:prstGeom prst="rect">
          <a:avLst/>
        </a:prstGeom>
      </xdr:spPr>
    </xdr:pic>
    <xdr:clientData/>
  </xdr:twoCellAnchor>
  <xdr:twoCellAnchor>
    <xdr:from>
      <xdr:col>8</xdr:col>
      <xdr:colOff>6350</xdr:colOff>
      <xdr:row>4843</xdr:row>
      <xdr:rowOff>25400</xdr:rowOff>
    </xdr:from>
    <xdr:to>
      <xdr:col>8</xdr:col>
      <xdr:colOff>885190</xdr:colOff>
      <xdr:row>4843</xdr:row>
      <xdr:rowOff>1209040</xdr:rowOff>
    </xdr:to>
    <xdr:pic>
      <xdr:nvPicPr>
        <xdr:cNvPr id="8024" name="Изображение 8023" descr="resizeПП-00252886"/>
        <xdr:cNvPicPr>
          <a:picLocks noChangeAspect="1"/>
        </xdr:cNvPicPr>
      </xdr:nvPicPr>
      <xdr:blipFill>
        <a:blip xmlns:r="http://schemas.openxmlformats.org/officeDocument/2006/relationships" r:embed="rId3701"/>
        <a:stretch>
          <a:fillRect/>
        </a:stretch>
      </xdr:blipFill>
      <xdr:spPr>
        <a:xfrm>
          <a:off x="7264400" y="4825930150"/>
          <a:ext cx="878840" cy="1183640"/>
        </a:xfrm>
        <a:prstGeom prst="rect">
          <a:avLst/>
        </a:prstGeom>
      </xdr:spPr>
    </xdr:pic>
    <xdr:clientData/>
  </xdr:twoCellAnchor>
  <xdr:twoCellAnchor>
    <xdr:from>
      <xdr:col>8</xdr:col>
      <xdr:colOff>6350</xdr:colOff>
      <xdr:row>4844</xdr:row>
      <xdr:rowOff>25400</xdr:rowOff>
    </xdr:from>
    <xdr:to>
      <xdr:col>8</xdr:col>
      <xdr:colOff>885190</xdr:colOff>
      <xdr:row>4844</xdr:row>
      <xdr:rowOff>1209040</xdr:rowOff>
    </xdr:to>
    <xdr:pic>
      <xdr:nvPicPr>
        <xdr:cNvPr id="8025" name="Изображение 8024" descr="resizeПП-00177410"/>
        <xdr:cNvPicPr>
          <a:picLocks noChangeAspect="1"/>
        </xdr:cNvPicPr>
      </xdr:nvPicPr>
      <xdr:blipFill>
        <a:blip xmlns:r="http://schemas.openxmlformats.org/officeDocument/2006/relationships" r:embed="rId3702"/>
        <a:stretch>
          <a:fillRect/>
        </a:stretch>
      </xdr:blipFill>
      <xdr:spPr>
        <a:xfrm>
          <a:off x="7264400" y="4827152525"/>
          <a:ext cx="878840" cy="1183640"/>
        </a:xfrm>
        <a:prstGeom prst="rect">
          <a:avLst/>
        </a:prstGeom>
      </xdr:spPr>
    </xdr:pic>
    <xdr:clientData/>
  </xdr:twoCellAnchor>
  <xdr:twoCellAnchor>
    <xdr:from>
      <xdr:col>8</xdr:col>
      <xdr:colOff>6350</xdr:colOff>
      <xdr:row>4845</xdr:row>
      <xdr:rowOff>25400</xdr:rowOff>
    </xdr:from>
    <xdr:to>
      <xdr:col>8</xdr:col>
      <xdr:colOff>885190</xdr:colOff>
      <xdr:row>4845</xdr:row>
      <xdr:rowOff>1209040</xdr:rowOff>
    </xdr:to>
    <xdr:pic>
      <xdr:nvPicPr>
        <xdr:cNvPr id="8026" name="Изображение 8025" descr="resizeПП-00280415"/>
        <xdr:cNvPicPr>
          <a:picLocks noChangeAspect="1"/>
        </xdr:cNvPicPr>
      </xdr:nvPicPr>
      <xdr:blipFill>
        <a:blip xmlns:r="http://schemas.openxmlformats.org/officeDocument/2006/relationships" r:embed="rId3703"/>
        <a:stretch>
          <a:fillRect/>
        </a:stretch>
      </xdr:blipFill>
      <xdr:spPr>
        <a:xfrm>
          <a:off x="7264400" y="4828374900"/>
          <a:ext cx="878840" cy="1183640"/>
        </a:xfrm>
        <a:prstGeom prst="rect">
          <a:avLst/>
        </a:prstGeom>
      </xdr:spPr>
    </xdr:pic>
    <xdr:clientData/>
  </xdr:twoCellAnchor>
  <xdr:twoCellAnchor>
    <xdr:from>
      <xdr:col>8</xdr:col>
      <xdr:colOff>6350</xdr:colOff>
      <xdr:row>4846</xdr:row>
      <xdr:rowOff>25400</xdr:rowOff>
    </xdr:from>
    <xdr:to>
      <xdr:col>8</xdr:col>
      <xdr:colOff>885190</xdr:colOff>
      <xdr:row>4846</xdr:row>
      <xdr:rowOff>1209040</xdr:rowOff>
    </xdr:to>
    <xdr:pic>
      <xdr:nvPicPr>
        <xdr:cNvPr id="8027" name="Изображение 8026" descr="resizeПП-00280412"/>
        <xdr:cNvPicPr>
          <a:picLocks noChangeAspect="1"/>
        </xdr:cNvPicPr>
      </xdr:nvPicPr>
      <xdr:blipFill>
        <a:blip xmlns:r="http://schemas.openxmlformats.org/officeDocument/2006/relationships" r:embed="rId3704"/>
        <a:stretch>
          <a:fillRect/>
        </a:stretch>
      </xdr:blipFill>
      <xdr:spPr>
        <a:xfrm>
          <a:off x="7264400" y="4829597275"/>
          <a:ext cx="878840" cy="1183640"/>
        </a:xfrm>
        <a:prstGeom prst="rect">
          <a:avLst/>
        </a:prstGeom>
      </xdr:spPr>
    </xdr:pic>
    <xdr:clientData/>
  </xdr:twoCellAnchor>
  <xdr:twoCellAnchor>
    <xdr:from>
      <xdr:col>8</xdr:col>
      <xdr:colOff>6350</xdr:colOff>
      <xdr:row>4847</xdr:row>
      <xdr:rowOff>25400</xdr:rowOff>
    </xdr:from>
    <xdr:to>
      <xdr:col>8</xdr:col>
      <xdr:colOff>885190</xdr:colOff>
      <xdr:row>4847</xdr:row>
      <xdr:rowOff>1209040</xdr:rowOff>
    </xdr:to>
    <xdr:pic>
      <xdr:nvPicPr>
        <xdr:cNvPr id="8028" name="Изображение 8027" descr="resizeПП-00280414"/>
        <xdr:cNvPicPr>
          <a:picLocks noChangeAspect="1"/>
        </xdr:cNvPicPr>
      </xdr:nvPicPr>
      <xdr:blipFill>
        <a:blip xmlns:r="http://schemas.openxmlformats.org/officeDocument/2006/relationships" r:embed="rId3705"/>
        <a:stretch>
          <a:fillRect/>
        </a:stretch>
      </xdr:blipFill>
      <xdr:spPr>
        <a:xfrm>
          <a:off x="7264400" y="4830819650"/>
          <a:ext cx="878840" cy="1183640"/>
        </a:xfrm>
        <a:prstGeom prst="rect">
          <a:avLst/>
        </a:prstGeom>
      </xdr:spPr>
    </xdr:pic>
    <xdr:clientData/>
  </xdr:twoCellAnchor>
  <xdr:twoCellAnchor>
    <xdr:from>
      <xdr:col>8</xdr:col>
      <xdr:colOff>6350</xdr:colOff>
      <xdr:row>4848</xdr:row>
      <xdr:rowOff>25400</xdr:rowOff>
    </xdr:from>
    <xdr:to>
      <xdr:col>8</xdr:col>
      <xdr:colOff>885190</xdr:colOff>
      <xdr:row>4848</xdr:row>
      <xdr:rowOff>1209040</xdr:rowOff>
    </xdr:to>
    <xdr:pic>
      <xdr:nvPicPr>
        <xdr:cNvPr id="8029" name="Изображение 8028" descr="resizeПП-00280409"/>
        <xdr:cNvPicPr>
          <a:picLocks noChangeAspect="1"/>
        </xdr:cNvPicPr>
      </xdr:nvPicPr>
      <xdr:blipFill>
        <a:blip xmlns:r="http://schemas.openxmlformats.org/officeDocument/2006/relationships" r:embed="rId3706"/>
        <a:stretch>
          <a:fillRect/>
        </a:stretch>
      </xdr:blipFill>
      <xdr:spPr>
        <a:xfrm>
          <a:off x="7264400" y="4832042025"/>
          <a:ext cx="878840" cy="1183640"/>
        </a:xfrm>
        <a:prstGeom prst="rect">
          <a:avLst/>
        </a:prstGeom>
      </xdr:spPr>
    </xdr:pic>
    <xdr:clientData/>
  </xdr:twoCellAnchor>
  <xdr:twoCellAnchor>
    <xdr:from>
      <xdr:col>8</xdr:col>
      <xdr:colOff>6350</xdr:colOff>
      <xdr:row>4850</xdr:row>
      <xdr:rowOff>25400</xdr:rowOff>
    </xdr:from>
    <xdr:to>
      <xdr:col>8</xdr:col>
      <xdr:colOff>885190</xdr:colOff>
      <xdr:row>4850</xdr:row>
      <xdr:rowOff>1209040</xdr:rowOff>
    </xdr:to>
    <xdr:pic>
      <xdr:nvPicPr>
        <xdr:cNvPr id="8030" name="Изображение 8029" descr="resizeПП-00280422"/>
        <xdr:cNvPicPr>
          <a:picLocks noChangeAspect="1"/>
        </xdr:cNvPicPr>
      </xdr:nvPicPr>
      <xdr:blipFill>
        <a:blip xmlns:r="http://schemas.openxmlformats.org/officeDocument/2006/relationships" r:embed="rId3707"/>
        <a:stretch>
          <a:fillRect/>
        </a:stretch>
      </xdr:blipFill>
      <xdr:spPr>
        <a:xfrm>
          <a:off x="7264400" y="4833416800"/>
          <a:ext cx="878840" cy="1183640"/>
        </a:xfrm>
        <a:prstGeom prst="rect">
          <a:avLst/>
        </a:prstGeom>
      </xdr:spPr>
    </xdr:pic>
    <xdr:clientData/>
  </xdr:twoCellAnchor>
  <xdr:twoCellAnchor>
    <xdr:from>
      <xdr:col>8</xdr:col>
      <xdr:colOff>6350</xdr:colOff>
      <xdr:row>4851</xdr:row>
      <xdr:rowOff>25400</xdr:rowOff>
    </xdr:from>
    <xdr:to>
      <xdr:col>8</xdr:col>
      <xdr:colOff>885190</xdr:colOff>
      <xdr:row>4851</xdr:row>
      <xdr:rowOff>1209040</xdr:rowOff>
    </xdr:to>
    <xdr:pic>
      <xdr:nvPicPr>
        <xdr:cNvPr id="8031" name="Изображение 8030" descr="resizeПП-00282219"/>
        <xdr:cNvPicPr>
          <a:picLocks noChangeAspect="1"/>
        </xdr:cNvPicPr>
      </xdr:nvPicPr>
      <xdr:blipFill>
        <a:blip xmlns:r="http://schemas.openxmlformats.org/officeDocument/2006/relationships" r:embed="rId3708"/>
        <a:stretch>
          <a:fillRect/>
        </a:stretch>
      </xdr:blipFill>
      <xdr:spPr>
        <a:xfrm>
          <a:off x="7264400" y="4834639175"/>
          <a:ext cx="878840" cy="1183640"/>
        </a:xfrm>
        <a:prstGeom prst="rect">
          <a:avLst/>
        </a:prstGeom>
      </xdr:spPr>
    </xdr:pic>
    <xdr:clientData/>
  </xdr:twoCellAnchor>
  <xdr:twoCellAnchor>
    <xdr:from>
      <xdr:col>8</xdr:col>
      <xdr:colOff>6350</xdr:colOff>
      <xdr:row>4853</xdr:row>
      <xdr:rowOff>25400</xdr:rowOff>
    </xdr:from>
    <xdr:to>
      <xdr:col>8</xdr:col>
      <xdr:colOff>885190</xdr:colOff>
      <xdr:row>4853</xdr:row>
      <xdr:rowOff>1209040</xdr:rowOff>
    </xdr:to>
    <xdr:pic>
      <xdr:nvPicPr>
        <xdr:cNvPr id="8032" name="Изображение 8031" descr="resizeПП-00252887"/>
        <xdr:cNvPicPr>
          <a:picLocks noChangeAspect="1"/>
        </xdr:cNvPicPr>
      </xdr:nvPicPr>
      <xdr:blipFill>
        <a:blip xmlns:r="http://schemas.openxmlformats.org/officeDocument/2006/relationships" r:embed="rId3709"/>
        <a:stretch>
          <a:fillRect/>
        </a:stretch>
      </xdr:blipFill>
      <xdr:spPr>
        <a:xfrm>
          <a:off x="7264400" y="4836013950"/>
          <a:ext cx="878840" cy="1183640"/>
        </a:xfrm>
        <a:prstGeom prst="rect">
          <a:avLst/>
        </a:prstGeom>
      </xdr:spPr>
    </xdr:pic>
    <xdr:clientData/>
  </xdr:twoCellAnchor>
  <xdr:twoCellAnchor>
    <xdr:from>
      <xdr:col>8</xdr:col>
      <xdr:colOff>6350</xdr:colOff>
      <xdr:row>4854</xdr:row>
      <xdr:rowOff>25400</xdr:rowOff>
    </xdr:from>
    <xdr:to>
      <xdr:col>8</xdr:col>
      <xdr:colOff>885190</xdr:colOff>
      <xdr:row>4854</xdr:row>
      <xdr:rowOff>1209040</xdr:rowOff>
    </xdr:to>
    <xdr:pic>
      <xdr:nvPicPr>
        <xdr:cNvPr id="8033" name="Изображение 8032" descr="resizeПП-00135364"/>
        <xdr:cNvPicPr>
          <a:picLocks noChangeAspect="1"/>
        </xdr:cNvPicPr>
      </xdr:nvPicPr>
      <xdr:blipFill>
        <a:blip xmlns:r="http://schemas.openxmlformats.org/officeDocument/2006/relationships" r:embed="rId3710"/>
        <a:stretch>
          <a:fillRect/>
        </a:stretch>
      </xdr:blipFill>
      <xdr:spPr>
        <a:xfrm>
          <a:off x="7264400" y="4837236325"/>
          <a:ext cx="878840" cy="1183640"/>
        </a:xfrm>
        <a:prstGeom prst="rect">
          <a:avLst/>
        </a:prstGeom>
      </xdr:spPr>
    </xdr:pic>
    <xdr:clientData/>
  </xdr:twoCellAnchor>
  <xdr:twoCellAnchor>
    <xdr:from>
      <xdr:col>8</xdr:col>
      <xdr:colOff>6350</xdr:colOff>
      <xdr:row>4855</xdr:row>
      <xdr:rowOff>25400</xdr:rowOff>
    </xdr:from>
    <xdr:to>
      <xdr:col>8</xdr:col>
      <xdr:colOff>885190</xdr:colOff>
      <xdr:row>4855</xdr:row>
      <xdr:rowOff>1209040</xdr:rowOff>
    </xdr:to>
    <xdr:pic>
      <xdr:nvPicPr>
        <xdr:cNvPr id="8034" name="Изображение 8033" descr="resizeПП-00252888"/>
        <xdr:cNvPicPr>
          <a:picLocks noChangeAspect="1"/>
        </xdr:cNvPicPr>
      </xdr:nvPicPr>
      <xdr:blipFill>
        <a:blip xmlns:r="http://schemas.openxmlformats.org/officeDocument/2006/relationships" r:embed="rId3711"/>
        <a:stretch>
          <a:fillRect/>
        </a:stretch>
      </xdr:blipFill>
      <xdr:spPr>
        <a:xfrm>
          <a:off x="7264400" y="4838458700"/>
          <a:ext cx="878840" cy="1183640"/>
        </a:xfrm>
        <a:prstGeom prst="rect">
          <a:avLst/>
        </a:prstGeom>
      </xdr:spPr>
    </xdr:pic>
    <xdr:clientData/>
  </xdr:twoCellAnchor>
  <xdr:twoCellAnchor>
    <xdr:from>
      <xdr:col>8</xdr:col>
      <xdr:colOff>6350</xdr:colOff>
      <xdr:row>4856</xdr:row>
      <xdr:rowOff>25400</xdr:rowOff>
    </xdr:from>
    <xdr:to>
      <xdr:col>8</xdr:col>
      <xdr:colOff>885190</xdr:colOff>
      <xdr:row>4856</xdr:row>
      <xdr:rowOff>1209040</xdr:rowOff>
    </xdr:to>
    <xdr:pic>
      <xdr:nvPicPr>
        <xdr:cNvPr id="8035" name="Изображение 8034" descr="resizeПП-00280417"/>
        <xdr:cNvPicPr>
          <a:picLocks noChangeAspect="1"/>
        </xdr:cNvPicPr>
      </xdr:nvPicPr>
      <xdr:blipFill>
        <a:blip xmlns:r="http://schemas.openxmlformats.org/officeDocument/2006/relationships" r:embed="rId3712"/>
        <a:stretch>
          <a:fillRect/>
        </a:stretch>
      </xdr:blipFill>
      <xdr:spPr>
        <a:xfrm>
          <a:off x="7264400" y="4839681075"/>
          <a:ext cx="878840" cy="1183640"/>
        </a:xfrm>
        <a:prstGeom prst="rect">
          <a:avLst/>
        </a:prstGeom>
      </xdr:spPr>
    </xdr:pic>
    <xdr:clientData/>
  </xdr:twoCellAnchor>
  <xdr:twoCellAnchor>
    <xdr:from>
      <xdr:col>8</xdr:col>
      <xdr:colOff>6350</xdr:colOff>
      <xdr:row>4857</xdr:row>
      <xdr:rowOff>25400</xdr:rowOff>
    </xdr:from>
    <xdr:to>
      <xdr:col>8</xdr:col>
      <xdr:colOff>885190</xdr:colOff>
      <xdr:row>4857</xdr:row>
      <xdr:rowOff>1209040</xdr:rowOff>
    </xdr:to>
    <xdr:pic>
      <xdr:nvPicPr>
        <xdr:cNvPr id="8036" name="Изображение 8035" descr="resizeПП-00280418"/>
        <xdr:cNvPicPr>
          <a:picLocks noChangeAspect="1"/>
        </xdr:cNvPicPr>
      </xdr:nvPicPr>
      <xdr:blipFill>
        <a:blip xmlns:r="http://schemas.openxmlformats.org/officeDocument/2006/relationships" r:embed="rId3713"/>
        <a:stretch>
          <a:fillRect/>
        </a:stretch>
      </xdr:blipFill>
      <xdr:spPr>
        <a:xfrm>
          <a:off x="7264400" y="4840903450"/>
          <a:ext cx="878840" cy="1183640"/>
        </a:xfrm>
        <a:prstGeom prst="rect">
          <a:avLst/>
        </a:prstGeom>
      </xdr:spPr>
    </xdr:pic>
    <xdr:clientData/>
  </xdr:twoCellAnchor>
  <xdr:twoCellAnchor>
    <xdr:from>
      <xdr:col>8</xdr:col>
      <xdr:colOff>6350</xdr:colOff>
      <xdr:row>4858</xdr:row>
      <xdr:rowOff>25400</xdr:rowOff>
    </xdr:from>
    <xdr:to>
      <xdr:col>8</xdr:col>
      <xdr:colOff>885190</xdr:colOff>
      <xdr:row>4858</xdr:row>
      <xdr:rowOff>1209040</xdr:rowOff>
    </xdr:to>
    <xdr:pic>
      <xdr:nvPicPr>
        <xdr:cNvPr id="8037" name="Изображение 8036" descr="resizeПП-00280420"/>
        <xdr:cNvPicPr>
          <a:picLocks noChangeAspect="1"/>
        </xdr:cNvPicPr>
      </xdr:nvPicPr>
      <xdr:blipFill>
        <a:blip xmlns:r="http://schemas.openxmlformats.org/officeDocument/2006/relationships" r:embed="rId3714"/>
        <a:stretch>
          <a:fillRect/>
        </a:stretch>
      </xdr:blipFill>
      <xdr:spPr>
        <a:xfrm>
          <a:off x="7264400" y="4842125825"/>
          <a:ext cx="878840" cy="1183640"/>
        </a:xfrm>
        <a:prstGeom prst="rect">
          <a:avLst/>
        </a:prstGeom>
      </xdr:spPr>
    </xdr:pic>
    <xdr:clientData/>
  </xdr:twoCellAnchor>
  <xdr:twoCellAnchor>
    <xdr:from>
      <xdr:col>8</xdr:col>
      <xdr:colOff>6350</xdr:colOff>
      <xdr:row>4859</xdr:row>
      <xdr:rowOff>25400</xdr:rowOff>
    </xdr:from>
    <xdr:to>
      <xdr:col>8</xdr:col>
      <xdr:colOff>885190</xdr:colOff>
      <xdr:row>4859</xdr:row>
      <xdr:rowOff>1209040</xdr:rowOff>
    </xdr:to>
    <xdr:pic>
      <xdr:nvPicPr>
        <xdr:cNvPr id="8038" name="Изображение 8037" descr="resizeПП-00280416"/>
        <xdr:cNvPicPr>
          <a:picLocks noChangeAspect="1"/>
        </xdr:cNvPicPr>
      </xdr:nvPicPr>
      <xdr:blipFill>
        <a:blip xmlns:r="http://schemas.openxmlformats.org/officeDocument/2006/relationships" r:embed="rId3715"/>
        <a:stretch>
          <a:fillRect/>
        </a:stretch>
      </xdr:blipFill>
      <xdr:spPr>
        <a:xfrm>
          <a:off x="7264400" y="4843348200"/>
          <a:ext cx="878840" cy="1183640"/>
        </a:xfrm>
        <a:prstGeom prst="rect">
          <a:avLst/>
        </a:prstGeom>
      </xdr:spPr>
    </xdr:pic>
    <xdr:clientData/>
  </xdr:twoCellAnchor>
  <xdr:twoCellAnchor>
    <xdr:from>
      <xdr:col>8</xdr:col>
      <xdr:colOff>6350</xdr:colOff>
      <xdr:row>4860</xdr:row>
      <xdr:rowOff>25400</xdr:rowOff>
    </xdr:from>
    <xdr:to>
      <xdr:col>8</xdr:col>
      <xdr:colOff>885190</xdr:colOff>
      <xdr:row>4860</xdr:row>
      <xdr:rowOff>1209040</xdr:rowOff>
    </xdr:to>
    <xdr:pic>
      <xdr:nvPicPr>
        <xdr:cNvPr id="8039" name="Изображение 8038" descr="resizeПП-00280421"/>
        <xdr:cNvPicPr>
          <a:picLocks noChangeAspect="1"/>
        </xdr:cNvPicPr>
      </xdr:nvPicPr>
      <xdr:blipFill>
        <a:blip xmlns:r="http://schemas.openxmlformats.org/officeDocument/2006/relationships" r:embed="rId3716"/>
        <a:stretch>
          <a:fillRect/>
        </a:stretch>
      </xdr:blipFill>
      <xdr:spPr>
        <a:xfrm>
          <a:off x="7264400" y="4844570575"/>
          <a:ext cx="878840" cy="1183640"/>
        </a:xfrm>
        <a:prstGeom prst="rect">
          <a:avLst/>
        </a:prstGeom>
      </xdr:spPr>
    </xdr:pic>
    <xdr:clientData/>
  </xdr:twoCellAnchor>
  <xdr:twoCellAnchor>
    <xdr:from>
      <xdr:col>8</xdr:col>
      <xdr:colOff>6350</xdr:colOff>
      <xdr:row>4861</xdr:row>
      <xdr:rowOff>25400</xdr:rowOff>
    </xdr:from>
    <xdr:to>
      <xdr:col>8</xdr:col>
      <xdr:colOff>885190</xdr:colOff>
      <xdr:row>4861</xdr:row>
      <xdr:rowOff>1209040</xdr:rowOff>
    </xdr:to>
    <xdr:pic>
      <xdr:nvPicPr>
        <xdr:cNvPr id="8040" name="Изображение 8039" descr="resizeПП-00155972"/>
        <xdr:cNvPicPr>
          <a:picLocks noChangeAspect="1"/>
        </xdr:cNvPicPr>
      </xdr:nvPicPr>
      <xdr:blipFill>
        <a:blip xmlns:r="http://schemas.openxmlformats.org/officeDocument/2006/relationships" r:embed="rId3717"/>
        <a:stretch>
          <a:fillRect/>
        </a:stretch>
      </xdr:blipFill>
      <xdr:spPr>
        <a:xfrm>
          <a:off x="7264400" y="4845792950"/>
          <a:ext cx="878840" cy="1183640"/>
        </a:xfrm>
        <a:prstGeom prst="rect">
          <a:avLst/>
        </a:prstGeom>
      </xdr:spPr>
    </xdr:pic>
    <xdr:clientData/>
  </xdr:twoCellAnchor>
  <xdr:twoCellAnchor>
    <xdr:from>
      <xdr:col>8</xdr:col>
      <xdr:colOff>6350</xdr:colOff>
      <xdr:row>4862</xdr:row>
      <xdr:rowOff>25400</xdr:rowOff>
    </xdr:from>
    <xdr:to>
      <xdr:col>8</xdr:col>
      <xdr:colOff>885190</xdr:colOff>
      <xdr:row>4862</xdr:row>
      <xdr:rowOff>1209040</xdr:rowOff>
    </xdr:to>
    <xdr:pic>
      <xdr:nvPicPr>
        <xdr:cNvPr id="8041" name="Изображение 8040" descr="resizeПП-00282220"/>
        <xdr:cNvPicPr>
          <a:picLocks noChangeAspect="1"/>
        </xdr:cNvPicPr>
      </xdr:nvPicPr>
      <xdr:blipFill>
        <a:blip xmlns:r="http://schemas.openxmlformats.org/officeDocument/2006/relationships" r:embed="rId3718"/>
        <a:stretch>
          <a:fillRect/>
        </a:stretch>
      </xdr:blipFill>
      <xdr:spPr>
        <a:xfrm>
          <a:off x="7264400" y="4847015325"/>
          <a:ext cx="878840" cy="1183640"/>
        </a:xfrm>
        <a:prstGeom prst="rect">
          <a:avLst/>
        </a:prstGeom>
      </xdr:spPr>
    </xdr:pic>
    <xdr:clientData/>
  </xdr:twoCellAnchor>
  <xdr:twoCellAnchor>
    <xdr:from>
      <xdr:col>8</xdr:col>
      <xdr:colOff>6350</xdr:colOff>
      <xdr:row>4863</xdr:row>
      <xdr:rowOff>25400</xdr:rowOff>
    </xdr:from>
    <xdr:to>
      <xdr:col>8</xdr:col>
      <xdr:colOff>885190</xdr:colOff>
      <xdr:row>4863</xdr:row>
      <xdr:rowOff>1209040</xdr:rowOff>
    </xdr:to>
    <xdr:pic>
      <xdr:nvPicPr>
        <xdr:cNvPr id="8042" name="Изображение 8041" descr="resizeПП-00042129"/>
        <xdr:cNvPicPr>
          <a:picLocks noChangeAspect="1"/>
        </xdr:cNvPicPr>
      </xdr:nvPicPr>
      <xdr:blipFill>
        <a:blip xmlns:r="http://schemas.openxmlformats.org/officeDocument/2006/relationships" r:embed="rId3719"/>
        <a:stretch>
          <a:fillRect/>
        </a:stretch>
      </xdr:blipFill>
      <xdr:spPr>
        <a:xfrm>
          <a:off x="7264400" y="4848237700"/>
          <a:ext cx="878840" cy="1183640"/>
        </a:xfrm>
        <a:prstGeom prst="rect">
          <a:avLst/>
        </a:prstGeom>
      </xdr:spPr>
    </xdr:pic>
    <xdr:clientData/>
  </xdr:twoCellAnchor>
  <xdr:twoCellAnchor>
    <xdr:from>
      <xdr:col>8</xdr:col>
      <xdr:colOff>6350</xdr:colOff>
      <xdr:row>4865</xdr:row>
      <xdr:rowOff>25400</xdr:rowOff>
    </xdr:from>
    <xdr:to>
      <xdr:col>8</xdr:col>
      <xdr:colOff>885190</xdr:colOff>
      <xdr:row>4865</xdr:row>
      <xdr:rowOff>1209040</xdr:rowOff>
    </xdr:to>
    <xdr:pic>
      <xdr:nvPicPr>
        <xdr:cNvPr id="8043" name="Изображение 8042" descr="resizeПП-00271783"/>
        <xdr:cNvPicPr>
          <a:picLocks noChangeAspect="1"/>
        </xdr:cNvPicPr>
      </xdr:nvPicPr>
      <xdr:blipFill>
        <a:blip xmlns:r="http://schemas.openxmlformats.org/officeDocument/2006/relationships" r:embed="rId3720"/>
        <a:stretch>
          <a:fillRect/>
        </a:stretch>
      </xdr:blipFill>
      <xdr:spPr>
        <a:xfrm>
          <a:off x="7264400" y="4849612475"/>
          <a:ext cx="878840" cy="1183640"/>
        </a:xfrm>
        <a:prstGeom prst="rect">
          <a:avLst/>
        </a:prstGeom>
      </xdr:spPr>
    </xdr:pic>
    <xdr:clientData/>
  </xdr:twoCellAnchor>
  <xdr:twoCellAnchor>
    <xdr:from>
      <xdr:col>8</xdr:col>
      <xdr:colOff>6350</xdr:colOff>
      <xdr:row>4866</xdr:row>
      <xdr:rowOff>25400</xdr:rowOff>
    </xdr:from>
    <xdr:to>
      <xdr:col>8</xdr:col>
      <xdr:colOff>885190</xdr:colOff>
      <xdr:row>4866</xdr:row>
      <xdr:rowOff>1209040</xdr:rowOff>
    </xdr:to>
    <xdr:pic>
      <xdr:nvPicPr>
        <xdr:cNvPr id="8044" name="Изображение 8043" descr="resizeПП-00271786"/>
        <xdr:cNvPicPr>
          <a:picLocks noChangeAspect="1"/>
        </xdr:cNvPicPr>
      </xdr:nvPicPr>
      <xdr:blipFill>
        <a:blip xmlns:r="http://schemas.openxmlformats.org/officeDocument/2006/relationships" r:embed="rId3721"/>
        <a:stretch>
          <a:fillRect/>
        </a:stretch>
      </xdr:blipFill>
      <xdr:spPr>
        <a:xfrm>
          <a:off x="7264400" y="4850834850"/>
          <a:ext cx="878840" cy="1183640"/>
        </a:xfrm>
        <a:prstGeom prst="rect">
          <a:avLst/>
        </a:prstGeom>
      </xdr:spPr>
    </xdr:pic>
    <xdr:clientData/>
  </xdr:twoCellAnchor>
  <xdr:twoCellAnchor>
    <xdr:from>
      <xdr:col>8</xdr:col>
      <xdr:colOff>6350</xdr:colOff>
      <xdr:row>4867</xdr:row>
      <xdr:rowOff>25400</xdr:rowOff>
    </xdr:from>
    <xdr:to>
      <xdr:col>8</xdr:col>
      <xdr:colOff>885190</xdr:colOff>
      <xdr:row>4867</xdr:row>
      <xdr:rowOff>1209040</xdr:rowOff>
    </xdr:to>
    <xdr:pic>
      <xdr:nvPicPr>
        <xdr:cNvPr id="8045" name="Изображение 8044" descr="resizeПП-00271788"/>
        <xdr:cNvPicPr>
          <a:picLocks noChangeAspect="1"/>
        </xdr:cNvPicPr>
      </xdr:nvPicPr>
      <xdr:blipFill>
        <a:blip xmlns:r="http://schemas.openxmlformats.org/officeDocument/2006/relationships" r:embed="rId3722"/>
        <a:stretch>
          <a:fillRect/>
        </a:stretch>
      </xdr:blipFill>
      <xdr:spPr>
        <a:xfrm>
          <a:off x="7264400" y="4852057225"/>
          <a:ext cx="878840" cy="1183640"/>
        </a:xfrm>
        <a:prstGeom prst="rect">
          <a:avLst/>
        </a:prstGeom>
      </xdr:spPr>
    </xdr:pic>
    <xdr:clientData/>
  </xdr:twoCellAnchor>
  <xdr:twoCellAnchor>
    <xdr:from>
      <xdr:col>8</xdr:col>
      <xdr:colOff>6350</xdr:colOff>
      <xdr:row>4868</xdr:row>
      <xdr:rowOff>25400</xdr:rowOff>
    </xdr:from>
    <xdr:to>
      <xdr:col>8</xdr:col>
      <xdr:colOff>885190</xdr:colOff>
      <xdr:row>4868</xdr:row>
      <xdr:rowOff>1209040</xdr:rowOff>
    </xdr:to>
    <xdr:pic>
      <xdr:nvPicPr>
        <xdr:cNvPr id="8046" name="Изображение 8045" descr="resizeПП-00271785"/>
        <xdr:cNvPicPr>
          <a:picLocks noChangeAspect="1"/>
        </xdr:cNvPicPr>
      </xdr:nvPicPr>
      <xdr:blipFill>
        <a:blip xmlns:r="http://schemas.openxmlformats.org/officeDocument/2006/relationships" r:embed="rId3723"/>
        <a:stretch>
          <a:fillRect/>
        </a:stretch>
      </xdr:blipFill>
      <xdr:spPr>
        <a:xfrm>
          <a:off x="7264400" y="4853279600"/>
          <a:ext cx="878840" cy="1183640"/>
        </a:xfrm>
        <a:prstGeom prst="rect">
          <a:avLst/>
        </a:prstGeom>
      </xdr:spPr>
    </xdr:pic>
    <xdr:clientData/>
  </xdr:twoCellAnchor>
  <xdr:twoCellAnchor>
    <xdr:from>
      <xdr:col>8</xdr:col>
      <xdr:colOff>6350</xdr:colOff>
      <xdr:row>4869</xdr:row>
      <xdr:rowOff>25400</xdr:rowOff>
    </xdr:from>
    <xdr:to>
      <xdr:col>8</xdr:col>
      <xdr:colOff>885190</xdr:colOff>
      <xdr:row>4869</xdr:row>
      <xdr:rowOff>1209040</xdr:rowOff>
    </xdr:to>
    <xdr:pic>
      <xdr:nvPicPr>
        <xdr:cNvPr id="8047" name="Изображение 8046" descr="resizeПП-00271787"/>
        <xdr:cNvPicPr>
          <a:picLocks noChangeAspect="1"/>
        </xdr:cNvPicPr>
      </xdr:nvPicPr>
      <xdr:blipFill>
        <a:blip xmlns:r="http://schemas.openxmlformats.org/officeDocument/2006/relationships" r:embed="rId3724"/>
        <a:stretch>
          <a:fillRect/>
        </a:stretch>
      </xdr:blipFill>
      <xdr:spPr>
        <a:xfrm>
          <a:off x="7264400" y="4854501975"/>
          <a:ext cx="878840" cy="1183640"/>
        </a:xfrm>
        <a:prstGeom prst="rect">
          <a:avLst/>
        </a:prstGeom>
      </xdr:spPr>
    </xdr:pic>
    <xdr:clientData/>
  </xdr:twoCellAnchor>
  <xdr:twoCellAnchor>
    <xdr:from>
      <xdr:col>8</xdr:col>
      <xdr:colOff>6350</xdr:colOff>
      <xdr:row>4871</xdr:row>
      <xdr:rowOff>25400</xdr:rowOff>
    </xdr:from>
    <xdr:to>
      <xdr:col>8</xdr:col>
      <xdr:colOff>885190</xdr:colOff>
      <xdr:row>4871</xdr:row>
      <xdr:rowOff>1209040</xdr:rowOff>
    </xdr:to>
    <xdr:pic>
      <xdr:nvPicPr>
        <xdr:cNvPr id="8048" name="Изображение 8047" descr="resizeПП-00263720"/>
        <xdr:cNvPicPr>
          <a:picLocks noChangeAspect="1"/>
        </xdr:cNvPicPr>
      </xdr:nvPicPr>
      <xdr:blipFill>
        <a:blip xmlns:r="http://schemas.openxmlformats.org/officeDocument/2006/relationships" r:embed="rId3725"/>
        <a:stretch>
          <a:fillRect/>
        </a:stretch>
      </xdr:blipFill>
      <xdr:spPr>
        <a:xfrm>
          <a:off x="7264400" y="4855876750"/>
          <a:ext cx="878840" cy="1183640"/>
        </a:xfrm>
        <a:prstGeom prst="rect">
          <a:avLst/>
        </a:prstGeom>
      </xdr:spPr>
    </xdr:pic>
    <xdr:clientData/>
  </xdr:twoCellAnchor>
  <xdr:twoCellAnchor>
    <xdr:from>
      <xdr:col>8</xdr:col>
      <xdr:colOff>6350</xdr:colOff>
      <xdr:row>4872</xdr:row>
      <xdr:rowOff>25400</xdr:rowOff>
    </xdr:from>
    <xdr:to>
      <xdr:col>8</xdr:col>
      <xdr:colOff>885190</xdr:colOff>
      <xdr:row>4872</xdr:row>
      <xdr:rowOff>1209040</xdr:rowOff>
    </xdr:to>
    <xdr:pic>
      <xdr:nvPicPr>
        <xdr:cNvPr id="8049" name="Изображение 8048" descr="resizeПП-00236600"/>
        <xdr:cNvPicPr>
          <a:picLocks noChangeAspect="1"/>
        </xdr:cNvPicPr>
      </xdr:nvPicPr>
      <xdr:blipFill>
        <a:blip xmlns:r="http://schemas.openxmlformats.org/officeDocument/2006/relationships" r:embed="rId3726"/>
        <a:stretch>
          <a:fillRect/>
        </a:stretch>
      </xdr:blipFill>
      <xdr:spPr>
        <a:xfrm>
          <a:off x="7264400" y="4857099125"/>
          <a:ext cx="878840" cy="1183640"/>
        </a:xfrm>
        <a:prstGeom prst="rect">
          <a:avLst/>
        </a:prstGeom>
      </xdr:spPr>
    </xdr:pic>
    <xdr:clientData/>
  </xdr:twoCellAnchor>
  <xdr:twoCellAnchor>
    <xdr:from>
      <xdr:col>8</xdr:col>
      <xdr:colOff>6350</xdr:colOff>
      <xdr:row>4873</xdr:row>
      <xdr:rowOff>25400</xdr:rowOff>
    </xdr:from>
    <xdr:to>
      <xdr:col>8</xdr:col>
      <xdr:colOff>885190</xdr:colOff>
      <xdr:row>4873</xdr:row>
      <xdr:rowOff>1209040</xdr:rowOff>
    </xdr:to>
    <xdr:pic>
      <xdr:nvPicPr>
        <xdr:cNvPr id="8050" name="Изображение 8049" descr="resizeПП-00178108"/>
        <xdr:cNvPicPr>
          <a:picLocks noChangeAspect="1"/>
        </xdr:cNvPicPr>
      </xdr:nvPicPr>
      <xdr:blipFill>
        <a:blip xmlns:r="http://schemas.openxmlformats.org/officeDocument/2006/relationships" r:embed="rId3727"/>
        <a:stretch>
          <a:fillRect/>
        </a:stretch>
      </xdr:blipFill>
      <xdr:spPr>
        <a:xfrm>
          <a:off x="7264400" y="4858321500"/>
          <a:ext cx="878840" cy="1183640"/>
        </a:xfrm>
        <a:prstGeom prst="rect">
          <a:avLst/>
        </a:prstGeom>
      </xdr:spPr>
    </xdr:pic>
    <xdr:clientData/>
  </xdr:twoCellAnchor>
  <xdr:twoCellAnchor>
    <xdr:from>
      <xdr:col>8</xdr:col>
      <xdr:colOff>6350</xdr:colOff>
      <xdr:row>4877</xdr:row>
      <xdr:rowOff>25400</xdr:rowOff>
    </xdr:from>
    <xdr:to>
      <xdr:col>8</xdr:col>
      <xdr:colOff>885190</xdr:colOff>
      <xdr:row>4877</xdr:row>
      <xdr:rowOff>1209040</xdr:rowOff>
    </xdr:to>
    <xdr:pic>
      <xdr:nvPicPr>
        <xdr:cNvPr id="8051" name="Изображение 8050" descr="resizeПП-00179174"/>
        <xdr:cNvPicPr>
          <a:picLocks noChangeAspect="1"/>
        </xdr:cNvPicPr>
      </xdr:nvPicPr>
      <xdr:blipFill>
        <a:blip xmlns:r="http://schemas.openxmlformats.org/officeDocument/2006/relationships" r:embed="rId3728"/>
        <a:stretch>
          <a:fillRect/>
        </a:stretch>
      </xdr:blipFill>
      <xdr:spPr>
        <a:xfrm>
          <a:off x="7264400" y="4860051875"/>
          <a:ext cx="878840" cy="1183640"/>
        </a:xfrm>
        <a:prstGeom prst="rect">
          <a:avLst/>
        </a:prstGeom>
      </xdr:spPr>
    </xdr:pic>
    <xdr:clientData/>
  </xdr:twoCellAnchor>
  <xdr:twoCellAnchor>
    <xdr:from>
      <xdr:col>8</xdr:col>
      <xdr:colOff>6350</xdr:colOff>
      <xdr:row>4882</xdr:row>
      <xdr:rowOff>25400</xdr:rowOff>
    </xdr:from>
    <xdr:to>
      <xdr:col>8</xdr:col>
      <xdr:colOff>885190</xdr:colOff>
      <xdr:row>4882</xdr:row>
      <xdr:rowOff>1209040</xdr:rowOff>
    </xdr:to>
    <xdr:pic>
      <xdr:nvPicPr>
        <xdr:cNvPr id="8052" name="Изображение 8051" descr="resizeПП-00259513"/>
        <xdr:cNvPicPr>
          <a:picLocks noChangeAspect="1"/>
        </xdr:cNvPicPr>
      </xdr:nvPicPr>
      <xdr:blipFill>
        <a:blip xmlns:r="http://schemas.openxmlformats.org/officeDocument/2006/relationships" r:embed="rId3729"/>
        <a:stretch>
          <a:fillRect/>
        </a:stretch>
      </xdr:blipFill>
      <xdr:spPr>
        <a:xfrm>
          <a:off x="7264400" y="4861934650"/>
          <a:ext cx="878840" cy="1183640"/>
        </a:xfrm>
        <a:prstGeom prst="rect">
          <a:avLst/>
        </a:prstGeom>
      </xdr:spPr>
    </xdr:pic>
    <xdr:clientData/>
  </xdr:twoCellAnchor>
  <xdr:twoCellAnchor>
    <xdr:from>
      <xdr:col>8</xdr:col>
      <xdr:colOff>6350</xdr:colOff>
      <xdr:row>4885</xdr:row>
      <xdr:rowOff>25400</xdr:rowOff>
    </xdr:from>
    <xdr:to>
      <xdr:col>8</xdr:col>
      <xdr:colOff>885190</xdr:colOff>
      <xdr:row>4885</xdr:row>
      <xdr:rowOff>1209040</xdr:rowOff>
    </xdr:to>
    <xdr:pic>
      <xdr:nvPicPr>
        <xdr:cNvPr id="8053" name="Изображение 8052" descr="resizeПП-00262351"/>
        <xdr:cNvPicPr>
          <a:picLocks noChangeAspect="1"/>
        </xdr:cNvPicPr>
      </xdr:nvPicPr>
      <xdr:blipFill>
        <a:blip xmlns:r="http://schemas.openxmlformats.org/officeDocument/2006/relationships" r:embed="rId3730"/>
        <a:stretch>
          <a:fillRect/>
        </a:stretch>
      </xdr:blipFill>
      <xdr:spPr>
        <a:xfrm>
          <a:off x="7264400" y="4863461825"/>
          <a:ext cx="878840" cy="1183640"/>
        </a:xfrm>
        <a:prstGeom prst="rect">
          <a:avLst/>
        </a:prstGeom>
      </xdr:spPr>
    </xdr:pic>
    <xdr:clientData/>
  </xdr:twoCellAnchor>
  <xdr:twoCellAnchor>
    <xdr:from>
      <xdr:col>8</xdr:col>
      <xdr:colOff>6350</xdr:colOff>
      <xdr:row>4886</xdr:row>
      <xdr:rowOff>25400</xdr:rowOff>
    </xdr:from>
    <xdr:to>
      <xdr:col>8</xdr:col>
      <xdr:colOff>885190</xdr:colOff>
      <xdr:row>4886</xdr:row>
      <xdr:rowOff>1209040</xdr:rowOff>
    </xdr:to>
    <xdr:pic>
      <xdr:nvPicPr>
        <xdr:cNvPr id="8054" name="Изображение 8053" descr="resizeПП-00262354"/>
        <xdr:cNvPicPr>
          <a:picLocks noChangeAspect="1"/>
        </xdr:cNvPicPr>
      </xdr:nvPicPr>
      <xdr:blipFill>
        <a:blip xmlns:r="http://schemas.openxmlformats.org/officeDocument/2006/relationships" r:embed="rId3731"/>
        <a:stretch>
          <a:fillRect/>
        </a:stretch>
      </xdr:blipFill>
      <xdr:spPr>
        <a:xfrm>
          <a:off x="7264400" y="4864684200"/>
          <a:ext cx="878840" cy="1183640"/>
        </a:xfrm>
        <a:prstGeom prst="rect">
          <a:avLst/>
        </a:prstGeom>
      </xdr:spPr>
    </xdr:pic>
    <xdr:clientData/>
  </xdr:twoCellAnchor>
  <xdr:twoCellAnchor>
    <xdr:from>
      <xdr:col>8</xdr:col>
      <xdr:colOff>6350</xdr:colOff>
      <xdr:row>4888</xdr:row>
      <xdr:rowOff>25400</xdr:rowOff>
    </xdr:from>
    <xdr:to>
      <xdr:col>8</xdr:col>
      <xdr:colOff>885190</xdr:colOff>
      <xdr:row>4888</xdr:row>
      <xdr:rowOff>1209040</xdr:rowOff>
    </xdr:to>
    <xdr:pic>
      <xdr:nvPicPr>
        <xdr:cNvPr id="8055" name="Изображение 8054" descr="resizeПП-00262356"/>
        <xdr:cNvPicPr>
          <a:picLocks noChangeAspect="1"/>
        </xdr:cNvPicPr>
      </xdr:nvPicPr>
      <xdr:blipFill>
        <a:blip xmlns:r="http://schemas.openxmlformats.org/officeDocument/2006/relationships" r:embed="rId3732"/>
        <a:stretch>
          <a:fillRect/>
        </a:stretch>
      </xdr:blipFill>
      <xdr:spPr>
        <a:xfrm>
          <a:off x="7264400" y="4866058975"/>
          <a:ext cx="878840" cy="1183640"/>
        </a:xfrm>
        <a:prstGeom prst="rect">
          <a:avLst/>
        </a:prstGeom>
      </xdr:spPr>
    </xdr:pic>
    <xdr:clientData/>
  </xdr:twoCellAnchor>
  <xdr:twoCellAnchor>
    <xdr:from>
      <xdr:col>8</xdr:col>
      <xdr:colOff>6350</xdr:colOff>
      <xdr:row>4889</xdr:row>
      <xdr:rowOff>25400</xdr:rowOff>
    </xdr:from>
    <xdr:to>
      <xdr:col>8</xdr:col>
      <xdr:colOff>885190</xdr:colOff>
      <xdr:row>4889</xdr:row>
      <xdr:rowOff>1209040</xdr:rowOff>
    </xdr:to>
    <xdr:pic>
      <xdr:nvPicPr>
        <xdr:cNvPr id="8056" name="Изображение 8055" descr="resizeПП-00262359"/>
        <xdr:cNvPicPr>
          <a:picLocks noChangeAspect="1"/>
        </xdr:cNvPicPr>
      </xdr:nvPicPr>
      <xdr:blipFill>
        <a:blip xmlns:r="http://schemas.openxmlformats.org/officeDocument/2006/relationships" r:embed="rId3733"/>
        <a:stretch>
          <a:fillRect/>
        </a:stretch>
      </xdr:blipFill>
      <xdr:spPr>
        <a:xfrm>
          <a:off x="7264400" y="4867281350"/>
          <a:ext cx="878840" cy="1183640"/>
        </a:xfrm>
        <a:prstGeom prst="rect">
          <a:avLst/>
        </a:prstGeom>
      </xdr:spPr>
    </xdr:pic>
    <xdr:clientData/>
  </xdr:twoCellAnchor>
  <xdr:twoCellAnchor>
    <xdr:from>
      <xdr:col>8</xdr:col>
      <xdr:colOff>6350</xdr:colOff>
      <xdr:row>4892</xdr:row>
      <xdr:rowOff>25400</xdr:rowOff>
    </xdr:from>
    <xdr:to>
      <xdr:col>8</xdr:col>
      <xdr:colOff>885190</xdr:colOff>
      <xdr:row>4892</xdr:row>
      <xdr:rowOff>1209040</xdr:rowOff>
    </xdr:to>
    <xdr:pic>
      <xdr:nvPicPr>
        <xdr:cNvPr id="8057" name="Изображение 8056" descr="resizeПП-00270166"/>
        <xdr:cNvPicPr>
          <a:picLocks noChangeAspect="1"/>
        </xdr:cNvPicPr>
      </xdr:nvPicPr>
      <xdr:blipFill>
        <a:blip xmlns:r="http://schemas.openxmlformats.org/officeDocument/2006/relationships" r:embed="rId3734"/>
        <a:stretch>
          <a:fillRect/>
        </a:stretch>
      </xdr:blipFill>
      <xdr:spPr>
        <a:xfrm>
          <a:off x="7264400" y="4868808525"/>
          <a:ext cx="878840" cy="1183640"/>
        </a:xfrm>
        <a:prstGeom prst="rect">
          <a:avLst/>
        </a:prstGeom>
      </xdr:spPr>
    </xdr:pic>
    <xdr:clientData/>
  </xdr:twoCellAnchor>
  <xdr:twoCellAnchor>
    <xdr:from>
      <xdr:col>8</xdr:col>
      <xdr:colOff>6350</xdr:colOff>
      <xdr:row>4893</xdr:row>
      <xdr:rowOff>25400</xdr:rowOff>
    </xdr:from>
    <xdr:to>
      <xdr:col>8</xdr:col>
      <xdr:colOff>885190</xdr:colOff>
      <xdr:row>4893</xdr:row>
      <xdr:rowOff>1209040</xdr:rowOff>
    </xdr:to>
    <xdr:pic>
      <xdr:nvPicPr>
        <xdr:cNvPr id="8058" name="Изображение 8057" descr="resizeПП-00270167"/>
        <xdr:cNvPicPr>
          <a:picLocks noChangeAspect="1"/>
        </xdr:cNvPicPr>
      </xdr:nvPicPr>
      <xdr:blipFill>
        <a:blip xmlns:r="http://schemas.openxmlformats.org/officeDocument/2006/relationships" r:embed="rId3735"/>
        <a:stretch>
          <a:fillRect/>
        </a:stretch>
      </xdr:blipFill>
      <xdr:spPr>
        <a:xfrm>
          <a:off x="7264400" y="4870030900"/>
          <a:ext cx="878840" cy="1183640"/>
        </a:xfrm>
        <a:prstGeom prst="rect">
          <a:avLst/>
        </a:prstGeom>
      </xdr:spPr>
    </xdr:pic>
    <xdr:clientData/>
  </xdr:twoCellAnchor>
  <xdr:twoCellAnchor>
    <xdr:from>
      <xdr:col>8</xdr:col>
      <xdr:colOff>6350</xdr:colOff>
      <xdr:row>4894</xdr:row>
      <xdr:rowOff>25400</xdr:rowOff>
    </xdr:from>
    <xdr:to>
      <xdr:col>8</xdr:col>
      <xdr:colOff>1189990</xdr:colOff>
      <xdr:row>4894</xdr:row>
      <xdr:rowOff>904240</xdr:rowOff>
    </xdr:to>
    <xdr:pic>
      <xdr:nvPicPr>
        <xdr:cNvPr id="8059" name="Изображение 8058" descr="resizeПП-00270174"/>
        <xdr:cNvPicPr>
          <a:picLocks noChangeAspect="1"/>
        </xdr:cNvPicPr>
      </xdr:nvPicPr>
      <xdr:blipFill>
        <a:blip xmlns:r="http://schemas.openxmlformats.org/officeDocument/2006/relationships" r:embed="rId3736"/>
        <a:stretch>
          <a:fillRect/>
        </a:stretch>
      </xdr:blipFill>
      <xdr:spPr>
        <a:xfrm>
          <a:off x="7264400" y="4871253275"/>
          <a:ext cx="1183640" cy="878840"/>
        </a:xfrm>
        <a:prstGeom prst="rect">
          <a:avLst/>
        </a:prstGeom>
      </xdr:spPr>
    </xdr:pic>
    <xdr:clientData/>
  </xdr:twoCellAnchor>
  <xdr:twoCellAnchor>
    <xdr:from>
      <xdr:col>8</xdr:col>
      <xdr:colOff>6350</xdr:colOff>
      <xdr:row>4895</xdr:row>
      <xdr:rowOff>25400</xdr:rowOff>
    </xdr:from>
    <xdr:to>
      <xdr:col>8</xdr:col>
      <xdr:colOff>1189990</xdr:colOff>
      <xdr:row>4895</xdr:row>
      <xdr:rowOff>904240</xdr:rowOff>
    </xdr:to>
    <xdr:pic>
      <xdr:nvPicPr>
        <xdr:cNvPr id="8060" name="Изображение 8059" descr="resizeПП-00270169"/>
        <xdr:cNvPicPr>
          <a:picLocks noChangeAspect="1"/>
        </xdr:cNvPicPr>
      </xdr:nvPicPr>
      <xdr:blipFill>
        <a:blip xmlns:r="http://schemas.openxmlformats.org/officeDocument/2006/relationships" r:embed="rId3737"/>
        <a:stretch>
          <a:fillRect/>
        </a:stretch>
      </xdr:blipFill>
      <xdr:spPr>
        <a:xfrm>
          <a:off x="7264400" y="4872475650"/>
          <a:ext cx="1183640" cy="878840"/>
        </a:xfrm>
        <a:prstGeom prst="rect">
          <a:avLst/>
        </a:prstGeom>
      </xdr:spPr>
    </xdr:pic>
    <xdr:clientData/>
  </xdr:twoCellAnchor>
  <xdr:twoCellAnchor>
    <xdr:from>
      <xdr:col>8</xdr:col>
      <xdr:colOff>6350</xdr:colOff>
      <xdr:row>4896</xdr:row>
      <xdr:rowOff>25400</xdr:rowOff>
    </xdr:from>
    <xdr:to>
      <xdr:col>8</xdr:col>
      <xdr:colOff>1189990</xdr:colOff>
      <xdr:row>4896</xdr:row>
      <xdr:rowOff>904240</xdr:rowOff>
    </xdr:to>
    <xdr:pic>
      <xdr:nvPicPr>
        <xdr:cNvPr id="8061" name="Изображение 8060" descr="resizeПП-00270172"/>
        <xdr:cNvPicPr>
          <a:picLocks noChangeAspect="1"/>
        </xdr:cNvPicPr>
      </xdr:nvPicPr>
      <xdr:blipFill>
        <a:blip xmlns:r="http://schemas.openxmlformats.org/officeDocument/2006/relationships" r:embed="rId3738"/>
        <a:stretch>
          <a:fillRect/>
        </a:stretch>
      </xdr:blipFill>
      <xdr:spPr>
        <a:xfrm>
          <a:off x="7264400" y="4873698025"/>
          <a:ext cx="1183640" cy="878840"/>
        </a:xfrm>
        <a:prstGeom prst="rect">
          <a:avLst/>
        </a:prstGeom>
      </xdr:spPr>
    </xdr:pic>
    <xdr:clientData/>
  </xdr:twoCellAnchor>
  <xdr:twoCellAnchor>
    <xdr:from>
      <xdr:col>8</xdr:col>
      <xdr:colOff>6350</xdr:colOff>
      <xdr:row>4897</xdr:row>
      <xdr:rowOff>25400</xdr:rowOff>
    </xdr:from>
    <xdr:to>
      <xdr:col>8</xdr:col>
      <xdr:colOff>1189990</xdr:colOff>
      <xdr:row>4897</xdr:row>
      <xdr:rowOff>904240</xdr:rowOff>
    </xdr:to>
    <xdr:pic>
      <xdr:nvPicPr>
        <xdr:cNvPr id="8062" name="Изображение 8061" descr="resizeПП-00270175"/>
        <xdr:cNvPicPr>
          <a:picLocks noChangeAspect="1"/>
        </xdr:cNvPicPr>
      </xdr:nvPicPr>
      <xdr:blipFill>
        <a:blip xmlns:r="http://schemas.openxmlformats.org/officeDocument/2006/relationships" r:embed="rId3739"/>
        <a:stretch>
          <a:fillRect/>
        </a:stretch>
      </xdr:blipFill>
      <xdr:spPr>
        <a:xfrm>
          <a:off x="7264400" y="4874920400"/>
          <a:ext cx="1183640" cy="878840"/>
        </a:xfrm>
        <a:prstGeom prst="rect">
          <a:avLst/>
        </a:prstGeom>
      </xdr:spPr>
    </xdr:pic>
    <xdr:clientData/>
  </xdr:twoCellAnchor>
  <xdr:twoCellAnchor>
    <xdr:from>
      <xdr:col>8</xdr:col>
      <xdr:colOff>6350</xdr:colOff>
      <xdr:row>4900</xdr:row>
      <xdr:rowOff>25400</xdr:rowOff>
    </xdr:from>
    <xdr:to>
      <xdr:col>8</xdr:col>
      <xdr:colOff>885190</xdr:colOff>
      <xdr:row>4900</xdr:row>
      <xdr:rowOff>1209040</xdr:rowOff>
    </xdr:to>
    <xdr:pic>
      <xdr:nvPicPr>
        <xdr:cNvPr id="8063" name="Изображение 8062" descr="resizeПП-00282358"/>
        <xdr:cNvPicPr>
          <a:picLocks noChangeAspect="1"/>
        </xdr:cNvPicPr>
      </xdr:nvPicPr>
      <xdr:blipFill>
        <a:blip xmlns:r="http://schemas.openxmlformats.org/officeDocument/2006/relationships" r:embed="rId3740"/>
        <a:stretch>
          <a:fillRect/>
        </a:stretch>
      </xdr:blipFill>
      <xdr:spPr>
        <a:xfrm>
          <a:off x="7264400" y="4876447575"/>
          <a:ext cx="878840" cy="1183640"/>
        </a:xfrm>
        <a:prstGeom prst="rect">
          <a:avLst/>
        </a:prstGeom>
      </xdr:spPr>
    </xdr:pic>
    <xdr:clientData/>
  </xdr:twoCellAnchor>
  <xdr:twoCellAnchor>
    <xdr:from>
      <xdr:col>8</xdr:col>
      <xdr:colOff>6350</xdr:colOff>
      <xdr:row>4901</xdr:row>
      <xdr:rowOff>25400</xdr:rowOff>
    </xdr:from>
    <xdr:to>
      <xdr:col>8</xdr:col>
      <xdr:colOff>885190</xdr:colOff>
      <xdr:row>4901</xdr:row>
      <xdr:rowOff>1209040</xdr:rowOff>
    </xdr:to>
    <xdr:pic>
      <xdr:nvPicPr>
        <xdr:cNvPr id="8064" name="Изображение 8063" descr="resizeПП-00282362"/>
        <xdr:cNvPicPr>
          <a:picLocks noChangeAspect="1"/>
        </xdr:cNvPicPr>
      </xdr:nvPicPr>
      <xdr:blipFill>
        <a:blip xmlns:r="http://schemas.openxmlformats.org/officeDocument/2006/relationships" r:embed="rId3741"/>
        <a:stretch>
          <a:fillRect/>
        </a:stretch>
      </xdr:blipFill>
      <xdr:spPr>
        <a:xfrm>
          <a:off x="7264400" y="4877669950"/>
          <a:ext cx="878840" cy="1183640"/>
        </a:xfrm>
        <a:prstGeom prst="rect">
          <a:avLst/>
        </a:prstGeom>
      </xdr:spPr>
    </xdr:pic>
    <xdr:clientData/>
  </xdr:twoCellAnchor>
  <xdr:twoCellAnchor>
    <xdr:from>
      <xdr:col>8</xdr:col>
      <xdr:colOff>6350</xdr:colOff>
      <xdr:row>4902</xdr:row>
      <xdr:rowOff>25400</xdr:rowOff>
    </xdr:from>
    <xdr:to>
      <xdr:col>8</xdr:col>
      <xdr:colOff>885190</xdr:colOff>
      <xdr:row>4902</xdr:row>
      <xdr:rowOff>1209040</xdr:rowOff>
    </xdr:to>
    <xdr:pic>
      <xdr:nvPicPr>
        <xdr:cNvPr id="8065" name="Изображение 8064" descr="resizeПП-00282366"/>
        <xdr:cNvPicPr>
          <a:picLocks noChangeAspect="1"/>
        </xdr:cNvPicPr>
      </xdr:nvPicPr>
      <xdr:blipFill>
        <a:blip xmlns:r="http://schemas.openxmlformats.org/officeDocument/2006/relationships" r:embed="rId3742"/>
        <a:stretch>
          <a:fillRect/>
        </a:stretch>
      </xdr:blipFill>
      <xdr:spPr>
        <a:xfrm>
          <a:off x="7264400" y="4878892325"/>
          <a:ext cx="878840" cy="1183640"/>
        </a:xfrm>
        <a:prstGeom prst="rect">
          <a:avLst/>
        </a:prstGeom>
      </xdr:spPr>
    </xdr:pic>
    <xdr:clientData/>
  </xdr:twoCellAnchor>
  <xdr:twoCellAnchor>
    <xdr:from>
      <xdr:col>8</xdr:col>
      <xdr:colOff>6350</xdr:colOff>
      <xdr:row>4903</xdr:row>
      <xdr:rowOff>25400</xdr:rowOff>
    </xdr:from>
    <xdr:to>
      <xdr:col>8</xdr:col>
      <xdr:colOff>885190</xdr:colOff>
      <xdr:row>4903</xdr:row>
      <xdr:rowOff>1209040</xdr:rowOff>
    </xdr:to>
    <xdr:pic>
      <xdr:nvPicPr>
        <xdr:cNvPr id="8066" name="Изображение 8065" descr="resizeПП-00282363"/>
        <xdr:cNvPicPr>
          <a:picLocks noChangeAspect="1"/>
        </xdr:cNvPicPr>
      </xdr:nvPicPr>
      <xdr:blipFill>
        <a:blip xmlns:r="http://schemas.openxmlformats.org/officeDocument/2006/relationships" r:embed="rId3743"/>
        <a:stretch>
          <a:fillRect/>
        </a:stretch>
      </xdr:blipFill>
      <xdr:spPr>
        <a:xfrm>
          <a:off x="7264400" y="4880114700"/>
          <a:ext cx="878840" cy="1183640"/>
        </a:xfrm>
        <a:prstGeom prst="rect">
          <a:avLst/>
        </a:prstGeom>
      </xdr:spPr>
    </xdr:pic>
    <xdr:clientData/>
  </xdr:twoCellAnchor>
  <xdr:twoCellAnchor>
    <xdr:from>
      <xdr:col>8</xdr:col>
      <xdr:colOff>6350</xdr:colOff>
      <xdr:row>4904</xdr:row>
      <xdr:rowOff>25400</xdr:rowOff>
    </xdr:from>
    <xdr:to>
      <xdr:col>8</xdr:col>
      <xdr:colOff>885190</xdr:colOff>
      <xdr:row>4904</xdr:row>
      <xdr:rowOff>1209040</xdr:rowOff>
    </xdr:to>
    <xdr:pic>
      <xdr:nvPicPr>
        <xdr:cNvPr id="8067" name="Изображение 8066" descr="resizeПП-00282355"/>
        <xdr:cNvPicPr>
          <a:picLocks noChangeAspect="1"/>
        </xdr:cNvPicPr>
      </xdr:nvPicPr>
      <xdr:blipFill>
        <a:blip xmlns:r="http://schemas.openxmlformats.org/officeDocument/2006/relationships" r:embed="rId3744"/>
        <a:stretch>
          <a:fillRect/>
        </a:stretch>
      </xdr:blipFill>
      <xdr:spPr>
        <a:xfrm>
          <a:off x="7264400" y="4881337075"/>
          <a:ext cx="878840" cy="1183640"/>
        </a:xfrm>
        <a:prstGeom prst="rect">
          <a:avLst/>
        </a:prstGeom>
      </xdr:spPr>
    </xdr:pic>
    <xdr:clientData/>
  </xdr:twoCellAnchor>
  <xdr:twoCellAnchor>
    <xdr:from>
      <xdr:col>8</xdr:col>
      <xdr:colOff>6350</xdr:colOff>
      <xdr:row>4905</xdr:row>
      <xdr:rowOff>25400</xdr:rowOff>
    </xdr:from>
    <xdr:to>
      <xdr:col>8</xdr:col>
      <xdr:colOff>885190</xdr:colOff>
      <xdr:row>4905</xdr:row>
      <xdr:rowOff>1209040</xdr:rowOff>
    </xdr:to>
    <xdr:pic>
      <xdr:nvPicPr>
        <xdr:cNvPr id="8068" name="Изображение 8067" descr="resizeПП-00272882"/>
        <xdr:cNvPicPr>
          <a:picLocks noChangeAspect="1"/>
        </xdr:cNvPicPr>
      </xdr:nvPicPr>
      <xdr:blipFill>
        <a:blip xmlns:r="http://schemas.openxmlformats.org/officeDocument/2006/relationships" r:embed="rId3745"/>
        <a:stretch>
          <a:fillRect/>
        </a:stretch>
      </xdr:blipFill>
      <xdr:spPr>
        <a:xfrm>
          <a:off x="7264400" y="4882559450"/>
          <a:ext cx="878840" cy="1183640"/>
        </a:xfrm>
        <a:prstGeom prst="rect">
          <a:avLst/>
        </a:prstGeom>
      </xdr:spPr>
    </xdr:pic>
    <xdr:clientData/>
  </xdr:twoCellAnchor>
  <xdr:twoCellAnchor>
    <xdr:from>
      <xdr:col>8</xdr:col>
      <xdr:colOff>6350</xdr:colOff>
      <xdr:row>4906</xdr:row>
      <xdr:rowOff>25400</xdr:rowOff>
    </xdr:from>
    <xdr:to>
      <xdr:col>8</xdr:col>
      <xdr:colOff>885190</xdr:colOff>
      <xdr:row>4906</xdr:row>
      <xdr:rowOff>1209040</xdr:rowOff>
    </xdr:to>
    <xdr:pic>
      <xdr:nvPicPr>
        <xdr:cNvPr id="8069" name="Изображение 8068" descr="resizeПП-00282368"/>
        <xdr:cNvPicPr>
          <a:picLocks noChangeAspect="1"/>
        </xdr:cNvPicPr>
      </xdr:nvPicPr>
      <xdr:blipFill>
        <a:blip xmlns:r="http://schemas.openxmlformats.org/officeDocument/2006/relationships" r:embed="rId3746"/>
        <a:stretch>
          <a:fillRect/>
        </a:stretch>
      </xdr:blipFill>
      <xdr:spPr>
        <a:xfrm>
          <a:off x="7264400" y="4883781825"/>
          <a:ext cx="878840" cy="1183640"/>
        </a:xfrm>
        <a:prstGeom prst="rect">
          <a:avLst/>
        </a:prstGeom>
      </xdr:spPr>
    </xdr:pic>
    <xdr:clientData/>
  </xdr:twoCellAnchor>
  <xdr:twoCellAnchor>
    <xdr:from>
      <xdr:col>8</xdr:col>
      <xdr:colOff>6350</xdr:colOff>
      <xdr:row>4907</xdr:row>
      <xdr:rowOff>25400</xdr:rowOff>
    </xdr:from>
    <xdr:to>
      <xdr:col>8</xdr:col>
      <xdr:colOff>885190</xdr:colOff>
      <xdr:row>4907</xdr:row>
      <xdr:rowOff>1209040</xdr:rowOff>
    </xdr:to>
    <xdr:pic>
      <xdr:nvPicPr>
        <xdr:cNvPr id="8070" name="Изображение 8069" descr="resizeПП-00282360"/>
        <xdr:cNvPicPr>
          <a:picLocks noChangeAspect="1"/>
        </xdr:cNvPicPr>
      </xdr:nvPicPr>
      <xdr:blipFill>
        <a:blip xmlns:r="http://schemas.openxmlformats.org/officeDocument/2006/relationships" r:embed="rId3747"/>
        <a:stretch>
          <a:fillRect/>
        </a:stretch>
      </xdr:blipFill>
      <xdr:spPr>
        <a:xfrm>
          <a:off x="7264400" y="4885004200"/>
          <a:ext cx="878840" cy="1183640"/>
        </a:xfrm>
        <a:prstGeom prst="rect">
          <a:avLst/>
        </a:prstGeom>
      </xdr:spPr>
    </xdr:pic>
    <xdr:clientData/>
  </xdr:twoCellAnchor>
  <xdr:twoCellAnchor>
    <xdr:from>
      <xdr:col>8</xdr:col>
      <xdr:colOff>6350</xdr:colOff>
      <xdr:row>4908</xdr:row>
      <xdr:rowOff>25400</xdr:rowOff>
    </xdr:from>
    <xdr:to>
      <xdr:col>8</xdr:col>
      <xdr:colOff>885190</xdr:colOff>
      <xdr:row>4908</xdr:row>
      <xdr:rowOff>1209040</xdr:rowOff>
    </xdr:to>
    <xdr:pic>
      <xdr:nvPicPr>
        <xdr:cNvPr id="8071" name="Изображение 8070" descr="resizeПП-00272885"/>
        <xdr:cNvPicPr>
          <a:picLocks noChangeAspect="1"/>
        </xdr:cNvPicPr>
      </xdr:nvPicPr>
      <xdr:blipFill>
        <a:blip xmlns:r="http://schemas.openxmlformats.org/officeDocument/2006/relationships" r:embed="rId3748"/>
        <a:stretch>
          <a:fillRect/>
        </a:stretch>
      </xdr:blipFill>
      <xdr:spPr>
        <a:xfrm>
          <a:off x="7264400" y="4886226575"/>
          <a:ext cx="878840" cy="1183640"/>
        </a:xfrm>
        <a:prstGeom prst="rect">
          <a:avLst/>
        </a:prstGeom>
      </xdr:spPr>
    </xdr:pic>
    <xdr:clientData/>
  </xdr:twoCellAnchor>
  <xdr:twoCellAnchor>
    <xdr:from>
      <xdr:col>8</xdr:col>
      <xdr:colOff>6350</xdr:colOff>
      <xdr:row>4909</xdr:row>
      <xdr:rowOff>25400</xdr:rowOff>
    </xdr:from>
    <xdr:to>
      <xdr:col>8</xdr:col>
      <xdr:colOff>885190</xdr:colOff>
      <xdr:row>4909</xdr:row>
      <xdr:rowOff>1209040</xdr:rowOff>
    </xdr:to>
    <xdr:pic>
      <xdr:nvPicPr>
        <xdr:cNvPr id="8072" name="Изображение 8071" descr="resizeПП-00282359"/>
        <xdr:cNvPicPr>
          <a:picLocks noChangeAspect="1"/>
        </xdr:cNvPicPr>
      </xdr:nvPicPr>
      <xdr:blipFill>
        <a:blip xmlns:r="http://schemas.openxmlformats.org/officeDocument/2006/relationships" r:embed="rId3749"/>
        <a:stretch>
          <a:fillRect/>
        </a:stretch>
      </xdr:blipFill>
      <xdr:spPr>
        <a:xfrm>
          <a:off x="7264400" y="4887448950"/>
          <a:ext cx="878840" cy="1183640"/>
        </a:xfrm>
        <a:prstGeom prst="rect">
          <a:avLst/>
        </a:prstGeom>
      </xdr:spPr>
    </xdr:pic>
    <xdr:clientData/>
  </xdr:twoCellAnchor>
  <xdr:twoCellAnchor>
    <xdr:from>
      <xdr:col>8</xdr:col>
      <xdr:colOff>6350</xdr:colOff>
      <xdr:row>4910</xdr:row>
      <xdr:rowOff>25400</xdr:rowOff>
    </xdr:from>
    <xdr:to>
      <xdr:col>8</xdr:col>
      <xdr:colOff>1189990</xdr:colOff>
      <xdr:row>4910</xdr:row>
      <xdr:rowOff>904240</xdr:rowOff>
    </xdr:to>
    <xdr:pic>
      <xdr:nvPicPr>
        <xdr:cNvPr id="8073" name="Изображение 8072" descr="resizeПП-00227370"/>
        <xdr:cNvPicPr>
          <a:picLocks noChangeAspect="1"/>
        </xdr:cNvPicPr>
      </xdr:nvPicPr>
      <xdr:blipFill>
        <a:blip xmlns:r="http://schemas.openxmlformats.org/officeDocument/2006/relationships" r:embed="rId3750"/>
        <a:stretch>
          <a:fillRect/>
        </a:stretch>
      </xdr:blipFill>
      <xdr:spPr>
        <a:xfrm>
          <a:off x="7264400" y="4888671325"/>
          <a:ext cx="1183640" cy="878840"/>
        </a:xfrm>
        <a:prstGeom prst="rect">
          <a:avLst/>
        </a:prstGeom>
      </xdr:spPr>
    </xdr:pic>
    <xdr:clientData/>
  </xdr:twoCellAnchor>
  <xdr:twoCellAnchor>
    <xdr:from>
      <xdr:col>8</xdr:col>
      <xdr:colOff>6350</xdr:colOff>
      <xdr:row>4911</xdr:row>
      <xdr:rowOff>25400</xdr:rowOff>
    </xdr:from>
    <xdr:to>
      <xdr:col>8</xdr:col>
      <xdr:colOff>885190</xdr:colOff>
      <xdr:row>4911</xdr:row>
      <xdr:rowOff>1209040</xdr:rowOff>
    </xdr:to>
    <xdr:pic>
      <xdr:nvPicPr>
        <xdr:cNvPr id="8074" name="Изображение 8073" descr="resizeПП-00282354"/>
        <xdr:cNvPicPr>
          <a:picLocks noChangeAspect="1"/>
        </xdr:cNvPicPr>
      </xdr:nvPicPr>
      <xdr:blipFill>
        <a:blip xmlns:r="http://schemas.openxmlformats.org/officeDocument/2006/relationships" r:embed="rId3751"/>
        <a:stretch>
          <a:fillRect/>
        </a:stretch>
      </xdr:blipFill>
      <xdr:spPr>
        <a:xfrm>
          <a:off x="7264400" y="4889893700"/>
          <a:ext cx="878840" cy="1183640"/>
        </a:xfrm>
        <a:prstGeom prst="rect">
          <a:avLst/>
        </a:prstGeom>
      </xdr:spPr>
    </xdr:pic>
    <xdr:clientData/>
  </xdr:twoCellAnchor>
  <xdr:twoCellAnchor>
    <xdr:from>
      <xdr:col>8</xdr:col>
      <xdr:colOff>6350</xdr:colOff>
      <xdr:row>4912</xdr:row>
      <xdr:rowOff>25400</xdr:rowOff>
    </xdr:from>
    <xdr:to>
      <xdr:col>8</xdr:col>
      <xdr:colOff>1189990</xdr:colOff>
      <xdr:row>4912</xdr:row>
      <xdr:rowOff>904240</xdr:rowOff>
    </xdr:to>
    <xdr:pic>
      <xdr:nvPicPr>
        <xdr:cNvPr id="8075" name="Изображение 8074" descr="resizeПП-00227371"/>
        <xdr:cNvPicPr>
          <a:picLocks noChangeAspect="1"/>
        </xdr:cNvPicPr>
      </xdr:nvPicPr>
      <xdr:blipFill>
        <a:blip xmlns:r="http://schemas.openxmlformats.org/officeDocument/2006/relationships" r:embed="rId3752"/>
        <a:stretch>
          <a:fillRect/>
        </a:stretch>
      </xdr:blipFill>
      <xdr:spPr>
        <a:xfrm>
          <a:off x="7264400" y="4891116075"/>
          <a:ext cx="1183640" cy="878840"/>
        </a:xfrm>
        <a:prstGeom prst="rect">
          <a:avLst/>
        </a:prstGeom>
      </xdr:spPr>
    </xdr:pic>
    <xdr:clientData/>
  </xdr:twoCellAnchor>
  <xdr:twoCellAnchor>
    <xdr:from>
      <xdr:col>8</xdr:col>
      <xdr:colOff>6350</xdr:colOff>
      <xdr:row>4913</xdr:row>
      <xdr:rowOff>25400</xdr:rowOff>
    </xdr:from>
    <xdr:to>
      <xdr:col>8</xdr:col>
      <xdr:colOff>885190</xdr:colOff>
      <xdr:row>4913</xdr:row>
      <xdr:rowOff>1209040</xdr:rowOff>
    </xdr:to>
    <xdr:pic>
      <xdr:nvPicPr>
        <xdr:cNvPr id="8076" name="Изображение 8075" descr="resizeПП-00282367"/>
        <xdr:cNvPicPr>
          <a:picLocks noChangeAspect="1"/>
        </xdr:cNvPicPr>
      </xdr:nvPicPr>
      <xdr:blipFill>
        <a:blip xmlns:r="http://schemas.openxmlformats.org/officeDocument/2006/relationships" r:embed="rId3753"/>
        <a:stretch>
          <a:fillRect/>
        </a:stretch>
      </xdr:blipFill>
      <xdr:spPr>
        <a:xfrm>
          <a:off x="7264400" y="4892338450"/>
          <a:ext cx="878840" cy="1183640"/>
        </a:xfrm>
        <a:prstGeom prst="rect">
          <a:avLst/>
        </a:prstGeom>
      </xdr:spPr>
    </xdr:pic>
    <xdr:clientData/>
  </xdr:twoCellAnchor>
  <xdr:twoCellAnchor>
    <xdr:from>
      <xdr:col>8</xdr:col>
      <xdr:colOff>6350</xdr:colOff>
      <xdr:row>4914</xdr:row>
      <xdr:rowOff>25400</xdr:rowOff>
    </xdr:from>
    <xdr:to>
      <xdr:col>8</xdr:col>
      <xdr:colOff>885190</xdr:colOff>
      <xdr:row>4914</xdr:row>
      <xdr:rowOff>1209040</xdr:rowOff>
    </xdr:to>
    <xdr:pic>
      <xdr:nvPicPr>
        <xdr:cNvPr id="8077" name="Изображение 8076" descr="resizeПП-00282365"/>
        <xdr:cNvPicPr>
          <a:picLocks noChangeAspect="1"/>
        </xdr:cNvPicPr>
      </xdr:nvPicPr>
      <xdr:blipFill>
        <a:blip xmlns:r="http://schemas.openxmlformats.org/officeDocument/2006/relationships" r:embed="rId3754"/>
        <a:stretch>
          <a:fillRect/>
        </a:stretch>
      </xdr:blipFill>
      <xdr:spPr>
        <a:xfrm>
          <a:off x="7264400" y="4893560825"/>
          <a:ext cx="878840" cy="1183640"/>
        </a:xfrm>
        <a:prstGeom prst="rect">
          <a:avLst/>
        </a:prstGeom>
      </xdr:spPr>
    </xdr:pic>
    <xdr:clientData/>
  </xdr:twoCellAnchor>
  <xdr:twoCellAnchor>
    <xdr:from>
      <xdr:col>8</xdr:col>
      <xdr:colOff>6350</xdr:colOff>
      <xdr:row>4915</xdr:row>
      <xdr:rowOff>25400</xdr:rowOff>
    </xdr:from>
    <xdr:to>
      <xdr:col>8</xdr:col>
      <xdr:colOff>885190</xdr:colOff>
      <xdr:row>4915</xdr:row>
      <xdr:rowOff>1209040</xdr:rowOff>
    </xdr:to>
    <xdr:pic>
      <xdr:nvPicPr>
        <xdr:cNvPr id="8078" name="Изображение 8077" descr="resizeПП-00272880"/>
        <xdr:cNvPicPr>
          <a:picLocks noChangeAspect="1"/>
        </xdr:cNvPicPr>
      </xdr:nvPicPr>
      <xdr:blipFill>
        <a:blip xmlns:r="http://schemas.openxmlformats.org/officeDocument/2006/relationships" r:embed="rId3755"/>
        <a:stretch>
          <a:fillRect/>
        </a:stretch>
      </xdr:blipFill>
      <xdr:spPr>
        <a:xfrm>
          <a:off x="7264400" y="4894783200"/>
          <a:ext cx="878840" cy="1183640"/>
        </a:xfrm>
        <a:prstGeom prst="rect">
          <a:avLst/>
        </a:prstGeom>
      </xdr:spPr>
    </xdr:pic>
    <xdr:clientData/>
  </xdr:twoCellAnchor>
  <xdr:twoCellAnchor>
    <xdr:from>
      <xdr:col>8</xdr:col>
      <xdr:colOff>6350</xdr:colOff>
      <xdr:row>4916</xdr:row>
      <xdr:rowOff>25400</xdr:rowOff>
    </xdr:from>
    <xdr:to>
      <xdr:col>8</xdr:col>
      <xdr:colOff>885190</xdr:colOff>
      <xdr:row>4916</xdr:row>
      <xdr:rowOff>1209040</xdr:rowOff>
    </xdr:to>
    <xdr:pic>
      <xdr:nvPicPr>
        <xdr:cNvPr id="8079" name="Изображение 8078" descr="resizeПП-00272858"/>
        <xdr:cNvPicPr>
          <a:picLocks noChangeAspect="1"/>
        </xdr:cNvPicPr>
      </xdr:nvPicPr>
      <xdr:blipFill>
        <a:blip xmlns:r="http://schemas.openxmlformats.org/officeDocument/2006/relationships" r:embed="rId3756"/>
        <a:stretch>
          <a:fillRect/>
        </a:stretch>
      </xdr:blipFill>
      <xdr:spPr>
        <a:xfrm>
          <a:off x="7264400" y="4896005575"/>
          <a:ext cx="878840" cy="1183640"/>
        </a:xfrm>
        <a:prstGeom prst="rect">
          <a:avLst/>
        </a:prstGeom>
      </xdr:spPr>
    </xdr:pic>
    <xdr:clientData/>
  </xdr:twoCellAnchor>
  <xdr:twoCellAnchor>
    <xdr:from>
      <xdr:col>8</xdr:col>
      <xdr:colOff>6350</xdr:colOff>
      <xdr:row>4917</xdr:row>
      <xdr:rowOff>25400</xdr:rowOff>
    </xdr:from>
    <xdr:to>
      <xdr:col>8</xdr:col>
      <xdr:colOff>885190</xdr:colOff>
      <xdr:row>4917</xdr:row>
      <xdr:rowOff>1209040</xdr:rowOff>
    </xdr:to>
    <xdr:pic>
      <xdr:nvPicPr>
        <xdr:cNvPr id="8080" name="Изображение 8079" descr="resizeПП-00282357"/>
        <xdr:cNvPicPr>
          <a:picLocks noChangeAspect="1"/>
        </xdr:cNvPicPr>
      </xdr:nvPicPr>
      <xdr:blipFill>
        <a:blip xmlns:r="http://schemas.openxmlformats.org/officeDocument/2006/relationships" r:embed="rId3757"/>
        <a:stretch>
          <a:fillRect/>
        </a:stretch>
      </xdr:blipFill>
      <xdr:spPr>
        <a:xfrm>
          <a:off x="7264400" y="4897227950"/>
          <a:ext cx="878840" cy="1183640"/>
        </a:xfrm>
        <a:prstGeom prst="rect">
          <a:avLst/>
        </a:prstGeom>
      </xdr:spPr>
    </xdr:pic>
    <xdr:clientData/>
  </xdr:twoCellAnchor>
  <xdr:twoCellAnchor>
    <xdr:from>
      <xdr:col>8</xdr:col>
      <xdr:colOff>6350</xdr:colOff>
      <xdr:row>4918</xdr:row>
      <xdr:rowOff>25400</xdr:rowOff>
    </xdr:from>
    <xdr:to>
      <xdr:col>8</xdr:col>
      <xdr:colOff>1189990</xdr:colOff>
      <xdr:row>4918</xdr:row>
      <xdr:rowOff>904240</xdr:rowOff>
    </xdr:to>
    <xdr:pic>
      <xdr:nvPicPr>
        <xdr:cNvPr id="8081" name="Изображение 8080" descr="resizeПП-00247898"/>
        <xdr:cNvPicPr>
          <a:picLocks noChangeAspect="1"/>
        </xdr:cNvPicPr>
      </xdr:nvPicPr>
      <xdr:blipFill>
        <a:blip xmlns:r="http://schemas.openxmlformats.org/officeDocument/2006/relationships" r:embed="rId3758"/>
        <a:stretch>
          <a:fillRect/>
        </a:stretch>
      </xdr:blipFill>
      <xdr:spPr>
        <a:xfrm>
          <a:off x="7264400" y="4898450325"/>
          <a:ext cx="1183640" cy="878840"/>
        </a:xfrm>
        <a:prstGeom prst="rect">
          <a:avLst/>
        </a:prstGeom>
      </xdr:spPr>
    </xdr:pic>
    <xdr:clientData/>
  </xdr:twoCellAnchor>
  <xdr:twoCellAnchor>
    <xdr:from>
      <xdr:col>8</xdr:col>
      <xdr:colOff>6350</xdr:colOff>
      <xdr:row>4919</xdr:row>
      <xdr:rowOff>25400</xdr:rowOff>
    </xdr:from>
    <xdr:to>
      <xdr:col>8</xdr:col>
      <xdr:colOff>885190</xdr:colOff>
      <xdr:row>4919</xdr:row>
      <xdr:rowOff>1209040</xdr:rowOff>
    </xdr:to>
    <xdr:pic>
      <xdr:nvPicPr>
        <xdr:cNvPr id="8082" name="Изображение 8081" descr="resizeПП-00238201"/>
        <xdr:cNvPicPr>
          <a:picLocks noChangeAspect="1"/>
        </xdr:cNvPicPr>
      </xdr:nvPicPr>
      <xdr:blipFill>
        <a:blip xmlns:r="http://schemas.openxmlformats.org/officeDocument/2006/relationships" r:embed="rId3759"/>
        <a:stretch>
          <a:fillRect/>
        </a:stretch>
      </xdr:blipFill>
      <xdr:spPr>
        <a:xfrm>
          <a:off x="7264400" y="4899672700"/>
          <a:ext cx="878840" cy="1183640"/>
        </a:xfrm>
        <a:prstGeom prst="rect">
          <a:avLst/>
        </a:prstGeom>
      </xdr:spPr>
    </xdr:pic>
    <xdr:clientData/>
  </xdr:twoCellAnchor>
  <xdr:twoCellAnchor>
    <xdr:from>
      <xdr:col>8</xdr:col>
      <xdr:colOff>6350</xdr:colOff>
      <xdr:row>4920</xdr:row>
      <xdr:rowOff>25400</xdr:rowOff>
    </xdr:from>
    <xdr:to>
      <xdr:col>8</xdr:col>
      <xdr:colOff>885190</xdr:colOff>
      <xdr:row>4920</xdr:row>
      <xdr:rowOff>1209040</xdr:rowOff>
    </xdr:to>
    <xdr:pic>
      <xdr:nvPicPr>
        <xdr:cNvPr id="8083" name="Изображение 8082" descr="resizeПП-00282364"/>
        <xdr:cNvPicPr>
          <a:picLocks noChangeAspect="1"/>
        </xdr:cNvPicPr>
      </xdr:nvPicPr>
      <xdr:blipFill>
        <a:blip xmlns:r="http://schemas.openxmlformats.org/officeDocument/2006/relationships" r:embed="rId3760"/>
        <a:stretch>
          <a:fillRect/>
        </a:stretch>
      </xdr:blipFill>
      <xdr:spPr>
        <a:xfrm>
          <a:off x="7264400" y="4900895075"/>
          <a:ext cx="878840" cy="1183640"/>
        </a:xfrm>
        <a:prstGeom prst="rect">
          <a:avLst/>
        </a:prstGeom>
      </xdr:spPr>
    </xdr:pic>
    <xdr:clientData/>
  </xdr:twoCellAnchor>
  <xdr:twoCellAnchor>
    <xdr:from>
      <xdr:col>8</xdr:col>
      <xdr:colOff>6350</xdr:colOff>
      <xdr:row>4921</xdr:row>
      <xdr:rowOff>25400</xdr:rowOff>
    </xdr:from>
    <xdr:to>
      <xdr:col>8</xdr:col>
      <xdr:colOff>885190</xdr:colOff>
      <xdr:row>4921</xdr:row>
      <xdr:rowOff>1209040</xdr:rowOff>
    </xdr:to>
    <xdr:pic>
      <xdr:nvPicPr>
        <xdr:cNvPr id="8084" name="Изображение 8083" descr="resizeПП-00282356"/>
        <xdr:cNvPicPr>
          <a:picLocks noChangeAspect="1"/>
        </xdr:cNvPicPr>
      </xdr:nvPicPr>
      <xdr:blipFill>
        <a:blip xmlns:r="http://schemas.openxmlformats.org/officeDocument/2006/relationships" r:embed="rId3761"/>
        <a:stretch>
          <a:fillRect/>
        </a:stretch>
      </xdr:blipFill>
      <xdr:spPr>
        <a:xfrm>
          <a:off x="7264400" y="4902117450"/>
          <a:ext cx="878840" cy="1183640"/>
        </a:xfrm>
        <a:prstGeom prst="rect">
          <a:avLst/>
        </a:prstGeom>
      </xdr:spPr>
    </xdr:pic>
    <xdr:clientData/>
  </xdr:twoCellAnchor>
  <xdr:twoCellAnchor>
    <xdr:from>
      <xdr:col>8</xdr:col>
      <xdr:colOff>6350</xdr:colOff>
      <xdr:row>4922</xdr:row>
      <xdr:rowOff>25400</xdr:rowOff>
    </xdr:from>
    <xdr:to>
      <xdr:col>8</xdr:col>
      <xdr:colOff>1189990</xdr:colOff>
      <xdr:row>4922</xdr:row>
      <xdr:rowOff>904240</xdr:rowOff>
    </xdr:to>
    <xdr:pic>
      <xdr:nvPicPr>
        <xdr:cNvPr id="8085" name="Изображение 8084" descr="resizeПП-00220463"/>
        <xdr:cNvPicPr>
          <a:picLocks noChangeAspect="1"/>
        </xdr:cNvPicPr>
      </xdr:nvPicPr>
      <xdr:blipFill>
        <a:blip xmlns:r="http://schemas.openxmlformats.org/officeDocument/2006/relationships" r:embed="rId3762"/>
        <a:stretch>
          <a:fillRect/>
        </a:stretch>
      </xdr:blipFill>
      <xdr:spPr>
        <a:xfrm>
          <a:off x="7264400" y="4903339825"/>
          <a:ext cx="1183640" cy="878840"/>
        </a:xfrm>
        <a:prstGeom prst="rect">
          <a:avLst/>
        </a:prstGeom>
      </xdr:spPr>
    </xdr:pic>
    <xdr:clientData/>
  </xdr:twoCellAnchor>
  <xdr:twoCellAnchor>
    <xdr:from>
      <xdr:col>8</xdr:col>
      <xdr:colOff>6350</xdr:colOff>
      <xdr:row>4923</xdr:row>
      <xdr:rowOff>25400</xdr:rowOff>
    </xdr:from>
    <xdr:to>
      <xdr:col>8</xdr:col>
      <xdr:colOff>885190</xdr:colOff>
      <xdr:row>4923</xdr:row>
      <xdr:rowOff>1209040</xdr:rowOff>
    </xdr:to>
    <xdr:pic>
      <xdr:nvPicPr>
        <xdr:cNvPr id="8086" name="Изображение 8085" descr="resizeПП-00282361"/>
        <xdr:cNvPicPr>
          <a:picLocks noChangeAspect="1"/>
        </xdr:cNvPicPr>
      </xdr:nvPicPr>
      <xdr:blipFill>
        <a:blip xmlns:r="http://schemas.openxmlformats.org/officeDocument/2006/relationships" r:embed="rId3763"/>
        <a:stretch>
          <a:fillRect/>
        </a:stretch>
      </xdr:blipFill>
      <xdr:spPr>
        <a:xfrm>
          <a:off x="7264400" y="4904562200"/>
          <a:ext cx="878840" cy="1183640"/>
        </a:xfrm>
        <a:prstGeom prst="rect">
          <a:avLst/>
        </a:prstGeom>
      </xdr:spPr>
    </xdr:pic>
    <xdr:clientData/>
  </xdr:twoCellAnchor>
  <xdr:twoCellAnchor>
    <xdr:from>
      <xdr:col>8</xdr:col>
      <xdr:colOff>6350</xdr:colOff>
      <xdr:row>4924</xdr:row>
      <xdr:rowOff>25400</xdr:rowOff>
    </xdr:from>
    <xdr:to>
      <xdr:col>8</xdr:col>
      <xdr:colOff>1189990</xdr:colOff>
      <xdr:row>4924</xdr:row>
      <xdr:rowOff>904240</xdr:rowOff>
    </xdr:to>
    <xdr:pic>
      <xdr:nvPicPr>
        <xdr:cNvPr id="8087" name="Изображение 8086" descr="resizeПП-00247951"/>
        <xdr:cNvPicPr>
          <a:picLocks noChangeAspect="1"/>
        </xdr:cNvPicPr>
      </xdr:nvPicPr>
      <xdr:blipFill>
        <a:blip xmlns:r="http://schemas.openxmlformats.org/officeDocument/2006/relationships" r:embed="rId3764"/>
        <a:stretch>
          <a:fillRect/>
        </a:stretch>
      </xdr:blipFill>
      <xdr:spPr>
        <a:xfrm>
          <a:off x="7264400" y="4905784575"/>
          <a:ext cx="1183640" cy="878840"/>
        </a:xfrm>
        <a:prstGeom prst="rect">
          <a:avLst/>
        </a:prstGeom>
      </xdr:spPr>
    </xdr:pic>
    <xdr:clientData/>
  </xdr:twoCellAnchor>
  <xdr:twoCellAnchor>
    <xdr:from>
      <xdr:col>8</xdr:col>
      <xdr:colOff>6350</xdr:colOff>
      <xdr:row>4925</xdr:row>
      <xdr:rowOff>25400</xdr:rowOff>
    </xdr:from>
    <xdr:to>
      <xdr:col>8</xdr:col>
      <xdr:colOff>1189990</xdr:colOff>
      <xdr:row>4925</xdr:row>
      <xdr:rowOff>904240</xdr:rowOff>
    </xdr:to>
    <xdr:pic>
      <xdr:nvPicPr>
        <xdr:cNvPr id="8088" name="Изображение 8087" descr="resizeПП-00270142"/>
        <xdr:cNvPicPr>
          <a:picLocks noChangeAspect="1"/>
        </xdr:cNvPicPr>
      </xdr:nvPicPr>
      <xdr:blipFill>
        <a:blip xmlns:r="http://schemas.openxmlformats.org/officeDocument/2006/relationships" r:embed="rId3765"/>
        <a:stretch>
          <a:fillRect/>
        </a:stretch>
      </xdr:blipFill>
      <xdr:spPr>
        <a:xfrm>
          <a:off x="7264400" y="4907006950"/>
          <a:ext cx="1183640" cy="878840"/>
        </a:xfrm>
        <a:prstGeom prst="rect">
          <a:avLst/>
        </a:prstGeom>
      </xdr:spPr>
    </xdr:pic>
    <xdr:clientData/>
  </xdr:twoCellAnchor>
  <xdr:twoCellAnchor>
    <xdr:from>
      <xdr:col>8</xdr:col>
      <xdr:colOff>6350</xdr:colOff>
      <xdr:row>4926</xdr:row>
      <xdr:rowOff>25400</xdr:rowOff>
    </xdr:from>
    <xdr:to>
      <xdr:col>8</xdr:col>
      <xdr:colOff>885190</xdr:colOff>
      <xdr:row>4926</xdr:row>
      <xdr:rowOff>1209040</xdr:rowOff>
    </xdr:to>
    <xdr:pic>
      <xdr:nvPicPr>
        <xdr:cNvPr id="8089" name="Изображение 8088" descr="resizeПП-00270137"/>
        <xdr:cNvPicPr>
          <a:picLocks noChangeAspect="1"/>
        </xdr:cNvPicPr>
      </xdr:nvPicPr>
      <xdr:blipFill>
        <a:blip xmlns:r="http://schemas.openxmlformats.org/officeDocument/2006/relationships" r:embed="rId3766"/>
        <a:stretch>
          <a:fillRect/>
        </a:stretch>
      </xdr:blipFill>
      <xdr:spPr>
        <a:xfrm>
          <a:off x="7264400" y="4908229325"/>
          <a:ext cx="878840" cy="1183640"/>
        </a:xfrm>
        <a:prstGeom prst="rect">
          <a:avLst/>
        </a:prstGeom>
      </xdr:spPr>
    </xdr:pic>
    <xdr:clientData/>
  </xdr:twoCellAnchor>
  <xdr:twoCellAnchor>
    <xdr:from>
      <xdr:col>8</xdr:col>
      <xdr:colOff>6350</xdr:colOff>
      <xdr:row>4927</xdr:row>
      <xdr:rowOff>25400</xdr:rowOff>
    </xdr:from>
    <xdr:to>
      <xdr:col>8</xdr:col>
      <xdr:colOff>1189990</xdr:colOff>
      <xdr:row>4927</xdr:row>
      <xdr:rowOff>904240</xdr:rowOff>
    </xdr:to>
    <xdr:pic>
      <xdr:nvPicPr>
        <xdr:cNvPr id="8090" name="Изображение 8089" descr="resizeПП-00270140"/>
        <xdr:cNvPicPr>
          <a:picLocks noChangeAspect="1"/>
        </xdr:cNvPicPr>
      </xdr:nvPicPr>
      <xdr:blipFill>
        <a:blip xmlns:r="http://schemas.openxmlformats.org/officeDocument/2006/relationships" r:embed="rId3767"/>
        <a:stretch>
          <a:fillRect/>
        </a:stretch>
      </xdr:blipFill>
      <xdr:spPr>
        <a:xfrm>
          <a:off x="7264400" y="4909451700"/>
          <a:ext cx="1183640" cy="878840"/>
        </a:xfrm>
        <a:prstGeom prst="rect">
          <a:avLst/>
        </a:prstGeom>
      </xdr:spPr>
    </xdr:pic>
    <xdr:clientData/>
  </xdr:twoCellAnchor>
  <xdr:twoCellAnchor>
    <xdr:from>
      <xdr:col>8</xdr:col>
      <xdr:colOff>6350</xdr:colOff>
      <xdr:row>4928</xdr:row>
      <xdr:rowOff>25400</xdr:rowOff>
    </xdr:from>
    <xdr:to>
      <xdr:col>8</xdr:col>
      <xdr:colOff>1189990</xdr:colOff>
      <xdr:row>4928</xdr:row>
      <xdr:rowOff>904240</xdr:rowOff>
    </xdr:to>
    <xdr:pic>
      <xdr:nvPicPr>
        <xdr:cNvPr id="8091" name="Изображение 8090" descr="resizeПП-00270145"/>
        <xdr:cNvPicPr>
          <a:picLocks noChangeAspect="1"/>
        </xdr:cNvPicPr>
      </xdr:nvPicPr>
      <xdr:blipFill>
        <a:blip xmlns:r="http://schemas.openxmlformats.org/officeDocument/2006/relationships" r:embed="rId3768"/>
        <a:stretch>
          <a:fillRect/>
        </a:stretch>
      </xdr:blipFill>
      <xdr:spPr>
        <a:xfrm>
          <a:off x="7264400" y="4910674075"/>
          <a:ext cx="1183640" cy="878840"/>
        </a:xfrm>
        <a:prstGeom prst="rect">
          <a:avLst/>
        </a:prstGeom>
      </xdr:spPr>
    </xdr:pic>
    <xdr:clientData/>
  </xdr:twoCellAnchor>
  <xdr:twoCellAnchor>
    <xdr:from>
      <xdr:col>8</xdr:col>
      <xdr:colOff>6350</xdr:colOff>
      <xdr:row>4929</xdr:row>
      <xdr:rowOff>25400</xdr:rowOff>
    </xdr:from>
    <xdr:to>
      <xdr:col>8</xdr:col>
      <xdr:colOff>885190</xdr:colOff>
      <xdr:row>4929</xdr:row>
      <xdr:rowOff>1209040</xdr:rowOff>
    </xdr:to>
    <xdr:pic>
      <xdr:nvPicPr>
        <xdr:cNvPr id="8092" name="Изображение 8091" descr="resizeПП-00270143"/>
        <xdr:cNvPicPr>
          <a:picLocks noChangeAspect="1"/>
        </xdr:cNvPicPr>
      </xdr:nvPicPr>
      <xdr:blipFill>
        <a:blip xmlns:r="http://schemas.openxmlformats.org/officeDocument/2006/relationships" r:embed="rId3769"/>
        <a:stretch>
          <a:fillRect/>
        </a:stretch>
      </xdr:blipFill>
      <xdr:spPr>
        <a:xfrm>
          <a:off x="7264400" y="4911896450"/>
          <a:ext cx="878840" cy="1183640"/>
        </a:xfrm>
        <a:prstGeom prst="rect">
          <a:avLst/>
        </a:prstGeom>
      </xdr:spPr>
    </xdr:pic>
    <xdr:clientData/>
  </xdr:twoCellAnchor>
  <xdr:twoCellAnchor>
    <xdr:from>
      <xdr:col>8</xdr:col>
      <xdr:colOff>6350</xdr:colOff>
      <xdr:row>4930</xdr:row>
      <xdr:rowOff>25400</xdr:rowOff>
    </xdr:from>
    <xdr:to>
      <xdr:col>8</xdr:col>
      <xdr:colOff>1189990</xdr:colOff>
      <xdr:row>4930</xdr:row>
      <xdr:rowOff>904240</xdr:rowOff>
    </xdr:to>
    <xdr:pic>
      <xdr:nvPicPr>
        <xdr:cNvPr id="8093" name="Изображение 8092" descr="resizeПП-00270144"/>
        <xdr:cNvPicPr>
          <a:picLocks noChangeAspect="1"/>
        </xdr:cNvPicPr>
      </xdr:nvPicPr>
      <xdr:blipFill>
        <a:blip xmlns:r="http://schemas.openxmlformats.org/officeDocument/2006/relationships" r:embed="rId3770"/>
        <a:stretch>
          <a:fillRect/>
        </a:stretch>
      </xdr:blipFill>
      <xdr:spPr>
        <a:xfrm>
          <a:off x="7264400" y="4913118825"/>
          <a:ext cx="1183640" cy="878840"/>
        </a:xfrm>
        <a:prstGeom prst="rect">
          <a:avLst/>
        </a:prstGeom>
      </xdr:spPr>
    </xdr:pic>
    <xdr:clientData/>
  </xdr:twoCellAnchor>
  <xdr:twoCellAnchor>
    <xdr:from>
      <xdr:col>8</xdr:col>
      <xdr:colOff>6350</xdr:colOff>
      <xdr:row>4931</xdr:row>
      <xdr:rowOff>25400</xdr:rowOff>
    </xdr:from>
    <xdr:to>
      <xdr:col>8</xdr:col>
      <xdr:colOff>885190</xdr:colOff>
      <xdr:row>4931</xdr:row>
      <xdr:rowOff>1209040</xdr:rowOff>
    </xdr:to>
    <xdr:pic>
      <xdr:nvPicPr>
        <xdr:cNvPr id="8094" name="Изображение 8093" descr="resizeПП-00270141"/>
        <xdr:cNvPicPr>
          <a:picLocks noChangeAspect="1"/>
        </xdr:cNvPicPr>
      </xdr:nvPicPr>
      <xdr:blipFill>
        <a:blip xmlns:r="http://schemas.openxmlformats.org/officeDocument/2006/relationships" r:embed="rId3771"/>
        <a:stretch>
          <a:fillRect/>
        </a:stretch>
      </xdr:blipFill>
      <xdr:spPr>
        <a:xfrm>
          <a:off x="7264400" y="4914341200"/>
          <a:ext cx="878840" cy="1183640"/>
        </a:xfrm>
        <a:prstGeom prst="rect">
          <a:avLst/>
        </a:prstGeom>
      </xdr:spPr>
    </xdr:pic>
    <xdr:clientData/>
  </xdr:twoCellAnchor>
  <xdr:twoCellAnchor>
    <xdr:from>
      <xdr:col>8</xdr:col>
      <xdr:colOff>6350</xdr:colOff>
      <xdr:row>4932</xdr:row>
      <xdr:rowOff>25400</xdr:rowOff>
    </xdr:from>
    <xdr:to>
      <xdr:col>8</xdr:col>
      <xdr:colOff>1189990</xdr:colOff>
      <xdr:row>4932</xdr:row>
      <xdr:rowOff>904240</xdr:rowOff>
    </xdr:to>
    <xdr:pic>
      <xdr:nvPicPr>
        <xdr:cNvPr id="8095" name="Изображение 8094" descr="resizeПП-00270138"/>
        <xdr:cNvPicPr>
          <a:picLocks noChangeAspect="1"/>
        </xdr:cNvPicPr>
      </xdr:nvPicPr>
      <xdr:blipFill>
        <a:blip xmlns:r="http://schemas.openxmlformats.org/officeDocument/2006/relationships" r:embed="rId3772"/>
        <a:stretch>
          <a:fillRect/>
        </a:stretch>
      </xdr:blipFill>
      <xdr:spPr>
        <a:xfrm>
          <a:off x="7264400" y="4915563575"/>
          <a:ext cx="1183640" cy="878840"/>
        </a:xfrm>
        <a:prstGeom prst="rect">
          <a:avLst/>
        </a:prstGeom>
      </xdr:spPr>
    </xdr:pic>
    <xdr:clientData/>
  </xdr:twoCellAnchor>
  <xdr:twoCellAnchor>
    <xdr:from>
      <xdr:col>8</xdr:col>
      <xdr:colOff>6350</xdr:colOff>
      <xdr:row>4934</xdr:row>
      <xdr:rowOff>25400</xdr:rowOff>
    </xdr:from>
    <xdr:to>
      <xdr:col>8</xdr:col>
      <xdr:colOff>885190</xdr:colOff>
      <xdr:row>4934</xdr:row>
      <xdr:rowOff>1209040</xdr:rowOff>
    </xdr:to>
    <xdr:pic>
      <xdr:nvPicPr>
        <xdr:cNvPr id="8096" name="Изображение 8095" descr="resizeПП-00270160"/>
        <xdr:cNvPicPr>
          <a:picLocks noChangeAspect="1"/>
        </xdr:cNvPicPr>
      </xdr:nvPicPr>
      <xdr:blipFill>
        <a:blip xmlns:r="http://schemas.openxmlformats.org/officeDocument/2006/relationships" r:embed="rId3773"/>
        <a:stretch>
          <a:fillRect/>
        </a:stretch>
      </xdr:blipFill>
      <xdr:spPr>
        <a:xfrm>
          <a:off x="7264400" y="4916938350"/>
          <a:ext cx="878840" cy="1183640"/>
        </a:xfrm>
        <a:prstGeom prst="rect">
          <a:avLst/>
        </a:prstGeom>
      </xdr:spPr>
    </xdr:pic>
    <xdr:clientData/>
  </xdr:twoCellAnchor>
  <xdr:twoCellAnchor>
    <xdr:from>
      <xdr:col>8</xdr:col>
      <xdr:colOff>6350</xdr:colOff>
      <xdr:row>4935</xdr:row>
      <xdr:rowOff>25400</xdr:rowOff>
    </xdr:from>
    <xdr:to>
      <xdr:col>8</xdr:col>
      <xdr:colOff>885190</xdr:colOff>
      <xdr:row>4935</xdr:row>
      <xdr:rowOff>1209040</xdr:rowOff>
    </xdr:to>
    <xdr:pic>
      <xdr:nvPicPr>
        <xdr:cNvPr id="8097" name="Изображение 8096" descr="resizeПП-00270159"/>
        <xdr:cNvPicPr>
          <a:picLocks noChangeAspect="1"/>
        </xdr:cNvPicPr>
      </xdr:nvPicPr>
      <xdr:blipFill>
        <a:blip xmlns:r="http://schemas.openxmlformats.org/officeDocument/2006/relationships" r:embed="rId3774"/>
        <a:stretch>
          <a:fillRect/>
        </a:stretch>
      </xdr:blipFill>
      <xdr:spPr>
        <a:xfrm>
          <a:off x="7264400" y="4918160725"/>
          <a:ext cx="878840" cy="1183640"/>
        </a:xfrm>
        <a:prstGeom prst="rect">
          <a:avLst/>
        </a:prstGeom>
      </xdr:spPr>
    </xdr:pic>
    <xdr:clientData/>
  </xdr:twoCellAnchor>
  <xdr:twoCellAnchor>
    <xdr:from>
      <xdr:col>8</xdr:col>
      <xdr:colOff>6350</xdr:colOff>
      <xdr:row>4936</xdr:row>
      <xdr:rowOff>25400</xdr:rowOff>
    </xdr:from>
    <xdr:to>
      <xdr:col>8</xdr:col>
      <xdr:colOff>1189990</xdr:colOff>
      <xdr:row>4936</xdr:row>
      <xdr:rowOff>904240</xdr:rowOff>
    </xdr:to>
    <xdr:pic>
      <xdr:nvPicPr>
        <xdr:cNvPr id="8098" name="Изображение 8097" descr="resizeПП-00270158"/>
        <xdr:cNvPicPr>
          <a:picLocks noChangeAspect="1"/>
        </xdr:cNvPicPr>
      </xdr:nvPicPr>
      <xdr:blipFill>
        <a:blip xmlns:r="http://schemas.openxmlformats.org/officeDocument/2006/relationships" r:embed="rId3775"/>
        <a:stretch>
          <a:fillRect/>
        </a:stretch>
      </xdr:blipFill>
      <xdr:spPr>
        <a:xfrm>
          <a:off x="7264400" y="4919383100"/>
          <a:ext cx="1183640" cy="878840"/>
        </a:xfrm>
        <a:prstGeom prst="rect">
          <a:avLst/>
        </a:prstGeom>
      </xdr:spPr>
    </xdr:pic>
    <xdr:clientData/>
  </xdr:twoCellAnchor>
  <xdr:twoCellAnchor>
    <xdr:from>
      <xdr:col>8</xdr:col>
      <xdr:colOff>6350</xdr:colOff>
      <xdr:row>4937</xdr:row>
      <xdr:rowOff>25400</xdr:rowOff>
    </xdr:from>
    <xdr:to>
      <xdr:col>8</xdr:col>
      <xdr:colOff>1189990</xdr:colOff>
      <xdr:row>4937</xdr:row>
      <xdr:rowOff>904240</xdr:rowOff>
    </xdr:to>
    <xdr:pic>
      <xdr:nvPicPr>
        <xdr:cNvPr id="8099" name="Изображение 8098" descr="resizeПП-00270156"/>
        <xdr:cNvPicPr>
          <a:picLocks noChangeAspect="1"/>
        </xdr:cNvPicPr>
      </xdr:nvPicPr>
      <xdr:blipFill>
        <a:blip xmlns:r="http://schemas.openxmlformats.org/officeDocument/2006/relationships" r:embed="rId3776"/>
        <a:stretch>
          <a:fillRect/>
        </a:stretch>
      </xdr:blipFill>
      <xdr:spPr>
        <a:xfrm>
          <a:off x="7264400" y="4920605475"/>
          <a:ext cx="1183640" cy="878840"/>
        </a:xfrm>
        <a:prstGeom prst="rect">
          <a:avLst/>
        </a:prstGeom>
      </xdr:spPr>
    </xdr:pic>
    <xdr:clientData/>
  </xdr:twoCellAnchor>
  <xdr:twoCellAnchor>
    <xdr:from>
      <xdr:col>8</xdr:col>
      <xdr:colOff>6350</xdr:colOff>
      <xdr:row>4938</xdr:row>
      <xdr:rowOff>25400</xdr:rowOff>
    </xdr:from>
    <xdr:to>
      <xdr:col>8</xdr:col>
      <xdr:colOff>1189990</xdr:colOff>
      <xdr:row>4938</xdr:row>
      <xdr:rowOff>904240</xdr:rowOff>
    </xdr:to>
    <xdr:pic>
      <xdr:nvPicPr>
        <xdr:cNvPr id="8100" name="Изображение 8099" descr="resizeПП-00270157"/>
        <xdr:cNvPicPr>
          <a:picLocks noChangeAspect="1"/>
        </xdr:cNvPicPr>
      </xdr:nvPicPr>
      <xdr:blipFill>
        <a:blip xmlns:r="http://schemas.openxmlformats.org/officeDocument/2006/relationships" r:embed="rId3777"/>
        <a:stretch>
          <a:fillRect/>
        </a:stretch>
      </xdr:blipFill>
      <xdr:spPr>
        <a:xfrm>
          <a:off x="7264400" y="4921827850"/>
          <a:ext cx="1183640" cy="878840"/>
        </a:xfrm>
        <a:prstGeom prst="rect">
          <a:avLst/>
        </a:prstGeom>
      </xdr:spPr>
    </xdr:pic>
    <xdr:clientData/>
  </xdr:twoCellAnchor>
  <xdr:twoCellAnchor>
    <xdr:from>
      <xdr:col>8</xdr:col>
      <xdr:colOff>6350</xdr:colOff>
      <xdr:row>4939</xdr:row>
      <xdr:rowOff>25400</xdr:rowOff>
    </xdr:from>
    <xdr:to>
      <xdr:col>8</xdr:col>
      <xdr:colOff>885190</xdr:colOff>
      <xdr:row>4939</xdr:row>
      <xdr:rowOff>1209040</xdr:rowOff>
    </xdr:to>
    <xdr:pic>
      <xdr:nvPicPr>
        <xdr:cNvPr id="8101" name="Изображение 8100" descr="resizeПП-00251550"/>
        <xdr:cNvPicPr>
          <a:picLocks noChangeAspect="1"/>
        </xdr:cNvPicPr>
      </xdr:nvPicPr>
      <xdr:blipFill>
        <a:blip xmlns:r="http://schemas.openxmlformats.org/officeDocument/2006/relationships" r:embed="rId3778"/>
        <a:stretch>
          <a:fillRect/>
        </a:stretch>
      </xdr:blipFill>
      <xdr:spPr>
        <a:xfrm>
          <a:off x="7264400" y="4923050225"/>
          <a:ext cx="878840" cy="1183640"/>
        </a:xfrm>
        <a:prstGeom prst="rect">
          <a:avLst/>
        </a:prstGeom>
      </xdr:spPr>
    </xdr:pic>
    <xdr:clientData/>
  </xdr:twoCellAnchor>
  <xdr:twoCellAnchor>
    <xdr:from>
      <xdr:col>8</xdr:col>
      <xdr:colOff>6350</xdr:colOff>
      <xdr:row>4940</xdr:row>
      <xdr:rowOff>25400</xdr:rowOff>
    </xdr:from>
    <xdr:to>
      <xdr:col>8</xdr:col>
      <xdr:colOff>885190</xdr:colOff>
      <xdr:row>4940</xdr:row>
      <xdr:rowOff>1209040</xdr:rowOff>
    </xdr:to>
    <xdr:pic>
      <xdr:nvPicPr>
        <xdr:cNvPr id="8102" name="Изображение 8101" descr="resizeПП-00282373"/>
        <xdr:cNvPicPr>
          <a:picLocks noChangeAspect="1"/>
        </xdr:cNvPicPr>
      </xdr:nvPicPr>
      <xdr:blipFill>
        <a:blip xmlns:r="http://schemas.openxmlformats.org/officeDocument/2006/relationships" r:embed="rId3779"/>
        <a:stretch>
          <a:fillRect/>
        </a:stretch>
      </xdr:blipFill>
      <xdr:spPr>
        <a:xfrm>
          <a:off x="7264400" y="4924272600"/>
          <a:ext cx="878840" cy="1183640"/>
        </a:xfrm>
        <a:prstGeom prst="rect">
          <a:avLst/>
        </a:prstGeom>
      </xdr:spPr>
    </xdr:pic>
    <xdr:clientData/>
  </xdr:twoCellAnchor>
  <xdr:twoCellAnchor>
    <xdr:from>
      <xdr:col>8</xdr:col>
      <xdr:colOff>6350</xdr:colOff>
      <xdr:row>4941</xdr:row>
      <xdr:rowOff>25400</xdr:rowOff>
    </xdr:from>
    <xdr:to>
      <xdr:col>8</xdr:col>
      <xdr:colOff>885190</xdr:colOff>
      <xdr:row>4941</xdr:row>
      <xdr:rowOff>1209040</xdr:rowOff>
    </xdr:to>
    <xdr:pic>
      <xdr:nvPicPr>
        <xdr:cNvPr id="8103" name="Изображение 8102" descr="resizeПП-00282370"/>
        <xdr:cNvPicPr>
          <a:picLocks noChangeAspect="1"/>
        </xdr:cNvPicPr>
      </xdr:nvPicPr>
      <xdr:blipFill>
        <a:blip xmlns:r="http://schemas.openxmlformats.org/officeDocument/2006/relationships" r:embed="rId3780"/>
        <a:stretch>
          <a:fillRect/>
        </a:stretch>
      </xdr:blipFill>
      <xdr:spPr>
        <a:xfrm>
          <a:off x="7264400" y="4925494975"/>
          <a:ext cx="878840" cy="1183640"/>
        </a:xfrm>
        <a:prstGeom prst="rect">
          <a:avLst/>
        </a:prstGeom>
      </xdr:spPr>
    </xdr:pic>
    <xdr:clientData/>
  </xdr:twoCellAnchor>
  <xdr:twoCellAnchor>
    <xdr:from>
      <xdr:col>8</xdr:col>
      <xdr:colOff>6350</xdr:colOff>
      <xdr:row>4942</xdr:row>
      <xdr:rowOff>25400</xdr:rowOff>
    </xdr:from>
    <xdr:to>
      <xdr:col>8</xdr:col>
      <xdr:colOff>885190</xdr:colOff>
      <xdr:row>4942</xdr:row>
      <xdr:rowOff>1209040</xdr:rowOff>
    </xdr:to>
    <xdr:pic>
      <xdr:nvPicPr>
        <xdr:cNvPr id="8104" name="Изображение 8103" descr="resizeПП-00282380"/>
        <xdr:cNvPicPr>
          <a:picLocks noChangeAspect="1"/>
        </xdr:cNvPicPr>
      </xdr:nvPicPr>
      <xdr:blipFill>
        <a:blip xmlns:r="http://schemas.openxmlformats.org/officeDocument/2006/relationships" r:embed="rId3781"/>
        <a:stretch>
          <a:fillRect/>
        </a:stretch>
      </xdr:blipFill>
      <xdr:spPr>
        <a:xfrm>
          <a:off x="7264400" y="4926717350"/>
          <a:ext cx="878840" cy="1183640"/>
        </a:xfrm>
        <a:prstGeom prst="rect">
          <a:avLst/>
        </a:prstGeom>
      </xdr:spPr>
    </xdr:pic>
    <xdr:clientData/>
  </xdr:twoCellAnchor>
  <xdr:twoCellAnchor>
    <xdr:from>
      <xdr:col>8</xdr:col>
      <xdr:colOff>6350</xdr:colOff>
      <xdr:row>4943</xdr:row>
      <xdr:rowOff>25400</xdr:rowOff>
    </xdr:from>
    <xdr:to>
      <xdr:col>8</xdr:col>
      <xdr:colOff>885190</xdr:colOff>
      <xdr:row>4943</xdr:row>
      <xdr:rowOff>1209040</xdr:rowOff>
    </xdr:to>
    <xdr:pic>
      <xdr:nvPicPr>
        <xdr:cNvPr id="8105" name="Изображение 8104" descr="resizeПП-00282371"/>
        <xdr:cNvPicPr>
          <a:picLocks noChangeAspect="1"/>
        </xdr:cNvPicPr>
      </xdr:nvPicPr>
      <xdr:blipFill>
        <a:blip xmlns:r="http://schemas.openxmlformats.org/officeDocument/2006/relationships" r:embed="rId3782"/>
        <a:stretch>
          <a:fillRect/>
        </a:stretch>
      </xdr:blipFill>
      <xdr:spPr>
        <a:xfrm>
          <a:off x="7264400" y="4927939725"/>
          <a:ext cx="878840" cy="1183640"/>
        </a:xfrm>
        <a:prstGeom prst="rect">
          <a:avLst/>
        </a:prstGeom>
      </xdr:spPr>
    </xdr:pic>
    <xdr:clientData/>
  </xdr:twoCellAnchor>
  <xdr:twoCellAnchor>
    <xdr:from>
      <xdr:col>8</xdr:col>
      <xdr:colOff>6350</xdr:colOff>
      <xdr:row>4944</xdr:row>
      <xdr:rowOff>25400</xdr:rowOff>
    </xdr:from>
    <xdr:to>
      <xdr:col>8</xdr:col>
      <xdr:colOff>885190</xdr:colOff>
      <xdr:row>4944</xdr:row>
      <xdr:rowOff>1209040</xdr:rowOff>
    </xdr:to>
    <xdr:pic>
      <xdr:nvPicPr>
        <xdr:cNvPr id="8106" name="Изображение 8105" descr="resizeПП-00282377"/>
        <xdr:cNvPicPr>
          <a:picLocks noChangeAspect="1"/>
        </xdr:cNvPicPr>
      </xdr:nvPicPr>
      <xdr:blipFill>
        <a:blip xmlns:r="http://schemas.openxmlformats.org/officeDocument/2006/relationships" r:embed="rId3783"/>
        <a:stretch>
          <a:fillRect/>
        </a:stretch>
      </xdr:blipFill>
      <xdr:spPr>
        <a:xfrm>
          <a:off x="7264400" y="4929162100"/>
          <a:ext cx="878840" cy="1183640"/>
        </a:xfrm>
        <a:prstGeom prst="rect">
          <a:avLst/>
        </a:prstGeom>
      </xdr:spPr>
    </xdr:pic>
    <xdr:clientData/>
  </xdr:twoCellAnchor>
  <xdr:twoCellAnchor>
    <xdr:from>
      <xdr:col>8</xdr:col>
      <xdr:colOff>6350</xdr:colOff>
      <xdr:row>4945</xdr:row>
      <xdr:rowOff>25400</xdr:rowOff>
    </xdr:from>
    <xdr:to>
      <xdr:col>8</xdr:col>
      <xdr:colOff>885190</xdr:colOff>
      <xdr:row>4945</xdr:row>
      <xdr:rowOff>1209040</xdr:rowOff>
    </xdr:to>
    <xdr:pic>
      <xdr:nvPicPr>
        <xdr:cNvPr id="8107" name="Изображение 8106" descr="resizeПП-00282383"/>
        <xdr:cNvPicPr>
          <a:picLocks noChangeAspect="1"/>
        </xdr:cNvPicPr>
      </xdr:nvPicPr>
      <xdr:blipFill>
        <a:blip xmlns:r="http://schemas.openxmlformats.org/officeDocument/2006/relationships" r:embed="rId3784"/>
        <a:stretch>
          <a:fillRect/>
        </a:stretch>
      </xdr:blipFill>
      <xdr:spPr>
        <a:xfrm>
          <a:off x="7264400" y="4930384475"/>
          <a:ext cx="878840" cy="1183640"/>
        </a:xfrm>
        <a:prstGeom prst="rect">
          <a:avLst/>
        </a:prstGeom>
      </xdr:spPr>
    </xdr:pic>
    <xdr:clientData/>
  </xdr:twoCellAnchor>
  <xdr:twoCellAnchor>
    <xdr:from>
      <xdr:col>8</xdr:col>
      <xdr:colOff>6350</xdr:colOff>
      <xdr:row>4946</xdr:row>
      <xdr:rowOff>25400</xdr:rowOff>
    </xdr:from>
    <xdr:to>
      <xdr:col>8</xdr:col>
      <xdr:colOff>593090</xdr:colOff>
      <xdr:row>4946</xdr:row>
      <xdr:rowOff>1209040</xdr:rowOff>
    </xdr:to>
    <xdr:pic>
      <xdr:nvPicPr>
        <xdr:cNvPr id="8108" name="Изображение 8107" descr="resizeПП-00251546"/>
        <xdr:cNvPicPr>
          <a:picLocks noChangeAspect="1"/>
        </xdr:cNvPicPr>
      </xdr:nvPicPr>
      <xdr:blipFill>
        <a:blip xmlns:r="http://schemas.openxmlformats.org/officeDocument/2006/relationships" r:embed="rId3785"/>
        <a:stretch>
          <a:fillRect/>
        </a:stretch>
      </xdr:blipFill>
      <xdr:spPr>
        <a:xfrm>
          <a:off x="7264400" y="4931606850"/>
          <a:ext cx="586740" cy="1183640"/>
        </a:xfrm>
        <a:prstGeom prst="rect">
          <a:avLst/>
        </a:prstGeom>
      </xdr:spPr>
    </xdr:pic>
    <xdr:clientData/>
  </xdr:twoCellAnchor>
  <xdr:twoCellAnchor>
    <xdr:from>
      <xdr:col>8</xdr:col>
      <xdr:colOff>6350</xdr:colOff>
      <xdr:row>4947</xdr:row>
      <xdr:rowOff>25400</xdr:rowOff>
    </xdr:from>
    <xdr:to>
      <xdr:col>8</xdr:col>
      <xdr:colOff>885190</xdr:colOff>
      <xdr:row>4947</xdr:row>
      <xdr:rowOff>1209040</xdr:rowOff>
    </xdr:to>
    <xdr:pic>
      <xdr:nvPicPr>
        <xdr:cNvPr id="8109" name="Изображение 8108" descr="resizeПП-00282376"/>
        <xdr:cNvPicPr>
          <a:picLocks noChangeAspect="1"/>
        </xdr:cNvPicPr>
      </xdr:nvPicPr>
      <xdr:blipFill>
        <a:blip xmlns:r="http://schemas.openxmlformats.org/officeDocument/2006/relationships" r:embed="rId3786"/>
        <a:stretch>
          <a:fillRect/>
        </a:stretch>
      </xdr:blipFill>
      <xdr:spPr>
        <a:xfrm>
          <a:off x="7264400" y="4932829225"/>
          <a:ext cx="878840" cy="1183640"/>
        </a:xfrm>
        <a:prstGeom prst="rect">
          <a:avLst/>
        </a:prstGeom>
      </xdr:spPr>
    </xdr:pic>
    <xdr:clientData/>
  </xdr:twoCellAnchor>
  <xdr:twoCellAnchor>
    <xdr:from>
      <xdr:col>8</xdr:col>
      <xdr:colOff>6350</xdr:colOff>
      <xdr:row>4948</xdr:row>
      <xdr:rowOff>25400</xdr:rowOff>
    </xdr:from>
    <xdr:to>
      <xdr:col>8</xdr:col>
      <xdr:colOff>885190</xdr:colOff>
      <xdr:row>4948</xdr:row>
      <xdr:rowOff>1209040</xdr:rowOff>
    </xdr:to>
    <xdr:pic>
      <xdr:nvPicPr>
        <xdr:cNvPr id="8110" name="Изображение 8109" descr="resizeПП-00282374"/>
        <xdr:cNvPicPr>
          <a:picLocks noChangeAspect="1"/>
        </xdr:cNvPicPr>
      </xdr:nvPicPr>
      <xdr:blipFill>
        <a:blip xmlns:r="http://schemas.openxmlformats.org/officeDocument/2006/relationships" r:embed="rId3787"/>
        <a:stretch>
          <a:fillRect/>
        </a:stretch>
      </xdr:blipFill>
      <xdr:spPr>
        <a:xfrm>
          <a:off x="7264400" y="4934051600"/>
          <a:ext cx="878840" cy="1183640"/>
        </a:xfrm>
        <a:prstGeom prst="rect">
          <a:avLst/>
        </a:prstGeom>
      </xdr:spPr>
    </xdr:pic>
    <xdr:clientData/>
  </xdr:twoCellAnchor>
  <xdr:twoCellAnchor>
    <xdr:from>
      <xdr:col>8</xdr:col>
      <xdr:colOff>6350</xdr:colOff>
      <xdr:row>4949</xdr:row>
      <xdr:rowOff>25400</xdr:rowOff>
    </xdr:from>
    <xdr:to>
      <xdr:col>8</xdr:col>
      <xdr:colOff>885190</xdr:colOff>
      <xdr:row>4949</xdr:row>
      <xdr:rowOff>1209040</xdr:rowOff>
    </xdr:to>
    <xdr:pic>
      <xdr:nvPicPr>
        <xdr:cNvPr id="8111" name="Изображение 8110" descr="resizeПП-00282382"/>
        <xdr:cNvPicPr>
          <a:picLocks noChangeAspect="1"/>
        </xdr:cNvPicPr>
      </xdr:nvPicPr>
      <xdr:blipFill>
        <a:blip xmlns:r="http://schemas.openxmlformats.org/officeDocument/2006/relationships" r:embed="rId3788"/>
        <a:stretch>
          <a:fillRect/>
        </a:stretch>
      </xdr:blipFill>
      <xdr:spPr>
        <a:xfrm>
          <a:off x="7264400" y="4935273975"/>
          <a:ext cx="878840" cy="1183640"/>
        </a:xfrm>
        <a:prstGeom prst="rect">
          <a:avLst/>
        </a:prstGeom>
      </xdr:spPr>
    </xdr:pic>
    <xdr:clientData/>
  </xdr:twoCellAnchor>
  <xdr:twoCellAnchor>
    <xdr:from>
      <xdr:col>8</xdr:col>
      <xdr:colOff>6350</xdr:colOff>
      <xdr:row>4950</xdr:row>
      <xdr:rowOff>25400</xdr:rowOff>
    </xdr:from>
    <xdr:to>
      <xdr:col>8</xdr:col>
      <xdr:colOff>1189990</xdr:colOff>
      <xdr:row>4950</xdr:row>
      <xdr:rowOff>904240</xdr:rowOff>
    </xdr:to>
    <xdr:pic>
      <xdr:nvPicPr>
        <xdr:cNvPr id="8112" name="Изображение 8111" descr="resizeПП-00251548"/>
        <xdr:cNvPicPr>
          <a:picLocks noChangeAspect="1"/>
        </xdr:cNvPicPr>
      </xdr:nvPicPr>
      <xdr:blipFill>
        <a:blip xmlns:r="http://schemas.openxmlformats.org/officeDocument/2006/relationships" r:embed="rId3789"/>
        <a:stretch>
          <a:fillRect/>
        </a:stretch>
      </xdr:blipFill>
      <xdr:spPr>
        <a:xfrm>
          <a:off x="7264400" y="4936496350"/>
          <a:ext cx="1183640" cy="878840"/>
        </a:xfrm>
        <a:prstGeom prst="rect">
          <a:avLst/>
        </a:prstGeom>
      </xdr:spPr>
    </xdr:pic>
    <xdr:clientData/>
  </xdr:twoCellAnchor>
  <xdr:twoCellAnchor>
    <xdr:from>
      <xdr:col>8</xdr:col>
      <xdr:colOff>6350</xdr:colOff>
      <xdr:row>4951</xdr:row>
      <xdr:rowOff>25400</xdr:rowOff>
    </xdr:from>
    <xdr:to>
      <xdr:col>8</xdr:col>
      <xdr:colOff>885190</xdr:colOff>
      <xdr:row>4951</xdr:row>
      <xdr:rowOff>1209040</xdr:rowOff>
    </xdr:to>
    <xdr:pic>
      <xdr:nvPicPr>
        <xdr:cNvPr id="8113" name="Изображение 8112" descr="resizeПП-00282378"/>
        <xdr:cNvPicPr>
          <a:picLocks noChangeAspect="1"/>
        </xdr:cNvPicPr>
      </xdr:nvPicPr>
      <xdr:blipFill>
        <a:blip xmlns:r="http://schemas.openxmlformats.org/officeDocument/2006/relationships" r:embed="rId3790"/>
        <a:stretch>
          <a:fillRect/>
        </a:stretch>
      </xdr:blipFill>
      <xdr:spPr>
        <a:xfrm>
          <a:off x="7264400" y="4937718725"/>
          <a:ext cx="878840" cy="1183640"/>
        </a:xfrm>
        <a:prstGeom prst="rect">
          <a:avLst/>
        </a:prstGeom>
      </xdr:spPr>
    </xdr:pic>
    <xdr:clientData/>
  </xdr:twoCellAnchor>
  <xdr:twoCellAnchor>
    <xdr:from>
      <xdr:col>8</xdr:col>
      <xdr:colOff>6350</xdr:colOff>
      <xdr:row>4952</xdr:row>
      <xdr:rowOff>25400</xdr:rowOff>
    </xdr:from>
    <xdr:to>
      <xdr:col>8</xdr:col>
      <xdr:colOff>885190</xdr:colOff>
      <xdr:row>4952</xdr:row>
      <xdr:rowOff>1209040</xdr:rowOff>
    </xdr:to>
    <xdr:pic>
      <xdr:nvPicPr>
        <xdr:cNvPr id="8114" name="Изображение 8113" descr="resizeПП-00282379"/>
        <xdr:cNvPicPr>
          <a:picLocks noChangeAspect="1"/>
        </xdr:cNvPicPr>
      </xdr:nvPicPr>
      <xdr:blipFill>
        <a:blip xmlns:r="http://schemas.openxmlformats.org/officeDocument/2006/relationships" r:embed="rId3791"/>
        <a:stretch>
          <a:fillRect/>
        </a:stretch>
      </xdr:blipFill>
      <xdr:spPr>
        <a:xfrm>
          <a:off x="7264400" y="4938941100"/>
          <a:ext cx="878840" cy="1183640"/>
        </a:xfrm>
        <a:prstGeom prst="rect">
          <a:avLst/>
        </a:prstGeom>
      </xdr:spPr>
    </xdr:pic>
    <xdr:clientData/>
  </xdr:twoCellAnchor>
  <xdr:twoCellAnchor>
    <xdr:from>
      <xdr:col>8</xdr:col>
      <xdr:colOff>6350</xdr:colOff>
      <xdr:row>4953</xdr:row>
      <xdr:rowOff>25400</xdr:rowOff>
    </xdr:from>
    <xdr:to>
      <xdr:col>8</xdr:col>
      <xdr:colOff>885190</xdr:colOff>
      <xdr:row>4953</xdr:row>
      <xdr:rowOff>1209040</xdr:rowOff>
    </xdr:to>
    <xdr:pic>
      <xdr:nvPicPr>
        <xdr:cNvPr id="8115" name="Изображение 8114" descr="resizeПП-00282372"/>
        <xdr:cNvPicPr>
          <a:picLocks noChangeAspect="1"/>
        </xdr:cNvPicPr>
      </xdr:nvPicPr>
      <xdr:blipFill>
        <a:blip xmlns:r="http://schemas.openxmlformats.org/officeDocument/2006/relationships" r:embed="rId3792"/>
        <a:stretch>
          <a:fillRect/>
        </a:stretch>
      </xdr:blipFill>
      <xdr:spPr>
        <a:xfrm>
          <a:off x="7264400" y="4940163475"/>
          <a:ext cx="878840" cy="1183640"/>
        </a:xfrm>
        <a:prstGeom prst="rect">
          <a:avLst/>
        </a:prstGeom>
      </xdr:spPr>
    </xdr:pic>
    <xdr:clientData/>
  </xdr:twoCellAnchor>
  <xdr:twoCellAnchor>
    <xdr:from>
      <xdr:col>8</xdr:col>
      <xdr:colOff>6350</xdr:colOff>
      <xdr:row>4954</xdr:row>
      <xdr:rowOff>25400</xdr:rowOff>
    </xdr:from>
    <xdr:to>
      <xdr:col>8</xdr:col>
      <xdr:colOff>885190</xdr:colOff>
      <xdr:row>4954</xdr:row>
      <xdr:rowOff>1209040</xdr:rowOff>
    </xdr:to>
    <xdr:pic>
      <xdr:nvPicPr>
        <xdr:cNvPr id="8116" name="Изображение 8115" descr="resizeПП-00282375"/>
        <xdr:cNvPicPr>
          <a:picLocks noChangeAspect="1"/>
        </xdr:cNvPicPr>
      </xdr:nvPicPr>
      <xdr:blipFill>
        <a:blip xmlns:r="http://schemas.openxmlformats.org/officeDocument/2006/relationships" r:embed="rId3793"/>
        <a:stretch>
          <a:fillRect/>
        </a:stretch>
      </xdr:blipFill>
      <xdr:spPr>
        <a:xfrm>
          <a:off x="7264400" y="4941385850"/>
          <a:ext cx="878840" cy="1183640"/>
        </a:xfrm>
        <a:prstGeom prst="rect">
          <a:avLst/>
        </a:prstGeom>
      </xdr:spPr>
    </xdr:pic>
    <xdr:clientData/>
  </xdr:twoCellAnchor>
  <xdr:twoCellAnchor>
    <xdr:from>
      <xdr:col>8</xdr:col>
      <xdr:colOff>6350</xdr:colOff>
      <xdr:row>4955</xdr:row>
      <xdr:rowOff>25400</xdr:rowOff>
    </xdr:from>
    <xdr:to>
      <xdr:col>8</xdr:col>
      <xdr:colOff>885190</xdr:colOff>
      <xdr:row>4955</xdr:row>
      <xdr:rowOff>1209040</xdr:rowOff>
    </xdr:to>
    <xdr:pic>
      <xdr:nvPicPr>
        <xdr:cNvPr id="8117" name="Изображение 8116" descr="resizeПП-00282381"/>
        <xdr:cNvPicPr>
          <a:picLocks noChangeAspect="1"/>
        </xdr:cNvPicPr>
      </xdr:nvPicPr>
      <xdr:blipFill>
        <a:blip xmlns:r="http://schemas.openxmlformats.org/officeDocument/2006/relationships" r:embed="rId3794"/>
        <a:stretch>
          <a:fillRect/>
        </a:stretch>
      </xdr:blipFill>
      <xdr:spPr>
        <a:xfrm>
          <a:off x="7264400" y="4942608225"/>
          <a:ext cx="878840" cy="1183640"/>
        </a:xfrm>
        <a:prstGeom prst="rect">
          <a:avLst/>
        </a:prstGeom>
      </xdr:spPr>
    </xdr:pic>
    <xdr:clientData/>
  </xdr:twoCellAnchor>
  <xdr:twoCellAnchor>
    <xdr:from>
      <xdr:col>8</xdr:col>
      <xdr:colOff>6350</xdr:colOff>
      <xdr:row>4956</xdr:row>
      <xdr:rowOff>25400</xdr:rowOff>
    </xdr:from>
    <xdr:to>
      <xdr:col>8</xdr:col>
      <xdr:colOff>885190</xdr:colOff>
      <xdr:row>4956</xdr:row>
      <xdr:rowOff>1209040</xdr:rowOff>
    </xdr:to>
    <xdr:pic>
      <xdr:nvPicPr>
        <xdr:cNvPr id="8118" name="Изображение 8117" descr="resizeПП-00282369"/>
        <xdr:cNvPicPr>
          <a:picLocks noChangeAspect="1"/>
        </xdr:cNvPicPr>
      </xdr:nvPicPr>
      <xdr:blipFill>
        <a:blip xmlns:r="http://schemas.openxmlformats.org/officeDocument/2006/relationships" r:embed="rId3795"/>
        <a:stretch>
          <a:fillRect/>
        </a:stretch>
      </xdr:blipFill>
      <xdr:spPr>
        <a:xfrm>
          <a:off x="7264400" y="4943830600"/>
          <a:ext cx="878840" cy="1183640"/>
        </a:xfrm>
        <a:prstGeom prst="rect">
          <a:avLst/>
        </a:prstGeom>
      </xdr:spPr>
    </xdr:pic>
    <xdr:clientData/>
  </xdr:twoCellAnchor>
  <xdr:twoCellAnchor>
    <xdr:from>
      <xdr:col>8</xdr:col>
      <xdr:colOff>6350</xdr:colOff>
      <xdr:row>4958</xdr:row>
      <xdr:rowOff>25400</xdr:rowOff>
    </xdr:from>
    <xdr:to>
      <xdr:col>8</xdr:col>
      <xdr:colOff>885190</xdr:colOff>
      <xdr:row>4958</xdr:row>
      <xdr:rowOff>1209040</xdr:rowOff>
    </xdr:to>
    <xdr:pic>
      <xdr:nvPicPr>
        <xdr:cNvPr id="8119" name="Изображение 8118" descr="resizeПП-00278615"/>
        <xdr:cNvPicPr>
          <a:picLocks noChangeAspect="1"/>
        </xdr:cNvPicPr>
      </xdr:nvPicPr>
      <xdr:blipFill>
        <a:blip xmlns:r="http://schemas.openxmlformats.org/officeDocument/2006/relationships" r:embed="rId3796"/>
        <a:stretch>
          <a:fillRect/>
        </a:stretch>
      </xdr:blipFill>
      <xdr:spPr>
        <a:xfrm>
          <a:off x="7264400" y="4945205375"/>
          <a:ext cx="878840" cy="1183640"/>
        </a:xfrm>
        <a:prstGeom prst="rect">
          <a:avLst/>
        </a:prstGeom>
      </xdr:spPr>
    </xdr:pic>
    <xdr:clientData/>
  </xdr:twoCellAnchor>
  <xdr:twoCellAnchor>
    <xdr:from>
      <xdr:col>8</xdr:col>
      <xdr:colOff>6350</xdr:colOff>
      <xdr:row>4959</xdr:row>
      <xdr:rowOff>25400</xdr:rowOff>
    </xdr:from>
    <xdr:to>
      <xdr:col>8</xdr:col>
      <xdr:colOff>885190</xdr:colOff>
      <xdr:row>4959</xdr:row>
      <xdr:rowOff>1209040</xdr:rowOff>
    </xdr:to>
    <xdr:pic>
      <xdr:nvPicPr>
        <xdr:cNvPr id="8120" name="Изображение 8119" descr="resizeПП-00278621"/>
        <xdr:cNvPicPr>
          <a:picLocks noChangeAspect="1"/>
        </xdr:cNvPicPr>
      </xdr:nvPicPr>
      <xdr:blipFill>
        <a:blip xmlns:r="http://schemas.openxmlformats.org/officeDocument/2006/relationships" r:embed="rId3797"/>
        <a:stretch>
          <a:fillRect/>
        </a:stretch>
      </xdr:blipFill>
      <xdr:spPr>
        <a:xfrm>
          <a:off x="7264400" y="4946427750"/>
          <a:ext cx="878840" cy="1183640"/>
        </a:xfrm>
        <a:prstGeom prst="rect">
          <a:avLst/>
        </a:prstGeom>
      </xdr:spPr>
    </xdr:pic>
    <xdr:clientData/>
  </xdr:twoCellAnchor>
  <xdr:twoCellAnchor>
    <xdr:from>
      <xdr:col>8</xdr:col>
      <xdr:colOff>6350</xdr:colOff>
      <xdr:row>4960</xdr:row>
      <xdr:rowOff>25400</xdr:rowOff>
    </xdr:from>
    <xdr:to>
      <xdr:col>8</xdr:col>
      <xdr:colOff>885190</xdr:colOff>
      <xdr:row>4960</xdr:row>
      <xdr:rowOff>1209040</xdr:rowOff>
    </xdr:to>
    <xdr:pic>
      <xdr:nvPicPr>
        <xdr:cNvPr id="8121" name="Изображение 8120" descr="resizeПП-00278616"/>
        <xdr:cNvPicPr>
          <a:picLocks noChangeAspect="1"/>
        </xdr:cNvPicPr>
      </xdr:nvPicPr>
      <xdr:blipFill>
        <a:blip xmlns:r="http://schemas.openxmlformats.org/officeDocument/2006/relationships" r:embed="rId3798"/>
        <a:stretch>
          <a:fillRect/>
        </a:stretch>
      </xdr:blipFill>
      <xdr:spPr>
        <a:xfrm>
          <a:off x="7264400" y="4947650125"/>
          <a:ext cx="878840" cy="1183640"/>
        </a:xfrm>
        <a:prstGeom prst="rect">
          <a:avLst/>
        </a:prstGeom>
      </xdr:spPr>
    </xdr:pic>
    <xdr:clientData/>
  </xdr:twoCellAnchor>
  <xdr:twoCellAnchor>
    <xdr:from>
      <xdr:col>8</xdr:col>
      <xdr:colOff>6350</xdr:colOff>
      <xdr:row>4961</xdr:row>
      <xdr:rowOff>25400</xdr:rowOff>
    </xdr:from>
    <xdr:to>
      <xdr:col>8</xdr:col>
      <xdr:colOff>885190</xdr:colOff>
      <xdr:row>4961</xdr:row>
      <xdr:rowOff>1209040</xdr:rowOff>
    </xdr:to>
    <xdr:pic>
      <xdr:nvPicPr>
        <xdr:cNvPr id="8122" name="Изображение 8121" descr="resizeПП-00278607"/>
        <xdr:cNvPicPr>
          <a:picLocks noChangeAspect="1"/>
        </xdr:cNvPicPr>
      </xdr:nvPicPr>
      <xdr:blipFill>
        <a:blip xmlns:r="http://schemas.openxmlformats.org/officeDocument/2006/relationships" r:embed="rId3799"/>
        <a:stretch>
          <a:fillRect/>
        </a:stretch>
      </xdr:blipFill>
      <xdr:spPr>
        <a:xfrm>
          <a:off x="7264400" y="4948872500"/>
          <a:ext cx="878840" cy="1183640"/>
        </a:xfrm>
        <a:prstGeom prst="rect">
          <a:avLst/>
        </a:prstGeom>
      </xdr:spPr>
    </xdr:pic>
    <xdr:clientData/>
  </xdr:twoCellAnchor>
  <xdr:twoCellAnchor>
    <xdr:from>
      <xdr:col>8</xdr:col>
      <xdr:colOff>6350</xdr:colOff>
      <xdr:row>4962</xdr:row>
      <xdr:rowOff>25400</xdr:rowOff>
    </xdr:from>
    <xdr:to>
      <xdr:col>8</xdr:col>
      <xdr:colOff>885190</xdr:colOff>
      <xdr:row>4962</xdr:row>
      <xdr:rowOff>1209040</xdr:rowOff>
    </xdr:to>
    <xdr:pic>
      <xdr:nvPicPr>
        <xdr:cNvPr id="8123" name="Изображение 8122" descr="resizeПП-00278614"/>
        <xdr:cNvPicPr>
          <a:picLocks noChangeAspect="1"/>
        </xdr:cNvPicPr>
      </xdr:nvPicPr>
      <xdr:blipFill>
        <a:blip xmlns:r="http://schemas.openxmlformats.org/officeDocument/2006/relationships" r:embed="rId3800"/>
        <a:stretch>
          <a:fillRect/>
        </a:stretch>
      </xdr:blipFill>
      <xdr:spPr>
        <a:xfrm>
          <a:off x="7264400" y="4950094875"/>
          <a:ext cx="878840" cy="1183640"/>
        </a:xfrm>
        <a:prstGeom prst="rect">
          <a:avLst/>
        </a:prstGeom>
      </xdr:spPr>
    </xdr:pic>
    <xdr:clientData/>
  </xdr:twoCellAnchor>
  <xdr:twoCellAnchor>
    <xdr:from>
      <xdr:col>8</xdr:col>
      <xdr:colOff>6350</xdr:colOff>
      <xdr:row>4964</xdr:row>
      <xdr:rowOff>25400</xdr:rowOff>
    </xdr:from>
    <xdr:to>
      <xdr:col>8</xdr:col>
      <xdr:colOff>885190</xdr:colOff>
      <xdr:row>4964</xdr:row>
      <xdr:rowOff>1209040</xdr:rowOff>
    </xdr:to>
    <xdr:pic>
      <xdr:nvPicPr>
        <xdr:cNvPr id="8124" name="Изображение 8123" descr="resizeПП-00282311"/>
        <xdr:cNvPicPr>
          <a:picLocks noChangeAspect="1"/>
        </xdr:cNvPicPr>
      </xdr:nvPicPr>
      <xdr:blipFill>
        <a:blip xmlns:r="http://schemas.openxmlformats.org/officeDocument/2006/relationships" r:embed="rId3801"/>
        <a:stretch>
          <a:fillRect/>
        </a:stretch>
      </xdr:blipFill>
      <xdr:spPr>
        <a:xfrm>
          <a:off x="7264400" y="4951469650"/>
          <a:ext cx="878840" cy="1183640"/>
        </a:xfrm>
        <a:prstGeom prst="rect">
          <a:avLst/>
        </a:prstGeom>
      </xdr:spPr>
    </xdr:pic>
    <xdr:clientData/>
  </xdr:twoCellAnchor>
  <xdr:twoCellAnchor>
    <xdr:from>
      <xdr:col>8</xdr:col>
      <xdr:colOff>6350</xdr:colOff>
      <xdr:row>4965</xdr:row>
      <xdr:rowOff>25400</xdr:rowOff>
    </xdr:from>
    <xdr:to>
      <xdr:col>8</xdr:col>
      <xdr:colOff>885190</xdr:colOff>
      <xdr:row>4965</xdr:row>
      <xdr:rowOff>1209040</xdr:rowOff>
    </xdr:to>
    <xdr:pic>
      <xdr:nvPicPr>
        <xdr:cNvPr id="8125" name="Изображение 8124" descr="resizeПП-00282306"/>
        <xdr:cNvPicPr>
          <a:picLocks noChangeAspect="1"/>
        </xdr:cNvPicPr>
      </xdr:nvPicPr>
      <xdr:blipFill>
        <a:blip xmlns:r="http://schemas.openxmlformats.org/officeDocument/2006/relationships" r:embed="rId3802"/>
        <a:stretch>
          <a:fillRect/>
        </a:stretch>
      </xdr:blipFill>
      <xdr:spPr>
        <a:xfrm>
          <a:off x="7264400" y="4952692025"/>
          <a:ext cx="878840" cy="1183640"/>
        </a:xfrm>
        <a:prstGeom prst="rect">
          <a:avLst/>
        </a:prstGeom>
      </xdr:spPr>
    </xdr:pic>
    <xdr:clientData/>
  </xdr:twoCellAnchor>
  <xdr:twoCellAnchor>
    <xdr:from>
      <xdr:col>8</xdr:col>
      <xdr:colOff>6350</xdr:colOff>
      <xdr:row>4966</xdr:row>
      <xdr:rowOff>25400</xdr:rowOff>
    </xdr:from>
    <xdr:to>
      <xdr:col>8</xdr:col>
      <xdr:colOff>885190</xdr:colOff>
      <xdr:row>4966</xdr:row>
      <xdr:rowOff>1209040</xdr:rowOff>
    </xdr:to>
    <xdr:pic>
      <xdr:nvPicPr>
        <xdr:cNvPr id="8126" name="Изображение 8125" descr="resizeПП-00282316"/>
        <xdr:cNvPicPr>
          <a:picLocks noChangeAspect="1"/>
        </xdr:cNvPicPr>
      </xdr:nvPicPr>
      <xdr:blipFill>
        <a:blip xmlns:r="http://schemas.openxmlformats.org/officeDocument/2006/relationships" r:embed="rId3803"/>
        <a:stretch>
          <a:fillRect/>
        </a:stretch>
      </xdr:blipFill>
      <xdr:spPr>
        <a:xfrm>
          <a:off x="7264400" y="4953914400"/>
          <a:ext cx="878840" cy="1183640"/>
        </a:xfrm>
        <a:prstGeom prst="rect">
          <a:avLst/>
        </a:prstGeom>
      </xdr:spPr>
    </xdr:pic>
    <xdr:clientData/>
  </xdr:twoCellAnchor>
  <xdr:twoCellAnchor>
    <xdr:from>
      <xdr:col>8</xdr:col>
      <xdr:colOff>6350</xdr:colOff>
      <xdr:row>4967</xdr:row>
      <xdr:rowOff>25400</xdr:rowOff>
    </xdr:from>
    <xdr:to>
      <xdr:col>8</xdr:col>
      <xdr:colOff>885190</xdr:colOff>
      <xdr:row>4967</xdr:row>
      <xdr:rowOff>1209040</xdr:rowOff>
    </xdr:to>
    <xdr:pic>
      <xdr:nvPicPr>
        <xdr:cNvPr id="8127" name="Изображение 8126" descr="resizeПП-00282315"/>
        <xdr:cNvPicPr>
          <a:picLocks noChangeAspect="1"/>
        </xdr:cNvPicPr>
      </xdr:nvPicPr>
      <xdr:blipFill>
        <a:blip xmlns:r="http://schemas.openxmlformats.org/officeDocument/2006/relationships" r:embed="rId3804"/>
        <a:stretch>
          <a:fillRect/>
        </a:stretch>
      </xdr:blipFill>
      <xdr:spPr>
        <a:xfrm>
          <a:off x="7264400" y="4955136775"/>
          <a:ext cx="878840" cy="1183640"/>
        </a:xfrm>
        <a:prstGeom prst="rect">
          <a:avLst/>
        </a:prstGeom>
      </xdr:spPr>
    </xdr:pic>
    <xdr:clientData/>
  </xdr:twoCellAnchor>
  <xdr:twoCellAnchor>
    <xdr:from>
      <xdr:col>8</xdr:col>
      <xdr:colOff>6350</xdr:colOff>
      <xdr:row>4968</xdr:row>
      <xdr:rowOff>25400</xdr:rowOff>
    </xdr:from>
    <xdr:to>
      <xdr:col>8</xdr:col>
      <xdr:colOff>885190</xdr:colOff>
      <xdr:row>4968</xdr:row>
      <xdr:rowOff>1209040</xdr:rowOff>
    </xdr:to>
    <xdr:pic>
      <xdr:nvPicPr>
        <xdr:cNvPr id="8128" name="Изображение 8127" descr="resizeПП-00282309"/>
        <xdr:cNvPicPr>
          <a:picLocks noChangeAspect="1"/>
        </xdr:cNvPicPr>
      </xdr:nvPicPr>
      <xdr:blipFill>
        <a:blip xmlns:r="http://schemas.openxmlformats.org/officeDocument/2006/relationships" r:embed="rId3805"/>
        <a:stretch>
          <a:fillRect/>
        </a:stretch>
      </xdr:blipFill>
      <xdr:spPr>
        <a:xfrm>
          <a:off x="7264400" y="4956359150"/>
          <a:ext cx="878840" cy="1183640"/>
        </a:xfrm>
        <a:prstGeom prst="rect">
          <a:avLst/>
        </a:prstGeom>
      </xdr:spPr>
    </xdr:pic>
    <xdr:clientData/>
  </xdr:twoCellAnchor>
  <xdr:twoCellAnchor>
    <xdr:from>
      <xdr:col>8</xdr:col>
      <xdr:colOff>6350</xdr:colOff>
      <xdr:row>4969</xdr:row>
      <xdr:rowOff>25400</xdr:rowOff>
    </xdr:from>
    <xdr:to>
      <xdr:col>8</xdr:col>
      <xdr:colOff>885190</xdr:colOff>
      <xdr:row>4969</xdr:row>
      <xdr:rowOff>1209040</xdr:rowOff>
    </xdr:to>
    <xdr:pic>
      <xdr:nvPicPr>
        <xdr:cNvPr id="8129" name="Изображение 8128" descr="resizeПП-00282307"/>
        <xdr:cNvPicPr>
          <a:picLocks noChangeAspect="1"/>
        </xdr:cNvPicPr>
      </xdr:nvPicPr>
      <xdr:blipFill>
        <a:blip xmlns:r="http://schemas.openxmlformats.org/officeDocument/2006/relationships" r:embed="rId3806"/>
        <a:stretch>
          <a:fillRect/>
        </a:stretch>
      </xdr:blipFill>
      <xdr:spPr>
        <a:xfrm>
          <a:off x="7264400" y="4957581525"/>
          <a:ext cx="878840" cy="1183640"/>
        </a:xfrm>
        <a:prstGeom prst="rect">
          <a:avLst/>
        </a:prstGeom>
      </xdr:spPr>
    </xdr:pic>
    <xdr:clientData/>
  </xdr:twoCellAnchor>
  <xdr:twoCellAnchor>
    <xdr:from>
      <xdr:col>8</xdr:col>
      <xdr:colOff>6350</xdr:colOff>
      <xdr:row>4970</xdr:row>
      <xdr:rowOff>25400</xdr:rowOff>
    </xdr:from>
    <xdr:to>
      <xdr:col>8</xdr:col>
      <xdr:colOff>885190</xdr:colOff>
      <xdr:row>4970</xdr:row>
      <xdr:rowOff>1209040</xdr:rowOff>
    </xdr:to>
    <xdr:pic>
      <xdr:nvPicPr>
        <xdr:cNvPr id="8130" name="Изображение 8129" descr="resizeПП-00282308"/>
        <xdr:cNvPicPr>
          <a:picLocks noChangeAspect="1"/>
        </xdr:cNvPicPr>
      </xdr:nvPicPr>
      <xdr:blipFill>
        <a:blip xmlns:r="http://schemas.openxmlformats.org/officeDocument/2006/relationships" r:embed="rId3807"/>
        <a:stretch>
          <a:fillRect/>
        </a:stretch>
      </xdr:blipFill>
      <xdr:spPr>
        <a:xfrm>
          <a:off x="7264400" y="4958803900"/>
          <a:ext cx="878840" cy="1183640"/>
        </a:xfrm>
        <a:prstGeom prst="rect">
          <a:avLst/>
        </a:prstGeom>
      </xdr:spPr>
    </xdr:pic>
    <xdr:clientData/>
  </xdr:twoCellAnchor>
  <xdr:twoCellAnchor>
    <xdr:from>
      <xdr:col>8</xdr:col>
      <xdr:colOff>6350</xdr:colOff>
      <xdr:row>4971</xdr:row>
      <xdr:rowOff>25400</xdr:rowOff>
    </xdr:from>
    <xdr:to>
      <xdr:col>8</xdr:col>
      <xdr:colOff>885190</xdr:colOff>
      <xdr:row>4971</xdr:row>
      <xdr:rowOff>1209040</xdr:rowOff>
    </xdr:to>
    <xdr:pic>
      <xdr:nvPicPr>
        <xdr:cNvPr id="8131" name="Изображение 8130" descr="resizeПП-00282310"/>
        <xdr:cNvPicPr>
          <a:picLocks noChangeAspect="1"/>
        </xdr:cNvPicPr>
      </xdr:nvPicPr>
      <xdr:blipFill>
        <a:blip xmlns:r="http://schemas.openxmlformats.org/officeDocument/2006/relationships" r:embed="rId3808"/>
        <a:stretch>
          <a:fillRect/>
        </a:stretch>
      </xdr:blipFill>
      <xdr:spPr>
        <a:xfrm>
          <a:off x="7264400" y="4960026275"/>
          <a:ext cx="878840" cy="1183640"/>
        </a:xfrm>
        <a:prstGeom prst="rect">
          <a:avLst/>
        </a:prstGeom>
      </xdr:spPr>
    </xdr:pic>
    <xdr:clientData/>
  </xdr:twoCellAnchor>
  <xdr:twoCellAnchor>
    <xdr:from>
      <xdr:col>8</xdr:col>
      <xdr:colOff>6350</xdr:colOff>
      <xdr:row>4972</xdr:row>
      <xdr:rowOff>25400</xdr:rowOff>
    </xdr:from>
    <xdr:to>
      <xdr:col>8</xdr:col>
      <xdr:colOff>885190</xdr:colOff>
      <xdr:row>4972</xdr:row>
      <xdr:rowOff>1209040</xdr:rowOff>
    </xdr:to>
    <xdr:pic>
      <xdr:nvPicPr>
        <xdr:cNvPr id="8132" name="Изображение 8131" descr="resizeПП-00244001"/>
        <xdr:cNvPicPr>
          <a:picLocks noChangeAspect="1"/>
        </xdr:cNvPicPr>
      </xdr:nvPicPr>
      <xdr:blipFill>
        <a:blip xmlns:r="http://schemas.openxmlformats.org/officeDocument/2006/relationships" r:embed="rId3809"/>
        <a:stretch>
          <a:fillRect/>
        </a:stretch>
      </xdr:blipFill>
      <xdr:spPr>
        <a:xfrm>
          <a:off x="7264400" y="4961248650"/>
          <a:ext cx="878840" cy="1183640"/>
        </a:xfrm>
        <a:prstGeom prst="rect">
          <a:avLst/>
        </a:prstGeom>
      </xdr:spPr>
    </xdr:pic>
    <xdr:clientData/>
  </xdr:twoCellAnchor>
  <xdr:twoCellAnchor>
    <xdr:from>
      <xdr:col>8</xdr:col>
      <xdr:colOff>6350</xdr:colOff>
      <xdr:row>4973</xdr:row>
      <xdr:rowOff>25400</xdr:rowOff>
    </xdr:from>
    <xdr:to>
      <xdr:col>8</xdr:col>
      <xdr:colOff>885190</xdr:colOff>
      <xdr:row>4973</xdr:row>
      <xdr:rowOff>1209040</xdr:rowOff>
    </xdr:to>
    <xdr:pic>
      <xdr:nvPicPr>
        <xdr:cNvPr id="8133" name="Изображение 8132" descr="resizeПП-00282319"/>
        <xdr:cNvPicPr>
          <a:picLocks noChangeAspect="1"/>
        </xdr:cNvPicPr>
      </xdr:nvPicPr>
      <xdr:blipFill>
        <a:blip xmlns:r="http://schemas.openxmlformats.org/officeDocument/2006/relationships" r:embed="rId3810"/>
        <a:stretch>
          <a:fillRect/>
        </a:stretch>
      </xdr:blipFill>
      <xdr:spPr>
        <a:xfrm>
          <a:off x="7264400" y="4962471025"/>
          <a:ext cx="878840" cy="1183640"/>
        </a:xfrm>
        <a:prstGeom prst="rect">
          <a:avLst/>
        </a:prstGeom>
      </xdr:spPr>
    </xdr:pic>
    <xdr:clientData/>
  </xdr:twoCellAnchor>
  <xdr:twoCellAnchor>
    <xdr:from>
      <xdr:col>8</xdr:col>
      <xdr:colOff>6350</xdr:colOff>
      <xdr:row>4974</xdr:row>
      <xdr:rowOff>25400</xdr:rowOff>
    </xdr:from>
    <xdr:to>
      <xdr:col>8</xdr:col>
      <xdr:colOff>885190</xdr:colOff>
      <xdr:row>4974</xdr:row>
      <xdr:rowOff>1209040</xdr:rowOff>
    </xdr:to>
    <xdr:pic>
      <xdr:nvPicPr>
        <xdr:cNvPr id="8134" name="Изображение 8133" descr="resizeПП-00282312"/>
        <xdr:cNvPicPr>
          <a:picLocks noChangeAspect="1"/>
        </xdr:cNvPicPr>
      </xdr:nvPicPr>
      <xdr:blipFill>
        <a:blip xmlns:r="http://schemas.openxmlformats.org/officeDocument/2006/relationships" r:embed="rId3811"/>
        <a:stretch>
          <a:fillRect/>
        </a:stretch>
      </xdr:blipFill>
      <xdr:spPr>
        <a:xfrm>
          <a:off x="7264400" y="4963693400"/>
          <a:ext cx="878840" cy="1183640"/>
        </a:xfrm>
        <a:prstGeom prst="rect">
          <a:avLst/>
        </a:prstGeom>
      </xdr:spPr>
    </xdr:pic>
    <xdr:clientData/>
  </xdr:twoCellAnchor>
  <xdr:twoCellAnchor>
    <xdr:from>
      <xdr:col>8</xdr:col>
      <xdr:colOff>6350</xdr:colOff>
      <xdr:row>4975</xdr:row>
      <xdr:rowOff>25400</xdr:rowOff>
    </xdr:from>
    <xdr:to>
      <xdr:col>8</xdr:col>
      <xdr:colOff>885190</xdr:colOff>
      <xdr:row>4975</xdr:row>
      <xdr:rowOff>1209040</xdr:rowOff>
    </xdr:to>
    <xdr:pic>
      <xdr:nvPicPr>
        <xdr:cNvPr id="8135" name="Изображение 8134" descr="resizeПП-00282317"/>
        <xdr:cNvPicPr>
          <a:picLocks noChangeAspect="1"/>
        </xdr:cNvPicPr>
      </xdr:nvPicPr>
      <xdr:blipFill>
        <a:blip xmlns:r="http://schemas.openxmlformats.org/officeDocument/2006/relationships" r:embed="rId3812"/>
        <a:stretch>
          <a:fillRect/>
        </a:stretch>
      </xdr:blipFill>
      <xdr:spPr>
        <a:xfrm>
          <a:off x="7264400" y="4964915775"/>
          <a:ext cx="878840" cy="1183640"/>
        </a:xfrm>
        <a:prstGeom prst="rect">
          <a:avLst/>
        </a:prstGeom>
      </xdr:spPr>
    </xdr:pic>
    <xdr:clientData/>
  </xdr:twoCellAnchor>
  <xdr:twoCellAnchor>
    <xdr:from>
      <xdr:col>8</xdr:col>
      <xdr:colOff>6350</xdr:colOff>
      <xdr:row>4976</xdr:row>
      <xdr:rowOff>25400</xdr:rowOff>
    </xdr:from>
    <xdr:to>
      <xdr:col>8</xdr:col>
      <xdr:colOff>885190</xdr:colOff>
      <xdr:row>4976</xdr:row>
      <xdr:rowOff>1209040</xdr:rowOff>
    </xdr:to>
    <xdr:pic>
      <xdr:nvPicPr>
        <xdr:cNvPr id="8136" name="Изображение 8135" descr="resizeПП-00282320"/>
        <xdr:cNvPicPr>
          <a:picLocks noChangeAspect="1"/>
        </xdr:cNvPicPr>
      </xdr:nvPicPr>
      <xdr:blipFill>
        <a:blip xmlns:r="http://schemas.openxmlformats.org/officeDocument/2006/relationships" r:embed="rId3813"/>
        <a:stretch>
          <a:fillRect/>
        </a:stretch>
      </xdr:blipFill>
      <xdr:spPr>
        <a:xfrm>
          <a:off x="7264400" y="4966138150"/>
          <a:ext cx="878840" cy="1183640"/>
        </a:xfrm>
        <a:prstGeom prst="rect">
          <a:avLst/>
        </a:prstGeom>
      </xdr:spPr>
    </xdr:pic>
    <xdr:clientData/>
  </xdr:twoCellAnchor>
  <xdr:twoCellAnchor>
    <xdr:from>
      <xdr:col>8</xdr:col>
      <xdr:colOff>6350</xdr:colOff>
      <xdr:row>4977</xdr:row>
      <xdr:rowOff>25400</xdr:rowOff>
    </xdr:from>
    <xdr:to>
      <xdr:col>8</xdr:col>
      <xdr:colOff>1189990</xdr:colOff>
      <xdr:row>4977</xdr:row>
      <xdr:rowOff>904240</xdr:rowOff>
    </xdr:to>
    <xdr:pic>
      <xdr:nvPicPr>
        <xdr:cNvPr id="8137" name="Изображение 8136" descr="resizeПП-00243998"/>
        <xdr:cNvPicPr>
          <a:picLocks noChangeAspect="1"/>
        </xdr:cNvPicPr>
      </xdr:nvPicPr>
      <xdr:blipFill>
        <a:blip xmlns:r="http://schemas.openxmlformats.org/officeDocument/2006/relationships" r:embed="rId3814"/>
        <a:stretch>
          <a:fillRect/>
        </a:stretch>
      </xdr:blipFill>
      <xdr:spPr>
        <a:xfrm>
          <a:off x="7264400" y="4967360525"/>
          <a:ext cx="1183640" cy="878840"/>
        </a:xfrm>
        <a:prstGeom prst="rect">
          <a:avLst/>
        </a:prstGeom>
      </xdr:spPr>
    </xdr:pic>
    <xdr:clientData/>
  </xdr:twoCellAnchor>
  <xdr:twoCellAnchor>
    <xdr:from>
      <xdr:col>8</xdr:col>
      <xdr:colOff>6350</xdr:colOff>
      <xdr:row>4978</xdr:row>
      <xdr:rowOff>25400</xdr:rowOff>
    </xdr:from>
    <xdr:to>
      <xdr:col>8</xdr:col>
      <xdr:colOff>885190</xdr:colOff>
      <xdr:row>4978</xdr:row>
      <xdr:rowOff>1209040</xdr:rowOff>
    </xdr:to>
    <xdr:pic>
      <xdr:nvPicPr>
        <xdr:cNvPr id="8138" name="Изображение 8137" descr="resizeПП-00282318"/>
        <xdr:cNvPicPr>
          <a:picLocks noChangeAspect="1"/>
        </xdr:cNvPicPr>
      </xdr:nvPicPr>
      <xdr:blipFill>
        <a:blip xmlns:r="http://schemas.openxmlformats.org/officeDocument/2006/relationships" r:embed="rId3815"/>
        <a:stretch>
          <a:fillRect/>
        </a:stretch>
      </xdr:blipFill>
      <xdr:spPr>
        <a:xfrm>
          <a:off x="7264400" y="4968582900"/>
          <a:ext cx="878840" cy="1183640"/>
        </a:xfrm>
        <a:prstGeom prst="rect">
          <a:avLst/>
        </a:prstGeom>
      </xdr:spPr>
    </xdr:pic>
    <xdr:clientData/>
  </xdr:twoCellAnchor>
  <xdr:twoCellAnchor>
    <xdr:from>
      <xdr:col>8</xdr:col>
      <xdr:colOff>6350</xdr:colOff>
      <xdr:row>4979</xdr:row>
      <xdr:rowOff>25400</xdr:rowOff>
    </xdr:from>
    <xdr:to>
      <xdr:col>8</xdr:col>
      <xdr:colOff>885190</xdr:colOff>
      <xdr:row>4979</xdr:row>
      <xdr:rowOff>1209040</xdr:rowOff>
    </xdr:to>
    <xdr:pic>
      <xdr:nvPicPr>
        <xdr:cNvPr id="8139" name="Изображение 8138" descr="resizeПП-00282313"/>
        <xdr:cNvPicPr>
          <a:picLocks noChangeAspect="1"/>
        </xdr:cNvPicPr>
      </xdr:nvPicPr>
      <xdr:blipFill>
        <a:blip xmlns:r="http://schemas.openxmlformats.org/officeDocument/2006/relationships" r:embed="rId3816"/>
        <a:stretch>
          <a:fillRect/>
        </a:stretch>
      </xdr:blipFill>
      <xdr:spPr>
        <a:xfrm>
          <a:off x="7264400" y="4969805275"/>
          <a:ext cx="878840" cy="1183640"/>
        </a:xfrm>
        <a:prstGeom prst="rect">
          <a:avLst/>
        </a:prstGeom>
      </xdr:spPr>
    </xdr:pic>
    <xdr:clientData/>
  </xdr:twoCellAnchor>
  <xdr:twoCellAnchor>
    <xdr:from>
      <xdr:col>8</xdr:col>
      <xdr:colOff>6350</xdr:colOff>
      <xdr:row>4980</xdr:row>
      <xdr:rowOff>25400</xdr:rowOff>
    </xdr:from>
    <xdr:to>
      <xdr:col>8</xdr:col>
      <xdr:colOff>885190</xdr:colOff>
      <xdr:row>4980</xdr:row>
      <xdr:rowOff>1209040</xdr:rowOff>
    </xdr:to>
    <xdr:pic>
      <xdr:nvPicPr>
        <xdr:cNvPr id="8140" name="Изображение 8139" descr="resizeПП-00282314"/>
        <xdr:cNvPicPr>
          <a:picLocks noChangeAspect="1"/>
        </xdr:cNvPicPr>
      </xdr:nvPicPr>
      <xdr:blipFill>
        <a:blip xmlns:r="http://schemas.openxmlformats.org/officeDocument/2006/relationships" r:embed="rId3817"/>
        <a:stretch>
          <a:fillRect/>
        </a:stretch>
      </xdr:blipFill>
      <xdr:spPr>
        <a:xfrm>
          <a:off x="7264400" y="4971027650"/>
          <a:ext cx="878840" cy="1183640"/>
        </a:xfrm>
        <a:prstGeom prst="rect">
          <a:avLst/>
        </a:prstGeom>
      </xdr:spPr>
    </xdr:pic>
    <xdr:clientData/>
  </xdr:twoCellAnchor>
  <xdr:twoCellAnchor>
    <xdr:from>
      <xdr:col>8</xdr:col>
      <xdr:colOff>6350</xdr:colOff>
      <xdr:row>4981</xdr:row>
      <xdr:rowOff>25400</xdr:rowOff>
    </xdr:from>
    <xdr:to>
      <xdr:col>8</xdr:col>
      <xdr:colOff>885190</xdr:colOff>
      <xdr:row>4981</xdr:row>
      <xdr:rowOff>1209040</xdr:rowOff>
    </xdr:to>
    <xdr:pic>
      <xdr:nvPicPr>
        <xdr:cNvPr id="8141" name="Изображение 8140" descr="resizeПП-00272870"/>
        <xdr:cNvPicPr>
          <a:picLocks noChangeAspect="1"/>
        </xdr:cNvPicPr>
      </xdr:nvPicPr>
      <xdr:blipFill>
        <a:blip xmlns:r="http://schemas.openxmlformats.org/officeDocument/2006/relationships" r:embed="rId3818"/>
        <a:stretch>
          <a:fillRect/>
        </a:stretch>
      </xdr:blipFill>
      <xdr:spPr>
        <a:xfrm>
          <a:off x="7264400" y="4972250025"/>
          <a:ext cx="878840" cy="1183640"/>
        </a:xfrm>
        <a:prstGeom prst="rect">
          <a:avLst/>
        </a:prstGeom>
      </xdr:spPr>
    </xdr:pic>
    <xdr:clientData/>
  </xdr:twoCellAnchor>
  <xdr:twoCellAnchor>
    <xdr:from>
      <xdr:col>8</xdr:col>
      <xdr:colOff>6350</xdr:colOff>
      <xdr:row>4982</xdr:row>
      <xdr:rowOff>25400</xdr:rowOff>
    </xdr:from>
    <xdr:to>
      <xdr:col>8</xdr:col>
      <xdr:colOff>1189990</xdr:colOff>
      <xdr:row>4982</xdr:row>
      <xdr:rowOff>904240</xdr:rowOff>
    </xdr:to>
    <xdr:pic>
      <xdr:nvPicPr>
        <xdr:cNvPr id="8142" name="Изображение 8141" descr="resizeПП-00243992"/>
        <xdr:cNvPicPr>
          <a:picLocks noChangeAspect="1"/>
        </xdr:cNvPicPr>
      </xdr:nvPicPr>
      <xdr:blipFill>
        <a:blip xmlns:r="http://schemas.openxmlformats.org/officeDocument/2006/relationships" r:embed="rId3819"/>
        <a:stretch>
          <a:fillRect/>
        </a:stretch>
      </xdr:blipFill>
      <xdr:spPr>
        <a:xfrm>
          <a:off x="7264400" y="4973472400"/>
          <a:ext cx="1183640" cy="878840"/>
        </a:xfrm>
        <a:prstGeom prst="rect">
          <a:avLst/>
        </a:prstGeom>
      </xdr:spPr>
    </xdr:pic>
    <xdr:clientData/>
  </xdr:twoCellAnchor>
  <xdr:twoCellAnchor>
    <xdr:from>
      <xdr:col>8</xdr:col>
      <xdr:colOff>6350</xdr:colOff>
      <xdr:row>4983</xdr:row>
      <xdr:rowOff>25400</xdr:rowOff>
    </xdr:from>
    <xdr:to>
      <xdr:col>8</xdr:col>
      <xdr:colOff>1189990</xdr:colOff>
      <xdr:row>4983</xdr:row>
      <xdr:rowOff>904240</xdr:rowOff>
    </xdr:to>
    <xdr:pic>
      <xdr:nvPicPr>
        <xdr:cNvPr id="8143" name="Изображение 8142" descr="resizeПП-00244004"/>
        <xdr:cNvPicPr>
          <a:picLocks noChangeAspect="1"/>
        </xdr:cNvPicPr>
      </xdr:nvPicPr>
      <xdr:blipFill>
        <a:blip xmlns:r="http://schemas.openxmlformats.org/officeDocument/2006/relationships" r:embed="rId3820"/>
        <a:stretch>
          <a:fillRect/>
        </a:stretch>
      </xdr:blipFill>
      <xdr:spPr>
        <a:xfrm>
          <a:off x="7264400" y="4974694775"/>
          <a:ext cx="1183640" cy="878840"/>
        </a:xfrm>
        <a:prstGeom prst="rect">
          <a:avLst/>
        </a:prstGeom>
      </xdr:spPr>
    </xdr:pic>
    <xdr:clientData/>
  </xdr:twoCellAnchor>
  <xdr:twoCellAnchor>
    <xdr:from>
      <xdr:col>8</xdr:col>
      <xdr:colOff>6350</xdr:colOff>
      <xdr:row>4984</xdr:row>
      <xdr:rowOff>25400</xdr:rowOff>
    </xdr:from>
    <xdr:to>
      <xdr:col>8</xdr:col>
      <xdr:colOff>885190</xdr:colOff>
      <xdr:row>4984</xdr:row>
      <xdr:rowOff>1209040</xdr:rowOff>
    </xdr:to>
    <xdr:pic>
      <xdr:nvPicPr>
        <xdr:cNvPr id="8144" name="Изображение 8143" descr="resizeПП-00264453"/>
        <xdr:cNvPicPr>
          <a:picLocks noChangeAspect="1"/>
        </xdr:cNvPicPr>
      </xdr:nvPicPr>
      <xdr:blipFill>
        <a:blip xmlns:r="http://schemas.openxmlformats.org/officeDocument/2006/relationships" r:embed="rId3821"/>
        <a:stretch>
          <a:fillRect/>
        </a:stretch>
      </xdr:blipFill>
      <xdr:spPr>
        <a:xfrm>
          <a:off x="7264400" y="4975917150"/>
          <a:ext cx="878840" cy="1183640"/>
        </a:xfrm>
        <a:prstGeom prst="rect">
          <a:avLst/>
        </a:prstGeom>
      </xdr:spPr>
    </xdr:pic>
    <xdr:clientData/>
  </xdr:twoCellAnchor>
  <xdr:twoCellAnchor>
    <xdr:from>
      <xdr:col>8</xdr:col>
      <xdr:colOff>6350</xdr:colOff>
      <xdr:row>4985</xdr:row>
      <xdr:rowOff>25400</xdr:rowOff>
    </xdr:from>
    <xdr:to>
      <xdr:col>8</xdr:col>
      <xdr:colOff>885190</xdr:colOff>
      <xdr:row>4985</xdr:row>
      <xdr:rowOff>1209040</xdr:rowOff>
    </xdr:to>
    <xdr:pic>
      <xdr:nvPicPr>
        <xdr:cNvPr id="8145" name="Изображение 8144" descr="resizeПП-00272872"/>
        <xdr:cNvPicPr>
          <a:picLocks noChangeAspect="1"/>
        </xdr:cNvPicPr>
      </xdr:nvPicPr>
      <xdr:blipFill>
        <a:blip xmlns:r="http://schemas.openxmlformats.org/officeDocument/2006/relationships" r:embed="rId3822"/>
        <a:stretch>
          <a:fillRect/>
        </a:stretch>
      </xdr:blipFill>
      <xdr:spPr>
        <a:xfrm>
          <a:off x="7264400" y="4977139525"/>
          <a:ext cx="878840" cy="1183640"/>
        </a:xfrm>
        <a:prstGeom prst="rect">
          <a:avLst/>
        </a:prstGeom>
      </xdr:spPr>
    </xdr:pic>
    <xdr:clientData/>
  </xdr:twoCellAnchor>
  <xdr:twoCellAnchor>
    <xdr:from>
      <xdr:col>8</xdr:col>
      <xdr:colOff>6350</xdr:colOff>
      <xdr:row>4986</xdr:row>
      <xdr:rowOff>25400</xdr:rowOff>
    </xdr:from>
    <xdr:to>
      <xdr:col>8</xdr:col>
      <xdr:colOff>885190</xdr:colOff>
      <xdr:row>4986</xdr:row>
      <xdr:rowOff>1209040</xdr:rowOff>
    </xdr:to>
    <xdr:pic>
      <xdr:nvPicPr>
        <xdr:cNvPr id="8146" name="Изображение 8145" descr="resizeПП-00272867"/>
        <xdr:cNvPicPr>
          <a:picLocks noChangeAspect="1"/>
        </xdr:cNvPicPr>
      </xdr:nvPicPr>
      <xdr:blipFill>
        <a:blip xmlns:r="http://schemas.openxmlformats.org/officeDocument/2006/relationships" r:embed="rId3823"/>
        <a:stretch>
          <a:fillRect/>
        </a:stretch>
      </xdr:blipFill>
      <xdr:spPr>
        <a:xfrm>
          <a:off x="7264400" y="4978361900"/>
          <a:ext cx="878840" cy="1183640"/>
        </a:xfrm>
        <a:prstGeom prst="rect">
          <a:avLst/>
        </a:prstGeom>
      </xdr:spPr>
    </xdr:pic>
    <xdr:clientData/>
  </xdr:twoCellAnchor>
  <xdr:twoCellAnchor>
    <xdr:from>
      <xdr:col>8</xdr:col>
      <xdr:colOff>6350</xdr:colOff>
      <xdr:row>4987</xdr:row>
      <xdr:rowOff>25400</xdr:rowOff>
    </xdr:from>
    <xdr:to>
      <xdr:col>8</xdr:col>
      <xdr:colOff>885190</xdr:colOff>
      <xdr:row>4987</xdr:row>
      <xdr:rowOff>1209040</xdr:rowOff>
    </xdr:to>
    <xdr:pic>
      <xdr:nvPicPr>
        <xdr:cNvPr id="8147" name="Изображение 8146" descr="resizeПП-00272861"/>
        <xdr:cNvPicPr>
          <a:picLocks noChangeAspect="1"/>
        </xdr:cNvPicPr>
      </xdr:nvPicPr>
      <xdr:blipFill>
        <a:blip xmlns:r="http://schemas.openxmlformats.org/officeDocument/2006/relationships" r:embed="rId3824"/>
        <a:stretch>
          <a:fillRect/>
        </a:stretch>
      </xdr:blipFill>
      <xdr:spPr>
        <a:xfrm>
          <a:off x="7264400" y="4979584275"/>
          <a:ext cx="878840" cy="1183640"/>
        </a:xfrm>
        <a:prstGeom prst="rect">
          <a:avLst/>
        </a:prstGeom>
      </xdr:spPr>
    </xdr:pic>
    <xdr:clientData/>
  </xdr:twoCellAnchor>
  <xdr:twoCellAnchor>
    <xdr:from>
      <xdr:col>8</xdr:col>
      <xdr:colOff>6350</xdr:colOff>
      <xdr:row>4988</xdr:row>
      <xdr:rowOff>25400</xdr:rowOff>
    </xdr:from>
    <xdr:to>
      <xdr:col>8</xdr:col>
      <xdr:colOff>885190</xdr:colOff>
      <xdr:row>4988</xdr:row>
      <xdr:rowOff>1209040</xdr:rowOff>
    </xdr:to>
    <xdr:pic>
      <xdr:nvPicPr>
        <xdr:cNvPr id="8148" name="Изображение 8147" descr="resizeПП-00272859"/>
        <xdr:cNvPicPr>
          <a:picLocks noChangeAspect="1"/>
        </xdr:cNvPicPr>
      </xdr:nvPicPr>
      <xdr:blipFill>
        <a:blip xmlns:r="http://schemas.openxmlformats.org/officeDocument/2006/relationships" r:embed="rId3825"/>
        <a:stretch>
          <a:fillRect/>
        </a:stretch>
      </xdr:blipFill>
      <xdr:spPr>
        <a:xfrm>
          <a:off x="7264400" y="4980806650"/>
          <a:ext cx="878840" cy="1183640"/>
        </a:xfrm>
        <a:prstGeom prst="rect">
          <a:avLst/>
        </a:prstGeom>
      </xdr:spPr>
    </xdr:pic>
    <xdr:clientData/>
  </xdr:twoCellAnchor>
  <xdr:twoCellAnchor>
    <xdr:from>
      <xdr:col>8</xdr:col>
      <xdr:colOff>6350</xdr:colOff>
      <xdr:row>4989</xdr:row>
      <xdr:rowOff>25400</xdr:rowOff>
    </xdr:from>
    <xdr:to>
      <xdr:col>8</xdr:col>
      <xdr:colOff>885190</xdr:colOff>
      <xdr:row>4989</xdr:row>
      <xdr:rowOff>1209040</xdr:rowOff>
    </xdr:to>
    <xdr:pic>
      <xdr:nvPicPr>
        <xdr:cNvPr id="8149" name="Изображение 8148" descr="resizeПП-00272866"/>
        <xdr:cNvPicPr>
          <a:picLocks noChangeAspect="1"/>
        </xdr:cNvPicPr>
      </xdr:nvPicPr>
      <xdr:blipFill>
        <a:blip xmlns:r="http://schemas.openxmlformats.org/officeDocument/2006/relationships" r:embed="rId3826"/>
        <a:stretch>
          <a:fillRect/>
        </a:stretch>
      </xdr:blipFill>
      <xdr:spPr>
        <a:xfrm>
          <a:off x="7264400" y="4982029025"/>
          <a:ext cx="878840" cy="1183640"/>
        </a:xfrm>
        <a:prstGeom prst="rect">
          <a:avLst/>
        </a:prstGeom>
      </xdr:spPr>
    </xdr:pic>
    <xdr:clientData/>
  </xdr:twoCellAnchor>
  <xdr:twoCellAnchor>
    <xdr:from>
      <xdr:col>8</xdr:col>
      <xdr:colOff>6350</xdr:colOff>
      <xdr:row>4990</xdr:row>
      <xdr:rowOff>25400</xdr:rowOff>
    </xdr:from>
    <xdr:to>
      <xdr:col>8</xdr:col>
      <xdr:colOff>885190</xdr:colOff>
      <xdr:row>4990</xdr:row>
      <xdr:rowOff>1209040</xdr:rowOff>
    </xdr:to>
    <xdr:pic>
      <xdr:nvPicPr>
        <xdr:cNvPr id="8150" name="Изображение 8149" descr="resizeПП-00272864"/>
        <xdr:cNvPicPr>
          <a:picLocks noChangeAspect="1"/>
        </xdr:cNvPicPr>
      </xdr:nvPicPr>
      <xdr:blipFill>
        <a:blip xmlns:r="http://schemas.openxmlformats.org/officeDocument/2006/relationships" r:embed="rId3827"/>
        <a:stretch>
          <a:fillRect/>
        </a:stretch>
      </xdr:blipFill>
      <xdr:spPr>
        <a:xfrm>
          <a:off x="7264400" y="4983251400"/>
          <a:ext cx="878840" cy="1183640"/>
        </a:xfrm>
        <a:prstGeom prst="rect">
          <a:avLst/>
        </a:prstGeom>
      </xdr:spPr>
    </xdr:pic>
    <xdr:clientData/>
  </xdr:twoCellAnchor>
  <xdr:twoCellAnchor>
    <xdr:from>
      <xdr:col>8</xdr:col>
      <xdr:colOff>6350</xdr:colOff>
      <xdr:row>4991</xdr:row>
      <xdr:rowOff>25400</xdr:rowOff>
    </xdr:from>
    <xdr:to>
      <xdr:col>8</xdr:col>
      <xdr:colOff>885190</xdr:colOff>
      <xdr:row>4991</xdr:row>
      <xdr:rowOff>1209040</xdr:rowOff>
    </xdr:to>
    <xdr:pic>
      <xdr:nvPicPr>
        <xdr:cNvPr id="8151" name="Изображение 8150" descr="resizeПП-00272857"/>
        <xdr:cNvPicPr>
          <a:picLocks noChangeAspect="1"/>
        </xdr:cNvPicPr>
      </xdr:nvPicPr>
      <xdr:blipFill>
        <a:blip xmlns:r="http://schemas.openxmlformats.org/officeDocument/2006/relationships" r:embed="rId3828"/>
        <a:stretch>
          <a:fillRect/>
        </a:stretch>
      </xdr:blipFill>
      <xdr:spPr>
        <a:xfrm>
          <a:off x="7264400" y="4984473775"/>
          <a:ext cx="878840" cy="1183640"/>
        </a:xfrm>
        <a:prstGeom prst="rect">
          <a:avLst/>
        </a:prstGeom>
      </xdr:spPr>
    </xdr:pic>
    <xdr:clientData/>
  </xdr:twoCellAnchor>
  <xdr:twoCellAnchor>
    <xdr:from>
      <xdr:col>8</xdr:col>
      <xdr:colOff>6350</xdr:colOff>
      <xdr:row>4993</xdr:row>
      <xdr:rowOff>25400</xdr:rowOff>
    </xdr:from>
    <xdr:to>
      <xdr:col>8</xdr:col>
      <xdr:colOff>885190</xdr:colOff>
      <xdr:row>4993</xdr:row>
      <xdr:rowOff>1209040</xdr:rowOff>
    </xdr:to>
    <xdr:pic>
      <xdr:nvPicPr>
        <xdr:cNvPr id="8152" name="Изображение 8151" descr="resizeПП-00263962"/>
        <xdr:cNvPicPr>
          <a:picLocks noChangeAspect="1"/>
        </xdr:cNvPicPr>
      </xdr:nvPicPr>
      <xdr:blipFill>
        <a:blip xmlns:r="http://schemas.openxmlformats.org/officeDocument/2006/relationships" r:embed="rId3829"/>
        <a:stretch>
          <a:fillRect/>
        </a:stretch>
      </xdr:blipFill>
      <xdr:spPr>
        <a:xfrm>
          <a:off x="7264400" y="4985848550"/>
          <a:ext cx="878840" cy="1183640"/>
        </a:xfrm>
        <a:prstGeom prst="rect">
          <a:avLst/>
        </a:prstGeom>
      </xdr:spPr>
    </xdr:pic>
    <xdr:clientData/>
  </xdr:twoCellAnchor>
  <xdr:twoCellAnchor>
    <xdr:from>
      <xdr:col>8</xdr:col>
      <xdr:colOff>6350</xdr:colOff>
      <xdr:row>4994</xdr:row>
      <xdr:rowOff>25400</xdr:rowOff>
    </xdr:from>
    <xdr:to>
      <xdr:col>8</xdr:col>
      <xdr:colOff>1189990</xdr:colOff>
      <xdr:row>4994</xdr:row>
      <xdr:rowOff>904240</xdr:rowOff>
    </xdr:to>
    <xdr:pic>
      <xdr:nvPicPr>
        <xdr:cNvPr id="8153" name="Изображение 8152" descr="resizeПП-00263971"/>
        <xdr:cNvPicPr>
          <a:picLocks noChangeAspect="1"/>
        </xdr:cNvPicPr>
      </xdr:nvPicPr>
      <xdr:blipFill>
        <a:blip xmlns:r="http://schemas.openxmlformats.org/officeDocument/2006/relationships" r:embed="rId3830"/>
        <a:stretch>
          <a:fillRect/>
        </a:stretch>
      </xdr:blipFill>
      <xdr:spPr>
        <a:xfrm>
          <a:off x="7264400" y="4987070925"/>
          <a:ext cx="1183640" cy="878840"/>
        </a:xfrm>
        <a:prstGeom prst="rect">
          <a:avLst/>
        </a:prstGeom>
      </xdr:spPr>
    </xdr:pic>
    <xdr:clientData/>
  </xdr:twoCellAnchor>
  <xdr:twoCellAnchor>
    <xdr:from>
      <xdr:col>8</xdr:col>
      <xdr:colOff>6350</xdr:colOff>
      <xdr:row>4995</xdr:row>
      <xdr:rowOff>25400</xdr:rowOff>
    </xdr:from>
    <xdr:to>
      <xdr:col>8</xdr:col>
      <xdr:colOff>885190</xdr:colOff>
      <xdr:row>4995</xdr:row>
      <xdr:rowOff>1209040</xdr:rowOff>
    </xdr:to>
    <xdr:pic>
      <xdr:nvPicPr>
        <xdr:cNvPr id="8154" name="Изображение 8153" descr="resizeПП-00263958"/>
        <xdr:cNvPicPr>
          <a:picLocks noChangeAspect="1"/>
        </xdr:cNvPicPr>
      </xdr:nvPicPr>
      <xdr:blipFill>
        <a:blip xmlns:r="http://schemas.openxmlformats.org/officeDocument/2006/relationships" r:embed="rId3831"/>
        <a:stretch>
          <a:fillRect/>
        </a:stretch>
      </xdr:blipFill>
      <xdr:spPr>
        <a:xfrm>
          <a:off x="7264400" y="4988293300"/>
          <a:ext cx="878840" cy="1183640"/>
        </a:xfrm>
        <a:prstGeom prst="rect">
          <a:avLst/>
        </a:prstGeom>
      </xdr:spPr>
    </xdr:pic>
    <xdr:clientData/>
  </xdr:twoCellAnchor>
  <xdr:twoCellAnchor>
    <xdr:from>
      <xdr:col>8</xdr:col>
      <xdr:colOff>6350</xdr:colOff>
      <xdr:row>4996</xdr:row>
      <xdr:rowOff>25400</xdr:rowOff>
    </xdr:from>
    <xdr:to>
      <xdr:col>8</xdr:col>
      <xdr:colOff>885190</xdr:colOff>
      <xdr:row>4996</xdr:row>
      <xdr:rowOff>1209040</xdr:rowOff>
    </xdr:to>
    <xdr:pic>
      <xdr:nvPicPr>
        <xdr:cNvPr id="8155" name="Изображение 8154" descr="resizeПП-00263968"/>
        <xdr:cNvPicPr>
          <a:picLocks noChangeAspect="1"/>
        </xdr:cNvPicPr>
      </xdr:nvPicPr>
      <xdr:blipFill>
        <a:blip xmlns:r="http://schemas.openxmlformats.org/officeDocument/2006/relationships" r:embed="rId3832"/>
        <a:stretch>
          <a:fillRect/>
        </a:stretch>
      </xdr:blipFill>
      <xdr:spPr>
        <a:xfrm>
          <a:off x="7264400" y="4989515675"/>
          <a:ext cx="878840" cy="1183640"/>
        </a:xfrm>
        <a:prstGeom prst="rect">
          <a:avLst/>
        </a:prstGeom>
      </xdr:spPr>
    </xdr:pic>
    <xdr:clientData/>
  </xdr:twoCellAnchor>
  <xdr:twoCellAnchor>
    <xdr:from>
      <xdr:col>8</xdr:col>
      <xdr:colOff>6350</xdr:colOff>
      <xdr:row>4997</xdr:row>
      <xdr:rowOff>25400</xdr:rowOff>
    </xdr:from>
    <xdr:to>
      <xdr:col>8</xdr:col>
      <xdr:colOff>885190</xdr:colOff>
      <xdr:row>4997</xdr:row>
      <xdr:rowOff>1209040</xdr:rowOff>
    </xdr:to>
    <xdr:pic>
      <xdr:nvPicPr>
        <xdr:cNvPr id="8156" name="Изображение 8155" descr="resizeПП-00263960"/>
        <xdr:cNvPicPr>
          <a:picLocks noChangeAspect="1"/>
        </xdr:cNvPicPr>
      </xdr:nvPicPr>
      <xdr:blipFill>
        <a:blip xmlns:r="http://schemas.openxmlformats.org/officeDocument/2006/relationships" r:embed="rId3833"/>
        <a:stretch>
          <a:fillRect/>
        </a:stretch>
      </xdr:blipFill>
      <xdr:spPr>
        <a:xfrm>
          <a:off x="7264400" y="4990738050"/>
          <a:ext cx="878840" cy="1183640"/>
        </a:xfrm>
        <a:prstGeom prst="rect">
          <a:avLst/>
        </a:prstGeom>
      </xdr:spPr>
    </xdr:pic>
    <xdr:clientData/>
  </xdr:twoCellAnchor>
  <xdr:twoCellAnchor>
    <xdr:from>
      <xdr:col>8</xdr:col>
      <xdr:colOff>6350</xdr:colOff>
      <xdr:row>4998</xdr:row>
      <xdr:rowOff>25400</xdr:rowOff>
    </xdr:from>
    <xdr:to>
      <xdr:col>8</xdr:col>
      <xdr:colOff>885190</xdr:colOff>
      <xdr:row>4998</xdr:row>
      <xdr:rowOff>1209040</xdr:rowOff>
    </xdr:to>
    <xdr:pic>
      <xdr:nvPicPr>
        <xdr:cNvPr id="8157" name="Изображение 8156" descr="resizeПП-00263977"/>
        <xdr:cNvPicPr>
          <a:picLocks noChangeAspect="1"/>
        </xdr:cNvPicPr>
      </xdr:nvPicPr>
      <xdr:blipFill>
        <a:blip xmlns:r="http://schemas.openxmlformats.org/officeDocument/2006/relationships" r:embed="rId3834"/>
        <a:stretch>
          <a:fillRect/>
        </a:stretch>
      </xdr:blipFill>
      <xdr:spPr>
        <a:xfrm>
          <a:off x="7264400" y="4991960425"/>
          <a:ext cx="878840" cy="1183640"/>
        </a:xfrm>
        <a:prstGeom prst="rect">
          <a:avLst/>
        </a:prstGeom>
      </xdr:spPr>
    </xdr:pic>
    <xdr:clientData/>
  </xdr:twoCellAnchor>
  <xdr:twoCellAnchor>
    <xdr:from>
      <xdr:col>8</xdr:col>
      <xdr:colOff>6350</xdr:colOff>
      <xdr:row>4999</xdr:row>
      <xdr:rowOff>25400</xdr:rowOff>
    </xdr:from>
    <xdr:to>
      <xdr:col>8</xdr:col>
      <xdr:colOff>885190</xdr:colOff>
      <xdr:row>4999</xdr:row>
      <xdr:rowOff>1209040</xdr:rowOff>
    </xdr:to>
    <xdr:pic>
      <xdr:nvPicPr>
        <xdr:cNvPr id="8158" name="Изображение 8157" descr="resizeПП-00263954"/>
        <xdr:cNvPicPr>
          <a:picLocks noChangeAspect="1"/>
        </xdr:cNvPicPr>
      </xdr:nvPicPr>
      <xdr:blipFill>
        <a:blip xmlns:r="http://schemas.openxmlformats.org/officeDocument/2006/relationships" r:embed="rId3835"/>
        <a:stretch>
          <a:fillRect/>
        </a:stretch>
      </xdr:blipFill>
      <xdr:spPr>
        <a:xfrm>
          <a:off x="7264400" y="4993182800"/>
          <a:ext cx="878840" cy="1183640"/>
        </a:xfrm>
        <a:prstGeom prst="rect">
          <a:avLst/>
        </a:prstGeom>
      </xdr:spPr>
    </xdr:pic>
    <xdr:clientData/>
  </xdr:twoCellAnchor>
  <xdr:twoCellAnchor>
    <xdr:from>
      <xdr:col>8</xdr:col>
      <xdr:colOff>6350</xdr:colOff>
      <xdr:row>5000</xdr:row>
      <xdr:rowOff>25400</xdr:rowOff>
    </xdr:from>
    <xdr:to>
      <xdr:col>8</xdr:col>
      <xdr:colOff>885190</xdr:colOff>
      <xdr:row>5000</xdr:row>
      <xdr:rowOff>1209040</xdr:rowOff>
    </xdr:to>
    <xdr:pic>
      <xdr:nvPicPr>
        <xdr:cNvPr id="8159" name="Изображение 8158" descr="resizeПП-00263959"/>
        <xdr:cNvPicPr>
          <a:picLocks noChangeAspect="1"/>
        </xdr:cNvPicPr>
      </xdr:nvPicPr>
      <xdr:blipFill>
        <a:blip xmlns:r="http://schemas.openxmlformats.org/officeDocument/2006/relationships" r:embed="rId3836"/>
        <a:stretch>
          <a:fillRect/>
        </a:stretch>
      </xdr:blipFill>
      <xdr:spPr>
        <a:xfrm>
          <a:off x="7264400" y="4994405175"/>
          <a:ext cx="878840" cy="1183640"/>
        </a:xfrm>
        <a:prstGeom prst="rect">
          <a:avLst/>
        </a:prstGeom>
      </xdr:spPr>
    </xdr:pic>
    <xdr:clientData/>
  </xdr:twoCellAnchor>
  <xdr:twoCellAnchor>
    <xdr:from>
      <xdr:col>8</xdr:col>
      <xdr:colOff>6350</xdr:colOff>
      <xdr:row>5001</xdr:row>
      <xdr:rowOff>25400</xdr:rowOff>
    </xdr:from>
    <xdr:to>
      <xdr:col>8</xdr:col>
      <xdr:colOff>1189990</xdr:colOff>
      <xdr:row>5001</xdr:row>
      <xdr:rowOff>904240</xdr:rowOff>
    </xdr:to>
    <xdr:pic>
      <xdr:nvPicPr>
        <xdr:cNvPr id="8160" name="Изображение 8159" descr="resizeПП-00263970"/>
        <xdr:cNvPicPr>
          <a:picLocks noChangeAspect="1"/>
        </xdr:cNvPicPr>
      </xdr:nvPicPr>
      <xdr:blipFill>
        <a:blip xmlns:r="http://schemas.openxmlformats.org/officeDocument/2006/relationships" r:embed="rId3837"/>
        <a:stretch>
          <a:fillRect/>
        </a:stretch>
      </xdr:blipFill>
      <xdr:spPr>
        <a:xfrm>
          <a:off x="7264400" y="4995627550"/>
          <a:ext cx="1183640" cy="878840"/>
        </a:xfrm>
        <a:prstGeom prst="rect">
          <a:avLst/>
        </a:prstGeom>
      </xdr:spPr>
    </xdr:pic>
    <xdr:clientData/>
  </xdr:twoCellAnchor>
  <xdr:twoCellAnchor>
    <xdr:from>
      <xdr:col>8</xdr:col>
      <xdr:colOff>6350</xdr:colOff>
      <xdr:row>5002</xdr:row>
      <xdr:rowOff>25400</xdr:rowOff>
    </xdr:from>
    <xdr:to>
      <xdr:col>8</xdr:col>
      <xdr:colOff>885190</xdr:colOff>
      <xdr:row>5002</xdr:row>
      <xdr:rowOff>1209040</xdr:rowOff>
    </xdr:to>
    <xdr:pic>
      <xdr:nvPicPr>
        <xdr:cNvPr id="8161" name="Изображение 8160" descr="resizeПП-00263973"/>
        <xdr:cNvPicPr>
          <a:picLocks noChangeAspect="1"/>
        </xdr:cNvPicPr>
      </xdr:nvPicPr>
      <xdr:blipFill>
        <a:blip xmlns:r="http://schemas.openxmlformats.org/officeDocument/2006/relationships" r:embed="rId3838"/>
        <a:stretch>
          <a:fillRect/>
        </a:stretch>
      </xdr:blipFill>
      <xdr:spPr>
        <a:xfrm>
          <a:off x="7264400" y="4996849925"/>
          <a:ext cx="878840" cy="1183640"/>
        </a:xfrm>
        <a:prstGeom prst="rect">
          <a:avLst/>
        </a:prstGeom>
      </xdr:spPr>
    </xdr:pic>
    <xdr:clientData/>
  </xdr:twoCellAnchor>
  <xdr:twoCellAnchor>
    <xdr:from>
      <xdr:col>8</xdr:col>
      <xdr:colOff>6350</xdr:colOff>
      <xdr:row>5003</xdr:row>
      <xdr:rowOff>25400</xdr:rowOff>
    </xdr:from>
    <xdr:to>
      <xdr:col>8</xdr:col>
      <xdr:colOff>1189990</xdr:colOff>
      <xdr:row>5003</xdr:row>
      <xdr:rowOff>904240</xdr:rowOff>
    </xdr:to>
    <xdr:pic>
      <xdr:nvPicPr>
        <xdr:cNvPr id="8162" name="Изображение 8161" descr="resizeПП-00263961"/>
        <xdr:cNvPicPr>
          <a:picLocks noChangeAspect="1"/>
        </xdr:cNvPicPr>
      </xdr:nvPicPr>
      <xdr:blipFill>
        <a:blip xmlns:r="http://schemas.openxmlformats.org/officeDocument/2006/relationships" r:embed="rId3839"/>
        <a:stretch>
          <a:fillRect/>
        </a:stretch>
      </xdr:blipFill>
      <xdr:spPr>
        <a:xfrm>
          <a:off x="7264400" y="4998072300"/>
          <a:ext cx="1183640" cy="878840"/>
        </a:xfrm>
        <a:prstGeom prst="rect">
          <a:avLst/>
        </a:prstGeom>
      </xdr:spPr>
    </xdr:pic>
    <xdr:clientData/>
  </xdr:twoCellAnchor>
  <xdr:twoCellAnchor>
    <xdr:from>
      <xdr:col>8</xdr:col>
      <xdr:colOff>6350</xdr:colOff>
      <xdr:row>5004</xdr:row>
      <xdr:rowOff>25400</xdr:rowOff>
    </xdr:from>
    <xdr:to>
      <xdr:col>8</xdr:col>
      <xdr:colOff>885190</xdr:colOff>
      <xdr:row>5004</xdr:row>
      <xdr:rowOff>1209040</xdr:rowOff>
    </xdr:to>
    <xdr:pic>
      <xdr:nvPicPr>
        <xdr:cNvPr id="8163" name="Изображение 8162" descr="resizeПП-00263956"/>
        <xdr:cNvPicPr>
          <a:picLocks noChangeAspect="1"/>
        </xdr:cNvPicPr>
      </xdr:nvPicPr>
      <xdr:blipFill>
        <a:blip xmlns:r="http://schemas.openxmlformats.org/officeDocument/2006/relationships" r:embed="rId3840"/>
        <a:stretch>
          <a:fillRect/>
        </a:stretch>
      </xdr:blipFill>
      <xdr:spPr>
        <a:xfrm>
          <a:off x="7264400" y="4999294675"/>
          <a:ext cx="878840" cy="1183640"/>
        </a:xfrm>
        <a:prstGeom prst="rect">
          <a:avLst/>
        </a:prstGeom>
      </xdr:spPr>
    </xdr:pic>
    <xdr:clientData/>
  </xdr:twoCellAnchor>
  <xdr:twoCellAnchor>
    <xdr:from>
      <xdr:col>8</xdr:col>
      <xdr:colOff>6350</xdr:colOff>
      <xdr:row>5005</xdr:row>
      <xdr:rowOff>25400</xdr:rowOff>
    </xdr:from>
    <xdr:to>
      <xdr:col>8</xdr:col>
      <xdr:colOff>1189990</xdr:colOff>
      <xdr:row>5005</xdr:row>
      <xdr:rowOff>904240</xdr:rowOff>
    </xdr:to>
    <xdr:pic>
      <xdr:nvPicPr>
        <xdr:cNvPr id="8164" name="Изображение 8163" descr="resizeПП-00263966"/>
        <xdr:cNvPicPr>
          <a:picLocks noChangeAspect="1"/>
        </xdr:cNvPicPr>
      </xdr:nvPicPr>
      <xdr:blipFill>
        <a:blip xmlns:r="http://schemas.openxmlformats.org/officeDocument/2006/relationships" r:embed="rId3841"/>
        <a:stretch>
          <a:fillRect/>
        </a:stretch>
      </xdr:blipFill>
      <xdr:spPr>
        <a:xfrm>
          <a:off x="7264400" y="5000517050"/>
          <a:ext cx="1183640" cy="878840"/>
        </a:xfrm>
        <a:prstGeom prst="rect">
          <a:avLst/>
        </a:prstGeom>
      </xdr:spPr>
    </xdr:pic>
    <xdr:clientData/>
  </xdr:twoCellAnchor>
  <xdr:twoCellAnchor>
    <xdr:from>
      <xdr:col>8</xdr:col>
      <xdr:colOff>6350</xdr:colOff>
      <xdr:row>5006</xdr:row>
      <xdr:rowOff>25400</xdr:rowOff>
    </xdr:from>
    <xdr:to>
      <xdr:col>8</xdr:col>
      <xdr:colOff>885190</xdr:colOff>
      <xdr:row>5006</xdr:row>
      <xdr:rowOff>1209040</xdr:rowOff>
    </xdr:to>
    <xdr:pic>
      <xdr:nvPicPr>
        <xdr:cNvPr id="8165" name="Изображение 8164" descr="resizeПП-00263948"/>
        <xdr:cNvPicPr>
          <a:picLocks noChangeAspect="1"/>
        </xdr:cNvPicPr>
      </xdr:nvPicPr>
      <xdr:blipFill>
        <a:blip xmlns:r="http://schemas.openxmlformats.org/officeDocument/2006/relationships" r:embed="rId3842"/>
        <a:stretch>
          <a:fillRect/>
        </a:stretch>
      </xdr:blipFill>
      <xdr:spPr>
        <a:xfrm>
          <a:off x="7264400" y="5001739425"/>
          <a:ext cx="878840" cy="1183640"/>
        </a:xfrm>
        <a:prstGeom prst="rect">
          <a:avLst/>
        </a:prstGeom>
      </xdr:spPr>
    </xdr:pic>
    <xdr:clientData/>
  </xdr:twoCellAnchor>
  <xdr:twoCellAnchor>
    <xdr:from>
      <xdr:col>8</xdr:col>
      <xdr:colOff>6350</xdr:colOff>
      <xdr:row>5007</xdr:row>
      <xdr:rowOff>25400</xdr:rowOff>
    </xdr:from>
    <xdr:to>
      <xdr:col>8</xdr:col>
      <xdr:colOff>1189990</xdr:colOff>
      <xdr:row>5007</xdr:row>
      <xdr:rowOff>904240</xdr:rowOff>
    </xdr:to>
    <xdr:pic>
      <xdr:nvPicPr>
        <xdr:cNvPr id="8166" name="Изображение 8165" descr="resizeПП-00263975"/>
        <xdr:cNvPicPr>
          <a:picLocks noChangeAspect="1"/>
        </xdr:cNvPicPr>
      </xdr:nvPicPr>
      <xdr:blipFill>
        <a:blip xmlns:r="http://schemas.openxmlformats.org/officeDocument/2006/relationships" r:embed="rId3843"/>
        <a:stretch>
          <a:fillRect/>
        </a:stretch>
      </xdr:blipFill>
      <xdr:spPr>
        <a:xfrm>
          <a:off x="7264400" y="5002961800"/>
          <a:ext cx="1183640" cy="878840"/>
        </a:xfrm>
        <a:prstGeom prst="rect">
          <a:avLst/>
        </a:prstGeom>
      </xdr:spPr>
    </xdr:pic>
    <xdr:clientData/>
  </xdr:twoCellAnchor>
  <xdr:twoCellAnchor>
    <xdr:from>
      <xdr:col>8</xdr:col>
      <xdr:colOff>6350</xdr:colOff>
      <xdr:row>5008</xdr:row>
      <xdr:rowOff>25400</xdr:rowOff>
    </xdr:from>
    <xdr:to>
      <xdr:col>8</xdr:col>
      <xdr:colOff>885190</xdr:colOff>
      <xdr:row>5008</xdr:row>
      <xdr:rowOff>1209040</xdr:rowOff>
    </xdr:to>
    <xdr:pic>
      <xdr:nvPicPr>
        <xdr:cNvPr id="8167" name="Изображение 8166" descr="resizeПП-00213860"/>
        <xdr:cNvPicPr>
          <a:picLocks noChangeAspect="1"/>
        </xdr:cNvPicPr>
      </xdr:nvPicPr>
      <xdr:blipFill>
        <a:blip xmlns:r="http://schemas.openxmlformats.org/officeDocument/2006/relationships" r:embed="rId3844"/>
        <a:stretch>
          <a:fillRect/>
        </a:stretch>
      </xdr:blipFill>
      <xdr:spPr>
        <a:xfrm>
          <a:off x="7264400" y="5004184175"/>
          <a:ext cx="878840" cy="1183640"/>
        </a:xfrm>
        <a:prstGeom prst="rect">
          <a:avLst/>
        </a:prstGeom>
      </xdr:spPr>
    </xdr:pic>
    <xdr:clientData/>
  </xdr:twoCellAnchor>
  <xdr:twoCellAnchor>
    <xdr:from>
      <xdr:col>8</xdr:col>
      <xdr:colOff>6350</xdr:colOff>
      <xdr:row>5009</xdr:row>
      <xdr:rowOff>25400</xdr:rowOff>
    </xdr:from>
    <xdr:to>
      <xdr:col>8</xdr:col>
      <xdr:colOff>885190</xdr:colOff>
      <xdr:row>5009</xdr:row>
      <xdr:rowOff>1209040</xdr:rowOff>
    </xdr:to>
    <xdr:pic>
      <xdr:nvPicPr>
        <xdr:cNvPr id="8168" name="Изображение 8167" descr="resizeПП-00213862"/>
        <xdr:cNvPicPr>
          <a:picLocks noChangeAspect="1"/>
        </xdr:cNvPicPr>
      </xdr:nvPicPr>
      <xdr:blipFill>
        <a:blip xmlns:r="http://schemas.openxmlformats.org/officeDocument/2006/relationships" r:embed="rId3845"/>
        <a:stretch>
          <a:fillRect/>
        </a:stretch>
      </xdr:blipFill>
      <xdr:spPr>
        <a:xfrm>
          <a:off x="7264400" y="5005406550"/>
          <a:ext cx="878840" cy="1183640"/>
        </a:xfrm>
        <a:prstGeom prst="rect">
          <a:avLst/>
        </a:prstGeom>
      </xdr:spPr>
    </xdr:pic>
    <xdr:clientData/>
  </xdr:twoCellAnchor>
  <xdr:twoCellAnchor>
    <xdr:from>
      <xdr:col>8</xdr:col>
      <xdr:colOff>6350</xdr:colOff>
      <xdr:row>5012</xdr:row>
      <xdr:rowOff>25400</xdr:rowOff>
    </xdr:from>
    <xdr:to>
      <xdr:col>8</xdr:col>
      <xdr:colOff>885190</xdr:colOff>
      <xdr:row>5012</xdr:row>
      <xdr:rowOff>1209040</xdr:rowOff>
    </xdr:to>
    <xdr:pic>
      <xdr:nvPicPr>
        <xdr:cNvPr id="8169" name="Изображение 8168" descr="resizeПП-00271890"/>
        <xdr:cNvPicPr>
          <a:picLocks noChangeAspect="1"/>
        </xdr:cNvPicPr>
      </xdr:nvPicPr>
      <xdr:blipFill>
        <a:blip xmlns:r="http://schemas.openxmlformats.org/officeDocument/2006/relationships" r:embed="rId3846"/>
        <a:stretch>
          <a:fillRect/>
        </a:stretch>
      </xdr:blipFill>
      <xdr:spPr>
        <a:xfrm>
          <a:off x="7264400" y="5006933725"/>
          <a:ext cx="878840" cy="1183640"/>
        </a:xfrm>
        <a:prstGeom prst="rect">
          <a:avLst/>
        </a:prstGeom>
      </xdr:spPr>
    </xdr:pic>
    <xdr:clientData/>
  </xdr:twoCellAnchor>
  <xdr:twoCellAnchor>
    <xdr:from>
      <xdr:col>8</xdr:col>
      <xdr:colOff>6350</xdr:colOff>
      <xdr:row>5013</xdr:row>
      <xdr:rowOff>25400</xdr:rowOff>
    </xdr:from>
    <xdr:to>
      <xdr:col>8</xdr:col>
      <xdr:colOff>885190</xdr:colOff>
      <xdr:row>5013</xdr:row>
      <xdr:rowOff>1209040</xdr:rowOff>
    </xdr:to>
    <xdr:pic>
      <xdr:nvPicPr>
        <xdr:cNvPr id="8170" name="Изображение 8169" descr="resizeПП-00271889"/>
        <xdr:cNvPicPr>
          <a:picLocks noChangeAspect="1"/>
        </xdr:cNvPicPr>
      </xdr:nvPicPr>
      <xdr:blipFill>
        <a:blip xmlns:r="http://schemas.openxmlformats.org/officeDocument/2006/relationships" r:embed="rId3847"/>
        <a:stretch>
          <a:fillRect/>
        </a:stretch>
      </xdr:blipFill>
      <xdr:spPr>
        <a:xfrm>
          <a:off x="7264400" y="5008156100"/>
          <a:ext cx="878840" cy="1183640"/>
        </a:xfrm>
        <a:prstGeom prst="rect">
          <a:avLst/>
        </a:prstGeom>
      </xdr:spPr>
    </xdr:pic>
    <xdr:clientData/>
  </xdr:twoCellAnchor>
  <xdr:twoCellAnchor>
    <xdr:from>
      <xdr:col>8</xdr:col>
      <xdr:colOff>6350</xdr:colOff>
      <xdr:row>5014</xdr:row>
      <xdr:rowOff>25400</xdr:rowOff>
    </xdr:from>
    <xdr:to>
      <xdr:col>8</xdr:col>
      <xdr:colOff>885190</xdr:colOff>
      <xdr:row>5014</xdr:row>
      <xdr:rowOff>1209040</xdr:rowOff>
    </xdr:to>
    <xdr:pic>
      <xdr:nvPicPr>
        <xdr:cNvPr id="8171" name="Изображение 8170" descr="resizeПП-00271753"/>
        <xdr:cNvPicPr>
          <a:picLocks noChangeAspect="1"/>
        </xdr:cNvPicPr>
      </xdr:nvPicPr>
      <xdr:blipFill>
        <a:blip xmlns:r="http://schemas.openxmlformats.org/officeDocument/2006/relationships" r:embed="rId3848"/>
        <a:stretch>
          <a:fillRect/>
        </a:stretch>
      </xdr:blipFill>
      <xdr:spPr>
        <a:xfrm>
          <a:off x="7264400" y="5009378475"/>
          <a:ext cx="878840" cy="1183640"/>
        </a:xfrm>
        <a:prstGeom prst="rect">
          <a:avLst/>
        </a:prstGeom>
      </xdr:spPr>
    </xdr:pic>
    <xdr:clientData/>
  </xdr:twoCellAnchor>
  <xdr:twoCellAnchor>
    <xdr:from>
      <xdr:col>8</xdr:col>
      <xdr:colOff>6350</xdr:colOff>
      <xdr:row>5016</xdr:row>
      <xdr:rowOff>25400</xdr:rowOff>
    </xdr:from>
    <xdr:to>
      <xdr:col>8</xdr:col>
      <xdr:colOff>1189990</xdr:colOff>
      <xdr:row>5016</xdr:row>
      <xdr:rowOff>904240</xdr:rowOff>
    </xdr:to>
    <xdr:pic>
      <xdr:nvPicPr>
        <xdr:cNvPr id="8172" name="Изображение 8171" descr="resizeПП-00185826"/>
        <xdr:cNvPicPr>
          <a:picLocks noChangeAspect="1"/>
        </xdr:cNvPicPr>
      </xdr:nvPicPr>
      <xdr:blipFill>
        <a:blip xmlns:r="http://schemas.openxmlformats.org/officeDocument/2006/relationships" r:embed="rId3849"/>
        <a:stretch>
          <a:fillRect/>
        </a:stretch>
      </xdr:blipFill>
      <xdr:spPr>
        <a:xfrm>
          <a:off x="7264400" y="5010753250"/>
          <a:ext cx="1183640" cy="878840"/>
        </a:xfrm>
        <a:prstGeom prst="rect">
          <a:avLst/>
        </a:prstGeom>
      </xdr:spPr>
    </xdr:pic>
    <xdr:clientData/>
  </xdr:twoCellAnchor>
  <xdr:twoCellAnchor>
    <xdr:from>
      <xdr:col>8</xdr:col>
      <xdr:colOff>6350</xdr:colOff>
      <xdr:row>5017</xdr:row>
      <xdr:rowOff>25400</xdr:rowOff>
    </xdr:from>
    <xdr:to>
      <xdr:col>8</xdr:col>
      <xdr:colOff>885190</xdr:colOff>
      <xdr:row>5017</xdr:row>
      <xdr:rowOff>1209040</xdr:rowOff>
    </xdr:to>
    <xdr:pic>
      <xdr:nvPicPr>
        <xdr:cNvPr id="8173" name="Изображение 8172" descr="resizeПП-00185831"/>
        <xdr:cNvPicPr>
          <a:picLocks noChangeAspect="1"/>
        </xdr:cNvPicPr>
      </xdr:nvPicPr>
      <xdr:blipFill>
        <a:blip xmlns:r="http://schemas.openxmlformats.org/officeDocument/2006/relationships" r:embed="rId3850"/>
        <a:stretch>
          <a:fillRect/>
        </a:stretch>
      </xdr:blipFill>
      <xdr:spPr>
        <a:xfrm>
          <a:off x="7264400" y="5011975625"/>
          <a:ext cx="878840" cy="1183640"/>
        </a:xfrm>
        <a:prstGeom prst="rect">
          <a:avLst/>
        </a:prstGeom>
      </xdr:spPr>
    </xdr:pic>
    <xdr:clientData/>
  </xdr:twoCellAnchor>
  <xdr:twoCellAnchor>
    <xdr:from>
      <xdr:col>8</xdr:col>
      <xdr:colOff>6350</xdr:colOff>
      <xdr:row>5019</xdr:row>
      <xdr:rowOff>25400</xdr:rowOff>
    </xdr:from>
    <xdr:to>
      <xdr:col>8</xdr:col>
      <xdr:colOff>885190</xdr:colOff>
      <xdr:row>5019</xdr:row>
      <xdr:rowOff>1209040</xdr:rowOff>
    </xdr:to>
    <xdr:pic>
      <xdr:nvPicPr>
        <xdr:cNvPr id="8174" name="Изображение 8173" descr="resizeПП-00278589"/>
        <xdr:cNvPicPr>
          <a:picLocks noChangeAspect="1"/>
        </xdr:cNvPicPr>
      </xdr:nvPicPr>
      <xdr:blipFill>
        <a:blip xmlns:r="http://schemas.openxmlformats.org/officeDocument/2006/relationships" r:embed="rId3851"/>
        <a:stretch>
          <a:fillRect/>
        </a:stretch>
      </xdr:blipFill>
      <xdr:spPr>
        <a:xfrm>
          <a:off x="7264400" y="5013350400"/>
          <a:ext cx="878840" cy="1183640"/>
        </a:xfrm>
        <a:prstGeom prst="rect">
          <a:avLst/>
        </a:prstGeom>
      </xdr:spPr>
    </xdr:pic>
    <xdr:clientData/>
  </xdr:twoCellAnchor>
  <xdr:twoCellAnchor>
    <xdr:from>
      <xdr:col>8</xdr:col>
      <xdr:colOff>6350</xdr:colOff>
      <xdr:row>5020</xdr:row>
      <xdr:rowOff>25400</xdr:rowOff>
    </xdr:from>
    <xdr:to>
      <xdr:col>8</xdr:col>
      <xdr:colOff>885190</xdr:colOff>
      <xdr:row>5020</xdr:row>
      <xdr:rowOff>1209040</xdr:rowOff>
    </xdr:to>
    <xdr:pic>
      <xdr:nvPicPr>
        <xdr:cNvPr id="8175" name="Изображение 8174" descr="resizeПП-00278585"/>
        <xdr:cNvPicPr>
          <a:picLocks noChangeAspect="1"/>
        </xdr:cNvPicPr>
      </xdr:nvPicPr>
      <xdr:blipFill>
        <a:blip xmlns:r="http://schemas.openxmlformats.org/officeDocument/2006/relationships" r:embed="rId3852"/>
        <a:stretch>
          <a:fillRect/>
        </a:stretch>
      </xdr:blipFill>
      <xdr:spPr>
        <a:xfrm>
          <a:off x="7264400" y="5014572775"/>
          <a:ext cx="878840" cy="1183640"/>
        </a:xfrm>
        <a:prstGeom prst="rect">
          <a:avLst/>
        </a:prstGeom>
      </xdr:spPr>
    </xdr:pic>
    <xdr:clientData/>
  </xdr:twoCellAnchor>
  <xdr:twoCellAnchor>
    <xdr:from>
      <xdr:col>8</xdr:col>
      <xdr:colOff>6350</xdr:colOff>
      <xdr:row>5022</xdr:row>
      <xdr:rowOff>25400</xdr:rowOff>
    </xdr:from>
    <xdr:to>
      <xdr:col>8</xdr:col>
      <xdr:colOff>1189990</xdr:colOff>
      <xdr:row>5022</xdr:row>
      <xdr:rowOff>904240</xdr:rowOff>
    </xdr:to>
    <xdr:pic>
      <xdr:nvPicPr>
        <xdr:cNvPr id="8176" name="Изображение 8175" descr="resizeПП-00259276"/>
        <xdr:cNvPicPr>
          <a:picLocks noChangeAspect="1"/>
        </xdr:cNvPicPr>
      </xdr:nvPicPr>
      <xdr:blipFill>
        <a:blip xmlns:r="http://schemas.openxmlformats.org/officeDocument/2006/relationships" r:embed="rId3853"/>
        <a:stretch>
          <a:fillRect/>
        </a:stretch>
      </xdr:blipFill>
      <xdr:spPr>
        <a:xfrm>
          <a:off x="7264400" y="5015947550"/>
          <a:ext cx="1183640" cy="878840"/>
        </a:xfrm>
        <a:prstGeom prst="rect">
          <a:avLst/>
        </a:prstGeom>
      </xdr:spPr>
    </xdr:pic>
    <xdr:clientData/>
  </xdr:twoCellAnchor>
  <xdr:twoCellAnchor>
    <xdr:from>
      <xdr:col>8</xdr:col>
      <xdr:colOff>6350</xdr:colOff>
      <xdr:row>5023</xdr:row>
      <xdr:rowOff>25400</xdr:rowOff>
    </xdr:from>
    <xdr:to>
      <xdr:col>8</xdr:col>
      <xdr:colOff>1189990</xdr:colOff>
      <xdr:row>5023</xdr:row>
      <xdr:rowOff>904240</xdr:rowOff>
    </xdr:to>
    <xdr:pic>
      <xdr:nvPicPr>
        <xdr:cNvPr id="8177" name="Изображение 8176" descr="resizeПП-00259275"/>
        <xdr:cNvPicPr>
          <a:picLocks noChangeAspect="1"/>
        </xdr:cNvPicPr>
      </xdr:nvPicPr>
      <xdr:blipFill>
        <a:blip xmlns:r="http://schemas.openxmlformats.org/officeDocument/2006/relationships" r:embed="rId3854"/>
        <a:stretch>
          <a:fillRect/>
        </a:stretch>
      </xdr:blipFill>
      <xdr:spPr>
        <a:xfrm>
          <a:off x="7264400" y="5017169925"/>
          <a:ext cx="1183640" cy="878840"/>
        </a:xfrm>
        <a:prstGeom prst="rect">
          <a:avLst/>
        </a:prstGeom>
      </xdr:spPr>
    </xdr:pic>
    <xdr:clientData/>
  </xdr:twoCellAnchor>
  <xdr:twoCellAnchor>
    <xdr:from>
      <xdr:col>8</xdr:col>
      <xdr:colOff>6350</xdr:colOff>
      <xdr:row>5025</xdr:row>
      <xdr:rowOff>25400</xdr:rowOff>
    </xdr:from>
    <xdr:to>
      <xdr:col>8</xdr:col>
      <xdr:colOff>885190</xdr:colOff>
      <xdr:row>5025</xdr:row>
      <xdr:rowOff>1209040</xdr:rowOff>
    </xdr:to>
    <xdr:pic>
      <xdr:nvPicPr>
        <xdr:cNvPr id="8178" name="Изображение 8177" descr="resizeПП-00259249"/>
        <xdr:cNvPicPr>
          <a:picLocks noChangeAspect="1"/>
        </xdr:cNvPicPr>
      </xdr:nvPicPr>
      <xdr:blipFill>
        <a:blip xmlns:r="http://schemas.openxmlformats.org/officeDocument/2006/relationships" r:embed="rId3855"/>
        <a:stretch>
          <a:fillRect/>
        </a:stretch>
      </xdr:blipFill>
      <xdr:spPr>
        <a:xfrm>
          <a:off x="7264400" y="5018544700"/>
          <a:ext cx="878840" cy="1183640"/>
        </a:xfrm>
        <a:prstGeom prst="rect">
          <a:avLst/>
        </a:prstGeom>
      </xdr:spPr>
    </xdr:pic>
    <xdr:clientData/>
  </xdr:twoCellAnchor>
  <xdr:twoCellAnchor>
    <xdr:from>
      <xdr:col>8</xdr:col>
      <xdr:colOff>6350</xdr:colOff>
      <xdr:row>5026</xdr:row>
      <xdr:rowOff>25400</xdr:rowOff>
    </xdr:from>
    <xdr:to>
      <xdr:col>8</xdr:col>
      <xdr:colOff>885190</xdr:colOff>
      <xdr:row>5026</xdr:row>
      <xdr:rowOff>1209040</xdr:rowOff>
    </xdr:to>
    <xdr:pic>
      <xdr:nvPicPr>
        <xdr:cNvPr id="8179" name="Изображение 8178" descr="resizeПП-00278570"/>
        <xdr:cNvPicPr>
          <a:picLocks noChangeAspect="1"/>
        </xdr:cNvPicPr>
      </xdr:nvPicPr>
      <xdr:blipFill>
        <a:blip xmlns:r="http://schemas.openxmlformats.org/officeDocument/2006/relationships" r:embed="rId3856"/>
        <a:stretch>
          <a:fillRect/>
        </a:stretch>
      </xdr:blipFill>
      <xdr:spPr>
        <a:xfrm>
          <a:off x="7264400" y="5019767075"/>
          <a:ext cx="878840" cy="1183640"/>
        </a:xfrm>
        <a:prstGeom prst="rect">
          <a:avLst/>
        </a:prstGeom>
      </xdr:spPr>
    </xdr:pic>
    <xdr:clientData/>
  </xdr:twoCellAnchor>
  <xdr:twoCellAnchor>
    <xdr:from>
      <xdr:col>8</xdr:col>
      <xdr:colOff>6350</xdr:colOff>
      <xdr:row>5027</xdr:row>
      <xdr:rowOff>25400</xdr:rowOff>
    </xdr:from>
    <xdr:to>
      <xdr:col>8</xdr:col>
      <xdr:colOff>885190</xdr:colOff>
      <xdr:row>5027</xdr:row>
      <xdr:rowOff>1209040</xdr:rowOff>
    </xdr:to>
    <xdr:pic>
      <xdr:nvPicPr>
        <xdr:cNvPr id="8180" name="Изображение 8179" descr="resizeПП-00259260"/>
        <xdr:cNvPicPr>
          <a:picLocks noChangeAspect="1"/>
        </xdr:cNvPicPr>
      </xdr:nvPicPr>
      <xdr:blipFill>
        <a:blip xmlns:r="http://schemas.openxmlformats.org/officeDocument/2006/relationships" r:embed="rId3857"/>
        <a:stretch>
          <a:fillRect/>
        </a:stretch>
      </xdr:blipFill>
      <xdr:spPr>
        <a:xfrm>
          <a:off x="7264400" y="5020989450"/>
          <a:ext cx="878840" cy="1183640"/>
        </a:xfrm>
        <a:prstGeom prst="rect">
          <a:avLst/>
        </a:prstGeom>
      </xdr:spPr>
    </xdr:pic>
    <xdr:clientData/>
  </xdr:twoCellAnchor>
  <xdr:twoCellAnchor>
    <xdr:from>
      <xdr:col>8</xdr:col>
      <xdr:colOff>6350</xdr:colOff>
      <xdr:row>5028</xdr:row>
      <xdr:rowOff>25400</xdr:rowOff>
    </xdr:from>
    <xdr:to>
      <xdr:col>8</xdr:col>
      <xdr:colOff>1189990</xdr:colOff>
      <xdr:row>5028</xdr:row>
      <xdr:rowOff>904240</xdr:rowOff>
    </xdr:to>
    <xdr:pic>
      <xdr:nvPicPr>
        <xdr:cNvPr id="8181" name="Изображение 8180" descr="resizeПП-00227484"/>
        <xdr:cNvPicPr>
          <a:picLocks noChangeAspect="1"/>
        </xdr:cNvPicPr>
      </xdr:nvPicPr>
      <xdr:blipFill>
        <a:blip xmlns:r="http://schemas.openxmlformats.org/officeDocument/2006/relationships" r:embed="rId3858"/>
        <a:stretch>
          <a:fillRect/>
        </a:stretch>
      </xdr:blipFill>
      <xdr:spPr>
        <a:xfrm>
          <a:off x="7264400" y="5022211825"/>
          <a:ext cx="1183640" cy="878840"/>
        </a:xfrm>
        <a:prstGeom prst="rect">
          <a:avLst/>
        </a:prstGeom>
      </xdr:spPr>
    </xdr:pic>
    <xdr:clientData/>
  </xdr:twoCellAnchor>
  <xdr:twoCellAnchor>
    <xdr:from>
      <xdr:col>8</xdr:col>
      <xdr:colOff>6350</xdr:colOff>
      <xdr:row>5029</xdr:row>
      <xdr:rowOff>25400</xdr:rowOff>
    </xdr:from>
    <xdr:to>
      <xdr:col>8</xdr:col>
      <xdr:colOff>885190</xdr:colOff>
      <xdr:row>5029</xdr:row>
      <xdr:rowOff>1209040</xdr:rowOff>
    </xdr:to>
    <xdr:pic>
      <xdr:nvPicPr>
        <xdr:cNvPr id="8182" name="Изображение 8181" descr="resizeПП-00278550"/>
        <xdr:cNvPicPr>
          <a:picLocks noChangeAspect="1"/>
        </xdr:cNvPicPr>
      </xdr:nvPicPr>
      <xdr:blipFill>
        <a:blip xmlns:r="http://schemas.openxmlformats.org/officeDocument/2006/relationships" r:embed="rId3859"/>
        <a:stretch>
          <a:fillRect/>
        </a:stretch>
      </xdr:blipFill>
      <xdr:spPr>
        <a:xfrm>
          <a:off x="7264400" y="5023434200"/>
          <a:ext cx="878840" cy="1183640"/>
        </a:xfrm>
        <a:prstGeom prst="rect">
          <a:avLst/>
        </a:prstGeom>
      </xdr:spPr>
    </xdr:pic>
    <xdr:clientData/>
  </xdr:twoCellAnchor>
  <xdr:twoCellAnchor>
    <xdr:from>
      <xdr:col>8</xdr:col>
      <xdr:colOff>6350</xdr:colOff>
      <xdr:row>5030</xdr:row>
      <xdr:rowOff>25400</xdr:rowOff>
    </xdr:from>
    <xdr:to>
      <xdr:col>8</xdr:col>
      <xdr:colOff>885190</xdr:colOff>
      <xdr:row>5030</xdr:row>
      <xdr:rowOff>1209040</xdr:rowOff>
    </xdr:to>
    <xdr:pic>
      <xdr:nvPicPr>
        <xdr:cNvPr id="8183" name="Изображение 8182" descr="resizeПП-00259248"/>
        <xdr:cNvPicPr>
          <a:picLocks noChangeAspect="1"/>
        </xdr:cNvPicPr>
      </xdr:nvPicPr>
      <xdr:blipFill>
        <a:blip xmlns:r="http://schemas.openxmlformats.org/officeDocument/2006/relationships" r:embed="rId3860"/>
        <a:stretch>
          <a:fillRect/>
        </a:stretch>
      </xdr:blipFill>
      <xdr:spPr>
        <a:xfrm>
          <a:off x="7264400" y="5024656575"/>
          <a:ext cx="878840" cy="1183640"/>
        </a:xfrm>
        <a:prstGeom prst="rect">
          <a:avLst/>
        </a:prstGeom>
      </xdr:spPr>
    </xdr:pic>
    <xdr:clientData/>
  </xdr:twoCellAnchor>
  <xdr:twoCellAnchor>
    <xdr:from>
      <xdr:col>8</xdr:col>
      <xdr:colOff>6350</xdr:colOff>
      <xdr:row>5032</xdr:row>
      <xdr:rowOff>25400</xdr:rowOff>
    </xdr:from>
    <xdr:to>
      <xdr:col>8</xdr:col>
      <xdr:colOff>885190</xdr:colOff>
      <xdr:row>5032</xdr:row>
      <xdr:rowOff>1209040</xdr:rowOff>
    </xdr:to>
    <xdr:pic>
      <xdr:nvPicPr>
        <xdr:cNvPr id="8184" name="Изображение 8183" descr="resizeПП-00263573"/>
        <xdr:cNvPicPr>
          <a:picLocks noChangeAspect="1"/>
        </xdr:cNvPicPr>
      </xdr:nvPicPr>
      <xdr:blipFill>
        <a:blip xmlns:r="http://schemas.openxmlformats.org/officeDocument/2006/relationships" r:embed="rId3861"/>
        <a:stretch>
          <a:fillRect/>
        </a:stretch>
      </xdr:blipFill>
      <xdr:spPr>
        <a:xfrm>
          <a:off x="7264400" y="5026031350"/>
          <a:ext cx="878840" cy="1183640"/>
        </a:xfrm>
        <a:prstGeom prst="rect">
          <a:avLst/>
        </a:prstGeom>
      </xdr:spPr>
    </xdr:pic>
    <xdr:clientData/>
  </xdr:twoCellAnchor>
  <xdr:twoCellAnchor>
    <xdr:from>
      <xdr:col>8</xdr:col>
      <xdr:colOff>6350</xdr:colOff>
      <xdr:row>5033</xdr:row>
      <xdr:rowOff>25400</xdr:rowOff>
    </xdr:from>
    <xdr:to>
      <xdr:col>8</xdr:col>
      <xdr:colOff>885190</xdr:colOff>
      <xdr:row>5033</xdr:row>
      <xdr:rowOff>1209040</xdr:rowOff>
    </xdr:to>
    <xdr:pic>
      <xdr:nvPicPr>
        <xdr:cNvPr id="8185" name="Изображение 8184" descr="resizeПП-00244771"/>
        <xdr:cNvPicPr>
          <a:picLocks noChangeAspect="1"/>
        </xdr:cNvPicPr>
      </xdr:nvPicPr>
      <xdr:blipFill>
        <a:blip xmlns:r="http://schemas.openxmlformats.org/officeDocument/2006/relationships" r:embed="rId3862"/>
        <a:stretch>
          <a:fillRect/>
        </a:stretch>
      </xdr:blipFill>
      <xdr:spPr>
        <a:xfrm>
          <a:off x="7264400" y="5027253725"/>
          <a:ext cx="878840" cy="1183640"/>
        </a:xfrm>
        <a:prstGeom prst="rect">
          <a:avLst/>
        </a:prstGeom>
      </xdr:spPr>
    </xdr:pic>
    <xdr:clientData/>
  </xdr:twoCellAnchor>
  <xdr:twoCellAnchor>
    <xdr:from>
      <xdr:col>8</xdr:col>
      <xdr:colOff>6350</xdr:colOff>
      <xdr:row>5034</xdr:row>
      <xdr:rowOff>25400</xdr:rowOff>
    </xdr:from>
    <xdr:to>
      <xdr:col>8</xdr:col>
      <xdr:colOff>885190</xdr:colOff>
      <xdr:row>5034</xdr:row>
      <xdr:rowOff>1209040</xdr:rowOff>
    </xdr:to>
    <xdr:pic>
      <xdr:nvPicPr>
        <xdr:cNvPr id="8186" name="Изображение 8185" descr="resizeПП-00244767"/>
        <xdr:cNvPicPr>
          <a:picLocks noChangeAspect="1"/>
        </xdr:cNvPicPr>
      </xdr:nvPicPr>
      <xdr:blipFill>
        <a:blip xmlns:r="http://schemas.openxmlformats.org/officeDocument/2006/relationships" r:embed="rId3863"/>
        <a:stretch>
          <a:fillRect/>
        </a:stretch>
      </xdr:blipFill>
      <xdr:spPr>
        <a:xfrm>
          <a:off x="7264400" y="5028476100"/>
          <a:ext cx="878840" cy="1183640"/>
        </a:xfrm>
        <a:prstGeom prst="rect">
          <a:avLst/>
        </a:prstGeom>
      </xdr:spPr>
    </xdr:pic>
    <xdr:clientData/>
  </xdr:twoCellAnchor>
  <xdr:twoCellAnchor>
    <xdr:from>
      <xdr:col>8</xdr:col>
      <xdr:colOff>6350</xdr:colOff>
      <xdr:row>5035</xdr:row>
      <xdr:rowOff>25400</xdr:rowOff>
    </xdr:from>
    <xdr:to>
      <xdr:col>8</xdr:col>
      <xdr:colOff>885190</xdr:colOff>
      <xdr:row>5035</xdr:row>
      <xdr:rowOff>1209040</xdr:rowOff>
    </xdr:to>
    <xdr:pic>
      <xdr:nvPicPr>
        <xdr:cNvPr id="8187" name="Изображение 8186" descr="resizeПП-00263572"/>
        <xdr:cNvPicPr>
          <a:picLocks noChangeAspect="1"/>
        </xdr:cNvPicPr>
      </xdr:nvPicPr>
      <xdr:blipFill>
        <a:blip xmlns:r="http://schemas.openxmlformats.org/officeDocument/2006/relationships" r:embed="rId3864"/>
        <a:stretch>
          <a:fillRect/>
        </a:stretch>
      </xdr:blipFill>
      <xdr:spPr>
        <a:xfrm>
          <a:off x="7264400" y="5029698475"/>
          <a:ext cx="878840" cy="1183640"/>
        </a:xfrm>
        <a:prstGeom prst="rect">
          <a:avLst/>
        </a:prstGeom>
      </xdr:spPr>
    </xdr:pic>
    <xdr:clientData/>
  </xdr:twoCellAnchor>
  <xdr:twoCellAnchor>
    <xdr:from>
      <xdr:col>8</xdr:col>
      <xdr:colOff>6350</xdr:colOff>
      <xdr:row>5036</xdr:row>
      <xdr:rowOff>25400</xdr:rowOff>
    </xdr:from>
    <xdr:to>
      <xdr:col>8</xdr:col>
      <xdr:colOff>885190</xdr:colOff>
      <xdr:row>5036</xdr:row>
      <xdr:rowOff>1209040</xdr:rowOff>
    </xdr:to>
    <xdr:pic>
      <xdr:nvPicPr>
        <xdr:cNvPr id="8188" name="Изображение 8187" descr="resizeПП-00263575"/>
        <xdr:cNvPicPr>
          <a:picLocks noChangeAspect="1"/>
        </xdr:cNvPicPr>
      </xdr:nvPicPr>
      <xdr:blipFill>
        <a:blip xmlns:r="http://schemas.openxmlformats.org/officeDocument/2006/relationships" r:embed="rId3865"/>
        <a:stretch>
          <a:fillRect/>
        </a:stretch>
      </xdr:blipFill>
      <xdr:spPr>
        <a:xfrm>
          <a:off x="7264400" y="5030920850"/>
          <a:ext cx="878840" cy="1183640"/>
        </a:xfrm>
        <a:prstGeom prst="rect">
          <a:avLst/>
        </a:prstGeom>
      </xdr:spPr>
    </xdr:pic>
    <xdr:clientData/>
  </xdr:twoCellAnchor>
  <xdr:twoCellAnchor>
    <xdr:from>
      <xdr:col>8</xdr:col>
      <xdr:colOff>6350</xdr:colOff>
      <xdr:row>5037</xdr:row>
      <xdr:rowOff>25400</xdr:rowOff>
    </xdr:from>
    <xdr:to>
      <xdr:col>8</xdr:col>
      <xdr:colOff>885190</xdr:colOff>
      <xdr:row>5037</xdr:row>
      <xdr:rowOff>1209040</xdr:rowOff>
    </xdr:to>
    <xdr:pic>
      <xdr:nvPicPr>
        <xdr:cNvPr id="8189" name="Изображение 8188" descr="resizeПП-00263568"/>
        <xdr:cNvPicPr>
          <a:picLocks noChangeAspect="1"/>
        </xdr:cNvPicPr>
      </xdr:nvPicPr>
      <xdr:blipFill>
        <a:blip xmlns:r="http://schemas.openxmlformats.org/officeDocument/2006/relationships" r:embed="rId3866"/>
        <a:stretch>
          <a:fillRect/>
        </a:stretch>
      </xdr:blipFill>
      <xdr:spPr>
        <a:xfrm>
          <a:off x="7264400" y="5032143225"/>
          <a:ext cx="878840" cy="1183640"/>
        </a:xfrm>
        <a:prstGeom prst="rect">
          <a:avLst/>
        </a:prstGeom>
      </xdr:spPr>
    </xdr:pic>
    <xdr:clientData/>
  </xdr:twoCellAnchor>
  <xdr:twoCellAnchor>
    <xdr:from>
      <xdr:col>8</xdr:col>
      <xdr:colOff>6350</xdr:colOff>
      <xdr:row>5038</xdr:row>
      <xdr:rowOff>25400</xdr:rowOff>
    </xdr:from>
    <xdr:to>
      <xdr:col>8</xdr:col>
      <xdr:colOff>885190</xdr:colOff>
      <xdr:row>5038</xdr:row>
      <xdr:rowOff>1209040</xdr:rowOff>
    </xdr:to>
    <xdr:pic>
      <xdr:nvPicPr>
        <xdr:cNvPr id="8190" name="Изображение 8189" descr="resizeПП-00263597"/>
        <xdr:cNvPicPr>
          <a:picLocks noChangeAspect="1"/>
        </xdr:cNvPicPr>
      </xdr:nvPicPr>
      <xdr:blipFill>
        <a:blip xmlns:r="http://schemas.openxmlformats.org/officeDocument/2006/relationships" r:embed="rId3867"/>
        <a:stretch>
          <a:fillRect/>
        </a:stretch>
      </xdr:blipFill>
      <xdr:spPr>
        <a:xfrm>
          <a:off x="7264400" y="5033365600"/>
          <a:ext cx="878840" cy="1183640"/>
        </a:xfrm>
        <a:prstGeom prst="rect">
          <a:avLst/>
        </a:prstGeom>
      </xdr:spPr>
    </xdr:pic>
    <xdr:clientData/>
  </xdr:twoCellAnchor>
  <xdr:twoCellAnchor>
    <xdr:from>
      <xdr:col>8</xdr:col>
      <xdr:colOff>6350</xdr:colOff>
      <xdr:row>5039</xdr:row>
      <xdr:rowOff>25400</xdr:rowOff>
    </xdr:from>
    <xdr:to>
      <xdr:col>8</xdr:col>
      <xdr:colOff>885190</xdr:colOff>
      <xdr:row>5039</xdr:row>
      <xdr:rowOff>1209040</xdr:rowOff>
    </xdr:to>
    <xdr:pic>
      <xdr:nvPicPr>
        <xdr:cNvPr id="8191" name="Изображение 8190" descr="resizeПП-00263596"/>
        <xdr:cNvPicPr>
          <a:picLocks noChangeAspect="1"/>
        </xdr:cNvPicPr>
      </xdr:nvPicPr>
      <xdr:blipFill>
        <a:blip xmlns:r="http://schemas.openxmlformats.org/officeDocument/2006/relationships" r:embed="rId3868"/>
        <a:stretch>
          <a:fillRect/>
        </a:stretch>
      </xdr:blipFill>
      <xdr:spPr>
        <a:xfrm>
          <a:off x="7264400" y="5034587975"/>
          <a:ext cx="878840" cy="1183640"/>
        </a:xfrm>
        <a:prstGeom prst="rect">
          <a:avLst/>
        </a:prstGeom>
      </xdr:spPr>
    </xdr:pic>
    <xdr:clientData/>
  </xdr:twoCellAnchor>
  <xdr:twoCellAnchor>
    <xdr:from>
      <xdr:col>8</xdr:col>
      <xdr:colOff>6350</xdr:colOff>
      <xdr:row>5042</xdr:row>
      <xdr:rowOff>25400</xdr:rowOff>
    </xdr:from>
    <xdr:to>
      <xdr:col>8</xdr:col>
      <xdr:colOff>885190</xdr:colOff>
      <xdr:row>5042</xdr:row>
      <xdr:rowOff>1209040</xdr:rowOff>
    </xdr:to>
    <xdr:pic>
      <xdr:nvPicPr>
        <xdr:cNvPr id="8192" name="Изображение 8191" descr="resizeПП-00243041"/>
        <xdr:cNvPicPr>
          <a:picLocks noChangeAspect="1"/>
        </xdr:cNvPicPr>
      </xdr:nvPicPr>
      <xdr:blipFill>
        <a:blip xmlns:r="http://schemas.openxmlformats.org/officeDocument/2006/relationships" r:embed="rId3869"/>
        <a:stretch>
          <a:fillRect/>
        </a:stretch>
      </xdr:blipFill>
      <xdr:spPr>
        <a:xfrm>
          <a:off x="7264400" y="5036115150"/>
          <a:ext cx="878840" cy="1183640"/>
        </a:xfrm>
        <a:prstGeom prst="rect">
          <a:avLst/>
        </a:prstGeom>
      </xdr:spPr>
    </xdr:pic>
    <xdr:clientData/>
  </xdr:twoCellAnchor>
  <xdr:twoCellAnchor>
    <xdr:from>
      <xdr:col>8</xdr:col>
      <xdr:colOff>6350</xdr:colOff>
      <xdr:row>5043</xdr:row>
      <xdr:rowOff>25400</xdr:rowOff>
    </xdr:from>
    <xdr:to>
      <xdr:col>8</xdr:col>
      <xdr:colOff>885190</xdr:colOff>
      <xdr:row>5043</xdr:row>
      <xdr:rowOff>1209040</xdr:rowOff>
    </xdr:to>
    <xdr:pic>
      <xdr:nvPicPr>
        <xdr:cNvPr id="8193" name="Изображение 8192" descr="resizeПП-00262346"/>
        <xdr:cNvPicPr>
          <a:picLocks noChangeAspect="1"/>
        </xdr:cNvPicPr>
      </xdr:nvPicPr>
      <xdr:blipFill>
        <a:blip xmlns:r="http://schemas.openxmlformats.org/officeDocument/2006/relationships" r:embed="rId3870"/>
        <a:stretch>
          <a:fillRect/>
        </a:stretch>
      </xdr:blipFill>
      <xdr:spPr>
        <a:xfrm>
          <a:off x="7264400" y="5037337525"/>
          <a:ext cx="878840" cy="1183640"/>
        </a:xfrm>
        <a:prstGeom prst="rect">
          <a:avLst/>
        </a:prstGeom>
      </xdr:spPr>
    </xdr:pic>
    <xdr:clientData/>
  </xdr:twoCellAnchor>
  <xdr:twoCellAnchor>
    <xdr:from>
      <xdr:col>8</xdr:col>
      <xdr:colOff>6350</xdr:colOff>
      <xdr:row>5044</xdr:row>
      <xdr:rowOff>25400</xdr:rowOff>
    </xdr:from>
    <xdr:to>
      <xdr:col>8</xdr:col>
      <xdr:colOff>885190</xdr:colOff>
      <xdr:row>5044</xdr:row>
      <xdr:rowOff>1209040</xdr:rowOff>
    </xdr:to>
    <xdr:pic>
      <xdr:nvPicPr>
        <xdr:cNvPr id="8194" name="Изображение 8193" descr="resizeПП-00262332"/>
        <xdr:cNvPicPr>
          <a:picLocks noChangeAspect="1"/>
        </xdr:cNvPicPr>
      </xdr:nvPicPr>
      <xdr:blipFill>
        <a:blip xmlns:r="http://schemas.openxmlformats.org/officeDocument/2006/relationships" r:embed="rId3871"/>
        <a:stretch>
          <a:fillRect/>
        </a:stretch>
      </xdr:blipFill>
      <xdr:spPr>
        <a:xfrm>
          <a:off x="7264400" y="5038559900"/>
          <a:ext cx="878840" cy="1183640"/>
        </a:xfrm>
        <a:prstGeom prst="rect">
          <a:avLst/>
        </a:prstGeom>
      </xdr:spPr>
    </xdr:pic>
    <xdr:clientData/>
  </xdr:twoCellAnchor>
  <xdr:twoCellAnchor>
    <xdr:from>
      <xdr:col>8</xdr:col>
      <xdr:colOff>6350</xdr:colOff>
      <xdr:row>5045</xdr:row>
      <xdr:rowOff>25400</xdr:rowOff>
    </xdr:from>
    <xdr:to>
      <xdr:col>8</xdr:col>
      <xdr:colOff>885190</xdr:colOff>
      <xdr:row>5045</xdr:row>
      <xdr:rowOff>1209040</xdr:rowOff>
    </xdr:to>
    <xdr:pic>
      <xdr:nvPicPr>
        <xdr:cNvPr id="8195" name="Изображение 8194" descr="resizeПП-00262337"/>
        <xdr:cNvPicPr>
          <a:picLocks noChangeAspect="1"/>
        </xdr:cNvPicPr>
      </xdr:nvPicPr>
      <xdr:blipFill>
        <a:blip xmlns:r="http://schemas.openxmlformats.org/officeDocument/2006/relationships" r:embed="rId3872"/>
        <a:stretch>
          <a:fillRect/>
        </a:stretch>
      </xdr:blipFill>
      <xdr:spPr>
        <a:xfrm>
          <a:off x="7264400" y="5039782275"/>
          <a:ext cx="878840" cy="1183640"/>
        </a:xfrm>
        <a:prstGeom prst="rect">
          <a:avLst/>
        </a:prstGeom>
      </xdr:spPr>
    </xdr:pic>
    <xdr:clientData/>
  </xdr:twoCellAnchor>
  <xdr:twoCellAnchor>
    <xdr:from>
      <xdr:col>8</xdr:col>
      <xdr:colOff>6350</xdr:colOff>
      <xdr:row>5046</xdr:row>
      <xdr:rowOff>25400</xdr:rowOff>
    </xdr:from>
    <xdr:to>
      <xdr:col>8</xdr:col>
      <xdr:colOff>885190</xdr:colOff>
      <xdr:row>5046</xdr:row>
      <xdr:rowOff>1209040</xdr:rowOff>
    </xdr:to>
    <xdr:pic>
      <xdr:nvPicPr>
        <xdr:cNvPr id="8196" name="Изображение 8195" descr="resizeПП-00262336"/>
        <xdr:cNvPicPr>
          <a:picLocks noChangeAspect="1"/>
        </xdr:cNvPicPr>
      </xdr:nvPicPr>
      <xdr:blipFill>
        <a:blip xmlns:r="http://schemas.openxmlformats.org/officeDocument/2006/relationships" r:embed="rId3873"/>
        <a:stretch>
          <a:fillRect/>
        </a:stretch>
      </xdr:blipFill>
      <xdr:spPr>
        <a:xfrm>
          <a:off x="7264400" y="5041004650"/>
          <a:ext cx="878840" cy="1183640"/>
        </a:xfrm>
        <a:prstGeom prst="rect">
          <a:avLst/>
        </a:prstGeom>
      </xdr:spPr>
    </xdr:pic>
    <xdr:clientData/>
  </xdr:twoCellAnchor>
  <xdr:twoCellAnchor>
    <xdr:from>
      <xdr:col>8</xdr:col>
      <xdr:colOff>6350</xdr:colOff>
      <xdr:row>5047</xdr:row>
      <xdr:rowOff>25400</xdr:rowOff>
    </xdr:from>
    <xdr:to>
      <xdr:col>8</xdr:col>
      <xdr:colOff>1189990</xdr:colOff>
      <xdr:row>5047</xdr:row>
      <xdr:rowOff>624840</xdr:rowOff>
    </xdr:to>
    <xdr:pic>
      <xdr:nvPicPr>
        <xdr:cNvPr id="8197" name="Изображение 8196" descr="resizeПП-00262348"/>
        <xdr:cNvPicPr>
          <a:picLocks noChangeAspect="1"/>
        </xdr:cNvPicPr>
      </xdr:nvPicPr>
      <xdr:blipFill>
        <a:blip xmlns:r="http://schemas.openxmlformats.org/officeDocument/2006/relationships" r:embed="rId3874"/>
        <a:stretch>
          <a:fillRect/>
        </a:stretch>
      </xdr:blipFill>
      <xdr:spPr>
        <a:xfrm>
          <a:off x="7264400" y="5042227025"/>
          <a:ext cx="1183640" cy="599440"/>
        </a:xfrm>
        <a:prstGeom prst="rect">
          <a:avLst/>
        </a:prstGeom>
      </xdr:spPr>
    </xdr:pic>
    <xdr:clientData/>
  </xdr:twoCellAnchor>
  <xdr:twoCellAnchor>
    <xdr:from>
      <xdr:col>8</xdr:col>
      <xdr:colOff>6350</xdr:colOff>
      <xdr:row>5048</xdr:row>
      <xdr:rowOff>25400</xdr:rowOff>
    </xdr:from>
    <xdr:to>
      <xdr:col>8</xdr:col>
      <xdr:colOff>885190</xdr:colOff>
      <xdr:row>5048</xdr:row>
      <xdr:rowOff>1209040</xdr:rowOff>
    </xdr:to>
    <xdr:pic>
      <xdr:nvPicPr>
        <xdr:cNvPr id="8198" name="Изображение 8197" descr="resizeПП-00262349"/>
        <xdr:cNvPicPr>
          <a:picLocks noChangeAspect="1"/>
        </xdr:cNvPicPr>
      </xdr:nvPicPr>
      <xdr:blipFill>
        <a:blip xmlns:r="http://schemas.openxmlformats.org/officeDocument/2006/relationships" r:embed="rId3875"/>
        <a:stretch>
          <a:fillRect/>
        </a:stretch>
      </xdr:blipFill>
      <xdr:spPr>
        <a:xfrm>
          <a:off x="7264400" y="5043449400"/>
          <a:ext cx="878840" cy="1183640"/>
        </a:xfrm>
        <a:prstGeom prst="rect">
          <a:avLst/>
        </a:prstGeom>
      </xdr:spPr>
    </xdr:pic>
    <xdr:clientData/>
  </xdr:twoCellAnchor>
  <xdr:twoCellAnchor>
    <xdr:from>
      <xdr:col>8</xdr:col>
      <xdr:colOff>6350</xdr:colOff>
      <xdr:row>5049</xdr:row>
      <xdr:rowOff>25400</xdr:rowOff>
    </xdr:from>
    <xdr:to>
      <xdr:col>8</xdr:col>
      <xdr:colOff>885190</xdr:colOff>
      <xdr:row>5049</xdr:row>
      <xdr:rowOff>1209040</xdr:rowOff>
    </xdr:to>
    <xdr:pic>
      <xdr:nvPicPr>
        <xdr:cNvPr id="8199" name="Изображение 8198" descr="resizeПП-00262338"/>
        <xdr:cNvPicPr>
          <a:picLocks noChangeAspect="1"/>
        </xdr:cNvPicPr>
      </xdr:nvPicPr>
      <xdr:blipFill>
        <a:blip xmlns:r="http://schemas.openxmlformats.org/officeDocument/2006/relationships" r:embed="rId3876"/>
        <a:stretch>
          <a:fillRect/>
        </a:stretch>
      </xdr:blipFill>
      <xdr:spPr>
        <a:xfrm>
          <a:off x="7264400" y="5044671775"/>
          <a:ext cx="878840" cy="1183640"/>
        </a:xfrm>
        <a:prstGeom prst="rect">
          <a:avLst/>
        </a:prstGeom>
      </xdr:spPr>
    </xdr:pic>
    <xdr:clientData/>
  </xdr:twoCellAnchor>
  <xdr:twoCellAnchor>
    <xdr:from>
      <xdr:col>8</xdr:col>
      <xdr:colOff>6350</xdr:colOff>
      <xdr:row>5050</xdr:row>
      <xdr:rowOff>25400</xdr:rowOff>
    </xdr:from>
    <xdr:to>
      <xdr:col>8</xdr:col>
      <xdr:colOff>885190</xdr:colOff>
      <xdr:row>5050</xdr:row>
      <xdr:rowOff>1209040</xdr:rowOff>
    </xdr:to>
    <xdr:pic>
      <xdr:nvPicPr>
        <xdr:cNvPr id="8200" name="Изображение 8199" descr="resizeПП-00262350"/>
        <xdr:cNvPicPr>
          <a:picLocks noChangeAspect="1"/>
        </xdr:cNvPicPr>
      </xdr:nvPicPr>
      <xdr:blipFill>
        <a:blip xmlns:r="http://schemas.openxmlformats.org/officeDocument/2006/relationships" r:embed="rId3877"/>
        <a:stretch>
          <a:fillRect/>
        </a:stretch>
      </xdr:blipFill>
      <xdr:spPr>
        <a:xfrm>
          <a:off x="7264400" y="5045894150"/>
          <a:ext cx="878840" cy="1183640"/>
        </a:xfrm>
        <a:prstGeom prst="rect">
          <a:avLst/>
        </a:prstGeom>
      </xdr:spPr>
    </xdr:pic>
    <xdr:clientData/>
  </xdr:twoCellAnchor>
  <xdr:twoCellAnchor>
    <xdr:from>
      <xdr:col>8</xdr:col>
      <xdr:colOff>6350</xdr:colOff>
      <xdr:row>5051</xdr:row>
      <xdr:rowOff>25400</xdr:rowOff>
    </xdr:from>
    <xdr:to>
      <xdr:col>8</xdr:col>
      <xdr:colOff>885190</xdr:colOff>
      <xdr:row>5051</xdr:row>
      <xdr:rowOff>1209040</xdr:rowOff>
    </xdr:to>
    <xdr:pic>
      <xdr:nvPicPr>
        <xdr:cNvPr id="8201" name="Изображение 8200" descr="resizeПП-00262340"/>
        <xdr:cNvPicPr>
          <a:picLocks noChangeAspect="1"/>
        </xdr:cNvPicPr>
      </xdr:nvPicPr>
      <xdr:blipFill>
        <a:blip xmlns:r="http://schemas.openxmlformats.org/officeDocument/2006/relationships" r:embed="rId3878"/>
        <a:stretch>
          <a:fillRect/>
        </a:stretch>
      </xdr:blipFill>
      <xdr:spPr>
        <a:xfrm>
          <a:off x="7264400" y="5047116525"/>
          <a:ext cx="878840" cy="1183640"/>
        </a:xfrm>
        <a:prstGeom prst="rect">
          <a:avLst/>
        </a:prstGeom>
      </xdr:spPr>
    </xdr:pic>
    <xdr:clientData/>
  </xdr:twoCellAnchor>
  <xdr:twoCellAnchor>
    <xdr:from>
      <xdr:col>8</xdr:col>
      <xdr:colOff>6350</xdr:colOff>
      <xdr:row>5053</xdr:row>
      <xdr:rowOff>25400</xdr:rowOff>
    </xdr:from>
    <xdr:to>
      <xdr:col>8</xdr:col>
      <xdr:colOff>885190</xdr:colOff>
      <xdr:row>5053</xdr:row>
      <xdr:rowOff>1209040</xdr:rowOff>
    </xdr:to>
    <xdr:pic>
      <xdr:nvPicPr>
        <xdr:cNvPr id="8202" name="Изображение 8201" descr="resizeПП-00264560"/>
        <xdr:cNvPicPr>
          <a:picLocks noChangeAspect="1"/>
        </xdr:cNvPicPr>
      </xdr:nvPicPr>
      <xdr:blipFill>
        <a:blip xmlns:r="http://schemas.openxmlformats.org/officeDocument/2006/relationships" r:embed="rId3879"/>
        <a:stretch>
          <a:fillRect/>
        </a:stretch>
      </xdr:blipFill>
      <xdr:spPr>
        <a:xfrm>
          <a:off x="7264400" y="5048491300"/>
          <a:ext cx="878840" cy="1183640"/>
        </a:xfrm>
        <a:prstGeom prst="rect">
          <a:avLst/>
        </a:prstGeom>
      </xdr:spPr>
    </xdr:pic>
    <xdr:clientData/>
  </xdr:twoCellAnchor>
  <xdr:twoCellAnchor>
    <xdr:from>
      <xdr:col>8</xdr:col>
      <xdr:colOff>6350</xdr:colOff>
      <xdr:row>5054</xdr:row>
      <xdr:rowOff>25400</xdr:rowOff>
    </xdr:from>
    <xdr:to>
      <xdr:col>8</xdr:col>
      <xdr:colOff>885190</xdr:colOff>
      <xdr:row>5054</xdr:row>
      <xdr:rowOff>1209040</xdr:rowOff>
    </xdr:to>
    <xdr:pic>
      <xdr:nvPicPr>
        <xdr:cNvPr id="8203" name="Изображение 8202" descr="resizeПП-00264552"/>
        <xdr:cNvPicPr>
          <a:picLocks noChangeAspect="1"/>
        </xdr:cNvPicPr>
      </xdr:nvPicPr>
      <xdr:blipFill>
        <a:blip xmlns:r="http://schemas.openxmlformats.org/officeDocument/2006/relationships" r:embed="rId3880"/>
        <a:stretch>
          <a:fillRect/>
        </a:stretch>
      </xdr:blipFill>
      <xdr:spPr>
        <a:xfrm>
          <a:off x="7264400" y="5049713675"/>
          <a:ext cx="878840" cy="1183640"/>
        </a:xfrm>
        <a:prstGeom prst="rect">
          <a:avLst/>
        </a:prstGeom>
      </xdr:spPr>
    </xdr:pic>
    <xdr:clientData/>
  </xdr:twoCellAnchor>
  <xdr:twoCellAnchor>
    <xdr:from>
      <xdr:col>8</xdr:col>
      <xdr:colOff>6350</xdr:colOff>
      <xdr:row>5055</xdr:row>
      <xdr:rowOff>25400</xdr:rowOff>
    </xdr:from>
    <xdr:to>
      <xdr:col>8</xdr:col>
      <xdr:colOff>885190</xdr:colOff>
      <xdr:row>5055</xdr:row>
      <xdr:rowOff>1209040</xdr:rowOff>
    </xdr:to>
    <xdr:pic>
      <xdr:nvPicPr>
        <xdr:cNvPr id="8204" name="Изображение 8203" descr="resizeПП-00264556"/>
        <xdr:cNvPicPr>
          <a:picLocks noChangeAspect="1"/>
        </xdr:cNvPicPr>
      </xdr:nvPicPr>
      <xdr:blipFill>
        <a:blip xmlns:r="http://schemas.openxmlformats.org/officeDocument/2006/relationships" r:embed="rId3881"/>
        <a:stretch>
          <a:fillRect/>
        </a:stretch>
      </xdr:blipFill>
      <xdr:spPr>
        <a:xfrm>
          <a:off x="7264400" y="5050936050"/>
          <a:ext cx="878840" cy="1183640"/>
        </a:xfrm>
        <a:prstGeom prst="rect">
          <a:avLst/>
        </a:prstGeom>
      </xdr:spPr>
    </xdr:pic>
    <xdr:clientData/>
  </xdr:twoCellAnchor>
  <xdr:twoCellAnchor>
    <xdr:from>
      <xdr:col>8</xdr:col>
      <xdr:colOff>6350</xdr:colOff>
      <xdr:row>5056</xdr:row>
      <xdr:rowOff>25400</xdr:rowOff>
    </xdr:from>
    <xdr:to>
      <xdr:col>8</xdr:col>
      <xdr:colOff>885190</xdr:colOff>
      <xdr:row>5056</xdr:row>
      <xdr:rowOff>1209040</xdr:rowOff>
    </xdr:to>
    <xdr:pic>
      <xdr:nvPicPr>
        <xdr:cNvPr id="8205" name="Изображение 8204" descr="resizeПП-00264555"/>
        <xdr:cNvPicPr>
          <a:picLocks noChangeAspect="1"/>
        </xdr:cNvPicPr>
      </xdr:nvPicPr>
      <xdr:blipFill>
        <a:blip xmlns:r="http://schemas.openxmlformats.org/officeDocument/2006/relationships" r:embed="rId3882"/>
        <a:stretch>
          <a:fillRect/>
        </a:stretch>
      </xdr:blipFill>
      <xdr:spPr>
        <a:xfrm>
          <a:off x="7264400" y="5052158425"/>
          <a:ext cx="878840" cy="1183640"/>
        </a:xfrm>
        <a:prstGeom prst="rect">
          <a:avLst/>
        </a:prstGeom>
      </xdr:spPr>
    </xdr:pic>
    <xdr:clientData/>
  </xdr:twoCellAnchor>
  <xdr:twoCellAnchor>
    <xdr:from>
      <xdr:col>8</xdr:col>
      <xdr:colOff>6350</xdr:colOff>
      <xdr:row>5057</xdr:row>
      <xdr:rowOff>25400</xdr:rowOff>
    </xdr:from>
    <xdr:to>
      <xdr:col>8</xdr:col>
      <xdr:colOff>885190</xdr:colOff>
      <xdr:row>5057</xdr:row>
      <xdr:rowOff>1209040</xdr:rowOff>
    </xdr:to>
    <xdr:pic>
      <xdr:nvPicPr>
        <xdr:cNvPr id="8206" name="Изображение 8205" descr="resizeПП-00264561"/>
        <xdr:cNvPicPr>
          <a:picLocks noChangeAspect="1"/>
        </xdr:cNvPicPr>
      </xdr:nvPicPr>
      <xdr:blipFill>
        <a:blip xmlns:r="http://schemas.openxmlformats.org/officeDocument/2006/relationships" r:embed="rId3883"/>
        <a:stretch>
          <a:fillRect/>
        </a:stretch>
      </xdr:blipFill>
      <xdr:spPr>
        <a:xfrm>
          <a:off x="7264400" y="5053380800"/>
          <a:ext cx="878840" cy="1183640"/>
        </a:xfrm>
        <a:prstGeom prst="rect">
          <a:avLst/>
        </a:prstGeom>
      </xdr:spPr>
    </xdr:pic>
    <xdr:clientData/>
  </xdr:twoCellAnchor>
  <xdr:twoCellAnchor>
    <xdr:from>
      <xdr:col>8</xdr:col>
      <xdr:colOff>6350</xdr:colOff>
      <xdr:row>5058</xdr:row>
      <xdr:rowOff>25400</xdr:rowOff>
    </xdr:from>
    <xdr:to>
      <xdr:col>8</xdr:col>
      <xdr:colOff>885190</xdr:colOff>
      <xdr:row>5058</xdr:row>
      <xdr:rowOff>1209040</xdr:rowOff>
    </xdr:to>
    <xdr:pic>
      <xdr:nvPicPr>
        <xdr:cNvPr id="8207" name="Изображение 8206" descr="resizeПП-00264562"/>
        <xdr:cNvPicPr>
          <a:picLocks noChangeAspect="1"/>
        </xdr:cNvPicPr>
      </xdr:nvPicPr>
      <xdr:blipFill>
        <a:blip xmlns:r="http://schemas.openxmlformats.org/officeDocument/2006/relationships" r:embed="rId3884"/>
        <a:stretch>
          <a:fillRect/>
        </a:stretch>
      </xdr:blipFill>
      <xdr:spPr>
        <a:xfrm>
          <a:off x="7264400" y="5054603175"/>
          <a:ext cx="878840" cy="1183640"/>
        </a:xfrm>
        <a:prstGeom prst="rect">
          <a:avLst/>
        </a:prstGeom>
      </xdr:spPr>
    </xdr:pic>
    <xdr:clientData/>
  </xdr:twoCellAnchor>
  <xdr:twoCellAnchor>
    <xdr:from>
      <xdr:col>8</xdr:col>
      <xdr:colOff>6350</xdr:colOff>
      <xdr:row>5060</xdr:row>
      <xdr:rowOff>25400</xdr:rowOff>
    </xdr:from>
    <xdr:to>
      <xdr:col>8</xdr:col>
      <xdr:colOff>885190</xdr:colOff>
      <xdr:row>5060</xdr:row>
      <xdr:rowOff>1209040</xdr:rowOff>
    </xdr:to>
    <xdr:pic>
      <xdr:nvPicPr>
        <xdr:cNvPr id="8208" name="Изображение 8207" descr="resizeПП-00245384"/>
        <xdr:cNvPicPr>
          <a:picLocks noChangeAspect="1"/>
        </xdr:cNvPicPr>
      </xdr:nvPicPr>
      <xdr:blipFill>
        <a:blip xmlns:r="http://schemas.openxmlformats.org/officeDocument/2006/relationships" r:embed="rId3885"/>
        <a:stretch>
          <a:fillRect/>
        </a:stretch>
      </xdr:blipFill>
      <xdr:spPr>
        <a:xfrm>
          <a:off x="7264400" y="5055977950"/>
          <a:ext cx="878840" cy="1183640"/>
        </a:xfrm>
        <a:prstGeom prst="rect">
          <a:avLst/>
        </a:prstGeom>
      </xdr:spPr>
    </xdr:pic>
    <xdr:clientData/>
  </xdr:twoCellAnchor>
  <xdr:twoCellAnchor>
    <xdr:from>
      <xdr:col>8</xdr:col>
      <xdr:colOff>6350</xdr:colOff>
      <xdr:row>5061</xdr:row>
      <xdr:rowOff>25400</xdr:rowOff>
    </xdr:from>
    <xdr:to>
      <xdr:col>8</xdr:col>
      <xdr:colOff>885190</xdr:colOff>
      <xdr:row>5061</xdr:row>
      <xdr:rowOff>1209040</xdr:rowOff>
    </xdr:to>
    <xdr:pic>
      <xdr:nvPicPr>
        <xdr:cNvPr id="8209" name="Изображение 8208" descr="resizeПП-00245383"/>
        <xdr:cNvPicPr>
          <a:picLocks noChangeAspect="1"/>
        </xdr:cNvPicPr>
      </xdr:nvPicPr>
      <xdr:blipFill>
        <a:blip xmlns:r="http://schemas.openxmlformats.org/officeDocument/2006/relationships" r:embed="rId3886"/>
        <a:stretch>
          <a:fillRect/>
        </a:stretch>
      </xdr:blipFill>
      <xdr:spPr>
        <a:xfrm>
          <a:off x="7264400" y="5057200325"/>
          <a:ext cx="878840" cy="1183640"/>
        </a:xfrm>
        <a:prstGeom prst="rect">
          <a:avLst/>
        </a:prstGeom>
      </xdr:spPr>
    </xdr:pic>
    <xdr:clientData/>
  </xdr:twoCellAnchor>
  <xdr:twoCellAnchor>
    <xdr:from>
      <xdr:col>8</xdr:col>
      <xdr:colOff>6350</xdr:colOff>
      <xdr:row>5063</xdr:row>
      <xdr:rowOff>25400</xdr:rowOff>
    </xdr:from>
    <xdr:to>
      <xdr:col>8</xdr:col>
      <xdr:colOff>1189990</xdr:colOff>
      <xdr:row>5063</xdr:row>
      <xdr:rowOff>904240</xdr:rowOff>
    </xdr:to>
    <xdr:pic>
      <xdr:nvPicPr>
        <xdr:cNvPr id="8210" name="Изображение 8209" descr="resizeПП-00267623"/>
        <xdr:cNvPicPr>
          <a:picLocks noChangeAspect="1"/>
        </xdr:cNvPicPr>
      </xdr:nvPicPr>
      <xdr:blipFill>
        <a:blip xmlns:r="http://schemas.openxmlformats.org/officeDocument/2006/relationships" r:embed="rId3887"/>
        <a:stretch>
          <a:fillRect/>
        </a:stretch>
      </xdr:blipFill>
      <xdr:spPr>
        <a:xfrm>
          <a:off x="7264400" y="5058575100"/>
          <a:ext cx="1183640" cy="878840"/>
        </a:xfrm>
        <a:prstGeom prst="rect">
          <a:avLst/>
        </a:prstGeom>
      </xdr:spPr>
    </xdr:pic>
    <xdr:clientData/>
  </xdr:twoCellAnchor>
  <xdr:twoCellAnchor>
    <xdr:from>
      <xdr:col>8</xdr:col>
      <xdr:colOff>6350</xdr:colOff>
      <xdr:row>5064</xdr:row>
      <xdr:rowOff>25400</xdr:rowOff>
    </xdr:from>
    <xdr:to>
      <xdr:col>8</xdr:col>
      <xdr:colOff>1189990</xdr:colOff>
      <xdr:row>5064</xdr:row>
      <xdr:rowOff>904240</xdr:rowOff>
    </xdr:to>
    <xdr:pic>
      <xdr:nvPicPr>
        <xdr:cNvPr id="8211" name="Изображение 8210" descr="resizeПП-00267628"/>
        <xdr:cNvPicPr>
          <a:picLocks noChangeAspect="1"/>
        </xdr:cNvPicPr>
      </xdr:nvPicPr>
      <xdr:blipFill>
        <a:blip xmlns:r="http://schemas.openxmlformats.org/officeDocument/2006/relationships" r:embed="rId3888"/>
        <a:stretch>
          <a:fillRect/>
        </a:stretch>
      </xdr:blipFill>
      <xdr:spPr>
        <a:xfrm>
          <a:off x="7264400" y="5059797475"/>
          <a:ext cx="1183640" cy="878840"/>
        </a:xfrm>
        <a:prstGeom prst="rect">
          <a:avLst/>
        </a:prstGeom>
      </xdr:spPr>
    </xdr:pic>
    <xdr:clientData/>
  </xdr:twoCellAnchor>
  <xdr:twoCellAnchor>
    <xdr:from>
      <xdr:col>8</xdr:col>
      <xdr:colOff>6350</xdr:colOff>
      <xdr:row>5065</xdr:row>
      <xdr:rowOff>25400</xdr:rowOff>
    </xdr:from>
    <xdr:to>
      <xdr:col>8</xdr:col>
      <xdr:colOff>1189990</xdr:colOff>
      <xdr:row>5065</xdr:row>
      <xdr:rowOff>904240</xdr:rowOff>
    </xdr:to>
    <xdr:pic>
      <xdr:nvPicPr>
        <xdr:cNvPr id="8212" name="Изображение 8211" descr="resizeПП-00267624"/>
        <xdr:cNvPicPr>
          <a:picLocks noChangeAspect="1"/>
        </xdr:cNvPicPr>
      </xdr:nvPicPr>
      <xdr:blipFill>
        <a:blip xmlns:r="http://schemas.openxmlformats.org/officeDocument/2006/relationships" r:embed="rId3889"/>
        <a:stretch>
          <a:fillRect/>
        </a:stretch>
      </xdr:blipFill>
      <xdr:spPr>
        <a:xfrm>
          <a:off x="7264400" y="5061019850"/>
          <a:ext cx="1183640" cy="878840"/>
        </a:xfrm>
        <a:prstGeom prst="rect">
          <a:avLst/>
        </a:prstGeom>
      </xdr:spPr>
    </xdr:pic>
    <xdr:clientData/>
  </xdr:twoCellAnchor>
  <xdr:twoCellAnchor>
    <xdr:from>
      <xdr:col>8</xdr:col>
      <xdr:colOff>6350</xdr:colOff>
      <xdr:row>5066</xdr:row>
      <xdr:rowOff>25400</xdr:rowOff>
    </xdr:from>
    <xdr:to>
      <xdr:col>8</xdr:col>
      <xdr:colOff>1189990</xdr:colOff>
      <xdr:row>5066</xdr:row>
      <xdr:rowOff>904240</xdr:rowOff>
    </xdr:to>
    <xdr:pic>
      <xdr:nvPicPr>
        <xdr:cNvPr id="8213" name="Изображение 8212" descr="resizeПП-00267632"/>
        <xdr:cNvPicPr>
          <a:picLocks noChangeAspect="1"/>
        </xdr:cNvPicPr>
      </xdr:nvPicPr>
      <xdr:blipFill>
        <a:blip xmlns:r="http://schemas.openxmlformats.org/officeDocument/2006/relationships" r:embed="rId3890"/>
        <a:stretch>
          <a:fillRect/>
        </a:stretch>
      </xdr:blipFill>
      <xdr:spPr>
        <a:xfrm>
          <a:off x="7264400" y="5062242225"/>
          <a:ext cx="1183640" cy="878840"/>
        </a:xfrm>
        <a:prstGeom prst="rect">
          <a:avLst/>
        </a:prstGeom>
      </xdr:spPr>
    </xdr:pic>
    <xdr:clientData/>
  </xdr:twoCellAnchor>
  <xdr:twoCellAnchor>
    <xdr:from>
      <xdr:col>8</xdr:col>
      <xdr:colOff>6350</xdr:colOff>
      <xdr:row>5067</xdr:row>
      <xdr:rowOff>25400</xdr:rowOff>
    </xdr:from>
    <xdr:to>
      <xdr:col>8</xdr:col>
      <xdr:colOff>885190</xdr:colOff>
      <xdr:row>5067</xdr:row>
      <xdr:rowOff>1209040</xdr:rowOff>
    </xdr:to>
    <xdr:pic>
      <xdr:nvPicPr>
        <xdr:cNvPr id="8214" name="Изображение 8213" descr="resizeПП-00262317"/>
        <xdr:cNvPicPr>
          <a:picLocks noChangeAspect="1"/>
        </xdr:cNvPicPr>
      </xdr:nvPicPr>
      <xdr:blipFill>
        <a:blip xmlns:r="http://schemas.openxmlformats.org/officeDocument/2006/relationships" r:embed="rId3891"/>
        <a:stretch>
          <a:fillRect/>
        </a:stretch>
      </xdr:blipFill>
      <xdr:spPr>
        <a:xfrm>
          <a:off x="7264400" y="5063464600"/>
          <a:ext cx="878840" cy="1183640"/>
        </a:xfrm>
        <a:prstGeom prst="rect">
          <a:avLst/>
        </a:prstGeom>
      </xdr:spPr>
    </xdr:pic>
    <xdr:clientData/>
  </xdr:twoCellAnchor>
  <xdr:twoCellAnchor>
    <xdr:from>
      <xdr:col>8</xdr:col>
      <xdr:colOff>6350</xdr:colOff>
      <xdr:row>5068</xdr:row>
      <xdr:rowOff>25400</xdr:rowOff>
    </xdr:from>
    <xdr:to>
      <xdr:col>8</xdr:col>
      <xdr:colOff>1189990</xdr:colOff>
      <xdr:row>5068</xdr:row>
      <xdr:rowOff>904240</xdr:rowOff>
    </xdr:to>
    <xdr:pic>
      <xdr:nvPicPr>
        <xdr:cNvPr id="8215" name="Изображение 8214" descr="resizeПП-00267630"/>
        <xdr:cNvPicPr>
          <a:picLocks noChangeAspect="1"/>
        </xdr:cNvPicPr>
      </xdr:nvPicPr>
      <xdr:blipFill>
        <a:blip xmlns:r="http://schemas.openxmlformats.org/officeDocument/2006/relationships" r:embed="rId3892"/>
        <a:stretch>
          <a:fillRect/>
        </a:stretch>
      </xdr:blipFill>
      <xdr:spPr>
        <a:xfrm>
          <a:off x="7264400" y="5064686975"/>
          <a:ext cx="1183640" cy="878840"/>
        </a:xfrm>
        <a:prstGeom prst="rect">
          <a:avLst/>
        </a:prstGeom>
      </xdr:spPr>
    </xdr:pic>
    <xdr:clientData/>
  </xdr:twoCellAnchor>
  <xdr:twoCellAnchor>
    <xdr:from>
      <xdr:col>8</xdr:col>
      <xdr:colOff>6350</xdr:colOff>
      <xdr:row>5069</xdr:row>
      <xdr:rowOff>25400</xdr:rowOff>
    </xdr:from>
    <xdr:to>
      <xdr:col>8</xdr:col>
      <xdr:colOff>885190</xdr:colOff>
      <xdr:row>5069</xdr:row>
      <xdr:rowOff>1209040</xdr:rowOff>
    </xdr:to>
    <xdr:pic>
      <xdr:nvPicPr>
        <xdr:cNvPr id="8216" name="Изображение 8215" descr="resizeПП-00262326"/>
        <xdr:cNvPicPr>
          <a:picLocks noChangeAspect="1"/>
        </xdr:cNvPicPr>
      </xdr:nvPicPr>
      <xdr:blipFill>
        <a:blip xmlns:r="http://schemas.openxmlformats.org/officeDocument/2006/relationships" r:embed="rId3893"/>
        <a:stretch>
          <a:fillRect/>
        </a:stretch>
      </xdr:blipFill>
      <xdr:spPr>
        <a:xfrm>
          <a:off x="7264400" y="5065909350"/>
          <a:ext cx="878840" cy="1183640"/>
        </a:xfrm>
        <a:prstGeom prst="rect">
          <a:avLst/>
        </a:prstGeom>
      </xdr:spPr>
    </xdr:pic>
    <xdr:clientData/>
  </xdr:twoCellAnchor>
  <xdr:twoCellAnchor>
    <xdr:from>
      <xdr:col>8</xdr:col>
      <xdr:colOff>6350</xdr:colOff>
      <xdr:row>5070</xdr:row>
      <xdr:rowOff>25400</xdr:rowOff>
    </xdr:from>
    <xdr:to>
      <xdr:col>8</xdr:col>
      <xdr:colOff>885190</xdr:colOff>
      <xdr:row>5070</xdr:row>
      <xdr:rowOff>1209040</xdr:rowOff>
    </xdr:to>
    <xdr:pic>
      <xdr:nvPicPr>
        <xdr:cNvPr id="8217" name="Изображение 8216" descr="resizeПП-00262322"/>
        <xdr:cNvPicPr>
          <a:picLocks noChangeAspect="1"/>
        </xdr:cNvPicPr>
      </xdr:nvPicPr>
      <xdr:blipFill>
        <a:blip xmlns:r="http://schemas.openxmlformats.org/officeDocument/2006/relationships" r:embed="rId3894"/>
        <a:stretch>
          <a:fillRect/>
        </a:stretch>
      </xdr:blipFill>
      <xdr:spPr>
        <a:xfrm>
          <a:off x="7264400" y="5067131725"/>
          <a:ext cx="878840" cy="1183640"/>
        </a:xfrm>
        <a:prstGeom prst="rect">
          <a:avLst/>
        </a:prstGeom>
      </xdr:spPr>
    </xdr:pic>
    <xdr:clientData/>
  </xdr:twoCellAnchor>
  <xdr:twoCellAnchor>
    <xdr:from>
      <xdr:col>8</xdr:col>
      <xdr:colOff>6350</xdr:colOff>
      <xdr:row>5071</xdr:row>
      <xdr:rowOff>25400</xdr:rowOff>
    </xdr:from>
    <xdr:to>
      <xdr:col>8</xdr:col>
      <xdr:colOff>885190</xdr:colOff>
      <xdr:row>5071</xdr:row>
      <xdr:rowOff>1209040</xdr:rowOff>
    </xdr:to>
    <xdr:pic>
      <xdr:nvPicPr>
        <xdr:cNvPr id="8218" name="Изображение 8217" descr="resizeПП-00262329"/>
        <xdr:cNvPicPr>
          <a:picLocks noChangeAspect="1"/>
        </xdr:cNvPicPr>
      </xdr:nvPicPr>
      <xdr:blipFill>
        <a:blip xmlns:r="http://schemas.openxmlformats.org/officeDocument/2006/relationships" r:embed="rId3895"/>
        <a:stretch>
          <a:fillRect/>
        </a:stretch>
      </xdr:blipFill>
      <xdr:spPr>
        <a:xfrm>
          <a:off x="7264400" y="5068354100"/>
          <a:ext cx="878840" cy="1183640"/>
        </a:xfrm>
        <a:prstGeom prst="rect">
          <a:avLst/>
        </a:prstGeom>
      </xdr:spPr>
    </xdr:pic>
    <xdr:clientData/>
  </xdr:twoCellAnchor>
  <xdr:twoCellAnchor>
    <xdr:from>
      <xdr:col>8</xdr:col>
      <xdr:colOff>6350</xdr:colOff>
      <xdr:row>5072</xdr:row>
      <xdr:rowOff>25400</xdr:rowOff>
    </xdr:from>
    <xdr:to>
      <xdr:col>8</xdr:col>
      <xdr:colOff>885190</xdr:colOff>
      <xdr:row>5072</xdr:row>
      <xdr:rowOff>1209040</xdr:rowOff>
    </xdr:to>
    <xdr:pic>
      <xdr:nvPicPr>
        <xdr:cNvPr id="8219" name="Изображение 8218" descr="resizeПП-00262330"/>
        <xdr:cNvPicPr>
          <a:picLocks noChangeAspect="1"/>
        </xdr:cNvPicPr>
      </xdr:nvPicPr>
      <xdr:blipFill>
        <a:blip xmlns:r="http://schemas.openxmlformats.org/officeDocument/2006/relationships" r:embed="rId3896"/>
        <a:stretch>
          <a:fillRect/>
        </a:stretch>
      </xdr:blipFill>
      <xdr:spPr>
        <a:xfrm>
          <a:off x="7264400" y="5069576475"/>
          <a:ext cx="878840" cy="1183640"/>
        </a:xfrm>
        <a:prstGeom prst="rect">
          <a:avLst/>
        </a:prstGeom>
      </xdr:spPr>
    </xdr:pic>
    <xdr:clientData/>
  </xdr:twoCellAnchor>
  <xdr:twoCellAnchor>
    <xdr:from>
      <xdr:col>8</xdr:col>
      <xdr:colOff>6350</xdr:colOff>
      <xdr:row>5075</xdr:row>
      <xdr:rowOff>25400</xdr:rowOff>
    </xdr:from>
    <xdr:to>
      <xdr:col>8</xdr:col>
      <xdr:colOff>885190</xdr:colOff>
      <xdr:row>5075</xdr:row>
      <xdr:rowOff>1209040</xdr:rowOff>
    </xdr:to>
    <xdr:pic>
      <xdr:nvPicPr>
        <xdr:cNvPr id="8220" name="Изображение 8219" descr="resizeПП-00040492"/>
        <xdr:cNvPicPr>
          <a:picLocks noChangeAspect="1"/>
        </xdr:cNvPicPr>
      </xdr:nvPicPr>
      <xdr:blipFill>
        <a:blip xmlns:r="http://schemas.openxmlformats.org/officeDocument/2006/relationships" r:embed="rId3897"/>
        <a:stretch>
          <a:fillRect/>
        </a:stretch>
      </xdr:blipFill>
      <xdr:spPr>
        <a:xfrm>
          <a:off x="7264400" y="5071154450"/>
          <a:ext cx="878840" cy="1183640"/>
        </a:xfrm>
        <a:prstGeom prst="rect">
          <a:avLst/>
        </a:prstGeom>
      </xdr:spPr>
    </xdr:pic>
    <xdr:clientData/>
  </xdr:twoCellAnchor>
  <xdr:twoCellAnchor>
    <xdr:from>
      <xdr:col>8</xdr:col>
      <xdr:colOff>6350</xdr:colOff>
      <xdr:row>5076</xdr:row>
      <xdr:rowOff>25400</xdr:rowOff>
    </xdr:from>
    <xdr:to>
      <xdr:col>8</xdr:col>
      <xdr:colOff>885190</xdr:colOff>
      <xdr:row>5076</xdr:row>
      <xdr:rowOff>1209040</xdr:rowOff>
    </xdr:to>
    <xdr:pic>
      <xdr:nvPicPr>
        <xdr:cNvPr id="8221" name="Изображение 8220" descr="resizeПП-00266365"/>
        <xdr:cNvPicPr>
          <a:picLocks noChangeAspect="1"/>
        </xdr:cNvPicPr>
      </xdr:nvPicPr>
      <xdr:blipFill>
        <a:blip xmlns:r="http://schemas.openxmlformats.org/officeDocument/2006/relationships" r:embed="rId3898"/>
        <a:stretch>
          <a:fillRect/>
        </a:stretch>
      </xdr:blipFill>
      <xdr:spPr>
        <a:xfrm>
          <a:off x="7264400" y="5072376825"/>
          <a:ext cx="878840" cy="1183640"/>
        </a:xfrm>
        <a:prstGeom prst="rect">
          <a:avLst/>
        </a:prstGeom>
      </xdr:spPr>
    </xdr:pic>
    <xdr:clientData/>
  </xdr:twoCellAnchor>
  <xdr:twoCellAnchor>
    <xdr:from>
      <xdr:col>8</xdr:col>
      <xdr:colOff>6350</xdr:colOff>
      <xdr:row>5077</xdr:row>
      <xdr:rowOff>25400</xdr:rowOff>
    </xdr:from>
    <xdr:to>
      <xdr:col>8</xdr:col>
      <xdr:colOff>885190</xdr:colOff>
      <xdr:row>5077</xdr:row>
      <xdr:rowOff>1209040</xdr:rowOff>
    </xdr:to>
    <xdr:pic>
      <xdr:nvPicPr>
        <xdr:cNvPr id="8222" name="Изображение 8221" descr="resizeПП-00040493"/>
        <xdr:cNvPicPr>
          <a:picLocks noChangeAspect="1"/>
        </xdr:cNvPicPr>
      </xdr:nvPicPr>
      <xdr:blipFill>
        <a:blip xmlns:r="http://schemas.openxmlformats.org/officeDocument/2006/relationships" r:embed="rId3899"/>
        <a:stretch>
          <a:fillRect/>
        </a:stretch>
      </xdr:blipFill>
      <xdr:spPr>
        <a:xfrm>
          <a:off x="7264400" y="5073599200"/>
          <a:ext cx="878840" cy="1183640"/>
        </a:xfrm>
        <a:prstGeom prst="rect">
          <a:avLst/>
        </a:prstGeom>
      </xdr:spPr>
    </xdr:pic>
    <xdr:clientData/>
  </xdr:twoCellAnchor>
  <xdr:twoCellAnchor>
    <xdr:from>
      <xdr:col>8</xdr:col>
      <xdr:colOff>6350</xdr:colOff>
      <xdr:row>5078</xdr:row>
      <xdr:rowOff>25400</xdr:rowOff>
    </xdr:from>
    <xdr:to>
      <xdr:col>8</xdr:col>
      <xdr:colOff>885190</xdr:colOff>
      <xdr:row>5078</xdr:row>
      <xdr:rowOff>1209040</xdr:rowOff>
    </xdr:to>
    <xdr:pic>
      <xdr:nvPicPr>
        <xdr:cNvPr id="8223" name="Изображение 8222" descr="resizeПП-00040501"/>
        <xdr:cNvPicPr>
          <a:picLocks noChangeAspect="1"/>
        </xdr:cNvPicPr>
      </xdr:nvPicPr>
      <xdr:blipFill>
        <a:blip xmlns:r="http://schemas.openxmlformats.org/officeDocument/2006/relationships" r:embed="rId3900"/>
        <a:stretch>
          <a:fillRect/>
        </a:stretch>
      </xdr:blipFill>
      <xdr:spPr>
        <a:xfrm>
          <a:off x="7264400" y="5074821575"/>
          <a:ext cx="878840" cy="1183640"/>
        </a:xfrm>
        <a:prstGeom prst="rect">
          <a:avLst/>
        </a:prstGeom>
      </xdr:spPr>
    </xdr:pic>
    <xdr:clientData/>
  </xdr:twoCellAnchor>
  <xdr:twoCellAnchor>
    <xdr:from>
      <xdr:col>8</xdr:col>
      <xdr:colOff>6350</xdr:colOff>
      <xdr:row>5079</xdr:row>
      <xdr:rowOff>25400</xdr:rowOff>
    </xdr:from>
    <xdr:to>
      <xdr:col>8</xdr:col>
      <xdr:colOff>885190</xdr:colOff>
      <xdr:row>5079</xdr:row>
      <xdr:rowOff>1209040</xdr:rowOff>
    </xdr:to>
    <xdr:pic>
      <xdr:nvPicPr>
        <xdr:cNvPr id="8224" name="Изображение 8223" descr="resizeПП-00040503"/>
        <xdr:cNvPicPr>
          <a:picLocks noChangeAspect="1"/>
        </xdr:cNvPicPr>
      </xdr:nvPicPr>
      <xdr:blipFill>
        <a:blip xmlns:r="http://schemas.openxmlformats.org/officeDocument/2006/relationships" r:embed="rId3901"/>
        <a:stretch>
          <a:fillRect/>
        </a:stretch>
      </xdr:blipFill>
      <xdr:spPr>
        <a:xfrm>
          <a:off x="7264400" y="5076043950"/>
          <a:ext cx="878840" cy="1183640"/>
        </a:xfrm>
        <a:prstGeom prst="rect">
          <a:avLst/>
        </a:prstGeom>
      </xdr:spPr>
    </xdr:pic>
    <xdr:clientData/>
  </xdr:twoCellAnchor>
  <xdr:twoCellAnchor>
    <xdr:from>
      <xdr:col>8</xdr:col>
      <xdr:colOff>6350</xdr:colOff>
      <xdr:row>5080</xdr:row>
      <xdr:rowOff>25400</xdr:rowOff>
    </xdr:from>
    <xdr:to>
      <xdr:col>8</xdr:col>
      <xdr:colOff>885190</xdr:colOff>
      <xdr:row>5080</xdr:row>
      <xdr:rowOff>1209040</xdr:rowOff>
    </xdr:to>
    <xdr:pic>
      <xdr:nvPicPr>
        <xdr:cNvPr id="8225" name="Изображение 8224" descr="resizeПП-00040489"/>
        <xdr:cNvPicPr>
          <a:picLocks noChangeAspect="1"/>
        </xdr:cNvPicPr>
      </xdr:nvPicPr>
      <xdr:blipFill>
        <a:blip xmlns:r="http://schemas.openxmlformats.org/officeDocument/2006/relationships" r:embed="rId3902"/>
        <a:stretch>
          <a:fillRect/>
        </a:stretch>
      </xdr:blipFill>
      <xdr:spPr>
        <a:xfrm>
          <a:off x="7264400" y="5077266325"/>
          <a:ext cx="878840" cy="1183640"/>
        </a:xfrm>
        <a:prstGeom prst="rect">
          <a:avLst/>
        </a:prstGeom>
      </xdr:spPr>
    </xdr:pic>
    <xdr:clientData/>
  </xdr:twoCellAnchor>
  <xdr:twoCellAnchor>
    <xdr:from>
      <xdr:col>8</xdr:col>
      <xdr:colOff>6350</xdr:colOff>
      <xdr:row>5081</xdr:row>
      <xdr:rowOff>25400</xdr:rowOff>
    </xdr:from>
    <xdr:to>
      <xdr:col>8</xdr:col>
      <xdr:colOff>885190</xdr:colOff>
      <xdr:row>5081</xdr:row>
      <xdr:rowOff>1209040</xdr:rowOff>
    </xdr:to>
    <xdr:pic>
      <xdr:nvPicPr>
        <xdr:cNvPr id="8226" name="Изображение 8225" descr="resizeПП-00076342"/>
        <xdr:cNvPicPr>
          <a:picLocks noChangeAspect="1"/>
        </xdr:cNvPicPr>
      </xdr:nvPicPr>
      <xdr:blipFill>
        <a:blip xmlns:r="http://schemas.openxmlformats.org/officeDocument/2006/relationships" r:embed="rId3903"/>
        <a:stretch>
          <a:fillRect/>
        </a:stretch>
      </xdr:blipFill>
      <xdr:spPr>
        <a:xfrm>
          <a:off x="7264400" y="5078488700"/>
          <a:ext cx="878840" cy="1183640"/>
        </a:xfrm>
        <a:prstGeom prst="rect">
          <a:avLst/>
        </a:prstGeom>
      </xdr:spPr>
    </xdr:pic>
    <xdr:clientData/>
  </xdr:twoCellAnchor>
  <xdr:twoCellAnchor>
    <xdr:from>
      <xdr:col>8</xdr:col>
      <xdr:colOff>6350</xdr:colOff>
      <xdr:row>5082</xdr:row>
      <xdr:rowOff>25400</xdr:rowOff>
    </xdr:from>
    <xdr:to>
      <xdr:col>8</xdr:col>
      <xdr:colOff>1189990</xdr:colOff>
      <xdr:row>5082</xdr:row>
      <xdr:rowOff>904240</xdr:rowOff>
    </xdr:to>
    <xdr:pic>
      <xdr:nvPicPr>
        <xdr:cNvPr id="8227" name="Изображение 8226" descr="resizeПП-00076343"/>
        <xdr:cNvPicPr>
          <a:picLocks noChangeAspect="1"/>
        </xdr:cNvPicPr>
      </xdr:nvPicPr>
      <xdr:blipFill>
        <a:blip xmlns:r="http://schemas.openxmlformats.org/officeDocument/2006/relationships" r:embed="rId3904"/>
        <a:stretch>
          <a:fillRect/>
        </a:stretch>
      </xdr:blipFill>
      <xdr:spPr>
        <a:xfrm>
          <a:off x="7264400" y="5079711075"/>
          <a:ext cx="1183640" cy="878840"/>
        </a:xfrm>
        <a:prstGeom prst="rect">
          <a:avLst/>
        </a:prstGeom>
      </xdr:spPr>
    </xdr:pic>
    <xdr:clientData/>
  </xdr:twoCellAnchor>
  <xdr:twoCellAnchor>
    <xdr:from>
      <xdr:col>8</xdr:col>
      <xdr:colOff>6350</xdr:colOff>
      <xdr:row>5083</xdr:row>
      <xdr:rowOff>25400</xdr:rowOff>
    </xdr:from>
    <xdr:to>
      <xdr:col>8</xdr:col>
      <xdr:colOff>885190</xdr:colOff>
      <xdr:row>5083</xdr:row>
      <xdr:rowOff>1209040</xdr:rowOff>
    </xdr:to>
    <xdr:pic>
      <xdr:nvPicPr>
        <xdr:cNvPr id="8228" name="Изображение 8227" descr="resizeПП-00040490"/>
        <xdr:cNvPicPr>
          <a:picLocks noChangeAspect="1"/>
        </xdr:cNvPicPr>
      </xdr:nvPicPr>
      <xdr:blipFill>
        <a:blip xmlns:r="http://schemas.openxmlformats.org/officeDocument/2006/relationships" r:embed="rId3905"/>
        <a:stretch>
          <a:fillRect/>
        </a:stretch>
      </xdr:blipFill>
      <xdr:spPr>
        <a:xfrm>
          <a:off x="7264400" y="5080933450"/>
          <a:ext cx="878840" cy="1183640"/>
        </a:xfrm>
        <a:prstGeom prst="rect">
          <a:avLst/>
        </a:prstGeom>
      </xdr:spPr>
    </xdr:pic>
    <xdr:clientData/>
  </xdr:twoCellAnchor>
  <xdr:twoCellAnchor>
    <xdr:from>
      <xdr:col>8</xdr:col>
      <xdr:colOff>6350</xdr:colOff>
      <xdr:row>5084</xdr:row>
      <xdr:rowOff>25400</xdr:rowOff>
    </xdr:from>
    <xdr:to>
      <xdr:col>8</xdr:col>
      <xdr:colOff>885190</xdr:colOff>
      <xdr:row>5084</xdr:row>
      <xdr:rowOff>1209040</xdr:rowOff>
    </xdr:to>
    <xdr:pic>
      <xdr:nvPicPr>
        <xdr:cNvPr id="8229" name="Изображение 8228" descr="resizeПП-00040499"/>
        <xdr:cNvPicPr>
          <a:picLocks noChangeAspect="1"/>
        </xdr:cNvPicPr>
      </xdr:nvPicPr>
      <xdr:blipFill>
        <a:blip xmlns:r="http://schemas.openxmlformats.org/officeDocument/2006/relationships" r:embed="rId3906"/>
        <a:stretch>
          <a:fillRect/>
        </a:stretch>
      </xdr:blipFill>
      <xdr:spPr>
        <a:xfrm>
          <a:off x="7264400" y="5082155825"/>
          <a:ext cx="878840" cy="1183640"/>
        </a:xfrm>
        <a:prstGeom prst="rect">
          <a:avLst/>
        </a:prstGeom>
      </xdr:spPr>
    </xdr:pic>
    <xdr:clientData/>
  </xdr:twoCellAnchor>
  <xdr:twoCellAnchor>
    <xdr:from>
      <xdr:col>8</xdr:col>
      <xdr:colOff>6350</xdr:colOff>
      <xdr:row>5085</xdr:row>
      <xdr:rowOff>25400</xdr:rowOff>
    </xdr:from>
    <xdr:to>
      <xdr:col>8</xdr:col>
      <xdr:colOff>885190</xdr:colOff>
      <xdr:row>5085</xdr:row>
      <xdr:rowOff>1209040</xdr:rowOff>
    </xdr:to>
    <xdr:pic>
      <xdr:nvPicPr>
        <xdr:cNvPr id="8230" name="Изображение 8229" descr="resizeПП-00040504"/>
        <xdr:cNvPicPr>
          <a:picLocks noChangeAspect="1"/>
        </xdr:cNvPicPr>
      </xdr:nvPicPr>
      <xdr:blipFill>
        <a:blip xmlns:r="http://schemas.openxmlformats.org/officeDocument/2006/relationships" r:embed="rId3907"/>
        <a:stretch>
          <a:fillRect/>
        </a:stretch>
      </xdr:blipFill>
      <xdr:spPr>
        <a:xfrm>
          <a:off x="7264400" y="5083378200"/>
          <a:ext cx="878840" cy="1183640"/>
        </a:xfrm>
        <a:prstGeom prst="rect">
          <a:avLst/>
        </a:prstGeom>
      </xdr:spPr>
    </xdr:pic>
    <xdr:clientData/>
  </xdr:twoCellAnchor>
  <xdr:twoCellAnchor>
    <xdr:from>
      <xdr:col>8</xdr:col>
      <xdr:colOff>6350</xdr:colOff>
      <xdr:row>5087</xdr:row>
      <xdr:rowOff>25400</xdr:rowOff>
    </xdr:from>
    <xdr:to>
      <xdr:col>8</xdr:col>
      <xdr:colOff>885190</xdr:colOff>
      <xdr:row>5087</xdr:row>
      <xdr:rowOff>1209040</xdr:rowOff>
    </xdr:to>
    <xdr:pic>
      <xdr:nvPicPr>
        <xdr:cNvPr id="8231" name="Изображение 8230" descr="resizeПП-00266366"/>
        <xdr:cNvPicPr>
          <a:picLocks noChangeAspect="1"/>
        </xdr:cNvPicPr>
      </xdr:nvPicPr>
      <xdr:blipFill>
        <a:blip xmlns:r="http://schemas.openxmlformats.org/officeDocument/2006/relationships" r:embed="rId3898"/>
        <a:stretch>
          <a:fillRect/>
        </a:stretch>
      </xdr:blipFill>
      <xdr:spPr>
        <a:xfrm>
          <a:off x="7264400" y="5084752975"/>
          <a:ext cx="878840" cy="1183640"/>
        </a:xfrm>
        <a:prstGeom prst="rect">
          <a:avLst/>
        </a:prstGeom>
      </xdr:spPr>
    </xdr:pic>
    <xdr:clientData/>
  </xdr:twoCellAnchor>
  <xdr:twoCellAnchor>
    <xdr:from>
      <xdr:col>8</xdr:col>
      <xdr:colOff>6350</xdr:colOff>
      <xdr:row>5089</xdr:row>
      <xdr:rowOff>25400</xdr:rowOff>
    </xdr:from>
    <xdr:to>
      <xdr:col>8</xdr:col>
      <xdr:colOff>1189990</xdr:colOff>
      <xdr:row>5089</xdr:row>
      <xdr:rowOff>904240</xdr:rowOff>
    </xdr:to>
    <xdr:pic>
      <xdr:nvPicPr>
        <xdr:cNvPr id="8232" name="Изображение 8231" descr="resizeПП-00039952"/>
        <xdr:cNvPicPr>
          <a:picLocks noChangeAspect="1"/>
        </xdr:cNvPicPr>
      </xdr:nvPicPr>
      <xdr:blipFill>
        <a:blip xmlns:r="http://schemas.openxmlformats.org/officeDocument/2006/relationships" r:embed="rId3908"/>
        <a:stretch>
          <a:fillRect/>
        </a:stretch>
      </xdr:blipFill>
      <xdr:spPr>
        <a:xfrm>
          <a:off x="7264400" y="5086127750"/>
          <a:ext cx="1183640" cy="878840"/>
        </a:xfrm>
        <a:prstGeom prst="rect">
          <a:avLst/>
        </a:prstGeom>
      </xdr:spPr>
    </xdr:pic>
    <xdr:clientData/>
  </xdr:twoCellAnchor>
  <xdr:twoCellAnchor>
    <xdr:from>
      <xdr:col>8</xdr:col>
      <xdr:colOff>6350</xdr:colOff>
      <xdr:row>5090</xdr:row>
      <xdr:rowOff>25400</xdr:rowOff>
    </xdr:from>
    <xdr:to>
      <xdr:col>8</xdr:col>
      <xdr:colOff>1189990</xdr:colOff>
      <xdr:row>5090</xdr:row>
      <xdr:rowOff>1056640</xdr:rowOff>
    </xdr:to>
    <xdr:pic>
      <xdr:nvPicPr>
        <xdr:cNvPr id="8233" name="Изображение 8232" descr="resizeПП-00039953"/>
        <xdr:cNvPicPr>
          <a:picLocks noChangeAspect="1"/>
        </xdr:cNvPicPr>
      </xdr:nvPicPr>
      <xdr:blipFill>
        <a:blip xmlns:r="http://schemas.openxmlformats.org/officeDocument/2006/relationships" r:embed="rId3909"/>
        <a:stretch>
          <a:fillRect/>
        </a:stretch>
      </xdr:blipFill>
      <xdr:spPr>
        <a:xfrm>
          <a:off x="7264400" y="5087350125"/>
          <a:ext cx="1183640" cy="1031240"/>
        </a:xfrm>
        <a:prstGeom prst="rect">
          <a:avLst/>
        </a:prstGeom>
      </xdr:spPr>
    </xdr:pic>
    <xdr:clientData/>
  </xdr:twoCellAnchor>
  <xdr:twoCellAnchor>
    <xdr:from>
      <xdr:col>8</xdr:col>
      <xdr:colOff>6350</xdr:colOff>
      <xdr:row>5091</xdr:row>
      <xdr:rowOff>25400</xdr:rowOff>
    </xdr:from>
    <xdr:to>
      <xdr:col>8</xdr:col>
      <xdr:colOff>1189990</xdr:colOff>
      <xdr:row>5091</xdr:row>
      <xdr:rowOff>904240</xdr:rowOff>
    </xdr:to>
    <xdr:pic>
      <xdr:nvPicPr>
        <xdr:cNvPr id="8234" name="Изображение 8233" descr="resizeПП-00039957"/>
        <xdr:cNvPicPr>
          <a:picLocks noChangeAspect="1"/>
        </xdr:cNvPicPr>
      </xdr:nvPicPr>
      <xdr:blipFill>
        <a:blip xmlns:r="http://schemas.openxmlformats.org/officeDocument/2006/relationships" r:embed="rId3910"/>
        <a:stretch>
          <a:fillRect/>
        </a:stretch>
      </xdr:blipFill>
      <xdr:spPr>
        <a:xfrm>
          <a:off x="7264400" y="5088572500"/>
          <a:ext cx="1183640" cy="878840"/>
        </a:xfrm>
        <a:prstGeom prst="rect">
          <a:avLst/>
        </a:prstGeom>
      </xdr:spPr>
    </xdr:pic>
    <xdr:clientData/>
  </xdr:twoCellAnchor>
  <xdr:twoCellAnchor>
    <xdr:from>
      <xdr:col>8</xdr:col>
      <xdr:colOff>6350</xdr:colOff>
      <xdr:row>5092</xdr:row>
      <xdr:rowOff>25400</xdr:rowOff>
    </xdr:from>
    <xdr:to>
      <xdr:col>8</xdr:col>
      <xdr:colOff>1189990</xdr:colOff>
      <xdr:row>5092</xdr:row>
      <xdr:rowOff>904240</xdr:rowOff>
    </xdr:to>
    <xdr:pic>
      <xdr:nvPicPr>
        <xdr:cNvPr id="8235" name="Изображение 8234" descr="resizeПП-00039963"/>
        <xdr:cNvPicPr>
          <a:picLocks noChangeAspect="1"/>
        </xdr:cNvPicPr>
      </xdr:nvPicPr>
      <xdr:blipFill>
        <a:blip xmlns:r="http://schemas.openxmlformats.org/officeDocument/2006/relationships" r:embed="rId3911"/>
        <a:stretch>
          <a:fillRect/>
        </a:stretch>
      </xdr:blipFill>
      <xdr:spPr>
        <a:xfrm>
          <a:off x="7264400" y="5089794875"/>
          <a:ext cx="1183640" cy="878840"/>
        </a:xfrm>
        <a:prstGeom prst="rect">
          <a:avLst/>
        </a:prstGeom>
      </xdr:spPr>
    </xdr:pic>
    <xdr:clientData/>
  </xdr:twoCellAnchor>
  <xdr:twoCellAnchor>
    <xdr:from>
      <xdr:col>8</xdr:col>
      <xdr:colOff>6350</xdr:colOff>
      <xdr:row>5093</xdr:row>
      <xdr:rowOff>25400</xdr:rowOff>
    </xdr:from>
    <xdr:to>
      <xdr:col>8</xdr:col>
      <xdr:colOff>1189990</xdr:colOff>
      <xdr:row>5093</xdr:row>
      <xdr:rowOff>904240</xdr:rowOff>
    </xdr:to>
    <xdr:pic>
      <xdr:nvPicPr>
        <xdr:cNvPr id="8236" name="Изображение 8235" descr="resizeПП-00076348"/>
        <xdr:cNvPicPr>
          <a:picLocks noChangeAspect="1"/>
        </xdr:cNvPicPr>
      </xdr:nvPicPr>
      <xdr:blipFill>
        <a:blip xmlns:r="http://schemas.openxmlformats.org/officeDocument/2006/relationships" r:embed="rId3912"/>
        <a:stretch>
          <a:fillRect/>
        </a:stretch>
      </xdr:blipFill>
      <xdr:spPr>
        <a:xfrm>
          <a:off x="7264400" y="5091017250"/>
          <a:ext cx="1183640" cy="878840"/>
        </a:xfrm>
        <a:prstGeom prst="rect">
          <a:avLst/>
        </a:prstGeom>
      </xdr:spPr>
    </xdr:pic>
    <xdr:clientData/>
  </xdr:twoCellAnchor>
  <xdr:twoCellAnchor>
    <xdr:from>
      <xdr:col>8</xdr:col>
      <xdr:colOff>6350</xdr:colOff>
      <xdr:row>5094</xdr:row>
      <xdr:rowOff>25400</xdr:rowOff>
    </xdr:from>
    <xdr:to>
      <xdr:col>8</xdr:col>
      <xdr:colOff>1189990</xdr:colOff>
      <xdr:row>5094</xdr:row>
      <xdr:rowOff>904240</xdr:rowOff>
    </xdr:to>
    <xdr:pic>
      <xdr:nvPicPr>
        <xdr:cNvPr id="8237" name="Изображение 8236" descr="resizeПП-00039958"/>
        <xdr:cNvPicPr>
          <a:picLocks noChangeAspect="1"/>
        </xdr:cNvPicPr>
      </xdr:nvPicPr>
      <xdr:blipFill>
        <a:blip xmlns:r="http://schemas.openxmlformats.org/officeDocument/2006/relationships" r:embed="rId3913"/>
        <a:stretch>
          <a:fillRect/>
        </a:stretch>
      </xdr:blipFill>
      <xdr:spPr>
        <a:xfrm>
          <a:off x="7264400" y="5092239625"/>
          <a:ext cx="1183640" cy="878840"/>
        </a:xfrm>
        <a:prstGeom prst="rect">
          <a:avLst/>
        </a:prstGeom>
      </xdr:spPr>
    </xdr:pic>
    <xdr:clientData/>
  </xdr:twoCellAnchor>
  <xdr:twoCellAnchor>
    <xdr:from>
      <xdr:col>8</xdr:col>
      <xdr:colOff>6350</xdr:colOff>
      <xdr:row>5095</xdr:row>
      <xdr:rowOff>25400</xdr:rowOff>
    </xdr:from>
    <xdr:to>
      <xdr:col>8</xdr:col>
      <xdr:colOff>1189990</xdr:colOff>
      <xdr:row>5095</xdr:row>
      <xdr:rowOff>904240</xdr:rowOff>
    </xdr:to>
    <xdr:pic>
      <xdr:nvPicPr>
        <xdr:cNvPr id="8238" name="Изображение 8237" descr="resizeПП-00076347"/>
        <xdr:cNvPicPr>
          <a:picLocks noChangeAspect="1"/>
        </xdr:cNvPicPr>
      </xdr:nvPicPr>
      <xdr:blipFill>
        <a:blip xmlns:r="http://schemas.openxmlformats.org/officeDocument/2006/relationships" r:embed="rId3914"/>
        <a:stretch>
          <a:fillRect/>
        </a:stretch>
      </xdr:blipFill>
      <xdr:spPr>
        <a:xfrm>
          <a:off x="7264400" y="5093462000"/>
          <a:ext cx="1183640" cy="878840"/>
        </a:xfrm>
        <a:prstGeom prst="rect">
          <a:avLst/>
        </a:prstGeom>
      </xdr:spPr>
    </xdr:pic>
    <xdr:clientData/>
  </xdr:twoCellAnchor>
  <xdr:twoCellAnchor>
    <xdr:from>
      <xdr:col>8</xdr:col>
      <xdr:colOff>6350</xdr:colOff>
      <xdr:row>5096</xdr:row>
      <xdr:rowOff>25400</xdr:rowOff>
    </xdr:from>
    <xdr:to>
      <xdr:col>8</xdr:col>
      <xdr:colOff>1189990</xdr:colOff>
      <xdr:row>5096</xdr:row>
      <xdr:rowOff>904240</xdr:rowOff>
    </xdr:to>
    <xdr:pic>
      <xdr:nvPicPr>
        <xdr:cNvPr id="8239" name="Изображение 8238" descr="resizeПП-00039960"/>
        <xdr:cNvPicPr>
          <a:picLocks noChangeAspect="1"/>
        </xdr:cNvPicPr>
      </xdr:nvPicPr>
      <xdr:blipFill>
        <a:blip xmlns:r="http://schemas.openxmlformats.org/officeDocument/2006/relationships" r:embed="rId3915"/>
        <a:stretch>
          <a:fillRect/>
        </a:stretch>
      </xdr:blipFill>
      <xdr:spPr>
        <a:xfrm>
          <a:off x="7264400" y="5094684375"/>
          <a:ext cx="1183640" cy="878840"/>
        </a:xfrm>
        <a:prstGeom prst="rect">
          <a:avLst/>
        </a:prstGeom>
      </xdr:spPr>
    </xdr:pic>
    <xdr:clientData/>
  </xdr:twoCellAnchor>
  <xdr:twoCellAnchor>
    <xdr:from>
      <xdr:col>8</xdr:col>
      <xdr:colOff>6350</xdr:colOff>
      <xdr:row>5097</xdr:row>
      <xdr:rowOff>25400</xdr:rowOff>
    </xdr:from>
    <xdr:to>
      <xdr:col>8</xdr:col>
      <xdr:colOff>1189990</xdr:colOff>
      <xdr:row>5097</xdr:row>
      <xdr:rowOff>904240</xdr:rowOff>
    </xdr:to>
    <xdr:pic>
      <xdr:nvPicPr>
        <xdr:cNvPr id="8240" name="Изображение 8239" descr="resizeПП-00039961"/>
        <xdr:cNvPicPr>
          <a:picLocks noChangeAspect="1"/>
        </xdr:cNvPicPr>
      </xdr:nvPicPr>
      <xdr:blipFill>
        <a:blip xmlns:r="http://schemas.openxmlformats.org/officeDocument/2006/relationships" r:embed="rId3916"/>
        <a:stretch>
          <a:fillRect/>
        </a:stretch>
      </xdr:blipFill>
      <xdr:spPr>
        <a:xfrm>
          <a:off x="7264400" y="5095906750"/>
          <a:ext cx="1183640" cy="878840"/>
        </a:xfrm>
        <a:prstGeom prst="rect">
          <a:avLst/>
        </a:prstGeom>
      </xdr:spPr>
    </xdr:pic>
    <xdr:clientData/>
  </xdr:twoCellAnchor>
  <xdr:twoCellAnchor>
    <xdr:from>
      <xdr:col>8</xdr:col>
      <xdr:colOff>6350</xdr:colOff>
      <xdr:row>5098</xdr:row>
      <xdr:rowOff>25400</xdr:rowOff>
    </xdr:from>
    <xdr:to>
      <xdr:col>8</xdr:col>
      <xdr:colOff>885190</xdr:colOff>
      <xdr:row>5098</xdr:row>
      <xdr:rowOff>1209040</xdr:rowOff>
    </xdr:to>
    <xdr:pic>
      <xdr:nvPicPr>
        <xdr:cNvPr id="8241" name="Изображение 8240" descr="resizeПП-00256308"/>
        <xdr:cNvPicPr>
          <a:picLocks noChangeAspect="1"/>
        </xdr:cNvPicPr>
      </xdr:nvPicPr>
      <xdr:blipFill>
        <a:blip xmlns:r="http://schemas.openxmlformats.org/officeDocument/2006/relationships" r:embed="rId3917"/>
        <a:stretch>
          <a:fillRect/>
        </a:stretch>
      </xdr:blipFill>
      <xdr:spPr>
        <a:xfrm>
          <a:off x="7264400" y="5097129125"/>
          <a:ext cx="878840" cy="1183640"/>
        </a:xfrm>
        <a:prstGeom prst="rect">
          <a:avLst/>
        </a:prstGeom>
      </xdr:spPr>
    </xdr:pic>
    <xdr:clientData/>
  </xdr:twoCellAnchor>
  <xdr:twoCellAnchor>
    <xdr:from>
      <xdr:col>8</xdr:col>
      <xdr:colOff>6350</xdr:colOff>
      <xdr:row>5103</xdr:row>
      <xdr:rowOff>25400</xdr:rowOff>
    </xdr:from>
    <xdr:to>
      <xdr:col>8</xdr:col>
      <xdr:colOff>885190</xdr:colOff>
      <xdr:row>5103</xdr:row>
      <xdr:rowOff>1209040</xdr:rowOff>
    </xdr:to>
    <xdr:pic>
      <xdr:nvPicPr>
        <xdr:cNvPr id="8242" name="Изображение 8241" descr="resizeПП-00071636"/>
        <xdr:cNvPicPr>
          <a:picLocks noChangeAspect="1"/>
        </xdr:cNvPicPr>
      </xdr:nvPicPr>
      <xdr:blipFill>
        <a:blip xmlns:r="http://schemas.openxmlformats.org/officeDocument/2006/relationships" r:embed="rId3918"/>
        <a:stretch>
          <a:fillRect/>
        </a:stretch>
      </xdr:blipFill>
      <xdr:spPr>
        <a:xfrm>
          <a:off x="7264400" y="5099011900"/>
          <a:ext cx="878840" cy="1183640"/>
        </a:xfrm>
        <a:prstGeom prst="rect">
          <a:avLst/>
        </a:prstGeom>
      </xdr:spPr>
    </xdr:pic>
    <xdr:clientData/>
  </xdr:twoCellAnchor>
  <xdr:twoCellAnchor>
    <xdr:from>
      <xdr:col>8</xdr:col>
      <xdr:colOff>6350</xdr:colOff>
      <xdr:row>5104</xdr:row>
      <xdr:rowOff>25400</xdr:rowOff>
    </xdr:from>
    <xdr:to>
      <xdr:col>8</xdr:col>
      <xdr:colOff>885190</xdr:colOff>
      <xdr:row>5104</xdr:row>
      <xdr:rowOff>1209040</xdr:rowOff>
    </xdr:to>
    <xdr:pic>
      <xdr:nvPicPr>
        <xdr:cNvPr id="8243" name="Изображение 8242" descr="resizeПП-00071637"/>
        <xdr:cNvPicPr>
          <a:picLocks noChangeAspect="1"/>
        </xdr:cNvPicPr>
      </xdr:nvPicPr>
      <xdr:blipFill>
        <a:blip xmlns:r="http://schemas.openxmlformats.org/officeDocument/2006/relationships" r:embed="rId3918"/>
        <a:stretch>
          <a:fillRect/>
        </a:stretch>
      </xdr:blipFill>
      <xdr:spPr>
        <a:xfrm>
          <a:off x="7264400" y="5100234275"/>
          <a:ext cx="878840" cy="1183640"/>
        </a:xfrm>
        <a:prstGeom prst="rect">
          <a:avLst/>
        </a:prstGeom>
      </xdr:spPr>
    </xdr:pic>
    <xdr:clientData/>
  </xdr:twoCellAnchor>
  <xdr:twoCellAnchor>
    <xdr:from>
      <xdr:col>8</xdr:col>
      <xdr:colOff>6350</xdr:colOff>
      <xdr:row>5106</xdr:row>
      <xdr:rowOff>25400</xdr:rowOff>
    </xdr:from>
    <xdr:to>
      <xdr:col>8</xdr:col>
      <xdr:colOff>885190</xdr:colOff>
      <xdr:row>5106</xdr:row>
      <xdr:rowOff>1209040</xdr:rowOff>
    </xdr:to>
    <xdr:pic>
      <xdr:nvPicPr>
        <xdr:cNvPr id="8244" name="Изображение 8243" descr="resizeПП-00117874"/>
        <xdr:cNvPicPr>
          <a:picLocks noChangeAspect="1"/>
        </xdr:cNvPicPr>
      </xdr:nvPicPr>
      <xdr:blipFill>
        <a:blip xmlns:r="http://schemas.openxmlformats.org/officeDocument/2006/relationships" r:embed="rId3919"/>
        <a:stretch>
          <a:fillRect/>
        </a:stretch>
      </xdr:blipFill>
      <xdr:spPr>
        <a:xfrm>
          <a:off x="7264400" y="5101609050"/>
          <a:ext cx="878840" cy="1183640"/>
        </a:xfrm>
        <a:prstGeom prst="rect">
          <a:avLst/>
        </a:prstGeom>
      </xdr:spPr>
    </xdr:pic>
    <xdr:clientData/>
  </xdr:twoCellAnchor>
  <xdr:twoCellAnchor>
    <xdr:from>
      <xdr:col>8</xdr:col>
      <xdr:colOff>6350</xdr:colOff>
      <xdr:row>5110</xdr:row>
      <xdr:rowOff>25400</xdr:rowOff>
    </xdr:from>
    <xdr:to>
      <xdr:col>8</xdr:col>
      <xdr:colOff>885190</xdr:colOff>
      <xdr:row>5110</xdr:row>
      <xdr:rowOff>1209040</xdr:rowOff>
    </xdr:to>
    <xdr:pic>
      <xdr:nvPicPr>
        <xdr:cNvPr id="8245" name="Изображение 8244" descr="resizeПП-00092221"/>
        <xdr:cNvPicPr>
          <a:picLocks noChangeAspect="1"/>
        </xdr:cNvPicPr>
      </xdr:nvPicPr>
      <xdr:blipFill>
        <a:blip xmlns:r="http://schemas.openxmlformats.org/officeDocument/2006/relationships" r:embed="rId3920"/>
        <a:stretch>
          <a:fillRect/>
        </a:stretch>
      </xdr:blipFill>
      <xdr:spPr>
        <a:xfrm>
          <a:off x="7264400" y="5103288625"/>
          <a:ext cx="878840" cy="1183640"/>
        </a:xfrm>
        <a:prstGeom prst="rect">
          <a:avLst/>
        </a:prstGeom>
      </xdr:spPr>
    </xdr:pic>
    <xdr:clientData/>
  </xdr:twoCellAnchor>
  <xdr:twoCellAnchor>
    <xdr:from>
      <xdr:col>8</xdr:col>
      <xdr:colOff>6350</xdr:colOff>
      <xdr:row>5112</xdr:row>
      <xdr:rowOff>25400</xdr:rowOff>
    </xdr:from>
    <xdr:to>
      <xdr:col>8</xdr:col>
      <xdr:colOff>885190</xdr:colOff>
      <xdr:row>5112</xdr:row>
      <xdr:rowOff>1209040</xdr:rowOff>
    </xdr:to>
    <xdr:pic>
      <xdr:nvPicPr>
        <xdr:cNvPr id="8246" name="Изображение 8245" descr="resizeПП-00189037"/>
        <xdr:cNvPicPr>
          <a:picLocks noChangeAspect="1"/>
        </xdr:cNvPicPr>
      </xdr:nvPicPr>
      <xdr:blipFill>
        <a:blip xmlns:r="http://schemas.openxmlformats.org/officeDocument/2006/relationships" r:embed="rId3921"/>
        <a:stretch>
          <a:fillRect/>
        </a:stretch>
      </xdr:blipFill>
      <xdr:spPr>
        <a:xfrm>
          <a:off x="7264400" y="5104663400"/>
          <a:ext cx="878840" cy="1183640"/>
        </a:xfrm>
        <a:prstGeom prst="rect">
          <a:avLst/>
        </a:prstGeom>
      </xdr:spPr>
    </xdr:pic>
    <xdr:clientData/>
  </xdr:twoCellAnchor>
  <xdr:twoCellAnchor>
    <xdr:from>
      <xdr:col>8</xdr:col>
      <xdr:colOff>6350</xdr:colOff>
      <xdr:row>5113</xdr:row>
      <xdr:rowOff>25400</xdr:rowOff>
    </xdr:from>
    <xdr:to>
      <xdr:col>8</xdr:col>
      <xdr:colOff>885190</xdr:colOff>
      <xdr:row>5113</xdr:row>
      <xdr:rowOff>1209040</xdr:rowOff>
    </xdr:to>
    <xdr:pic>
      <xdr:nvPicPr>
        <xdr:cNvPr id="8247" name="Изображение 8246" descr="resizeПП-00176905"/>
        <xdr:cNvPicPr>
          <a:picLocks noChangeAspect="1"/>
        </xdr:cNvPicPr>
      </xdr:nvPicPr>
      <xdr:blipFill>
        <a:blip xmlns:r="http://schemas.openxmlformats.org/officeDocument/2006/relationships" r:embed="rId3922"/>
        <a:stretch>
          <a:fillRect/>
        </a:stretch>
      </xdr:blipFill>
      <xdr:spPr>
        <a:xfrm>
          <a:off x="7264400" y="5105885775"/>
          <a:ext cx="878840" cy="1183640"/>
        </a:xfrm>
        <a:prstGeom prst="rect">
          <a:avLst/>
        </a:prstGeom>
      </xdr:spPr>
    </xdr:pic>
    <xdr:clientData/>
  </xdr:twoCellAnchor>
  <xdr:twoCellAnchor>
    <xdr:from>
      <xdr:col>8</xdr:col>
      <xdr:colOff>6350</xdr:colOff>
      <xdr:row>5114</xdr:row>
      <xdr:rowOff>25400</xdr:rowOff>
    </xdr:from>
    <xdr:to>
      <xdr:col>8</xdr:col>
      <xdr:colOff>885190</xdr:colOff>
      <xdr:row>5114</xdr:row>
      <xdr:rowOff>1209040</xdr:rowOff>
    </xdr:to>
    <xdr:pic>
      <xdr:nvPicPr>
        <xdr:cNvPr id="8248" name="Изображение 8247" descr="resizeПП-00176910"/>
        <xdr:cNvPicPr>
          <a:picLocks noChangeAspect="1"/>
        </xdr:cNvPicPr>
      </xdr:nvPicPr>
      <xdr:blipFill>
        <a:blip xmlns:r="http://schemas.openxmlformats.org/officeDocument/2006/relationships" r:embed="rId3923"/>
        <a:stretch>
          <a:fillRect/>
        </a:stretch>
      </xdr:blipFill>
      <xdr:spPr>
        <a:xfrm>
          <a:off x="7264400" y="5107108150"/>
          <a:ext cx="878840" cy="1183640"/>
        </a:xfrm>
        <a:prstGeom prst="rect">
          <a:avLst/>
        </a:prstGeom>
      </xdr:spPr>
    </xdr:pic>
    <xdr:clientData/>
  </xdr:twoCellAnchor>
  <xdr:twoCellAnchor>
    <xdr:from>
      <xdr:col>8</xdr:col>
      <xdr:colOff>6350</xdr:colOff>
      <xdr:row>5115</xdr:row>
      <xdr:rowOff>25400</xdr:rowOff>
    </xdr:from>
    <xdr:to>
      <xdr:col>8</xdr:col>
      <xdr:colOff>885190</xdr:colOff>
      <xdr:row>5115</xdr:row>
      <xdr:rowOff>1209040</xdr:rowOff>
    </xdr:to>
    <xdr:pic>
      <xdr:nvPicPr>
        <xdr:cNvPr id="8249" name="Изображение 8248" descr="resizeПП-00176903"/>
        <xdr:cNvPicPr>
          <a:picLocks noChangeAspect="1"/>
        </xdr:cNvPicPr>
      </xdr:nvPicPr>
      <xdr:blipFill>
        <a:blip xmlns:r="http://schemas.openxmlformats.org/officeDocument/2006/relationships" r:embed="rId3924"/>
        <a:stretch>
          <a:fillRect/>
        </a:stretch>
      </xdr:blipFill>
      <xdr:spPr>
        <a:xfrm>
          <a:off x="7264400" y="5108330525"/>
          <a:ext cx="878840" cy="1183640"/>
        </a:xfrm>
        <a:prstGeom prst="rect">
          <a:avLst/>
        </a:prstGeom>
      </xdr:spPr>
    </xdr:pic>
    <xdr:clientData/>
  </xdr:twoCellAnchor>
  <xdr:twoCellAnchor>
    <xdr:from>
      <xdr:col>8</xdr:col>
      <xdr:colOff>6350</xdr:colOff>
      <xdr:row>5116</xdr:row>
      <xdr:rowOff>25400</xdr:rowOff>
    </xdr:from>
    <xdr:to>
      <xdr:col>8</xdr:col>
      <xdr:colOff>885190</xdr:colOff>
      <xdr:row>5116</xdr:row>
      <xdr:rowOff>1209040</xdr:rowOff>
    </xdr:to>
    <xdr:pic>
      <xdr:nvPicPr>
        <xdr:cNvPr id="8250" name="Изображение 8249" descr="resizeПП-00189032"/>
        <xdr:cNvPicPr>
          <a:picLocks noChangeAspect="1"/>
        </xdr:cNvPicPr>
      </xdr:nvPicPr>
      <xdr:blipFill>
        <a:blip xmlns:r="http://schemas.openxmlformats.org/officeDocument/2006/relationships" r:embed="rId3925"/>
        <a:stretch>
          <a:fillRect/>
        </a:stretch>
      </xdr:blipFill>
      <xdr:spPr>
        <a:xfrm>
          <a:off x="7264400" y="5109552900"/>
          <a:ext cx="878840" cy="1183640"/>
        </a:xfrm>
        <a:prstGeom prst="rect">
          <a:avLst/>
        </a:prstGeom>
      </xdr:spPr>
    </xdr:pic>
    <xdr:clientData/>
  </xdr:twoCellAnchor>
  <xdr:twoCellAnchor>
    <xdr:from>
      <xdr:col>8</xdr:col>
      <xdr:colOff>6350</xdr:colOff>
      <xdr:row>5117</xdr:row>
      <xdr:rowOff>25400</xdr:rowOff>
    </xdr:from>
    <xdr:to>
      <xdr:col>8</xdr:col>
      <xdr:colOff>885190</xdr:colOff>
      <xdr:row>5117</xdr:row>
      <xdr:rowOff>1209040</xdr:rowOff>
    </xdr:to>
    <xdr:pic>
      <xdr:nvPicPr>
        <xdr:cNvPr id="8251" name="Изображение 8250" descr="resizeПП-00194119"/>
        <xdr:cNvPicPr>
          <a:picLocks noChangeAspect="1"/>
        </xdr:cNvPicPr>
      </xdr:nvPicPr>
      <xdr:blipFill>
        <a:blip xmlns:r="http://schemas.openxmlformats.org/officeDocument/2006/relationships" r:embed="rId3926"/>
        <a:stretch>
          <a:fillRect/>
        </a:stretch>
      </xdr:blipFill>
      <xdr:spPr>
        <a:xfrm>
          <a:off x="7264400" y="5110775275"/>
          <a:ext cx="878840" cy="1183640"/>
        </a:xfrm>
        <a:prstGeom prst="rect">
          <a:avLst/>
        </a:prstGeom>
      </xdr:spPr>
    </xdr:pic>
    <xdr:clientData/>
  </xdr:twoCellAnchor>
  <xdr:twoCellAnchor>
    <xdr:from>
      <xdr:col>8</xdr:col>
      <xdr:colOff>6350</xdr:colOff>
      <xdr:row>5118</xdr:row>
      <xdr:rowOff>25400</xdr:rowOff>
    </xdr:from>
    <xdr:to>
      <xdr:col>8</xdr:col>
      <xdr:colOff>885190</xdr:colOff>
      <xdr:row>5118</xdr:row>
      <xdr:rowOff>1209040</xdr:rowOff>
    </xdr:to>
    <xdr:pic>
      <xdr:nvPicPr>
        <xdr:cNvPr id="8252" name="Изображение 8251" descr="resizeПП-00084250"/>
        <xdr:cNvPicPr>
          <a:picLocks noChangeAspect="1"/>
        </xdr:cNvPicPr>
      </xdr:nvPicPr>
      <xdr:blipFill>
        <a:blip xmlns:r="http://schemas.openxmlformats.org/officeDocument/2006/relationships" r:embed="rId3927"/>
        <a:stretch>
          <a:fillRect/>
        </a:stretch>
      </xdr:blipFill>
      <xdr:spPr>
        <a:xfrm>
          <a:off x="7264400" y="5111997650"/>
          <a:ext cx="878840" cy="1183640"/>
        </a:xfrm>
        <a:prstGeom prst="rect">
          <a:avLst/>
        </a:prstGeom>
      </xdr:spPr>
    </xdr:pic>
    <xdr:clientData/>
  </xdr:twoCellAnchor>
  <xdr:twoCellAnchor>
    <xdr:from>
      <xdr:col>8</xdr:col>
      <xdr:colOff>6350</xdr:colOff>
      <xdr:row>5120</xdr:row>
      <xdr:rowOff>25400</xdr:rowOff>
    </xdr:from>
    <xdr:to>
      <xdr:col>8</xdr:col>
      <xdr:colOff>885190</xdr:colOff>
      <xdr:row>5120</xdr:row>
      <xdr:rowOff>1209040</xdr:rowOff>
    </xdr:to>
    <xdr:pic>
      <xdr:nvPicPr>
        <xdr:cNvPr id="8253" name="Изображение 8252" descr="resizeПП-00197575"/>
        <xdr:cNvPicPr>
          <a:picLocks noChangeAspect="1"/>
        </xdr:cNvPicPr>
      </xdr:nvPicPr>
      <xdr:blipFill>
        <a:blip xmlns:r="http://schemas.openxmlformats.org/officeDocument/2006/relationships" r:embed="rId3928"/>
        <a:stretch>
          <a:fillRect/>
        </a:stretch>
      </xdr:blipFill>
      <xdr:spPr>
        <a:xfrm>
          <a:off x="7264400" y="5113372425"/>
          <a:ext cx="878840" cy="1183640"/>
        </a:xfrm>
        <a:prstGeom prst="rect">
          <a:avLst/>
        </a:prstGeom>
      </xdr:spPr>
    </xdr:pic>
    <xdr:clientData/>
  </xdr:twoCellAnchor>
  <xdr:twoCellAnchor>
    <xdr:from>
      <xdr:col>8</xdr:col>
      <xdr:colOff>6350</xdr:colOff>
      <xdr:row>5123</xdr:row>
      <xdr:rowOff>25400</xdr:rowOff>
    </xdr:from>
    <xdr:to>
      <xdr:col>8</xdr:col>
      <xdr:colOff>885190</xdr:colOff>
      <xdr:row>5123</xdr:row>
      <xdr:rowOff>1209040</xdr:rowOff>
    </xdr:to>
    <xdr:pic>
      <xdr:nvPicPr>
        <xdr:cNvPr id="8254" name="Изображение 8253" descr="resizeПП-00208160"/>
        <xdr:cNvPicPr>
          <a:picLocks noChangeAspect="1"/>
        </xdr:cNvPicPr>
      </xdr:nvPicPr>
      <xdr:blipFill>
        <a:blip xmlns:r="http://schemas.openxmlformats.org/officeDocument/2006/relationships" r:embed="rId3929"/>
        <a:stretch>
          <a:fillRect/>
        </a:stretch>
      </xdr:blipFill>
      <xdr:spPr>
        <a:xfrm>
          <a:off x="7264400" y="5114899600"/>
          <a:ext cx="878840" cy="1183640"/>
        </a:xfrm>
        <a:prstGeom prst="rect">
          <a:avLst/>
        </a:prstGeom>
      </xdr:spPr>
    </xdr:pic>
    <xdr:clientData/>
  </xdr:twoCellAnchor>
  <xdr:twoCellAnchor>
    <xdr:from>
      <xdr:col>8</xdr:col>
      <xdr:colOff>6350</xdr:colOff>
      <xdr:row>5126</xdr:row>
      <xdr:rowOff>25400</xdr:rowOff>
    </xdr:from>
    <xdr:to>
      <xdr:col>8</xdr:col>
      <xdr:colOff>885190</xdr:colOff>
      <xdr:row>5126</xdr:row>
      <xdr:rowOff>1209040</xdr:rowOff>
    </xdr:to>
    <xdr:pic>
      <xdr:nvPicPr>
        <xdr:cNvPr id="8255" name="Изображение 8254" descr="resizeПП-00218913"/>
        <xdr:cNvPicPr>
          <a:picLocks noChangeAspect="1"/>
        </xdr:cNvPicPr>
      </xdr:nvPicPr>
      <xdr:blipFill>
        <a:blip xmlns:r="http://schemas.openxmlformats.org/officeDocument/2006/relationships" r:embed="rId3930"/>
        <a:stretch>
          <a:fillRect/>
        </a:stretch>
      </xdr:blipFill>
      <xdr:spPr>
        <a:xfrm>
          <a:off x="7264400" y="5116426775"/>
          <a:ext cx="878840" cy="1183640"/>
        </a:xfrm>
        <a:prstGeom prst="rect">
          <a:avLst/>
        </a:prstGeom>
      </xdr:spPr>
    </xdr:pic>
    <xdr:clientData/>
  </xdr:twoCellAnchor>
  <xdr:twoCellAnchor>
    <xdr:from>
      <xdr:col>8</xdr:col>
      <xdr:colOff>6350</xdr:colOff>
      <xdr:row>5127</xdr:row>
      <xdr:rowOff>25400</xdr:rowOff>
    </xdr:from>
    <xdr:to>
      <xdr:col>8</xdr:col>
      <xdr:colOff>885190</xdr:colOff>
      <xdr:row>5127</xdr:row>
      <xdr:rowOff>1209040</xdr:rowOff>
    </xdr:to>
    <xdr:pic>
      <xdr:nvPicPr>
        <xdr:cNvPr id="8256" name="Изображение 8255" descr="resizeПП-00218910"/>
        <xdr:cNvPicPr>
          <a:picLocks noChangeAspect="1"/>
        </xdr:cNvPicPr>
      </xdr:nvPicPr>
      <xdr:blipFill>
        <a:blip xmlns:r="http://schemas.openxmlformats.org/officeDocument/2006/relationships" r:embed="rId3931"/>
        <a:stretch>
          <a:fillRect/>
        </a:stretch>
      </xdr:blipFill>
      <xdr:spPr>
        <a:xfrm>
          <a:off x="7264400" y="5117649150"/>
          <a:ext cx="878840" cy="1183640"/>
        </a:xfrm>
        <a:prstGeom prst="rect">
          <a:avLst/>
        </a:prstGeom>
      </xdr:spPr>
    </xdr:pic>
    <xdr:clientData/>
  </xdr:twoCellAnchor>
  <xdr:twoCellAnchor>
    <xdr:from>
      <xdr:col>8</xdr:col>
      <xdr:colOff>6350</xdr:colOff>
      <xdr:row>5129</xdr:row>
      <xdr:rowOff>25400</xdr:rowOff>
    </xdr:from>
    <xdr:to>
      <xdr:col>8</xdr:col>
      <xdr:colOff>885190</xdr:colOff>
      <xdr:row>5129</xdr:row>
      <xdr:rowOff>1209040</xdr:rowOff>
    </xdr:to>
    <xdr:pic>
      <xdr:nvPicPr>
        <xdr:cNvPr id="8257" name="Изображение 8256" descr="resizeПП-00275170"/>
        <xdr:cNvPicPr>
          <a:picLocks noChangeAspect="1"/>
        </xdr:cNvPicPr>
      </xdr:nvPicPr>
      <xdr:blipFill>
        <a:blip xmlns:r="http://schemas.openxmlformats.org/officeDocument/2006/relationships" r:embed="rId3932"/>
        <a:stretch>
          <a:fillRect/>
        </a:stretch>
      </xdr:blipFill>
      <xdr:spPr>
        <a:xfrm>
          <a:off x="7264400" y="5119023925"/>
          <a:ext cx="878840" cy="1183640"/>
        </a:xfrm>
        <a:prstGeom prst="rect">
          <a:avLst/>
        </a:prstGeom>
      </xdr:spPr>
    </xdr:pic>
    <xdr:clientData/>
  </xdr:twoCellAnchor>
  <xdr:twoCellAnchor>
    <xdr:from>
      <xdr:col>8</xdr:col>
      <xdr:colOff>6350</xdr:colOff>
      <xdr:row>5130</xdr:row>
      <xdr:rowOff>25400</xdr:rowOff>
    </xdr:from>
    <xdr:to>
      <xdr:col>8</xdr:col>
      <xdr:colOff>885190</xdr:colOff>
      <xdr:row>5130</xdr:row>
      <xdr:rowOff>1209040</xdr:rowOff>
    </xdr:to>
    <xdr:pic>
      <xdr:nvPicPr>
        <xdr:cNvPr id="8258" name="Изображение 8257" descr="resizeПП-00079690"/>
        <xdr:cNvPicPr>
          <a:picLocks noChangeAspect="1"/>
        </xdr:cNvPicPr>
      </xdr:nvPicPr>
      <xdr:blipFill>
        <a:blip xmlns:r="http://schemas.openxmlformats.org/officeDocument/2006/relationships" r:embed="rId3933"/>
        <a:stretch>
          <a:fillRect/>
        </a:stretch>
      </xdr:blipFill>
      <xdr:spPr>
        <a:xfrm>
          <a:off x="7264400" y="5120246300"/>
          <a:ext cx="878840" cy="1183640"/>
        </a:xfrm>
        <a:prstGeom prst="rect">
          <a:avLst/>
        </a:prstGeom>
      </xdr:spPr>
    </xdr:pic>
    <xdr:clientData/>
  </xdr:twoCellAnchor>
  <xdr:twoCellAnchor>
    <xdr:from>
      <xdr:col>8</xdr:col>
      <xdr:colOff>6350</xdr:colOff>
      <xdr:row>5132</xdr:row>
      <xdr:rowOff>25400</xdr:rowOff>
    </xdr:from>
    <xdr:to>
      <xdr:col>8</xdr:col>
      <xdr:colOff>885190</xdr:colOff>
      <xdr:row>5132</xdr:row>
      <xdr:rowOff>1209040</xdr:rowOff>
    </xdr:to>
    <xdr:pic>
      <xdr:nvPicPr>
        <xdr:cNvPr id="8259" name="Изображение 8258" descr="resizeПП-00275158"/>
        <xdr:cNvPicPr>
          <a:picLocks noChangeAspect="1"/>
        </xdr:cNvPicPr>
      </xdr:nvPicPr>
      <xdr:blipFill>
        <a:blip xmlns:r="http://schemas.openxmlformats.org/officeDocument/2006/relationships" r:embed="rId3934"/>
        <a:stretch>
          <a:fillRect/>
        </a:stretch>
      </xdr:blipFill>
      <xdr:spPr>
        <a:xfrm>
          <a:off x="7264400" y="5121621075"/>
          <a:ext cx="878840" cy="1183640"/>
        </a:xfrm>
        <a:prstGeom prst="rect">
          <a:avLst/>
        </a:prstGeom>
      </xdr:spPr>
    </xdr:pic>
    <xdr:clientData/>
  </xdr:twoCellAnchor>
  <xdr:twoCellAnchor>
    <xdr:from>
      <xdr:col>8</xdr:col>
      <xdr:colOff>6350</xdr:colOff>
      <xdr:row>5133</xdr:row>
      <xdr:rowOff>25400</xdr:rowOff>
    </xdr:from>
    <xdr:to>
      <xdr:col>8</xdr:col>
      <xdr:colOff>885190</xdr:colOff>
      <xdr:row>5133</xdr:row>
      <xdr:rowOff>1209040</xdr:rowOff>
    </xdr:to>
    <xdr:pic>
      <xdr:nvPicPr>
        <xdr:cNvPr id="8260" name="Изображение 8259" descr="resizeПП-00275157"/>
        <xdr:cNvPicPr>
          <a:picLocks noChangeAspect="1"/>
        </xdr:cNvPicPr>
      </xdr:nvPicPr>
      <xdr:blipFill>
        <a:blip xmlns:r="http://schemas.openxmlformats.org/officeDocument/2006/relationships" r:embed="rId3935"/>
        <a:stretch>
          <a:fillRect/>
        </a:stretch>
      </xdr:blipFill>
      <xdr:spPr>
        <a:xfrm>
          <a:off x="7264400" y="5122843450"/>
          <a:ext cx="878840" cy="1183640"/>
        </a:xfrm>
        <a:prstGeom prst="rect">
          <a:avLst/>
        </a:prstGeom>
      </xdr:spPr>
    </xdr:pic>
    <xdr:clientData/>
  </xdr:twoCellAnchor>
  <xdr:twoCellAnchor>
    <xdr:from>
      <xdr:col>8</xdr:col>
      <xdr:colOff>6350</xdr:colOff>
      <xdr:row>5134</xdr:row>
      <xdr:rowOff>25400</xdr:rowOff>
    </xdr:from>
    <xdr:to>
      <xdr:col>8</xdr:col>
      <xdr:colOff>885190</xdr:colOff>
      <xdr:row>5134</xdr:row>
      <xdr:rowOff>1209040</xdr:rowOff>
    </xdr:to>
    <xdr:pic>
      <xdr:nvPicPr>
        <xdr:cNvPr id="8261" name="Изображение 8260" descr="resizeПП-00275160"/>
        <xdr:cNvPicPr>
          <a:picLocks noChangeAspect="1"/>
        </xdr:cNvPicPr>
      </xdr:nvPicPr>
      <xdr:blipFill>
        <a:blip xmlns:r="http://schemas.openxmlformats.org/officeDocument/2006/relationships" r:embed="rId3936"/>
        <a:stretch>
          <a:fillRect/>
        </a:stretch>
      </xdr:blipFill>
      <xdr:spPr>
        <a:xfrm>
          <a:off x="7264400" y="5124065825"/>
          <a:ext cx="878840" cy="1183640"/>
        </a:xfrm>
        <a:prstGeom prst="rect">
          <a:avLst/>
        </a:prstGeom>
      </xdr:spPr>
    </xdr:pic>
    <xdr:clientData/>
  </xdr:twoCellAnchor>
  <xdr:twoCellAnchor>
    <xdr:from>
      <xdr:col>8</xdr:col>
      <xdr:colOff>6350</xdr:colOff>
      <xdr:row>5135</xdr:row>
      <xdr:rowOff>25400</xdr:rowOff>
    </xdr:from>
    <xdr:to>
      <xdr:col>8</xdr:col>
      <xdr:colOff>885190</xdr:colOff>
      <xdr:row>5135</xdr:row>
      <xdr:rowOff>1209040</xdr:rowOff>
    </xdr:to>
    <xdr:pic>
      <xdr:nvPicPr>
        <xdr:cNvPr id="8262" name="Изображение 8261" descr="resizeПП-00275159"/>
        <xdr:cNvPicPr>
          <a:picLocks noChangeAspect="1"/>
        </xdr:cNvPicPr>
      </xdr:nvPicPr>
      <xdr:blipFill>
        <a:blip xmlns:r="http://schemas.openxmlformats.org/officeDocument/2006/relationships" r:embed="rId3937"/>
        <a:stretch>
          <a:fillRect/>
        </a:stretch>
      </xdr:blipFill>
      <xdr:spPr>
        <a:xfrm>
          <a:off x="7264400" y="5125288200"/>
          <a:ext cx="878840" cy="1183640"/>
        </a:xfrm>
        <a:prstGeom prst="rect">
          <a:avLst/>
        </a:prstGeom>
      </xdr:spPr>
    </xdr:pic>
    <xdr:clientData/>
  </xdr:twoCellAnchor>
  <xdr:twoCellAnchor>
    <xdr:from>
      <xdr:col>8</xdr:col>
      <xdr:colOff>6350</xdr:colOff>
      <xdr:row>5136</xdr:row>
      <xdr:rowOff>25400</xdr:rowOff>
    </xdr:from>
    <xdr:to>
      <xdr:col>8</xdr:col>
      <xdr:colOff>885190</xdr:colOff>
      <xdr:row>5136</xdr:row>
      <xdr:rowOff>1209040</xdr:rowOff>
    </xdr:to>
    <xdr:pic>
      <xdr:nvPicPr>
        <xdr:cNvPr id="8263" name="Изображение 8262" descr="resizeПП-00235663"/>
        <xdr:cNvPicPr>
          <a:picLocks noChangeAspect="1"/>
        </xdr:cNvPicPr>
      </xdr:nvPicPr>
      <xdr:blipFill>
        <a:blip xmlns:r="http://schemas.openxmlformats.org/officeDocument/2006/relationships" r:embed="rId3938"/>
        <a:stretch>
          <a:fillRect/>
        </a:stretch>
      </xdr:blipFill>
      <xdr:spPr>
        <a:xfrm>
          <a:off x="7264400" y="5126510575"/>
          <a:ext cx="878840" cy="1183640"/>
        </a:xfrm>
        <a:prstGeom prst="rect">
          <a:avLst/>
        </a:prstGeom>
      </xdr:spPr>
    </xdr:pic>
    <xdr:clientData/>
  </xdr:twoCellAnchor>
  <xdr:twoCellAnchor>
    <xdr:from>
      <xdr:col>8</xdr:col>
      <xdr:colOff>6350</xdr:colOff>
      <xdr:row>5137</xdr:row>
      <xdr:rowOff>25400</xdr:rowOff>
    </xdr:from>
    <xdr:to>
      <xdr:col>8</xdr:col>
      <xdr:colOff>885190</xdr:colOff>
      <xdr:row>5137</xdr:row>
      <xdr:rowOff>1209040</xdr:rowOff>
    </xdr:to>
    <xdr:pic>
      <xdr:nvPicPr>
        <xdr:cNvPr id="8264" name="Изображение 8263" descr="resizeПП-00235660"/>
        <xdr:cNvPicPr>
          <a:picLocks noChangeAspect="1"/>
        </xdr:cNvPicPr>
      </xdr:nvPicPr>
      <xdr:blipFill>
        <a:blip xmlns:r="http://schemas.openxmlformats.org/officeDocument/2006/relationships" r:embed="rId3939"/>
        <a:stretch>
          <a:fillRect/>
        </a:stretch>
      </xdr:blipFill>
      <xdr:spPr>
        <a:xfrm>
          <a:off x="7264400" y="5127732950"/>
          <a:ext cx="878840" cy="1183640"/>
        </a:xfrm>
        <a:prstGeom prst="rect">
          <a:avLst/>
        </a:prstGeom>
      </xdr:spPr>
    </xdr:pic>
    <xdr:clientData/>
  </xdr:twoCellAnchor>
  <xdr:twoCellAnchor>
    <xdr:from>
      <xdr:col>8</xdr:col>
      <xdr:colOff>6350</xdr:colOff>
      <xdr:row>5138</xdr:row>
      <xdr:rowOff>25400</xdr:rowOff>
    </xdr:from>
    <xdr:to>
      <xdr:col>8</xdr:col>
      <xdr:colOff>885190</xdr:colOff>
      <xdr:row>5138</xdr:row>
      <xdr:rowOff>1209040</xdr:rowOff>
    </xdr:to>
    <xdr:pic>
      <xdr:nvPicPr>
        <xdr:cNvPr id="8265" name="Изображение 8264" descr="resizeПП-00235664"/>
        <xdr:cNvPicPr>
          <a:picLocks noChangeAspect="1"/>
        </xdr:cNvPicPr>
      </xdr:nvPicPr>
      <xdr:blipFill>
        <a:blip xmlns:r="http://schemas.openxmlformats.org/officeDocument/2006/relationships" r:embed="rId3940"/>
        <a:stretch>
          <a:fillRect/>
        </a:stretch>
      </xdr:blipFill>
      <xdr:spPr>
        <a:xfrm>
          <a:off x="7264400" y="5128955325"/>
          <a:ext cx="878840" cy="1183640"/>
        </a:xfrm>
        <a:prstGeom prst="rect">
          <a:avLst/>
        </a:prstGeom>
      </xdr:spPr>
    </xdr:pic>
    <xdr:clientData/>
  </xdr:twoCellAnchor>
  <xdr:twoCellAnchor>
    <xdr:from>
      <xdr:col>8</xdr:col>
      <xdr:colOff>6350</xdr:colOff>
      <xdr:row>5139</xdr:row>
      <xdr:rowOff>25400</xdr:rowOff>
    </xdr:from>
    <xdr:to>
      <xdr:col>8</xdr:col>
      <xdr:colOff>885190</xdr:colOff>
      <xdr:row>5139</xdr:row>
      <xdr:rowOff>1209040</xdr:rowOff>
    </xdr:to>
    <xdr:pic>
      <xdr:nvPicPr>
        <xdr:cNvPr id="8266" name="Изображение 8265" descr="resizeПП-00235662"/>
        <xdr:cNvPicPr>
          <a:picLocks noChangeAspect="1"/>
        </xdr:cNvPicPr>
      </xdr:nvPicPr>
      <xdr:blipFill>
        <a:blip xmlns:r="http://schemas.openxmlformats.org/officeDocument/2006/relationships" r:embed="rId3941"/>
        <a:stretch>
          <a:fillRect/>
        </a:stretch>
      </xdr:blipFill>
      <xdr:spPr>
        <a:xfrm>
          <a:off x="7264400" y="5130177700"/>
          <a:ext cx="878840" cy="1183640"/>
        </a:xfrm>
        <a:prstGeom prst="rect">
          <a:avLst/>
        </a:prstGeom>
      </xdr:spPr>
    </xdr:pic>
    <xdr:clientData/>
  </xdr:twoCellAnchor>
  <xdr:twoCellAnchor>
    <xdr:from>
      <xdr:col>8</xdr:col>
      <xdr:colOff>6350</xdr:colOff>
      <xdr:row>5140</xdr:row>
      <xdr:rowOff>25400</xdr:rowOff>
    </xdr:from>
    <xdr:to>
      <xdr:col>8</xdr:col>
      <xdr:colOff>885190</xdr:colOff>
      <xdr:row>5140</xdr:row>
      <xdr:rowOff>1209040</xdr:rowOff>
    </xdr:to>
    <xdr:pic>
      <xdr:nvPicPr>
        <xdr:cNvPr id="8267" name="Изображение 8266" descr="resizeПП-00211340"/>
        <xdr:cNvPicPr>
          <a:picLocks noChangeAspect="1"/>
        </xdr:cNvPicPr>
      </xdr:nvPicPr>
      <xdr:blipFill>
        <a:blip xmlns:r="http://schemas.openxmlformats.org/officeDocument/2006/relationships" r:embed="rId3942"/>
        <a:stretch>
          <a:fillRect/>
        </a:stretch>
      </xdr:blipFill>
      <xdr:spPr>
        <a:xfrm>
          <a:off x="7264400" y="5131400075"/>
          <a:ext cx="878840" cy="1183640"/>
        </a:xfrm>
        <a:prstGeom prst="rect">
          <a:avLst/>
        </a:prstGeom>
      </xdr:spPr>
    </xdr:pic>
    <xdr:clientData/>
  </xdr:twoCellAnchor>
  <xdr:twoCellAnchor>
    <xdr:from>
      <xdr:col>8</xdr:col>
      <xdr:colOff>6350</xdr:colOff>
      <xdr:row>5141</xdr:row>
      <xdr:rowOff>25400</xdr:rowOff>
    </xdr:from>
    <xdr:to>
      <xdr:col>8</xdr:col>
      <xdr:colOff>885190</xdr:colOff>
      <xdr:row>5141</xdr:row>
      <xdr:rowOff>1209040</xdr:rowOff>
    </xdr:to>
    <xdr:pic>
      <xdr:nvPicPr>
        <xdr:cNvPr id="8268" name="Изображение 8267" descr="resizeПП-00211329"/>
        <xdr:cNvPicPr>
          <a:picLocks noChangeAspect="1"/>
        </xdr:cNvPicPr>
      </xdr:nvPicPr>
      <xdr:blipFill>
        <a:blip xmlns:r="http://schemas.openxmlformats.org/officeDocument/2006/relationships" r:embed="rId3943"/>
        <a:stretch>
          <a:fillRect/>
        </a:stretch>
      </xdr:blipFill>
      <xdr:spPr>
        <a:xfrm>
          <a:off x="7264400" y="5132622450"/>
          <a:ext cx="878840" cy="1183640"/>
        </a:xfrm>
        <a:prstGeom prst="rect">
          <a:avLst/>
        </a:prstGeom>
      </xdr:spPr>
    </xdr:pic>
    <xdr:clientData/>
  </xdr:twoCellAnchor>
  <xdr:twoCellAnchor>
    <xdr:from>
      <xdr:col>8</xdr:col>
      <xdr:colOff>6350</xdr:colOff>
      <xdr:row>5142</xdr:row>
      <xdr:rowOff>25400</xdr:rowOff>
    </xdr:from>
    <xdr:to>
      <xdr:col>8</xdr:col>
      <xdr:colOff>885190</xdr:colOff>
      <xdr:row>5142</xdr:row>
      <xdr:rowOff>1209040</xdr:rowOff>
    </xdr:to>
    <xdr:pic>
      <xdr:nvPicPr>
        <xdr:cNvPr id="8269" name="Изображение 8268" descr="resizeПП-00211331"/>
        <xdr:cNvPicPr>
          <a:picLocks noChangeAspect="1"/>
        </xdr:cNvPicPr>
      </xdr:nvPicPr>
      <xdr:blipFill>
        <a:blip xmlns:r="http://schemas.openxmlformats.org/officeDocument/2006/relationships" r:embed="rId3944"/>
        <a:stretch>
          <a:fillRect/>
        </a:stretch>
      </xdr:blipFill>
      <xdr:spPr>
        <a:xfrm>
          <a:off x="7264400" y="5133844825"/>
          <a:ext cx="878840" cy="1183640"/>
        </a:xfrm>
        <a:prstGeom prst="rect">
          <a:avLst/>
        </a:prstGeom>
      </xdr:spPr>
    </xdr:pic>
    <xdr:clientData/>
  </xdr:twoCellAnchor>
  <xdr:twoCellAnchor>
    <xdr:from>
      <xdr:col>8</xdr:col>
      <xdr:colOff>6350</xdr:colOff>
      <xdr:row>5143</xdr:row>
      <xdr:rowOff>25400</xdr:rowOff>
    </xdr:from>
    <xdr:to>
      <xdr:col>8</xdr:col>
      <xdr:colOff>885190</xdr:colOff>
      <xdr:row>5143</xdr:row>
      <xdr:rowOff>1209040</xdr:rowOff>
    </xdr:to>
    <xdr:pic>
      <xdr:nvPicPr>
        <xdr:cNvPr id="8270" name="Изображение 8269" descr="resizeПП-00122656"/>
        <xdr:cNvPicPr>
          <a:picLocks noChangeAspect="1"/>
        </xdr:cNvPicPr>
      </xdr:nvPicPr>
      <xdr:blipFill>
        <a:blip xmlns:r="http://schemas.openxmlformats.org/officeDocument/2006/relationships" r:embed="rId3945"/>
        <a:stretch>
          <a:fillRect/>
        </a:stretch>
      </xdr:blipFill>
      <xdr:spPr>
        <a:xfrm>
          <a:off x="7264400" y="5135067200"/>
          <a:ext cx="878840" cy="1183640"/>
        </a:xfrm>
        <a:prstGeom prst="rect">
          <a:avLst/>
        </a:prstGeom>
      </xdr:spPr>
    </xdr:pic>
    <xdr:clientData/>
  </xdr:twoCellAnchor>
  <xdr:twoCellAnchor>
    <xdr:from>
      <xdr:col>8</xdr:col>
      <xdr:colOff>6350</xdr:colOff>
      <xdr:row>5145</xdr:row>
      <xdr:rowOff>25400</xdr:rowOff>
    </xdr:from>
    <xdr:to>
      <xdr:col>8</xdr:col>
      <xdr:colOff>1189990</xdr:colOff>
      <xdr:row>5145</xdr:row>
      <xdr:rowOff>904240</xdr:rowOff>
    </xdr:to>
    <xdr:pic>
      <xdr:nvPicPr>
        <xdr:cNvPr id="8271" name="Изображение 8270" descr="resizeПП-00275171"/>
        <xdr:cNvPicPr>
          <a:picLocks noChangeAspect="1"/>
        </xdr:cNvPicPr>
      </xdr:nvPicPr>
      <xdr:blipFill>
        <a:blip xmlns:r="http://schemas.openxmlformats.org/officeDocument/2006/relationships" r:embed="rId3946"/>
        <a:stretch>
          <a:fillRect/>
        </a:stretch>
      </xdr:blipFill>
      <xdr:spPr>
        <a:xfrm>
          <a:off x="7264400" y="5136441975"/>
          <a:ext cx="1183640" cy="878840"/>
        </a:xfrm>
        <a:prstGeom prst="rect">
          <a:avLst/>
        </a:prstGeom>
      </xdr:spPr>
    </xdr:pic>
    <xdr:clientData/>
  </xdr:twoCellAnchor>
  <xdr:twoCellAnchor>
    <xdr:from>
      <xdr:col>8</xdr:col>
      <xdr:colOff>6350</xdr:colOff>
      <xdr:row>5146</xdr:row>
      <xdr:rowOff>25400</xdr:rowOff>
    </xdr:from>
    <xdr:to>
      <xdr:col>8</xdr:col>
      <xdr:colOff>885190</xdr:colOff>
      <xdr:row>5146</xdr:row>
      <xdr:rowOff>1209040</xdr:rowOff>
    </xdr:to>
    <xdr:pic>
      <xdr:nvPicPr>
        <xdr:cNvPr id="8272" name="Изображение 8271" descr="resizeПП-00235669"/>
        <xdr:cNvPicPr>
          <a:picLocks noChangeAspect="1"/>
        </xdr:cNvPicPr>
      </xdr:nvPicPr>
      <xdr:blipFill>
        <a:blip xmlns:r="http://schemas.openxmlformats.org/officeDocument/2006/relationships" r:embed="rId3947"/>
        <a:stretch>
          <a:fillRect/>
        </a:stretch>
      </xdr:blipFill>
      <xdr:spPr>
        <a:xfrm>
          <a:off x="7264400" y="5137664350"/>
          <a:ext cx="878840" cy="1183640"/>
        </a:xfrm>
        <a:prstGeom prst="rect">
          <a:avLst/>
        </a:prstGeom>
      </xdr:spPr>
    </xdr:pic>
    <xdr:clientData/>
  </xdr:twoCellAnchor>
  <xdr:twoCellAnchor>
    <xdr:from>
      <xdr:col>8</xdr:col>
      <xdr:colOff>6350</xdr:colOff>
      <xdr:row>5147</xdr:row>
      <xdr:rowOff>25400</xdr:rowOff>
    </xdr:from>
    <xdr:to>
      <xdr:col>8</xdr:col>
      <xdr:colOff>885190</xdr:colOff>
      <xdr:row>5147</xdr:row>
      <xdr:rowOff>1209040</xdr:rowOff>
    </xdr:to>
    <xdr:pic>
      <xdr:nvPicPr>
        <xdr:cNvPr id="8273" name="Изображение 8272" descr="resizeПП-00235668"/>
        <xdr:cNvPicPr>
          <a:picLocks noChangeAspect="1"/>
        </xdr:cNvPicPr>
      </xdr:nvPicPr>
      <xdr:blipFill>
        <a:blip xmlns:r="http://schemas.openxmlformats.org/officeDocument/2006/relationships" r:embed="rId3948"/>
        <a:stretch>
          <a:fillRect/>
        </a:stretch>
      </xdr:blipFill>
      <xdr:spPr>
        <a:xfrm>
          <a:off x="7264400" y="5138886725"/>
          <a:ext cx="878840" cy="1183640"/>
        </a:xfrm>
        <a:prstGeom prst="rect">
          <a:avLst/>
        </a:prstGeom>
      </xdr:spPr>
    </xdr:pic>
    <xdr:clientData/>
  </xdr:twoCellAnchor>
  <xdr:twoCellAnchor>
    <xdr:from>
      <xdr:col>8</xdr:col>
      <xdr:colOff>6350</xdr:colOff>
      <xdr:row>5148</xdr:row>
      <xdr:rowOff>25400</xdr:rowOff>
    </xdr:from>
    <xdr:to>
      <xdr:col>8</xdr:col>
      <xdr:colOff>885190</xdr:colOff>
      <xdr:row>5148</xdr:row>
      <xdr:rowOff>1209040</xdr:rowOff>
    </xdr:to>
    <xdr:pic>
      <xdr:nvPicPr>
        <xdr:cNvPr id="8274" name="Изображение 8273" descr="resizeПП-00235667"/>
        <xdr:cNvPicPr>
          <a:picLocks noChangeAspect="1"/>
        </xdr:cNvPicPr>
      </xdr:nvPicPr>
      <xdr:blipFill>
        <a:blip xmlns:r="http://schemas.openxmlformats.org/officeDocument/2006/relationships" r:embed="rId3949"/>
        <a:stretch>
          <a:fillRect/>
        </a:stretch>
      </xdr:blipFill>
      <xdr:spPr>
        <a:xfrm>
          <a:off x="7264400" y="5140109100"/>
          <a:ext cx="878840" cy="1183640"/>
        </a:xfrm>
        <a:prstGeom prst="rect">
          <a:avLst/>
        </a:prstGeom>
      </xdr:spPr>
    </xdr:pic>
    <xdr:clientData/>
  </xdr:twoCellAnchor>
  <xdr:twoCellAnchor>
    <xdr:from>
      <xdr:col>8</xdr:col>
      <xdr:colOff>6350</xdr:colOff>
      <xdr:row>5149</xdr:row>
      <xdr:rowOff>25400</xdr:rowOff>
    </xdr:from>
    <xdr:to>
      <xdr:col>8</xdr:col>
      <xdr:colOff>885190</xdr:colOff>
      <xdr:row>5149</xdr:row>
      <xdr:rowOff>1209040</xdr:rowOff>
    </xdr:to>
    <xdr:pic>
      <xdr:nvPicPr>
        <xdr:cNvPr id="8275" name="Изображение 8274" descr="resizeПП-00235666"/>
        <xdr:cNvPicPr>
          <a:picLocks noChangeAspect="1"/>
        </xdr:cNvPicPr>
      </xdr:nvPicPr>
      <xdr:blipFill>
        <a:blip xmlns:r="http://schemas.openxmlformats.org/officeDocument/2006/relationships" r:embed="rId3950"/>
        <a:stretch>
          <a:fillRect/>
        </a:stretch>
      </xdr:blipFill>
      <xdr:spPr>
        <a:xfrm>
          <a:off x="7264400" y="5141331475"/>
          <a:ext cx="878840" cy="1183640"/>
        </a:xfrm>
        <a:prstGeom prst="rect">
          <a:avLst/>
        </a:prstGeom>
      </xdr:spPr>
    </xdr:pic>
    <xdr:clientData/>
  </xdr:twoCellAnchor>
  <xdr:twoCellAnchor>
    <xdr:from>
      <xdr:col>8</xdr:col>
      <xdr:colOff>6350</xdr:colOff>
      <xdr:row>5150</xdr:row>
      <xdr:rowOff>25400</xdr:rowOff>
    </xdr:from>
    <xdr:to>
      <xdr:col>8</xdr:col>
      <xdr:colOff>885190</xdr:colOff>
      <xdr:row>5150</xdr:row>
      <xdr:rowOff>1209040</xdr:rowOff>
    </xdr:to>
    <xdr:pic>
      <xdr:nvPicPr>
        <xdr:cNvPr id="8276" name="Изображение 8275" descr="resizeПП-00275156"/>
        <xdr:cNvPicPr>
          <a:picLocks noChangeAspect="1"/>
        </xdr:cNvPicPr>
      </xdr:nvPicPr>
      <xdr:blipFill>
        <a:blip xmlns:r="http://schemas.openxmlformats.org/officeDocument/2006/relationships" r:embed="rId3951"/>
        <a:stretch>
          <a:fillRect/>
        </a:stretch>
      </xdr:blipFill>
      <xdr:spPr>
        <a:xfrm>
          <a:off x="7264400" y="5142553850"/>
          <a:ext cx="878840" cy="1183640"/>
        </a:xfrm>
        <a:prstGeom prst="rect">
          <a:avLst/>
        </a:prstGeom>
      </xdr:spPr>
    </xdr:pic>
    <xdr:clientData/>
  </xdr:twoCellAnchor>
  <xdr:twoCellAnchor>
    <xdr:from>
      <xdr:col>8</xdr:col>
      <xdr:colOff>6350</xdr:colOff>
      <xdr:row>5151</xdr:row>
      <xdr:rowOff>25400</xdr:rowOff>
    </xdr:from>
    <xdr:to>
      <xdr:col>8</xdr:col>
      <xdr:colOff>885190</xdr:colOff>
      <xdr:row>5151</xdr:row>
      <xdr:rowOff>1209040</xdr:rowOff>
    </xdr:to>
    <xdr:pic>
      <xdr:nvPicPr>
        <xdr:cNvPr id="8277" name="Изображение 8276" descr="resizeПП-00275154"/>
        <xdr:cNvPicPr>
          <a:picLocks noChangeAspect="1"/>
        </xdr:cNvPicPr>
      </xdr:nvPicPr>
      <xdr:blipFill>
        <a:blip xmlns:r="http://schemas.openxmlformats.org/officeDocument/2006/relationships" r:embed="rId3952"/>
        <a:stretch>
          <a:fillRect/>
        </a:stretch>
      </xdr:blipFill>
      <xdr:spPr>
        <a:xfrm>
          <a:off x="7264400" y="5143776225"/>
          <a:ext cx="878840" cy="1183640"/>
        </a:xfrm>
        <a:prstGeom prst="rect">
          <a:avLst/>
        </a:prstGeom>
      </xdr:spPr>
    </xdr:pic>
    <xdr:clientData/>
  </xdr:twoCellAnchor>
  <xdr:twoCellAnchor>
    <xdr:from>
      <xdr:col>8</xdr:col>
      <xdr:colOff>6350</xdr:colOff>
      <xdr:row>5152</xdr:row>
      <xdr:rowOff>25400</xdr:rowOff>
    </xdr:from>
    <xdr:to>
      <xdr:col>8</xdr:col>
      <xdr:colOff>885190</xdr:colOff>
      <xdr:row>5152</xdr:row>
      <xdr:rowOff>1209040</xdr:rowOff>
    </xdr:to>
    <xdr:pic>
      <xdr:nvPicPr>
        <xdr:cNvPr id="8278" name="Изображение 8277" descr="resizeПП-00275155"/>
        <xdr:cNvPicPr>
          <a:picLocks noChangeAspect="1"/>
        </xdr:cNvPicPr>
      </xdr:nvPicPr>
      <xdr:blipFill>
        <a:blip xmlns:r="http://schemas.openxmlformats.org/officeDocument/2006/relationships" r:embed="rId3953"/>
        <a:stretch>
          <a:fillRect/>
        </a:stretch>
      </xdr:blipFill>
      <xdr:spPr>
        <a:xfrm>
          <a:off x="7264400" y="5144998600"/>
          <a:ext cx="878840" cy="1183640"/>
        </a:xfrm>
        <a:prstGeom prst="rect">
          <a:avLst/>
        </a:prstGeom>
      </xdr:spPr>
    </xdr:pic>
    <xdr:clientData/>
  </xdr:twoCellAnchor>
  <xdr:twoCellAnchor>
    <xdr:from>
      <xdr:col>8</xdr:col>
      <xdr:colOff>6350</xdr:colOff>
      <xdr:row>5153</xdr:row>
      <xdr:rowOff>25400</xdr:rowOff>
    </xdr:from>
    <xdr:to>
      <xdr:col>8</xdr:col>
      <xdr:colOff>885190</xdr:colOff>
      <xdr:row>5153</xdr:row>
      <xdr:rowOff>1209040</xdr:rowOff>
    </xdr:to>
    <xdr:pic>
      <xdr:nvPicPr>
        <xdr:cNvPr id="8279" name="Изображение 8278" descr="resizeПП-00267040"/>
        <xdr:cNvPicPr>
          <a:picLocks noChangeAspect="1"/>
        </xdr:cNvPicPr>
      </xdr:nvPicPr>
      <xdr:blipFill>
        <a:blip xmlns:r="http://schemas.openxmlformats.org/officeDocument/2006/relationships" r:embed="rId3954"/>
        <a:stretch>
          <a:fillRect/>
        </a:stretch>
      </xdr:blipFill>
      <xdr:spPr>
        <a:xfrm>
          <a:off x="7264400" y="5146220975"/>
          <a:ext cx="878840" cy="1183640"/>
        </a:xfrm>
        <a:prstGeom prst="rect">
          <a:avLst/>
        </a:prstGeom>
      </xdr:spPr>
    </xdr:pic>
    <xdr:clientData/>
  </xdr:twoCellAnchor>
  <xdr:twoCellAnchor>
    <xdr:from>
      <xdr:col>8</xdr:col>
      <xdr:colOff>6350</xdr:colOff>
      <xdr:row>5154</xdr:row>
      <xdr:rowOff>25400</xdr:rowOff>
    </xdr:from>
    <xdr:to>
      <xdr:col>8</xdr:col>
      <xdr:colOff>885190</xdr:colOff>
      <xdr:row>5154</xdr:row>
      <xdr:rowOff>1209040</xdr:rowOff>
    </xdr:to>
    <xdr:pic>
      <xdr:nvPicPr>
        <xdr:cNvPr id="8280" name="Изображение 8279" descr="resizeПП-00211333"/>
        <xdr:cNvPicPr>
          <a:picLocks noChangeAspect="1"/>
        </xdr:cNvPicPr>
      </xdr:nvPicPr>
      <xdr:blipFill>
        <a:blip xmlns:r="http://schemas.openxmlformats.org/officeDocument/2006/relationships" r:embed="rId3955"/>
        <a:stretch>
          <a:fillRect/>
        </a:stretch>
      </xdr:blipFill>
      <xdr:spPr>
        <a:xfrm>
          <a:off x="7264400" y="5147443350"/>
          <a:ext cx="878840" cy="1183640"/>
        </a:xfrm>
        <a:prstGeom prst="rect">
          <a:avLst/>
        </a:prstGeom>
      </xdr:spPr>
    </xdr:pic>
    <xdr:clientData/>
  </xdr:twoCellAnchor>
  <xdr:twoCellAnchor>
    <xdr:from>
      <xdr:col>8</xdr:col>
      <xdr:colOff>6350</xdr:colOff>
      <xdr:row>5155</xdr:row>
      <xdr:rowOff>25400</xdr:rowOff>
    </xdr:from>
    <xdr:to>
      <xdr:col>8</xdr:col>
      <xdr:colOff>885190</xdr:colOff>
      <xdr:row>5155</xdr:row>
      <xdr:rowOff>1209040</xdr:rowOff>
    </xdr:to>
    <xdr:pic>
      <xdr:nvPicPr>
        <xdr:cNvPr id="8281" name="Изображение 8280" descr="resizeПП-00211336"/>
        <xdr:cNvPicPr>
          <a:picLocks noChangeAspect="1"/>
        </xdr:cNvPicPr>
      </xdr:nvPicPr>
      <xdr:blipFill>
        <a:blip xmlns:r="http://schemas.openxmlformats.org/officeDocument/2006/relationships" r:embed="rId3956"/>
        <a:stretch>
          <a:fillRect/>
        </a:stretch>
      </xdr:blipFill>
      <xdr:spPr>
        <a:xfrm>
          <a:off x="7264400" y="5148665725"/>
          <a:ext cx="878840" cy="1183640"/>
        </a:xfrm>
        <a:prstGeom prst="rect">
          <a:avLst/>
        </a:prstGeom>
      </xdr:spPr>
    </xdr:pic>
    <xdr:clientData/>
  </xdr:twoCellAnchor>
  <xdr:twoCellAnchor>
    <xdr:from>
      <xdr:col>8</xdr:col>
      <xdr:colOff>6350</xdr:colOff>
      <xdr:row>5156</xdr:row>
      <xdr:rowOff>25400</xdr:rowOff>
    </xdr:from>
    <xdr:to>
      <xdr:col>8</xdr:col>
      <xdr:colOff>885190</xdr:colOff>
      <xdr:row>5156</xdr:row>
      <xdr:rowOff>1209040</xdr:rowOff>
    </xdr:to>
    <xdr:pic>
      <xdr:nvPicPr>
        <xdr:cNvPr id="8282" name="Изображение 8281" descr="resizeПП-00211339"/>
        <xdr:cNvPicPr>
          <a:picLocks noChangeAspect="1"/>
        </xdr:cNvPicPr>
      </xdr:nvPicPr>
      <xdr:blipFill>
        <a:blip xmlns:r="http://schemas.openxmlformats.org/officeDocument/2006/relationships" r:embed="rId3957"/>
        <a:stretch>
          <a:fillRect/>
        </a:stretch>
      </xdr:blipFill>
      <xdr:spPr>
        <a:xfrm>
          <a:off x="7264400" y="5149888100"/>
          <a:ext cx="878840" cy="1183640"/>
        </a:xfrm>
        <a:prstGeom prst="rect">
          <a:avLst/>
        </a:prstGeom>
      </xdr:spPr>
    </xdr:pic>
    <xdr:clientData/>
  </xdr:twoCellAnchor>
  <xdr:twoCellAnchor>
    <xdr:from>
      <xdr:col>8</xdr:col>
      <xdr:colOff>6350</xdr:colOff>
      <xdr:row>5157</xdr:row>
      <xdr:rowOff>25400</xdr:rowOff>
    </xdr:from>
    <xdr:to>
      <xdr:col>8</xdr:col>
      <xdr:colOff>885190</xdr:colOff>
      <xdr:row>5157</xdr:row>
      <xdr:rowOff>1209040</xdr:rowOff>
    </xdr:to>
    <xdr:pic>
      <xdr:nvPicPr>
        <xdr:cNvPr id="8283" name="Изображение 8282" descr="resizeПП-00211335"/>
        <xdr:cNvPicPr>
          <a:picLocks noChangeAspect="1"/>
        </xdr:cNvPicPr>
      </xdr:nvPicPr>
      <xdr:blipFill>
        <a:blip xmlns:r="http://schemas.openxmlformats.org/officeDocument/2006/relationships" r:embed="rId3958"/>
        <a:stretch>
          <a:fillRect/>
        </a:stretch>
      </xdr:blipFill>
      <xdr:spPr>
        <a:xfrm>
          <a:off x="7264400" y="5151110475"/>
          <a:ext cx="878840" cy="1183640"/>
        </a:xfrm>
        <a:prstGeom prst="rect">
          <a:avLst/>
        </a:prstGeom>
      </xdr:spPr>
    </xdr:pic>
    <xdr:clientData/>
  </xdr:twoCellAnchor>
  <xdr:twoCellAnchor>
    <xdr:from>
      <xdr:col>8</xdr:col>
      <xdr:colOff>6350</xdr:colOff>
      <xdr:row>5158</xdr:row>
      <xdr:rowOff>25400</xdr:rowOff>
    </xdr:from>
    <xdr:to>
      <xdr:col>8</xdr:col>
      <xdr:colOff>885190</xdr:colOff>
      <xdr:row>5158</xdr:row>
      <xdr:rowOff>1209040</xdr:rowOff>
    </xdr:to>
    <xdr:pic>
      <xdr:nvPicPr>
        <xdr:cNvPr id="8284" name="Изображение 8283" descr="resizeПП-00211332"/>
        <xdr:cNvPicPr>
          <a:picLocks noChangeAspect="1"/>
        </xdr:cNvPicPr>
      </xdr:nvPicPr>
      <xdr:blipFill>
        <a:blip xmlns:r="http://schemas.openxmlformats.org/officeDocument/2006/relationships" r:embed="rId3959"/>
        <a:stretch>
          <a:fillRect/>
        </a:stretch>
      </xdr:blipFill>
      <xdr:spPr>
        <a:xfrm>
          <a:off x="7264400" y="5152332850"/>
          <a:ext cx="878840" cy="1183640"/>
        </a:xfrm>
        <a:prstGeom prst="rect">
          <a:avLst/>
        </a:prstGeom>
      </xdr:spPr>
    </xdr:pic>
    <xdr:clientData/>
  </xdr:twoCellAnchor>
  <xdr:twoCellAnchor>
    <xdr:from>
      <xdr:col>8</xdr:col>
      <xdr:colOff>6350</xdr:colOff>
      <xdr:row>5159</xdr:row>
      <xdr:rowOff>25400</xdr:rowOff>
    </xdr:from>
    <xdr:to>
      <xdr:col>8</xdr:col>
      <xdr:colOff>885190</xdr:colOff>
      <xdr:row>5159</xdr:row>
      <xdr:rowOff>1209040</xdr:rowOff>
    </xdr:to>
    <xdr:pic>
      <xdr:nvPicPr>
        <xdr:cNvPr id="8285" name="Изображение 8284" descr="resizeПП-00235665"/>
        <xdr:cNvPicPr>
          <a:picLocks noChangeAspect="1"/>
        </xdr:cNvPicPr>
      </xdr:nvPicPr>
      <xdr:blipFill>
        <a:blip xmlns:r="http://schemas.openxmlformats.org/officeDocument/2006/relationships" r:embed="rId3960"/>
        <a:stretch>
          <a:fillRect/>
        </a:stretch>
      </xdr:blipFill>
      <xdr:spPr>
        <a:xfrm>
          <a:off x="7264400" y="5153555225"/>
          <a:ext cx="878840" cy="1183640"/>
        </a:xfrm>
        <a:prstGeom prst="rect">
          <a:avLst/>
        </a:prstGeom>
      </xdr:spPr>
    </xdr:pic>
    <xdr:clientData/>
  </xdr:twoCellAnchor>
  <xdr:twoCellAnchor>
    <xdr:from>
      <xdr:col>8</xdr:col>
      <xdr:colOff>6350</xdr:colOff>
      <xdr:row>5161</xdr:row>
      <xdr:rowOff>25400</xdr:rowOff>
    </xdr:from>
    <xdr:to>
      <xdr:col>8</xdr:col>
      <xdr:colOff>885190</xdr:colOff>
      <xdr:row>5161</xdr:row>
      <xdr:rowOff>1209040</xdr:rowOff>
    </xdr:to>
    <xdr:pic>
      <xdr:nvPicPr>
        <xdr:cNvPr id="8286" name="Изображение 8285" descr="resizeПП-00267035"/>
        <xdr:cNvPicPr>
          <a:picLocks noChangeAspect="1"/>
        </xdr:cNvPicPr>
      </xdr:nvPicPr>
      <xdr:blipFill>
        <a:blip xmlns:r="http://schemas.openxmlformats.org/officeDocument/2006/relationships" r:embed="rId3961"/>
        <a:stretch>
          <a:fillRect/>
        </a:stretch>
      </xdr:blipFill>
      <xdr:spPr>
        <a:xfrm>
          <a:off x="7264400" y="5154930000"/>
          <a:ext cx="878840" cy="1183640"/>
        </a:xfrm>
        <a:prstGeom prst="rect">
          <a:avLst/>
        </a:prstGeom>
      </xdr:spPr>
    </xdr:pic>
    <xdr:clientData/>
  </xdr:twoCellAnchor>
  <xdr:twoCellAnchor>
    <xdr:from>
      <xdr:col>8</xdr:col>
      <xdr:colOff>6350</xdr:colOff>
      <xdr:row>5163</xdr:row>
      <xdr:rowOff>25400</xdr:rowOff>
    </xdr:from>
    <xdr:to>
      <xdr:col>8</xdr:col>
      <xdr:colOff>885190</xdr:colOff>
      <xdr:row>5163</xdr:row>
      <xdr:rowOff>1209040</xdr:rowOff>
    </xdr:to>
    <xdr:pic>
      <xdr:nvPicPr>
        <xdr:cNvPr id="8287" name="Изображение 8286" descr="resizeПП-00275161"/>
        <xdr:cNvPicPr>
          <a:picLocks noChangeAspect="1"/>
        </xdr:cNvPicPr>
      </xdr:nvPicPr>
      <xdr:blipFill>
        <a:blip xmlns:r="http://schemas.openxmlformats.org/officeDocument/2006/relationships" r:embed="rId3962"/>
        <a:stretch>
          <a:fillRect/>
        </a:stretch>
      </xdr:blipFill>
      <xdr:spPr>
        <a:xfrm>
          <a:off x="7264400" y="5156304775"/>
          <a:ext cx="878840" cy="1183640"/>
        </a:xfrm>
        <a:prstGeom prst="rect">
          <a:avLst/>
        </a:prstGeom>
      </xdr:spPr>
    </xdr:pic>
    <xdr:clientData/>
  </xdr:twoCellAnchor>
  <xdr:twoCellAnchor>
    <xdr:from>
      <xdr:col>8</xdr:col>
      <xdr:colOff>6350</xdr:colOff>
      <xdr:row>5164</xdr:row>
      <xdr:rowOff>25400</xdr:rowOff>
    </xdr:from>
    <xdr:to>
      <xdr:col>8</xdr:col>
      <xdr:colOff>885190</xdr:colOff>
      <xdr:row>5164</xdr:row>
      <xdr:rowOff>1209040</xdr:rowOff>
    </xdr:to>
    <xdr:pic>
      <xdr:nvPicPr>
        <xdr:cNvPr id="8288" name="Изображение 8287" descr="resizeПП-00093467"/>
        <xdr:cNvPicPr>
          <a:picLocks noChangeAspect="1"/>
        </xdr:cNvPicPr>
      </xdr:nvPicPr>
      <xdr:blipFill>
        <a:blip xmlns:r="http://schemas.openxmlformats.org/officeDocument/2006/relationships" r:embed="rId3963"/>
        <a:stretch>
          <a:fillRect/>
        </a:stretch>
      </xdr:blipFill>
      <xdr:spPr>
        <a:xfrm>
          <a:off x="7264400" y="5157527150"/>
          <a:ext cx="878840" cy="1183640"/>
        </a:xfrm>
        <a:prstGeom prst="rect">
          <a:avLst/>
        </a:prstGeom>
      </xdr:spPr>
    </xdr:pic>
    <xdr:clientData/>
  </xdr:twoCellAnchor>
  <xdr:twoCellAnchor>
    <xdr:from>
      <xdr:col>8</xdr:col>
      <xdr:colOff>6350</xdr:colOff>
      <xdr:row>5165</xdr:row>
      <xdr:rowOff>25400</xdr:rowOff>
    </xdr:from>
    <xdr:to>
      <xdr:col>8</xdr:col>
      <xdr:colOff>885190</xdr:colOff>
      <xdr:row>5165</xdr:row>
      <xdr:rowOff>1209040</xdr:rowOff>
    </xdr:to>
    <xdr:pic>
      <xdr:nvPicPr>
        <xdr:cNvPr id="8289" name="Изображение 8288" descr="resizeПП-00275169"/>
        <xdr:cNvPicPr>
          <a:picLocks noChangeAspect="1"/>
        </xdr:cNvPicPr>
      </xdr:nvPicPr>
      <xdr:blipFill>
        <a:blip xmlns:r="http://schemas.openxmlformats.org/officeDocument/2006/relationships" r:embed="rId3964"/>
        <a:stretch>
          <a:fillRect/>
        </a:stretch>
      </xdr:blipFill>
      <xdr:spPr>
        <a:xfrm>
          <a:off x="7264400" y="5158749525"/>
          <a:ext cx="878840" cy="1183640"/>
        </a:xfrm>
        <a:prstGeom prst="rect">
          <a:avLst/>
        </a:prstGeom>
      </xdr:spPr>
    </xdr:pic>
    <xdr:clientData/>
  </xdr:twoCellAnchor>
  <xdr:twoCellAnchor>
    <xdr:from>
      <xdr:col>8</xdr:col>
      <xdr:colOff>6350</xdr:colOff>
      <xdr:row>5166</xdr:row>
      <xdr:rowOff>25400</xdr:rowOff>
    </xdr:from>
    <xdr:to>
      <xdr:col>8</xdr:col>
      <xdr:colOff>885190</xdr:colOff>
      <xdr:row>5166</xdr:row>
      <xdr:rowOff>1209040</xdr:rowOff>
    </xdr:to>
    <xdr:pic>
      <xdr:nvPicPr>
        <xdr:cNvPr id="8290" name="Изображение 8289" descr="resizeПП-00275168"/>
        <xdr:cNvPicPr>
          <a:picLocks noChangeAspect="1"/>
        </xdr:cNvPicPr>
      </xdr:nvPicPr>
      <xdr:blipFill>
        <a:blip xmlns:r="http://schemas.openxmlformats.org/officeDocument/2006/relationships" r:embed="rId3965"/>
        <a:stretch>
          <a:fillRect/>
        </a:stretch>
      </xdr:blipFill>
      <xdr:spPr>
        <a:xfrm>
          <a:off x="7264400" y="5159971900"/>
          <a:ext cx="878840" cy="1183640"/>
        </a:xfrm>
        <a:prstGeom prst="rect">
          <a:avLst/>
        </a:prstGeom>
      </xdr:spPr>
    </xdr:pic>
    <xdr:clientData/>
  </xdr:twoCellAnchor>
  <xdr:twoCellAnchor>
    <xdr:from>
      <xdr:col>8</xdr:col>
      <xdr:colOff>6350</xdr:colOff>
      <xdr:row>5167</xdr:row>
      <xdr:rowOff>25400</xdr:rowOff>
    </xdr:from>
    <xdr:to>
      <xdr:col>8</xdr:col>
      <xdr:colOff>885190</xdr:colOff>
      <xdr:row>5167</xdr:row>
      <xdr:rowOff>1209040</xdr:rowOff>
    </xdr:to>
    <xdr:pic>
      <xdr:nvPicPr>
        <xdr:cNvPr id="8291" name="Изображение 8290" descr="resizeПП-00257851"/>
        <xdr:cNvPicPr>
          <a:picLocks noChangeAspect="1"/>
        </xdr:cNvPicPr>
      </xdr:nvPicPr>
      <xdr:blipFill>
        <a:blip xmlns:r="http://schemas.openxmlformats.org/officeDocument/2006/relationships" r:embed="rId3966"/>
        <a:stretch>
          <a:fillRect/>
        </a:stretch>
      </xdr:blipFill>
      <xdr:spPr>
        <a:xfrm>
          <a:off x="7264400" y="5161194275"/>
          <a:ext cx="878840" cy="1183640"/>
        </a:xfrm>
        <a:prstGeom prst="rect">
          <a:avLst/>
        </a:prstGeom>
      </xdr:spPr>
    </xdr:pic>
    <xdr:clientData/>
  </xdr:twoCellAnchor>
  <xdr:twoCellAnchor>
    <xdr:from>
      <xdr:col>8</xdr:col>
      <xdr:colOff>6350</xdr:colOff>
      <xdr:row>5168</xdr:row>
      <xdr:rowOff>25400</xdr:rowOff>
    </xdr:from>
    <xdr:to>
      <xdr:col>8</xdr:col>
      <xdr:colOff>885190</xdr:colOff>
      <xdr:row>5168</xdr:row>
      <xdr:rowOff>1209040</xdr:rowOff>
    </xdr:to>
    <xdr:pic>
      <xdr:nvPicPr>
        <xdr:cNvPr id="8292" name="Изображение 8291" descr="resizeПП-00257852"/>
        <xdr:cNvPicPr>
          <a:picLocks noChangeAspect="1"/>
        </xdr:cNvPicPr>
      </xdr:nvPicPr>
      <xdr:blipFill>
        <a:blip xmlns:r="http://schemas.openxmlformats.org/officeDocument/2006/relationships" r:embed="rId3967"/>
        <a:stretch>
          <a:fillRect/>
        </a:stretch>
      </xdr:blipFill>
      <xdr:spPr>
        <a:xfrm>
          <a:off x="7264400" y="5162416650"/>
          <a:ext cx="878840" cy="1183640"/>
        </a:xfrm>
        <a:prstGeom prst="rect">
          <a:avLst/>
        </a:prstGeom>
      </xdr:spPr>
    </xdr:pic>
    <xdr:clientData/>
  </xdr:twoCellAnchor>
  <xdr:twoCellAnchor>
    <xdr:from>
      <xdr:col>8</xdr:col>
      <xdr:colOff>6350</xdr:colOff>
      <xdr:row>5169</xdr:row>
      <xdr:rowOff>25400</xdr:rowOff>
    </xdr:from>
    <xdr:to>
      <xdr:col>8</xdr:col>
      <xdr:colOff>885190</xdr:colOff>
      <xdr:row>5169</xdr:row>
      <xdr:rowOff>1209040</xdr:rowOff>
    </xdr:to>
    <xdr:pic>
      <xdr:nvPicPr>
        <xdr:cNvPr id="8293" name="Изображение 8292" descr="resizeПП-00257850"/>
        <xdr:cNvPicPr>
          <a:picLocks noChangeAspect="1"/>
        </xdr:cNvPicPr>
      </xdr:nvPicPr>
      <xdr:blipFill>
        <a:blip xmlns:r="http://schemas.openxmlformats.org/officeDocument/2006/relationships" r:embed="rId3968"/>
        <a:stretch>
          <a:fillRect/>
        </a:stretch>
      </xdr:blipFill>
      <xdr:spPr>
        <a:xfrm>
          <a:off x="7264400" y="5163639025"/>
          <a:ext cx="878840" cy="1183640"/>
        </a:xfrm>
        <a:prstGeom prst="rect">
          <a:avLst/>
        </a:prstGeom>
      </xdr:spPr>
    </xdr:pic>
    <xdr:clientData/>
  </xdr:twoCellAnchor>
  <xdr:twoCellAnchor>
    <xdr:from>
      <xdr:col>8</xdr:col>
      <xdr:colOff>6350</xdr:colOff>
      <xdr:row>5171</xdr:row>
      <xdr:rowOff>25400</xdr:rowOff>
    </xdr:from>
    <xdr:to>
      <xdr:col>8</xdr:col>
      <xdr:colOff>885190</xdr:colOff>
      <xdr:row>5171</xdr:row>
      <xdr:rowOff>1209040</xdr:rowOff>
    </xdr:to>
    <xdr:pic>
      <xdr:nvPicPr>
        <xdr:cNvPr id="8294" name="Изображение 8293" descr="resizeПП-00257846"/>
        <xdr:cNvPicPr>
          <a:picLocks noChangeAspect="1"/>
        </xdr:cNvPicPr>
      </xdr:nvPicPr>
      <xdr:blipFill>
        <a:blip xmlns:r="http://schemas.openxmlformats.org/officeDocument/2006/relationships" r:embed="rId3969"/>
        <a:stretch>
          <a:fillRect/>
        </a:stretch>
      </xdr:blipFill>
      <xdr:spPr>
        <a:xfrm>
          <a:off x="7264400" y="5165013800"/>
          <a:ext cx="878840" cy="1183640"/>
        </a:xfrm>
        <a:prstGeom prst="rect">
          <a:avLst/>
        </a:prstGeom>
      </xdr:spPr>
    </xdr:pic>
    <xdr:clientData/>
  </xdr:twoCellAnchor>
  <xdr:twoCellAnchor>
    <xdr:from>
      <xdr:col>8</xdr:col>
      <xdr:colOff>6350</xdr:colOff>
      <xdr:row>5172</xdr:row>
      <xdr:rowOff>25400</xdr:rowOff>
    </xdr:from>
    <xdr:to>
      <xdr:col>8</xdr:col>
      <xdr:colOff>885190</xdr:colOff>
      <xdr:row>5172</xdr:row>
      <xdr:rowOff>1209040</xdr:rowOff>
    </xdr:to>
    <xdr:pic>
      <xdr:nvPicPr>
        <xdr:cNvPr id="8295" name="Изображение 8294" descr="resizeПП-00067308"/>
        <xdr:cNvPicPr>
          <a:picLocks noChangeAspect="1"/>
        </xdr:cNvPicPr>
      </xdr:nvPicPr>
      <xdr:blipFill>
        <a:blip xmlns:r="http://schemas.openxmlformats.org/officeDocument/2006/relationships" r:embed="rId3970"/>
        <a:stretch>
          <a:fillRect/>
        </a:stretch>
      </xdr:blipFill>
      <xdr:spPr>
        <a:xfrm>
          <a:off x="7264400" y="5166236175"/>
          <a:ext cx="878840" cy="1183640"/>
        </a:xfrm>
        <a:prstGeom prst="rect">
          <a:avLst/>
        </a:prstGeom>
      </xdr:spPr>
    </xdr:pic>
    <xdr:clientData/>
  </xdr:twoCellAnchor>
  <xdr:twoCellAnchor>
    <xdr:from>
      <xdr:col>8</xdr:col>
      <xdr:colOff>6350</xdr:colOff>
      <xdr:row>5173</xdr:row>
      <xdr:rowOff>25400</xdr:rowOff>
    </xdr:from>
    <xdr:to>
      <xdr:col>8</xdr:col>
      <xdr:colOff>885190</xdr:colOff>
      <xdr:row>5173</xdr:row>
      <xdr:rowOff>1209040</xdr:rowOff>
    </xdr:to>
    <xdr:pic>
      <xdr:nvPicPr>
        <xdr:cNvPr id="8296" name="Изображение 8295" descr="resizeПП-00235672"/>
        <xdr:cNvPicPr>
          <a:picLocks noChangeAspect="1"/>
        </xdr:cNvPicPr>
      </xdr:nvPicPr>
      <xdr:blipFill>
        <a:blip xmlns:r="http://schemas.openxmlformats.org/officeDocument/2006/relationships" r:embed="rId3971"/>
        <a:stretch>
          <a:fillRect/>
        </a:stretch>
      </xdr:blipFill>
      <xdr:spPr>
        <a:xfrm>
          <a:off x="7264400" y="5167458550"/>
          <a:ext cx="878840" cy="1183640"/>
        </a:xfrm>
        <a:prstGeom prst="rect">
          <a:avLst/>
        </a:prstGeom>
      </xdr:spPr>
    </xdr:pic>
    <xdr:clientData/>
  </xdr:twoCellAnchor>
  <xdr:twoCellAnchor>
    <xdr:from>
      <xdr:col>8</xdr:col>
      <xdr:colOff>6350</xdr:colOff>
      <xdr:row>5174</xdr:row>
      <xdr:rowOff>25400</xdr:rowOff>
    </xdr:from>
    <xdr:to>
      <xdr:col>8</xdr:col>
      <xdr:colOff>885190</xdr:colOff>
      <xdr:row>5174</xdr:row>
      <xdr:rowOff>1209040</xdr:rowOff>
    </xdr:to>
    <xdr:pic>
      <xdr:nvPicPr>
        <xdr:cNvPr id="8297" name="Изображение 8296" descr="resizeПП-00235673"/>
        <xdr:cNvPicPr>
          <a:picLocks noChangeAspect="1"/>
        </xdr:cNvPicPr>
      </xdr:nvPicPr>
      <xdr:blipFill>
        <a:blip xmlns:r="http://schemas.openxmlformats.org/officeDocument/2006/relationships" r:embed="rId3972"/>
        <a:stretch>
          <a:fillRect/>
        </a:stretch>
      </xdr:blipFill>
      <xdr:spPr>
        <a:xfrm>
          <a:off x="7264400" y="5168680925"/>
          <a:ext cx="878840" cy="1183640"/>
        </a:xfrm>
        <a:prstGeom prst="rect">
          <a:avLst/>
        </a:prstGeom>
      </xdr:spPr>
    </xdr:pic>
    <xdr:clientData/>
  </xdr:twoCellAnchor>
  <xdr:twoCellAnchor>
    <xdr:from>
      <xdr:col>8</xdr:col>
      <xdr:colOff>6350</xdr:colOff>
      <xdr:row>5175</xdr:row>
      <xdr:rowOff>25400</xdr:rowOff>
    </xdr:from>
    <xdr:to>
      <xdr:col>8</xdr:col>
      <xdr:colOff>885190</xdr:colOff>
      <xdr:row>5175</xdr:row>
      <xdr:rowOff>1209040</xdr:rowOff>
    </xdr:to>
    <xdr:pic>
      <xdr:nvPicPr>
        <xdr:cNvPr id="8298" name="Изображение 8297" descr="resizeПП-00211343"/>
        <xdr:cNvPicPr>
          <a:picLocks noChangeAspect="1"/>
        </xdr:cNvPicPr>
      </xdr:nvPicPr>
      <xdr:blipFill>
        <a:blip xmlns:r="http://schemas.openxmlformats.org/officeDocument/2006/relationships" r:embed="rId3973"/>
        <a:stretch>
          <a:fillRect/>
        </a:stretch>
      </xdr:blipFill>
      <xdr:spPr>
        <a:xfrm>
          <a:off x="7264400" y="5169903300"/>
          <a:ext cx="878840" cy="1183640"/>
        </a:xfrm>
        <a:prstGeom prst="rect">
          <a:avLst/>
        </a:prstGeom>
      </xdr:spPr>
    </xdr:pic>
    <xdr:clientData/>
  </xdr:twoCellAnchor>
  <xdr:twoCellAnchor>
    <xdr:from>
      <xdr:col>8</xdr:col>
      <xdr:colOff>6350</xdr:colOff>
      <xdr:row>5176</xdr:row>
      <xdr:rowOff>25400</xdr:rowOff>
    </xdr:from>
    <xdr:to>
      <xdr:col>8</xdr:col>
      <xdr:colOff>885190</xdr:colOff>
      <xdr:row>5176</xdr:row>
      <xdr:rowOff>1209040</xdr:rowOff>
    </xdr:to>
    <xdr:pic>
      <xdr:nvPicPr>
        <xdr:cNvPr id="8299" name="Изображение 8298" descr="resizeПП-00231893"/>
        <xdr:cNvPicPr>
          <a:picLocks noChangeAspect="1"/>
        </xdr:cNvPicPr>
      </xdr:nvPicPr>
      <xdr:blipFill>
        <a:blip xmlns:r="http://schemas.openxmlformats.org/officeDocument/2006/relationships" r:embed="rId3974"/>
        <a:stretch>
          <a:fillRect/>
        </a:stretch>
      </xdr:blipFill>
      <xdr:spPr>
        <a:xfrm>
          <a:off x="7264400" y="5171125675"/>
          <a:ext cx="878840" cy="1183640"/>
        </a:xfrm>
        <a:prstGeom prst="rect">
          <a:avLst/>
        </a:prstGeom>
      </xdr:spPr>
    </xdr:pic>
    <xdr:clientData/>
  </xdr:twoCellAnchor>
  <xdr:twoCellAnchor>
    <xdr:from>
      <xdr:col>8</xdr:col>
      <xdr:colOff>6350</xdr:colOff>
      <xdr:row>5177</xdr:row>
      <xdr:rowOff>25400</xdr:rowOff>
    </xdr:from>
    <xdr:to>
      <xdr:col>8</xdr:col>
      <xdr:colOff>885190</xdr:colOff>
      <xdr:row>5177</xdr:row>
      <xdr:rowOff>1209040</xdr:rowOff>
    </xdr:to>
    <xdr:pic>
      <xdr:nvPicPr>
        <xdr:cNvPr id="8300" name="Изображение 8299" descr="resizeПП-00231895"/>
        <xdr:cNvPicPr>
          <a:picLocks noChangeAspect="1"/>
        </xdr:cNvPicPr>
      </xdr:nvPicPr>
      <xdr:blipFill>
        <a:blip xmlns:r="http://schemas.openxmlformats.org/officeDocument/2006/relationships" r:embed="rId3975"/>
        <a:stretch>
          <a:fillRect/>
        </a:stretch>
      </xdr:blipFill>
      <xdr:spPr>
        <a:xfrm>
          <a:off x="7264400" y="5172348050"/>
          <a:ext cx="878840" cy="1183640"/>
        </a:xfrm>
        <a:prstGeom prst="rect">
          <a:avLst/>
        </a:prstGeom>
      </xdr:spPr>
    </xdr:pic>
    <xdr:clientData/>
  </xdr:twoCellAnchor>
  <xdr:twoCellAnchor>
    <xdr:from>
      <xdr:col>8</xdr:col>
      <xdr:colOff>6350</xdr:colOff>
      <xdr:row>5178</xdr:row>
      <xdr:rowOff>25400</xdr:rowOff>
    </xdr:from>
    <xdr:to>
      <xdr:col>8</xdr:col>
      <xdr:colOff>885190</xdr:colOff>
      <xdr:row>5178</xdr:row>
      <xdr:rowOff>1209040</xdr:rowOff>
    </xdr:to>
    <xdr:pic>
      <xdr:nvPicPr>
        <xdr:cNvPr id="8301" name="Изображение 8300" descr="resizeПП-00257848"/>
        <xdr:cNvPicPr>
          <a:picLocks noChangeAspect="1"/>
        </xdr:cNvPicPr>
      </xdr:nvPicPr>
      <xdr:blipFill>
        <a:blip xmlns:r="http://schemas.openxmlformats.org/officeDocument/2006/relationships" r:embed="rId3976"/>
        <a:stretch>
          <a:fillRect/>
        </a:stretch>
      </xdr:blipFill>
      <xdr:spPr>
        <a:xfrm>
          <a:off x="7264400" y="5173570425"/>
          <a:ext cx="878840" cy="1183640"/>
        </a:xfrm>
        <a:prstGeom prst="rect">
          <a:avLst/>
        </a:prstGeom>
      </xdr:spPr>
    </xdr:pic>
    <xdr:clientData/>
  </xdr:twoCellAnchor>
  <xdr:twoCellAnchor>
    <xdr:from>
      <xdr:col>8</xdr:col>
      <xdr:colOff>6350</xdr:colOff>
      <xdr:row>5179</xdr:row>
      <xdr:rowOff>25400</xdr:rowOff>
    </xdr:from>
    <xdr:to>
      <xdr:col>8</xdr:col>
      <xdr:colOff>885190</xdr:colOff>
      <xdr:row>5179</xdr:row>
      <xdr:rowOff>1209040</xdr:rowOff>
    </xdr:to>
    <xdr:pic>
      <xdr:nvPicPr>
        <xdr:cNvPr id="8302" name="Изображение 8301" descr="resizeПП-00067309"/>
        <xdr:cNvPicPr>
          <a:picLocks noChangeAspect="1"/>
        </xdr:cNvPicPr>
      </xdr:nvPicPr>
      <xdr:blipFill>
        <a:blip xmlns:r="http://schemas.openxmlformats.org/officeDocument/2006/relationships" r:embed="rId3977"/>
        <a:stretch>
          <a:fillRect/>
        </a:stretch>
      </xdr:blipFill>
      <xdr:spPr>
        <a:xfrm>
          <a:off x="7264400" y="5174792800"/>
          <a:ext cx="878840" cy="1183640"/>
        </a:xfrm>
        <a:prstGeom prst="rect">
          <a:avLst/>
        </a:prstGeom>
      </xdr:spPr>
    </xdr:pic>
    <xdr:clientData/>
  </xdr:twoCellAnchor>
  <xdr:twoCellAnchor>
    <xdr:from>
      <xdr:col>8</xdr:col>
      <xdr:colOff>6350</xdr:colOff>
      <xdr:row>5180</xdr:row>
      <xdr:rowOff>25400</xdr:rowOff>
    </xdr:from>
    <xdr:to>
      <xdr:col>8</xdr:col>
      <xdr:colOff>885190</xdr:colOff>
      <xdr:row>5180</xdr:row>
      <xdr:rowOff>1209040</xdr:rowOff>
    </xdr:to>
    <xdr:pic>
      <xdr:nvPicPr>
        <xdr:cNvPr id="8303" name="Изображение 8302" descr="resizeПП-00231896"/>
        <xdr:cNvPicPr>
          <a:picLocks noChangeAspect="1"/>
        </xdr:cNvPicPr>
      </xdr:nvPicPr>
      <xdr:blipFill>
        <a:blip xmlns:r="http://schemas.openxmlformats.org/officeDocument/2006/relationships" r:embed="rId3978"/>
        <a:stretch>
          <a:fillRect/>
        </a:stretch>
      </xdr:blipFill>
      <xdr:spPr>
        <a:xfrm>
          <a:off x="7264400" y="5176015175"/>
          <a:ext cx="878840" cy="1183640"/>
        </a:xfrm>
        <a:prstGeom prst="rect">
          <a:avLst/>
        </a:prstGeom>
      </xdr:spPr>
    </xdr:pic>
    <xdr:clientData/>
  </xdr:twoCellAnchor>
  <xdr:twoCellAnchor>
    <xdr:from>
      <xdr:col>8</xdr:col>
      <xdr:colOff>6350</xdr:colOff>
      <xdr:row>5181</xdr:row>
      <xdr:rowOff>25400</xdr:rowOff>
    </xdr:from>
    <xdr:to>
      <xdr:col>8</xdr:col>
      <xdr:colOff>885190</xdr:colOff>
      <xdr:row>5181</xdr:row>
      <xdr:rowOff>1209040</xdr:rowOff>
    </xdr:to>
    <xdr:pic>
      <xdr:nvPicPr>
        <xdr:cNvPr id="8304" name="Изображение 8303" descr="resizeПП-00257847"/>
        <xdr:cNvPicPr>
          <a:picLocks noChangeAspect="1"/>
        </xdr:cNvPicPr>
      </xdr:nvPicPr>
      <xdr:blipFill>
        <a:blip xmlns:r="http://schemas.openxmlformats.org/officeDocument/2006/relationships" r:embed="rId3979"/>
        <a:stretch>
          <a:fillRect/>
        </a:stretch>
      </xdr:blipFill>
      <xdr:spPr>
        <a:xfrm>
          <a:off x="7264400" y="5177237550"/>
          <a:ext cx="878840" cy="1183640"/>
        </a:xfrm>
        <a:prstGeom prst="rect">
          <a:avLst/>
        </a:prstGeom>
      </xdr:spPr>
    </xdr:pic>
    <xdr:clientData/>
  </xdr:twoCellAnchor>
  <xdr:twoCellAnchor>
    <xdr:from>
      <xdr:col>8</xdr:col>
      <xdr:colOff>6350</xdr:colOff>
      <xdr:row>5182</xdr:row>
      <xdr:rowOff>25400</xdr:rowOff>
    </xdr:from>
    <xdr:to>
      <xdr:col>8</xdr:col>
      <xdr:colOff>885190</xdr:colOff>
      <xdr:row>5182</xdr:row>
      <xdr:rowOff>1209040</xdr:rowOff>
    </xdr:to>
    <xdr:pic>
      <xdr:nvPicPr>
        <xdr:cNvPr id="8305" name="Изображение 8304" descr="resizeПП-00067310"/>
        <xdr:cNvPicPr>
          <a:picLocks noChangeAspect="1"/>
        </xdr:cNvPicPr>
      </xdr:nvPicPr>
      <xdr:blipFill>
        <a:blip xmlns:r="http://schemas.openxmlformats.org/officeDocument/2006/relationships" r:embed="rId3980"/>
        <a:stretch>
          <a:fillRect/>
        </a:stretch>
      </xdr:blipFill>
      <xdr:spPr>
        <a:xfrm>
          <a:off x="7264400" y="5178459925"/>
          <a:ext cx="878840" cy="1183640"/>
        </a:xfrm>
        <a:prstGeom prst="rect">
          <a:avLst/>
        </a:prstGeom>
      </xdr:spPr>
    </xdr:pic>
    <xdr:clientData/>
  </xdr:twoCellAnchor>
  <xdr:twoCellAnchor>
    <xdr:from>
      <xdr:col>8</xdr:col>
      <xdr:colOff>6350</xdr:colOff>
      <xdr:row>5183</xdr:row>
      <xdr:rowOff>25400</xdr:rowOff>
    </xdr:from>
    <xdr:to>
      <xdr:col>8</xdr:col>
      <xdr:colOff>885190</xdr:colOff>
      <xdr:row>5183</xdr:row>
      <xdr:rowOff>1209040</xdr:rowOff>
    </xdr:to>
    <xdr:pic>
      <xdr:nvPicPr>
        <xdr:cNvPr id="8306" name="Изображение 8305" descr="resizeПП-00079688"/>
        <xdr:cNvPicPr>
          <a:picLocks noChangeAspect="1"/>
        </xdr:cNvPicPr>
      </xdr:nvPicPr>
      <xdr:blipFill>
        <a:blip xmlns:r="http://schemas.openxmlformats.org/officeDocument/2006/relationships" r:embed="rId3981"/>
        <a:stretch>
          <a:fillRect/>
        </a:stretch>
      </xdr:blipFill>
      <xdr:spPr>
        <a:xfrm>
          <a:off x="7264400" y="5179682300"/>
          <a:ext cx="878840" cy="1183640"/>
        </a:xfrm>
        <a:prstGeom prst="rect">
          <a:avLst/>
        </a:prstGeom>
      </xdr:spPr>
    </xdr:pic>
    <xdr:clientData/>
  </xdr:twoCellAnchor>
  <xdr:twoCellAnchor>
    <xdr:from>
      <xdr:col>8</xdr:col>
      <xdr:colOff>6350</xdr:colOff>
      <xdr:row>5184</xdr:row>
      <xdr:rowOff>25400</xdr:rowOff>
    </xdr:from>
    <xdr:to>
      <xdr:col>8</xdr:col>
      <xdr:colOff>885190</xdr:colOff>
      <xdr:row>5184</xdr:row>
      <xdr:rowOff>1209040</xdr:rowOff>
    </xdr:to>
    <xdr:pic>
      <xdr:nvPicPr>
        <xdr:cNvPr id="8307" name="Изображение 8306" descr="resizeПП-00079689"/>
        <xdr:cNvPicPr>
          <a:picLocks noChangeAspect="1"/>
        </xdr:cNvPicPr>
      </xdr:nvPicPr>
      <xdr:blipFill>
        <a:blip xmlns:r="http://schemas.openxmlformats.org/officeDocument/2006/relationships" r:embed="rId3982"/>
        <a:stretch>
          <a:fillRect/>
        </a:stretch>
      </xdr:blipFill>
      <xdr:spPr>
        <a:xfrm>
          <a:off x="7264400" y="5180904675"/>
          <a:ext cx="878840" cy="1183640"/>
        </a:xfrm>
        <a:prstGeom prst="rect">
          <a:avLst/>
        </a:prstGeom>
      </xdr:spPr>
    </xdr:pic>
    <xdr:clientData/>
  </xdr:twoCellAnchor>
  <xdr:twoCellAnchor>
    <xdr:from>
      <xdr:col>8</xdr:col>
      <xdr:colOff>6350</xdr:colOff>
      <xdr:row>5185</xdr:row>
      <xdr:rowOff>25400</xdr:rowOff>
    </xdr:from>
    <xdr:to>
      <xdr:col>8</xdr:col>
      <xdr:colOff>885190</xdr:colOff>
      <xdr:row>5185</xdr:row>
      <xdr:rowOff>1209040</xdr:rowOff>
    </xdr:to>
    <xdr:pic>
      <xdr:nvPicPr>
        <xdr:cNvPr id="8308" name="Изображение 8307" descr="resizeПП-00231894"/>
        <xdr:cNvPicPr>
          <a:picLocks noChangeAspect="1"/>
        </xdr:cNvPicPr>
      </xdr:nvPicPr>
      <xdr:blipFill>
        <a:blip xmlns:r="http://schemas.openxmlformats.org/officeDocument/2006/relationships" r:embed="rId3983"/>
        <a:stretch>
          <a:fillRect/>
        </a:stretch>
      </xdr:blipFill>
      <xdr:spPr>
        <a:xfrm>
          <a:off x="7264400" y="5182127050"/>
          <a:ext cx="878840" cy="1183640"/>
        </a:xfrm>
        <a:prstGeom prst="rect">
          <a:avLst/>
        </a:prstGeom>
      </xdr:spPr>
    </xdr:pic>
    <xdr:clientData/>
  </xdr:twoCellAnchor>
  <xdr:twoCellAnchor>
    <xdr:from>
      <xdr:col>8</xdr:col>
      <xdr:colOff>6350</xdr:colOff>
      <xdr:row>5186</xdr:row>
      <xdr:rowOff>25400</xdr:rowOff>
    </xdr:from>
    <xdr:to>
      <xdr:col>8</xdr:col>
      <xdr:colOff>885190</xdr:colOff>
      <xdr:row>5186</xdr:row>
      <xdr:rowOff>1209040</xdr:rowOff>
    </xdr:to>
    <xdr:pic>
      <xdr:nvPicPr>
        <xdr:cNvPr id="8309" name="Изображение 8308" descr="resizeПП-00231891"/>
        <xdr:cNvPicPr>
          <a:picLocks noChangeAspect="1"/>
        </xdr:cNvPicPr>
      </xdr:nvPicPr>
      <xdr:blipFill>
        <a:blip xmlns:r="http://schemas.openxmlformats.org/officeDocument/2006/relationships" r:embed="rId3984"/>
        <a:stretch>
          <a:fillRect/>
        </a:stretch>
      </xdr:blipFill>
      <xdr:spPr>
        <a:xfrm>
          <a:off x="7264400" y="5183349425"/>
          <a:ext cx="878840" cy="1183640"/>
        </a:xfrm>
        <a:prstGeom prst="rect">
          <a:avLst/>
        </a:prstGeom>
      </xdr:spPr>
    </xdr:pic>
    <xdr:clientData/>
  </xdr:twoCellAnchor>
  <xdr:twoCellAnchor>
    <xdr:from>
      <xdr:col>8</xdr:col>
      <xdr:colOff>6350</xdr:colOff>
      <xdr:row>5187</xdr:row>
      <xdr:rowOff>25400</xdr:rowOff>
    </xdr:from>
    <xdr:to>
      <xdr:col>8</xdr:col>
      <xdr:colOff>885190</xdr:colOff>
      <xdr:row>5187</xdr:row>
      <xdr:rowOff>1209040</xdr:rowOff>
    </xdr:to>
    <xdr:pic>
      <xdr:nvPicPr>
        <xdr:cNvPr id="8310" name="Изображение 8309" descr="resizeПП-00257849"/>
        <xdr:cNvPicPr>
          <a:picLocks noChangeAspect="1"/>
        </xdr:cNvPicPr>
      </xdr:nvPicPr>
      <xdr:blipFill>
        <a:blip xmlns:r="http://schemas.openxmlformats.org/officeDocument/2006/relationships" r:embed="rId3985"/>
        <a:stretch>
          <a:fillRect/>
        </a:stretch>
      </xdr:blipFill>
      <xdr:spPr>
        <a:xfrm>
          <a:off x="7264400" y="5184571800"/>
          <a:ext cx="878840" cy="1183640"/>
        </a:xfrm>
        <a:prstGeom prst="rect">
          <a:avLst/>
        </a:prstGeom>
      </xdr:spPr>
    </xdr:pic>
    <xdr:clientData/>
  </xdr:twoCellAnchor>
  <xdr:twoCellAnchor>
    <xdr:from>
      <xdr:col>8</xdr:col>
      <xdr:colOff>6350</xdr:colOff>
      <xdr:row>5188</xdr:row>
      <xdr:rowOff>25400</xdr:rowOff>
    </xdr:from>
    <xdr:to>
      <xdr:col>8</xdr:col>
      <xdr:colOff>885190</xdr:colOff>
      <xdr:row>5188</xdr:row>
      <xdr:rowOff>1209040</xdr:rowOff>
    </xdr:to>
    <xdr:pic>
      <xdr:nvPicPr>
        <xdr:cNvPr id="8311" name="Изображение 8310" descr="resizeПП-00211344"/>
        <xdr:cNvPicPr>
          <a:picLocks noChangeAspect="1"/>
        </xdr:cNvPicPr>
      </xdr:nvPicPr>
      <xdr:blipFill>
        <a:blip xmlns:r="http://schemas.openxmlformats.org/officeDocument/2006/relationships" r:embed="rId3986"/>
        <a:stretch>
          <a:fillRect/>
        </a:stretch>
      </xdr:blipFill>
      <xdr:spPr>
        <a:xfrm>
          <a:off x="7264400" y="5185794175"/>
          <a:ext cx="878840" cy="1183640"/>
        </a:xfrm>
        <a:prstGeom prst="rect">
          <a:avLst/>
        </a:prstGeom>
      </xdr:spPr>
    </xdr:pic>
    <xdr:clientData/>
  </xdr:twoCellAnchor>
  <xdr:twoCellAnchor>
    <xdr:from>
      <xdr:col>8</xdr:col>
      <xdr:colOff>6350</xdr:colOff>
      <xdr:row>5189</xdr:row>
      <xdr:rowOff>25400</xdr:rowOff>
    </xdr:from>
    <xdr:to>
      <xdr:col>8</xdr:col>
      <xdr:colOff>885190</xdr:colOff>
      <xdr:row>5189</xdr:row>
      <xdr:rowOff>1209040</xdr:rowOff>
    </xdr:to>
    <xdr:pic>
      <xdr:nvPicPr>
        <xdr:cNvPr id="8312" name="Изображение 8311" descr="resizeПП-00079693"/>
        <xdr:cNvPicPr>
          <a:picLocks noChangeAspect="1"/>
        </xdr:cNvPicPr>
      </xdr:nvPicPr>
      <xdr:blipFill>
        <a:blip xmlns:r="http://schemas.openxmlformats.org/officeDocument/2006/relationships" r:embed="rId3987"/>
        <a:stretch>
          <a:fillRect/>
        </a:stretch>
      </xdr:blipFill>
      <xdr:spPr>
        <a:xfrm>
          <a:off x="7264400" y="5187016550"/>
          <a:ext cx="878840" cy="1183640"/>
        </a:xfrm>
        <a:prstGeom prst="rect">
          <a:avLst/>
        </a:prstGeom>
      </xdr:spPr>
    </xdr:pic>
    <xdr:clientData/>
  </xdr:twoCellAnchor>
  <xdr:twoCellAnchor>
    <xdr:from>
      <xdr:col>8</xdr:col>
      <xdr:colOff>6350</xdr:colOff>
      <xdr:row>5190</xdr:row>
      <xdr:rowOff>25400</xdr:rowOff>
    </xdr:from>
    <xdr:to>
      <xdr:col>8</xdr:col>
      <xdr:colOff>885190</xdr:colOff>
      <xdr:row>5190</xdr:row>
      <xdr:rowOff>1209040</xdr:rowOff>
    </xdr:to>
    <xdr:pic>
      <xdr:nvPicPr>
        <xdr:cNvPr id="8313" name="Изображение 8312" descr="resizeПП-00231897"/>
        <xdr:cNvPicPr>
          <a:picLocks noChangeAspect="1"/>
        </xdr:cNvPicPr>
      </xdr:nvPicPr>
      <xdr:blipFill>
        <a:blip xmlns:r="http://schemas.openxmlformats.org/officeDocument/2006/relationships" r:embed="rId3988"/>
        <a:stretch>
          <a:fillRect/>
        </a:stretch>
      </xdr:blipFill>
      <xdr:spPr>
        <a:xfrm>
          <a:off x="7264400" y="5188238925"/>
          <a:ext cx="878840" cy="1183640"/>
        </a:xfrm>
        <a:prstGeom prst="rect">
          <a:avLst/>
        </a:prstGeom>
      </xdr:spPr>
    </xdr:pic>
    <xdr:clientData/>
  </xdr:twoCellAnchor>
  <xdr:twoCellAnchor>
    <xdr:from>
      <xdr:col>8</xdr:col>
      <xdr:colOff>6350</xdr:colOff>
      <xdr:row>5192</xdr:row>
      <xdr:rowOff>25400</xdr:rowOff>
    </xdr:from>
    <xdr:to>
      <xdr:col>8</xdr:col>
      <xdr:colOff>885190</xdr:colOff>
      <xdr:row>5192</xdr:row>
      <xdr:rowOff>1209040</xdr:rowOff>
    </xdr:to>
    <xdr:pic>
      <xdr:nvPicPr>
        <xdr:cNvPr id="8314" name="Изображение 8313" descr="resizeПП-00275164"/>
        <xdr:cNvPicPr>
          <a:picLocks noChangeAspect="1"/>
        </xdr:cNvPicPr>
      </xdr:nvPicPr>
      <xdr:blipFill>
        <a:blip xmlns:r="http://schemas.openxmlformats.org/officeDocument/2006/relationships" r:embed="rId3989"/>
        <a:stretch>
          <a:fillRect/>
        </a:stretch>
      </xdr:blipFill>
      <xdr:spPr>
        <a:xfrm>
          <a:off x="7264400" y="5189613700"/>
          <a:ext cx="878840" cy="1183640"/>
        </a:xfrm>
        <a:prstGeom prst="rect">
          <a:avLst/>
        </a:prstGeom>
      </xdr:spPr>
    </xdr:pic>
    <xdr:clientData/>
  </xdr:twoCellAnchor>
  <xdr:twoCellAnchor>
    <xdr:from>
      <xdr:col>8</xdr:col>
      <xdr:colOff>6350</xdr:colOff>
      <xdr:row>5193</xdr:row>
      <xdr:rowOff>25400</xdr:rowOff>
    </xdr:from>
    <xdr:to>
      <xdr:col>8</xdr:col>
      <xdr:colOff>885190</xdr:colOff>
      <xdr:row>5193</xdr:row>
      <xdr:rowOff>1209040</xdr:rowOff>
    </xdr:to>
    <xdr:pic>
      <xdr:nvPicPr>
        <xdr:cNvPr id="8315" name="Изображение 8314" descr="resizeПП-00275165"/>
        <xdr:cNvPicPr>
          <a:picLocks noChangeAspect="1"/>
        </xdr:cNvPicPr>
      </xdr:nvPicPr>
      <xdr:blipFill>
        <a:blip xmlns:r="http://schemas.openxmlformats.org/officeDocument/2006/relationships" r:embed="rId3990"/>
        <a:stretch>
          <a:fillRect/>
        </a:stretch>
      </xdr:blipFill>
      <xdr:spPr>
        <a:xfrm>
          <a:off x="7264400" y="5190836075"/>
          <a:ext cx="878840" cy="1183640"/>
        </a:xfrm>
        <a:prstGeom prst="rect">
          <a:avLst/>
        </a:prstGeom>
      </xdr:spPr>
    </xdr:pic>
    <xdr:clientData/>
  </xdr:twoCellAnchor>
  <xdr:twoCellAnchor>
    <xdr:from>
      <xdr:col>8</xdr:col>
      <xdr:colOff>6350</xdr:colOff>
      <xdr:row>5194</xdr:row>
      <xdr:rowOff>25400</xdr:rowOff>
    </xdr:from>
    <xdr:to>
      <xdr:col>8</xdr:col>
      <xdr:colOff>885190</xdr:colOff>
      <xdr:row>5194</xdr:row>
      <xdr:rowOff>1209040</xdr:rowOff>
    </xdr:to>
    <xdr:pic>
      <xdr:nvPicPr>
        <xdr:cNvPr id="8316" name="Изображение 8315" descr="resizeПП-00275166"/>
        <xdr:cNvPicPr>
          <a:picLocks noChangeAspect="1"/>
        </xdr:cNvPicPr>
      </xdr:nvPicPr>
      <xdr:blipFill>
        <a:blip xmlns:r="http://schemas.openxmlformats.org/officeDocument/2006/relationships" r:embed="rId3991"/>
        <a:stretch>
          <a:fillRect/>
        </a:stretch>
      </xdr:blipFill>
      <xdr:spPr>
        <a:xfrm>
          <a:off x="7264400" y="5192058450"/>
          <a:ext cx="878840" cy="1183640"/>
        </a:xfrm>
        <a:prstGeom prst="rect">
          <a:avLst/>
        </a:prstGeom>
      </xdr:spPr>
    </xdr:pic>
    <xdr:clientData/>
  </xdr:twoCellAnchor>
  <xdr:twoCellAnchor>
    <xdr:from>
      <xdr:col>8</xdr:col>
      <xdr:colOff>6350</xdr:colOff>
      <xdr:row>5195</xdr:row>
      <xdr:rowOff>25400</xdr:rowOff>
    </xdr:from>
    <xdr:to>
      <xdr:col>8</xdr:col>
      <xdr:colOff>885190</xdr:colOff>
      <xdr:row>5195</xdr:row>
      <xdr:rowOff>1209040</xdr:rowOff>
    </xdr:to>
    <xdr:pic>
      <xdr:nvPicPr>
        <xdr:cNvPr id="8317" name="Изображение 8316" descr="resizeПП-00275167"/>
        <xdr:cNvPicPr>
          <a:picLocks noChangeAspect="1"/>
        </xdr:cNvPicPr>
      </xdr:nvPicPr>
      <xdr:blipFill>
        <a:blip xmlns:r="http://schemas.openxmlformats.org/officeDocument/2006/relationships" r:embed="rId3992"/>
        <a:stretch>
          <a:fillRect/>
        </a:stretch>
      </xdr:blipFill>
      <xdr:spPr>
        <a:xfrm>
          <a:off x="7264400" y="5193280825"/>
          <a:ext cx="878840" cy="1183640"/>
        </a:xfrm>
        <a:prstGeom prst="rect">
          <a:avLst/>
        </a:prstGeom>
      </xdr:spPr>
    </xdr:pic>
    <xdr:clientData/>
  </xdr:twoCellAnchor>
  <xdr:twoCellAnchor>
    <xdr:from>
      <xdr:col>8</xdr:col>
      <xdr:colOff>6350</xdr:colOff>
      <xdr:row>5196</xdr:row>
      <xdr:rowOff>25400</xdr:rowOff>
    </xdr:from>
    <xdr:to>
      <xdr:col>8</xdr:col>
      <xdr:colOff>885190</xdr:colOff>
      <xdr:row>5196</xdr:row>
      <xdr:rowOff>1209040</xdr:rowOff>
    </xdr:to>
    <xdr:pic>
      <xdr:nvPicPr>
        <xdr:cNvPr id="8318" name="Изображение 8317" descr="resizeПП-00093474"/>
        <xdr:cNvPicPr>
          <a:picLocks noChangeAspect="1"/>
        </xdr:cNvPicPr>
      </xdr:nvPicPr>
      <xdr:blipFill>
        <a:blip xmlns:r="http://schemas.openxmlformats.org/officeDocument/2006/relationships" r:embed="rId3993"/>
        <a:stretch>
          <a:fillRect/>
        </a:stretch>
      </xdr:blipFill>
      <xdr:spPr>
        <a:xfrm>
          <a:off x="7264400" y="5194503200"/>
          <a:ext cx="878840" cy="1183640"/>
        </a:xfrm>
        <a:prstGeom prst="rect">
          <a:avLst/>
        </a:prstGeom>
      </xdr:spPr>
    </xdr:pic>
    <xdr:clientData/>
  </xdr:twoCellAnchor>
  <xdr:twoCellAnchor>
    <xdr:from>
      <xdr:col>8</xdr:col>
      <xdr:colOff>6350</xdr:colOff>
      <xdr:row>5197</xdr:row>
      <xdr:rowOff>25400</xdr:rowOff>
    </xdr:from>
    <xdr:to>
      <xdr:col>8</xdr:col>
      <xdr:colOff>885190</xdr:colOff>
      <xdr:row>5197</xdr:row>
      <xdr:rowOff>1209040</xdr:rowOff>
    </xdr:to>
    <xdr:pic>
      <xdr:nvPicPr>
        <xdr:cNvPr id="8319" name="Изображение 8318" descr="resizeПП-00275163"/>
        <xdr:cNvPicPr>
          <a:picLocks noChangeAspect="1"/>
        </xdr:cNvPicPr>
      </xdr:nvPicPr>
      <xdr:blipFill>
        <a:blip xmlns:r="http://schemas.openxmlformats.org/officeDocument/2006/relationships" r:embed="rId3994"/>
        <a:stretch>
          <a:fillRect/>
        </a:stretch>
      </xdr:blipFill>
      <xdr:spPr>
        <a:xfrm>
          <a:off x="7264400" y="5195725575"/>
          <a:ext cx="878840" cy="1183640"/>
        </a:xfrm>
        <a:prstGeom prst="rect">
          <a:avLst/>
        </a:prstGeom>
      </xdr:spPr>
    </xdr:pic>
    <xdr:clientData/>
  </xdr:twoCellAnchor>
  <xdr:twoCellAnchor>
    <xdr:from>
      <xdr:col>8</xdr:col>
      <xdr:colOff>6350</xdr:colOff>
      <xdr:row>5198</xdr:row>
      <xdr:rowOff>25400</xdr:rowOff>
    </xdr:from>
    <xdr:to>
      <xdr:col>8</xdr:col>
      <xdr:colOff>885190</xdr:colOff>
      <xdr:row>5198</xdr:row>
      <xdr:rowOff>1209040</xdr:rowOff>
    </xdr:to>
    <xdr:pic>
      <xdr:nvPicPr>
        <xdr:cNvPr id="8320" name="Изображение 8319" descr="resizeПП-00275162"/>
        <xdr:cNvPicPr>
          <a:picLocks noChangeAspect="1"/>
        </xdr:cNvPicPr>
      </xdr:nvPicPr>
      <xdr:blipFill>
        <a:blip xmlns:r="http://schemas.openxmlformats.org/officeDocument/2006/relationships" r:embed="rId3995"/>
        <a:stretch>
          <a:fillRect/>
        </a:stretch>
      </xdr:blipFill>
      <xdr:spPr>
        <a:xfrm>
          <a:off x="7264400" y="5196947950"/>
          <a:ext cx="878840" cy="1183640"/>
        </a:xfrm>
        <a:prstGeom prst="rect">
          <a:avLst/>
        </a:prstGeom>
      </xdr:spPr>
    </xdr:pic>
    <xdr:clientData/>
  </xdr:twoCellAnchor>
  <xdr:twoCellAnchor>
    <xdr:from>
      <xdr:col>8</xdr:col>
      <xdr:colOff>6350</xdr:colOff>
      <xdr:row>5201</xdr:row>
      <xdr:rowOff>25400</xdr:rowOff>
    </xdr:from>
    <xdr:to>
      <xdr:col>8</xdr:col>
      <xdr:colOff>885190</xdr:colOff>
      <xdr:row>5201</xdr:row>
      <xdr:rowOff>1209040</xdr:rowOff>
    </xdr:to>
    <xdr:pic>
      <xdr:nvPicPr>
        <xdr:cNvPr id="8321" name="Изображение 8320" descr="resizeПП-00223401"/>
        <xdr:cNvPicPr>
          <a:picLocks noChangeAspect="1"/>
        </xdr:cNvPicPr>
      </xdr:nvPicPr>
      <xdr:blipFill>
        <a:blip xmlns:r="http://schemas.openxmlformats.org/officeDocument/2006/relationships" r:embed="rId3996"/>
        <a:stretch>
          <a:fillRect/>
        </a:stretch>
      </xdr:blipFill>
      <xdr:spPr>
        <a:xfrm>
          <a:off x="7264400" y="5198525925"/>
          <a:ext cx="878840" cy="1183640"/>
        </a:xfrm>
        <a:prstGeom prst="rect">
          <a:avLst/>
        </a:prstGeom>
      </xdr:spPr>
    </xdr:pic>
    <xdr:clientData/>
  </xdr:twoCellAnchor>
  <xdr:twoCellAnchor>
    <xdr:from>
      <xdr:col>8</xdr:col>
      <xdr:colOff>6350</xdr:colOff>
      <xdr:row>5202</xdr:row>
      <xdr:rowOff>25400</xdr:rowOff>
    </xdr:from>
    <xdr:to>
      <xdr:col>8</xdr:col>
      <xdr:colOff>885190</xdr:colOff>
      <xdr:row>5202</xdr:row>
      <xdr:rowOff>1209040</xdr:rowOff>
    </xdr:to>
    <xdr:pic>
      <xdr:nvPicPr>
        <xdr:cNvPr id="8322" name="Изображение 8321" descr="resizeПП-00223411"/>
        <xdr:cNvPicPr>
          <a:picLocks noChangeAspect="1"/>
        </xdr:cNvPicPr>
      </xdr:nvPicPr>
      <xdr:blipFill>
        <a:blip xmlns:r="http://schemas.openxmlformats.org/officeDocument/2006/relationships" r:embed="rId3997"/>
        <a:stretch>
          <a:fillRect/>
        </a:stretch>
      </xdr:blipFill>
      <xdr:spPr>
        <a:xfrm>
          <a:off x="7264400" y="5199748300"/>
          <a:ext cx="878840" cy="1183640"/>
        </a:xfrm>
        <a:prstGeom prst="rect">
          <a:avLst/>
        </a:prstGeom>
      </xdr:spPr>
    </xdr:pic>
    <xdr:clientData/>
  </xdr:twoCellAnchor>
  <xdr:twoCellAnchor>
    <xdr:from>
      <xdr:col>8</xdr:col>
      <xdr:colOff>6350</xdr:colOff>
      <xdr:row>5203</xdr:row>
      <xdr:rowOff>25400</xdr:rowOff>
    </xdr:from>
    <xdr:to>
      <xdr:col>8</xdr:col>
      <xdr:colOff>885190</xdr:colOff>
      <xdr:row>5203</xdr:row>
      <xdr:rowOff>1209040</xdr:rowOff>
    </xdr:to>
    <xdr:pic>
      <xdr:nvPicPr>
        <xdr:cNvPr id="8323" name="Изображение 8322" descr="resizeПП-00223405"/>
        <xdr:cNvPicPr>
          <a:picLocks noChangeAspect="1"/>
        </xdr:cNvPicPr>
      </xdr:nvPicPr>
      <xdr:blipFill>
        <a:blip xmlns:r="http://schemas.openxmlformats.org/officeDocument/2006/relationships" r:embed="rId3998"/>
        <a:stretch>
          <a:fillRect/>
        </a:stretch>
      </xdr:blipFill>
      <xdr:spPr>
        <a:xfrm>
          <a:off x="7264400" y="5200970675"/>
          <a:ext cx="878840" cy="1183640"/>
        </a:xfrm>
        <a:prstGeom prst="rect">
          <a:avLst/>
        </a:prstGeom>
      </xdr:spPr>
    </xdr:pic>
    <xdr:clientData/>
  </xdr:twoCellAnchor>
  <xdr:twoCellAnchor>
    <xdr:from>
      <xdr:col>8</xdr:col>
      <xdr:colOff>6350</xdr:colOff>
      <xdr:row>5204</xdr:row>
      <xdr:rowOff>25400</xdr:rowOff>
    </xdr:from>
    <xdr:to>
      <xdr:col>8</xdr:col>
      <xdr:colOff>885190</xdr:colOff>
      <xdr:row>5204</xdr:row>
      <xdr:rowOff>1209040</xdr:rowOff>
    </xdr:to>
    <xdr:pic>
      <xdr:nvPicPr>
        <xdr:cNvPr id="8324" name="Изображение 8323" descr="resizeПП-00223403"/>
        <xdr:cNvPicPr>
          <a:picLocks noChangeAspect="1"/>
        </xdr:cNvPicPr>
      </xdr:nvPicPr>
      <xdr:blipFill>
        <a:blip xmlns:r="http://schemas.openxmlformats.org/officeDocument/2006/relationships" r:embed="rId3999"/>
        <a:stretch>
          <a:fillRect/>
        </a:stretch>
      </xdr:blipFill>
      <xdr:spPr>
        <a:xfrm>
          <a:off x="7264400" y="5202193050"/>
          <a:ext cx="878840" cy="1183640"/>
        </a:xfrm>
        <a:prstGeom prst="rect">
          <a:avLst/>
        </a:prstGeom>
      </xdr:spPr>
    </xdr:pic>
    <xdr:clientData/>
  </xdr:twoCellAnchor>
  <xdr:twoCellAnchor>
    <xdr:from>
      <xdr:col>8</xdr:col>
      <xdr:colOff>6350</xdr:colOff>
      <xdr:row>5207</xdr:row>
      <xdr:rowOff>25400</xdr:rowOff>
    </xdr:from>
    <xdr:to>
      <xdr:col>8</xdr:col>
      <xdr:colOff>885190</xdr:colOff>
      <xdr:row>5207</xdr:row>
      <xdr:rowOff>1209040</xdr:rowOff>
    </xdr:to>
    <xdr:pic>
      <xdr:nvPicPr>
        <xdr:cNvPr id="8325" name="Изображение 8324" descr="resizeПП-00220693"/>
        <xdr:cNvPicPr>
          <a:picLocks noChangeAspect="1"/>
        </xdr:cNvPicPr>
      </xdr:nvPicPr>
      <xdr:blipFill>
        <a:blip xmlns:r="http://schemas.openxmlformats.org/officeDocument/2006/relationships" r:embed="rId4000"/>
        <a:stretch>
          <a:fillRect/>
        </a:stretch>
      </xdr:blipFill>
      <xdr:spPr>
        <a:xfrm>
          <a:off x="7264400" y="5203720225"/>
          <a:ext cx="878840" cy="1183640"/>
        </a:xfrm>
        <a:prstGeom prst="rect">
          <a:avLst/>
        </a:prstGeom>
      </xdr:spPr>
    </xdr:pic>
    <xdr:clientData/>
  </xdr:twoCellAnchor>
  <xdr:twoCellAnchor>
    <xdr:from>
      <xdr:col>8</xdr:col>
      <xdr:colOff>6350</xdr:colOff>
      <xdr:row>5208</xdr:row>
      <xdr:rowOff>25400</xdr:rowOff>
    </xdr:from>
    <xdr:to>
      <xdr:col>8</xdr:col>
      <xdr:colOff>885190</xdr:colOff>
      <xdr:row>5208</xdr:row>
      <xdr:rowOff>1209040</xdr:rowOff>
    </xdr:to>
    <xdr:pic>
      <xdr:nvPicPr>
        <xdr:cNvPr id="8326" name="Изображение 8325" descr="resizeПП-00220700"/>
        <xdr:cNvPicPr>
          <a:picLocks noChangeAspect="1"/>
        </xdr:cNvPicPr>
      </xdr:nvPicPr>
      <xdr:blipFill>
        <a:blip xmlns:r="http://schemas.openxmlformats.org/officeDocument/2006/relationships" r:embed="rId4001"/>
        <a:stretch>
          <a:fillRect/>
        </a:stretch>
      </xdr:blipFill>
      <xdr:spPr>
        <a:xfrm>
          <a:off x="7264400" y="5204942600"/>
          <a:ext cx="878840" cy="1183640"/>
        </a:xfrm>
        <a:prstGeom prst="rect">
          <a:avLst/>
        </a:prstGeom>
      </xdr:spPr>
    </xdr:pic>
    <xdr:clientData/>
  </xdr:twoCellAnchor>
  <xdr:twoCellAnchor>
    <xdr:from>
      <xdr:col>8</xdr:col>
      <xdr:colOff>6350</xdr:colOff>
      <xdr:row>5209</xdr:row>
      <xdr:rowOff>25400</xdr:rowOff>
    </xdr:from>
    <xdr:to>
      <xdr:col>8</xdr:col>
      <xdr:colOff>885190</xdr:colOff>
      <xdr:row>5209</xdr:row>
      <xdr:rowOff>1209040</xdr:rowOff>
    </xdr:to>
    <xdr:pic>
      <xdr:nvPicPr>
        <xdr:cNvPr id="8327" name="Изображение 8326" descr="resizeПП-00220697"/>
        <xdr:cNvPicPr>
          <a:picLocks noChangeAspect="1"/>
        </xdr:cNvPicPr>
      </xdr:nvPicPr>
      <xdr:blipFill>
        <a:blip xmlns:r="http://schemas.openxmlformats.org/officeDocument/2006/relationships" r:embed="rId4002"/>
        <a:stretch>
          <a:fillRect/>
        </a:stretch>
      </xdr:blipFill>
      <xdr:spPr>
        <a:xfrm>
          <a:off x="7264400" y="5206164975"/>
          <a:ext cx="878840" cy="1183640"/>
        </a:xfrm>
        <a:prstGeom prst="rect">
          <a:avLst/>
        </a:prstGeom>
      </xdr:spPr>
    </xdr:pic>
    <xdr:clientData/>
  </xdr:twoCellAnchor>
  <xdr:twoCellAnchor>
    <xdr:from>
      <xdr:col>8</xdr:col>
      <xdr:colOff>6350</xdr:colOff>
      <xdr:row>5210</xdr:row>
      <xdr:rowOff>25400</xdr:rowOff>
    </xdr:from>
    <xdr:to>
      <xdr:col>8</xdr:col>
      <xdr:colOff>885190</xdr:colOff>
      <xdr:row>5210</xdr:row>
      <xdr:rowOff>1209040</xdr:rowOff>
    </xdr:to>
    <xdr:pic>
      <xdr:nvPicPr>
        <xdr:cNvPr id="8328" name="Изображение 8327" descr="resizeПП-00220696"/>
        <xdr:cNvPicPr>
          <a:picLocks noChangeAspect="1"/>
        </xdr:cNvPicPr>
      </xdr:nvPicPr>
      <xdr:blipFill>
        <a:blip xmlns:r="http://schemas.openxmlformats.org/officeDocument/2006/relationships" r:embed="rId4003"/>
        <a:stretch>
          <a:fillRect/>
        </a:stretch>
      </xdr:blipFill>
      <xdr:spPr>
        <a:xfrm>
          <a:off x="7264400" y="5207387350"/>
          <a:ext cx="878840" cy="1183640"/>
        </a:xfrm>
        <a:prstGeom prst="rect">
          <a:avLst/>
        </a:prstGeom>
      </xdr:spPr>
    </xdr:pic>
    <xdr:clientData/>
  </xdr:twoCellAnchor>
  <xdr:twoCellAnchor>
    <xdr:from>
      <xdr:col>8</xdr:col>
      <xdr:colOff>6350</xdr:colOff>
      <xdr:row>5211</xdr:row>
      <xdr:rowOff>25400</xdr:rowOff>
    </xdr:from>
    <xdr:to>
      <xdr:col>8</xdr:col>
      <xdr:colOff>885190</xdr:colOff>
      <xdr:row>5211</xdr:row>
      <xdr:rowOff>1209040</xdr:rowOff>
    </xdr:to>
    <xdr:pic>
      <xdr:nvPicPr>
        <xdr:cNvPr id="8329" name="Изображение 8328" descr="resizeПП-00220695"/>
        <xdr:cNvPicPr>
          <a:picLocks noChangeAspect="1"/>
        </xdr:cNvPicPr>
      </xdr:nvPicPr>
      <xdr:blipFill>
        <a:blip xmlns:r="http://schemas.openxmlformats.org/officeDocument/2006/relationships" r:embed="rId4004"/>
        <a:stretch>
          <a:fillRect/>
        </a:stretch>
      </xdr:blipFill>
      <xdr:spPr>
        <a:xfrm>
          <a:off x="7264400" y="5208609725"/>
          <a:ext cx="878840" cy="1183640"/>
        </a:xfrm>
        <a:prstGeom prst="rect">
          <a:avLst/>
        </a:prstGeom>
      </xdr:spPr>
    </xdr:pic>
    <xdr:clientData/>
  </xdr:twoCellAnchor>
  <xdr:twoCellAnchor>
    <xdr:from>
      <xdr:col>8</xdr:col>
      <xdr:colOff>6350</xdr:colOff>
      <xdr:row>5215</xdr:row>
      <xdr:rowOff>25400</xdr:rowOff>
    </xdr:from>
    <xdr:to>
      <xdr:col>8</xdr:col>
      <xdr:colOff>885190</xdr:colOff>
      <xdr:row>5215</xdr:row>
      <xdr:rowOff>1209040</xdr:rowOff>
    </xdr:to>
    <xdr:pic>
      <xdr:nvPicPr>
        <xdr:cNvPr id="8330" name="Изображение 8329" descr="resizeПП-00219046"/>
        <xdr:cNvPicPr>
          <a:picLocks noChangeAspect="1"/>
        </xdr:cNvPicPr>
      </xdr:nvPicPr>
      <xdr:blipFill>
        <a:blip xmlns:r="http://schemas.openxmlformats.org/officeDocument/2006/relationships" r:embed="rId4005"/>
        <a:stretch>
          <a:fillRect/>
        </a:stretch>
      </xdr:blipFill>
      <xdr:spPr>
        <a:xfrm>
          <a:off x="7264400" y="5210340100"/>
          <a:ext cx="878840" cy="1183640"/>
        </a:xfrm>
        <a:prstGeom prst="rect">
          <a:avLst/>
        </a:prstGeom>
      </xdr:spPr>
    </xdr:pic>
    <xdr:clientData/>
  </xdr:twoCellAnchor>
  <xdr:twoCellAnchor>
    <xdr:from>
      <xdr:col>8</xdr:col>
      <xdr:colOff>6350</xdr:colOff>
      <xdr:row>5217</xdr:row>
      <xdr:rowOff>25400</xdr:rowOff>
    </xdr:from>
    <xdr:to>
      <xdr:col>8</xdr:col>
      <xdr:colOff>885190</xdr:colOff>
      <xdr:row>5217</xdr:row>
      <xdr:rowOff>1209040</xdr:rowOff>
    </xdr:to>
    <xdr:pic>
      <xdr:nvPicPr>
        <xdr:cNvPr id="8331" name="Изображение 8330" descr="resizeПП-00239188"/>
        <xdr:cNvPicPr>
          <a:picLocks noChangeAspect="1"/>
        </xdr:cNvPicPr>
      </xdr:nvPicPr>
      <xdr:blipFill>
        <a:blip xmlns:r="http://schemas.openxmlformats.org/officeDocument/2006/relationships" r:embed="rId4006"/>
        <a:stretch>
          <a:fillRect/>
        </a:stretch>
      </xdr:blipFill>
      <xdr:spPr>
        <a:xfrm>
          <a:off x="7264400" y="5211714875"/>
          <a:ext cx="878840" cy="1183640"/>
        </a:xfrm>
        <a:prstGeom prst="rect">
          <a:avLst/>
        </a:prstGeom>
      </xdr:spPr>
    </xdr:pic>
    <xdr:clientData/>
  </xdr:twoCellAnchor>
  <xdr:twoCellAnchor>
    <xdr:from>
      <xdr:col>8</xdr:col>
      <xdr:colOff>6350</xdr:colOff>
      <xdr:row>5218</xdr:row>
      <xdr:rowOff>25400</xdr:rowOff>
    </xdr:from>
    <xdr:to>
      <xdr:col>8</xdr:col>
      <xdr:colOff>885190</xdr:colOff>
      <xdr:row>5218</xdr:row>
      <xdr:rowOff>1209040</xdr:rowOff>
    </xdr:to>
    <xdr:pic>
      <xdr:nvPicPr>
        <xdr:cNvPr id="8332" name="Изображение 8331" descr="resizeПП-00239191"/>
        <xdr:cNvPicPr>
          <a:picLocks noChangeAspect="1"/>
        </xdr:cNvPicPr>
      </xdr:nvPicPr>
      <xdr:blipFill>
        <a:blip xmlns:r="http://schemas.openxmlformats.org/officeDocument/2006/relationships" r:embed="rId4007"/>
        <a:stretch>
          <a:fillRect/>
        </a:stretch>
      </xdr:blipFill>
      <xdr:spPr>
        <a:xfrm>
          <a:off x="7264400" y="5212937250"/>
          <a:ext cx="878840" cy="1183640"/>
        </a:xfrm>
        <a:prstGeom prst="rect">
          <a:avLst/>
        </a:prstGeom>
      </xdr:spPr>
    </xdr:pic>
    <xdr:clientData/>
  </xdr:twoCellAnchor>
  <xdr:twoCellAnchor>
    <xdr:from>
      <xdr:col>8</xdr:col>
      <xdr:colOff>6350</xdr:colOff>
      <xdr:row>5219</xdr:row>
      <xdr:rowOff>25400</xdr:rowOff>
    </xdr:from>
    <xdr:to>
      <xdr:col>8</xdr:col>
      <xdr:colOff>885190</xdr:colOff>
      <xdr:row>5219</xdr:row>
      <xdr:rowOff>1209040</xdr:rowOff>
    </xdr:to>
    <xdr:pic>
      <xdr:nvPicPr>
        <xdr:cNvPr id="8333" name="Изображение 8332" descr="resizeПП-00239190"/>
        <xdr:cNvPicPr>
          <a:picLocks noChangeAspect="1"/>
        </xdr:cNvPicPr>
      </xdr:nvPicPr>
      <xdr:blipFill>
        <a:blip xmlns:r="http://schemas.openxmlformats.org/officeDocument/2006/relationships" r:embed="rId4008"/>
        <a:stretch>
          <a:fillRect/>
        </a:stretch>
      </xdr:blipFill>
      <xdr:spPr>
        <a:xfrm>
          <a:off x="7264400" y="5214159625"/>
          <a:ext cx="878840" cy="1183640"/>
        </a:xfrm>
        <a:prstGeom prst="rect">
          <a:avLst/>
        </a:prstGeom>
      </xdr:spPr>
    </xdr:pic>
    <xdr:clientData/>
  </xdr:twoCellAnchor>
  <xdr:twoCellAnchor>
    <xdr:from>
      <xdr:col>8</xdr:col>
      <xdr:colOff>6350</xdr:colOff>
      <xdr:row>5220</xdr:row>
      <xdr:rowOff>25400</xdr:rowOff>
    </xdr:from>
    <xdr:to>
      <xdr:col>8</xdr:col>
      <xdr:colOff>885190</xdr:colOff>
      <xdr:row>5220</xdr:row>
      <xdr:rowOff>1209040</xdr:rowOff>
    </xdr:to>
    <xdr:pic>
      <xdr:nvPicPr>
        <xdr:cNvPr id="8334" name="Изображение 8333" descr="resizeПП-00239193"/>
        <xdr:cNvPicPr>
          <a:picLocks noChangeAspect="1"/>
        </xdr:cNvPicPr>
      </xdr:nvPicPr>
      <xdr:blipFill>
        <a:blip xmlns:r="http://schemas.openxmlformats.org/officeDocument/2006/relationships" r:embed="rId4009"/>
        <a:stretch>
          <a:fillRect/>
        </a:stretch>
      </xdr:blipFill>
      <xdr:spPr>
        <a:xfrm>
          <a:off x="7264400" y="5215382000"/>
          <a:ext cx="878840" cy="1183640"/>
        </a:xfrm>
        <a:prstGeom prst="rect">
          <a:avLst/>
        </a:prstGeom>
      </xdr:spPr>
    </xdr:pic>
    <xdr:clientData/>
  </xdr:twoCellAnchor>
  <xdr:twoCellAnchor>
    <xdr:from>
      <xdr:col>8</xdr:col>
      <xdr:colOff>6350</xdr:colOff>
      <xdr:row>5222</xdr:row>
      <xdr:rowOff>25400</xdr:rowOff>
    </xdr:from>
    <xdr:to>
      <xdr:col>8</xdr:col>
      <xdr:colOff>885190</xdr:colOff>
      <xdr:row>5222</xdr:row>
      <xdr:rowOff>1209040</xdr:rowOff>
    </xdr:to>
    <xdr:pic>
      <xdr:nvPicPr>
        <xdr:cNvPr id="8335" name="Изображение 8334" descr="resizeПП-00231400"/>
        <xdr:cNvPicPr>
          <a:picLocks noChangeAspect="1"/>
        </xdr:cNvPicPr>
      </xdr:nvPicPr>
      <xdr:blipFill>
        <a:blip xmlns:r="http://schemas.openxmlformats.org/officeDocument/2006/relationships" r:embed="rId4010"/>
        <a:stretch>
          <a:fillRect/>
        </a:stretch>
      </xdr:blipFill>
      <xdr:spPr>
        <a:xfrm>
          <a:off x="7264400" y="5216756775"/>
          <a:ext cx="878840" cy="1183640"/>
        </a:xfrm>
        <a:prstGeom prst="rect">
          <a:avLst/>
        </a:prstGeom>
      </xdr:spPr>
    </xdr:pic>
    <xdr:clientData/>
  </xdr:twoCellAnchor>
  <xdr:twoCellAnchor>
    <xdr:from>
      <xdr:col>8</xdr:col>
      <xdr:colOff>6350</xdr:colOff>
      <xdr:row>5223</xdr:row>
      <xdr:rowOff>25400</xdr:rowOff>
    </xdr:from>
    <xdr:to>
      <xdr:col>8</xdr:col>
      <xdr:colOff>885190</xdr:colOff>
      <xdr:row>5223</xdr:row>
      <xdr:rowOff>1209040</xdr:rowOff>
    </xdr:to>
    <xdr:pic>
      <xdr:nvPicPr>
        <xdr:cNvPr id="8336" name="Изображение 8335" descr="resizeПП-00231399"/>
        <xdr:cNvPicPr>
          <a:picLocks noChangeAspect="1"/>
        </xdr:cNvPicPr>
      </xdr:nvPicPr>
      <xdr:blipFill>
        <a:blip xmlns:r="http://schemas.openxmlformats.org/officeDocument/2006/relationships" r:embed="rId4011"/>
        <a:stretch>
          <a:fillRect/>
        </a:stretch>
      </xdr:blipFill>
      <xdr:spPr>
        <a:xfrm>
          <a:off x="7264400" y="5217979150"/>
          <a:ext cx="878840" cy="1183640"/>
        </a:xfrm>
        <a:prstGeom prst="rect">
          <a:avLst/>
        </a:prstGeom>
      </xdr:spPr>
    </xdr:pic>
    <xdr:clientData/>
  </xdr:twoCellAnchor>
  <xdr:twoCellAnchor>
    <xdr:from>
      <xdr:col>8</xdr:col>
      <xdr:colOff>6350</xdr:colOff>
      <xdr:row>5224</xdr:row>
      <xdr:rowOff>25400</xdr:rowOff>
    </xdr:from>
    <xdr:to>
      <xdr:col>8</xdr:col>
      <xdr:colOff>885190</xdr:colOff>
      <xdr:row>5224</xdr:row>
      <xdr:rowOff>1209040</xdr:rowOff>
    </xdr:to>
    <xdr:pic>
      <xdr:nvPicPr>
        <xdr:cNvPr id="8337" name="Изображение 8336" descr="resizeПП-00231403"/>
        <xdr:cNvPicPr>
          <a:picLocks noChangeAspect="1"/>
        </xdr:cNvPicPr>
      </xdr:nvPicPr>
      <xdr:blipFill>
        <a:blip xmlns:r="http://schemas.openxmlformats.org/officeDocument/2006/relationships" r:embed="rId4012"/>
        <a:stretch>
          <a:fillRect/>
        </a:stretch>
      </xdr:blipFill>
      <xdr:spPr>
        <a:xfrm>
          <a:off x="7264400" y="5219201525"/>
          <a:ext cx="878840" cy="1183640"/>
        </a:xfrm>
        <a:prstGeom prst="rect">
          <a:avLst/>
        </a:prstGeom>
      </xdr:spPr>
    </xdr:pic>
    <xdr:clientData/>
  </xdr:twoCellAnchor>
  <xdr:twoCellAnchor>
    <xdr:from>
      <xdr:col>8</xdr:col>
      <xdr:colOff>6350</xdr:colOff>
      <xdr:row>5225</xdr:row>
      <xdr:rowOff>25400</xdr:rowOff>
    </xdr:from>
    <xdr:to>
      <xdr:col>8</xdr:col>
      <xdr:colOff>885190</xdr:colOff>
      <xdr:row>5225</xdr:row>
      <xdr:rowOff>1209040</xdr:rowOff>
    </xdr:to>
    <xdr:pic>
      <xdr:nvPicPr>
        <xdr:cNvPr id="8338" name="Изображение 8337" descr="resizeПП-00231397"/>
        <xdr:cNvPicPr>
          <a:picLocks noChangeAspect="1"/>
        </xdr:cNvPicPr>
      </xdr:nvPicPr>
      <xdr:blipFill>
        <a:blip xmlns:r="http://schemas.openxmlformats.org/officeDocument/2006/relationships" r:embed="rId4013"/>
        <a:stretch>
          <a:fillRect/>
        </a:stretch>
      </xdr:blipFill>
      <xdr:spPr>
        <a:xfrm>
          <a:off x="7264400" y="5220423900"/>
          <a:ext cx="878840" cy="1183640"/>
        </a:xfrm>
        <a:prstGeom prst="rect">
          <a:avLst/>
        </a:prstGeom>
      </xdr:spPr>
    </xdr:pic>
    <xdr:clientData/>
  </xdr:twoCellAnchor>
  <xdr:twoCellAnchor>
    <xdr:from>
      <xdr:col>8</xdr:col>
      <xdr:colOff>6350</xdr:colOff>
      <xdr:row>5226</xdr:row>
      <xdr:rowOff>25400</xdr:rowOff>
    </xdr:from>
    <xdr:to>
      <xdr:col>8</xdr:col>
      <xdr:colOff>885190</xdr:colOff>
      <xdr:row>5226</xdr:row>
      <xdr:rowOff>1209040</xdr:rowOff>
    </xdr:to>
    <xdr:pic>
      <xdr:nvPicPr>
        <xdr:cNvPr id="8339" name="Изображение 8338" descr="resizeПП-00231401"/>
        <xdr:cNvPicPr>
          <a:picLocks noChangeAspect="1"/>
        </xdr:cNvPicPr>
      </xdr:nvPicPr>
      <xdr:blipFill>
        <a:blip xmlns:r="http://schemas.openxmlformats.org/officeDocument/2006/relationships" r:embed="rId4014"/>
        <a:stretch>
          <a:fillRect/>
        </a:stretch>
      </xdr:blipFill>
      <xdr:spPr>
        <a:xfrm>
          <a:off x="7264400" y="5221646275"/>
          <a:ext cx="878840" cy="1183640"/>
        </a:xfrm>
        <a:prstGeom prst="rect">
          <a:avLst/>
        </a:prstGeom>
      </xdr:spPr>
    </xdr:pic>
    <xdr:clientData/>
  </xdr:twoCellAnchor>
  <xdr:twoCellAnchor>
    <xdr:from>
      <xdr:col>8</xdr:col>
      <xdr:colOff>6350</xdr:colOff>
      <xdr:row>5227</xdr:row>
      <xdr:rowOff>25400</xdr:rowOff>
    </xdr:from>
    <xdr:to>
      <xdr:col>8</xdr:col>
      <xdr:colOff>885190</xdr:colOff>
      <xdr:row>5227</xdr:row>
      <xdr:rowOff>1209040</xdr:rowOff>
    </xdr:to>
    <xdr:pic>
      <xdr:nvPicPr>
        <xdr:cNvPr id="8340" name="Изображение 8339" descr="resizeПП-00220333"/>
        <xdr:cNvPicPr>
          <a:picLocks noChangeAspect="1"/>
        </xdr:cNvPicPr>
      </xdr:nvPicPr>
      <xdr:blipFill>
        <a:blip xmlns:r="http://schemas.openxmlformats.org/officeDocument/2006/relationships" r:embed="rId4015"/>
        <a:stretch>
          <a:fillRect/>
        </a:stretch>
      </xdr:blipFill>
      <xdr:spPr>
        <a:xfrm>
          <a:off x="7264400" y="5222868650"/>
          <a:ext cx="878840" cy="1183640"/>
        </a:xfrm>
        <a:prstGeom prst="rect">
          <a:avLst/>
        </a:prstGeom>
      </xdr:spPr>
    </xdr:pic>
    <xdr:clientData/>
  </xdr:twoCellAnchor>
  <xdr:twoCellAnchor>
    <xdr:from>
      <xdr:col>8</xdr:col>
      <xdr:colOff>6350</xdr:colOff>
      <xdr:row>5230</xdr:row>
      <xdr:rowOff>25400</xdr:rowOff>
    </xdr:from>
    <xdr:to>
      <xdr:col>8</xdr:col>
      <xdr:colOff>885190</xdr:colOff>
      <xdr:row>5230</xdr:row>
      <xdr:rowOff>1209040</xdr:rowOff>
    </xdr:to>
    <xdr:pic>
      <xdr:nvPicPr>
        <xdr:cNvPr id="8341" name="Изображение 8340" descr="resizeПП-00212644"/>
        <xdr:cNvPicPr>
          <a:picLocks noChangeAspect="1"/>
        </xdr:cNvPicPr>
      </xdr:nvPicPr>
      <xdr:blipFill>
        <a:blip xmlns:r="http://schemas.openxmlformats.org/officeDocument/2006/relationships" r:embed="rId4016"/>
        <a:stretch>
          <a:fillRect/>
        </a:stretch>
      </xdr:blipFill>
      <xdr:spPr>
        <a:xfrm>
          <a:off x="7264400" y="5224395825"/>
          <a:ext cx="878840" cy="1183640"/>
        </a:xfrm>
        <a:prstGeom prst="rect">
          <a:avLst/>
        </a:prstGeom>
      </xdr:spPr>
    </xdr:pic>
    <xdr:clientData/>
  </xdr:twoCellAnchor>
  <xdr:twoCellAnchor>
    <xdr:from>
      <xdr:col>8</xdr:col>
      <xdr:colOff>6350</xdr:colOff>
      <xdr:row>5231</xdr:row>
      <xdr:rowOff>25400</xdr:rowOff>
    </xdr:from>
    <xdr:to>
      <xdr:col>8</xdr:col>
      <xdr:colOff>885190</xdr:colOff>
      <xdr:row>5231</xdr:row>
      <xdr:rowOff>1209040</xdr:rowOff>
    </xdr:to>
    <xdr:pic>
      <xdr:nvPicPr>
        <xdr:cNvPr id="8342" name="Изображение 8341" descr="resizeПП-00212642"/>
        <xdr:cNvPicPr>
          <a:picLocks noChangeAspect="1"/>
        </xdr:cNvPicPr>
      </xdr:nvPicPr>
      <xdr:blipFill>
        <a:blip xmlns:r="http://schemas.openxmlformats.org/officeDocument/2006/relationships" r:embed="rId4017"/>
        <a:stretch>
          <a:fillRect/>
        </a:stretch>
      </xdr:blipFill>
      <xdr:spPr>
        <a:xfrm>
          <a:off x="7264400" y="5225618200"/>
          <a:ext cx="878840" cy="1183640"/>
        </a:xfrm>
        <a:prstGeom prst="rect">
          <a:avLst/>
        </a:prstGeom>
      </xdr:spPr>
    </xdr:pic>
    <xdr:clientData/>
  </xdr:twoCellAnchor>
  <xdr:twoCellAnchor>
    <xdr:from>
      <xdr:col>8</xdr:col>
      <xdr:colOff>6350</xdr:colOff>
      <xdr:row>5232</xdr:row>
      <xdr:rowOff>25400</xdr:rowOff>
    </xdr:from>
    <xdr:to>
      <xdr:col>8</xdr:col>
      <xdr:colOff>885190</xdr:colOff>
      <xdr:row>5232</xdr:row>
      <xdr:rowOff>1209040</xdr:rowOff>
    </xdr:to>
    <xdr:pic>
      <xdr:nvPicPr>
        <xdr:cNvPr id="8343" name="Изображение 8342" descr="resizeПП-00212639"/>
        <xdr:cNvPicPr>
          <a:picLocks noChangeAspect="1"/>
        </xdr:cNvPicPr>
      </xdr:nvPicPr>
      <xdr:blipFill>
        <a:blip xmlns:r="http://schemas.openxmlformats.org/officeDocument/2006/relationships" r:embed="rId4018"/>
        <a:stretch>
          <a:fillRect/>
        </a:stretch>
      </xdr:blipFill>
      <xdr:spPr>
        <a:xfrm>
          <a:off x="7264400" y="5226840575"/>
          <a:ext cx="878840" cy="1183640"/>
        </a:xfrm>
        <a:prstGeom prst="rect">
          <a:avLst/>
        </a:prstGeom>
      </xdr:spPr>
    </xdr:pic>
    <xdr:clientData/>
  </xdr:twoCellAnchor>
  <xdr:twoCellAnchor>
    <xdr:from>
      <xdr:col>8</xdr:col>
      <xdr:colOff>6350</xdr:colOff>
      <xdr:row>5233</xdr:row>
      <xdr:rowOff>25400</xdr:rowOff>
    </xdr:from>
    <xdr:to>
      <xdr:col>8</xdr:col>
      <xdr:colOff>885190</xdr:colOff>
      <xdr:row>5233</xdr:row>
      <xdr:rowOff>1209040</xdr:rowOff>
    </xdr:to>
    <xdr:pic>
      <xdr:nvPicPr>
        <xdr:cNvPr id="8344" name="Изображение 8343" descr="resizeПП-00212636"/>
        <xdr:cNvPicPr>
          <a:picLocks noChangeAspect="1"/>
        </xdr:cNvPicPr>
      </xdr:nvPicPr>
      <xdr:blipFill>
        <a:blip xmlns:r="http://schemas.openxmlformats.org/officeDocument/2006/relationships" r:embed="rId4019"/>
        <a:stretch>
          <a:fillRect/>
        </a:stretch>
      </xdr:blipFill>
      <xdr:spPr>
        <a:xfrm>
          <a:off x="7264400" y="5228062950"/>
          <a:ext cx="878840" cy="1183640"/>
        </a:xfrm>
        <a:prstGeom prst="rect">
          <a:avLst/>
        </a:prstGeom>
      </xdr:spPr>
    </xdr:pic>
    <xdr:clientData/>
  </xdr:twoCellAnchor>
  <xdr:twoCellAnchor>
    <xdr:from>
      <xdr:col>8</xdr:col>
      <xdr:colOff>6350</xdr:colOff>
      <xdr:row>5234</xdr:row>
      <xdr:rowOff>25400</xdr:rowOff>
    </xdr:from>
    <xdr:to>
      <xdr:col>8</xdr:col>
      <xdr:colOff>885190</xdr:colOff>
      <xdr:row>5234</xdr:row>
      <xdr:rowOff>1209040</xdr:rowOff>
    </xdr:to>
    <xdr:pic>
      <xdr:nvPicPr>
        <xdr:cNvPr id="8345" name="Изображение 8344" descr="resizeПП-00212635"/>
        <xdr:cNvPicPr>
          <a:picLocks noChangeAspect="1"/>
        </xdr:cNvPicPr>
      </xdr:nvPicPr>
      <xdr:blipFill>
        <a:blip xmlns:r="http://schemas.openxmlformats.org/officeDocument/2006/relationships" r:embed="rId4020"/>
        <a:stretch>
          <a:fillRect/>
        </a:stretch>
      </xdr:blipFill>
      <xdr:spPr>
        <a:xfrm>
          <a:off x="7264400" y="5229285325"/>
          <a:ext cx="878840" cy="1183640"/>
        </a:xfrm>
        <a:prstGeom prst="rect">
          <a:avLst/>
        </a:prstGeom>
      </xdr:spPr>
    </xdr:pic>
    <xdr:clientData/>
  </xdr:twoCellAnchor>
  <xdr:twoCellAnchor>
    <xdr:from>
      <xdr:col>8</xdr:col>
      <xdr:colOff>6350</xdr:colOff>
      <xdr:row>5235</xdr:row>
      <xdr:rowOff>25400</xdr:rowOff>
    </xdr:from>
    <xdr:to>
      <xdr:col>8</xdr:col>
      <xdr:colOff>885190</xdr:colOff>
      <xdr:row>5235</xdr:row>
      <xdr:rowOff>1209040</xdr:rowOff>
    </xdr:to>
    <xdr:pic>
      <xdr:nvPicPr>
        <xdr:cNvPr id="8346" name="Изображение 8345" descr="resizeПП-00222720"/>
        <xdr:cNvPicPr>
          <a:picLocks noChangeAspect="1"/>
        </xdr:cNvPicPr>
      </xdr:nvPicPr>
      <xdr:blipFill>
        <a:blip xmlns:r="http://schemas.openxmlformats.org/officeDocument/2006/relationships" r:embed="rId4021"/>
        <a:stretch>
          <a:fillRect/>
        </a:stretch>
      </xdr:blipFill>
      <xdr:spPr>
        <a:xfrm>
          <a:off x="7264400" y="5230507700"/>
          <a:ext cx="878840" cy="1183640"/>
        </a:xfrm>
        <a:prstGeom prst="rect">
          <a:avLst/>
        </a:prstGeom>
      </xdr:spPr>
    </xdr:pic>
    <xdr:clientData/>
  </xdr:twoCellAnchor>
  <xdr:twoCellAnchor>
    <xdr:from>
      <xdr:col>8</xdr:col>
      <xdr:colOff>6350</xdr:colOff>
      <xdr:row>5236</xdr:row>
      <xdr:rowOff>25400</xdr:rowOff>
    </xdr:from>
    <xdr:to>
      <xdr:col>8</xdr:col>
      <xdr:colOff>885190</xdr:colOff>
      <xdr:row>5236</xdr:row>
      <xdr:rowOff>1209040</xdr:rowOff>
    </xdr:to>
    <xdr:pic>
      <xdr:nvPicPr>
        <xdr:cNvPr id="8347" name="Изображение 8346" descr="resizeПП-00212637"/>
        <xdr:cNvPicPr>
          <a:picLocks noChangeAspect="1"/>
        </xdr:cNvPicPr>
      </xdr:nvPicPr>
      <xdr:blipFill>
        <a:blip xmlns:r="http://schemas.openxmlformats.org/officeDocument/2006/relationships" r:embed="rId4022"/>
        <a:stretch>
          <a:fillRect/>
        </a:stretch>
      </xdr:blipFill>
      <xdr:spPr>
        <a:xfrm>
          <a:off x="7264400" y="5231730075"/>
          <a:ext cx="878840" cy="1183640"/>
        </a:xfrm>
        <a:prstGeom prst="rect">
          <a:avLst/>
        </a:prstGeom>
      </xdr:spPr>
    </xdr:pic>
    <xdr:clientData/>
  </xdr:twoCellAnchor>
  <xdr:twoCellAnchor>
    <xdr:from>
      <xdr:col>8</xdr:col>
      <xdr:colOff>6350</xdr:colOff>
      <xdr:row>5237</xdr:row>
      <xdr:rowOff>25400</xdr:rowOff>
    </xdr:from>
    <xdr:to>
      <xdr:col>8</xdr:col>
      <xdr:colOff>885190</xdr:colOff>
      <xdr:row>5237</xdr:row>
      <xdr:rowOff>1209040</xdr:rowOff>
    </xdr:to>
    <xdr:pic>
      <xdr:nvPicPr>
        <xdr:cNvPr id="8348" name="Изображение 8347" descr="resizeПП-00216250"/>
        <xdr:cNvPicPr>
          <a:picLocks noChangeAspect="1"/>
        </xdr:cNvPicPr>
      </xdr:nvPicPr>
      <xdr:blipFill>
        <a:blip xmlns:r="http://schemas.openxmlformats.org/officeDocument/2006/relationships" r:embed="rId4023"/>
        <a:stretch>
          <a:fillRect/>
        </a:stretch>
      </xdr:blipFill>
      <xdr:spPr>
        <a:xfrm>
          <a:off x="7264400" y="5232952450"/>
          <a:ext cx="878840" cy="1183640"/>
        </a:xfrm>
        <a:prstGeom prst="rect">
          <a:avLst/>
        </a:prstGeom>
      </xdr:spPr>
    </xdr:pic>
    <xdr:clientData/>
  </xdr:twoCellAnchor>
  <xdr:twoCellAnchor>
    <xdr:from>
      <xdr:col>8</xdr:col>
      <xdr:colOff>6350</xdr:colOff>
      <xdr:row>5238</xdr:row>
      <xdr:rowOff>25400</xdr:rowOff>
    </xdr:from>
    <xdr:to>
      <xdr:col>8</xdr:col>
      <xdr:colOff>885190</xdr:colOff>
      <xdr:row>5238</xdr:row>
      <xdr:rowOff>1209040</xdr:rowOff>
    </xdr:to>
    <xdr:pic>
      <xdr:nvPicPr>
        <xdr:cNvPr id="8349" name="Изображение 8348" descr="resizeПП-00216249"/>
        <xdr:cNvPicPr>
          <a:picLocks noChangeAspect="1"/>
        </xdr:cNvPicPr>
      </xdr:nvPicPr>
      <xdr:blipFill>
        <a:blip xmlns:r="http://schemas.openxmlformats.org/officeDocument/2006/relationships" r:embed="rId4024"/>
        <a:stretch>
          <a:fillRect/>
        </a:stretch>
      </xdr:blipFill>
      <xdr:spPr>
        <a:xfrm>
          <a:off x="7264400" y="5234174825"/>
          <a:ext cx="878840" cy="1183640"/>
        </a:xfrm>
        <a:prstGeom prst="rect">
          <a:avLst/>
        </a:prstGeom>
      </xdr:spPr>
    </xdr:pic>
    <xdr:clientData/>
  </xdr:twoCellAnchor>
  <xdr:twoCellAnchor>
    <xdr:from>
      <xdr:col>8</xdr:col>
      <xdr:colOff>6350</xdr:colOff>
      <xdr:row>5240</xdr:row>
      <xdr:rowOff>25400</xdr:rowOff>
    </xdr:from>
    <xdr:to>
      <xdr:col>8</xdr:col>
      <xdr:colOff>885190</xdr:colOff>
      <xdr:row>5240</xdr:row>
      <xdr:rowOff>1209040</xdr:rowOff>
    </xdr:to>
    <xdr:pic>
      <xdr:nvPicPr>
        <xdr:cNvPr id="8350" name="Изображение 8349" descr="resizeПП-00218662"/>
        <xdr:cNvPicPr>
          <a:picLocks noChangeAspect="1"/>
        </xdr:cNvPicPr>
      </xdr:nvPicPr>
      <xdr:blipFill>
        <a:blip xmlns:r="http://schemas.openxmlformats.org/officeDocument/2006/relationships" r:embed="rId4025"/>
        <a:stretch>
          <a:fillRect/>
        </a:stretch>
      </xdr:blipFill>
      <xdr:spPr>
        <a:xfrm>
          <a:off x="7264400" y="5235549600"/>
          <a:ext cx="878840" cy="1183640"/>
        </a:xfrm>
        <a:prstGeom prst="rect">
          <a:avLst/>
        </a:prstGeom>
      </xdr:spPr>
    </xdr:pic>
    <xdr:clientData/>
  </xdr:twoCellAnchor>
  <xdr:twoCellAnchor>
    <xdr:from>
      <xdr:col>8</xdr:col>
      <xdr:colOff>6350</xdr:colOff>
      <xdr:row>5242</xdr:row>
      <xdr:rowOff>25400</xdr:rowOff>
    </xdr:from>
    <xdr:to>
      <xdr:col>8</xdr:col>
      <xdr:colOff>885190</xdr:colOff>
      <xdr:row>5242</xdr:row>
      <xdr:rowOff>1209040</xdr:rowOff>
    </xdr:to>
    <xdr:pic>
      <xdr:nvPicPr>
        <xdr:cNvPr id="8351" name="Изображение 8350" descr="resizeПП-00239199"/>
        <xdr:cNvPicPr>
          <a:picLocks noChangeAspect="1"/>
        </xdr:cNvPicPr>
      </xdr:nvPicPr>
      <xdr:blipFill>
        <a:blip xmlns:r="http://schemas.openxmlformats.org/officeDocument/2006/relationships" r:embed="rId4026"/>
        <a:stretch>
          <a:fillRect/>
        </a:stretch>
      </xdr:blipFill>
      <xdr:spPr>
        <a:xfrm>
          <a:off x="7264400" y="5236924375"/>
          <a:ext cx="878840" cy="1183640"/>
        </a:xfrm>
        <a:prstGeom prst="rect">
          <a:avLst/>
        </a:prstGeom>
      </xdr:spPr>
    </xdr:pic>
    <xdr:clientData/>
  </xdr:twoCellAnchor>
  <xdr:twoCellAnchor>
    <xdr:from>
      <xdr:col>8</xdr:col>
      <xdr:colOff>6350</xdr:colOff>
      <xdr:row>5244</xdr:row>
      <xdr:rowOff>25400</xdr:rowOff>
    </xdr:from>
    <xdr:to>
      <xdr:col>8</xdr:col>
      <xdr:colOff>885190</xdr:colOff>
      <xdr:row>5244</xdr:row>
      <xdr:rowOff>1209040</xdr:rowOff>
    </xdr:to>
    <xdr:pic>
      <xdr:nvPicPr>
        <xdr:cNvPr id="8352" name="Изображение 8351" descr="resizeПП-00225626"/>
        <xdr:cNvPicPr>
          <a:picLocks noChangeAspect="1"/>
        </xdr:cNvPicPr>
      </xdr:nvPicPr>
      <xdr:blipFill>
        <a:blip xmlns:r="http://schemas.openxmlformats.org/officeDocument/2006/relationships" r:embed="rId4027"/>
        <a:stretch>
          <a:fillRect/>
        </a:stretch>
      </xdr:blipFill>
      <xdr:spPr>
        <a:xfrm>
          <a:off x="7264400" y="5238299150"/>
          <a:ext cx="878840" cy="1183640"/>
        </a:xfrm>
        <a:prstGeom prst="rect">
          <a:avLst/>
        </a:prstGeom>
      </xdr:spPr>
    </xdr:pic>
    <xdr:clientData/>
  </xdr:twoCellAnchor>
  <xdr:twoCellAnchor>
    <xdr:from>
      <xdr:col>8</xdr:col>
      <xdr:colOff>6350</xdr:colOff>
      <xdr:row>5247</xdr:row>
      <xdr:rowOff>25400</xdr:rowOff>
    </xdr:from>
    <xdr:to>
      <xdr:col>8</xdr:col>
      <xdr:colOff>885190</xdr:colOff>
      <xdr:row>5247</xdr:row>
      <xdr:rowOff>1209040</xdr:rowOff>
    </xdr:to>
    <xdr:pic>
      <xdr:nvPicPr>
        <xdr:cNvPr id="8353" name="Изображение 8352" descr="resizeПП-00222869"/>
        <xdr:cNvPicPr>
          <a:picLocks noChangeAspect="1"/>
        </xdr:cNvPicPr>
      </xdr:nvPicPr>
      <xdr:blipFill>
        <a:blip xmlns:r="http://schemas.openxmlformats.org/officeDocument/2006/relationships" r:embed="rId4028"/>
        <a:stretch>
          <a:fillRect/>
        </a:stretch>
      </xdr:blipFill>
      <xdr:spPr>
        <a:xfrm>
          <a:off x="7264400" y="5239826325"/>
          <a:ext cx="878840" cy="1183640"/>
        </a:xfrm>
        <a:prstGeom prst="rect">
          <a:avLst/>
        </a:prstGeom>
      </xdr:spPr>
    </xdr:pic>
    <xdr:clientData/>
  </xdr:twoCellAnchor>
  <xdr:twoCellAnchor>
    <xdr:from>
      <xdr:col>8</xdr:col>
      <xdr:colOff>6350</xdr:colOff>
      <xdr:row>5248</xdr:row>
      <xdr:rowOff>25400</xdr:rowOff>
    </xdr:from>
    <xdr:to>
      <xdr:col>8</xdr:col>
      <xdr:colOff>885190</xdr:colOff>
      <xdr:row>5248</xdr:row>
      <xdr:rowOff>1209040</xdr:rowOff>
    </xdr:to>
    <xdr:pic>
      <xdr:nvPicPr>
        <xdr:cNvPr id="8354" name="Изображение 8353" descr="resizeПП-00222868"/>
        <xdr:cNvPicPr>
          <a:picLocks noChangeAspect="1"/>
        </xdr:cNvPicPr>
      </xdr:nvPicPr>
      <xdr:blipFill>
        <a:blip xmlns:r="http://schemas.openxmlformats.org/officeDocument/2006/relationships" r:embed="rId4029"/>
        <a:stretch>
          <a:fillRect/>
        </a:stretch>
      </xdr:blipFill>
      <xdr:spPr>
        <a:xfrm>
          <a:off x="7264400" y="5241048700"/>
          <a:ext cx="878840" cy="1183640"/>
        </a:xfrm>
        <a:prstGeom prst="rect">
          <a:avLst/>
        </a:prstGeom>
      </xdr:spPr>
    </xdr:pic>
    <xdr:clientData/>
  </xdr:twoCellAnchor>
  <xdr:twoCellAnchor>
    <xdr:from>
      <xdr:col>8</xdr:col>
      <xdr:colOff>6350</xdr:colOff>
      <xdr:row>5252</xdr:row>
      <xdr:rowOff>25400</xdr:rowOff>
    </xdr:from>
    <xdr:to>
      <xdr:col>8</xdr:col>
      <xdr:colOff>885190</xdr:colOff>
      <xdr:row>5252</xdr:row>
      <xdr:rowOff>1209040</xdr:rowOff>
    </xdr:to>
    <xdr:pic>
      <xdr:nvPicPr>
        <xdr:cNvPr id="8355" name="Изображение 8354" descr="resizeПП-00246313"/>
        <xdr:cNvPicPr>
          <a:picLocks noChangeAspect="1"/>
        </xdr:cNvPicPr>
      </xdr:nvPicPr>
      <xdr:blipFill>
        <a:blip xmlns:r="http://schemas.openxmlformats.org/officeDocument/2006/relationships" r:embed="rId4030"/>
        <a:stretch>
          <a:fillRect/>
        </a:stretch>
      </xdr:blipFill>
      <xdr:spPr>
        <a:xfrm>
          <a:off x="7264400" y="5242728275"/>
          <a:ext cx="878840" cy="1183640"/>
        </a:xfrm>
        <a:prstGeom prst="rect">
          <a:avLst/>
        </a:prstGeom>
      </xdr:spPr>
    </xdr:pic>
    <xdr:clientData/>
  </xdr:twoCellAnchor>
  <xdr:twoCellAnchor>
    <xdr:from>
      <xdr:col>8</xdr:col>
      <xdr:colOff>6350</xdr:colOff>
      <xdr:row>5253</xdr:row>
      <xdr:rowOff>25400</xdr:rowOff>
    </xdr:from>
    <xdr:to>
      <xdr:col>8</xdr:col>
      <xdr:colOff>885190</xdr:colOff>
      <xdr:row>5253</xdr:row>
      <xdr:rowOff>1209040</xdr:rowOff>
    </xdr:to>
    <xdr:pic>
      <xdr:nvPicPr>
        <xdr:cNvPr id="8356" name="Изображение 8355" descr="resizeПП-00246314"/>
        <xdr:cNvPicPr>
          <a:picLocks noChangeAspect="1"/>
        </xdr:cNvPicPr>
      </xdr:nvPicPr>
      <xdr:blipFill>
        <a:blip xmlns:r="http://schemas.openxmlformats.org/officeDocument/2006/relationships" r:embed="rId4031"/>
        <a:stretch>
          <a:fillRect/>
        </a:stretch>
      </xdr:blipFill>
      <xdr:spPr>
        <a:xfrm>
          <a:off x="7264400" y="5243950650"/>
          <a:ext cx="878840" cy="1183640"/>
        </a:xfrm>
        <a:prstGeom prst="rect">
          <a:avLst/>
        </a:prstGeom>
      </xdr:spPr>
    </xdr:pic>
    <xdr:clientData/>
  </xdr:twoCellAnchor>
  <xdr:twoCellAnchor>
    <xdr:from>
      <xdr:col>8</xdr:col>
      <xdr:colOff>6350</xdr:colOff>
      <xdr:row>5254</xdr:row>
      <xdr:rowOff>25400</xdr:rowOff>
    </xdr:from>
    <xdr:to>
      <xdr:col>8</xdr:col>
      <xdr:colOff>885190</xdr:colOff>
      <xdr:row>5254</xdr:row>
      <xdr:rowOff>1209040</xdr:rowOff>
    </xdr:to>
    <xdr:pic>
      <xdr:nvPicPr>
        <xdr:cNvPr id="8357" name="Изображение 8356" descr="resizeПП-00246315"/>
        <xdr:cNvPicPr>
          <a:picLocks noChangeAspect="1"/>
        </xdr:cNvPicPr>
      </xdr:nvPicPr>
      <xdr:blipFill>
        <a:blip xmlns:r="http://schemas.openxmlformats.org/officeDocument/2006/relationships" r:embed="rId4032"/>
        <a:stretch>
          <a:fillRect/>
        </a:stretch>
      </xdr:blipFill>
      <xdr:spPr>
        <a:xfrm>
          <a:off x="7264400" y="5245173025"/>
          <a:ext cx="878840" cy="1183640"/>
        </a:xfrm>
        <a:prstGeom prst="rect">
          <a:avLst/>
        </a:prstGeom>
      </xdr:spPr>
    </xdr:pic>
    <xdr:clientData/>
  </xdr:twoCellAnchor>
  <xdr:twoCellAnchor>
    <xdr:from>
      <xdr:col>8</xdr:col>
      <xdr:colOff>6350</xdr:colOff>
      <xdr:row>5255</xdr:row>
      <xdr:rowOff>25400</xdr:rowOff>
    </xdr:from>
    <xdr:to>
      <xdr:col>8</xdr:col>
      <xdr:colOff>885190</xdr:colOff>
      <xdr:row>5255</xdr:row>
      <xdr:rowOff>1209040</xdr:rowOff>
    </xdr:to>
    <xdr:pic>
      <xdr:nvPicPr>
        <xdr:cNvPr id="8358" name="Изображение 8357" descr="resizeПП-00246316"/>
        <xdr:cNvPicPr>
          <a:picLocks noChangeAspect="1"/>
        </xdr:cNvPicPr>
      </xdr:nvPicPr>
      <xdr:blipFill>
        <a:blip xmlns:r="http://schemas.openxmlformats.org/officeDocument/2006/relationships" r:embed="rId4033"/>
        <a:stretch>
          <a:fillRect/>
        </a:stretch>
      </xdr:blipFill>
      <xdr:spPr>
        <a:xfrm>
          <a:off x="7264400" y="5246395400"/>
          <a:ext cx="878840" cy="1183640"/>
        </a:xfrm>
        <a:prstGeom prst="rect">
          <a:avLst/>
        </a:prstGeom>
      </xdr:spPr>
    </xdr:pic>
    <xdr:clientData/>
  </xdr:twoCellAnchor>
  <xdr:twoCellAnchor>
    <xdr:from>
      <xdr:col>8</xdr:col>
      <xdr:colOff>6350</xdr:colOff>
      <xdr:row>5256</xdr:row>
      <xdr:rowOff>25400</xdr:rowOff>
    </xdr:from>
    <xdr:to>
      <xdr:col>8</xdr:col>
      <xdr:colOff>885190</xdr:colOff>
      <xdr:row>5256</xdr:row>
      <xdr:rowOff>1209040</xdr:rowOff>
    </xdr:to>
    <xdr:pic>
      <xdr:nvPicPr>
        <xdr:cNvPr id="8359" name="Изображение 8358" descr="resizeПП-00246317"/>
        <xdr:cNvPicPr>
          <a:picLocks noChangeAspect="1"/>
        </xdr:cNvPicPr>
      </xdr:nvPicPr>
      <xdr:blipFill>
        <a:blip xmlns:r="http://schemas.openxmlformats.org/officeDocument/2006/relationships" r:embed="rId4034"/>
        <a:stretch>
          <a:fillRect/>
        </a:stretch>
      </xdr:blipFill>
      <xdr:spPr>
        <a:xfrm>
          <a:off x="7264400" y="5247617775"/>
          <a:ext cx="878840" cy="1183640"/>
        </a:xfrm>
        <a:prstGeom prst="rect">
          <a:avLst/>
        </a:prstGeom>
      </xdr:spPr>
    </xdr:pic>
    <xdr:clientData/>
  </xdr:twoCellAnchor>
  <xdr:twoCellAnchor>
    <xdr:from>
      <xdr:col>8</xdr:col>
      <xdr:colOff>6350</xdr:colOff>
      <xdr:row>5257</xdr:row>
      <xdr:rowOff>25400</xdr:rowOff>
    </xdr:from>
    <xdr:to>
      <xdr:col>8</xdr:col>
      <xdr:colOff>885190</xdr:colOff>
      <xdr:row>5257</xdr:row>
      <xdr:rowOff>1209040</xdr:rowOff>
    </xdr:to>
    <xdr:pic>
      <xdr:nvPicPr>
        <xdr:cNvPr id="8360" name="Изображение 8359" descr="resizeПП-00227782"/>
        <xdr:cNvPicPr>
          <a:picLocks noChangeAspect="1"/>
        </xdr:cNvPicPr>
      </xdr:nvPicPr>
      <xdr:blipFill>
        <a:blip xmlns:r="http://schemas.openxmlformats.org/officeDocument/2006/relationships" r:embed="rId4035"/>
        <a:stretch>
          <a:fillRect/>
        </a:stretch>
      </xdr:blipFill>
      <xdr:spPr>
        <a:xfrm>
          <a:off x="7264400" y="5248840150"/>
          <a:ext cx="878840" cy="1183640"/>
        </a:xfrm>
        <a:prstGeom prst="rect">
          <a:avLst/>
        </a:prstGeom>
      </xdr:spPr>
    </xdr:pic>
    <xdr:clientData/>
  </xdr:twoCellAnchor>
  <xdr:twoCellAnchor>
    <xdr:from>
      <xdr:col>8</xdr:col>
      <xdr:colOff>6350</xdr:colOff>
      <xdr:row>5258</xdr:row>
      <xdr:rowOff>25400</xdr:rowOff>
    </xdr:from>
    <xdr:to>
      <xdr:col>8</xdr:col>
      <xdr:colOff>885190</xdr:colOff>
      <xdr:row>5258</xdr:row>
      <xdr:rowOff>1209040</xdr:rowOff>
    </xdr:to>
    <xdr:pic>
      <xdr:nvPicPr>
        <xdr:cNvPr id="8361" name="Изображение 8360" descr="resizeПП-00222863"/>
        <xdr:cNvPicPr>
          <a:picLocks noChangeAspect="1"/>
        </xdr:cNvPicPr>
      </xdr:nvPicPr>
      <xdr:blipFill>
        <a:blip xmlns:r="http://schemas.openxmlformats.org/officeDocument/2006/relationships" r:embed="rId4036"/>
        <a:stretch>
          <a:fillRect/>
        </a:stretch>
      </xdr:blipFill>
      <xdr:spPr>
        <a:xfrm>
          <a:off x="7264400" y="5250062525"/>
          <a:ext cx="878840" cy="1183640"/>
        </a:xfrm>
        <a:prstGeom prst="rect">
          <a:avLst/>
        </a:prstGeom>
      </xdr:spPr>
    </xdr:pic>
    <xdr:clientData/>
  </xdr:twoCellAnchor>
  <xdr:twoCellAnchor>
    <xdr:from>
      <xdr:col>8</xdr:col>
      <xdr:colOff>6350</xdr:colOff>
      <xdr:row>5259</xdr:row>
      <xdr:rowOff>25400</xdr:rowOff>
    </xdr:from>
    <xdr:to>
      <xdr:col>8</xdr:col>
      <xdr:colOff>885190</xdr:colOff>
      <xdr:row>5259</xdr:row>
      <xdr:rowOff>1209040</xdr:rowOff>
    </xdr:to>
    <xdr:pic>
      <xdr:nvPicPr>
        <xdr:cNvPr id="8362" name="Изображение 8361" descr="resizeПП-00222864"/>
        <xdr:cNvPicPr>
          <a:picLocks noChangeAspect="1"/>
        </xdr:cNvPicPr>
      </xdr:nvPicPr>
      <xdr:blipFill>
        <a:blip xmlns:r="http://schemas.openxmlformats.org/officeDocument/2006/relationships" r:embed="rId4037"/>
        <a:stretch>
          <a:fillRect/>
        </a:stretch>
      </xdr:blipFill>
      <xdr:spPr>
        <a:xfrm>
          <a:off x="7264400" y="5251284900"/>
          <a:ext cx="878840" cy="1183640"/>
        </a:xfrm>
        <a:prstGeom prst="rect">
          <a:avLst/>
        </a:prstGeom>
      </xdr:spPr>
    </xdr:pic>
    <xdr:clientData/>
  </xdr:twoCellAnchor>
  <xdr:twoCellAnchor>
    <xdr:from>
      <xdr:col>8</xdr:col>
      <xdr:colOff>6350</xdr:colOff>
      <xdr:row>5260</xdr:row>
      <xdr:rowOff>25400</xdr:rowOff>
    </xdr:from>
    <xdr:to>
      <xdr:col>8</xdr:col>
      <xdr:colOff>885190</xdr:colOff>
      <xdr:row>5260</xdr:row>
      <xdr:rowOff>1209040</xdr:rowOff>
    </xdr:to>
    <xdr:pic>
      <xdr:nvPicPr>
        <xdr:cNvPr id="8363" name="Изображение 8362" descr="resizeПП-00227783"/>
        <xdr:cNvPicPr>
          <a:picLocks noChangeAspect="1"/>
        </xdr:cNvPicPr>
      </xdr:nvPicPr>
      <xdr:blipFill>
        <a:blip xmlns:r="http://schemas.openxmlformats.org/officeDocument/2006/relationships" r:embed="rId4038"/>
        <a:stretch>
          <a:fillRect/>
        </a:stretch>
      </xdr:blipFill>
      <xdr:spPr>
        <a:xfrm>
          <a:off x="7264400" y="5252507275"/>
          <a:ext cx="878840" cy="1183640"/>
        </a:xfrm>
        <a:prstGeom prst="rect">
          <a:avLst/>
        </a:prstGeom>
      </xdr:spPr>
    </xdr:pic>
    <xdr:clientData/>
  </xdr:twoCellAnchor>
  <xdr:twoCellAnchor>
    <xdr:from>
      <xdr:col>8</xdr:col>
      <xdr:colOff>6350</xdr:colOff>
      <xdr:row>5261</xdr:row>
      <xdr:rowOff>25400</xdr:rowOff>
    </xdr:from>
    <xdr:to>
      <xdr:col>8</xdr:col>
      <xdr:colOff>885190</xdr:colOff>
      <xdr:row>5261</xdr:row>
      <xdr:rowOff>1209040</xdr:rowOff>
    </xdr:to>
    <xdr:pic>
      <xdr:nvPicPr>
        <xdr:cNvPr id="8364" name="Изображение 8363" descr="resizeПП-00246312"/>
        <xdr:cNvPicPr>
          <a:picLocks noChangeAspect="1"/>
        </xdr:cNvPicPr>
      </xdr:nvPicPr>
      <xdr:blipFill>
        <a:blip xmlns:r="http://schemas.openxmlformats.org/officeDocument/2006/relationships" r:embed="rId4039"/>
        <a:stretch>
          <a:fillRect/>
        </a:stretch>
      </xdr:blipFill>
      <xdr:spPr>
        <a:xfrm>
          <a:off x="7264400" y="5253729650"/>
          <a:ext cx="878840" cy="1183640"/>
        </a:xfrm>
        <a:prstGeom prst="rect">
          <a:avLst/>
        </a:prstGeom>
      </xdr:spPr>
    </xdr:pic>
    <xdr:clientData/>
  </xdr:twoCellAnchor>
  <xdr:twoCellAnchor>
    <xdr:from>
      <xdr:col>8</xdr:col>
      <xdr:colOff>6350</xdr:colOff>
      <xdr:row>5262</xdr:row>
      <xdr:rowOff>25400</xdr:rowOff>
    </xdr:from>
    <xdr:to>
      <xdr:col>8</xdr:col>
      <xdr:colOff>885190</xdr:colOff>
      <xdr:row>5262</xdr:row>
      <xdr:rowOff>1209040</xdr:rowOff>
    </xdr:to>
    <xdr:pic>
      <xdr:nvPicPr>
        <xdr:cNvPr id="8365" name="Изображение 8364" descr="resizeПП-00246308"/>
        <xdr:cNvPicPr>
          <a:picLocks noChangeAspect="1"/>
        </xdr:cNvPicPr>
      </xdr:nvPicPr>
      <xdr:blipFill>
        <a:blip xmlns:r="http://schemas.openxmlformats.org/officeDocument/2006/relationships" r:embed="rId4040"/>
        <a:stretch>
          <a:fillRect/>
        </a:stretch>
      </xdr:blipFill>
      <xdr:spPr>
        <a:xfrm>
          <a:off x="7264400" y="5254952025"/>
          <a:ext cx="878840" cy="1183640"/>
        </a:xfrm>
        <a:prstGeom prst="rect">
          <a:avLst/>
        </a:prstGeom>
      </xdr:spPr>
    </xdr:pic>
    <xdr:clientData/>
  </xdr:twoCellAnchor>
  <xdr:twoCellAnchor>
    <xdr:from>
      <xdr:col>8</xdr:col>
      <xdr:colOff>6350</xdr:colOff>
      <xdr:row>5263</xdr:row>
      <xdr:rowOff>25400</xdr:rowOff>
    </xdr:from>
    <xdr:to>
      <xdr:col>8</xdr:col>
      <xdr:colOff>885190</xdr:colOff>
      <xdr:row>5263</xdr:row>
      <xdr:rowOff>1209040</xdr:rowOff>
    </xdr:to>
    <xdr:pic>
      <xdr:nvPicPr>
        <xdr:cNvPr id="8366" name="Изображение 8365" descr="resizeПП-00246302"/>
        <xdr:cNvPicPr>
          <a:picLocks noChangeAspect="1"/>
        </xdr:cNvPicPr>
      </xdr:nvPicPr>
      <xdr:blipFill>
        <a:blip xmlns:r="http://schemas.openxmlformats.org/officeDocument/2006/relationships" r:embed="rId4041"/>
        <a:stretch>
          <a:fillRect/>
        </a:stretch>
      </xdr:blipFill>
      <xdr:spPr>
        <a:xfrm>
          <a:off x="7264400" y="5256174400"/>
          <a:ext cx="878840" cy="1183640"/>
        </a:xfrm>
        <a:prstGeom prst="rect">
          <a:avLst/>
        </a:prstGeom>
      </xdr:spPr>
    </xdr:pic>
    <xdr:clientData/>
  </xdr:twoCellAnchor>
  <xdr:twoCellAnchor>
    <xdr:from>
      <xdr:col>8</xdr:col>
      <xdr:colOff>6350</xdr:colOff>
      <xdr:row>5264</xdr:row>
      <xdr:rowOff>25400</xdr:rowOff>
    </xdr:from>
    <xdr:to>
      <xdr:col>8</xdr:col>
      <xdr:colOff>885190</xdr:colOff>
      <xdr:row>5264</xdr:row>
      <xdr:rowOff>1209040</xdr:rowOff>
    </xdr:to>
    <xdr:pic>
      <xdr:nvPicPr>
        <xdr:cNvPr id="8367" name="Изображение 8366" descr="resizeПП-00246295"/>
        <xdr:cNvPicPr>
          <a:picLocks noChangeAspect="1"/>
        </xdr:cNvPicPr>
      </xdr:nvPicPr>
      <xdr:blipFill>
        <a:blip xmlns:r="http://schemas.openxmlformats.org/officeDocument/2006/relationships" r:embed="rId4042"/>
        <a:stretch>
          <a:fillRect/>
        </a:stretch>
      </xdr:blipFill>
      <xdr:spPr>
        <a:xfrm>
          <a:off x="7264400" y="5257396775"/>
          <a:ext cx="878840" cy="1183640"/>
        </a:xfrm>
        <a:prstGeom prst="rect">
          <a:avLst/>
        </a:prstGeom>
      </xdr:spPr>
    </xdr:pic>
    <xdr:clientData/>
  </xdr:twoCellAnchor>
  <xdr:twoCellAnchor>
    <xdr:from>
      <xdr:col>8</xdr:col>
      <xdr:colOff>6350</xdr:colOff>
      <xdr:row>5265</xdr:row>
      <xdr:rowOff>25400</xdr:rowOff>
    </xdr:from>
    <xdr:to>
      <xdr:col>8</xdr:col>
      <xdr:colOff>885190</xdr:colOff>
      <xdr:row>5265</xdr:row>
      <xdr:rowOff>1209040</xdr:rowOff>
    </xdr:to>
    <xdr:pic>
      <xdr:nvPicPr>
        <xdr:cNvPr id="8368" name="Изображение 8367" descr="resizeПП-00246303"/>
        <xdr:cNvPicPr>
          <a:picLocks noChangeAspect="1"/>
        </xdr:cNvPicPr>
      </xdr:nvPicPr>
      <xdr:blipFill>
        <a:blip xmlns:r="http://schemas.openxmlformats.org/officeDocument/2006/relationships" r:embed="rId4043"/>
        <a:stretch>
          <a:fillRect/>
        </a:stretch>
      </xdr:blipFill>
      <xdr:spPr>
        <a:xfrm>
          <a:off x="7264400" y="5258619150"/>
          <a:ext cx="878840" cy="1183640"/>
        </a:xfrm>
        <a:prstGeom prst="rect">
          <a:avLst/>
        </a:prstGeom>
      </xdr:spPr>
    </xdr:pic>
    <xdr:clientData/>
  </xdr:twoCellAnchor>
  <xdr:twoCellAnchor>
    <xdr:from>
      <xdr:col>8</xdr:col>
      <xdr:colOff>6350</xdr:colOff>
      <xdr:row>5266</xdr:row>
      <xdr:rowOff>25400</xdr:rowOff>
    </xdr:from>
    <xdr:to>
      <xdr:col>8</xdr:col>
      <xdr:colOff>885190</xdr:colOff>
      <xdr:row>5266</xdr:row>
      <xdr:rowOff>1209040</xdr:rowOff>
    </xdr:to>
    <xdr:pic>
      <xdr:nvPicPr>
        <xdr:cNvPr id="8369" name="Изображение 8368" descr="resizeПП-00246292"/>
        <xdr:cNvPicPr>
          <a:picLocks noChangeAspect="1"/>
        </xdr:cNvPicPr>
      </xdr:nvPicPr>
      <xdr:blipFill>
        <a:blip xmlns:r="http://schemas.openxmlformats.org/officeDocument/2006/relationships" r:embed="rId4044"/>
        <a:stretch>
          <a:fillRect/>
        </a:stretch>
      </xdr:blipFill>
      <xdr:spPr>
        <a:xfrm>
          <a:off x="7264400" y="5259841525"/>
          <a:ext cx="878840" cy="1183640"/>
        </a:xfrm>
        <a:prstGeom prst="rect">
          <a:avLst/>
        </a:prstGeom>
      </xdr:spPr>
    </xdr:pic>
    <xdr:clientData/>
  </xdr:twoCellAnchor>
  <xdr:twoCellAnchor>
    <xdr:from>
      <xdr:col>8</xdr:col>
      <xdr:colOff>6350</xdr:colOff>
      <xdr:row>5267</xdr:row>
      <xdr:rowOff>25400</xdr:rowOff>
    </xdr:from>
    <xdr:to>
      <xdr:col>8</xdr:col>
      <xdr:colOff>885190</xdr:colOff>
      <xdr:row>5267</xdr:row>
      <xdr:rowOff>1209040</xdr:rowOff>
    </xdr:to>
    <xdr:pic>
      <xdr:nvPicPr>
        <xdr:cNvPr id="8370" name="Изображение 8369" descr="resizeПП-00246299"/>
        <xdr:cNvPicPr>
          <a:picLocks noChangeAspect="1"/>
        </xdr:cNvPicPr>
      </xdr:nvPicPr>
      <xdr:blipFill>
        <a:blip xmlns:r="http://schemas.openxmlformats.org/officeDocument/2006/relationships" r:embed="rId4045"/>
        <a:stretch>
          <a:fillRect/>
        </a:stretch>
      </xdr:blipFill>
      <xdr:spPr>
        <a:xfrm>
          <a:off x="7264400" y="5261063900"/>
          <a:ext cx="878840" cy="1183640"/>
        </a:xfrm>
        <a:prstGeom prst="rect">
          <a:avLst/>
        </a:prstGeom>
      </xdr:spPr>
    </xdr:pic>
    <xdr:clientData/>
  </xdr:twoCellAnchor>
  <xdr:twoCellAnchor>
    <xdr:from>
      <xdr:col>8</xdr:col>
      <xdr:colOff>6350</xdr:colOff>
      <xdr:row>5268</xdr:row>
      <xdr:rowOff>25400</xdr:rowOff>
    </xdr:from>
    <xdr:to>
      <xdr:col>8</xdr:col>
      <xdr:colOff>885190</xdr:colOff>
      <xdr:row>5268</xdr:row>
      <xdr:rowOff>1209040</xdr:rowOff>
    </xdr:to>
    <xdr:pic>
      <xdr:nvPicPr>
        <xdr:cNvPr id="8371" name="Изображение 8370" descr="resizeПП-00246301"/>
        <xdr:cNvPicPr>
          <a:picLocks noChangeAspect="1"/>
        </xdr:cNvPicPr>
      </xdr:nvPicPr>
      <xdr:blipFill>
        <a:blip xmlns:r="http://schemas.openxmlformats.org/officeDocument/2006/relationships" r:embed="rId4046"/>
        <a:stretch>
          <a:fillRect/>
        </a:stretch>
      </xdr:blipFill>
      <xdr:spPr>
        <a:xfrm>
          <a:off x="7264400" y="5262286275"/>
          <a:ext cx="878840" cy="1183640"/>
        </a:xfrm>
        <a:prstGeom prst="rect">
          <a:avLst/>
        </a:prstGeom>
      </xdr:spPr>
    </xdr:pic>
    <xdr:clientData/>
  </xdr:twoCellAnchor>
  <xdr:twoCellAnchor>
    <xdr:from>
      <xdr:col>8</xdr:col>
      <xdr:colOff>6350</xdr:colOff>
      <xdr:row>5269</xdr:row>
      <xdr:rowOff>25400</xdr:rowOff>
    </xdr:from>
    <xdr:to>
      <xdr:col>8</xdr:col>
      <xdr:colOff>885190</xdr:colOff>
      <xdr:row>5269</xdr:row>
      <xdr:rowOff>1209040</xdr:rowOff>
    </xdr:to>
    <xdr:pic>
      <xdr:nvPicPr>
        <xdr:cNvPr id="8372" name="Изображение 8371" descr="resizeПП-00246304"/>
        <xdr:cNvPicPr>
          <a:picLocks noChangeAspect="1"/>
        </xdr:cNvPicPr>
      </xdr:nvPicPr>
      <xdr:blipFill>
        <a:blip xmlns:r="http://schemas.openxmlformats.org/officeDocument/2006/relationships" r:embed="rId4047"/>
        <a:stretch>
          <a:fillRect/>
        </a:stretch>
      </xdr:blipFill>
      <xdr:spPr>
        <a:xfrm>
          <a:off x="7264400" y="5263508650"/>
          <a:ext cx="878840" cy="1183640"/>
        </a:xfrm>
        <a:prstGeom prst="rect">
          <a:avLst/>
        </a:prstGeom>
      </xdr:spPr>
    </xdr:pic>
    <xdr:clientData/>
  </xdr:twoCellAnchor>
  <xdr:twoCellAnchor>
    <xdr:from>
      <xdr:col>8</xdr:col>
      <xdr:colOff>6350</xdr:colOff>
      <xdr:row>5270</xdr:row>
      <xdr:rowOff>25400</xdr:rowOff>
    </xdr:from>
    <xdr:to>
      <xdr:col>8</xdr:col>
      <xdr:colOff>885190</xdr:colOff>
      <xdr:row>5270</xdr:row>
      <xdr:rowOff>1209040</xdr:rowOff>
    </xdr:to>
    <xdr:pic>
      <xdr:nvPicPr>
        <xdr:cNvPr id="8373" name="Изображение 8372" descr="resizeПП-00246306"/>
        <xdr:cNvPicPr>
          <a:picLocks noChangeAspect="1"/>
        </xdr:cNvPicPr>
      </xdr:nvPicPr>
      <xdr:blipFill>
        <a:blip xmlns:r="http://schemas.openxmlformats.org/officeDocument/2006/relationships" r:embed="rId4048"/>
        <a:stretch>
          <a:fillRect/>
        </a:stretch>
      </xdr:blipFill>
      <xdr:spPr>
        <a:xfrm>
          <a:off x="7264400" y="5264731025"/>
          <a:ext cx="878840" cy="1183640"/>
        </a:xfrm>
        <a:prstGeom prst="rect">
          <a:avLst/>
        </a:prstGeom>
      </xdr:spPr>
    </xdr:pic>
    <xdr:clientData/>
  </xdr:twoCellAnchor>
  <xdr:twoCellAnchor>
    <xdr:from>
      <xdr:col>8</xdr:col>
      <xdr:colOff>6350</xdr:colOff>
      <xdr:row>5271</xdr:row>
      <xdr:rowOff>25400</xdr:rowOff>
    </xdr:from>
    <xdr:to>
      <xdr:col>8</xdr:col>
      <xdr:colOff>885190</xdr:colOff>
      <xdr:row>5271</xdr:row>
      <xdr:rowOff>1209040</xdr:rowOff>
    </xdr:to>
    <xdr:pic>
      <xdr:nvPicPr>
        <xdr:cNvPr id="8374" name="Изображение 8373" descr="resizeПП-00246307"/>
        <xdr:cNvPicPr>
          <a:picLocks noChangeAspect="1"/>
        </xdr:cNvPicPr>
      </xdr:nvPicPr>
      <xdr:blipFill>
        <a:blip xmlns:r="http://schemas.openxmlformats.org/officeDocument/2006/relationships" r:embed="rId4049"/>
        <a:stretch>
          <a:fillRect/>
        </a:stretch>
      </xdr:blipFill>
      <xdr:spPr>
        <a:xfrm>
          <a:off x="7264400" y="5265953400"/>
          <a:ext cx="878840" cy="1183640"/>
        </a:xfrm>
        <a:prstGeom prst="rect">
          <a:avLst/>
        </a:prstGeom>
      </xdr:spPr>
    </xdr:pic>
    <xdr:clientData/>
  </xdr:twoCellAnchor>
  <xdr:twoCellAnchor>
    <xdr:from>
      <xdr:col>8</xdr:col>
      <xdr:colOff>6350</xdr:colOff>
      <xdr:row>5272</xdr:row>
      <xdr:rowOff>25400</xdr:rowOff>
    </xdr:from>
    <xdr:to>
      <xdr:col>8</xdr:col>
      <xdr:colOff>885190</xdr:colOff>
      <xdr:row>5272</xdr:row>
      <xdr:rowOff>1209040</xdr:rowOff>
    </xdr:to>
    <xdr:pic>
      <xdr:nvPicPr>
        <xdr:cNvPr id="8375" name="Изображение 8374" descr="resizeПП-00222861"/>
        <xdr:cNvPicPr>
          <a:picLocks noChangeAspect="1"/>
        </xdr:cNvPicPr>
      </xdr:nvPicPr>
      <xdr:blipFill>
        <a:blip xmlns:r="http://schemas.openxmlformats.org/officeDocument/2006/relationships" r:embed="rId4050"/>
        <a:stretch>
          <a:fillRect/>
        </a:stretch>
      </xdr:blipFill>
      <xdr:spPr>
        <a:xfrm>
          <a:off x="7264400" y="5267175775"/>
          <a:ext cx="878840" cy="1183640"/>
        </a:xfrm>
        <a:prstGeom prst="rect">
          <a:avLst/>
        </a:prstGeom>
      </xdr:spPr>
    </xdr:pic>
    <xdr:clientData/>
  </xdr:twoCellAnchor>
  <xdr:twoCellAnchor>
    <xdr:from>
      <xdr:col>8</xdr:col>
      <xdr:colOff>6350</xdr:colOff>
      <xdr:row>5273</xdr:row>
      <xdr:rowOff>25400</xdr:rowOff>
    </xdr:from>
    <xdr:to>
      <xdr:col>8</xdr:col>
      <xdr:colOff>885190</xdr:colOff>
      <xdr:row>5273</xdr:row>
      <xdr:rowOff>1209040</xdr:rowOff>
    </xdr:to>
    <xdr:pic>
      <xdr:nvPicPr>
        <xdr:cNvPr id="8376" name="Изображение 8375" descr="resizeПП-00222862"/>
        <xdr:cNvPicPr>
          <a:picLocks noChangeAspect="1"/>
        </xdr:cNvPicPr>
      </xdr:nvPicPr>
      <xdr:blipFill>
        <a:blip xmlns:r="http://schemas.openxmlformats.org/officeDocument/2006/relationships" r:embed="rId4051"/>
        <a:stretch>
          <a:fillRect/>
        </a:stretch>
      </xdr:blipFill>
      <xdr:spPr>
        <a:xfrm>
          <a:off x="7264400" y="5268398150"/>
          <a:ext cx="878840" cy="1183640"/>
        </a:xfrm>
        <a:prstGeom prst="rect">
          <a:avLst/>
        </a:prstGeom>
      </xdr:spPr>
    </xdr:pic>
    <xdr:clientData/>
  </xdr:twoCellAnchor>
  <xdr:twoCellAnchor>
    <xdr:from>
      <xdr:col>8</xdr:col>
      <xdr:colOff>6350</xdr:colOff>
      <xdr:row>5274</xdr:row>
      <xdr:rowOff>25400</xdr:rowOff>
    </xdr:from>
    <xdr:to>
      <xdr:col>8</xdr:col>
      <xdr:colOff>885190</xdr:colOff>
      <xdr:row>5274</xdr:row>
      <xdr:rowOff>1209040</xdr:rowOff>
    </xdr:to>
    <xdr:pic>
      <xdr:nvPicPr>
        <xdr:cNvPr id="8377" name="Изображение 8376" descr="resizeПП-00222866"/>
        <xdr:cNvPicPr>
          <a:picLocks noChangeAspect="1"/>
        </xdr:cNvPicPr>
      </xdr:nvPicPr>
      <xdr:blipFill>
        <a:blip xmlns:r="http://schemas.openxmlformats.org/officeDocument/2006/relationships" r:embed="rId4052"/>
        <a:stretch>
          <a:fillRect/>
        </a:stretch>
      </xdr:blipFill>
      <xdr:spPr>
        <a:xfrm>
          <a:off x="7264400" y="5269620525"/>
          <a:ext cx="878840" cy="1183640"/>
        </a:xfrm>
        <a:prstGeom prst="rect">
          <a:avLst/>
        </a:prstGeom>
      </xdr:spPr>
    </xdr:pic>
    <xdr:clientData/>
  </xdr:twoCellAnchor>
  <xdr:twoCellAnchor>
    <xdr:from>
      <xdr:col>8</xdr:col>
      <xdr:colOff>6350</xdr:colOff>
      <xdr:row>5275</xdr:row>
      <xdr:rowOff>25400</xdr:rowOff>
    </xdr:from>
    <xdr:to>
      <xdr:col>8</xdr:col>
      <xdr:colOff>885190</xdr:colOff>
      <xdr:row>5275</xdr:row>
      <xdr:rowOff>1209040</xdr:rowOff>
    </xdr:to>
    <xdr:pic>
      <xdr:nvPicPr>
        <xdr:cNvPr id="8378" name="Изображение 8377" descr="resizeПП-00222865"/>
        <xdr:cNvPicPr>
          <a:picLocks noChangeAspect="1"/>
        </xdr:cNvPicPr>
      </xdr:nvPicPr>
      <xdr:blipFill>
        <a:blip xmlns:r="http://schemas.openxmlformats.org/officeDocument/2006/relationships" r:embed="rId4053"/>
        <a:stretch>
          <a:fillRect/>
        </a:stretch>
      </xdr:blipFill>
      <xdr:spPr>
        <a:xfrm>
          <a:off x="7264400" y="5270842900"/>
          <a:ext cx="878840" cy="1183640"/>
        </a:xfrm>
        <a:prstGeom prst="rect">
          <a:avLst/>
        </a:prstGeom>
      </xdr:spPr>
    </xdr:pic>
    <xdr:clientData/>
  </xdr:twoCellAnchor>
  <xdr:twoCellAnchor>
    <xdr:from>
      <xdr:col>8</xdr:col>
      <xdr:colOff>6350</xdr:colOff>
      <xdr:row>5276</xdr:row>
      <xdr:rowOff>25400</xdr:rowOff>
    </xdr:from>
    <xdr:to>
      <xdr:col>8</xdr:col>
      <xdr:colOff>885190</xdr:colOff>
      <xdr:row>5276</xdr:row>
      <xdr:rowOff>1209040</xdr:rowOff>
    </xdr:to>
    <xdr:pic>
      <xdr:nvPicPr>
        <xdr:cNvPr id="8379" name="Изображение 8378" descr="resizeПП-00222859"/>
        <xdr:cNvPicPr>
          <a:picLocks noChangeAspect="1"/>
        </xdr:cNvPicPr>
      </xdr:nvPicPr>
      <xdr:blipFill>
        <a:blip xmlns:r="http://schemas.openxmlformats.org/officeDocument/2006/relationships" r:embed="rId4054"/>
        <a:stretch>
          <a:fillRect/>
        </a:stretch>
      </xdr:blipFill>
      <xdr:spPr>
        <a:xfrm>
          <a:off x="7264400" y="5272065275"/>
          <a:ext cx="878840" cy="1183640"/>
        </a:xfrm>
        <a:prstGeom prst="rect">
          <a:avLst/>
        </a:prstGeom>
      </xdr:spPr>
    </xdr:pic>
    <xdr:clientData/>
  </xdr:twoCellAnchor>
  <xdr:twoCellAnchor>
    <xdr:from>
      <xdr:col>8</xdr:col>
      <xdr:colOff>6350</xdr:colOff>
      <xdr:row>5277</xdr:row>
      <xdr:rowOff>25400</xdr:rowOff>
    </xdr:from>
    <xdr:to>
      <xdr:col>8</xdr:col>
      <xdr:colOff>885190</xdr:colOff>
      <xdr:row>5277</xdr:row>
      <xdr:rowOff>1209040</xdr:rowOff>
    </xdr:to>
    <xdr:pic>
      <xdr:nvPicPr>
        <xdr:cNvPr id="8380" name="Изображение 8379" descr="resizeПП-00222860"/>
        <xdr:cNvPicPr>
          <a:picLocks noChangeAspect="1"/>
        </xdr:cNvPicPr>
      </xdr:nvPicPr>
      <xdr:blipFill>
        <a:blip xmlns:r="http://schemas.openxmlformats.org/officeDocument/2006/relationships" r:embed="rId4055"/>
        <a:stretch>
          <a:fillRect/>
        </a:stretch>
      </xdr:blipFill>
      <xdr:spPr>
        <a:xfrm>
          <a:off x="7264400" y="5273287650"/>
          <a:ext cx="878840" cy="1183640"/>
        </a:xfrm>
        <a:prstGeom prst="rect">
          <a:avLst/>
        </a:prstGeom>
      </xdr:spPr>
    </xdr:pic>
    <xdr:clientData/>
  </xdr:twoCellAnchor>
  <xdr:twoCellAnchor>
    <xdr:from>
      <xdr:col>8</xdr:col>
      <xdr:colOff>6350</xdr:colOff>
      <xdr:row>5278</xdr:row>
      <xdr:rowOff>25400</xdr:rowOff>
    </xdr:from>
    <xdr:to>
      <xdr:col>8</xdr:col>
      <xdr:colOff>885190</xdr:colOff>
      <xdr:row>5278</xdr:row>
      <xdr:rowOff>1209040</xdr:rowOff>
    </xdr:to>
    <xdr:pic>
      <xdr:nvPicPr>
        <xdr:cNvPr id="8381" name="Изображение 8380" descr="resizeПП-00227779"/>
        <xdr:cNvPicPr>
          <a:picLocks noChangeAspect="1"/>
        </xdr:cNvPicPr>
      </xdr:nvPicPr>
      <xdr:blipFill>
        <a:blip xmlns:r="http://schemas.openxmlformats.org/officeDocument/2006/relationships" r:embed="rId4056"/>
        <a:stretch>
          <a:fillRect/>
        </a:stretch>
      </xdr:blipFill>
      <xdr:spPr>
        <a:xfrm>
          <a:off x="7264400" y="5274510025"/>
          <a:ext cx="878840" cy="1183640"/>
        </a:xfrm>
        <a:prstGeom prst="rect">
          <a:avLst/>
        </a:prstGeom>
      </xdr:spPr>
    </xdr:pic>
    <xdr:clientData/>
  </xdr:twoCellAnchor>
  <xdr:twoCellAnchor>
    <xdr:from>
      <xdr:col>8</xdr:col>
      <xdr:colOff>6350</xdr:colOff>
      <xdr:row>5279</xdr:row>
      <xdr:rowOff>25400</xdr:rowOff>
    </xdr:from>
    <xdr:to>
      <xdr:col>8</xdr:col>
      <xdr:colOff>885190</xdr:colOff>
      <xdr:row>5279</xdr:row>
      <xdr:rowOff>1209040</xdr:rowOff>
    </xdr:to>
    <xdr:pic>
      <xdr:nvPicPr>
        <xdr:cNvPr id="8382" name="Изображение 8381" descr="resizeПП-00246319"/>
        <xdr:cNvPicPr>
          <a:picLocks noChangeAspect="1"/>
        </xdr:cNvPicPr>
      </xdr:nvPicPr>
      <xdr:blipFill>
        <a:blip xmlns:r="http://schemas.openxmlformats.org/officeDocument/2006/relationships" r:embed="rId4057"/>
        <a:stretch>
          <a:fillRect/>
        </a:stretch>
      </xdr:blipFill>
      <xdr:spPr>
        <a:xfrm>
          <a:off x="7264400" y="5275732400"/>
          <a:ext cx="878840" cy="1183640"/>
        </a:xfrm>
        <a:prstGeom prst="rect">
          <a:avLst/>
        </a:prstGeom>
      </xdr:spPr>
    </xdr:pic>
    <xdr:clientData/>
  </xdr:twoCellAnchor>
  <xdr:twoCellAnchor>
    <xdr:from>
      <xdr:col>8</xdr:col>
      <xdr:colOff>6350</xdr:colOff>
      <xdr:row>5281</xdr:row>
      <xdr:rowOff>25400</xdr:rowOff>
    </xdr:from>
    <xdr:to>
      <xdr:col>8</xdr:col>
      <xdr:colOff>885190</xdr:colOff>
      <xdr:row>5281</xdr:row>
      <xdr:rowOff>1209040</xdr:rowOff>
    </xdr:to>
    <xdr:pic>
      <xdr:nvPicPr>
        <xdr:cNvPr id="8383" name="Изображение 8382" descr="resizeПП-00246335"/>
        <xdr:cNvPicPr>
          <a:picLocks noChangeAspect="1"/>
        </xdr:cNvPicPr>
      </xdr:nvPicPr>
      <xdr:blipFill>
        <a:blip xmlns:r="http://schemas.openxmlformats.org/officeDocument/2006/relationships" r:embed="rId4058"/>
        <a:stretch>
          <a:fillRect/>
        </a:stretch>
      </xdr:blipFill>
      <xdr:spPr>
        <a:xfrm>
          <a:off x="7264400" y="5277107175"/>
          <a:ext cx="878840" cy="1183640"/>
        </a:xfrm>
        <a:prstGeom prst="rect">
          <a:avLst/>
        </a:prstGeom>
      </xdr:spPr>
    </xdr:pic>
    <xdr:clientData/>
  </xdr:twoCellAnchor>
  <xdr:twoCellAnchor>
    <xdr:from>
      <xdr:col>8</xdr:col>
      <xdr:colOff>6350</xdr:colOff>
      <xdr:row>5282</xdr:row>
      <xdr:rowOff>25400</xdr:rowOff>
    </xdr:from>
    <xdr:to>
      <xdr:col>8</xdr:col>
      <xdr:colOff>885190</xdr:colOff>
      <xdr:row>5282</xdr:row>
      <xdr:rowOff>1209040</xdr:rowOff>
    </xdr:to>
    <xdr:pic>
      <xdr:nvPicPr>
        <xdr:cNvPr id="8384" name="Изображение 8383" descr="resizeПП-00246336"/>
        <xdr:cNvPicPr>
          <a:picLocks noChangeAspect="1"/>
        </xdr:cNvPicPr>
      </xdr:nvPicPr>
      <xdr:blipFill>
        <a:blip xmlns:r="http://schemas.openxmlformats.org/officeDocument/2006/relationships" r:embed="rId4059"/>
        <a:stretch>
          <a:fillRect/>
        </a:stretch>
      </xdr:blipFill>
      <xdr:spPr>
        <a:xfrm>
          <a:off x="7264400" y="5278329550"/>
          <a:ext cx="878840" cy="1183640"/>
        </a:xfrm>
        <a:prstGeom prst="rect">
          <a:avLst/>
        </a:prstGeom>
      </xdr:spPr>
    </xdr:pic>
    <xdr:clientData/>
  </xdr:twoCellAnchor>
  <xdr:twoCellAnchor>
    <xdr:from>
      <xdr:col>8</xdr:col>
      <xdr:colOff>6350</xdr:colOff>
      <xdr:row>5283</xdr:row>
      <xdr:rowOff>25400</xdr:rowOff>
    </xdr:from>
    <xdr:to>
      <xdr:col>8</xdr:col>
      <xdr:colOff>885190</xdr:colOff>
      <xdr:row>5283</xdr:row>
      <xdr:rowOff>1209040</xdr:rowOff>
    </xdr:to>
    <xdr:pic>
      <xdr:nvPicPr>
        <xdr:cNvPr id="8385" name="Изображение 8384" descr="resizeПП-00246325"/>
        <xdr:cNvPicPr>
          <a:picLocks noChangeAspect="1"/>
        </xdr:cNvPicPr>
      </xdr:nvPicPr>
      <xdr:blipFill>
        <a:blip xmlns:r="http://schemas.openxmlformats.org/officeDocument/2006/relationships" r:embed="rId4060"/>
        <a:stretch>
          <a:fillRect/>
        </a:stretch>
      </xdr:blipFill>
      <xdr:spPr>
        <a:xfrm>
          <a:off x="7264400" y="5279551925"/>
          <a:ext cx="878840" cy="1183640"/>
        </a:xfrm>
        <a:prstGeom prst="rect">
          <a:avLst/>
        </a:prstGeom>
      </xdr:spPr>
    </xdr:pic>
    <xdr:clientData/>
  </xdr:twoCellAnchor>
  <xdr:twoCellAnchor>
    <xdr:from>
      <xdr:col>8</xdr:col>
      <xdr:colOff>6350</xdr:colOff>
      <xdr:row>5284</xdr:row>
      <xdr:rowOff>25400</xdr:rowOff>
    </xdr:from>
    <xdr:to>
      <xdr:col>8</xdr:col>
      <xdr:colOff>885190</xdr:colOff>
      <xdr:row>5284</xdr:row>
      <xdr:rowOff>1209040</xdr:rowOff>
    </xdr:to>
    <xdr:pic>
      <xdr:nvPicPr>
        <xdr:cNvPr id="8386" name="Изображение 8385" descr="resizeПП-00246331"/>
        <xdr:cNvPicPr>
          <a:picLocks noChangeAspect="1"/>
        </xdr:cNvPicPr>
      </xdr:nvPicPr>
      <xdr:blipFill>
        <a:blip xmlns:r="http://schemas.openxmlformats.org/officeDocument/2006/relationships" r:embed="rId4061"/>
        <a:stretch>
          <a:fillRect/>
        </a:stretch>
      </xdr:blipFill>
      <xdr:spPr>
        <a:xfrm>
          <a:off x="7264400" y="5280774300"/>
          <a:ext cx="878840" cy="1183640"/>
        </a:xfrm>
        <a:prstGeom prst="rect">
          <a:avLst/>
        </a:prstGeom>
      </xdr:spPr>
    </xdr:pic>
    <xdr:clientData/>
  </xdr:twoCellAnchor>
  <xdr:twoCellAnchor>
    <xdr:from>
      <xdr:col>8</xdr:col>
      <xdr:colOff>6350</xdr:colOff>
      <xdr:row>5285</xdr:row>
      <xdr:rowOff>25400</xdr:rowOff>
    </xdr:from>
    <xdr:to>
      <xdr:col>8</xdr:col>
      <xdr:colOff>885190</xdr:colOff>
      <xdr:row>5285</xdr:row>
      <xdr:rowOff>1209040</xdr:rowOff>
    </xdr:to>
    <xdr:pic>
      <xdr:nvPicPr>
        <xdr:cNvPr id="8387" name="Изображение 8386" descr="resizeПП-00246333"/>
        <xdr:cNvPicPr>
          <a:picLocks noChangeAspect="1"/>
        </xdr:cNvPicPr>
      </xdr:nvPicPr>
      <xdr:blipFill>
        <a:blip xmlns:r="http://schemas.openxmlformats.org/officeDocument/2006/relationships" r:embed="rId4062"/>
        <a:stretch>
          <a:fillRect/>
        </a:stretch>
      </xdr:blipFill>
      <xdr:spPr>
        <a:xfrm>
          <a:off x="7264400" y="5281996675"/>
          <a:ext cx="878840" cy="1183640"/>
        </a:xfrm>
        <a:prstGeom prst="rect">
          <a:avLst/>
        </a:prstGeom>
      </xdr:spPr>
    </xdr:pic>
    <xdr:clientData/>
  </xdr:twoCellAnchor>
  <xdr:twoCellAnchor>
    <xdr:from>
      <xdr:col>8</xdr:col>
      <xdr:colOff>6350</xdr:colOff>
      <xdr:row>5286</xdr:row>
      <xdr:rowOff>25400</xdr:rowOff>
    </xdr:from>
    <xdr:to>
      <xdr:col>8</xdr:col>
      <xdr:colOff>885190</xdr:colOff>
      <xdr:row>5286</xdr:row>
      <xdr:rowOff>1209040</xdr:rowOff>
    </xdr:to>
    <xdr:pic>
      <xdr:nvPicPr>
        <xdr:cNvPr id="8388" name="Изображение 8387" descr="resizeПП-00246334"/>
        <xdr:cNvPicPr>
          <a:picLocks noChangeAspect="1"/>
        </xdr:cNvPicPr>
      </xdr:nvPicPr>
      <xdr:blipFill>
        <a:blip xmlns:r="http://schemas.openxmlformats.org/officeDocument/2006/relationships" r:embed="rId4062"/>
        <a:stretch>
          <a:fillRect/>
        </a:stretch>
      </xdr:blipFill>
      <xdr:spPr>
        <a:xfrm>
          <a:off x="7264400" y="5283219050"/>
          <a:ext cx="878840" cy="1183640"/>
        </a:xfrm>
        <a:prstGeom prst="rect">
          <a:avLst/>
        </a:prstGeom>
      </xdr:spPr>
    </xdr:pic>
    <xdr:clientData/>
  </xdr:twoCellAnchor>
  <xdr:twoCellAnchor>
    <xdr:from>
      <xdr:col>8</xdr:col>
      <xdr:colOff>6350</xdr:colOff>
      <xdr:row>5287</xdr:row>
      <xdr:rowOff>25400</xdr:rowOff>
    </xdr:from>
    <xdr:to>
      <xdr:col>8</xdr:col>
      <xdr:colOff>885190</xdr:colOff>
      <xdr:row>5287</xdr:row>
      <xdr:rowOff>1209040</xdr:rowOff>
    </xdr:to>
    <xdr:pic>
      <xdr:nvPicPr>
        <xdr:cNvPr id="8389" name="Изображение 8388" descr="resizeПП-00246332"/>
        <xdr:cNvPicPr>
          <a:picLocks noChangeAspect="1"/>
        </xdr:cNvPicPr>
      </xdr:nvPicPr>
      <xdr:blipFill>
        <a:blip xmlns:r="http://schemas.openxmlformats.org/officeDocument/2006/relationships" r:embed="rId4061"/>
        <a:stretch>
          <a:fillRect/>
        </a:stretch>
      </xdr:blipFill>
      <xdr:spPr>
        <a:xfrm>
          <a:off x="7264400" y="5284441425"/>
          <a:ext cx="878840" cy="1183640"/>
        </a:xfrm>
        <a:prstGeom prst="rect">
          <a:avLst/>
        </a:prstGeom>
      </xdr:spPr>
    </xdr:pic>
    <xdr:clientData/>
  </xdr:twoCellAnchor>
  <xdr:twoCellAnchor>
    <xdr:from>
      <xdr:col>8</xdr:col>
      <xdr:colOff>6350</xdr:colOff>
      <xdr:row>5288</xdr:row>
      <xdr:rowOff>25400</xdr:rowOff>
    </xdr:from>
    <xdr:to>
      <xdr:col>8</xdr:col>
      <xdr:colOff>885190</xdr:colOff>
      <xdr:row>5288</xdr:row>
      <xdr:rowOff>1209040</xdr:rowOff>
    </xdr:to>
    <xdr:pic>
      <xdr:nvPicPr>
        <xdr:cNvPr id="8390" name="Изображение 8389" descr="resizeПП-00246320"/>
        <xdr:cNvPicPr>
          <a:picLocks noChangeAspect="1"/>
        </xdr:cNvPicPr>
      </xdr:nvPicPr>
      <xdr:blipFill>
        <a:blip xmlns:r="http://schemas.openxmlformats.org/officeDocument/2006/relationships" r:embed="rId4063"/>
        <a:stretch>
          <a:fillRect/>
        </a:stretch>
      </xdr:blipFill>
      <xdr:spPr>
        <a:xfrm>
          <a:off x="7264400" y="5285663800"/>
          <a:ext cx="878840" cy="1183640"/>
        </a:xfrm>
        <a:prstGeom prst="rect">
          <a:avLst/>
        </a:prstGeom>
      </xdr:spPr>
    </xdr:pic>
    <xdr:clientData/>
  </xdr:twoCellAnchor>
  <xdr:twoCellAnchor>
    <xdr:from>
      <xdr:col>8</xdr:col>
      <xdr:colOff>6350</xdr:colOff>
      <xdr:row>5289</xdr:row>
      <xdr:rowOff>25400</xdr:rowOff>
    </xdr:from>
    <xdr:to>
      <xdr:col>8</xdr:col>
      <xdr:colOff>885190</xdr:colOff>
      <xdr:row>5289</xdr:row>
      <xdr:rowOff>1209040</xdr:rowOff>
    </xdr:to>
    <xdr:pic>
      <xdr:nvPicPr>
        <xdr:cNvPr id="8391" name="Изображение 8390" descr="resizeПП-00246328"/>
        <xdr:cNvPicPr>
          <a:picLocks noChangeAspect="1"/>
        </xdr:cNvPicPr>
      </xdr:nvPicPr>
      <xdr:blipFill>
        <a:blip xmlns:r="http://schemas.openxmlformats.org/officeDocument/2006/relationships" r:embed="rId4064"/>
        <a:stretch>
          <a:fillRect/>
        </a:stretch>
      </xdr:blipFill>
      <xdr:spPr>
        <a:xfrm>
          <a:off x="7264400" y="5286886175"/>
          <a:ext cx="878840" cy="1183640"/>
        </a:xfrm>
        <a:prstGeom prst="rect">
          <a:avLst/>
        </a:prstGeom>
      </xdr:spPr>
    </xdr:pic>
    <xdr:clientData/>
  </xdr:twoCellAnchor>
  <xdr:twoCellAnchor>
    <xdr:from>
      <xdr:col>8</xdr:col>
      <xdr:colOff>6350</xdr:colOff>
      <xdr:row>5290</xdr:row>
      <xdr:rowOff>25400</xdr:rowOff>
    </xdr:from>
    <xdr:to>
      <xdr:col>8</xdr:col>
      <xdr:colOff>885190</xdr:colOff>
      <xdr:row>5290</xdr:row>
      <xdr:rowOff>1209040</xdr:rowOff>
    </xdr:to>
    <xdr:pic>
      <xdr:nvPicPr>
        <xdr:cNvPr id="8392" name="Изображение 8391" descr="resizeПП-00246327"/>
        <xdr:cNvPicPr>
          <a:picLocks noChangeAspect="1"/>
        </xdr:cNvPicPr>
      </xdr:nvPicPr>
      <xdr:blipFill>
        <a:blip xmlns:r="http://schemas.openxmlformats.org/officeDocument/2006/relationships" r:embed="rId4065"/>
        <a:stretch>
          <a:fillRect/>
        </a:stretch>
      </xdr:blipFill>
      <xdr:spPr>
        <a:xfrm>
          <a:off x="7264400" y="5288108550"/>
          <a:ext cx="878840" cy="1183640"/>
        </a:xfrm>
        <a:prstGeom prst="rect">
          <a:avLst/>
        </a:prstGeom>
      </xdr:spPr>
    </xdr:pic>
    <xdr:clientData/>
  </xdr:twoCellAnchor>
  <xdr:twoCellAnchor>
    <xdr:from>
      <xdr:col>8</xdr:col>
      <xdr:colOff>6350</xdr:colOff>
      <xdr:row>5291</xdr:row>
      <xdr:rowOff>25400</xdr:rowOff>
    </xdr:from>
    <xdr:to>
      <xdr:col>8</xdr:col>
      <xdr:colOff>885190</xdr:colOff>
      <xdr:row>5291</xdr:row>
      <xdr:rowOff>1209040</xdr:rowOff>
    </xdr:to>
    <xdr:pic>
      <xdr:nvPicPr>
        <xdr:cNvPr id="8393" name="Изображение 8392" descr="resizeПП-00246326"/>
        <xdr:cNvPicPr>
          <a:picLocks noChangeAspect="1"/>
        </xdr:cNvPicPr>
      </xdr:nvPicPr>
      <xdr:blipFill>
        <a:blip xmlns:r="http://schemas.openxmlformats.org/officeDocument/2006/relationships" r:embed="rId4066"/>
        <a:stretch>
          <a:fillRect/>
        </a:stretch>
      </xdr:blipFill>
      <xdr:spPr>
        <a:xfrm>
          <a:off x="7264400" y="5289330925"/>
          <a:ext cx="878840" cy="1183640"/>
        </a:xfrm>
        <a:prstGeom prst="rect">
          <a:avLst/>
        </a:prstGeom>
      </xdr:spPr>
    </xdr:pic>
    <xdr:clientData/>
  </xdr:twoCellAnchor>
  <xdr:twoCellAnchor>
    <xdr:from>
      <xdr:col>8</xdr:col>
      <xdr:colOff>6350</xdr:colOff>
      <xdr:row>5293</xdr:row>
      <xdr:rowOff>25400</xdr:rowOff>
    </xdr:from>
    <xdr:to>
      <xdr:col>8</xdr:col>
      <xdr:colOff>885190</xdr:colOff>
      <xdr:row>5293</xdr:row>
      <xdr:rowOff>1209040</xdr:rowOff>
    </xdr:to>
    <xdr:pic>
      <xdr:nvPicPr>
        <xdr:cNvPr id="8394" name="Изображение 8393" descr="resizeПП-00246329"/>
        <xdr:cNvPicPr>
          <a:picLocks noChangeAspect="1"/>
        </xdr:cNvPicPr>
      </xdr:nvPicPr>
      <xdr:blipFill>
        <a:blip xmlns:r="http://schemas.openxmlformats.org/officeDocument/2006/relationships" r:embed="rId4067"/>
        <a:stretch>
          <a:fillRect/>
        </a:stretch>
      </xdr:blipFill>
      <xdr:spPr>
        <a:xfrm>
          <a:off x="7264400" y="5290705700"/>
          <a:ext cx="878840" cy="1183640"/>
        </a:xfrm>
        <a:prstGeom prst="rect">
          <a:avLst/>
        </a:prstGeom>
      </xdr:spPr>
    </xdr:pic>
    <xdr:clientData/>
  </xdr:twoCellAnchor>
  <xdr:twoCellAnchor>
    <xdr:from>
      <xdr:col>8</xdr:col>
      <xdr:colOff>6350</xdr:colOff>
      <xdr:row>5294</xdr:row>
      <xdr:rowOff>25400</xdr:rowOff>
    </xdr:from>
    <xdr:to>
      <xdr:col>8</xdr:col>
      <xdr:colOff>885190</xdr:colOff>
      <xdr:row>5294</xdr:row>
      <xdr:rowOff>1209040</xdr:rowOff>
    </xdr:to>
    <xdr:pic>
      <xdr:nvPicPr>
        <xdr:cNvPr id="8395" name="Изображение 8394" descr="resizeПП-00246330"/>
        <xdr:cNvPicPr>
          <a:picLocks noChangeAspect="1"/>
        </xdr:cNvPicPr>
      </xdr:nvPicPr>
      <xdr:blipFill>
        <a:blip xmlns:r="http://schemas.openxmlformats.org/officeDocument/2006/relationships" r:embed="rId4068"/>
        <a:stretch>
          <a:fillRect/>
        </a:stretch>
      </xdr:blipFill>
      <xdr:spPr>
        <a:xfrm>
          <a:off x="7264400" y="5291928075"/>
          <a:ext cx="878840" cy="1183640"/>
        </a:xfrm>
        <a:prstGeom prst="rect">
          <a:avLst/>
        </a:prstGeom>
      </xdr:spPr>
    </xdr:pic>
    <xdr:clientData/>
  </xdr:twoCellAnchor>
  <xdr:twoCellAnchor>
    <xdr:from>
      <xdr:col>8</xdr:col>
      <xdr:colOff>6350</xdr:colOff>
      <xdr:row>5295</xdr:row>
      <xdr:rowOff>25400</xdr:rowOff>
    </xdr:from>
    <xdr:to>
      <xdr:col>8</xdr:col>
      <xdr:colOff>885190</xdr:colOff>
      <xdr:row>5295</xdr:row>
      <xdr:rowOff>1209040</xdr:rowOff>
    </xdr:to>
    <xdr:pic>
      <xdr:nvPicPr>
        <xdr:cNvPr id="8396" name="Изображение 8395" descr="resizeПП-00246324"/>
        <xdr:cNvPicPr>
          <a:picLocks noChangeAspect="1"/>
        </xdr:cNvPicPr>
      </xdr:nvPicPr>
      <xdr:blipFill>
        <a:blip xmlns:r="http://schemas.openxmlformats.org/officeDocument/2006/relationships" r:embed="rId4069"/>
        <a:stretch>
          <a:fillRect/>
        </a:stretch>
      </xdr:blipFill>
      <xdr:spPr>
        <a:xfrm>
          <a:off x="7264400" y="5293150450"/>
          <a:ext cx="878840" cy="1183640"/>
        </a:xfrm>
        <a:prstGeom prst="rect">
          <a:avLst/>
        </a:prstGeom>
      </xdr:spPr>
    </xdr:pic>
    <xdr:clientData/>
  </xdr:twoCellAnchor>
  <xdr:twoCellAnchor>
    <xdr:from>
      <xdr:col>8</xdr:col>
      <xdr:colOff>6350</xdr:colOff>
      <xdr:row>5296</xdr:row>
      <xdr:rowOff>25400</xdr:rowOff>
    </xdr:from>
    <xdr:to>
      <xdr:col>8</xdr:col>
      <xdr:colOff>885190</xdr:colOff>
      <xdr:row>5296</xdr:row>
      <xdr:rowOff>1209040</xdr:rowOff>
    </xdr:to>
    <xdr:pic>
      <xdr:nvPicPr>
        <xdr:cNvPr id="8397" name="Изображение 8396" descr="resizeПП-00246323"/>
        <xdr:cNvPicPr>
          <a:picLocks noChangeAspect="1"/>
        </xdr:cNvPicPr>
      </xdr:nvPicPr>
      <xdr:blipFill>
        <a:blip xmlns:r="http://schemas.openxmlformats.org/officeDocument/2006/relationships" r:embed="rId4070"/>
        <a:stretch>
          <a:fillRect/>
        </a:stretch>
      </xdr:blipFill>
      <xdr:spPr>
        <a:xfrm>
          <a:off x="7264400" y="5294372825"/>
          <a:ext cx="878840" cy="1183640"/>
        </a:xfrm>
        <a:prstGeom prst="rect">
          <a:avLst/>
        </a:prstGeom>
      </xdr:spPr>
    </xdr:pic>
    <xdr:clientData/>
  </xdr:twoCellAnchor>
  <xdr:twoCellAnchor>
    <xdr:from>
      <xdr:col>8</xdr:col>
      <xdr:colOff>6350</xdr:colOff>
      <xdr:row>5297</xdr:row>
      <xdr:rowOff>25400</xdr:rowOff>
    </xdr:from>
    <xdr:to>
      <xdr:col>8</xdr:col>
      <xdr:colOff>885190</xdr:colOff>
      <xdr:row>5297</xdr:row>
      <xdr:rowOff>1209040</xdr:rowOff>
    </xdr:to>
    <xdr:pic>
      <xdr:nvPicPr>
        <xdr:cNvPr id="8398" name="Изображение 8397" descr="resizeПП-00246321"/>
        <xdr:cNvPicPr>
          <a:picLocks noChangeAspect="1"/>
        </xdr:cNvPicPr>
      </xdr:nvPicPr>
      <xdr:blipFill>
        <a:blip xmlns:r="http://schemas.openxmlformats.org/officeDocument/2006/relationships" r:embed="rId4071"/>
        <a:stretch>
          <a:fillRect/>
        </a:stretch>
      </xdr:blipFill>
      <xdr:spPr>
        <a:xfrm>
          <a:off x="7264400" y="5295595200"/>
          <a:ext cx="878840" cy="1183640"/>
        </a:xfrm>
        <a:prstGeom prst="rect">
          <a:avLst/>
        </a:prstGeom>
      </xdr:spPr>
    </xdr:pic>
    <xdr:clientData/>
  </xdr:twoCellAnchor>
  <xdr:twoCellAnchor>
    <xdr:from>
      <xdr:col>8</xdr:col>
      <xdr:colOff>6350</xdr:colOff>
      <xdr:row>5298</xdr:row>
      <xdr:rowOff>25400</xdr:rowOff>
    </xdr:from>
    <xdr:to>
      <xdr:col>8</xdr:col>
      <xdr:colOff>885190</xdr:colOff>
      <xdr:row>5298</xdr:row>
      <xdr:rowOff>1209040</xdr:rowOff>
    </xdr:to>
    <xdr:pic>
      <xdr:nvPicPr>
        <xdr:cNvPr id="8399" name="Изображение 8398" descr="resizeПП-00246322"/>
        <xdr:cNvPicPr>
          <a:picLocks noChangeAspect="1"/>
        </xdr:cNvPicPr>
      </xdr:nvPicPr>
      <xdr:blipFill>
        <a:blip xmlns:r="http://schemas.openxmlformats.org/officeDocument/2006/relationships" r:embed="rId4072"/>
        <a:stretch>
          <a:fillRect/>
        </a:stretch>
      </xdr:blipFill>
      <xdr:spPr>
        <a:xfrm>
          <a:off x="7264400" y="5296817575"/>
          <a:ext cx="878840" cy="1183640"/>
        </a:xfrm>
        <a:prstGeom prst="rect">
          <a:avLst/>
        </a:prstGeom>
      </xdr:spPr>
    </xdr:pic>
    <xdr:clientData/>
  </xdr:twoCellAnchor>
  <xdr:twoCellAnchor>
    <xdr:from>
      <xdr:col>8</xdr:col>
      <xdr:colOff>6350</xdr:colOff>
      <xdr:row>5300</xdr:row>
      <xdr:rowOff>25400</xdr:rowOff>
    </xdr:from>
    <xdr:to>
      <xdr:col>8</xdr:col>
      <xdr:colOff>885190</xdr:colOff>
      <xdr:row>5300</xdr:row>
      <xdr:rowOff>1209040</xdr:rowOff>
    </xdr:to>
    <xdr:pic>
      <xdr:nvPicPr>
        <xdr:cNvPr id="8400" name="Изображение 8399" descr="resizeПП-00240458"/>
        <xdr:cNvPicPr>
          <a:picLocks noChangeAspect="1"/>
        </xdr:cNvPicPr>
      </xdr:nvPicPr>
      <xdr:blipFill>
        <a:blip xmlns:r="http://schemas.openxmlformats.org/officeDocument/2006/relationships" r:embed="rId4073"/>
        <a:stretch>
          <a:fillRect/>
        </a:stretch>
      </xdr:blipFill>
      <xdr:spPr>
        <a:xfrm>
          <a:off x="7264400" y="5298192350"/>
          <a:ext cx="878840" cy="1183640"/>
        </a:xfrm>
        <a:prstGeom prst="rect">
          <a:avLst/>
        </a:prstGeom>
      </xdr:spPr>
    </xdr:pic>
    <xdr:clientData/>
  </xdr:twoCellAnchor>
  <xdr:twoCellAnchor>
    <xdr:from>
      <xdr:col>8</xdr:col>
      <xdr:colOff>6350</xdr:colOff>
      <xdr:row>5301</xdr:row>
      <xdr:rowOff>25400</xdr:rowOff>
    </xdr:from>
    <xdr:to>
      <xdr:col>8</xdr:col>
      <xdr:colOff>885190</xdr:colOff>
      <xdr:row>5301</xdr:row>
      <xdr:rowOff>1209040</xdr:rowOff>
    </xdr:to>
    <xdr:pic>
      <xdr:nvPicPr>
        <xdr:cNvPr id="8401" name="Изображение 8400" descr="resizeПП-00239901"/>
        <xdr:cNvPicPr>
          <a:picLocks noChangeAspect="1"/>
        </xdr:cNvPicPr>
      </xdr:nvPicPr>
      <xdr:blipFill>
        <a:blip xmlns:r="http://schemas.openxmlformats.org/officeDocument/2006/relationships" r:embed="rId4074"/>
        <a:stretch>
          <a:fillRect/>
        </a:stretch>
      </xdr:blipFill>
      <xdr:spPr>
        <a:xfrm>
          <a:off x="7264400" y="5299414725"/>
          <a:ext cx="878840" cy="1183640"/>
        </a:xfrm>
        <a:prstGeom prst="rect">
          <a:avLst/>
        </a:prstGeom>
      </xdr:spPr>
    </xdr:pic>
    <xdr:clientData/>
  </xdr:twoCellAnchor>
  <xdr:twoCellAnchor>
    <xdr:from>
      <xdr:col>8</xdr:col>
      <xdr:colOff>6350</xdr:colOff>
      <xdr:row>5302</xdr:row>
      <xdr:rowOff>25400</xdr:rowOff>
    </xdr:from>
    <xdr:to>
      <xdr:col>8</xdr:col>
      <xdr:colOff>885190</xdr:colOff>
      <xdr:row>5302</xdr:row>
      <xdr:rowOff>1209040</xdr:rowOff>
    </xdr:to>
    <xdr:pic>
      <xdr:nvPicPr>
        <xdr:cNvPr id="8402" name="Изображение 8401" descr="resizeПП-00239903"/>
        <xdr:cNvPicPr>
          <a:picLocks noChangeAspect="1"/>
        </xdr:cNvPicPr>
      </xdr:nvPicPr>
      <xdr:blipFill>
        <a:blip xmlns:r="http://schemas.openxmlformats.org/officeDocument/2006/relationships" r:embed="rId4075"/>
        <a:stretch>
          <a:fillRect/>
        </a:stretch>
      </xdr:blipFill>
      <xdr:spPr>
        <a:xfrm>
          <a:off x="7264400" y="5300637100"/>
          <a:ext cx="878840" cy="1183640"/>
        </a:xfrm>
        <a:prstGeom prst="rect">
          <a:avLst/>
        </a:prstGeom>
      </xdr:spPr>
    </xdr:pic>
    <xdr:clientData/>
  </xdr:twoCellAnchor>
  <xdr:twoCellAnchor>
    <xdr:from>
      <xdr:col>8</xdr:col>
      <xdr:colOff>6350</xdr:colOff>
      <xdr:row>5304</xdr:row>
      <xdr:rowOff>25400</xdr:rowOff>
    </xdr:from>
    <xdr:to>
      <xdr:col>8</xdr:col>
      <xdr:colOff>885190</xdr:colOff>
      <xdr:row>5304</xdr:row>
      <xdr:rowOff>1209040</xdr:rowOff>
    </xdr:to>
    <xdr:pic>
      <xdr:nvPicPr>
        <xdr:cNvPr id="8403" name="Изображение 8402" descr="resizeПП-00226181"/>
        <xdr:cNvPicPr>
          <a:picLocks noChangeAspect="1"/>
        </xdr:cNvPicPr>
      </xdr:nvPicPr>
      <xdr:blipFill>
        <a:blip xmlns:r="http://schemas.openxmlformats.org/officeDocument/2006/relationships" r:embed="rId4076"/>
        <a:stretch>
          <a:fillRect/>
        </a:stretch>
      </xdr:blipFill>
      <xdr:spPr>
        <a:xfrm>
          <a:off x="7264400" y="5302011875"/>
          <a:ext cx="878840" cy="1183640"/>
        </a:xfrm>
        <a:prstGeom prst="rect">
          <a:avLst/>
        </a:prstGeom>
      </xdr:spPr>
    </xdr:pic>
    <xdr:clientData/>
  </xdr:twoCellAnchor>
  <xdr:twoCellAnchor>
    <xdr:from>
      <xdr:col>8</xdr:col>
      <xdr:colOff>6350</xdr:colOff>
      <xdr:row>5306</xdr:row>
      <xdr:rowOff>25400</xdr:rowOff>
    </xdr:from>
    <xdr:to>
      <xdr:col>8</xdr:col>
      <xdr:colOff>885190</xdr:colOff>
      <xdr:row>5306</xdr:row>
      <xdr:rowOff>1209040</xdr:rowOff>
    </xdr:to>
    <xdr:pic>
      <xdr:nvPicPr>
        <xdr:cNvPr id="8404" name="Изображение 8403" descr="resizeПП-00218904"/>
        <xdr:cNvPicPr>
          <a:picLocks noChangeAspect="1"/>
        </xdr:cNvPicPr>
      </xdr:nvPicPr>
      <xdr:blipFill>
        <a:blip xmlns:r="http://schemas.openxmlformats.org/officeDocument/2006/relationships" r:embed="rId4077"/>
        <a:stretch>
          <a:fillRect/>
        </a:stretch>
      </xdr:blipFill>
      <xdr:spPr>
        <a:xfrm>
          <a:off x="7264400" y="5303386650"/>
          <a:ext cx="878840" cy="118364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5307"/>
  <sheetViews>
    <sheetView tabSelected="1" zoomScale="85" zoomScaleNormal="85" workbookViewId="0">
      <selection activeCell="B2" sqref="B2"/>
    </sheetView>
  </sheetViews>
  <sheetFormatPr defaultColWidth="10.5" defaultRowHeight="11.45" customHeight="1" outlineLevelRow="7"/>
  <cols>
    <col min="1" max="1" width="7.83203125" style="3" customWidth="1"/>
    <col min="2" max="2" width="12.1640625" style="3" customWidth="1"/>
    <col min="3" max="6" width="17.5" style="3" customWidth="1"/>
    <col min="7" max="7" width="15.1640625" style="4" customWidth="1"/>
    <col min="8" max="8" width="16.33203125" style="5" customWidth="1"/>
    <col min="9" max="9" width="21.33203125" style="3" customWidth="1"/>
    <col min="10" max="10" width="16.5" style="3" customWidth="1"/>
    <col min="11" max="11" width="18.5" style="6" customWidth="1"/>
    <col min="12" max="12" width="11.6640625" style="3" customWidth="1"/>
    <col min="13" max="13" width="13.6640625" style="3" customWidth="1"/>
    <col min="14" max="15" width="10.5" style="3" customWidth="1"/>
    <col min="16" max="16" width="15.6640625" style="3" customWidth="1"/>
    <col min="17" max="17" width="19.83203125" style="3" customWidth="1"/>
    <col min="18" max="18" width="14.6640625" style="3" customWidth="1"/>
    <col min="19" max="19" width="20.6640625" style="3" customWidth="1"/>
  </cols>
  <sheetData>
    <row r="1" spans="1:19" ht="11.1" customHeight="1"/>
    <row r="2" spans="1:19" s="1" customFormat="1" ht="24.95" customHeight="1">
      <c r="A2" s="2"/>
      <c r="B2" s="2"/>
      <c r="C2" s="2"/>
      <c r="D2" s="2"/>
      <c r="E2" s="7" t="s">
        <v>0</v>
      </c>
      <c r="F2" s="2"/>
      <c r="G2" s="8"/>
      <c r="H2" s="12"/>
      <c r="I2" s="2"/>
      <c r="J2" s="2"/>
      <c r="K2" s="13"/>
      <c r="L2" s="2"/>
      <c r="M2" s="2"/>
      <c r="N2" s="2"/>
      <c r="O2" s="2"/>
      <c r="P2" s="2"/>
      <c r="Q2" s="2"/>
      <c r="R2" s="2"/>
      <c r="S2" s="2"/>
    </row>
    <row r="3" spans="1:19" s="1" customFormat="1" ht="36.950000000000003" customHeight="1">
      <c r="A3" s="58" t="s">
        <v>1</v>
      </c>
      <c r="B3" s="58"/>
      <c r="C3" s="59" t="s">
        <v>2</v>
      </c>
      <c r="D3" s="59"/>
      <c r="E3" s="59"/>
      <c r="F3" s="59"/>
      <c r="G3" s="8"/>
      <c r="H3" s="12"/>
      <c r="I3" s="2"/>
      <c r="J3" s="2"/>
      <c r="K3" s="13"/>
      <c r="L3" s="60"/>
      <c r="M3" s="60"/>
      <c r="N3" s="2"/>
      <c r="O3" s="2"/>
      <c r="P3" s="2"/>
      <c r="Q3" s="2"/>
      <c r="R3" s="2"/>
      <c r="S3" s="2"/>
    </row>
    <row r="4" spans="1:19" s="2" customFormat="1" ht="21" customHeight="1">
      <c r="A4" s="68" t="s">
        <v>3</v>
      </c>
      <c r="B4" s="70" t="s">
        <v>4</v>
      </c>
      <c r="C4" s="70" t="s">
        <v>5</v>
      </c>
      <c r="D4" s="70"/>
      <c r="E4" s="70"/>
      <c r="F4" s="70"/>
      <c r="G4" s="72" t="s">
        <v>6</v>
      </c>
      <c r="H4" s="74" t="s">
        <v>7</v>
      </c>
      <c r="I4" s="70" t="s">
        <v>8</v>
      </c>
      <c r="J4" s="76" t="s">
        <v>9</v>
      </c>
      <c r="K4" s="78" t="s">
        <v>10</v>
      </c>
      <c r="L4" s="70" t="s">
        <v>11</v>
      </c>
      <c r="M4" s="70" t="s">
        <v>12</v>
      </c>
      <c r="N4" s="70" t="s">
        <v>13</v>
      </c>
      <c r="O4" s="70" t="s">
        <v>14</v>
      </c>
      <c r="P4" s="70" t="s">
        <v>15</v>
      </c>
      <c r="Q4" s="70" t="s">
        <v>16</v>
      </c>
      <c r="R4" s="80" t="s">
        <v>17</v>
      </c>
      <c r="S4" s="80" t="s">
        <v>18</v>
      </c>
    </row>
    <row r="5" spans="1:19" s="2" customFormat="1" ht="26.1" customHeight="1">
      <c r="A5" s="69"/>
      <c r="B5" s="71"/>
      <c r="C5" s="82"/>
      <c r="D5" s="82"/>
      <c r="E5" s="82"/>
      <c r="F5" s="71"/>
      <c r="G5" s="73"/>
      <c r="H5" s="75"/>
      <c r="I5" s="71"/>
      <c r="J5" s="77"/>
      <c r="K5" s="79"/>
      <c r="L5" s="71"/>
      <c r="M5" s="71"/>
      <c r="N5" s="71"/>
      <c r="O5" s="71"/>
      <c r="P5" s="71"/>
      <c r="Q5" s="71"/>
      <c r="R5" s="81"/>
      <c r="S5" s="81"/>
    </row>
    <row r="6" spans="1:19" s="1" customFormat="1" ht="15.95" customHeight="1">
      <c r="A6" s="61" t="s">
        <v>19</v>
      </c>
      <c r="B6" s="61"/>
      <c r="C6" s="61"/>
      <c r="D6" s="61"/>
      <c r="E6" s="61"/>
      <c r="F6" s="61"/>
      <c r="G6" s="8"/>
      <c r="H6" s="12"/>
      <c r="I6" s="2"/>
      <c r="J6" s="2"/>
      <c r="K6" s="13"/>
      <c r="L6" s="2"/>
      <c r="M6" s="2"/>
      <c r="N6" s="2"/>
      <c r="O6" s="2"/>
      <c r="P6" s="2"/>
      <c r="Q6" s="2"/>
      <c r="R6" s="2"/>
      <c r="S6" s="2"/>
    </row>
    <row r="7" spans="1:19" s="1" customFormat="1" ht="15.95" customHeight="1" outlineLevel="1">
      <c r="A7" s="62" t="s">
        <v>20</v>
      </c>
      <c r="B7" s="62"/>
      <c r="C7" s="62"/>
      <c r="D7" s="62"/>
      <c r="E7" s="62"/>
      <c r="F7" s="62"/>
      <c r="G7" s="8"/>
      <c r="H7" s="12"/>
      <c r="I7" s="2"/>
      <c r="J7" s="2"/>
      <c r="K7" s="13"/>
      <c r="L7" s="2"/>
      <c r="M7" s="2"/>
      <c r="N7" s="2"/>
      <c r="O7" s="2"/>
      <c r="P7" s="2"/>
      <c r="Q7" s="2"/>
      <c r="R7" s="2"/>
      <c r="S7" s="2"/>
    </row>
    <row r="8" spans="1:19" s="1" customFormat="1" ht="12" customHeight="1" outlineLevel="2">
      <c r="A8" s="63" t="s">
        <v>21</v>
      </c>
      <c r="B8" s="63"/>
      <c r="C8" s="63"/>
      <c r="D8" s="63"/>
      <c r="E8" s="63"/>
      <c r="F8" s="63"/>
      <c r="G8" s="8"/>
      <c r="H8" s="12"/>
      <c r="I8" s="2"/>
      <c r="J8" s="2"/>
      <c r="K8" s="13"/>
      <c r="L8" s="2"/>
      <c r="M8" s="2"/>
      <c r="N8" s="2"/>
      <c r="O8" s="2"/>
      <c r="P8" s="2"/>
      <c r="Q8" s="2"/>
      <c r="R8" s="2"/>
      <c r="S8" s="2"/>
    </row>
    <row r="9" spans="1:19" s="1" customFormat="1" ht="12" customHeight="1" outlineLevel="3">
      <c r="A9" s="64" t="s">
        <v>22</v>
      </c>
      <c r="B9" s="64"/>
      <c r="C9" s="64"/>
      <c r="D9" s="64"/>
      <c r="E9" s="64"/>
      <c r="F9" s="64"/>
      <c r="G9" s="8"/>
      <c r="H9" s="12"/>
      <c r="I9" s="2"/>
      <c r="J9" s="2"/>
      <c r="K9" s="13"/>
      <c r="L9" s="2"/>
      <c r="M9" s="2"/>
      <c r="N9" s="2"/>
      <c r="O9" s="2"/>
      <c r="P9" s="2"/>
      <c r="Q9" s="2"/>
      <c r="R9" s="2"/>
      <c r="S9" s="2"/>
    </row>
    <row r="10" spans="1:19" s="2" customFormat="1" ht="96.2" customHeight="1" outlineLevel="4">
      <c r="A10" s="9">
        <v>1</v>
      </c>
      <c r="B10" s="10" t="s">
        <v>23</v>
      </c>
      <c r="C10" s="65" t="s">
        <v>24</v>
      </c>
      <c r="D10" s="65"/>
      <c r="E10" s="65"/>
      <c r="F10" s="65"/>
      <c r="G10" s="11" t="s">
        <v>25</v>
      </c>
      <c r="H10" s="14">
        <v>107</v>
      </c>
      <c r="I10" s="15"/>
      <c r="J10" s="9">
        <v>2</v>
      </c>
      <c r="K10" s="16">
        <v>254.78</v>
      </c>
      <c r="L10" s="17"/>
      <c r="M10" s="15">
        <f>K10*L10</f>
        <v>0</v>
      </c>
      <c r="N10" s="18">
        <f>0.058*L10</f>
        <v>0</v>
      </c>
      <c r="O10" s="19">
        <f>0.00008*L10</f>
        <v>0</v>
      </c>
      <c r="P10" s="24" t="s">
        <v>26</v>
      </c>
      <c r="Q10" s="15" t="s">
        <v>27</v>
      </c>
      <c r="R10" s="15"/>
      <c r="S10" s="10" t="str">
        <f>HYPERLINK("https://miland.ru/api/getInfo/image/f328d3c2-2cfd-11f1-a292-00155d82e908")</f>
        <v>https://miland.ru/api/getInfo/image/f328d3c2-2cfd-11f1-a292-00155d82e908</v>
      </c>
    </row>
    <row r="11" spans="1:19" s="2" customFormat="1" ht="96.2" customHeight="1" outlineLevel="4">
      <c r="A11" s="9">
        <v>2</v>
      </c>
      <c r="B11" s="10" t="s">
        <v>28</v>
      </c>
      <c r="C11" s="65" t="s">
        <v>29</v>
      </c>
      <c r="D11" s="65"/>
      <c r="E11" s="65"/>
      <c r="F11" s="65"/>
      <c r="G11" s="11" t="s">
        <v>30</v>
      </c>
      <c r="H11" s="14">
        <v>162</v>
      </c>
      <c r="I11" s="15"/>
      <c r="J11" s="9">
        <v>2</v>
      </c>
      <c r="K11" s="16">
        <v>295.52999999999997</v>
      </c>
      <c r="L11" s="17"/>
      <c r="M11" s="15">
        <f>K11*L11</f>
        <v>0</v>
      </c>
      <c r="N11" s="18">
        <f>0.041*L11</f>
        <v>0</v>
      </c>
      <c r="O11" s="19">
        <f>0.00001*L11</f>
        <v>0</v>
      </c>
      <c r="P11" s="24" t="s">
        <v>26</v>
      </c>
      <c r="Q11" s="15" t="s">
        <v>31</v>
      </c>
      <c r="R11" s="15"/>
      <c r="S11" s="10" t="str">
        <f>HYPERLINK("https://miland.ru/api/getInfo/image/086e9b0b-2cfe-11f1-a292-00155d82e908")</f>
        <v>https://miland.ru/api/getInfo/image/086e9b0b-2cfe-11f1-a292-00155d82e908</v>
      </c>
    </row>
    <row r="12" spans="1:19" s="2" customFormat="1" ht="96.2" customHeight="1" outlineLevel="4">
      <c r="A12" s="9">
        <v>3</v>
      </c>
      <c r="B12" s="10" t="s">
        <v>32</v>
      </c>
      <c r="C12" s="65" t="s">
        <v>33</v>
      </c>
      <c r="D12" s="65"/>
      <c r="E12" s="65"/>
      <c r="F12" s="65"/>
      <c r="G12" s="11" t="s">
        <v>34</v>
      </c>
      <c r="H12" s="14">
        <v>166</v>
      </c>
      <c r="I12" s="15"/>
      <c r="J12" s="9">
        <v>2</v>
      </c>
      <c r="K12" s="16">
        <v>254.78</v>
      </c>
      <c r="L12" s="17"/>
      <c r="M12" s="15">
        <f>K12*L12</f>
        <v>0</v>
      </c>
      <c r="N12" s="18">
        <f>0.027*L12</f>
        <v>0</v>
      </c>
      <c r="O12" s="20">
        <f>0.0001*L12</f>
        <v>0</v>
      </c>
      <c r="P12" s="24" t="s">
        <v>26</v>
      </c>
      <c r="Q12" s="15" t="s">
        <v>35</v>
      </c>
      <c r="R12" s="15"/>
      <c r="S12" s="10" t="str">
        <f>HYPERLINK("https://miland.ru/api/getInfo/image/1f17c425-2cfe-11f1-a292-00155d82e908")</f>
        <v>https://miland.ru/api/getInfo/image/1f17c425-2cfe-11f1-a292-00155d82e908</v>
      </c>
    </row>
    <row r="13" spans="1:19" s="2" customFormat="1" ht="96.2" customHeight="1" outlineLevel="4">
      <c r="A13" s="9">
        <v>4</v>
      </c>
      <c r="B13" s="10" t="s">
        <v>36</v>
      </c>
      <c r="C13" s="65" t="s">
        <v>37</v>
      </c>
      <c r="D13" s="65"/>
      <c r="E13" s="65"/>
      <c r="F13" s="65"/>
      <c r="G13" s="11" t="s">
        <v>38</v>
      </c>
      <c r="H13" s="14">
        <v>217</v>
      </c>
      <c r="I13" s="15"/>
      <c r="J13" s="9">
        <v>2</v>
      </c>
      <c r="K13" s="16">
        <v>244.59</v>
      </c>
      <c r="L13" s="17"/>
      <c r="M13" s="15">
        <f>K13*L13</f>
        <v>0</v>
      </c>
      <c r="N13" s="18">
        <f>0.031*L13</f>
        <v>0</v>
      </c>
      <c r="O13" s="19">
        <f>0.00016*L13</f>
        <v>0</v>
      </c>
      <c r="P13" s="24" t="s">
        <v>26</v>
      </c>
      <c r="Q13" s="15" t="s">
        <v>39</v>
      </c>
      <c r="R13" s="15"/>
      <c r="S13" s="10" t="str">
        <f>HYPERLINK("https://miland.ru/api/getInfo/image/822e44cc-2cfd-11f1-a292-00155d82e908")</f>
        <v>https://miland.ru/api/getInfo/image/822e44cc-2cfd-11f1-a292-00155d82e908</v>
      </c>
    </row>
    <row r="14" spans="1:19" s="1" customFormat="1" ht="12" customHeight="1" outlineLevel="3">
      <c r="A14" s="64" t="s">
        <v>40</v>
      </c>
      <c r="B14" s="64"/>
      <c r="C14" s="64"/>
      <c r="D14" s="64"/>
      <c r="E14" s="64"/>
      <c r="F14" s="64"/>
      <c r="G14" s="8"/>
      <c r="H14" s="12"/>
      <c r="I14" s="2"/>
      <c r="J14" s="2"/>
      <c r="K14" s="13"/>
      <c r="L14" s="2"/>
      <c r="M14" s="2"/>
      <c r="N14" s="2"/>
      <c r="O14" s="2"/>
      <c r="P14" s="2"/>
      <c r="Q14" s="2"/>
      <c r="R14" s="2"/>
      <c r="S14" s="2"/>
    </row>
    <row r="15" spans="1:19" s="2" customFormat="1" ht="96.2" customHeight="1" outlineLevel="4">
      <c r="A15" s="9">
        <v>5</v>
      </c>
      <c r="B15" s="10" t="s">
        <v>41</v>
      </c>
      <c r="C15" s="65" t="s">
        <v>42</v>
      </c>
      <c r="D15" s="65"/>
      <c r="E15" s="65"/>
      <c r="F15" s="65"/>
      <c r="G15" s="11" t="s">
        <v>43</v>
      </c>
      <c r="H15" s="21" t="s">
        <v>44</v>
      </c>
      <c r="I15" s="15"/>
      <c r="J15" s="9">
        <v>12</v>
      </c>
      <c r="K15" s="16">
        <v>163.1</v>
      </c>
      <c r="L15" s="17"/>
      <c r="M15" s="15">
        <f>K15*L15</f>
        <v>0</v>
      </c>
      <c r="N15" s="18">
        <f>0.037*L15</f>
        <v>0</v>
      </c>
      <c r="O15" s="19">
        <f>0.00008*L15</f>
        <v>0</v>
      </c>
      <c r="P15" s="24" t="s">
        <v>26</v>
      </c>
      <c r="Q15" s="15" t="s">
        <v>45</v>
      </c>
      <c r="R15" s="15"/>
      <c r="S15" s="10" t="str">
        <f>HYPERLINK("https://miland.ru/api/getInfo/image/a0ea702e-08d9-11f1-a28f-00155d82e908")</f>
        <v>https://miland.ru/api/getInfo/image/a0ea702e-08d9-11f1-a28f-00155d82e908</v>
      </c>
    </row>
    <row r="16" spans="1:19" s="1" customFormat="1" ht="12" customHeight="1" outlineLevel="3">
      <c r="A16" s="64" t="s">
        <v>46</v>
      </c>
      <c r="B16" s="64"/>
      <c r="C16" s="64"/>
      <c r="D16" s="64"/>
      <c r="E16" s="64"/>
      <c r="F16" s="64"/>
      <c r="G16" s="8"/>
      <c r="H16" s="12"/>
      <c r="I16" s="2"/>
      <c r="J16" s="2"/>
      <c r="K16" s="13"/>
      <c r="L16" s="2"/>
      <c r="M16" s="2"/>
      <c r="N16" s="2"/>
      <c r="O16" s="2"/>
      <c r="P16" s="2"/>
      <c r="Q16" s="2"/>
      <c r="R16" s="2"/>
      <c r="S16" s="2"/>
    </row>
    <row r="17" spans="1:19" s="2" customFormat="1" ht="96.2" customHeight="1" outlineLevel="4">
      <c r="A17" s="9">
        <v>6</v>
      </c>
      <c r="B17" s="10" t="s">
        <v>47</v>
      </c>
      <c r="C17" s="65" t="s">
        <v>48</v>
      </c>
      <c r="D17" s="65"/>
      <c r="E17" s="65"/>
      <c r="F17" s="65"/>
      <c r="G17" s="11" t="s">
        <v>49</v>
      </c>
      <c r="H17" s="21" t="s">
        <v>44</v>
      </c>
      <c r="I17" s="15"/>
      <c r="J17" s="9">
        <v>60</v>
      </c>
      <c r="K17" s="16">
        <v>6.26</v>
      </c>
      <c r="L17" s="17"/>
      <c r="M17" s="15">
        <f>K17*L17</f>
        <v>0</v>
      </c>
      <c r="N17" s="18">
        <f>0.002*L17</f>
        <v>0</v>
      </c>
      <c r="O17" s="19">
        <f>0.00001*L17</f>
        <v>0</v>
      </c>
      <c r="P17" s="24" t="s">
        <v>26</v>
      </c>
      <c r="Q17" s="15" t="s">
        <v>50</v>
      </c>
      <c r="R17" s="15"/>
      <c r="S17" s="10" t="str">
        <f>HYPERLINK("https://miland.ru/api/getInfo/image/26e2a76d-0357-11f1-a28e-00155d82e908")</f>
        <v>https://miland.ru/api/getInfo/image/26e2a76d-0357-11f1-a28e-00155d82e908</v>
      </c>
    </row>
    <row r="18" spans="1:19" s="2" customFormat="1" ht="96.2" customHeight="1" outlineLevel="4">
      <c r="A18" s="9">
        <v>7</v>
      </c>
      <c r="B18" s="10" t="s">
        <v>51</v>
      </c>
      <c r="C18" s="65" t="s">
        <v>52</v>
      </c>
      <c r="D18" s="65"/>
      <c r="E18" s="65"/>
      <c r="F18" s="65"/>
      <c r="G18" s="11" t="s">
        <v>53</v>
      </c>
      <c r="H18" s="21" t="s">
        <v>44</v>
      </c>
      <c r="I18" s="15"/>
      <c r="J18" s="9">
        <v>2</v>
      </c>
      <c r="K18" s="16">
        <v>281.70999999999998</v>
      </c>
      <c r="L18" s="17"/>
      <c r="M18" s="15">
        <f>K18*L18</f>
        <v>0</v>
      </c>
      <c r="N18" s="18">
        <f>0.121*L18</f>
        <v>0</v>
      </c>
      <c r="O18" s="19">
        <f>0.00056*L18</f>
        <v>0</v>
      </c>
      <c r="P18" s="24" t="s">
        <v>26</v>
      </c>
      <c r="Q18" s="15" t="s">
        <v>54</v>
      </c>
      <c r="R18" s="15"/>
      <c r="S18" s="10" t="str">
        <f>HYPERLINK("https://miland.ru/api/getInfo/image/7d879621-01bb-11f1-a28e-00155d82e908")</f>
        <v>https://miland.ru/api/getInfo/image/7d879621-01bb-11f1-a28e-00155d82e908</v>
      </c>
    </row>
    <row r="19" spans="1:19" s="2" customFormat="1" ht="96.2" customHeight="1" outlineLevel="4">
      <c r="A19" s="9">
        <v>8</v>
      </c>
      <c r="B19" s="10" t="s">
        <v>55</v>
      </c>
      <c r="C19" s="65" t="s">
        <v>56</v>
      </c>
      <c r="D19" s="65"/>
      <c r="E19" s="65"/>
      <c r="F19" s="65"/>
      <c r="G19" s="11" t="s">
        <v>57</v>
      </c>
      <c r="H19" s="21" t="s">
        <v>44</v>
      </c>
      <c r="I19" s="15"/>
      <c r="J19" s="9">
        <v>2</v>
      </c>
      <c r="K19" s="16">
        <v>281.70999999999998</v>
      </c>
      <c r="L19" s="17"/>
      <c r="M19" s="15">
        <f>K19*L19</f>
        <v>0</v>
      </c>
      <c r="N19" s="18">
        <f>0.124*L19</f>
        <v>0</v>
      </c>
      <c r="O19" s="19">
        <f>0.00058*L19</f>
        <v>0</v>
      </c>
      <c r="P19" s="24" t="s">
        <v>26</v>
      </c>
      <c r="Q19" s="15" t="s">
        <v>58</v>
      </c>
      <c r="R19" s="15"/>
      <c r="S19" s="10" t="str">
        <f>HYPERLINK("https://miland.ru/api/getInfo/image/4478774e-01bb-11f1-a28e-00155d82e908")</f>
        <v>https://miland.ru/api/getInfo/image/4478774e-01bb-11f1-a28e-00155d82e908</v>
      </c>
    </row>
    <row r="20" spans="1:19" s="1" customFormat="1" ht="12" customHeight="1" outlineLevel="3">
      <c r="A20" s="64" t="s">
        <v>59</v>
      </c>
      <c r="B20" s="64"/>
      <c r="C20" s="64"/>
      <c r="D20" s="64"/>
      <c r="E20" s="64"/>
      <c r="F20" s="64"/>
      <c r="G20" s="8"/>
      <c r="H20" s="12"/>
      <c r="I20" s="2"/>
      <c r="J20" s="2"/>
      <c r="K20" s="13"/>
      <c r="L20" s="2"/>
      <c r="M20" s="2"/>
      <c r="N20" s="2"/>
      <c r="O20" s="2"/>
      <c r="P20" s="2"/>
      <c r="Q20" s="2"/>
      <c r="R20" s="2"/>
      <c r="S20" s="2"/>
    </row>
    <row r="21" spans="1:19" s="1" customFormat="1" ht="12" customHeight="1" outlineLevel="4">
      <c r="A21" s="64" t="s">
        <v>60</v>
      </c>
      <c r="B21" s="64"/>
      <c r="C21" s="64"/>
      <c r="D21" s="64"/>
      <c r="E21" s="64"/>
      <c r="F21" s="64"/>
      <c r="G21" s="8"/>
      <c r="H21" s="12"/>
      <c r="I21" s="2"/>
      <c r="J21" s="2"/>
      <c r="K21" s="13"/>
      <c r="L21" s="2"/>
      <c r="M21" s="2"/>
      <c r="N21" s="2"/>
      <c r="O21" s="2"/>
      <c r="P21" s="2"/>
      <c r="Q21" s="2"/>
      <c r="R21" s="2"/>
      <c r="S21" s="2"/>
    </row>
    <row r="22" spans="1:19" s="2" customFormat="1" ht="96.2" customHeight="1" outlineLevel="5">
      <c r="A22" s="9">
        <v>9</v>
      </c>
      <c r="B22" s="10" t="s">
        <v>61</v>
      </c>
      <c r="C22" s="65" t="s">
        <v>62</v>
      </c>
      <c r="D22" s="65"/>
      <c r="E22" s="65"/>
      <c r="F22" s="65"/>
      <c r="G22" s="11" t="s">
        <v>63</v>
      </c>
      <c r="H22" s="21" t="s">
        <v>44</v>
      </c>
      <c r="I22" s="15"/>
      <c r="J22" s="9">
        <v>20</v>
      </c>
      <c r="K22" s="16">
        <v>31.04</v>
      </c>
      <c r="L22" s="17"/>
      <c r="M22" s="15">
        <f>K22*L22</f>
        <v>0</v>
      </c>
      <c r="N22" s="18">
        <f>0.009*L22</f>
        <v>0</v>
      </c>
      <c r="O22" s="19">
        <f>0.00001*L22</f>
        <v>0</v>
      </c>
      <c r="P22" s="24" t="s">
        <v>26</v>
      </c>
      <c r="Q22" s="15" t="s">
        <v>64</v>
      </c>
      <c r="R22" s="15"/>
      <c r="S22" s="10" t="str">
        <f>HYPERLINK("https://miland.ru/api/getInfo/image/5f799e41-b620-11f0-a286-00155d82e908")</f>
        <v>https://miland.ru/api/getInfo/image/5f799e41-b620-11f0-a286-00155d82e908</v>
      </c>
    </row>
    <row r="23" spans="1:19" s="1" customFormat="1" ht="12" customHeight="1" outlineLevel="4">
      <c r="A23" s="64" t="s">
        <v>65</v>
      </c>
      <c r="B23" s="64"/>
      <c r="C23" s="64"/>
      <c r="D23" s="64"/>
      <c r="E23" s="64"/>
      <c r="F23" s="64"/>
      <c r="G23" s="8"/>
      <c r="H23" s="12"/>
      <c r="I23" s="2"/>
      <c r="J23" s="2"/>
      <c r="K23" s="13"/>
      <c r="L23" s="2"/>
      <c r="M23" s="2"/>
      <c r="N23" s="2"/>
      <c r="O23" s="2"/>
      <c r="P23" s="2"/>
      <c r="Q23" s="2"/>
      <c r="R23" s="2"/>
      <c r="S23" s="2"/>
    </row>
    <row r="24" spans="1:19" s="2" customFormat="1" ht="96.2" customHeight="1" outlineLevel="5">
      <c r="A24" s="9">
        <v>10</v>
      </c>
      <c r="B24" s="10" t="s">
        <v>66</v>
      </c>
      <c r="C24" s="65" t="s">
        <v>67</v>
      </c>
      <c r="D24" s="65"/>
      <c r="E24" s="65"/>
      <c r="F24" s="65"/>
      <c r="G24" s="11" t="s">
        <v>68</v>
      </c>
      <c r="H24" s="21" t="s">
        <v>44</v>
      </c>
      <c r="I24" s="15"/>
      <c r="J24" s="9">
        <v>12</v>
      </c>
      <c r="K24" s="16">
        <v>88.19</v>
      </c>
      <c r="L24" s="17"/>
      <c r="M24" s="15">
        <f>K24*L24</f>
        <v>0</v>
      </c>
      <c r="N24" s="18">
        <f>0.509*L24</f>
        <v>0</v>
      </c>
      <c r="O24" s="19">
        <f>0.00125*L24</f>
        <v>0</v>
      </c>
      <c r="P24" s="24" t="s">
        <v>26</v>
      </c>
      <c r="Q24" s="15" t="s">
        <v>69</v>
      </c>
      <c r="R24" s="15"/>
      <c r="S24" s="10" t="str">
        <f>HYPERLINK("https://miland.ru/api/getInfo/image/d55466fa-08dc-11f1-a28f-00155d82e908")</f>
        <v>https://miland.ru/api/getInfo/image/d55466fa-08dc-11f1-a28f-00155d82e908</v>
      </c>
    </row>
    <row r="25" spans="1:19" s="2" customFormat="1" ht="96.2" customHeight="1" outlineLevel="5">
      <c r="A25" s="9">
        <v>11</v>
      </c>
      <c r="B25" s="10" t="s">
        <v>70</v>
      </c>
      <c r="C25" s="65" t="s">
        <v>71</v>
      </c>
      <c r="D25" s="65"/>
      <c r="E25" s="65"/>
      <c r="F25" s="65"/>
      <c r="G25" s="11" t="s">
        <v>72</v>
      </c>
      <c r="H25" s="21" t="s">
        <v>44</v>
      </c>
      <c r="I25" s="15"/>
      <c r="J25" s="9">
        <v>12</v>
      </c>
      <c r="K25" s="16">
        <v>88.19</v>
      </c>
      <c r="L25" s="17"/>
      <c r="M25" s="15">
        <f>K25*L25</f>
        <v>0</v>
      </c>
      <c r="N25" s="18">
        <f>0.558*L25</f>
        <v>0</v>
      </c>
      <c r="O25" s="19">
        <f>0.00134*L25</f>
        <v>0</v>
      </c>
      <c r="P25" s="24" t="s">
        <v>26</v>
      </c>
      <c r="Q25" s="15" t="s">
        <v>73</v>
      </c>
      <c r="R25" s="15"/>
      <c r="S25" s="10" t="str">
        <f>HYPERLINK("https://miland.ru/api/getInfo/image/df36c092-08dd-11f1-a28f-00155d82e908")</f>
        <v>https://miland.ru/api/getInfo/image/df36c092-08dd-11f1-a28f-00155d82e908</v>
      </c>
    </row>
    <row r="26" spans="1:19" s="2" customFormat="1" ht="96.2" customHeight="1" outlineLevel="5">
      <c r="A26" s="9">
        <v>12</v>
      </c>
      <c r="B26" s="10" t="s">
        <v>74</v>
      </c>
      <c r="C26" s="65" t="s">
        <v>75</v>
      </c>
      <c r="D26" s="65"/>
      <c r="E26" s="65"/>
      <c r="F26" s="65"/>
      <c r="G26" s="11" t="s">
        <v>76</v>
      </c>
      <c r="H26" s="21" t="s">
        <v>44</v>
      </c>
      <c r="I26" s="15"/>
      <c r="J26" s="9">
        <v>12</v>
      </c>
      <c r="K26" s="16">
        <v>100.16</v>
      </c>
      <c r="L26" s="17"/>
      <c r="M26" s="15">
        <f>K26*L26</f>
        <v>0</v>
      </c>
      <c r="N26" s="18">
        <f>0.042*L26</f>
        <v>0</v>
      </c>
      <c r="O26" s="19">
        <f>0.00011*L26</f>
        <v>0</v>
      </c>
      <c r="P26" s="24" t="s">
        <v>26</v>
      </c>
      <c r="Q26" s="15" t="s">
        <v>77</v>
      </c>
      <c r="R26" s="15"/>
      <c r="S26" s="10" t="str">
        <f>HYPERLINK("https://miland.ru/api/getInfo/image/8e6d7344-08db-11f1-a28f-00155d82e908")</f>
        <v>https://miland.ru/api/getInfo/image/8e6d7344-08db-11f1-a28f-00155d82e908</v>
      </c>
    </row>
    <row r="27" spans="1:19" s="2" customFormat="1" ht="96.2" customHeight="1" outlineLevel="5">
      <c r="A27" s="9">
        <v>13</v>
      </c>
      <c r="B27" s="10" t="s">
        <v>78</v>
      </c>
      <c r="C27" s="65" t="s">
        <v>79</v>
      </c>
      <c r="D27" s="65"/>
      <c r="E27" s="65"/>
      <c r="F27" s="65"/>
      <c r="G27" s="11" t="s">
        <v>80</v>
      </c>
      <c r="H27" s="21" t="s">
        <v>44</v>
      </c>
      <c r="I27" s="15"/>
      <c r="J27" s="9">
        <v>12</v>
      </c>
      <c r="K27" s="16">
        <v>100.16</v>
      </c>
      <c r="L27" s="17"/>
      <c r="M27" s="15">
        <f>K27*L27</f>
        <v>0</v>
      </c>
      <c r="N27" s="18">
        <f>0.069*L27</f>
        <v>0</v>
      </c>
      <c r="O27" s="19">
        <f>0.00015*L27</f>
        <v>0</v>
      </c>
      <c r="P27" s="24" t="s">
        <v>26</v>
      </c>
      <c r="Q27" s="15" t="s">
        <v>81</v>
      </c>
      <c r="R27" s="15"/>
      <c r="S27" s="10" t="str">
        <f>HYPERLINK("https://miland.ru/api/getInfo/image/4eb34cae-08dc-11f1-a28f-00155d82e908")</f>
        <v>https://miland.ru/api/getInfo/image/4eb34cae-08dc-11f1-a28f-00155d82e908</v>
      </c>
    </row>
    <row r="28" spans="1:19" s="1" customFormat="1" ht="12" customHeight="1" outlineLevel="3">
      <c r="A28" s="64" t="s">
        <v>82</v>
      </c>
      <c r="B28" s="64"/>
      <c r="C28" s="64"/>
      <c r="D28" s="64"/>
      <c r="E28" s="64"/>
      <c r="F28" s="64"/>
      <c r="G28" s="8"/>
      <c r="H28" s="12"/>
      <c r="I28" s="2"/>
      <c r="J28" s="2"/>
      <c r="K28" s="13"/>
      <c r="L28" s="2"/>
      <c r="M28" s="2"/>
      <c r="N28" s="2"/>
      <c r="O28" s="2"/>
      <c r="P28" s="2"/>
      <c r="Q28" s="2"/>
      <c r="R28" s="2"/>
      <c r="S28" s="2"/>
    </row>
    <row r="29" spans="1:19" s="1" customFormat="1" ht="12" customHeight="1" outlineLevel="4">
      <c r="A29" s="64" t="s">
        <v>83</v>
      </c>
      <c r="B29" s="64"/>
      <c r="C29" s="64"/>
      <c r="D29" s="64"/>
      <c r="E29" s="64"/>
      <c r="F29" s="64"/>
      <c r="G29" s="8"/>
      <c r="H29" s="12"/>
      <c r="I29" s="2"/>
      <c r="J29" s="2"/>
      <c r="K29" s="13"/>
      <c r="L29" s="2"/>
      <c r="M29" s="2"/>
      <c r="N29" s="2"/>
      <c r="O29" s="2"/>
      <c r="P29" s="2"/>
      <c r="Q29" s="2"/>
      <c r="R29" s="2"/>
      <c r="S29" s="2"/>
    </row>
    <row r="30" spans="1:19" s="1" customFormat="1" ht="12" customHeight="1" outlineLevel="5">
      <c r="A30" s="64" t="s">
        <v>84</v>
      </c>
      <c r="B30" s="64"/>
      <c r="C30" s="64"/>
      <c r="D30" s="64"/>
      <c r="E30" s="64"/>
      <c r="F30" s="64"/>
      <c r="G30" s="8"/>
      <c r="H30" s="12"/>
      <c r="I30" s="2"/>
      <c r="J30" s="2"/>
      <c r="K30" s="13"/>
      <c r="L30" s="2"/>
      <c r="M30" s="2"/>
      <c r="N30" s="2"/>
      <c r="O30" s="2"/>
      <c r="P30" s="2"/>
      <c r="Q30" s="2"/>
      <c r="R30" s="2"/>
      <c r="S30" s="2"/>
    </row>
    <row r="31" spans="1:19" s="2" customFormat="1" ht="96.2" customHeight="1" outlineLevel="6">
      <c r="A31" s="9">
        <v>14</v>
      </c>
      <c r="B31" s="10" t="s">
        <v>85</v>
      </c>
      <c r="C31" s="65" t="s">
        <v>86</v>
      </c>
      <c r="D31" s="65"/>
      <c r="E31" s="65"/>
      <c r="F31" s="65"/>
      <c r="G31" s="11" t="s">
        <v>87</v>
      </c>
      <c r="H31" s="14">
        <v>164</v>
      </c>
      <c r="I31" s="15"/>
      <c r="J31" s="9">
        <v>1</v>
      </c>
      <c r="K31" s="22">
        <v>1421.08</v>
      </c>
      <c r="L31" s="17"/>
      <c r="M31" s="15">
        <f t="shared" ref="M31:M37" si="0">K31*L31</f>
        <v>0</v>
      </c>
      <c r="N31" s="18">
        <f>0.356*L31</f>
        <v>0</v>
      </c>
      <c r="O31" s="19">
        <f>0.00542*L31</f>
        <v>0</v>
      </c>
      <c r="P31" s="24" t="s">
        <v>26</v>
      </c>
      <c r="Q31" s="15" t="s">
        <v>88</v>
      </c>
      <c r="R31" s="15"/>
      <c r="S31" s="10" t="str">
        <f>HYPERLINK("https://miland.ru/api/getInfo/image/0f0680db-d5c5-11f0-a28c-00155d82e908")</f>
        <v>https://miland.ru/api/getInfo/image/0f0680db-d5c5-11f0-a28c-00155d82e908</v>
      </c>
    </row>
    <row r="32" spans="1:19" s="2" customFormat="1" ht="96.2" customHeight="1" outlineLevel="6">
      <c r="A32" s="9">
        <v>15</v>
      </c>
      <c r="B32" s="10" t="s">
        <v>89</v>
      </c>
      <c r="C32" s="65" t="s">
        <v>90</v>
      </c>
      <c r="D32" s="65"/>
      <c r="E32" s="65"/>
      <c r="F32" s="65"/>
      <c r="G32" s="11" t="s">
        <v>91</v>
      </c>
      <c r="H32" s="14">
        <v>152</v>
      </c>
      <c r="I32" s="15"/>
      <c r="J32" s="9">
        <v>1</v>
      </c>
      <c r="K32" s="16">
        <v>867.36</v>
      </c>
      <c r="L32" s="17"/>
      <c r="M32" s="15">
        <f t="shared" si="0"/>
        <v>0</v>
      </c>
      <c r="N32" s="23">
        <f>1.25*L32</f>
        <v>0</v>
      </c>
      <c r="O32" s="19">
        <f>0.01419*L32</f>
        <v>0</v>
      </c>
      <c r="P32" s="24" t="s">
        <v>26</v>
      </c>
      <c r="Q32" s="15" t="s">
        <v>92</v>
      </c>
      <c r="R32" s="15"/>
      <c r="S32" s="10" t="str">
        <f>HYPERLINK("https://miland.ru/api/getInfo/image/fc8935bb-d5be-11f0-a28c-00155d82e908")</f>
        <v>https://miland.ru/api/getInfo/image/fc8935bb-d5be-11f0-a28c-00155d82e908</v>
      </c>
    </row>
    <row r="33" spans="1:19" s="2" customFormat="1" ht="96.2" customHeight="1" outlineLevel="6">
      <c r="A33" s="9">
        <v>16</v>
      </c>
      <c r="B33" s="10" t="s">
        <v>93</v>
      </c>
      <c r="C33" s="65" t="s">
        <v>94</v>
      </c>
      <c r="D33" s="65"/>
      <c r="E33" s="65"/>
      <c r="F33" s="65"/>
      <c r="G33" s="11" t="s">
        <v>95</v>
      </c>
      <c r="H33" s="14">
        <v>125</v>
      </c>
      <c r="I33" s="15"/>
      <c r="J33" s="9">
        <v>1</v>
      </c>
      <c r="K33" s="22">
        <v>1421.08</v>
      </c>
      <c r="L33" s="17"/>
      <c r="M33" s="15">
        <f t="shared" si="0"/>
        <v>0</v>
      </c>
      <c r="N33" s="18">
        <f>0.357*L33</f>
        <v>0</v>
      </c>
      <c r="O33" s="19">
        <f>0.00781*L33</f>
        <v>0</v>
      </c>
      <c r="P33" s="24" t="s">
        <v>26</v>
      </c>
      <c r="Q33" s="15" t="s">
        <v>96</v>
      </c>
      <c r="R33" s="15"/>
      <c r="S33" s="10" t="str">
        <f>HYPERLINK("https://miland.ru/api/getInfo/image/45bffd67-d5c5-11f0-a28c-00155d82e908")</f>
        <v>https://miland.ru/api/getInfo/image/45bffd67-d5c5-11f0-a28c-00155d82e908</v>
      </c>
    </row>
    <row r="34" spans="1:19" s="2" customFormat="1" ht="96.2" customHeight="1" outlineLevel="6">
      <c r="A34" s="9">
        <v>17</v>
      </c>
      <c r="B34" s="10" t="s">
        <v>97</v>
      </c>
      <c r="C34" s="65" t="s">
        <v>98</v>
      </c>
      <c r="D34" s="65"/>
      <c r="E34" s="65"/>
      <c r="F34" s="65"/>
      <c r="G34" s="11" t="s">
        <v>99</v>
      </c>
      <c r="H34" s="14">
        <v>218</v>
      </c>
      <c r="I34" s="15"/>
      <c r="J34" s="9">
        <v>1</v>
      </c>
      <c r="K34" s="16">
        <v>667</v>
      </c>
      <c r="L34" s="17"/>
      <c r="M34" s="15">
        <f t="shared" si="0"/>
        <v>0</v>
      </c>
      <c r="N34" s="18">
        <f>0.578*L34</f>
        <v>0</v>
      </c>
      <c r="O34" s="19">
        <f>0.00722*L34</f>
        <v>0</v>
      </c>
      <c r="P34" s="24" t="s">
        <v>26</v>
      </c>
      <c r="Q34" s="15" t="s">
        <v>100</v>
      </c>
      <c r="R34" s="15"/>
      <c r="S34" s="10" t="str">
        <f>HYPERLINK("https://miland.ru/api/getInfo/image/21ef2fd8-d5be-11f0-a28c-00155d82e908")</f>
        <v>https://miland.ru/api/getInfo/image/21ef2fd8-d5be-11f0-a28c-00155d82e908</v>
      </c>
    </row>
    <row r="35" spans="1:19" s="2" customFormat="1" ht="96.2" customHeight="1" outlineLevel="6">
      <c r="A35" s="9">
        <v>18</v>
      </c>
      <c r="B35" s="10" t="s">
        <v>101</v>
      </c>
      <c r="C35" s="65" t="s">
        <v>102</v>
      </c>
      <c r="D35" s="65"/>
      <c r="E35" s="65"/>
      <c r="F35" s="65"/>
      <c r="G35" s="11" t="s">
        <v>103</v>
      </c>
      <c r="H35" s="14">
        <v>36</v>
      </c>
      <c r="I35" s="15"/>
      <c r="J35" s="9">
        <v>1</v>
      </c>
      <c r="K35" s="22">
        <v>1375.3</v>
      </c>
      <c r="L35" s="17"/>
      <c r="M35" s="15">
        <f t="shared" si="0"/>
        <v>0</v>
      </c>
      <c r="N35" s="18">
        <f>0.538*L35</f>
        <v>0</v>
      </c>
      <c r="O35" s="19">
        <f>0.01087*L35</f>
        <v>0</v>
      </c>
      <c r="P35" s="24" t="s">
        <v>26</v>
      </c>
      <c r="Q35" s="15" t="s">
        <v>104</v>
      </c>
      <c r="R35" s="15"/>
      <c r="S35" s="10" t="str">
        <f>HYPERLINK("https://miland.ru/api/getInfo/image/cb03812e-d5c4-11f0-a28c-00155d82e908")</f>
        <v>https://miland.ru/api/getInfo/image/cb03812e-d5c4-11f0-a28c-00155d82e908</v>
      </c>
    </row>
    <row r="36" spans="1:19" s="2" customFormat="1" ht="96.2" customHeight="1" outlineLevel="6">
      <c r="A36" s="9">
        <v>19</v>
      </c>
      <c r="B36" s="10" t="s">
        <v>105</v>
      </c>
      <c r="C36" s="65" t="s">
        <v>106</v>
      </c>
      <c r="D36" s="65"/>
      <c r="E36" s="65"/>
      <c r="F36" s="65"/>
      <c r="G36" s="11" t="s">
        <v>107</v>
      </c>
      <c r="H36" s="14">
        <v>255</v>
      </c>
      <c r="I36" s="15"/>
      <c r="J36" s="9">
        <v>1</v>
      </c>
      <c r="K36" s="22">
        <v>1375.3</v>
      </c>
      <c r="L36" s="17"/>
      <c r="M36" s="15">
        <f t="shared" si="0"/>
        <v>0</v>
      </c>
      <c r="N36" s="18">
        <f>0.556*L36</f>
        <v>0</v>
      </c>
      <c r="O36" s="19">
        <f>0.00812*L36</f>
        <v>0</v>
      </c>
      <c r="P36" s="24" t="s">
        <v>26</v>
      </c>
      <c r="Q36" s="15" t="s">
        <v>108</v>
      </c>
      <c r="R36" s="15"/>
      <c r="S36" s="10" t="str">
        <f>HYPERLINK("https://miland.ru/api/getInfo/image/89d7beec-d5c4-11f0-a28c-00155d82e908")</f>
        <v>https://miland.ru/api/getInfo/image/89d7beec-d5c4-11f0-a28c-00155d82e908</v>
      </c>
    </row>
    <row r="37" spans="1:19" s="2" customFormat="1" ht="96.2" customHeight="1" outlineLevel="6">
      <c r="A37" s="9">
        <v>20</v>
      </c>
      <c r="B37" s="10" t="s">
        <v>109</v>
      </c>
      <c r="C37" s="65" t="s">
        <v>110</v>
      </c>
      <c r="D37" s="65"/>
      <c r="E37" s="65"/>
      <c r="F37" s="65"/>
      <c r="G37" s="11" t="s">
        <v>111</v>
      </c>
      <c r="H37" s="14">
        <v>99</v>
      </c>
      <c r="I37" s="15"/>
      <c r="J37" s="9">
        <v>1</v>
      </c>
      <c r="K37" s="16">
        <v>894.63</v>
      </c>
      <c r="L37" s="17"/>
      <c r="M37" s="15">
        <f t="shared" si="0"/>
        <v>0</v>
      </c>
      <c r="N37" s="18">
        <f>0.382*L37</f>
        <v>0</v>
      </c>
      <c r="O37" s="19">
        <f>0.00765*L37</f>
        <v>0</v>
      </c>
      <c r="P37" s="24" t="s">
        <v>26</v>
      </c>
      <c r="Q37" s="15" t="s">
        <v>112</v>
      </c>
      <c r="R37" s="15"/>
      <c r="S37" s="10" t="str">
        <f>HYPERLINK("https://miland.ru/api/getInfo/image/3e5a1212-d5bf-11f0-a28c-00155d82e908")</f>
        <v>https://miland.ru/api/getInfo/image/3e5a1212-d5bf-11f0-a28c-00155d82e908</v>
      </c>
    </row>
    <row r="38" spans="1:19" s="1" customFormat="1" ht="12" customHeight="1" outlineLevel="5">
      <c r="A38" s="64" t="s">
        <v>113</v>
      </c>
      <c r="B38" s="64"/>
      <c r="C38" s="64"/>
      <c r="D38" s="64"/>
      <c r="E38" s="64"/>
      <c r="F38" s="64"/>
      <c r="G38" s="8"/>
      <c r="H38" s="12"/>
      <c r="I38" s="2"/>
      <c r="J38" s="2"/>
      <c r="K38" s="13"/>
      <c r="L38" s="2"/>
      <c r="M38" s="2"/>
      <c r="N38" s="2"/>
      <c r="O38" s="2"/>
      <c r="P38" s="2"/>
      <c r="Q38" s="2"/>
      <c r="R38" s="2"/>
      <c r="S38" s="2"/>
    </row>
    <row r="39" spans="1:19" s="2" customFormat="1" ht="96.2" customHeight="1" outlineLevel="6">
      <c r="A39" s="9">
        <v>21</v>
      </c>
      <c r="B39" s="10" t="s">
        <v>114</v>
      </c>
      <c r="C39" s="65" t="s">
        <v>115</v>
      </c>
      <c r="D39" s="65"/>
      <c r="E39" s="65"/>
      <c r="F39" s="65"/>
      <c r="G39" s="11" t="s">
        <v>116</v>
      </c>
      <c r="H39" s="21" t="s">
        <v>44</v>
      </c>
      <c r="I39" s="15"/>
      <c r="J39" s="9">
        <v>2</v>
      </c>
      <c r="K39" s="16">
        <v>275.98</v>
      </c>
      <c r="L39" s="17"/>
      <c r="M39" s="15">
        <f t="shared" ref="M39:M44" si="1">K39*L39</f>
        <v>0</v>
      </c>
      <c r="N39" s="18">
        <f>0.154*L39</f>
        <v>0</v>
      </c>
      <c r="O39" s="19">
        <f>0.00067*L39</f>
        <v>0</v>
      </c>
      <c r="P39" s="24" t="s">
        <v>26</v>
      </c>
      <c r="Q39" s="15" t="s">
        <v>117</v>
      </c>
      <c r="R39" s="15"/>
      <c r="S39" s="10" t="str">
        <f>HYPERLINK("https://miland.ru/api/getInfo/image/43cb3bf6-08d7-11f1-a28f-00155d82e908")</f>
        <v>https://miland.ru/api/getInfo/image/43cb3bf6-08d7-11f1-a28f-00155d82e908</v>
      </c>
    </row>
    <row r="40" spans="1:19" s="2" customFormat="1" ht="96.2" customHeight="1" outlineLevel="6">
      <c r="A40" s="9">
        <v>22</v>
      </c>
      <c r="B40" s="10" t="s">
        <v>118</v>
      </c>
      <c r="C40" s="65" t="s">
        <v>119</v>
      </c>
      <c r="D40" s="65"/>
      <c r="E40" s="65"/>
      <c r="F40" s="65"/>
      <c r="G40" s="11" t="s">
        <v>120</v>
      </c>
      <c r="H40" s="14">
        <v>401</v>
      </c>
      <c r="I40" s="15"/>
      <c r="J40" s="9">
        <v>2</v>
      </c>
      <c r="K40" s="16">
        <v>275.98</v>
      </c>
      <c r="L40" s="17"/>
      <c r="M40" s="15">
        <f t="shared" si="1"/>
        <v>0</v>
      </c>
      <c r="N40" s="18">
        <f>0.117*L40</f>
        <v>0</v>
      </c>
      <c r="O40" s="19">
        <f>0.00067*L40</f>
        <v>0</v>
      </c>
      <c r="P40" s="24" t="s">
        <v>26</v>
      </c>
      <c r="Q40" s="15" t="s">
        <v>121</v>
      </c>
      <c r="R40" s="15"/>
      <c r="S40" s="10" t="str">
        <f>HYPERLINK("https://miland.ru/api/getInfo/image/26cd015c-08d7-11f1-a28f-00155d82e908")</f>
        <v>https://miland.ru/api/getInfo/image/26cd015c-08d7-11f1-a28f-00155d82e908</v>
      </c>
    </row>
    <row r="41" spans="1:19" s="2" customFormat="1" ht="96.2" customHeight="1" outlineLevel="6">
      <c r="A41" s="9">
        <v>23</v>
      </c>
      <c r="B41" s="10" t="s">
        <v>122</v>
      </c>
      <c r="C41" s="65" t="s">
        <v>123</v>
      </c>
      <c r="D41" s="65"/>
      <c r="E41" s="65"/>
      <c r="F41" s="65"/>
      <c r="G41" s="11" t="s">
        <v>124</v>
      </c>
      <c r="H41" s="14">
        <v>5</v>
      </c>
      <c r="I41" s="15"/>
      <c r="J41" s="9">
        <v>2</v>
      </c>
      <c r="K41" s="16">
        <v>275.98</v>
      </c>
      <c r="L41" s="17"/>
      <c r="M41" s="15">
        <f t="shared" si="1"/>
        <v>0</v>
      </c>
      <c r="N41" s="18">
        <f>0.129*L41</f>
        <v>0</v>
      </c>
      <c r="O41" s="19">
        <f>0.00063*L41</f>
        <v>0</v>
      </c>
      <c r="P41" s="24" t="s">
        <v>26</v>
      </c>
      <c r="Q41" s="15" t="s">
        <v>125</v>
      </c>
      <c r="R41" s="15"/>
      <c r="S41" s="10" t="str">
        <f>HYPERLINK("https://miland.ru/api/getInfo/image/055d8800-08d7-11f1-a28f-00155d82e908")</f>
        <v>https://miland.ru/api/getInfo/image/055d8800-08d7-11f1-a28f-00155d82e908</v>
      </c>
    </row>
    <row r="42" spans="1:19" s="2" customFormat="1" ht="96.2" customHeight="1" outlineLevel="6">
      <c r="A42" s="9">
        <v>24</v>
      </c>
      <c r="B42" s="10" t="s">
        <v>126</v>
      </c>
      <c r="C42" s="65" t="s">
        <v>127</v>
      </c>
      <c r="D42" s="65"/>
      <c r="E42" s="65"/>
      <c r="F42" s="65"/>
      <c r="G42" s="11" t="s">
        <v>128</v>
      </c>
      <c r="H42" s="14">
        <v>32</v>
      </c>
      <c r="I42" s="15"/>
      <c r="J42" s="9">
        <v>2</v>
      </c>
      <c r="K42" s="16">
        <v>275.98</v>
      </c>
      <c r="L42" s="17"/>
      <c r="M42" s="15">
        <f t="shared" si="1"/>
        <v>0</v>
      </c>
      <c r="N42" s="18">
        <f>0.134*L42</f>
        <v>0</v>
      </c>
      <c r="O42" s="19">
        <f>0.00059*L42</f>
        <v>0</v>
      </c>
      <c r="P42" s="24" t="s">
        <v>26</v>
      </c>
      <c r="Q42" s="15" t="s">
        <v>129</v>
      </c>
      <c r="R42" s="15"/>
      <c r="S42" s="10" t="str">
        <f>HYPERLINK("https://miland.ru/api/getInfo/image/3d0a3f30-08d6-11f1-a28f-00155d82e908")</f>
        <v>https://miland.ru/api/getInfo/image/3d0a3f30-08d6-11f1-a28f-00155d82e908</v>
      </c>
    </row>
    <row r="43" spans="1:19" s="2" customFormat="1" ht="96.2" customHeight="1" outlineLevel="6">
      <c r="A43" s="9">
        <v>25</v>
      </c>
      <c r="B43" s="10" t="s">
        <v>130</v>
      </c>
      <c r="C43" s="65" t="s">
        <v>131</v>
      </c>
      <c r="D43" s="65"/>
      <c r="E43" s="65"/>
      <c r="F43" s="65"/>
      <c r="G43" s="11" t="s">
        <v>132</v>
      </c>
      <c r="H43" s="14">
        <v>236</v>
      </c>
      <c r="I43" s="15"/>
      <c r="J43" s="9">
        <v>2</v>
      </c>
      <c r="K43" s="16">
        <v>343.45</v>
      </c>
      <c r="L43" s="17"/>
      <c r="M43" s="15">
        <f t="shared" si="1"/>
        <v>0</v>
      </c>
      <c r="N43" s="18">
        <f>0.084*L43</f>
        <v>0</v>
      </c>
      <c r="O43" s="19">
        <f>0.00033*L43</f>
        <v>0</v>
      </c>
      <c r="P43" s="24" t="s">
        <v>26</v>
      </c>
      <c r="Q43" s="15" t="s">
        <v>133</v>
      </c>
      <c r="R43" s="15"/>
      <c r="S43" s="10" t="str">
        <f>HYPERLINK("https://miland.ru/api/getInfo/image/9d918f89-08d7-11f1-a28f-00155d82e908")</f>
        <v>https://miland.ru/api/getInfo/image/9d918f89-08d7-11f1-a28f-00155d82e908</v>
      </c>
    </row>
    <row r="44" spans="1:19" s="2" customFormat="1" ht="96.2" customHeight="1" outlineLevel="6">
      <c r="A44" s="9">
        <v>26</v>
      </c>
      <c r="B44" s="10" t="s">
        <v>134</v>
      </c>
      <c r="C44" s="65" t="s">
        <v>135</v>
      </c>
      <c r="D44" s="65"/>
      <c r="E44" s="65"/>
      <c r="F44" s="65"/>
      <c r="G44" s="11" t="s">
        <v>136</v>
      </c>
      <c r="H44" s="14">
        <v>103</v>
      </c>
      <c r="I44" s="15"/>
      <c r="J44" s="9">
        <v>2</v>
      </c>
      <c r="K44" s="16">
        <v>343.45</v>
      </c>
      <c r="L44" s="17"/>
      <c r="M44" s="15">
        <f t="shared" si="1"/>
        <v>0</v>
      </c>
      <c r="N44" s="18">
        <f>0.088*L44</f>
        <v>0</v>
      </c>
      <c r="O44" s="19">
        <f>0.00038*L44</f>
        <v>0</v>
      </c>
      <c r="P44" s="24" t="s">
        <v>26</v>
      </c>
      <c r="Q44" s="15" t="s">
        <v>137</v>
      </c>
      <c r="R44" s="15"/>
      <c r="S44" s="10" t="str">
        <f>HYPERLINK("https://miland.ru/api/getInfo/image/65d48462-08d7-11f1-a28f-00155d82e908")</f>
        <v>https://miland.ru/api/getInfo/image/65d48462-08d7-11f1-a28f-00155d82e908</v>
      </c>
    </row>
    <row r="45" spans="1:19" s="1" customFormat="1" ht="12" customHeight="1" outlineLevel="4">
      <c r="A45" s="64" t="s">
        <v>138</v>
      </c>
      <c r="B45" s="64"/>
      <c r="C45" s="64"/>
      <c r="D45" s="64"/>
      <c r="E45" s="64"/>
      <c r="F45" s="64"/>
      <c r="G45" s="8"/>
      <c r="H45" s="12"/>
      <c r="I45" s="2"/>
      <c r="J45" s="2"/>
      <c r="K45" s="13"/>
      <c r="L45" s="2"/>
      <c r="M45" s="2"/>
      <c r="N45" s="2"/>
      <c r="O45" s="2"/>
      <c r="P45" s="2"/>
      <c r="Q45" s="2"/>
      <c r="R45" s="2"/>
      <c r="S45" s="2"/>
    </row>
    <row r="46" spans="1:19" s="2" customFormat="1" ht="96.2" customHeight="1" outlineLevel="5">
      <c r="A46" s="9">
        <v>27</v>
      </c>
      <c r="B46" s="10" t="s">
        <v>139</v>
      </c>
      <c r="C46" s="65" t="s">
        <v>140</v>
      </c>
      <c r="D46" s="65"/>
      <c r="E46" s="65"/>
      <c r="F46" s="65"/>
      <c r="G46" s="11" t="s">
        <v>141</v>
      </c>
      <c r="H46" s="21" t="s">
        <v>44</v>
      </c>
      <c r="I46" s="15"/>
      <c r="J46" s="9">
        <v>3</v>
      </c>
      <c r="K46" s="16">
        <v>123.11</v>
      </c>
      <c r="L46" s="17"/>
      <c r="M46" s="15">
        <f>K46*L46</f>
        <v>0</v>
      </c>
      <c r="N46" s="18">
        <f>0.063*L46</f>
        <v>0</v>
      </c>
      <c r="O46" s="19">
        <f>0.00157*L46</f>
        <v>0</v>
      </c>
      <c r="P46" s="24" t="s">
        <v>26</v>
      </c>
      <c r="Q46" s="15" t="s">
        <v>142</v>
      </c>
      <c r="R46" s="15"/>
      <c r="S46" s="10" t="str">
        <f>HYPERLINK("https://miland.ru/api/getInfo/image/dfb74a4b-fc3f-11f0-a28e-00155d82e908")</f>
        <v>https://miland.ru/api/getInfo/image/dfb74a4b-fc3f-11f0-a28e-00155d82e908</v>
      </c>
    </row>
    <row r="47" spans="1:19" s="2" customFormat="1" ht="96.2" customHeight="1" outlineLevel="5">
      <c r="A47" s="9">
        <v>28</v>
      </c>
      <c r="B47" s="10" t="s">
        <v>143</v>
      </c>
      <c r="C47" s="65" t="s">
        <v>144</v>
      </c>
      <c r="D47" s="65"/>
      <c r="E47" s="65"/>
      <c r="F47" s="65"/>
      <c r="G47" s="11" t="s">
        <v>145</v>
      </c>
      <c r="H47" s="21" t="s">
        <v>44</v>
      </c>
      <c r="I47" s="15"/>
      <c r="J47" s="9">
        <v>3</v>
      </c>
      <c r="K47" s="16">
        <v>123.11</v>
      </c>
      <c r="L47" s="17"/>
      <c r="M47" s="15">
        <f>K47*L47</f>
        <v>0</v>
      </c>
      <c r="N47" s="18">
        <f>0.057*L47</f>
        <v>0</v>
      </c>
      <c r="O47" s="19">
        <f>0.00012*L47</f>
        <v>0</v>
      </c>
      <c r="P47" s="24" t="s">
        <v>26</v>
      </c>
      <c r="Q47" s="15" t="s">
        <v>146</v>
      </c>
      <c r="R47" s="15"/>
      <c r="S47" s="10" t="str">
        <f>HYPERLINK("https://miland.ru/api/getInfo/image/b9d1a529-fc3f-11f0-a28e-00155d82e908")</f>
        <v>https://miland.ru/api/getInfo/image/b9d1a529-fc3f-11f0-a28e-00155d82e908</v>
      </c>
    </row>
    <row r="48" spans="1:19" s="2" customFormat="1" ht="96.2" customHeight="1" outlineLevel="5">
      <c r="A48" s="9">
        <v>29</v>
      </c>
      <c r="B48" s="10" t="s">
        <v>147</v>
      </c>
      <c r="C48" s="65" t="s">
        <v>148</v>
      </c>
      <c r="D48" s="65"/>
      <c r="E48" s="65"/>
      <c r="F48" s="65"/>
      <c r="G48" s="11" t="s">
        <v>149</v>
      </c>
      <c r="H48" s="21" t="s">
        <v>44</v>
      </c>
      <c r="I48" s="15"/>
      <c r="J48" s="9">
        <v>3</v>
      </c>
      <c r="K48" s="16">
        <v>123.11</v>
      </c>
      <c r="L48" s="17"/>
      <c r="M48" s="15">
        <f>K48*L48</f>
        <v>0</v>
      </c>
      <c r="N48" s="18">
        <f>0.046*L48</f>
        <v>0</v>
      </c>
      <c r="O48" s="19">
        <f>0.00081*L48</f>
        <v>0</v>
      </c>
      <c r="P48" s="24" t="s">
        <v>26</v>
      </c>
      <c r="Q48" s="15" t="s">
        <v>150</v>
      </c>
      <c r="R48" s="15"/>
      <c r="S48" s="10" t="str">
        <f>HYPERLINK("https://miland.ru/api/getInfo/image/cd3cb2e8-fc3f-11f0-a28e-00155d82e908")</f>
        <v>https://miland.ru/api/getInfo/image/cd3cb2e8-fc3f-11f0-a28e-00155d82e908</v>
      </c>
    </row>
    <row r="49" spans="1:19" s="1" customFormat="1" ht="12" customHeight="1" outlineLevel="4">
      <c r="A49" s="64" t="s">
        <v>151</v>
      </c>
      <c r="B49" s="64"/>
      <c r="C49" s="64"/>
      <c r="D49" s="64"/>
      <c r="E49" s="64"/>
      <c r="F49" s="64"/>
      <c r="G49" s="8"/>
      <c r="H49" s="12"/>
      <c r="I49" s="2"/>
      <c r="J49" s="2"/>
      <c r="K49" s="13"/>
      <c r="L49" s="2"/>
      <c r="M49" s="2"/>
      <c r="N49" s="2"/>
      <c r="O49" s="2"/>
      <c r="P49" s="2"/>
      <c r="Q49" s="2"/>
      <c r="R49" s="2"/>
      <c r="S49" s="2"/>
    </row>
    <row r="50" spans="1:19" s="2" customFormat="1" ht="96.2" customHeight="1" outlineLevel="5">
      <c r="A50" s="9">
        <v>30</v>
      </c>
      <c r="B50" s="10" t="s">
        <v>152</v>
      </c>
      <c r="C50" s="65" t="s">
        <v>153</v>
      </c>
      <c r="D50" s="65"/>
      <c r="E50" s="65"/>
      <c r="F50" s="65"/>
      <c r="G50" s="11" t="s">
        <v>154</v>
      </c>
      <c r="H50" s="21" t="s">
        <v>44</v>
      </c>
      <c r="I50" s="15"/>
      <c r="J50" s="9">
        <v>5</v>
      </c>
      <c r="K50" s="16">
        <v>93.6</v>
      </c>
      <c r="L50" s="17"/>
      <c r="M50" s="15">
        <f>K50*L50</f>
        <v>0</v>
      </c>
      <c r="N50" s="18">
        <f>0.027*L50</f>
        <v>0</v>
      </c>
      <c r="O50" s="19">
        <f>0.00015*L50</f>
        <v>0</v>
      </c>
      <c r="P50" s="24" t="s">
        <v>26</v>
      </c>
      <c r="Q50" s="15" t="s">
        <v>155</v>
      </c>
      <c r="R50" s="15"/>
      <c r="S50" s="10" t="str">
        <f>HYPERLINK("https://miland.ru/api/getInfo/image/7fcca58f-fc3f-11f0-a28e-00155d82e908")</f>
        <v>https://miland.ru/api/getInfo/image/7fcca58f-fc3f-11f0-a28e-00155d82e908</v>
      </c>
    </row>
    <row r="51" spans="1:19" s="2" customFormat="1" ht="96.2" customHeight="1" outlineLevel="5">
      <c r="A51" s="9">
        <v>31</v>
      </c>
      <c r="B51" s="10" t="s">
        <v>156</v>
      </c>
      <c r="C51" s="65" t="s">
        <v>157</v>
      </c>
      <c r="D51" s="65"/>
      <c r="E51" s="65"/>
      <c r="F51" s="65"/>
      <c r="G51" s="11" t="s">
        <v>158</v>
      </c>
      <c r="H51" s="21" t="s">
        <v>44</v>
      </c>
      <c r="I51" s="15"/>
      <c r="J51" s="9">
        <v>7</v>
      </c>
      <c r="K51" s="16">
        <v>64.08</v>
      </c>
      <c r="L51" s="17"/>
      <c r="M51" s="15">
        <f>K51*L51</f>
        <v>0</v>
      </c>
      <c r="N51" s="18">
        <f>0.017*L51</f>
        <v>0</v>
      </c>
      <c r="O51" s="19">
        <f>0.00004*L51</f>
        <v>0</v>
      </c>
      <c r="P51" s="24" t="s">
        <v>26</v>
      </c>
      <c r="Q51" s="15" t="s">
        <v>159</v>
      </c>
      <c r="R51" s="15"/>
      <c r="S51" s="10" t="str">
        <f>HYPERLINK("https://miland.ru/api/getInfo/image/75d6c394-fc3e-11f0-a28e-00155d82e908")</f>
        <v>https://miland.ru/api/getInfo/image/75d6c394-fc3e-11f0-a28e-00155d82e908</v>
      </c>
    </row>
    <row r="52" spans="1:19" s="2" customFormat="1" ht="96.2" customHeight="1" outlineLevel="5">
      <c r="A52" s="9">
        <v>32</v>
      </c>
      <c r="B52" s="10" t="s">
        <v>160</v>
      </c>
      <c r="C52" s="65" t="s">
        <v>161</v>
      </c>
      <c r="D52" s="65"/>
      <c r="E52" s="65"/>
      <c r="F52" s="65"/>
      <c r="G52" s="11" t="s">
        <v>162</v>
      </c>
      <c r="H52" s="21" t="s">
        <v>44</v>
      </c>
      <c r="I52" s="15"/>
      <c r="J52" s="9">
        <v>7</v>
      </c>
      <c r="K52" s="16">
        <v>64.08</v>
      </c>
      <c r="L52" s="17"/>
      <c r="M52" s="15">
        <f>K52*L52</f>
        <v>0</v>
      </c>
      <c r="N52" s="18">
        <f>0.017*L52</f>
        <v>0</v>
      </c>
      <c r="O52" s="19">
        <f>0.00008*L52</f>
        <v>0</v>
      </c>
      <c r="P52" s="24" t="s">
        <v>26</v>
      </c>
      <c r="Q52" s="15" t="s">
        <v>163</v>
      </c>
      <c r="R52" s="15"/>
      <c r="S52" s="10" t="str">
        <f>HYPERLINK("https://miland.ru/api/getInfo/image/7256e18e-fc3f-11f0-a28e-00155d82e908")</f>
        <v>https://miland.ru/api/getInfo/image/7256e18e-fc3f-11f0-a28e-00155d82e908</v>
      </c>
    </row>
    <row r="53" spans="1:19" s="2" customFormat="1" ht="96.2" customHeight="1" outlineLevel="5">
      <c r="A53" s="9">
        <v>33</v>
      </c>
      <c r="B53" s="10" t="s">
        <v>164</v>
      </c>
      <c r="C53" s="65" t="s">
        <v>165</v>
      </c>
      <c r="D53" s="65"/>
      <c r="E53" s="65"/>
      <c r="F53" s="65"/>
      <c r="G53" s="11" t="s">
        <v>166</v>
      </c>
      <c r="H53" s="21" t="s">
        <v>44</v>
      </c>
      <c r="I53" s="15"/>
      <c r="J53" s="9">
        <v>5</v>
      </c>
      <c r="K53" s="16">
        <v>93.6</v>
      </c>
      <c r="L53" s="17"/>
      <c r="M53" s="15">
        <f>K53*L53</f>
        <v>0</v>
      </c>
      <c r="N53" s="18">
        <f>0.026*L53</f>
        <v>0</v>
      </c>
      <c r="O53" s="19">
        <f>0.00015*L53</f>
        <v>0</v>
      </c>
      <c r="P53" s="24" t="s">
        <v>26</v>
      </c>
      <c r="Q53" s="15" t="s">
        <v>167</v>
      </c>
      <c r="R53" s="15"/>
      <c r="S53" s="10" t="str">
        <f>HYPERLINK("https://miland.ru/api/getInfo/image/905290ca-fc3f-11f0-a28e-00155d82e908")</f>
        <v>https://miland.ru/api/getInfo/image/905290ca-fc3f-11f0-a28e-00155d82e908</v>
      </c>
    </row>
    <row r="54" spans="1:19" s="2" customFormat="1" ht="96.2" customHeight="1" outlineLevel="5">
      <c r="A54" s="9">
        <v>34</v>
      </c>
      <c r="B54" s="10" t="s">
        <v>168</v>
      </c>
      <c r="C54" s="65" t="s">
        <v>169</v>
      </c>
      <c r="D54" s="65"/>
      <c r="E54" s="65"/>
      <c r="F54" s="65"/>
      <c r="G54" s="11" t="s">
        <v>170</v>
      </c>
      <c r="H54" s="21" t="s">
        <v>44</v>
      </c>
      <c r="I54" s="15"/>
      <c r="J54" s="9">
        <v>4</v>
      </c>
      <c r="K54" s="16">
        <v>145.25</v>
      </c>
      <c r="L54" s="17"/>
      <c r="M54" s="15">
        <f>K54*L54</f>
        <v>0</v>
      </c>
      <c r="N54" s="18">
        <f>0.052*L54</f>
        <v>0</v>
      </c>
      <c r="O54" s="19">
        <f>0.00067*L54</f>
        <v>0</v>
      </c>
      <c r="P54" s="24" t="s">
        <v>26</v>
      </c>
      <c r="Q54" s="15" t="s">
        <v>171</v>
      </c>
      <c r="R54" s="15"/>
      <c r="S54" s="10" t="str">
        <f>HYPERLINK("https://miland.ru/api/getInfo/image/a09c5b80-fc3f-11f0-a28e-00155d82e908")</f>
        <v>https://miland.ru/api/getInfo/image/a09c5b80-fc3f-11f0-a28e-00155d82e908</v>
      </c>
    </row>
    <row r="55" spans="1:19" s="1" customFormat="1" ht="12" customHeight="1" outlineLevel="4">
      <c r="A55" s="64" t="s">
        <v>172</v>
      </c>
      <c r="B55" s="64"/>
      <c r="C55" s="64"/>
      <c r="D55" s="64"/>
      <c r="E55" s="64"/>
      <c r="F55" s="64"/>
      <c r="G55" s="8"/>
      <c r="H55" s="12"/>
      <c r="I55" s="2"/>
      <c r="J55" s="2"/>
      <c r="K55" s="13"/>
      <c r="L55" s="2"/>
      <c r="M55" s="2"/>
      <c r="N55" s="2"/>
      <c r="O55" s="2"/>
      <c r="P55" s="2"/>
      <c r="Q55" s="2"/>
      <c r="R55" s="2"/>
      <c r="S55" s="2"/>
    </row>
    <row r="56" spans="1:19" s="2" customFormat="1" ht="96.2" customHeight="1" outlineLevel="5">
      <c r="A56" s="9">
        <v>35</v>
      </c>
      <c r="B56" s="10" t="s">
        <v>173</v>
      </c>
      <c r="C56" s="65" t="s">
        <v>174</v>
      </c>
      <c r="D56" s="65"/>
      <c r="E56" s="65"/>
      <c r="F56" s="65"/>
      <c r="G56" s="11" t="s">
        <v>175</v>
      </c>
      <c r="H56" s="14">
        <v>251</v>
      </c>
      <c r="I56" s="15"/>
      <c r="J56" s="9">
        <v>1</v>
      </c>
      <c r="K56" s="16">
        <v>761.03</v>
      </c>
      <c r="L56" s="17"/>
      <c r="M56" s="15">
        <f>K56*L56</f>
        <v>0</v>
      </c>
      <c r="N56" s="18">
        <f>0.313*L56</f>
        <v>0</v>
      </c>
      <c r="O56" s="19">
        <f>0.00374*L56</f>
        <v>0</v>
      </c>
      <c r="P56" s="24" t="s">
        <v>26</v>
      </c>
      <c r="Q56" s="15" t="s">
        <v>176</v>
      </c>
      <c r="R56" s="15"/>
      <c r="S56" s="10" t="str">
        <f>HYPERLINK("https://miland.ru/api/getInfo/image/b4a0efff-afe2-11f0-a286-00155d82e908")</f>
        <v>https://miland.ru/api/getInfo/image/b4a0efff-afe2-11f0-a286-00155d82e908</v>
      </c>
    </row>
    <row r="57" spans="1:19" s="1" customFormat="1" ht="12" customHeight="1" outlineLevel="4">
      <c r="A57" s="64" t="s">
        <v>177</v>
      </c>
      <c r="B57" s="64"/>
      <c r="C57" s="64"/>
      <c r="D57" s="64"/>
      <c r="E57" s="64"/>
      <c r="F57" s="64"/>
      <c r="G57" s="8"/>
      <c r="H57" s="12"/>
      <c r="I57" s="2"/>
      <c r="J57" s="2"/>
      <c r="K57" s="13"/>
      <c r="L57" s="2"/>
      <c r="M57" s="2"/>
      <c r="N57" s="2"/>
      <c r="O57" s="2"/>
      <c r="P57" s="2"/>
      <c r="Q57" s="2"/>
      <c r="R57" s="2"/>
      <c r="S57" s="2"/>
    </row>
    <row r="58" spans="1:19" s="2" customFormat="1" ht="96.2" customHeight="1" outlineLevel="5">
      <c r="A58" s="9">
        <v>36</v>
      </c>
      <c r="B58" s="10" t="s">
        <v>178</v>
      </c>
      <c r="C58" s="65" t="s">
        <v>179</v>
      </c>
      <c r="D58" s="65"/>
      <c r="E58" s="65"/>
      <c r="F58" s="65"/>
      <c r="G58" s="11" t="s">
        <v>180</v>
      </c>
      <c r="H58" s="14">
        <v>28</v>
      </c>
      <c r="I58" s="15"/>
      <c r="J58" s="9">
        <v>3</v>
      </c>
      <c r="K58" s="16">
        <v>177.51</v>
      </c>
      <c r="L58" s="17"/>
      <c r="M58" s="15">
        <f>K58*L58</f>
        <v>0</v>
      </c>
      <c r="N58" s="18">
        <f>0.121*L58</f>
        <v>0</v>
      </c>
      <c r="O58" s="19">
        <f>0.00119*L58</f>
        <v>0</v>
      </c>
      <c r="P58" s="24" t="s">
        <v>26</v>
      </c>
      <c r="Q58" s="15" t="s">
        <v>181</v>
      </c>
      <c r="R58" s="15"/>
      <c r="S58" s="10" t="str">
        <f>HYPERLINK("https://miland.ru/api/getInfo/image/375962a4-af18-11f0-a286-00155d82e908")</f>
        <v>https://miland.ru/api/getInfo/image/375962a4-af18-11f0-a286-00155d82e908</v>
      </c>
    </row>
    <row r="59" spans="1:19" s="1" customFormat="1" ht="12" customHeight="1" outlineLevel="4">
      <c r="A59" s="64" t="s">
        <v>182</v>
      </c>
      <c r="B59" s="64"/>
      <c r="C59" s="64"/>
      <c r="D59" s="64"/>
      <c r="E59" s="64"/>
      <c r="F59" s="64"/>
      <c r="G59" s="8"/>
      <c r="H59" s="12"/>
      <c r="I59" s="2"/>
      <c r="J59" s="2"/>
      <c r="K59" s="13"/>
      <c r="L59" s="2"/>
      <c r="M59" s="2"/>
      <c r="N59" s="2"/>
      <c r="O59" s="2"/>
      <c r="P59" s="2"/>
      <c r="Q59" s="2"/>
      <c r="R59" s="2"/>
      <c r="S59" s="2"/>
    </row>
    <row r="60" spans="1:19" s="2" customFormat="1" ht="96.2" customHeight="1" outlineLevel="5">
      <c r="A60" s="9">
        <v>37</v>
      </c>
      <c r="B60" s="10" t="s">
        <v>183</v>
      </c>
      <c r="C60" s="65" t="s">
        <v>184</v>
      </c>
      <c r="D60" s="65"/>
      <c r="E60" s="65"/>
      <c r="F60" s="65"/>
      <c r="G60" s="11" t="s">
        <v>185</v>
      </c>
      <c r="H60" s="14">
        <v>165</v>
      </c>
      <c r="I60" s="15"/>
      <c r="J60" s="9">
        <v>2</v>
      </c>
      <c r="K60" s="16">
        <v>284.64999999999998</v>
      </c>
      <c r="L60" s="17"/>
      <c r="M60" s="15">
        <f>K60*L60</f>
        <v>0</v>
      </c>
      <c r="N60" s="18">
        <f>0.036*L60</f>
        <v>0</v>
      </c>
      <c r="O60" s="19">
        <f>0.00048*L60</f>
        <v>0</v>
      </c>
      <c r="P60" s="24" t="s">
        <v>26</v>
      </c>
      <c r="Q60" s="15" t="s">
        <v>186</v>
      </c>
      <c r="R60" s="15"/>
      <c r="S60" s="10" t="str">
        <f>HYPERLINK("https://miland.ru/api/getInfo/image/a8642b3d-fce2-11f0-a28e-00155d82e908")</f>
        <v>https://miland.ru/api/getInfo/image/a8642b3d-fce2-11f0-a28e-00155d82e908</v>
      </c>
    </row>
    <row r="61" spans="1:19" s="2" customFormat="1" ht="96.2" customHeight="1" outlineLevel="5">
      <c r="A61" s="9">
        <v>38</v>
      </c>
      <c r="B61" s="10" t="s">
        <v>187</v>
      </c>
      <c r="C61" s="65" t="s">
        <v>188</v>
      </c>
      <c r="D61" s="65"/>
      <c r="E61" s="65"/>
      <c r="F61" s="65"/>
      <c r="G61" s="11" t="s">
        <v>189</v>
      </c>
      <c r="H61" s="14">
        <v>257</v>
      </c>
      <c r="I61" s="15"/>
      <c r="J61" s="9">
        <v>2</v>
      </c>
      <c r="K61" s="16">
        <v>284.64999999999998</v>
      </c>
      <c r="L61" s="17"/>
      <c r="M61" s="15">
        <f>K61*L61</f>
        <v>0</v>
      </c>
      <c r="N61" s="18">
        <f>0.039*L61</f>
        <v>0</v>
      </c>
      <c r="O61" s="19">
        <f>0.00031*L61</f>
        <v>0</v>
      </c>
      <c r="P61" s="24" t="s">
        <v>26</v>
      </c>
      <c r="Q61" s="15" t="s">
        <v>190</v>
      </c>
      <c r="R61" s="15"/>
      <c r="S61" s="10" t="str">
        <f>HYPERLINK("https://miland.ru/api/getInfo/image/1be39eb2-fce3-11f0-a28e-00155d82e908")</f>
        <v>https://miland.ru/api/getInfo/image/1be39eb2-fce3-11f0-a28e-00155d82e908</v>
      </c>
    </row>
    <row r="62" spans="1:19" s="2" customFormat="1" ht="96.2" customHeight="1" outlineLevel="5">
      <c r="A62" s="9">
        <v>39</v>
      </c>
      <c r="B62" s="10" t="s">
        <v>191</v>
      </c>
      <c r="C62" s="65" t="s">
        <v>192</v>
      </c>
      <c r="D62" s="65"/>
      <c r="E62" s="65"/>
      <c r="F62" s="65"/>
      <c r="G62" s="11" t="s">
        <v>193</v>
      </c>
      <c r="H62" s="14">
        <v>2</v>
      </c>
      <c r="I62" s="15"/>
      <c r="J62" s="9">
        <v>1</v>
      </c>
      <c r="K62" s="16">
        <v>440.28</v>
      </c>
      <c r="L62" s="17"/>
      <c r="M62" s="15">
        <f>K62*L62</f>
        <v>0</v>
      </c>
      <c r="N62" s="18">
        <f>0.054*L62</f>
        <v>0</v>
      </c>
      <c r="O62" s="19">
        <f>0.00044*L62</f>
        <v>0</v>
      </c>
      <c r="P62" s="24" t="s">
        <v>26</v>
      </c>
      <c r="Q62" s="15" t="s">
        <v>194</v>
      </c>
      <c r="R62" s="15"/>
      <c r="S62" s="10" t="str">
        <f>HYPERLINK("https://miland.ru/api/getInfo/image/6048e42e-fce3-11f0-a28e-00155d82e908")</f>
        <v>https://miland.ru/api/getInfo/image/6048e42e-fce3-11f0-a28e-00155d82e908</v>
      </c>
    </row>
    <row r="63" spans="1:19" s="2" customFormat="1" ht="96.2" customHeight="1" outlineLevel="5">
      <c r="A63" s="9">
        <v>40</v>
      </c>
      <c r="B63" s="10" t="s">
        <v>195</v>
      </c>
      <c r="C63" s="65" t="s">
        <v>196</v>
      </c>
      <c r="D63" s="65"/>
      <c r="E63" s="65"/>
      <c r="F63" s="65"/>
      <c r="G63" s="11" t="s">
        <v>197</v>
      </c>
      <c r="H63" s="14">
        <v>7</v>
      </c>
      <c r="I63" s="15"/>
      <c r="J63" s="9">
        <v>1</v>
      </c>
      <c r="K63" s="16">
        <v>440.28</v>
      </c>
      <c r="L63" s="17"/>
      <c r="M63" s="15">
        <f>K63*L63</f>
        <v>0</v>
      </c>
      <c r="N63" s="18">
        <f>0.054*L63</f>
        <v>0</v>
      </c>
      <c r="O63" s="19">
        <f>0.00034*L63</f>
        <v>0</v>
      </c>
      <c r="P63" s="24" t="s">
        <v>26</v>
      </c>
      <c r="Q63" s="15" t="s">
        <v>198</v>
      </c>
      <c r="R63" s="15"/>
      <c r="S63" s="10" t="str">
        <f>HYPERLINK("https://miland.ru/api/getInfo/image/b7322e11-fce3-11f0-a28e-00155d82e908")</f>
        <v>https://miland.ru/api/getInfo/image/b7322e11-fce3-11f0-a28e-00155d82e908</v>
      </c>
    </row>
    <row r="64" spans="1:19" s="2" customFormat="1" ht="96.2" customHeight="1" outlineLevel="5">
      <c r="A64" s="9">
        <v>41</v>
      </c>
      <c r="B64" s="10" t="s">
        <v>199</v>
      </c>
      <c r="C64" s="65" t="s">
        <v>200</v>
      </c>
      <c r="D64" s="65"/>
      <c r="E64" s="65"/>
      <c r="F64" s="65"/>
      <c r="G64" s="11" t="s">
        <v>201</v>
      </c>
      <c r="H64" s="14">
        <v>16</v>
      </c>
      <c r="I64" s="15"/>
      <c r="J64" s="9">
        <v>3</v>
      </c>
      <c r="K64" s="16">
        <v>158.15</v>
      </c>
      <c r="L64" s="17"/>
      <c r="M64" s="15">
        <f>K64*L64</f>
        <v>0</v>
      </c>
      <c r="N64" s="18">
        <f>0.022*L64</f>
        <v>0</v>
      </c>
      <c r="O64" s="20">
        <f>0.0003*L64</f>
        <v>0</v>
      </c>
      <c r="P64" s="24" t="s">
        <v>26</v>
      </c>
      <c r="Q64" s="15" t="s">
        <v>202</v>
      </c>
      <c r="R64" s="15"/>
      <c r="S64" s="10" t="str">
        <f>HYPERLINK("https://miland.ru/api/getInfo/image/a7ef96a0-fce1-11f0-a28e-00155d82e908")</f>
        <v>https://miland.ru/api/getInfo/image/a7ef96a0-fce1-11f0-a28e-00155d82e908</v>
      </c>
    </row>
    <row r="65" spans="1:19" s="1" customFormat="1" ht="12" customHeight="1" outlineLevel="4">
      <c r="A65" s="64" t="s">
        <v>203</v>
      </c>
      <c r="B65" s="64"/>
      <c r="C65" s="64"/>
      <c r="D65" s="64"/>
      <c r="E65" s="64"/>
      <c r="F65" s="64"/>
      <c r="G65" s="8"/>
      <c r="H65" s="12"/>
      <c r="I65" s="2"/>
      <c r="J65" s="2"/>
      <c r="K65" s="13"/>
      <c r="L65" s="2"/>
      <c r="M65" s="2"/>
      <c r="N65" s="2"/>
      <c r="O65" s="2"/>
      <c r="P65" s="2"/>
      <c r="Q65" s="2"/>
      <c r="R65" s="2"/>
      <c r="S65" s="2"/>
    </row>
    <row r="66" spans="1:19" s="2" customFormat="1" ht="96.2" customHeight="1" outlineLevel="5">
      <c r="A66" s="9">
        <v>42</v>
      </c>
      <c r="B66" s="10" t="s">
        <v>204</v>
      </c>
      <c r="C66" s="65" t="s">
        <v>205</v>
      </c>
      <c r="D66" s="65"/>
      <c r="E66" s="65"/>
      <c r="F66" s="65"/>
      <c r="G66" s="11" t="s">
        <v>206</v>
      </c>
      <c r="H66" s="14">
        <v>351</v>
      </c>
      <c r="I66" s="15"/>
      <c r="J66" s="9">
        <v>2</v>
      </c>
      <c r="K66" s="16">
        <v>351.68</v>
      </c>
      <c r="L66" s="17"/>
      <c r="M66" s="15">
        <f t="shared" ref="M66:M71" si="2">K66*L66</f>
        <v>0</v>
      </c>
      <c r="N66" s="18">
        <f>0.153*L66</f>
        <v>0</v>
      </c>
      <c r="O66" s="19">
        <f>0.00101*L66</f>
        <v>0</v>
      </c>
      <c r="P66" s="24" t="s">
        <v>26</v>
      </c>
      <c r="Q66" s="15" t="s">
        <v>207</v>
      </c>
      <c r="R66" s="15"/>
      <c r="S66" s="10" t="str">
        <f>HYPERLINK("https://miland.ru/api/getInfo/image/f5ec1680-08e2-11f1-a28f-00155d82e908")</f>
        <v>https://miland.ru/api/getInfo/image/f5ec1680-08e2-11f1-a28f-00155d82e908</v>
      </c>
    </row>
    <row r="67" spans="1:19" s="2" customFormat="1" ht="96.2" customHeight="1" outlineLevel="5">
      <c r="A67" s="9">
        <v>43</v>
      </c>
      <c r="B67" s="10" t="s">
        <v>208</v>
      </c>
      <c r="C67" s="65" t="s">
        <v>209</v>
      </c>
      <c r="D67" s="65"/>
      <c r="E67" s="65"/>
      <c r="F67" s="65"/>
      <c r="G67" s="11" t="s">
        <v>210</v>
      </c>
      <c r="H67" s="14">
        <v>490</v>
      </c>
      <c r="I67" s="15"/>
      <c r="J67" s="9">
        <v>2</v>
      </c>
      <c r="K67" s="16">
        <v>351.68</v>
      </c>
      <c r="L67" s="17"/>
      <c r="M67" s="15">
        <f t="shared" si="2"/>
        <v>0</v>
      </c>
      <c r="N67" s="18">
        <f>0.077*L67</f>
        <v>0</v>
      </c>
      <c r="O67" s="19">
        <f>0.00111*L67</f>
        <v>0</v>
      </c>
      <c r="P67" s="24" t="s">
        <v>26</v>
      </c>
      <c r="Q67" s="15" t="s">
        <v>211</v>
      </c>
      <c r="R67" s="15"/>
      <c r="S67" s="10" t="str">
        <f>HYPERLINK("https://miland.ru/api/getInfo/image/db3ab3dc-08e2-11f1-a28f-00155d82e908")</f>
        <v>https://miland.ru/api/getInfo/image/db3ab3dc-08e2-11f1-a28f-00155d82e908</v>
      </c>
    </row>
    <row r="68" spans="1:19" s="2" customFormat="1" ht="96.2" customHeight="1" outlineLevel="5">
      <c r="A68" s="9">
        <v>44</v>
      </c>
      <c r="B68" s="10" t="s">
        <v>212</v>
      </c>
      <c r="C68" s="65" t="s">
        <v>213</v>
      </c>
      <c r="D68" s="65"/>
      <c r="E68" s="65"/>
      <c r="F68" s="65"/>
      <c r="G68" s="11" t="s">
        <v>214</v>
      </c>
      <c r="H68" s="21" t="s">
        <v>44</v>
      </c>
      <c r="I68" s="15"/>
      <c r="J68" s="9">
        <v>1</v>
      </c>
      <c r="K68" s="16">
        <v>467.75</v>
      </c>
      <c r="L68" s="17"/>
      <c r="M68" s="15">
        <f t="shared" si="2"/>
        <v>0</v>
      </c>
      <c r="N68" s="18">
        <f>0.368*L68</f>
        <v>0</v>
      </c>
      <c r="O68" s="19">
        <f>0.00223*L68</f>
        <v>0</v>
      </c>
      <c r="P68" s="24" t="s">
        <v>26</v>
      </c>
      <c r="Q68" s="15" t="s">
        <v>215</v>
      </c>
      <c r="R68" s="15"/>
      <c r="S68" s="10" t="str">
        <f>HYPERLINK("https://miland.ru/api/getInfo/image/82d8ad9e-08e2-11f1-a28f-00155d82e908")</f>
        <v>https://miland.ru/api/getInfo/image/82d8ad9e-08e2-11f1-a28f-00155d82e908</v>
      </c>
    </row>
    <row r="69" spans="1:19" s="2" customFormat="1" ht="96.2" customHeight="1" outlineLevel="5">
      <c r="A69" s="9">
        <v>45</v>
      </c>
      <c r="B69" s="10" t="s">
        <v>216</v>
      </c>
      <c r="C69" s="65" t="s">
        <v>217</v>
      </c>
      <c r="D69" s="65"/>
      <c r="E69" s="65"/>
      <c r="F69" s="65"/>
      <c r="G69" s="11" t="s">
        <v>218</v>
      </c>
      <c r="H69" s="14">
        <v>283</v>
      </c>
      <c r="I69" s="15"/>
      <c r="J69" s="9">
        <v>2</v>
      </c>
      <c r="K69" s="16">
        <v>351.68</v>
      </c>
      <c r="L69" s="17"/>
      <c r="M69" s="15">
        <f t="shared" si="2"/>
        <v>0</v>
      </c>
      <c r="N69" s="18">
        <f>0.166*L69</f>
        <v>0</v>
      </c>
      <c r="O69" s="18">
        <f>0.001*L69</f>
        <v>0</v>
      </c>
      <c r="P69" s="24" t="s">
        <v>26</v>
      </c>
      <c r="Q69" s="15" t="s">
        <v>219</v>
      </c>
      <c r="R69" s="15"/>
      <c r="S69" s="10" t="str">
        <f>HYPERLINK("https://miland.ru/api/getInfo/image/be226261-08e2-11f1-a28f-00155d82e908")</f>
        <v>https://miland.ru/api/getInfo/image/be226261-08e2-11f1-a28f-00155d82e908</v>
      </c>
    </row>
    <row r="70" spans="1:19" s="2" customFormat="1" ht="96.2" customHeight="1" outlineLevel="5">
      <c r="A70" s="9">
        <v>46</v>
      </c>
      <c r="B70" s="10" t="s">
        <v>220</v>
      </c>
      <c r="C70" s="65" t="s">
        <v>221</v>
      </c>
      <c r="D70" s="65"/>
      <c r="E70" s="65"/>
      <c r="F70" s="65"/>
      <c r="G70" s="11" t="s">
        <v>222</v>
      </c>
      <c r="H70" s="21" t="s">
        <v>44</v>
      </c>
      <c r="I70" s="15"/>
      <c r="J70" s="9">
        <v>1</v>
      </c>
      <c r="K70" s="16">
        <v>524.89</v>
      </c>
      <c r="L70" s="17"/>
      <c r="M70" s="15">
        <f t="shared" si="2"/>
        <v>0</v>
      </c>
      <c r="N70" s="18">
        <f>0.304*L70</f>
        <v>0</v>
      </c>
      <c r="O70" s="19">
        <f>0.00268*L70</f>
        <v>0</v>
      </c>
      <c r="P70" s="24" t="s">
        <v>26</v>
      </c>
      <c r="Q70" s="15" t="s">
        <v>223</v>
      </c>
      <c r="R70" s="15"/>
      <c r="S70" s="10" t="str">
        <f>HYPERLINK("https://miland.ru/api/getInfo/image/62ccc8f5-08e2-11f1-a28f-00155d82e908")</f>
        <v>https://miland.ru/api/getInfo/image/62ccc8f5-08e2-11f1-a28f-00155d82e908</v>
      </c>
    </row>
    <row r="71" spans="1:19" s="2" customFormat="1" ht="96.2" customHeight="1" outlineLevel="5">
      <c r="A71" s="9">
        <v>47</v>
      </c>
      <c r="B71" s="10" t="s">
        <v>224</v>
      </c>
      <c r="C71" s="65" t="s">
        <v>225</v>
      </c>
      <c r="D71" s="65"/>
      <c r="E71" s="65"/>
      <c r="F71" s="65"/>
      <c r="G71" s="11" t="s">
        <v>226</v>
      </c>
      <c r="H71" s="21" t="s">
        <v>44</v>
      </c>
      <c r="I71" s="15"/>
      <c r="J71" s="9">
        <v>1</v>
      </c>
      <c r="K71" s="16">
        <v>524.89</v>
      </c>
      <c r="L71" s="17"/>
      <c r="M71" s="15">
        <f t="shared" si="2"/>
        <v>0</v>
      </c>
      <c r="N71" s="18">
        <f>0.314*L71</f>
        <v>0</v>
      </c>
      <c r="O71" s="19">
        <f>0.00226*L71</f>
        <v>0</v>
      </c>
      <c r="P71" s="24" t="s">
        <v>26</v>
      </c>
      <c r="Q71" s="15" t="s">
        <v>227</v>
      </c>
      <c r="R71" s="15"/>
      <c r="S71" s="10" t="str">
        <f>HYPERLINK("https://miland.ru/api/getInfo/image/33365135-08e2-11f1-a28f-00155d82e908")</f>
        <v>https://miland.ru/api/getInfo/image/33365135-08e2-11f1-a28f-00155d82e908</v>
      </c>
    </row>
    <row r="72" spans="1:19" s="1" customFormat="1" ht="12" customHeight="1" outlineLevel="3">
      <c r="A72" s="64" t="s">
        <v>228</v>
      </c>
      <c r="B72" s="64"/>
      <c r="C72" s="64"/>
      <c r="D72" s="64"/>
      <c r="E72" s="64"/>
      <c r="F72" s="64"/>
      <c r="G72" s="8"/>
      <c r="H72" s="12"/>
      <c r="I72" s="2"/>
      <c r="J72" s="2"/>
      <c r="K72" s="13"/>
      <c r="L72" s="2"/>
      <c r="M72" s="2"/>
      <c r="N72" s="2"/>
      <c r="O72" s="2"/>
      <c r="P72" s="2"/>
      <c r="Q72" s="2"/>
      <c r="R72" s="2"/>
      <c r="S72" s="2"/>
    </row>
    <row r="73" spans="1:19" s="1" customFormat="1" ht="12" customHeight="1" outlineLevel="4">
      <c r="A73" s="64" t="s">
        <v>229</v>
      </c>
      <c r="B73" s="64"/>
      <c r="C73" s="64"/>
      <c r="D73" s="64"/>
      <c r="E73" s="64"/>
      <c r="F73" s="64"/>
      <c r="G73" s="8"/>
      <c r="H73" s="12"/>
      <c r="I73" s="2"/>
      <c r="J73" s="2"/>
      <c r="K73" s="13"/>
      <c r="L73" s="2"/>
      <c r="M73" s="2"/>
      <c r="N73" s="2"/>
      <c r="O73" s="2"/>
      <c r="P73" s="2"/>
      <c r="Q73" s="2"/>
      <c r="R73" s="2"/>
      <c r="S73" s="2"/>
    </row>
    <row r="74" spans="1:19" s="2" customFormat="1" ht="96.2" customHeight="1" outlineLevel="5">
      <c r="A74" s="9">
        <v>48</v>
      </c>
      <c r="B74" s="10" t="s">
        <v>230</v>
      </c>
      <c r="C74" s="65" t="s">
        <v>231</v>
      </c>
      <c r="D74" s="65"/>
      <c r="E74" s="65"/>
      <c r="F74" s="65"/>
      <c r="G74" s="11" t="s">
        <v>232</v>
      </c>
      <c r="H74" s="21" t="s">
        <v>44</v>
      </c>
      <c r="I74" s="15"/>
      <c r="J74" s="9">
        <v>1</v>
      </c>
      <c r="K74" s="16">
        <v>536.38</v>
      </c>
      <c r="L74" s="17"/>
      <c r="M74" s="15">
        <f>K74*L74</f>
        <v>0</v>
      </c>
      <c r="N74" s="18">
        <f>0.085*L74</f>
        <v>0</v>
      </c>
      <c r="O74" s="19">
        <f>0.00036*L74</f>
        <v>0</v>
      </c>
      <c r="P74" s="24" t="s">
        <v>26</v>
      </c>
      <c r="Q74" s="15" t="s">
        <v>233</v>
      </c>
      <c r="R74" s="15"/>
      <c r="S74" s="10" t="str">
        <f>HYPERLINK("https://miland.ru/api/getInfo/image/5ff60f9e-f20e-11f0-a28d-00155d82e908")</f>
        <v>https://miland.ru/api/getInfo/image/5ff60f9e-f20e-11f0-a28d-00155d82e908</v>
      </c>
    </row>
    <row r="75" spans="1:19" s="1" customFormat="1" ht="12" customHeight="1" outlineLevel="4">
      <c r="A75" s="64" t="s">
        <v>234</v>
      </c>
      <c r="B75" s="64"/>
      <c r="C75" s="64"/>
      <c r="D75" s="64"/>
      <c r="E75" s="64"/>
      <c r="F75" s="64"/>
      <c r="G75" s="8"/>
      <c r="H75" s="12"/>
      <c r="I75" s="2"/>
      <c r="J75" s="2"/>
      <c r="K75" s="13"/>
      <c r="L75" s="2"/>
      <c r="M75" s="2"/>
      <c r="N75" s="2"/>
      <c r="O75" s="2"/>
      <c r="P75" s="2"/>
      <c r="Q75" s="2"/>
      <c r="R75" s="2"/>
      <c r="S75" s="2"/>
    </row>
    <row r="76" spans="1:19" s="2" customFormat="1" ht="96.2" customHeight="1" outlineLevel="5">
      <c r="A76" s="9">
        <v>49</v>
      </c>
      <c r="B76" s="10" t="s">
        <v>235</v>
      </c>
      <c r="C76" s="65" t="s">
        <v>236</v>
      </c>
      <c r="D76" s="65"/>
      <c r="E76" s="65"/>
      <c r="F76" s="65"/>
      <c r="G76" s="11" t="s">
        <v>237</v>
      </c>
      <c r="H76" s="21" t="s">
        <v>44</v>
      </c>
      <c r="I76" s="15"/>
      <c r="J76" s="9">
        <v>5</v>
      </c>
      <c r="K76" s="16">
        <v>121.19</v>
      </c>
      <c r="L76" s="17"/>
      <c r="M76" s="15">
        <f>K76*L76</f>
        <v>0</v>
      </c>
      <c r="N76" s="18">
        <f>0.019*L76</f>
        <v>0</v>
      </c>
      <c r="O76" s="19">
        <f>0.00014*L76</f>
        <v>0</v>
      </c>
      <c r="P76" s="24" t="s">
        <v>26</v>
      </c>
      <c r="Q76" s="15" t="s">
        <v>238</v>
      </c>
      <c r="R76" s="15"/>
      <c r="S76" s="10" t="str">
        <f>HYPERLINK("https://miland.ru/api/getInfo/image/dcfd585c-f048-11f0-a28d-00155d82e908")</f>
        <v>https://miland.ru/api/getInfo/image/dcfd585c-f048-11f0-a28d-00155d82e908</v>
      </c>
    </row>
    <row r="77" spans="1:19" s="2" customFormat="1" ht="96.2" customHeight="1" outlineLevel="5">
      <c r="A77" s="9">
        <v>50</v>
      </c>
      <c r="B77" s="10" t="s">
        <v>239</v>
      </c>
      <c r="C77" s="65" t="s">
        <v>240</v>
      </c>
      <c r="D77" s="65"/>
      <c r="E77" s="65"/>
      <c r="F77" s="65"/>
      <c r="G77" s="11" t="s">
        <v>241</v>
      </c>
      <c r="H77" s="14">
        <v>179</v>
      </c>
      <c r="I77" s="15"/>
      <c r="J77" s="9">
        <v>5</v>
      </c>
      <c r="K77" s="16">
        <v>121.19</v>
      </c>
      <c r="L77" s="17"/>
      <c r="M77" s="15">
        <f>K77*L77</f>
        <v>0</v>
      </c>
      <c r="N77" s="18">
        <f>0.018*L77</f>
        <v>0</v>
      </c>
      <c r="O77" s="19">
        <f>0.00013*L77</f>
        <v>0</v>
      </c>
      <c r="P77" s="24" t="s">
        <v>26</v>
      </c>
      <c r="Q77" s="15" t="s">
        <v>242</v>
      </c>
      <c r="R77" s="15"/>
      <c r="S77" s="10" t="str">
        <f>HYPERLINK("https://miland.ru/api/getInfo/image/2768adc6-f048-11f0-a28d-00155d82e908")</f>
        <v>https://miland.ru/api/getInfo/image/2768adc6-f048-11f0-a28d-00155d82e908</v>
      </c>
    </row>
    <row r="78" spans="1:19" s="1" customFormat="1" ht="12" customHeight="1" outlineLevel="4">
      <c r="A78" s="64" t="s">
        <v>243</v>
      </c>
      <c r="B78" s="64"/>
      <c r="C78" s="64"/>
      <c r="D78" s="64"/>
      <c r="E78" s="64"/>
      <c r="F78" s="64"/>
      <c r="G78" s="8"/>
      <c r="H78" s="12"/>
      <c r="I78" s="2"/>
      <c r="J78" s="2"/>
      <c r="K78" s="13"/>
      <c r="L78" s="2"/>
      <c r="M78" s="2"/>
      <c r="N78" s="2"/>
      <c r="O78" s="2"/>
      <c r="P78" s="2"/>
      <c r="Q78" s="2"/>
      <c r="R78" s="2"/>
      <c r="S78" s="2"/>
    </row>
    <row r="79" spans="1:19" s="2" customFormat="1" ht="96.2" customHeight="1" outlineLevel="5">
      <c r="A79" s="9">
        <v>51</v>
      </c>
      <c r="B79" s="10" t="s">
        <v>244</v>
      </c>
      <c r="C79" s="65" t="s">
        <v>245</v>
      </c>
      <c r="D79" s="65"/>
      <c r="E79" s="65"/>
      <c r="F79" s="65"/>
      <c r="G79" s="11" t="s">
        <v>246</v>
      </c>
      <c r="H79" s="21" t="s">
        <v>44</v>
      </c>
      <c r="I79" s="15"/>
      <c r="J79" s="9">
        <v>10</v>
      </c>
      <c r="K79" s="16">
        <v>52.46</v>
      </c>
      <c r="L79" s="17"/>
      <c r="M79" s="15">
        <f>K79*L79</f>
        <v>0</v>
      </c>
      <c r="N79" s="18">
        <f>0.409*L79</f>
        <v>0</v>
      </c>
      <c r="O79" s="19">
        <f>0.00578*L79</f>
        <v>0</v>
      </c>
      <c r="P79" s="24" t="s">
        <v>26</v>
      </c>
      <c r="Q79" s="15" t="s">
        <v>247</v>
      </c>
      <c r="R79" s="15"/>
      <c r="S79" s="10" t="str">
        <f>HYPERLINK("https://miland.ru/api/getInfo/image/aeb7a9ca-f20d-11f0-a28d-00155d82e908")</f>
        <v>https://miland.ru/api/getInfo/image/aeb7a9ca-f20d-11f0-a28d-00155d82e908</v>
      </c>
    </row>
    <row r="80" spans="1:19" s="1" customFormat="1" ht="12" customHeight="1" outlineLevel="4">
      <c r="A80" s="64" t="s">
        <v>248</v>
      </c>
      <c r="B80" s="64"/>
      <c r="C80" s="64"/>
      <c r="D80" s="64"/>
      <c r="E80" s="64"/>
      <c r="F80" s="64"/>
      <c r="G80" s="8"/>
      <c r="H80" s="12"/>
      <c r="I80" s="2"/>
      <c r="J80" s="2"/>
      <c r="K80" s="13"/>
      <c r="L80" s="2"/>
      <c r="M80" s="2"/>
      <c r="N80" s="2"/>
      <c r="O80" s="2"/>
      <c r="P80" s="2"/>
      <c r="Q80" s="2"/>
      <c r="R80" s="2"/>
      <c r="S80" s="2"/>
    </row>
    <row r="81" spans="1:19" s="2" customFormat="1" ht="96.2" customHeight="1" outlineLevel="5">
      <c r="A81" s="9">
        <v>52</v>
      </c>
      <c r="B81" s="10" t="s">
        <v>249</v>
      </c>
      <c r="C81" s="65" t="s">
        <v>250</v>
      </c>
      <c r="D81" s="65"/>
      <c r="E81" s="65"/>
      <c r="F81" s="65"/>
      <c r="G81" s="11" t="s">
        <v>251</v>
      </c>
      <c r="H81" s="21" t="s">
        <v>44</v>
      </c>
      <c r="I81" s="15"/>
      <c r="J81" s="9">
        <v>18</v>
      </c>
      <c r="K81" s="16">
        <v>57.81</v>
      </c>
      <c r="L81" s="17"/>
      <c r="M81" s="15">
        <f t="shared" ref="M81:M95" si="3">K81*L81</f>
        <v>0</v>
      </c>
      <c r="N81" s="18">
        <f>0.232*L81</f>
        <v>0</v>
      </c>
      <c r="O81" s="19">
        <f>0.00091*L81</f>
        <v>0</v>
      </c>
      <c r="P81" s="24" t="s">
        <v>26</v>
      </c>
      <c r="Q81" s="15"/>
      <c r="R81" s="15"/>
      <c r="S81" s="10" t="str">
        <f>HYPERLINK("https://miland.ru/api/getInfo/image/9df72ff2-b4c8-11f0-a286-00155d82e908")</f>
        <v>https://miland.ru/api/getInfo/image/9df72ff2-b4c8-11f0-a286-00155d82e908</v>
      </c>
    </row>
    <row r="82" spans="1:19" s="2" customFormat="1" ht="96.2" customHeight="1" outlineLevel="5">
      <c r="A82" s="9">
        <v>53</v>
      </c>
      <c r="B82" s="10" t="s">
        <v>252</v>
      </c>
      <c r="C82" s="65" t="s">
        <v>253</v>
      </c>
      <c r="D82" s="65"/>
      <c r="E82" s="65"/>
      <c r="F82" s="65"/>
      <c r="G82" s="11" t="s">
        <v>254</v>
      </c>
      <c r="H82" s="14">
        <v>411</v>
      </c>
      <c r="I82" s="15"/>
      <c r="J82" s="9">
        <v>10</v>
      </c>
      <c r="K82" s="16">
        <v>54.51</v>
      </c>
      <c r="L82" s="17"/>
      <c r="M82" s="15">
        <f t="shared" si="3"/>
        <v>0</v>
      </c>
      <c r="N82" s="18">
        <f t="shared" ref="N82:N95" si="4">0.011*L82</f>
        <v>0</v>
      </c>
      <c r="O82" s="19">
        <f t="shared" ref="O82:O95" si="5">0.00001*L82</f>
        <v>0</v>
      </c>
      <c r="P82" s="24" t="s">
        <v>26</v>
      </c>
      <c r="Q82" s="15" t="s">
        <v>255</v>
      </c>
      <c r="R82" s="15"/>
      <c r="S82" s="10" t="str">
        <f>HYPERLINK("https://miland.ru/api/getInfo/image/e1f4640a-b4c9-11f0-a286-00155d82e908")</f>
        <v>https://miland.ru/api/getInfo/image/e1f4640a-b4c9-11f0-a286-00155d82e908</v>
      </c>
    </row>
    <row r="83" spans="1:19" s="2" customFormat="1" ht="96.2" customHeight="1" outlineLevel="5">
      <c r="A83" s="9">
        <v>54</v>
      </c>
      <c r="B83" s="10" t="s">
        <v>256</v>
      </c>
      <c r="C83" s="65" t="s">
        <v>257</v>
      </c>
      <c r="D83" s="65"/>
      <c r="E83" s="65"/>
      <c r="F83" s="65"/>
      <c r="G83" s="11" t="s">
        <v>258</v>
      </c>
      <c r="H83" s="14">
        <v>99</v>
      </c>
      <c r="I83" s="15"/>
      <c r="J83" s="9">
        <v>10</v>
      </c>
      <c r="K83" s="16">
        <v>54.51</v>
      </c>
      <c r="L83" s="17"/>
      <c r="M83" s="15">
        <f t="shared" si="3"/>
        <v>0</v>
      </c>
      <c r="N83" s="18">
        <f t="shared" si="4"/>
        <v>0</v>
      </c>
      <c r="O83" s="19">
        <f t="shared" si="5"/>
        <v>0</v>
      </c>
      <c r="P83" s="24" t="s">
        <v>26</v>
      </c>
      <c r="Q83" s="15" t="s">
        <v>259</v>
      </c>
      <c r="R83" s="15"/>
      <c r="S83" s="10" t="str">
        <f>HYPERLINK("https://miland.ru/api/getInfo/image/fe7a12d1-b4c9-11f0-a286-00155d82e908")</f>
        <v>https://miland.ru/api/getInfo/image/fe7a12d1-b4c9-11f0-a286-00155d82e908</v>
      </c>
    </row>
    <row r="84" spans="1:19" s="2" customFormat="1" ht="96.2" customHeight="1" outlineLevel="5">
      <c r="A84" s="9">
        <v>55</v>
      </c>
      <c r="B84" s="10" t="s">
        <v>260</v>
      </c>
      <c r="C84" s="65" t="s">
        <v>261</v>
      </c>
      <c r="D84" s="65"/>
      <c r="E84" s="65"/>
      <c r="F84" s="65"/>
      <c r="G84" s="11" t="s">
        <v>262</v>
      </c>
      <c r="H84" s="14">
        <v>115</v>
      </c>
      <c r="I84" s="15"/>
      <c r="J84" s="9">
        <v>10</v>
      </c>
      <c r="K84" s="16">
        <v>54.51</v>
      </c>
      <c r="L84" s="17"/>
      <c r="M84" s="15">
        <f t="shared" si="3"/>
        <v>0</v>
      </c>
      <c r="N84" s="18">
        <f t="shared" si="4"/>
        <v>0</v>
      </c>
      <c r="O84" s="19">
        <f t="shared" si="5"/>
        <v>0</v>
      </c>
      <c r="P84" s="24" t="s">
        <v>26</v>
      </c>
      <c r="Q84" s="15" t="s">
        <v>263</v>
      </c>
      <c r="R84" s="15"/>
      <c r="S84" s="10" t="str">
        <f>HYPERLINK("https://miland.ru/api/getInfo/image/a676f445-b4c9-11f0-a286-00155d82e908")</f>
        <v>https://miland.ru/api/getInfo/image/a676f445-b4c9-11f0-a286-00155d82e908</v>
      </c>
    </row>
    <row r="85" spans="1:19" s="2" customFormat="1" ht="96.2" customHeight="1" outlineLevel="5">
      <c r="A85" s="9">
        <v>56</v>
      </c>
      <c r="B85" s="10" t="s">
        <v>264</v>
      </c>
      <c r="C85" s="65" t="s">
        <v>265</v>
      </c>
      <c r="D85" s="65"/>
      <c r="E85" s="65"/>
      <c r="F85" s="65"/>
      <c r="G85" s="11" t="s">
        <v>266</v>
      </c>
      <c r="H85" s="14">
        <v>276</v>
      </c>
      <c r="I85" s="15"/>
      <c r="J85" s="9">
        <v>10</v>
      </c>
      <c r="K85" s="16">
        <v>54.51</v>
      </c>
      <c r="L85" s="17"/>
      <c r="M85" s="15">
        <f t="shared" si="3"/>
        <v>0</v>
      </c>
      <c r="N85" s="18">
        <f t="shared" si="4"/>
        <v>0</v>
      </c>
      <c r="O85" s="19">
        <f t="shared" si="5"/>
        <v>0</v>
      </c>
      <c r="P85" s="24" t="s">
        <v>26</v>
      </c>
      <c r="Q85" s="15" t="s">
        <v>267</v>
      </c>
      <c r="R85" s="15"/>
      <c r="S85" s="10" t="str">
        <f>HYPERLINK("https://miland.ru/api/getInfo/image/161ed0d7-b4ca-11f0-a286-00155d82e908")</f>
        <v>https://miland.ru/api/getInfo/image/161ed0d7-b4ca-11f0-a286-00155d82e908</v>
      </c>
    </row>
    <row r="86" spans="1:19" s="2" customFormat="1" ht="96.2" customHeight="1" outlineLevel="5">
      <c r="A86" s="9">
        <v>57</v>
      </c>
      <c r="B86" s="10" t="s">
        <v>268</v>
      </c>
      <c r="C86" s="65" t="s">
        <v>269</v>
      </c>
      <c r="D86" s="65"/>
      <c r="E86" s="65"/>
      <c r="F86" s="65"/>
      <c r="G86" s="11" t="s">
        <v>270</v>
      </c>
      <c r="H86" s="14">
        <v>108</v>
      </c>
      <c r="I86" s="15"/>
      <c r="J86" s="9">
        <v>10</v>
      </c>
      <c r="K86" s="16">
        <v>54.51</v>
      </c>
      <c r="L86" s="17"/>
      <c r="M86" s="15">
        <f t="shared" si="3"/>
        <v>0</v>
      </c>
      <c r="N86" s="18">
        <f t="shared" si="4"/>
        <v>0</v>
      </c>
      <c r="O86" s="19">
        <f t="shared" si="5"/>
        <v>0</v>
      </c>
      <c r="P86" s="24" t="s">
        <v>26</v>
      </c>
      <c r="Q86" s="15" t="s">
        <v>271</v>
      </c>
      <c r="R86" s="15"/>
      <c r="S86" s="10" t="str">
        <f>HYPERLINK("https://miland.ru/api/getInfo/image/88d4b188-b4c9-11f0-a286-00155d82e908")</f>
        <v>https://miland.ru/api/getInfo/image/88d4b188-b4c9-11f0-a286-00155d82e908</v>
      </c>
    </row>
    <row r="87" spans="1:19" s="2" customFormat="1" ht="96.2" customHeight="1" outlineLevel="5">
      <c r="A87" s="9">
        <v>58</v>
      </c>
      <c r="B87" s="10" t="s">
        <v>272</v>
      </c>
      <c r="C87" s="65" t="s">
        <v>273</v>
      </c>
      <c r="D87" s="65"/>
      <c r="E87" s="65"/>
      <c r="F87" s="65"/>
      <c r="G87" s="11" t="s">
        <v>274</v>
      </c>
      <c r="H87" s="14">
        <v>101</v>
      </c>
      <c r="I87" s="15"/>
      <c r="J87" s="9">
        <v>10</v>
      </c>
      <c r="K87" s="16">
        <v>54.51</v>
      </c>
      <c r="L87" s="17"/>
      <c r="M87" s="15">
        <f t="shared" si="3"/>
        <v>0</v>
      </c>
      <c r="N87" s="18">
        <f t="shared" si="4"/>
        <v>0</v>
      </c>
      <c r="O87" s="19">
        <f t="shared" si="5"/>
        <v>0</v>
      </c>
      <c r="P87" s="24" t="s">
        <v>26</v>
      </c>
      <c r="Q87" s="15" t="s">
        <v>275</v>
      </c>
      <c r="R87" s="15"/>
      <c r="S87" s="10" t="str">
        <f>HYPERLINK("https://miland.ru/api/getInfo/image/688a0a95-b4ca-11f0-a286-00155d82e908")</f>
        <v>https://miland.ru/api/getInfo/image/688a0a95-b4ca-11f0-a286-00155d82e908</v>
      </c>
    </row>
    <row r="88" spans="1:19" s="2" customFormat="1" ht="96.2" customHeight="1" outlineLevel="5">
      <c r="A88" s="9">
        <v>59</v>
      </c>
      <c r="B88" s="10" t="s">
        <v>276</v>
      </c>
      <c r="C88" s="65" t="s">
        <v>277</v>
      </c>
      <c r="D88" s="65"/>
      <c r="E88" s="65"/>
      <c r="F88" s="65"/>
      <c r="G88" s="11" t="s">
        <v>278</v>
      </c>
      <c r="H88" s="14">
        <v>391</v>
      </c>
      <c r="I88" s="15"/>
      <c r="J88" s="9">
        <v>10</v>
      </c>
      <c r="K88" s="16">
        <v>54.51</v>
      </c>
      <c r="L88" s="17"/>
      <c r="M88" s="15">
        <f t="shared" si="3"/>
        <v>0</v>
      </c>
      <c r="N88" s="18">
        <f t="shared" si="4"/>
        <v>0</v>
      </c>
      <c r="O88" s="19">
        <f t="shared" si="5"/>
        <v>0</v>
      </c>
      <c r="P88" s="24" t="s">
        <v>26</v>
      </c>
      <c r="Q88" s="15" t="s">
        <v>279</v>
      </c>
      <c r="R88" s="15"/>
      <c r="S88" s="10" t="str">
        <f>HYPERLINK("https://miland.ru/api/getInfo/image/5418b520-b4cb-11f0-a286-00155d82e908")</f>
        <v>https://miland.ru/api/getInfo/image/5418b520-b4cb-11f0-a286-00155d82e908</v>
      </c>
    </row>
    <row r="89" spans="1:19" s="2" customFormat="1" ht="96.2" customHeight="1" outlineLevel="5">
      <c r="A89" s="9">
        <v>60</v>
      </c>
      <c r="B89" s="10" t="s">
        <v>280</v>
      </c>
      <c r="C89" s="65" t="s">
        <v>281</v>
      </c>
      <c r="D89" s="65"/>
      <c r="E89" s="65"/>
      <c r="F89" s="65"/>
      <c r="G89" s="11" t="s">
        <v>282</v>
      </c>
      <c r="H89" s="14">
        <v>182</v>
      </c>
      <c r="I89" s="15"/>
      <c r="J89" s="9">
        <v>10</v>
      </c>
      <c r="K89" s="16">
        <v>54.51</v>
      </c>
      <c r="L89" s="17"/>
      <c r="M89" s="15">
        <f t="shared" si="3"/>
        <v>0</v>
      </c>
      <c r="N89" s="18">
        <f t="shared" si="4"/>
        <v>0</v>
      </c>
      <c r="O89" s="19">
        <f t="shared" si="5"/>
        <v>0</v>
      </c>
      <c r="P89" s="24" t="s">
        <v>26</v>
      </c>
      <c r="Q89" s="15" t="s">
        <v>283</v>
      </c>
      <c r="R89" s="15"/>
      <c r="S89" s="10" t="str">
        <f>HYPERLINK("https://miland.ru/api/getInfo/image/14217a53-b4cb-11f0-a286-00155d82e908")</f>
        <v>https://miland.ru/api/getInfo/image/14217a53-b4cb-11f0-a286-00155d82e908</v>
      </c>
    </row>
    <row r="90" spans="1:19" s="2" customFormat="1" ht="96.2" customHeight="1" outlineLevel="5">
      <c r="A90" s="9">
        <v>61</v>
      </c>
      <c r="B90" s="10" t="s">
        <v>284</v>
      </c>
      <c r="C90" s="65" t="s">
        <v>285</v>
      </c>
      <c r="D90" s="65"/>
      <c r="E90" s="65"/>
      <c r="F90" s="65"/>
      <c r="G90" s="11" t="s">
        <v>286</v>
      </c>
      <c r="H90" s="21" t="s">
        <v>44</v>
      </c>
      <c r="I90" s="15"/>
      <c r="J90" s="9">
        <v>10</v>
      </c>
      <c r="K90" s="16">
        <v>54.51</v>
      </c>
      <c r="L90" s="17"/>
      <c r="M90" s="15">
        <f t="shared" si="3"/>
        <v>0</v>
      </c>
      <c r="N90" s="18">
        <f t="shared" si="4"/>
        <v>0</v>
      </c>
      <c r="O90" s="19">
        <f t="shared" si="5"/>
        <v>0</v>
      </c>
      <c r="P90" s="24" t="s">
        <v>26</v>
      </c>
      <c r="Q90" s="15" t="s">
        <v>287</v>
      </c>
      <c r="R90" s="15"/>
      <c r="S90" s="10" t="str">
        <f>HYPERLINK("https://miland.ru/api/getInfo/image/4ea4835a-b4ca-11f0-a286-00155d82e908")</f>
        <v>https://miland.ru/api/getInfo/image/4ea4835a-b4ca-11f0-a286-00155d82e908</v>
      </c>
    </row>
    <row r="91" spans="1:19" s="2" customFormat="1" ht="96.2" customHeight="1" outlineLevel="5">
      <c r="A91" s="9">
        <v>62</v>
      </c>
      <c r="B91" s="10" t="s">
        <v>288</v>
      </c>
      <c r="C91" s="65" t="s">
        <v>289</v>
      </c>
      <c r="D91" s="65"/>
      <c r="E91" s="65"/>
      <c r="F91" s="65"/>
      <c r="G91" s="11" t="s">
        <v>290</v>
      </c>
      <c r="H91" s="14">
        <v>185</v>
      </c>
      <c r="I91" s="15"/>
      <c r="J91" s="9">
        <v>10</v>
      </c>
      <c r="K91" s="16">
        <v>54.51</v>
      </c>
      <c r="L91" s="17"/>
      <c r="M91" s="15">
        <f t="shared" si="3"/>
        <v>0</v>
      </c>
      <c r="N91" s="18">
        <f t="shared" si="4"/>
        <v>0</v>
      </c>
      <c r="O91" s="19">
        <f t="shared" si="5"/>
        <v>0</v>
      </c>
      <c r="P91" s="24" t="s">
        <v>26</v>
      </c>
      <c r="Q91" s="15" t="s">
        <v>291</v>
      </c>
      <c r="R91" s="15"/>
      <c r="S91" s="10" t="str">
        <f>HYPERLINK("https://miland.ru/api/getInfo/image/f5040898-b4ca-11f0-a286-00155d82e908")</f>
        <v>https://miland.ru/api/getInfo/image/f5040898-b4ca-11f0-a286-00155d82e908</v>
      </c>
    </row>
    <row r="92" spans="1:19" s="2" customFormat="1" ht="96.2" customHeight="1" outlineLevel="5">
      <c r="A92" s="9">
        <v>63</v>
      </c>
      <c r="B92" s="10" t="s">
        <v>292</v>
      </c>
      <c r="C92" s="65" t="s">
        <v>293</v>
      </c>
      <c r="D92" s="65"/>
      <c r="E92" s="65"/>
      <c r="F92" s="65"/>
      <c r="G92" s="11" t="s">
        <v>294</v>
      </c>
      <c r="H92" s="14">
        <v>408</v>
      </c>
      <c r="I92" s="15"/>
      <c r="J92" s="9">
        <v>10</v>
      </c>
      <c r="K92" s="16">
        <v>54.51</v>
      </c>
      <c r="L92" s="17"/>
      <c r="M92" s="15">
        <f t="shared" si="3"/>
        <v>0</v>
      </c>
      <c r="N92" s="18">
        <f t="shared" si="4"/>
        <v>0</v>
      </c>
      <c r="O92" s="19">
        <f t="shared" si="5"/>
        <v>0</v>
      </c>
      <c r="P92" s="24" t="s">
        <v>26</v>
      </c>
      <c r="Q92" s="15" t="s">
        <v>295</v>
      </c>
      <c r="R92" s="15"/>
      <c r="S92" s="10" t="str">
        <f>HYPERLINK("https://miland.ru/api/getInfo/image/85a2d2e0-b4ca-11f0-a286-00155d82e908")</f>
        <v>https://miland.ru/api/getInfo/image/85a2d2e0-b4ca-11f0-a286-00155d82e908</v>
      </c>
    </row>
    <row r="93" spans="1:19" s="2" customFormat="1" ht="96.2" customHeight="1" outlineLevel="5">
      <c r="A93" s="9">
        <v>64</v>
      </c>
      <c r="B93" s="10" t="s">
        <v>296</v>
      </c>
      <c r="C93" s="65" t="s">
        <v>297</v>
      </c>
      <c r="D93" s="65"/>
      <c r="E93" s="65"/>
      <c r="F93" s="65"/>
      <c r="G93" s="11" t="s">
        <v>298</v>
      </c>
      <c r="H93" s="14">
        <v>356</v>
      </c>
      <c r="I93" s="15"/>
      <c r="J93" s="9">
        <v>10</v>
      </c>
      <c r="K93" s="16">
        <v>54.51</v>
      </c>
      <c r="L93" s="17"/>
      <c r="M93" s="15">
        <f t="shared" si="3"/>
        <v>0</v>
      </c>
      <c r="N93" s="18">
        <f t="shared" si="4"/>
        <v>0</v>
      </c>
      <c r="O93" s="19">
        <f t="shared" si="5"/>
        <v>0</v>
      </c>
      <c r="P93" s="24" t="s">
        <v>26</v>
      </c>
      <c r="Q93" s="15" t="s">
        <v>299</v>
      </c>
      <c r="R93" s="15"/>
      <c r="S93" s="10" t="str">
        <f>HYPERLINK("https://miland.ru/api/getInfo/image/bb2e07bf-b4ca-11f0-a286-00155d82e908")</f>
        <v>https://miland.ru/api/getInfo/image/bb2e07bf-b4ca-11f0-a286-00155d82e908</v>
      </c>
    </row>
    <row r="94" spans="1:19" s="2" customFormat="1" ht="96.2" customHeight="1" outlineLevel="5">
      <c r="A94" s="9">
        <v>65</v>
      </c>
      <c r="B94" s="10" t="s">
        <v>300</v>
      </c>
      <c r="C94" s="65" t="s">
        <v>301</v>
      </c>
      <c r="D94" s="65"/>
      <c r="E94" s="65"/>
      <c r="F94" s="65"/>
      <c r="G94" s="11" t="s">
        <v>302</v>
      </c>
      <c r="H94" s="21" t="s">
        <v>44</v>
      </c>
      <c r="I94" s="15"/>
      <c r="J94" s="9">
        <v>10</v>
      </c>
      <c r="K94" s="16">
        <v>54.51</v>
      </c>
      <c r="L94" s="17"/>
      <c r="M94" s="15">
        <f t="shared" si="3"/>
        <v>0</v>
      </c>
      <c r="N94" s="18">
        <f t="shared" si="4"/>
        <v>0</v>
      </c>
      <c r="O94" s="19">
        <f t="shared" si="5"/>
        <v>0</v>
      </c>
      <c r="P94" s="24" t="s">
        <v>26</v>
      </c>
      <c r="Q94" s="15" t="s">
        <v>303</v>
      </c>
      <c r="R94" s="15"/>
      <c r="S94" s="10" t="str">
        <f>HYPERLINK("https://miland.ru/api/getInfo/image/354199d9-b4ca-11f0-a286-00155d82e908")</f>
        <v>https://miland.ru/api/getInfo/image/354199d9-b4ca-11f0-a286-00155d82e908</v>
      </c>
    </row>
    <row r="95" spans="1:19" s="2" customFormat="1" ht="96.2" customHeight="1" outlineLevel="5">
      <c r="A95" s="9">
        <v>66</v>
      </c>
      <c r="B95" s="10" t="s">
        <v>304</v>
      </c>
      <c r="C95" s="65" t="s">
        <v>305</v>
      </c>
      <c r="D95" s="65"/>
      <c r="E95" s="65"/>
      <c r="F95" s="65"/>
      <c r="G95" s="11" t="s">
        <v>306</v>
      </c>
      <c r="H95" s="14">
        <v>106</v>
      </c>
      <c r="I95" s="15"/>
      <c r="J95" s="9">
        <v>10</v>
      </c>
      <c r="K95" s="16">
        <v>54.51</v>
      </c>
      <c r="L95" s="17"/>
      <c r="M95" s="15">
        <f t="shared" si="3"/>
        <v>0</v>
      </c>
      <c r="N95" s="18">
        <f t="shared" si="4"/>
        <v>0</v>
      </c>
      <c r="O95" s="19">
        <f t="shared" si="5"/>
        <v>0</v>
      </c>
      <c r="P95" s="24" t="s">
        <v>26</v>
      </c>
      <c r="Q95" s="15" t="s">
        <v>307</v>
      </c>
      <c r="R95" s="15"/>
      <c r="S95" s="10" t="str">
        <f>HYPERLINK("https://miland.ru/api/getInfo/image/d467494d-b4ca-11f0-a286-00155d82e908")</f>
        <v>https://miland.ru/api/getInfo/image/d467494d-b4ca-11f0-a286-00155d82e908</v>
      </c>
    </row>
    <row r="96" spans="1:19" s="1" customFormat="1" ht="12" customHeight="1" outlineLevel="4">
      <c r="A96" s="64" t="s">
        <v>308</v>
      </c>
      <c r="B96" s="64"/>
      <c r="C96" s="64"/>
      <c r="D96" s="64"/>
      <c r="E96" s="64"/>
      <c r="F96" s="64"/>
      <c r="G96" s="8"/>
      <c r="H96" s="12"/>
      <c r="I96" s="2"/>
      <c r="J96" s="2"/>
      <c r="K96" s="13"/>
      <c r="L96" s="2"/>
      <c r="M96" s="2"/>
      <c r="N96" s="2"/>
      <c r="O96" s="2"/>
      <c r="P96" s="2"/>
      <c r="Q96" s="2"/>
      <c r="R96" s="2"/>
      <c r="S96" s="2"/>
    </row>
    <row r="97" spans="1:19" s="2" customFormat="1" ht="96.2" customHeight="1" outlineLevel="5">
      <c r="A97" s="9">
        <v>67</v>
      </c>
      <c r="B97" s="10" t="s">
        <v>309</v>
      </c>
      <c r="C97" s="65" t="s">
        <v>310</v>
      </c>
      <c r="D97" s="65"/>
      <c r="E97" s="65"/>
      <c r="F97" s="65"/>
      <c r="G97" s="11" t="s">
        <v>311</v>
      </c>
      <c r="H97" s="21" t="s">
        <v>44</v>
      </c>
      <c r="I97" s="15"/>
      <c r="J97" s="9">
        <v>3</v>
      </c>
      <c r="K97" s="16">
        <v>212.18</v>
      </c>
      <c r="L97" s="17"/>
      <c r="M97" s="15">
        <f>K97*L97</f>
        <v>0</v>
      </c>
      <c r="N97" s="18">
        <f>0.023*L97</f>
        <v>0</v>
      </c>
      <c r="O97" s="19">
        <f>0.00118*L97</f>
        <v>0</v>
      </c>
      <c r="P97" s="24" t="s">
        <v>26</v>
      </c>
      <c r="Q97" s="15" t="s">
        <v>312</v>
      </c>
      <c r="R97" s="15"/>
      <c r="S97" s="10" t="str">
        <f>HYPERLINK("https://miland.ru/api/getInfo/image/35a3f7b7-1170-11f1-a28f-00155d82e908")</f>
        <v>https://miland.ru/api/getInfo/image/35a3f7b7-1170-11f1-a28f-00155d82e908</v>
      </c>
    </row>
    <row r="98" spans="1:19" s="1" customFormat="1" ht="12" customHeight="1" outlineLevel="4">
      <c r="A98" s="64" t="s">
        <v>313</v>
      </c>
      <c r="B98" s="64"/>
      <c r="C98" s="64"/>
      <c r="D98" s="64"/>
      <c r="E98" s="64"/>
      <c r="F98" s="64"/>
      <c r="G98" s="8"/>
      <c r="H98" s="12"/>
      <c r="I98" s="2"/>
      <c r="J98" s="2"/>
      <c r="K98" s="13"/>
      <c r="L98" s="2"/>
      <c r="M98" s="2"/>
      <c r="N98" s="2"/>
      <c r="O98" s="2"/>
      <c r="P98" s="2"/>
      <c r="Q98" s="2"/>
      <c r="R98" s="2"/>
      <c r="S98" s="2"/>
    </row>
    <row r="99" spans="1:19" s="2" customFormat="1" ht="96.2" customHeight="1" outlineLevel="5">
      <c r="A99" s="9">
        <v>68</v>
      </c>
      <c r="B99" s="10" t="s">
        <v>314</v>
      </c>
      <c r="C99" s="65" t="s">
        <v>315</v>
      </c>
      <c r="D99" s="65"/>
      <c r="E99" s="65"/>
      <c r="F99" s="65"/>
      <c r="G99" s="11" t="s">
        <v>316</v>
      </c>
      <c r="H99" s="21" t="s">
        <v>44</v>
      </c>
      <c r="I99" s="15"/>
      <c r="J99" s="9">
        <v>12</v>
      </c>
      <c r="K99" s="16">
        <v>67.13</v>
      </c>
      <c r="L99" s="17"/>
      <c r="M99" s="15">
        <f>K99*L99</f>
        <v>0</v>
      </c>
      <c r="N99" s="18">
        <f>0.056*L99</f>
        <v>0</v>
      </c>
      <c r="O99" s="19">
        <f>0.00034*L99</f>
        <v>0</v>
      </c>
      <c r="P99" s="24" t="s">
        <v>26</v>
      </c>
      <c r="Q99" s="15" t="s">
        <v>317</v>
      </c>
      <c r="R99" s="15"/>
      <c r="S99" s="10" t="str">
        <f>HYPERLINK("https://miland.ru/api/getInfo/image/74269931-26b9-11f1-a290-00155d82e908")</f>
        <v>https://miland.ru/api/getInfo/image/74269931-26b9-11f1-a290-00155d82e908</v>
      </c>
    </row>
    <row r="100" spans="1:19" s="1" customFormat="1" ht="12" customHeight="1" outlineLevel="4">
      <c r="A100" s="64" t="s">
        <v>318</v>
      </c>
      <c r="B100" s="64"/>
      <c r="C100" s="64"/>
      <c r="D100" s="64"/>
      <c r="E100" s="64"/>
      <c r="F100" s="64"/>
      <c r="G100" s="8"/>
      <c r="H100" s="12"/>
      <c r="I100" s="2"/>
      <c r="J100" s="2"/>
      <c r="K100" s="13"/>
      <c r="L100" s="2"/>
      <c r="M100" s="2"/>
      <c r="N100" s="2"/>
      <c r="O100" s="2"/>
      <c r="P100" s="2"/>
      <c r="Q100" s="2"/>
      <c r="R100" s="2"/>
      <c r="S100" s="2"/>
    </row>
    <row r="101" spans="1:19" s="2" customFormat="1" ht="96.2" customHeight="1" outlineLevel="5">
      <c r="A101" s="9">
        <v>69</v>
      </c>
      <c r="B101" s="10" t="s">
        <v>319</v>
      </c>
      <c r="C101" s="65" t="s">
        <v>320</v>
      </c>
      <c r="D101" s="65"/>
      <c r="E101" s="65"/>
      <c r="F101" s="65"/>
      <c r="G101" s="11" t="s">
        <v>321</v>
      </c>
      <c r="H101" s="21" t="s">
        <v>44</v>
      </c>
      <c r="I101" s="15"/>
      <c r="J101" s="9">
        <v>12</v>
      </c>
      <c r="K101" s="16">
        <v>80</v>
      </c>
      <c r="L101" s="17"/>
      <c r="M101" s="15">
        <f>K101*L101</f>
        <v>0</v>
      </c>
      <c r="N101" s="18">
        <f>0.079*L101</f>
        <v>0</v>
      </c>
      <c r="O101" s="19">
        <f>0.00046*L101</f>
        <v>0</v>
      </c>
      <c r="P101" s="24" t="s">
        <v>26</v>
      </c>
      <c r="Q101" s="15" t="s">
        <v>322</v>
      </c>
      <c r="R101" s="15"/>
      <c r="S101" s="10" t="str">
        <f>HYPERLINK("https://miland.ru/api/getInfo/image/ab38eda2-26b2-11f1-a290-00155d82e908")</f>
        <v>https://miland.ru/api/getInfo/image/ab38eda2-26b2-11f1-a290-00155d82e908</v>
      </c>
    </row>
    <row r="102" spans="1:19" s="2" customFormat="1" ht="96.2" customHeight="1" outlineLevel="5">
      <c r="A102" s="9">
        <v>70</v>
      </c>
      <c r="B102" s="10" t="s">
        <v>323</v>
      </c>
      <c r="C102" s="65" t="s">
        <v>324</v>
      </c>
      <c r="D102" s="65"/>
      <c r="E102" s="65"/>
      <c r="F102" s="65"/>
      <c r="G102" s="11" t="s">
        <v>325</v>
      </c>
      <c r="H102" s="21" t="s">
        <v>44</v>
      </c>
      <c r="I102" s="15"/>
      <c r="J102" s="9">
        <v>12</v>
      </c>
      <c r="K102" s="16">
        <v>120.98</v>
      </c>
      <c r="L102" s="17"/>
      <c r="M102" s="15">
        <f>K102*L102</f>
        <v>0</v>
      </c>
      <c r="N102" s="18">
        <f>0.076*L102</f>
        <v>0</v>
      </c>
      <c r="O102" s="19">
        <f>0.00046*L102</f>
        <v>0</v>
      </c>
      <c r="P102" s="24" t="s">
        <v>26</v>
      </c>
      <c r="Q102" s="15" t="s">
        <v>326</v>
      </c>
      <c r="R102" s="15"/>
      <c r="S102" s="10" t="str">
        <f>HYPERLINK("https://miland.ru/api/getInfo/image/95372901-26b9-11f1-a290-00155d82e908")</f>
        <v>https://miland.ru/api/getInfo/image/95372901-26b9-11f1-a290-00155d82e908</v>
      </c>
    </row>
    <row r="103" spans="1:19" s="1" customFormat="1" ht="12" customHeight="1" outlineLevel="3">
      <c r="A103" s="64" t="s">
        <v>327</v>
      </c>
      <c r="B103" s="64"/>
      <c r="C103" s="64"/>
      <c r="D103" s="64"/>
      <c r="E103" s="64"/>
      <c r="F103" s="64"/>
      <c r="G103" s="8"/>
      <c r="H103" s="12"/>
      <c r="I103" s="2"/>
      <c r="J103" s="2"/>
      <c r="K103" s="13"/>
      <c r="L103" s="2"/>
      <c r="M103" s="2"/>
      <c r="N103" s="2"/>
      <c r="O103" s="2"/>
      <c r="P103" s="2"/>
      <c r="Q103" s="2"/>
      <c r="R103" s="2"/>
      <c r="S103" s="2"/>
    </row>
    <row r="104" spans="1:19" s="1" customFormat="1" ht="12" customHeight="1" outlineLevel="4">
      <c r="A104" s="64" t="s">
        <v>328</v>
      </c>
      <c r="B104" s="64"/>
      <c r="C104" s="64"/>
      <c r="D104" s="64"/>
      <c r="E104" s="64"/>
      <c r="F104" s="64"/>
      <c r="G104" s="8"/>
      <c r="H104" s="12"/>
      <c r="I104" s="2"/>
      <c r="J104" s="2"/>
      <c r="K104" s="13"/>
      <c r="L104" s="2"/>
      <c r="M104" s="2"/>
      <c r="N104" s="2"/>
      <c r="O104" s="2"/>
      <c r="P104" s="2"/>
      <c r="Q104" s="2"/>
      <c r="R104" s="2"/>
      <c r="S104" s="2"/>
    </row>
    <row r="105" spans="1:19" s="1" customFormat="1" ht="12" customHeight="1" outlineLevel="5">
      <c r="A105" s="64" t="s">
        <v>329</v>
      </c>
      <c r="B105" s="64"/>
      <c r="C105" s="64"/>
      <c r="D105" s="64"/>
      <c r="E105" s="64"/>
      <c r="F105" s="64"/>
      <c r="G105" s="8"/>
      <c r="H105" s="12"/>
      <c r="I105" s="2"/>
      <c r="J105" s="2"/>
      <c r="K105" s="13"/>
      <c r="L105" s="2"/>
      <c r="M105" s="2"/>
      <c r="N105" s="2"/>
      <c r="O105" s="2"/>
      <c r="P105" s="2"/>
      <c r="Q105" s="2"/>
      <c r="R105" s="2"/>
      <c r="S105" s="2"/>
    </row>
    <row r="106" spans="1:19" s="2" customFormat="1" ht="96.2" customHeight="1" outlineLevel="6">
      <c r="A106" s="9">
        <v>71</v>
      </c>
      <c r="B106" s="10" t="s">
        <v>330</v>
      </c>
      <c r="C106" s="65" t="s">
        <v>331</v>
      </c>
      <c r="D106" s="65"/>
      <c r="E106" s="65"/>
      <c r="F106" s="65"/>
      <c r="G106" s="11" t="s">
        <v>332</v>
      </c>
      <c r="H106" s="21" t="s">
        <v>44</v>
      </c>
      <c r="I106" s="15"/>
      <c r="J106" s="9">
        <v>1</v>
      </c>
      <c r="K106" s="16">
        <v>481.49</v>
      </c>
      <c r="L106" s="17"/>
      <c r="M106" s="15">
        <f t="shared" ref="M106:M113" si="6">K106*L106</f>
        <v>0</v>
      </c>
      <c r="N106" s="18">
        <f>0.096*L106</f>
        <v>0</v>
      </c>
      <c r="O106" s="19">
        <f>0.00109*L106</f>
        <v>0</v>
      </c>
      <c r="P106" s="24" t="s">
        <v>26</v>
      </c>
      <c r="Q106" s="15" t="s">
        <v>333</v>
      </c>
      <c r="R106" s="15"/>
      <c r="S106" s="10" t="str">
        <f>HYPERLINK("https://miland.ru/api/getInfo/image/0c1ec630-21f4-11f1-a290-00155d82e908")</f>
        <v>https://miland.ru/api/getInfo/image/0c1ec630-21f4-11f1-a290-00155d82e908</v>
      </c>
    </row>
    <row r="107" spans="1:19" s="2" customFormat="1" ht="96.2" customHeight="1" outlineLevel="6">
      <c r="A107" s="9">
        <v>72</v>
      </c>
      <c r="B107" s="10" t="s">
        <v>334</v>
      </c>
      <c r="C107" s="65" t="s">
        <v>335</v>
      </c>
      <c r="D107" s="65"/>
      <c r="E107" s="65"/>
      <c r="F107" s="65"/>
      <c r="G107" s="11" t="s">
        <v>336</v>
      </c>
      <c r="H107" s="21" t="s">
        <v>44</v>
      </c>
      <c r="I107" s="15"/>
      <c r="J107" s="9">
        <v>1</v>
      </c>
      <c r="K107" s="16">
        <v>481.49</v>
      </c>
      <c r="L107" s="17"/>
      <c r="M107" s="15">
        <f t="shared" si="6"/>
        <v>0</v>
      </c>
      <c r="N107" s="18">
        <f>0.107*L107</f>
        <v>0</v>
      </c>
      <c r="O107" s="19">
        <f>0.00115*L107</f>
        <v>0</v>
      </c>
      <c r="P107" s="24" t="s">
        <v>26</v>
      </c>
      <c r="Q107" s="15" t="s">
        <v>337</v>
      </c>
      <c r="R107" s="15"/>
      <c r="S107" s="10" t="str">
        <f>HYPERLINK("https://miland.ru/api/getInfo/image/233574ec-21f4-11f1-a290-00155d82e908")</f>
        <v>https://miland.ru/api/getInfo/image/233574ec-21f4-11f1-a290-00155d82e908</v>
      </c>
    </row>
    <row r="108" spans="1:19" s="2" customFormat="1" ht="96.2" customHeight="1" outlineLevel="6">
      <c r="A108" s="9">
        <v>73</v>
      </c>
      <c r="B108" s="10" t="s">
        <v>338</v>
      </c>
      <c r="C108" s="65" t="s">
        <v>339</v>
      </c>
      <c r="D108" s="65"/>
      <c r="E108" s="65"/>
      <c r="F108" s="65"/>
      <c r="G108" s="11" t="s">
        <v>340</v>
      </c>
      <c r="H108" s="21" t="s">
        <v>44</v>
      </c>
      <c r="I108" s="15"/>
      <c r="J108" s="9">
        <v>4</v>
      </c>
      <c r="K108" s="16">
        <v>155.06</v>
      </c>
      <c r="L108" s="17"/>
      <c r="M108" s="15">
        <f t="shared" si="6"/>
        <v>0</v>
      </c>
      <c r="N108" s="18">
        <f>0.053*L108</f>
        <v>0</v>
      </c>
      <c r="O108" s="15">
        <v>0</v>
      </c>
      <c r="P108" s="24" t="s">
        <v>26</v>
      </c>
      <c r="Q108" s="15" t="s">
        <v>341</v>
      </c>
      <c r="R108" s="15"/>
      <c r="S108" s="10" t="str">
        <f>HYPERLINK("https://miland.ru/api/getInfo/image/cd2b52bd-21e2-11f1-a290-00155d82e908")</f>
        <v>https://miland.ru/api/getInfo/image/cd2b52bd-21e2-11f1-a290-00155d82e908</v>
      </c>
    </row>
    <row r="109" spans="1:19" s="2" customFormat="1" ht="96.2" customHeight="1" outlineLevel="6">
      <c r="A109" s="9">
        <v>74</v>
      </c>
      <c r="B109" s="10" t="s">
        <v>342</v>
      </c>
      <c r="C109" s="65" t="s">
        <v>343</v>
      </c>
      <c r="D109" s="65"/>
      <c r="E109" s="65"/>
      <c r="F109" s="65"/>
      <c r="G109" s="11" t="s">
        <v>344</v>
      </c>
      <c r="H109" s="21" t="s">
        <v>44</v>
      </c>
      <c r="I109" s="15"/>
      <c r="J109" s="9">
        <v>4</v>
      </c>
      <c r="K109" s="16">
        <v>155.06</v>
      </c>
      <c r="L109" s="17"/>
      <c r="M109" s="15">
        <f t="shared" si="6"/>
        <v>0</v>
      </c>
      <c r="N109" s="18">
        <f>0.048*L109</f>
        <v>0</v>
      </c>
      <c r="O109" s="19">
        <f>0.00043*L109</f>
        <v>0</v>
      </c>
      <c r="P109" s="24" t="s">
        <v>26</v>
      </c>
      <c r="Q109" s="15" t="s">
        <v>345</v>
      </c>
      <c r="R109" s="15"/>
      <c r="S109" s="10" t="str">
        <f>HYPERLINK("https://miland.ru/api/getInfo/image/e041e96b-21f3-11f1-a290-00155d82e908")</f>
        <v>https://miland.ru/api/getInfo/image/e041e96b-21f3-11f1-a290-00155d82e908</v>
      </c>
    </row>
    <row r="110" spans="1:19" s="2" customFormat="1" ht="96.2" customHeight="1" outlineLevel="6">
      <c r="A110" s="9">
        <v>75</v>
      </c>
      <c r="B110" s="10" t="s">
        <v>346</v>
      </c>
      <c r="C110" s="65" t="s">
        <v>347</v>
      </c>
      <c r="D110" s="65"/>
      <c r="E110" s="65"/>
      <c r="F110" s="65"/>
      <c r="G110" s="11" t="s">
        <v>348</v>
      </c>
      <c r="H110" s="21" t="s">
        <v>44</v>
      </c>
      <c r="I110" s="15"/>
      <c r="J110" s="9">
        <v>4</v>
      </c>
      <c r="K110" s="16">
        <v>155.06</v>
      </c>
      <c r="L110" s="17"/>
      <c r="M110" s="15">
        <f t="shared" si="6"/>
        <v>0</v>
      </c>
      <c r="N110" s="18">
        <f>0.059*L110</f>
        <v>0</v>
      </c>
      <c r="O110" s="15">
        <v>0</v>
      </c>
      <c r="P110" s="24" t="s">
        <v>26</v>
      </c>
      <c r="Q110" s="15" t="s">
        <v>349</v>
      </c>
      <c r="R110" s="15"/>
      <c r="S110" s="10" t="str">
        <f>HYPERLINK("https://miland.ru/api/getInfo/image/3941edb1-21e6-11f1-a290-00155d82e908")</f>
        <v>https://miland.ru/api/getInfo/image/3941edb1-21e6-11f1-a290-00155d82e908</v>
      </c>
    </row>
    <row r="111" spans="1:19" s="2" customFormat="1" ht="96.2" customHeight="1" outlineLevel="6">
      <c r="A111" s="9">
        <v>76</v>
      </c>
      <c r="B111" s="10" t="s">
        <v>350</v>
      </c>
      <c r="C111" s="65" t="s">
        <v>351</v>
      </c>
      <c r="D111" s="65"/>
      <c r="E111" s="65"/>
      <c r="F111" s="65"/>
      <c r="G111" s="11" t="s">
        <v>352</v>
      </c>
      <c r="H111" s="21" t="s">
        <v>44</v>
      </c>
      <c r="I111" s="15"/>
      <c r="J111" s="9">
        <v>4</v>
      </c>
      <c r="K111" s="16">
        <v>155.06</v>
      </c>
      <c r="L111" s="17"/>
      <c r="M111" s="15">
        <f t="shared" si="6"/>
        <v>0</v>
      </c>
      <c r="N111" s="18">
        <f>0.057*L111</f>
        <v>0</v>
      </c>
      <c r="O111" s="20">
        <f>0.0162*L111</f>
        <v>0</v>
      </c>
      <c r="P111" s="24" t="s">
        <v>26</v>
      </c>
      <c r="Q111" s="15" t="s">
        <v>353</v>
      </c>
      <c r="R111" s="15"/>
      <c r="S111" s="10" t="str">
        <f>HYPERLINK("https://miland.ru/api/getInfo/image/8f52c999-21f3-11f1-a290-00155d82e908")</f>
        <v>https://miland.ru/api/getInfo/image/8f52c999-21f3-11f1-a290-00155d82e908</v>
      </c>
    </row>
    <row r="112" spans="1:19" s="2" customFormat="1" ht="96.2" customHeight="1" outlineLevel="6">
      <c r="A112" s="9">
        <v>77</v>
      </c>
      <c r="B112" s="10" t="s">
        <v>354</v>
      </c>
      <c r="C112" s="65" t="s">
        <v>355</v>
      </c>
      <c r="D112" s="65"/>
      <c r="E112" s="65"/>
      <c r="F112" s="65"/>
      <c r="G112" s="11" t="s">
        <v>356</v>
      </c>
      <c r="H112" s="21" t="s">
        <v>44</v>
      </c>
      <c r="I112" s="15"/>
      <c r="J112" s="9">
        <v>4</v>
      </c>
      <c r="K112" s="16">
        <v>155.06</v>
      </c>
      <c r="L112" s="17"/>
      <c r="M112" s="15">
        <f t="shared" si="6"/>
        <v>0</v>
      </c>
      <c r="N112" s="18">
        <f>11.804*L112</f>
        <v>0</v>
      </c>
      <c r="O112" s="19">
        <f>0.04913*L112</f>
        <v>0</v>
      </c>
      <c r="P112" s="24" t="s">
        <v>26</v>
      </c>
      <c r="Q112" s="15" t="s">
        <v>357</v>
      </c>
      <c r="R112" s="15"/>
      <c r="S112" s="10" t="str">
        <f>HYPERLINK("https://miland.ru/api/getInfo/image/adc8afb6-21f3-11f1-a290-00155d82e908")</f>
        <v>https://miland.ru/api/getInfo/image/adc8afb6-21f3-11f1-a290-00155d82e908</v>
      </c>
    </row>
    <row r="113" spans="1:19" s="2" customFormat="1" ht="96.2" customHeight="1" outlineLevel="6">
      <c r="A113" s="9">
        <v>78</v>
      </c>
      <c r="B113" s="10" t="s">
        <v>358</v>
      </c>
      <c r="C113" s="65" t="s">
        <v>359</v>
      </c>
      <c r="D113" s="65"/>
      <c r="E113" s="65"/>
      <c r="F113" s="65"/>
      <c r="G113" s="11" t="s">
        <v>360</v>
      </c>
      <c r="H113" s="21" t="s">
        <v>44</v>
      </c>
      <c r="I113" s="15"/>
      <c r="J113" s="9">
        <v>4</v>
      </c>
      <c r="K113" s="16">
        <v>155.06</v>
      </c>
      <c r="L113" s="17"/>
      <c r="M113" s="15">
        <f t="shared" si="6"/>
        <v>0</v>
      </c>
      <c r="N113" s="18">
        <f>0.045*L113</f>
        <v>0</v>
      </c>
      <c r="O113" s="15">
        <v>0</v>
      </c>
      <c r="P113" s="24" t="s">
        <v>26</v>
      </c>
      <c r="Q113" s="15" t="s">
        <v>361</v>
      </c>
      <c r="R113" s="15"/>
      <c r="S113" s="10" t="str">
        <f>HYPERLINK("https://miland.ru/api/getInfo/image/268fef31-21f1-11f1-a290-00155d82e908")</f>
        <v>https://miland.ru/api/getInfo/image/268fef31-21f1-11f1-a290-00155d82e908</v>
      </c>
    </row>
    <row r="114" spans="1:19" s="1" customFormat="1" ht="12" customHeight="1" outlineLevel="5">
      <c r="A114" s="64" t="s">
        <v>362</v>
      </c>
      <c r="B114" s="64"/>
      <c r="C114" s="64"/>
      <c r="D114" s="64"/>
      <c r="E114" s="64"/>
      <c r="F114" s="64"/>
      <c r="G114" s="8"/>
      <c r="H114" s="12"/>
      <c r="I114" s="2"/>
      <c r="J114" s="2"/>
      <c r="K114" s="13"/>
      <c r="L114" s="2"/>
      <c r="M114" s="2"/>
      <c r="N114" s="2"/>
      <c r="O114" s="2"/>
      <c r="P114" s="2"/>
      <c r="Q114" s="2"/>
      <c r="R114" s="2"/>
      <c r="S114" s="2"/>
    </row>
    <row r="115" spans="1:19" s="1" customFormat="1" ht="12" customHeight="1" outlineLevel="6">
      <c r="A115" s="64" t="s">
        <v>363</v>
      </c>
      <c r="B115" s="64"/>
      <c r="C115" s="64"/>
      <c r="D115" s="64"/>
      <c r="E115" s="64"/>
      <c r="F115" s="64"/>
      <c r="G115" s="8"/>
      <c r="H115" s="12"/>
      <c r="I115" s="2"/>
      <c r="J115" s="2"/>
      <c r="K115" s="13"/>
      <c r="L115" s="2"/>
      <c r="M115" s="2"/>
      <c r="N115" s="2"/>
      <c r="O115" s="2"/>
      <c r="P115" s="2"/>
      <c r="Q115" s="2"/>
      <c r="R115" s="2"/>
      <c r="S115" s="2"/>
    </row>
    <row r="116" spans="1:19" s="2" customFormat="1" ht="96.2" customHeight="1" outlineLevel="7">
      <c r="A116" s="9">
        <v>79</v>
      </c>
      <c r="B116" s="10" t="s">
        <v>364</v>
      </c>
      <c r="C116" s="65" t="s">
        <v>365</v>
      </c>
      <c r="D116" s="65"/>
      <c r="E116" s="65"/>
      <c r="F116" s="65"/>
      <c r="G116" s="11" t="s">
        <v>366</v>
      </c>
      <c r="H116" s="21" t="s">
        <v>44</v>
      </c>
      <c r="I116" s="15"/>
      <c r="J116" s="9">
        <v>1</v>
      </c>
      <c r="K116" s="16">
        <v>645.44000000000005</v>
      </c>
      <c r="L116" s="17"/>
      <c r="M116" s="15">
        <f t="shared" ref="M116:M122" si="7">K116*L116</f>
        <v>0</v>
      </c>
      <c r="N116" s="18">
        <f>0.158*L116</f>
        <v>0</v>
      </c>
      <c r="O116" s="19">
        <f>0.00097*L116</f>
        <v>0</v>
      </c>
      <c r="P116" s="24" t="s">
        <v>26</v>
      </c>
      <c r="Q116" s="15" t="s">
        <v>367</v>
      </c>
      <c r="R116" s="15"/>
      <c r="S116" s="10" t="str">
        <f>HYPERLINK("https://miland.ru/api/getInfo/image/57f72dc7-067b-11f1-a28f-00155d82e908")</f>
        <v>https://miland.ru/api/getInfo/image/57f72dc7-067b-11f1-a28f-00155d82e908</v>
      </c>
    </row>
    <row r="117" spans="1:19" s="2" customFormat="1" ht="96.2" customHeight="1" outlineLevel="7">
      <c r="A117" s="9">
        <v>80</v>
      </c>
      <c r="B117" s="10" t="s">
        <v>368</v>
      </c>
      <c r="C117" s="65" t="s">
        <v>369</v>
      </c>
      <c r="D117" s="65"/>
      <c r="E117" s="65"/>
      <c r="F117" s="65"/>
      <c r="G117" s="11" t="s">
        <v>370</v>
      </c>
      <c r="H117" s="14">
        <v>277</v>
      </c>
      <c r="I117" s="15"/>
      <c r="J117" s="9">
        <v>6</v>
      </c>
      <c r="K117" s="16">
        <v>93.49</v>
      </c>
      <c r="L117" s="17"/>
      <c r="M117" s="15">
        <f t="shared" si="7"/>
        <v>0</v>
      </c>
      <c r="N117" s="18">
        <f>0.016*L117</f>
        <v>0</v>
      </c>
      <c r="O117" s="19">
        <f>0.00013*L117</f>
        <v>0</v>
      </c>
      <c r="P117" s="24" t="s">
        <v>26</v>
      </c>
      <c r="Q117" s="15" t="s">
        <v>371</v>
      </c>
      <c r="R117" s="15"/>
      <c r="S117" s="10" t="str">
        <f>HYPERLINK("https://miland.ru/api/getInfo/image/e21d7585-067d-11f1-a28f-00155d82e908")</f>
        <v>https://miland.ru/api/getInfo/image/e21d7585-067d-11f1-a28f-00155d82e908</v>
      </c>
    </row>
    <row r="118" spans="1:19" s="2" customFormat="1" ht="96.2" customHeight="1" outlineLevel="7">
      <c r="A118" s="9">
        <v>81</v>
      </c>
      <c r="B118" s="10" t="s">
        <v>372</v>
      </c>
      <c r="C118" s="65" t="s">
        <v>373</v>
      </c>
      <c r="D118" s="65"/>
      <c r="E118" s="65"/>
      <c r="F118" s="65"/>
      <c r="G118" s="11" t="s">
        <v>374</v>
      </c>
      <c r="H118" s="14">
        <v>42</v>
      </c>
      <c r="I118" s="15"/>
      <c r="J118" s="9">
        <v>6</v>
      </c>
      <c r="K118" s="16">
        <v>93.49</v>
      </c>
      <c r="L118" s="17"/>
      <c r="M118" s="15">
        <f t="shared" si="7"/>
        <v>0</v>
      </c>
      <c r="N118" s="18">
        <f>0.029*L118</f>
        <v>0</v>
      </c>
      <c r="O118" s="20">
        <f>0.0001*L118</f>
        <v>0</v>
      </c>
      <c r="P118" s="24" t="s">
        <v>26</v>
      </c>
      <c r="Q118" s="15" t="s">
        <v>375</v>
      </c>
      <c r="R118" s="15"/>
      <c r="S118" s="10" t="str">
        <f>HYPERLINK("https://miland.ru/api/getInfo/image/dc8a2cc0-0680-11f1-a28f-00155d82e908")</f>
        <v>https://miland.ru/api/getInfo/image/dc8a2cc0-0680-11f1-a28f-00155d82e908</v>
      </c>
    </row>
    <row r="119" spans="1:19" s="2" customFormat="1" ht="96.2" customHeight="1" outlineLevel="7">
      <c r="A119" s="9">
        <v>82</v>
      </c>
      <c r="B119" s="10" t="s">
        <v>376</v>
      </c>
      <c r="C119" s="65" t="s">
        <v>377</v>
      </c>
      <c r="D119" s="65"/>
      <c r="E119" s="65"/>
      <c r="F119" s="65"/>
      <c r="G119" s="11" t="s">
        <v>378</v>
      </c>
      <c r="H119" s="14">
        <v>30</v>
      </c>
      <c r="I119" s="15"/>
      <c r="J119" s="9">
        <v>6</v>
      </c>
      <c r="K119" s="16">
        <v>93.49</v>
      </c>
      <c r="L119" s="17"/>
      <c r="M119" s="15">
        <f t="shared" si="7"/>
        <v>0</v>
      </c>
      <c r="N119" s="18">
        <f>0.019*L119</f>
        <v>0</v>
      </c>
      <c r="O119" s="20">
        <f>0.0001*L119</f>
        <v>0</v>
      </c>
      <c r="P119" s="24" t="s">
        <v>26</v>
      </c>
      <c r="Q119" s="15" t="s">
        <v>379</v>
      </c>
      <c r="R119" s="15"/>
      <c r="S119" s="10" t="str">
        <f>HYPERLINK("https://miland.ru/api/getInfo/image/f4d11686-067d-11f1-a28f-00155d82e908")</f>
        <v>https://miland.ru/api/getInfo/image/f4d11686-067d-11f1-a28f-00155d82e908</v>
      </c>
    </row>
    <row r="120" spans="1:19" s="2" customFormat="1" ht="96.2" customHeight="1" outlineLevel="7">
      <c r="A120" s="9">
        <v>83</v>
      </c>
      <c r="B120" s="10" t="s">
        <v>380</v>
      </c>
      <c r="C120" s="65" t="s">
        <v>381</v>
      </c>
      <c r="D120" s="65"/>
      <c r="E120" s="65"/>
      <c r="F120" s="65"/>
      <c r="G120" s="11" t="s">
        <v>382</v>
      </c>
      <c r="H120" s="14">
        <v>437</v>
      </c>
      <c r="I120" s="15"/>
      <c r="J120" s="9">
        <v>6</v>
      </c>
      <c r="K120" s="16">
        <v>93.49</v>
      </c>
      <c r="L120" s="17"/>
      <c r="M120" s="15">
        <f t="shared" si="7"/>
        <v>0</v>
      </c>
      <c r="N120" s="18">
        <f>0.018*L120</f>
        <v>0</v>
      </c>
      <c r="O120" s="19">
        <f>0.00009*L120</f>
        <v>0</v>
      </c>
      <c r="P120" s="24" t="s">
        <v>26</v>
      </c>
      <c r="Q120" s="15" t="s">
        <v>383</v>
      </c>
      <c r="R120" s="15"/>
      <c r="S120" s="10" t="str">
        <f>HYPERLINK("https://miland.ru/api/getInfo/image/e6022c35-067e-11f1-a28f-00155d82e908")</f>
        <v>https://miland.ru/api/getInfo/image/e6022c35-067e-11f1-a28f-00155d82e908</v>
      </c>
    </row>
    <row r="121" spans="1:19" s="2" customFormat="1" ht="96.2" customHeight="1" outlineLevel="7">
      <c r="A121" s="9">
        <v>84</v>
      </c>
      <c r="B121" s="10" t="s">
        <v>384</v>
      </c>
      <c r="C121" s="65" t="s">
        <v>385</v>
      </c>
      <c r="D121" s="65"/>
      <c r="E121" s="65"/>
      <c r="F121" s="65"/>
      <c r="G121" s="11" t="s">
        <v>386</v>
      </c>
      <c r="H121" s="14">
        <v>79</v>
      </c>
      <c r="I121" s="15"/>
      <c r="J121" s="9">
        <v>6</v>
      </c>
      <c r="K121" s="16">
        <v>93.49</v>
      </c>
      <c r="L121" s="17"/>
      <c r="M121" s="15">
        <f t="shared" si="7"/>
        <v>0</v>
      </c>
      <c r="N121" s="18">
        <f>0.024*L121</f>
        <v>0</v>
      </c>
      <c r="O121" s="19">
        <f>0.00011*L121</f>
        <v>0</v>
      </c>
      <c r="P121" s="24" t="s">
        <v>26</v>
      </c>
      <c r="Q121" s="15" t="s">
        <v>387</v>
      </c>
      <c r="R121" s="15"/>
      <c r="S121" s="10" t="str">
        <f>HYPERLINK("https://miland.ru/api/getInfo/image/47457844-067e-11f1-a28f-00155d82e908")</f>
        <v>https://miland.ru/api/getInfo/image/47457844-067e-11f1-a28f-00155d82e908</v>
      </c>
    </row>
    <row r="122" spans="1:19" s="2" customFormat="1" ht="96.2" customHeight="1" outlineLevel="7">
      <c r="A122" s="9">
        <v>85</v>
      </c>
      <c r="B122" s="10" t="s">
        <v>388</v>
      </c>
      <c r="C122" s="65" t="s">
        <v>389</v>
      </c>
      <c r="D122" s="65"/>
      <c r="E122" s="65"/>
      <c r="F122" s="65"/>
      <c r="G122" s="11" t="s">
        <v>390</v>
      </c>
      <c r="H122" s="14">
        <v>125</v>
      </c>
      <c r="I122" s="15"/>
      <c r="J122" s="9">
        <v>6</v>
      </c>
      <c r="K122" s="16">
        <v>93.49</v>
      </c>
      <c r="L122" s="17"/>
      <c r="M122" s="15">
        <f t="shared" si="7"/>
        <v>0</v>
      </c>
      <c r="N122" s="18">
        <f>0.021*L122</f>
        <v>0</v>
      </c>
      <c r="O122" s="19">
        <f>0.00014*L122</f>
        <v>0</v>
      </c>
      <c r="P122" s="24" t="s">
        <v>26</v>
      </c>
      <c r="Q122" s="15" t="s">
        <v>391</v>
      </c>
      <c r="R122" s="15"/>
      <c r="S122" s="10" t="str">
        <f>HYPERLINK("https://miland.ru/api/getInfo/image/ca496a17-067d-11f1-a28f-00155d82e908")</f>
        <v>https://miland.ru/api/getInfo/image/ca496a17-067d-11f1-a28f-00155d82e908</v>
      </c>
    </row>
    <row r="123" spans="1:19" s="1" customFormat="1" ht="12" customHeight="1" outlineLevel="6">
      <c r="A123" s="64" t="s">
        <v>392</v>
      </c>
      <c r="B123" s="64"/>
      <c r="C123" s="64"/>
      <c r="D123" s="64"/>
      <c r="E123" s="64"/>
      <c r="F123" s="64"/>
      <c r="G123" s="8"/>
      <c r="H123" s="12"/>
      <c r="I123" s="2"/>
      <c r="J123" s="2"/>
      <c r="K123" s="13"/>
      <c r="L123" s="2"/>
      <c r="M123" s="2"/>
      <c r="N123" s="2"/>
      <c r="O123" s="2"/>
      <c r="P123" s="2"/>
      <c r="Q123" s="2"/>
      <c r="R123" s="2"/>
      <c r="S123" s="2"/>
    </row>
    <row r="124" spans="1:19" s="2" customFormat="1" ht="96.2" customHeight="1" outlineLevel="7">
      <c r="A124" s="9">
        <v>86</v>
      </c>
      <c r="B124" s="10" t="s">
        <v>393</v>
      </c>
      <c r="C124" s="65" t="s">
        <v>394</v>
      </c>
      <c r="D124" s="65"/>
      <c r="E124" s="65"/>
      <c r="F124" s="65"/>
      <c r="G124" s="11" t="s">
        <v>395</v>
      </c>
      <c r="H124" s="14">
        <v>50</v>
      </c>
      <c r="I124" s="15"/>
      <c r="J124" s="9">
        <v>10</v>
      </c>
      <c r="K124" s="16">
        <v>83.03</v>
      </c>
      <c r="L124" s="17"/>
      <c r="M124" s="15">
        <f>K124*L124</f>
        <v>0</v>
      </c>
      <c r="N124" s="18">
        <f>0.013*L124</f>
        <v>0</v>
      </c>
      <c r="O124" s="19">
        <f>0.00038*L124</f>
        <v>0</v>
      </c>
      <c r="P124" s="24" t="s">
        <v>26</v>
      </c>
      <c r="Q124" s="15" t="s">
        <v>396</v>
      </c>
      <c r="R124" s="15"/>
      <c r="S124" s="10" t="str">
        <f>HYPERLINK("https://miland.ru/api/getInfo/image/a9ecb5ef-318c-11f1-a292-00155d82e908")</f>
        <v>https://miland.ru/api/getInfo/image/a9ecb5ef-318c-11f1-a292-00155d82e908</v>
      </c>
    </row>
    <row r="125" spans="1:19" s="2" customFormat="1" ht="96.2" customHeight="1" outlineLevel="7">
      <c r="A125" s="9">
        <v>87</v>
      </c>
      <c r="B125" s="10" t="s">
        <v>397</v>
      </c>
      <c r="C125" s="65" t="s">
        <v>398</v>
      </c>
      <c r="D125" s="65"/>
      <c r="E125" s="65"/>
      <c r="F125" s="65"/>
      <c r="G125" s="11" t="s">
        <v>399</v>
      </c>
      <c r="H125" s="14">
        <v>65</v>
      </c>
      <c r="I125" s="15"/>
      <c r="J125" s="9">
        <v>10</v>
      </c>
      <c r="K125" s="16">
        <v>62.74</v>
      </c>
      <c r="L125" s="17"/>
      <c r="M125" s="15">
        <f>K125*L125</f>
        <v>0</v>
      </c>
      <c r="N125" s="18">
        <f>0.009*L125</f>
        <v>0</v>
      </c>
      <c r="O125" s="19">
        <f>0.00002*L125</f>
        <v>0</v>
      </c>
      <c r="P125" s="24" t="s">
        <v>26</v>
      </c>
      <c r="Q125" s="15" t="s">
        <v>400</v>
      </c>
      <c r="R125" s="15"/>
      <c r="S125" s="10" t="str">
        <f>HYPERLINK("https://miland.ru/api/getInfo/image/717d9613-318c-11f1-a292-00155d82e908")</f>
        <v>https://miland.ru/api/getInfo/image/717d9613-318c-11f1-a292-00155d82e908</v>
      </c>
    </row>
    <row r="126" spans="1:19" s="2" customFormat="1" ht="96.2" customHeight="1" outlineLevel="7">
      <c r="A126" s="9">
        <v>88</v>
      </c>
      <c r="B126" s="10" t="s">
        <v>401</v>
      </c>
      <c r="C126" s="65" t="s">
        <v>402</v>
      </c>
      <c r="D126" s="65"/>
      <c r="E126" s="65"/>
      <c r="F126" s="65"/>
      <c r="G126" s="11" t="s">
        <v>403</v>
      </c>
      <c r="H126" s="14">
        <v>308</v>
      </c>
      <c r="I126" s="15"/>
      <c r="J126" s="9">
        <v>10</v>
      </c>
      <c r="K126" s="16">
        <v>62.74</v>
      </c>
      <c r="L126" s="17"/>
      <c r="M126" s="15">
        <f>K126*L126</f>
        <v>0</v>
      </c>
      <c r="N126" s="18">
        <f>0.011*L126</f>
        <v>0</v>
      </c>
      <c r="O126" s="19">
        <f>0.00012*L126</f>
        <v>0</v>
      </c>
      <c r="P126" s="24" t="s">
        <v>26</v>
      </c>
      <c r="Q126" s="15" t="s">
        <v>404</v>
      </c>
      <c r="R126" s="15"/>
      <c r="S126" s="10" t="str">
        <f>HYPERLINK("https://miland.ru/api/getInfo/image/84810cbb-318c-11f1-a292-00155d82e908")</f>
        <v>https://miland.ru/api/getInfo/image/84810cbb-318c-11f1-a292-00155d82e908</v>
      </c>
    </row>
    <row r="127" spans="1:19" s="2" customFormat="1" ht="96.2" customHeight="1" outlineLevel="7">
      <c r="A127" s="9">
        <v>89</v>
      </c>
      <c r="B127" s="10" t="s">
        <v>405</v>
      </c>
      <c r="C127" s="65" t="s">
        <v>406</v>
      </c>
      <c r="D127" s="65"/>
      <c r="E127" s="65"/>
      <c r="F127" s="65"/>
      <c r="G127" s="11" t="s">
        <v>407</v>
      </c>
      <c r="H127" s="14">
        <v>189</v>
      </c>
      <c r="I127" s="15"/>
      <c r="J127" s="9">
        <v>10</v>
      </c>
      <c r="K127" s="16">
        <v>62.74</v>
      </c>
      <c r="L127" s="17"/>
      <c r="M127" s="15">
        <f>K127*L127</f>
        <v>0</v>
      </c>
      <c r="N127" s="18">
        <f>0.011*L127</f>
        <v>0</v>
      </c>
      <c r="O127" s="19">
        <f>0.00034*L127</f>
        <v>0</v>
      </c>
      <c r="P127" s="24" t="s">
        <v>26</v>
      </c>
      <c r="Q127" s="15" t="s">
        <v>408</v>
      </c>
      <c r="R127" s="15"/>
      <c r="S127" s="10" t="str">
        <f>HYPERLINK("https://miland.ru/api/getInfo/image/9831177a-318c-11f1-a292-00155d82e908")</f>
        <v>https://miland.ru/api/getInfo/image/9831177a-318c-11f1-a292-00155d82e908</v>
      </c>
    </row>
    <row r="128" spans="1:19" s="2" customFormat="1" ht="96.2" customHeight="1" outlineLevel="7">
      <c r="A128" s="9">
        <v>90</v>
      </c>
      <c r="B128" s="10" t="s">
        <v>409</v>
      </c>
      <c r="C128" s="65" t="s">
        <v>410</v>
      </c>
      <c r="D128" s="65"/>
      <c r="E128" s="65"/>
      <c r="F128" s="65"/>
      <c r="G128" s="11" t="s">
        <v>411</v>
      </c>
      <c r="H128" s="14">
        <v>129</v>
      </c>
      <c r="I128" s="15"/>
      <c r="J128" s="9">
        <v>10</v>
      </c>
      <c r="K128" s="16">
        <v>65.569999999999993</v>
      </c>
      <c r="L128" s="17"/>
      <c r="M128" s="15">
        <f>K128*L128</f>
        <v>0</v>
      </c>
      <c r="N128" s="18">
        <f>0.013*L128</f>
        <v>0</v>
      </c>
      <c r="O128" s="19">
        <f>0.00036*L128</f>
        <v>0</v>
      </c>
      <c r="P128" s="24" t="s">
        <v>26</v>
      </c>
      <c r="Q128" s="15" t="s">
        <v>412</v>
      </c>
      <c r="R128" s="15"/>
      <c r="S128" s="10" t="str">
        <f>HYPERLINK("https://miland.ru/api/getInfo/image/25d64606-318c-11f1-a292-00155d82e908")</f>
        <v>https://miland.ru/api/getInfo/image/25d64606-318c-11f1-a292-00155d82e908</v>
      </c>
    </row>
    <row r="129" spans="1:19" s="1" customFormat="1" ht="12" customHeight="1" outlineLevel="6">
      <c r="A129" s="64" t="s">
        <v>413</v>
      </c>
      <c r="B129" s="64"/>
      <c r="C129" s="64"/>
      <c r="D129" s="64"/>
      <c r="E129" s="64"/>
      <c r="F129" s="64"/>
      <c r="G129" s="8"/>
      <c r="H129" s="12"/>
      <c r="I129" s="2"/>
      <c r="J129" s="2"/>
      <c r="K129" s="13"/>
      <c r="L129" s="2"/>
      <c r="M129" s="2"/>
      <c r="N129" s="2"/>
      <c r="O129" s="2"/>
      <c r="P129" s="2"/>
      <c r="Q129" s="2"/>
      <c r="R129" s="2"/>
      <c r="S129" s="2"/>
    </row>
    <row r="130" spans="1:19" s="2" customFormat="1" ht="96.2" customHeight="1" outlineLevel="7">
      <c r="A130" s="9">
        <v>91</v>
      </c>
      <c r="B130" s="10" t="s">
        <v>414</v>
      </c>
      <c r="C130" s="65" t="s">
        <v>415</v>
      </c>
      <c r="D130" s="65"/>
      <c r="E130" s="65"/>
      <c r="F130" s="65"/>
      <c r="G130" s="11" t="s">
        <v>416</v>
      </c>
      <c r="H130" s="14">
        <v>150</v>
      </c>
      <c r="I130" s="15"/>
      <c r="J130" s="9">
        <v>5</v>
      </c>
      <c r="K130" s="16">
        <v>114.06</v>
      </c>
      <c r="L130" s="17"/>
      <c r="M130" s="15">
        <f t="shared" ref="M130:M139" si="8">K130*L130</f>
        <v>0</v>
      </c>
      <c r="N130" s="23">
        <f>0.01*L130</f>
        <v>0</v>
      </c>
      <c r="O130" s="19">
        <f>0.00001*L130</f>
        <v>0</v>
      </c>
      <c r="P130" s="24" t="s">
        <v>26</v>
      </c>
      <c r="Q130" s="15" t="s">
        <v>417</v>
      </c>
      <c r="R130" s="15"/>
      <c r="S130" s="10" t="str">
        <f>HYPERLINK("https://miland.ru/api/getInfo/image/ceea66c1-0679-11f1-a28f-00155d82e908")</f>
        <v>https://miland.ru/api/getInfo/image/ceea66c1-0679-11f1-a28f-00155d82e908</v>
      </c>
    </row>
    <row r="131" spans="1:19" s="2" customFormat="1" ht="96.2" customHeight="1" outlineLevel="7">
      <c r="A131" s="9">
        <v>92</v>
      </c>
      <c r="B131" s="10" t="s">
        <v>418</v>
      </c>
      <c r="C131" s="65" t="s">
        <v>419</v>
      </c>
      <c r="D131" s="65"/>
      <c r="E131" s="65"/>
      <c r="F131" s="65"/>
      <c r="G131" s="11" t="s">
        <v>420</v>
      </c>
      <c r="H131" s="14">
        <v>103</v>
      </c>
      <c r="I131" s="15"/>
      <c r="J131" s="9">
        <v>5</v>
      </c>
      <c r="K131" s="16">
        <v>114.06</v>
      </c>
      <c r="L131" s="17"/>
      <c r="M131" s="15">
        <f t="shared" si="8"/>
        <v>0</v>
      </c>
      <c r="N131" s="18">
        <f>0.011*L131</f>
        <v>0</v>
      </c>
      <c r="O131" s="19">
        <f>0.00004*L131</f>
        <v>0</v>
      </c>
      <c r="P131" s="24" t="s">
        <v>26</v>
      </c>
      <c r="Q131" s="15" t="s">
        <v>421</v>
      </c>
      <c r="R131" s="15"/>
      <c r="S131" s="10" t="str">
        <f>HYPERLINK("https://miland.ru/api/getInfo/image/088ad885-067a-11f1-a28f-00155d82e908")</f>
        <v>https://miland.ru/api/getInfo/image/088ad885-067a-11f1-a28f-00155d82e908</v>
      </c>
    </row>
    <row r="132" spans="1:19" s="2" customFormat="1" ht="96.2" customHeight="1" outlineLevel="7">
      <c r="A132" s="9">
        <v>93</v>
      </c>
      <c r="B132" s="10" t="s">
        <v>422</v>
      </c>
      <c r="C132" s="65" t="s">
        <v>423</v>
      </c>
      <c r="D132" s="65"/>
      <c r="E132" s="65"/>
      <c r="F132" s="65"/>
      <c r="G132" s="11" t="s">
        <v>424</v>
      </c>
      <c r="H132" s="14">
        <v>142</v>
      </c>
      <c r="I132" s="15"/>
      <c r="J132" s="9">
        <v>5</v>
      </c>
      <c r="K132" s="16">
        <v>114.06</v>
      </c>
      <c r="L132" s="17"/>
      <c r="M132" s="15">
        <f t="shared" si="8"/>
        <v>0</v>
      </c>
      <c r="N132" s="23">
        <f>0.01*L132</f>
        <v>0</v>
      </c>
      <c r="O132" s="19">
        <f>0.00004*L132</f>
        <v>0</v>
      </c>
      <c r="P132" s="24" t="s">
        <v>26</v>
      </c>
      <c r="Q132" s="15" t="s">
        <v>425</v>
      </c>
      <c r="R132" s="15"/>
      <c r="S132" s="10" t="str">
        <f>HYPERLINK("https://miland.ru/api/getInfo/image/668e147f-067a-11f1-a28f-00155d82e908")</f>
        <v>https://miland.ru/api/getInfo/image/668e147f-067a-11f1-a28f-00155d82e908</v>
      </c>
    </row>
    <row r="133" spans="1:19" s="2" customFormat="1" ht="96.2" customHeight="1" outlineLevel="7">
      <c r="A133" s="9">
        <v>94</v>
      </c>
      <c r="B133" s="10" t="s">
        <v>426</v>
      </c>
      <c r="C133" s="65" t="s">
        <v>427</v>
      </c>
      <c r="D133" s="65"/>
      <c r="E133" s="65"/>
      <c r="F133" s="65"/>
      <c r="G133" s="11" t="s">
        <v>428</v>
      </c>
      <c r="H133" s="14">
        <v>155</v>
      </c>
      <c r="I133" s="15"/>
      <c r="J133" s="9">
        <v>5</v>
      </c>
      <c r="K133" s="16">
        <v>114.06</v>
      </c>
      <c r="L133" s="17"/>
      <c r="M133" s="15">
        <f t="shared" si="8"/>
        <v>0</v>
      </c>
      <c r="N133" s="23">
        <f>0.01*L133</f>
        <v>0</v>
      </c>
      <c r="O133" s="19">
        <f>0.00004*L133</f>
        <v>0</v>
      </c>
      <c r="P133" s="24" t="s">
        <v>26</v>
      </c>
      <c r="Q133" s="15" t="s">
        <v>429</v>
      </c>
      <c r="R133" s="15"/>
      <c r="S133" s="10" t="str">
        <f>HYPERLINK("https://miland.ru/api/getInfo/image/aaf5389c-0677-11f1-a28f-00155d82e908")</f>
        <v>https://miland.ru/api/getInfo/image/aaf5389c-0677-11f1-a28f-00155d82e908</v>
      </c>
    </row>
    <row r="134" spans="1:19" s="2" customFormat="1" ht="96.2" customHeight="1" outlineLevel="7">
      <c r="A134" s="9">
        <v>95</v>
      </c>
      <c r="B134" s="10" t="s">
        <v>430</v>
      </c>
      <c r="C134" s="65" t="s">
        <v>431</v>
      </c>
      <c r="D134" s="65"/>
      <c r="E134" s="65"/>
      <c r="F134" s="65"/>
      <c r="G134" s="11" t="s">
        <v>432</v>
      </c>
      <c r="H134" s="14">
        <v>142</v>
      </c>
      <c r="I134" s="15"/>
      <c r="J134" s="9">
        <v>5</v>
      </c>
      <c r="K134" s="16">
        <v>114.06</v>
      </c>
      <c r="L134" s="17"/>
      <c r="M134" s="15">
        <f t="shared" si="8"/>
        <v>0</v>
      </c>
      <c r="N134" s="18">
        <f>0.011*L134</f>
        <v>0</v>
      </c>
      <c r="O134" s="19">
        <f>0.00004*L134</f>
        <v>0</v>
      </c>
      <c r="P134" s="24" t="s">
        <v>26</v>
      </c>
      <c r="Q134" s="15" t="s">
        <v>433</v>
      </c>
      <c r="R134" s="15"/>
      <c r="S134" s="10" t="str">
        <f>HYPERLINK("https://miland.ru/api/getInfo/image/3690630b-067a-11f1-a28f-00155d82e908")</f>
        <v>https://miland.ru/api/getInfo/image/3690630b-067a-11f1-a28f-00155d82e908</v>
      </c>
    </row>
    <row r="135" spans="1:19" s="2" customFormat="1" ht="96.2" customHeight="1" outlineLevel="7">
      <c r="A135" s="9">
        <v>96</v>
      </c>
      <c r="B135" s="10" t="s">
        <v>434</v>
      </c>
      <c r="C135" s="65" t="s">
        <v>435</v>
      </c>
      <c r="D135" s="65"/>
      <c r="E135" s="65"/>
      <c r="F135" s="65"/>
      <c r="G135" s="11" t="s">
        <v>436</v>
      </c>
      <c r="H135" s="14">
        <v>58</v>
      </c>
      <c r="I135" s="15"/>
      <c r="J135" s="9">
        <v>5</v>
      </c>
      <c r="K135" s="16">
        <v>114.06</v>
      </c>
      <c r="L135" s="17"/>
      <c r="M135" s="15">
        <f t="shared" si="8"/>
        <v>0</v>
      </c>
      <c r="N135" s="18">
        <f>0.009*L135</f>
        <v>0</v>
      </c>
      <c r="O135" s="19">
        <f>0.00003*L135</f>
        <v>0</v>
      </c>
      <c r="P135" s="24" t="s">
        <v>26</v>
      </c>
      <c r="Q135" s="15" t="s">
        <v>437</v>
      </c>
      <c r="R135" s="15"/>
      <c r="S135" s="10" t="str">
        <f>HYPERLINK("https://miland.ru/api/getInfo/image/ec454056-0679-11f1-a28f-00155d82e908")</f>
        <v>https://miland.ru/api/getInfo/image/ec454056-0679-11f1-a28f-00155d82e908</v>
      </c>
    </row>
    <row r="136" spans="1:19" s="2" customFormat="1" ht="96.2" customHeight="1" outlineLevel="7">
      <c r="A136" s="9">
        <v>97</v>
      </c>
      <c r="B136" s="10" t="s">
        <v>438</v>
      </c>
      <c r="C136" s="65" t="s">
        <v>439</v>
      </c>
      <c r="D136" s="65"/>
      <c r="E136" s="65"/>
      <c r="F136" s="65"/>
      <c r="G136" s="11" t="s">
        <v>440</v>
      </c>
      <c r="H136" s="14">
        <v>122</v>
      </c>
      <c r="I136" s="15"/>
      <c r="J136" s="9">
        <v>5</v>
      </c>
      <c r="K136" s="16">
        <v>114.06</v>
      </c>
      <c r="L136" s="17"/>
      <c r="M136" s="15">
        <f t="shared" si="8"/>
        <v>0</v>
      </c>
      <c r="N136" s="18">
        <f>0.012*L136</f>
        <v>0</v>
      </c>
      <c r="O136" s="19">
        <f>0.00004*L136</f>
        <v>0</v>
      </c>
      <c r="P136" s="24" t="s">
        <v>26</v>
      </c>
      <c r="Q136" s="15" t="s">
        <v>441</v>
      </c>
      <c r="R136" s="15"/>
      <c r="S136" s="10" t="str">
        <f>HYPERLINK("https://miland.ru/api/getInfo/image/4ed3d32a-067a-11f1-a28f-00155d82e908")</f>
        <v>https://miland.ru/api/getInfo/image/4ed3d32a-067a-11f1-a28f-00155d82e908</v>
      </c>
    </row>
    <row r="137" spans="1:19" s="2" customFormat="1" ht="96.2" customHeight="1" outlineLevel="7">
      <c r="A137" s="9">
        <v>98</v>
      </c>
      <c r="B137" s="10" t="s">
        <v>442</v>
      </c>
      <c r="C137" s="65" t="s">
        <v>443</v>
      </c>
      <c r="D137" s="65"/>
      <c r="E137" s="65"/>
      <c r="F137" s="65"/>
      <c r="G137" s="11" t="s">
        <v>444</v>
      </c>
      <c r="H137" s="14">
        <v>83</v>
      </c>
      <c r="I137" s="15"/>
      <c r="J137" s="9">
        <v>5</v>
      </c>
      <c r="K137" s="16">
        <v>114.06</v>
      </c>
      <c r="L137" s="17"/>
      <c r="M137" s="15">
        <f t="shared" si="8"/>
        <v>0</v>
      </c>
      <c r="N137" s="23">
        <f>0.01*L137</f>
        <v>0</v>
      </c>
      <c r="O137" s="19">
        <f>0.00003*L137</f>
        <v>0</v>
      </c>
      <c r="P137" s="24" t="s">
        <v>26</v>
      </c>
      <c r="Q137" s="15" t="s">
        <v>445</v>
      </c>
      <c r="R137" s="15"/>
      <c r="S137" s="10" t="str">
        <f>HYPERLINK("https://miland.ru/api/getInfo/image/224b4bcd-067a-11f1-a28f-00155d82e908")</f>
        <v>https://miland.ru/api/getInfo/image/224b4bcd-067a-11f1-a28f-00155d82e908</v>
      </c>
    </row>
    <row r="138" spans="1:19" s="2" customFormat="1" ht="96.2" customHeight="1" outlineLevel="7">
      <c r="A138" s="9">
        <v>99</v>
      </c>
      <c r="B138" s="10" t="s">
        <v>446</v>
      </c>
      <c r="C138" s="65" t="s">
        <v>447</v>
      </c>
      <c r="D138" s="65"/>
      <c r="E138" s="65"/>
      <c r="F138" s="65"/>
      <c r="G138" s="11" t="s">
        <v>448</v>
      </c>
      <c r="H138" s="14">
        <v>43</v>
      </c>
      <c r="I138" s="15"/>
      <c r="J138" s="9">
        <v>3</v>
      </c>
      <c r="K138" s="16">
        <v>209.34</v>
      </c>
      <c r="L138" s="17"/>
      <c r="M138" s="15">
        <f t="shared" si="8"/>
        <v>0</v>
      </c>
      <c r="N138" s="18">
        <f>0.021*L138</f>
        <v>0</v>
      </c>
      <c r="O138" s="19">
        <f>0.00013*L138</f>
        <v>0</v>
      </c>
      <c r="P138" s="24" t="s">
        <v>26</v>
      </c>
      <c r="Q138" s="15" t="s">
        <v>449</v>
      </c>
      <c r="R138" s="15"/>
      <c r="S138" s="10" t="str">
        <f>HYPERLINK("https://miland.ru/api/getInfo/image/e634adae-067a-11f1-a28f-00155d82e908")</f>
        <v>https://miland.ru/api/getInfo/image/e634adae-067a-11f1-a28f-00155d82e908</v>
      </c>
    </row>
    <row r="139" spans="1:19" s="2" customFormat="1" ht="96.2" customHeight="1" outlineLevel="7">
      <c r="A139" s="9">
        <v>100</v>
      </c>
      <c r="B139" s="10" t="s">
        <v>450</v>
      </c>
      <c r="C139" s="65" t="s">
        <v>451</v>
      </c>
      <c r="D139" s="65"/>
      <c r="E139" s="65"/>
      <c r="F139" s="65"/>
      <c r="G139" s="11" t="s">
        <v>452</v>
      </c>
      <c r="H139" s="14">
        <v>254</v>
      </c>
      <c r="I139" s="15"/>
      <c r="J139" s="9">
        <v>3</v>
      </c>
      <c r="K139" s="16">
        <v>209.34</v>
      </c>
      <c r="L139" s="17"/>
      <c r="M139" s="15">
        <f t="shared" si="8"/>
        <v>0</v>
      </c>
      <c r="N139" s="18">
        <f>0.014*L139</f>
        <v>0</v>
      </c>
      <c r="O139" s="19">
        <f>0.00002*L139</f>
        <v>0</v>
      </c>
      <c r="P139" s="24" t="s">
        <v>26</v>
      </c>
      <c r="Q139" s="15" t="s">
        <v>453</v>
      </c>
      <c r="R139" s="15"/>
      <c r="S139" s="10" t="str">
        <f>HYPERLINK("https://miland.ru/api/getInfo/image/c1bf1023-067a-11f1-a28f-00155d82e908")</f>
        <v>https://miland.ru/api/getInfo/image/c1bf1023-067a-11f1-a28f-00155d82e908</v>
      </c>
    </row>
    <row r="140" spans="1:19" s="1" customFormat="1" ht="12" customHeight="1" outlineLevel="5">
      <c r="A140" s="64" t="s">
        <v>454</v>
      </c>
      <c r="B140" s="64"/>
      <c r="C140" s="64"/>
      <c r="D140" s="64"/>
      <c r="E140" s="64"/>
      <c r="F140" s="64"/>
      <c r="G140" s="8"/>
      <c r="H140" s="12"/>
      <c r="I140" s="2"/>
      <c r="J140" s="2"/>
      <c r="K140" s="13"/>
      <c r="L140" s="2"/>
      <c r="M140" s="2"/>
      <c r="N140" s="2"/>
      <c r="O140" s="2"/>
      <c r="P140" s="2"/>
      <c r="Q140" s="2"/>
      <c r="R140" s="2"/>
      <c r="S140" s="2"/>
    </row>
    <row r="141" spans="1:19" s="2" customFormat="1" ht="96.2" customHeight="1" outlineLevel="6">
      <c r="A141" s="9">
        <v>101</v>
      </c>
      <c r="B141" s="10" t="s">
        <v>455</v>
      </c>
      <c r="C141" s="65" t="s">
        <v>456</v>
      </c>
      <c r="D141" s="65"/>
      <c r="E141" s="65"/>
      <c r="F141" s="65"/>
      <c r="G141" s="11" t="s">
        <v>457</v>
      </c>
      <c r="H141" s="14">
        <v>267</v>
      </c>
      <c r="I141" s="15"/>
      <c r="J141" s="9">
        <v>2</v>
      </c>
      <c r="K141" s="16">
        <v>226.8</v>
      </c>
      <c r="L141" s="17"/>
      <c r="M141" s="15">
        <f>K141*L141</f>
        <v>0</v>
      </c>
      <c r="N141" s="18">
        <f>0.025*L141</f>
        <v>0</v>
      </c>
      <c r="O141" s="19">
        <f>0.00018*L141</f>
        <v>0</v>
      </c>
      <c r="P141" s="24" t="s">
        <v>26</v>
      </c>
      <c r="Q141" s="15" t="s">
        <v>458</v>
      </c>
      <c r="R141" s="15"/>
      <c r="S141" s="10" t="str">
        <f>HYPERLINK("https://miland.ru/api/getInfo/image/90795cde-2d8d-11f1-a292-00155d82e908")</f>
        <v>https://miland.ru/api/getInfo/image/90795cde-2d8d-11f1-a292-00155d82e908</v>
      </c>
    </row>
    <row r="142" spans="1:19" s="2" customFormat="1" ht="96.2" customHeight="1" outlineLevel="6">
      <c r="A142" s="9">
        <v>102</v>
      </c>
      <c r="B142" s="10" t="s">
        <v>459</v>
      </c>
      <c r="C142" s="65" t="s">
        <v>460</v>
      </c>
      <c r="D142" s="65"/>
      <c r="E142" s="65"/>
      <c r="F142" s="65"/>
      <c r="G142" s="11" t="s">
        <v>461</v>
      </c>
      <c r="H142" s="21" t="s">
        <v>44</v>
      </c>
      <c r="I142" s="15"/>
      <c r="J142" s="9">
        <v>3</v>
      </c>
      <c r="K142" s="16">
        <v>205.73</v>
      </c>
      <c r="L142" s="17"/>
      <c r="M142" s="15">
        <f>K142*L142</f>
        <v>0</v>
      </c>
      <c r="N142" s="23">
        <f>0.03*L142</f>
        <v>0</v>
      </c>
      <c r="O142" s="19">
        <f>0.00003*L142</f>
        <v>0</v>
      </c>
      <c r="P142" s="24" t="s">
        <v>26</v>
      </c>
      <c r="Q142" s="15" t="s">
        <v>462</v>
      </c>
      <c r="R142" s="15"/>
      <c r="S142" s="10" t="str">
        <f>HYPERLINK("https://miland.ru/api/getInfo/image/76c48232-cf7f-11f0-a28b-00155d82e908")</f>
        <v>https://miland.ru/api/getInfo/image/76c48232-cf7f-11f0-a28b-00155d82e908</v>
      </c>
    </row>
    <row r="143" spans="1:19" s="1" customFormat="1" ht="12" customHeight="1" outlineLevel="5">
      <c r="A143" s="64" t="s">
        <v>463</v>
      </c>
      <c r="B143" s="64"/>
      <c r="C143" s="64"/>
      <c r="D143" s="64"/>
      <c r="E143" s="64"/>
      <c r="F143" s="64"/>
      <c r="G143" s="8"/>
      <c r="H143" s="12"/>
      <c r="I143" s="2"/>
      <c r="J143" s="2"/>
      <c r="K143" s="13"/>
      <c r="L143" s="2"/>
      <c r="M143" s="2"/>
      <c r="N143" s="2"/>
      <c r="O143" s="2"/>
      <c r="P143" s="2"/>
      <c r="Q143" s="2"/>
      <c r="R143" s="2"/>
      <c r="S143" s="2"/>
    </row>
    <row r="144" spans="1:19" s="2" customFormat="1" ht="96.2" customHeight="1" outlineLevel="6">
      <c r="A144" s="9">
        <v>103</v>
      </c>
      <c r="B144" s="10" t="s">
        <v>464</v>
      </c>
      <c r="C144" s="65" t="s">
        <v>465</v>
      </c>
      <c r="D144" s="65"/>
      <c r="E144" s="65"/>
      <c r="F144" s="65"/>
      <c r="G144" s="11" t="s">
        <v>466</v>
      </c>
      <c r="H144" s="14">
        <v>6</v>
      </c>
      <c r="I144" s="15"/>
      <c r="J144" s="9">
        <v>2</v>
      </c>
      <c r="K144" s="16">
        <v>368.64</v>
      </c>
      <c r="L144" s="17"/>
      <c r="M144" s="15">
        <f>K144*L144</f>
        <v>0</v>
      </c>
      <c r="N144" s="23">
        <f>0.09*L144</f>
        <v>0</v>
      </c>
      <c r="O144" s="20">
        <f>0.0003*L144</f>
        <v>0</v>
      </c>
      <c r="P144" s="24" t="s">
        <v>26</v>
      </c>
      <c r="Q144" s="15" t="s">
        <v>467</v>
      </c>
      <c r="R144" s="15"/>
      <c r="S144" s="10" t="str">
        <f>HYPERLINK("https://miland.ru/api/getInfo/image/9d6d79f2-08d0-11f1-a28f-00155d82e908")</f>
        <v>https://miland.ru/api/getInfo/image/9d6d79f2-08d0-11f1-a28f-00155d82e908</v>
      </c>
    </row>
    <row r="145" spans="1:19" s="2" customFormat="1" ht="96.2" customHeight="1" outlineLevel="6">
      <c r="A145" s="9">
        <v>104</v>
      </c>
      <c r="B145" s="10" t="s">
        <v>468</v>
      </c>
      <c r="C145" s="65" t="s">
        <v>469</v>
      </c>
      <c r="D145" s="65"/>
      <c r="E145" s="65"/>
      <c r="F145" s="65"/>
      <c r="G145" s="11" t="s">
        <v>470</v>
      </c>
      <c r="H145" s="14">
        <v>428</v>
      </c>
      <c r="I145" s="15"/>
      <c r="J145" s="9">
        <v>2</v>
      </c>
      <c r="K145" s="16">
        <v>368.64</v>
      </c>
      <c r="L145" s="17"/>
      <c r="M145" s="15">
        <f>K145*L145</f>
        <v>0</v>
      </c>
      <c r="N145" s="18">
        <f>0.076*L145</f>
        <v>0</v>
      </c>
      <c r="O145" s="19">
        <f>0.00029*L145</f>
        <v>0</v>
      </c>
      <c r="P145" s="24" t="s">
        <v>26</v>
      </c>
      <c r="Q145" s="15" t="s">
        <v>471</v>
      </c>
      <c r="R145" s="15"/>
      <c r="S145" s="10" t="str">
        <f>HYPERLINK("https://miland.ru/api/getInfo/image/c29f2c8b-08d0-11f1-a28f-00155d82e908")</f>
        <v>https://miland.ru/api/getInfo/image/c29f2c8b-08d0-11f1-a28f-00155d82e908</v>
      </c>
    </row>
    <row r="146" spans="1:19" s="2" customFormat="1" ht="96.2" customHeight="1" outlineLevel="6">
      <c r="A146" s="9">
        <v>105</v>
      </c>
      <c r="B146" s="10" t="s">
        <v>472</v>
      </c>
      <c r="C146" s="65" t="s">
        <v>473</v>
      </c>
      <c r="D146" s="65"/>
      <c r="E146" s="65"/>
      <c r="F146" s="65"/>
      <c r="G146" s="11" t="s">
        <v>474</v>
      </c>
      <c r="H146" s="14">
        <v>281</v>
      </c>
      <c r="I146" s="15"/>
      <c r="J146" s="9">
        <v>2</v>
      </c>
      <c r="K146" s="16">
        <v>368.64</v>
      </c>
      <c r="L146" s="17"/>
      <c r="M146" s="15">
        <f>K146*L146</f>
        <v>0</v>
      </c>
      <c r="N146" s="18">
        <f>0.052*L146</f>
        <v>0</v>
      </c>
      <c r="O146" s="19">
        <f>0.00034*L146</f>
        <v>0</v>
      </c>
      <c r="P146" s="24" t="s">
        <v>26</v>
      </c>
      <c r="Q146" s="15" t="s">
        <v>475</v>
      </c>
      <c r="R146" s="15"/>
      <c r="S146" s="10" t="str">
        <f>HYPERLINK("https://miland.ru/api/getInfo/image/dc80e3fc-08cf-11f1-a28f-00155d82e908")</f>
        <v>https://miland.ru/api/getInfo/image/dc80e3fc-08cf-11f1-a28f-00155d82e908</v>
      </c>
    </row>
    <row r="147" spans="1:19" s="2" customFormat="1" ht="96.2" customHeight="1" outlineLevel="6">
      <c r="A147" s="9">
        <v>106</v>
      </c>
      <c r="B147" s="10" t="s">
        <v>476</v>
      </c>
      <c r="C147" s="65" t="s">
        <v>477</v>
      </c>
      <c r="D147" s="65"/>
      <c r="E147" s="65"/>
      <c r="F147" s="65"/>
      <c r="G147" s="11" t="s">
        <v>478</v>
      </c>
      <c r="H147" s="14">
        <v>363</v>
      </c>
      <c r="I147" s="15"/>
      <c r="J147" s="9">
        <v>2</v>
      </c>
      <c r="K147" s="16">
        <v>368.64</v>
      </c>
      <c r="L147" s="17"/>
      <c r="M147" s="15">
        <f>K147*L147</f>
        <v>0</v>
      </c>
      <c r="N147" s="18">
        <f>0.072*L147</f>
        <v>0</v>
      </c>
      <c r="O147" s="19">
        <f>0.00035*L147</f>
        <v>0</v>
      </c>
      <c r="P147" s="24" t="s">
        <v>26</v>
      </c>
      <c r="Q147" s="15" t="s">
        <v>479</v>
      </c>
      <c r="R147" s="15"/>
      <c r="S147" s="10" t="str">
        <f>HYPERLINK("https://miland.ru/api/getInfo/image/baac1a03-08cf-11f1-a28f-00155d82e908")</f>
        <v>https://miland.ru/api/getInfo/image/baac1a03-08cf-11f1-a28f-00155d82e908</v>
      </c>
    </row>
    <row r="148" spans="1:19" s="2" customFormat="1" ht="96.2" customHeight="1" outlineLevel="6">
      <c r="A148" s="9">
        <v>107</v>
      </c>
      <c r="B148" s="10" t="s">
        <v>480</v>
      </c>
      <c r="C148" s="65" t="s">
        <v>481</v>
      </c>
      <c r="D148" s="65"/>
      <c r="E148" s="65"/>
      <c r="F148" s="65"/>
      <c r="G148" s="11" t="s">
        <v>482</v>
      </c>
      <c r="H148" s="21" t="s">
        <v>44</v>
      </c>
      <c r="I148" s="15"/>
      <c r="J148" s="9">
        <v>2</v>
      </c>
      <c r="K148" s="16">
        <v>368.64</v>
      </c>
      <c r="L148" s="17"/>
      <c r="M148" s="15">
        <f>K148*L148</f>
        <v>0</v>
      </c>
      <c r="N148" s="18">
        <f>0.071*L148</f>
        <v>0</v>
      </c>
      <c r="O148" s="19">
        <f>0.00028*L148</f>
        <v>0</v>
      </c>
      <c r="P148" s="24" t="s">
        <v>26</v>
      </c>
      <c r="Q148" s="15" t="s">
        <v>483</v>
      </c>
      <c r="R148" s="15"/>
      <c r="S148" s="10" t="str">
        <f>HYPERLINK("https://miland.ru/api/getInfo/image/22cc2675-08d0-11f1-a28f-00155d82e908")</f>
        <v>https://miland.ru/api/getInfo/image/22cc2675-08d0-11f1-a28f-00155d82e908</v>
      </c>
    </row>
    <row r="149" spans="1:19" s="1" customFormat="1" ht="12" customHeight="1" outlineLevel="5">
      <c r="A149" s="64" t="s">
        <v>484</v>
      </c>
      <c r="B149" s="64"/>
      <c r="C149" s="64"/>
      <c r="D149" s="64"/>
      <c r="E149" s="64"/>
      <c r="F149" s="64"/>
      <c r="G149" s="8"/>
      <c r="H149" s="12"/>
      <c r="I149" s="2"/>
      <c r="J149" s="2"/>
      <c r="K149" s="13"/>
      <c r="L149" s="2"/>
      <c r="M149" s="2"/>
      <c r="N149" s="2"/>
      <c r="O149" s="2"/>
      <c r="P149" s="2"/>
      <c r="Q149" s="2"/>
      <c r="R149" s="2"/>
      <c r="S149" s="2"/>
    </row>
    <row r="150" spans="1:19" s="2" customFormat="1" ht="96.2" customHeight="1" outlineLevel="6">
      <c r="A150" s="9">
        <v>108</v>
      </c>
      <c r="B150" s="10" t="s">
        <v>485</v>
      </c>
      <c r="C150" s="65" t="s">
        <v>486</v>
      </c>
      <c r="D150" s="65"/>
      <c r="E150" s="65"/>
      <c r="F150" s="65"/>
      <c r="G150" s="11" t="s">
        <v>487</v>
      </c>
      <c r="H150" s="14">
        <v>157</v>
      </c>
      <c r="I150" s="15"/>
      <c r="J150" s="9">
        <v>1</v>
      </c>
      <c r="K150" s="22">
        <v>1273.68</v>
      </c>
      <c r="L150" s="17"/>
      <c r="M150" s="15">
        <f>K150*L150</f>
        <v>0</v>
      </c>
      <c r="N150" s="23">
        <f>0.13*L150</f>
        <v>0</v>
      </c>
      <c r="O150" s="19">
        <f>0.00131*L150</f>
        <v>0</v>
      </c>
      <c r="P150" s="24" t="s">
        <v>26</v>
      </c>
      <c r="Q150" s="15" t="s">
        <v>488</v>
      </c>
      <c r="R150" s="15"/>
      <c r="S150" s="10" t="str">
        <f>HYPERLINK("https://miland.ru/api/getInfo/image/a8412016-33d6-11f1-a292-00155d82e908")</f>
        <v>https://miland.ru/api/getInfo/image/a8412016-33d6-11f1-a292-00155d82e908</v>
      </c>
    </row>
    <row r="151" spans="1:19" s="1" customFormat="1" ht="12" customHeight="1" outlineLevel="4">
      <c r="A151" s="64" t="s">
        <v>489</v>
      </c>
      <c r="B151" s="64"/>
      <c r="C151" s="64"/>
      <c r="D151" s="64"/>
      <c r="E151" s="64"/>
      <c r="F151" s="64"/>
      <c r="G151" s="8"/>
      <c r="H151" s="12"/>
      <c r="I151" s="2"/>
      <c r="J151" s="2"/>
      <c r="K151" s="13"/>
      <c r="L151" s="2"/>
      <c r="M151" s="2"/>
      <c r="N151" s="2"/>
      <c r="O151" s="2"/>
      <c r="P151" s="2"/>
      <c r="Q151" s="2"/>
      <c r="R151" s="2"/>
      <c r="S151" s="2"/>
    </row>
    <row r="152" spans="1:19" s="1" customFormat="1" ht="12" customHeight="1" outlineLevel="5">
      <c r="A152" s="64" t="s">
        <v>490</v>
      </c>
      <c r="B152" s="64"/>
      <c r="C152" s="64"/>
      <c r="D152" s="64"/>
      <c r="E152" s="64"/>
      <c r="F152" s="64"/>
      <c r="G152" s="8"/>
      <c r="H152" s="12"/>
      <c r="I152" s="2"/>
      <c r="J152" s="2"/>
      <c r="K152" s="13"/>
      <c r="L152" s="2"/>
      <c r="M152" s="2"/>
      <c r="N152" s="2"/>
      <c r="O152" s="2"/>
      <c r="P152" s="2"/>
      <c r="Q152" s="2"/>
      <c r="R152" s="2"/>
      <c r="S152" s="2"/>
    </row>
    <row r="153" spans="1:19" s="2" customFormat="1" ht="96.2" customHeight="1" outlineLevel="6">
      <c r="A153" s="9">
        <v>109</v>
      </c>
      <c r="B153" s="10" t="s">
        <v>491</v>
      </c>
      <c r="C153" s="65" t="s">
        <v>492</v>
      </c>
      <c r="D153" s="65"/>
      <c r="E153" s="65"/>
      <c r="F153" s="65"/>
      <c r="G153" s="11" t="s">
        <v>493</v>
      </c>
      <c r="H153" s="21" t="s">
        <v>44</v>
      </c>
      <c r="I153" s="15"/>
      <c r="J153" s="9">
        <v>1</v>
      </c>
      <c r="K153" s="16">
        <v>365.6</v>
      </c>
      <c r="L153" s="17"/>
      <c r="M153" s="15">
        <f>K153*L153</f>
        <v>0</v>
      </c>
      <c r="N153" s="18">
        <f>0.052*L153</f>
        <v>0</v>
      </c>
      <c r="O153" s="19">
        <f>0.00077*L153</f>
        <v>0</v>
      </c>
      <c r="P153" s="24" t="s">
        <v>26</v>
      </c>
      <c r="Q153" s="15" t="s">
        <v>494</v>
      </c>
      <c r="R153" s="15"/>
      <c r="S153" s="10" t="str">
        <f>HYPERLINK("https://miland.ru/api/getInfo/image/eb6dfa60-f1de-11f0-a28d-00155d82e908")</f>
        <v>https://miland.ru/api/getInfo/image/eb6dfa60-f1de-11f0-a28d-00155d82e908</v>
      </c>
    </row>
    <row r="154" spans="1:19" s="2" customFormat="1" ht="96.2" customHeight="1" outlineLevel="6">
      <c r="A154" s="9">
        <v>110</v>
      </c>
      <c r="B154" s="10" t="s">
        <v>495</v>
      </c>
      <c r="C154" s="65" t="s">
        <v>496</v>
      </c>
      <c r="D154" s="65"/>
      <c r="E154" s="65"/>
      <c r="F154" s="65"/>
      <c r="G154" s="11" t="s">
        <v>497</v>
      </c>
      <c r="H154" s="14">
        <v>183</v>
      </c>
      <c r="I154" s="15"/>
      <c r="J154" s="9">
        <v>1</v>
      </c>
      <c r="K154" s="16">
        <v>365.6</v>
      </c>
      <c r="L154" s="17"/>
      <c r="M154" s="15">
        <f>K154*L154</f>
        <v>0</v>
      </c>
      <c r="N154" s="18">
        <f>0.057*L154</f>
        <v>0</v>
      </c>
      <c r="O154" s="20">
        <f>0.0008*L154</f>
        <v>0</v>
      </c>
      <c r="P154" s="24" t="s">
        <v>26</v>
      </c>
      <c r="Q154" s="15" t="s">
        <v>498</v>
      </c>
      <c r="R154" s="15"/>
      <c r="S154" s="10" t="str">
        <f>HYPERLINK("https://miland.ru/api/getInfo/image/c931bb36-f1de-11f0-a28d-00155d82e908")</f>
        <v>https://miland.ru/api/getInfo/image/c931bb36-f1de-11f0-a28d-00155d82e908</v>
      </c>
    </row>
    <row r="155" spans="1:19" s="2" customFormat="1" ht="96.2" customHeight="1" outlineLevel="6">
      <c r="A155" s="9">
        <v>111</v>
      </c>
      <c r="B155" s="10" t="s">
        <v>499</v>
      </c>
      <c r="C155" s="65" t="s">
        <v>500</v>
      </c>
      <c r="D155" s="65"/>
      <c r="E155" s="65"/>
      <c r="F155" s="65"/>
      <c r="G155" s="11" t="s">
        <v>501</v>
      </c>
      <c r="H155" s="14">
        <v>276</v>
      </c>
      <c r="I155" s="15"/>
      <c r="J155" s="9">
        <v>1</v>
      </c>
      <c r="K155" s="16">
        <v>365.6</v>
      </c>
      <c r="L155" s="17"/>
      <c r="M155" s="15">
        <f>K155*L155</f>
        <v>0</v>
      </c>
      <c r="N155" s="18">
        <f>0.056*L155</f>
        <v>0</v>
      </c>
      <c r="O155" s="20">
        <f>0.0008*L155</f>
        <v>0</v>
      </c>
      <c r="P155" s="24" t="s">
        <v>26</v>
      </c>
      <c r="Q155" s="15" t="s">
        <v>502</v>
      </c>
      <c r="R155" s="15"/>
      <c r="S155" s="10" t="str">
        <f>HYPERLINK("https://miland.ru/api/getInfo/image/89381046-f1de-11f0-a28d-00155d82e908")</f>
        <v>https://miland.ru/api/getInfo/image/89381046-f1de-11f0-a28d-00155d82e908</v>
      </c>
    </row>
    <row r="156" spans="1:19" s="2" customFormat="1" ht="96.2" customHeight="1" outlineLevel="6">
      <c r="A156" s="9">
        <v>112</v>
      </c>
      <c r="B156" s="10" t="s">
        <v>503</v>
      </c>
      <c r="C156" s="65" t="s">
        <v>504</v>
      </c>
      <c r="D156" s="65"/>
      <c r="E156" s="65"/>
      <c r="F156" s="65"/>
      <c r="G156" s="11" t="s">
        <v>505</v>
      </c>
      <c r="H156" s="21" t="s">
        <v>44</v>
      </c>
      <c r="I156" s="15"/>
      <c r="J156" s="9">
        <v>1</v>
      </c>
      <c r="K156" s="16">
        <v>365.6</v>
      </c>
      <c r="L156" s="17"/>
      <c r="M156" s="15">
        <f>K156*L156</f>
        <v>0</v>
      </c>
      <c r="N156" s="18">
        <f>0.055*L156</f>
        <v>0</v>
      </c>
      <c r="O156" s="20">
        <f>0.0008*L156</f>
        <v>0</v>
      </c>
      <c r="P156" s="24" t="s">
        <v>26</v>
      </c>
      <c r="Q156" s="15" t="s">
        <v>506</v>
      </c>
      <c r="R156" s="15"/>
      <c r="S156" s="10" t="str">
        <f>HYPERLINK("https://miland.ru/api/getInfo/image/d9f8312d-f1de-11f0-a28d-00155d82e908")</f>
        <v>https://miland.ru/api/getInfo/image/d9f8312d-f1de-11f0-a28d-00155d82e908</v>
      </c>
    </row>
    <row r="157" spans="1:19" s="1" customFormat="1" ht="12" customHeight="1" outlineLevel="5">
      <c r="A157" s="64" t="s">
        <v>507</v>
      </c>
      <c r="B157" s="64"/>
      <c r="C157" s="64"/>
      <c r="D157" s="64"/>
      <c r="E157" s="64"/>
      <c r="F157" s="64"/>
      <c r="G157" s="8"/>
      <c r="H157" s="12"/>
      <c r="I157" s="2"/>
      <c r="J157" s="2"/>
      <c r="K157" s="13"/>
      <c r="L157" s="2"/>
      <c r="M157" s="2"/>
      <c r="N157" s="2"/>
      <c r="O157" s="2"/>
      <c r="P157" s="2"/>
      <c r="Q157" s="2"/>
      <c r="R157" s="2"/>
      <c r="S157" s="2"/>
    </row>
    <row r="158" spans="1:19" s="2" customFormat="1" ht="96.2" customHeight="1" outlineLevel="6">
      <c r="A158" s="9">
        <v>113</v>
      </c>
      <c r="B158" s="10" t="s">
        <v>508</v>
      </c>
      <c r="C158" s="65" t="s">
        <v>509</v>
      </c>
      <c r="D158" s="65"/>
      <c r="E158" s="65"/>
      <c r="F158" s="65"/>
      <c r="G158" s="11" t="s">
        <v>510</v>
      </c>
      <c r="H158" s="14">
        <v>453</v>
      </c>
      <c r="I158" s="15"/>
      <c r="J158" s="9">
        <v>1</v>
      </c>
      <c r="K158" s="16">
        <v>529.14</v>
      </c>
      <c r="L158" s="17"/>
      <c r="M158" s="15">
        <f t="shared" ref="M158:M164" si="9">K158*L158</f>
        <v>0</v>
      </c>
      <c r="N158" s="18">
        <f>0.085*L158</f>
        <v>0</v>
      </c>
      <c r="O158" s="19">
        <f>0.00128*L158</f>
        <v>0</v>
      </c>
      <c r="P158" s="24" t="s">
        <v>26</v>
      </c>
      <c r="Q158" s="15" t="s">
        <v>511</v>
      </c>
      <c r="R158" s="15"/>
      <c r="S158" s="10" t="str">
        <f>HYPERLINK("https://miland.ru/api/getInfo/image/7a46f6fb-f1de-11f0-a28d-00155d82e908")</f>
        <v>https://miland.ru/api/getInfo/image/7a46f6fb-f1de-11f0-a28d-00155d82e908</v>
      </c>
    </row>
    <row r="159" spans="1:19" s="2" customFormat="1" ht="96.2" customHeight="1" outlineLevel="6">
      <c r="A159" s="9">
        <v>114</v>
      </c>
      <c r="B159" s="10" t="s">
        <v>512</v>
      </c>
      <c r="C159" s="65" t="s">
        <v>513</v>
      </c>
      <c r="D159" s="65"/>
      <c r="E159" s="65"/>
      <c r="F159" s="65"/>
      <c r="G159" s="11" t="s">
        <v>514</v>
      </c>
      <c r="H159" s="21" t="s">
        <v>44</v>
      </c>
      <c r="I159" s="15"/>
      <c r="J159" s="9">
        <v>1</v>
      </c>
      <c r="K159" s="16">
        <v>461.01</v>
      </c>
      <c r="L159" s="17"/>
      <c r="M159" s="15">
        <f t="shared" si="9"/>
        <v>0</v>
      </c>
      <c r="N159" s="18">
        <f>0.086*L159</f>
        <v>0</v>
      </c>
      <c r="O159" s="19">
        <f>0.00132*L159</f>
        <v>0</v>
      </c>
      <c r="P159" s="24" t="s">
        <v>26</v>
      </c>
      <c r="Q159" s="15" t="s">
        <v>515</v>
      </c>
      <c r="R159" s="15"/>
      <c r="S159" s="10" t="str">
        <f>HYPERLINK("https://miland.ru/api/getInfo/image/8e1b1a53-f1dd-11f0-a28d-00155d82e908")</f>
        <v>https://miland.ru/api/getInfo/image/8e1b1a53-f1dd-11f0-a28d-00155d82e908</v>
      </c>
    </row>
    <row r="160" spans="1:19" s="2" customFormat="1" ht="96.2" customHeight="1" outlineLevel="6">
      <c r="A160" s="9">
        <v>115</v>
      </c>
      <c r="B160" s="10" t="s">
        <v>516</v>
      </c>
      <c r="C160" s="65" t="s">
        <v>517</v>
      </c>
      <c r="D160" s="65"/>
      <c r="E160" s="65"/>
      <c r="F160" s="65"/>
      <c r="G160" s="11" t="s">
        <v>518</v>
      </c>
      <c r="H160" s="14">
        <v>479</v>
      </c>
      <c r="I160" s="15"/>
      <c r="J160" s="9">
        <v>1</v>
      </c>
      <c r="K160" s="16">
        <v>461.01</v>
      </c>
      <c r="L160" s="17"/>
      <c r="M160" s="15">
        <f t="shared" si="9"/>
        <v>0</v>
      </c>
      <c r="N160" s="18">
        <f>0.087*L160</f>
        <v>0</v>
      </c>
      <c r="O160" s="19">
        <f>0.00128*L160</f>
        <v>0</v>
      </c>
      <c r="P160" s="24" t="s">
        <v>26</v>
      </c>
      <c r="Q160" s="15" t="s">
        <v>519</v>
      </c>
      <c r="R160" s="15"/>
      <c r="S160" s="10" t="str">
        <f>HYPERLINK("https://miland.ru/api/getInfo/image/bf703174-f1dd-11f0-a28d-00155d82e908")</f>
        <v>https://miland.ru/api/getInfo/image/bf703174-f1dd-11f0-a28d-00155d82e908</v>
      </c>
    </row>
    <row r="161" spans="1:19" s="2" customFormat="1" ht="96.2" customHeight="1" outlineLevel="6">
      <c r="A161" s="9">
        <v>116</v>
      </c>
      <c r="B161" s="10" t="s">
        <v>520</v>
      </c>
      <c r="C161" s="65" t="s">
        <v>521</v>
      </c>
      <c r="D161" s="65"/>
      <c r="E161" s="65"/>
      <c r="F161" s="65"/>
      <c r="G161" s="11" t="s">
        <v>522</v>
      </c>
      <c r="H161" s="21" t="s">
        <v>44</v>
      </c>
      <c r="I161" s="15"/>
      <c r="J161" s="9">
        <v>1</v>
      </c>
      <c r="K161" s="16">
        <v>586.70000000000005</v>
      </c>
      <c r="L161" s="17"/>
      <c r="M161" s="15">
        <f t="shared" si="9"/>
        <v>0</v>
      </c>
      <c r="N161" s="18">
        <f>0.088*L161</f>
        <v>0</v>
      </c>
      <c r="O161" s="19">
        <f>0.00145*L161</f>
        <v>0</v>
      </c>
      <c r="P161" s="24" t="s">
        <v>26</v>
      </c>
      <c r="Q161" s="15" t="s">
        <v>523</v>
      </c>
      <c r="R161" s="15"/>
      <c r="S161" s="10" t="str">
        <f>HYPERLINK("https://miland.ru/api/getInfo/image/616c9a68-f1de-11f0-a28d-00155d82e908")</f>
        <v>https://miland.ru/api/getInfo/image/616c9a68-f1de-11f0-a28d-00155d82e908</v>
      </c>
    </row>
    <row r="162" spans="1:19" s="2" customFormat="1" ht="96.2" customHeight="1" outlineLevel="6">
      <c r="A162" s="9">
        <v>117</v>
      </c>
      <c r="B162" s="10" t="s">
        <v>524</v>
      </c>
      <c r="C162" s="65" t="s">
        <v>525</v>
      </c>
      <c r="D162" s="65"/>
      <c r="E162" s="65"/>
      <c r="F162" s="65"/>
      <c r="G162" s="11" t="s">
        <v>526</v>
      </c>
      <c r="H162" s="14">
        <v>222</v>
      </c>
      <c r="I162" s="15"/>
      <c r="J162" s="9">
        <v>1</v>
      </c>
      <c r="K162" s="16">
        <v>586.70000000000005</v>
      </c>
      <c r="L162" s="17"/>
      <c r="M162" s="15">
        <f t="shared" si="9"/>
        <v>0</v>
      </c>
      <c r="N162" s="18">
        <f>0.087*L162</f>
        <v>0</v>
      </c>
      <c r="O162" s="19">
        <f>0.00139*L162</f>
        <v>0</v>
      </c>
      <c r="P162" s="24" t="s">
        <v>26</v>
      </c>
      <c r="Q162" s="15" t="s">
        <v>527</v>
      </c>
      <c r="R162" s="15"/>
      <c r="S162" s="10" t="str">
        <f>HYPERLINK("https://miland.ru/api/getInfo/image/51de7749-f1de-11f0-a28d-00155d82e908")</f>
        <v>https://miland.ru/api/getInfo/image/51de7749-f1de-11f0-a28d-00155d82e908</v>
      </c>
    </row>
    <row r="163" spans="1:19" s="2" customFormat="1" ht="96.2" customHeight="1" outlineLevel="6">
      <c r="A163" s="9">
        <v>118</v>
      </c>
      <c r="B163" s="10" t="s">
        <v>528</v>
      </c>
      <c r="C163" s="65" t="s">
        <v>529</v>
      </c>
      <c r="D163" s="65"/>
      <c r="E163" s="65"/>
      <c r="F163" s="65"/>
      <c r="G163" s="11" t="s">
        <v>530</v>
      </c>
      <c r="H163" s="14">
        <v>376</v>
      </c>
      <c r="I163" s="15"/>
      <c r="J163" s="9">
        <v>1</v>
      </c>
      <c r="K163" s="16">
        <v>461.01</v>
      </c>
      <c r="L163" s="17"/>
      <c r="M163" s="15">
        <f t="shared" si="9"/>
        <v>0</v>
      </c>
      <c r="N163" s="18">
        <f>0.087*L163</f>
        <v>0</v>
      </c>
      <c r="O163" s="19">
        <f>0.00133*L163</f>
        <v>0</v>
      </c>
      <c r="P163" s="24" t="s">
        <v>26</v>
      </c>
      <c r="Q163" s="15" t="s">
        <v>531</v>
      </c>
      <c r="R163" s="15"/>
      <c r="S163" s="10" t="str">
        <f>HYPERLINK("https://miland.ru/api/getInfo/image/1d55c84c-f1dd-11f0-a28d-00155d82e908")</f>
        <v>https://miland.ru/api/getInfo/image/1d55c84c-f1dd-11f0-a28d-00155d82e908</v>
      </c>
    </row>
    <row r="164" spans="1:19" s="2" customFormat="1" ht="96.2" customHeight="1" outlineLevel="6">
      <c r="A164" s="9">
        <v>119</v>
      </c>
      <c r="B164" s="10" t="s">
        <v>532</v>
      </c>
      <c r="C164" s="65" t="s">
        <v>533</v>
      </c>
      <c r="D164" s="65"/>
      <c r="E164" s="65"/>
      <c r="F164" s="65"/>
      <c r="G164" s="11" t="s">
        <v>534</v>
      </c>
      <c r="H164" s="21" t="s">
        <v>44</v>
      </c>
      <c r="I164" s="15"/>
      <c r="J164" s="9">
        <v>1</v>
      </c>
      <c r="K164" s="16">
        <v>477.21</v>
      </c>
      <c r="L164" s="17"/>
      <c r="M164" s="15">
        <f t="shared" si="9"/>
        <v>0</v>
      </c>
      <c r="N164" s="23">
        <f>0.09*L164</f>
        <v>0</v>
      </c>
      <c r="O164" s="20">
        <f>0.0014*L164</f>
        <v>0</v>
      </c>
      <c r="P164" s="24" t="s">
        <v>26</v>
      </c>
      <c r="Q164" s="15" t="s">
        <v>535</v>
      </c>
      <c r="R164" s="15"/>
      <c r="S164" s="10" t="str">
        <f>HYPERLINK("https://miland.ru/api/getInfo/image/3f946641-f1de-11f0-a28d-00155d82e908")</f>
        <v>https://miland.ru/api/getInfo/image/3f946641-f1de-11f0-a28d-00155d82e908</v>
      </c>
    </row>
    <row r="165" spans="1:19" s="1" customFormat="1" ht="12" customHeight="1" outlineLevel="3">
      <c r="A165" s="64" t="s">
        <v>536</v>
      </c>
      <c r="B165" s="64"/>
      <c r="C165" s="64"/>
      <c r="D165" s="64"/>
      <c r="E165" s="64"/>
      <c r="F165" s="64"/>
      <c r="G165" s="8"/>
      <c r="H165" s="12"/>
      <c r="I165" s="2"/>
      <c r="J165" s="2"/>
      <c r="K165" s="13"/>
      <c r="L165" s="2"/>
      <c r="M165" s="2"/>
      <c r="N165" s="2"/>
      <c r="O165" s="2"/>
      <c r="P165" s="2"/>
      <c r="Q165" s="2"/>
      <c r="R165" s="2"/>
      <c r="S165" s="2"/>
    </row>
    <row r="166" spans="1:19" s="1" customFormat="1" ht="12" customHeight="1" outlineLevel="4">
      <c r="A166" s="64" t="s">
        <v>537</v>
      </c>
      <c r="B166" s="64"/>
      <c r="C166" s="64"/>
      <c r="D166" s="64"/>
      <c r="E166" s="64"/>
      <c r="F166" s="64"/>
      <c r="G166" s="8"/>
      <c r="H166" s="12"/>
      <c r="I166" s="2"/>
      <c r="J166" s="2"/>
      <c r="K166" s="13"/>
      <c r="L166" s="2"/>
      <c r="M166" s="2"/>
      <c r="N166" s="2"/>
      <c r="O166" s="2"/>
      <c r="P166" s="2"/>
      <c r="Q166" s="2"/>
      <c r="R166" s="2"/>
      <c r="S166" s="2"/>
    </row>
    <row r="167" spans="1:19" s="2" customFormat="1" ht="96.2" customHeight="1" outlineLevel="5">
      <c r="A167" s="9">
        <v>120</v>
      </c>
      <c r="B167" s="10" t="s">
        <v>538</v>
      </c>
      <c r="C167" s="65" t="s">
        <v>539</v>
      </c>
      <c r="D167" s="65"/>
      <c r="E167" s="65"/>
      <c r="F167" s="65"/>
      <c r="G167" s="11" t="s">
        <v>540</v>
      </c>
      <c r="H167" s="21" t="s">
        <v>44</v>
      </c>
      <c r="I167" s="15"/>
      <c r="J167" s="9">
        <v>10</v>
      </c>
      <c r="K167" s="16">
        <v>59.84</v>
      </c>
      <c r="L167" s="17"/>
      <c r="M167" s="15">
        <f>K167*L167</f>
        <v>0</v>
      </c>
      <c r="N167" s="18">
        <f>0.013*L167</f>
        <v>0</v>
      </c>
      <c r="O167" s="19">
        <f>0.00031*L167</f>
        <v>0</v>
      </c>
      <c r="P167" s="24" t="s">
        <v>26</v>
      </c>
      <c r="Q167" s="15" t="s">
        <v>541</v>
      </c>
      <c r="R167" s="15"/>
      <c r="S167" s="10" t="str">
        <f>HYPERLINK("https://miland.ru/api/getInfo/image/8c0e6052-21bd-11f1-a290-00155d82e908")</f>
        <v>https://miland.ru/api/getInfo/image/8c0e6052-21bd-11f1-a290-00155d82e908</v>
      </c>
    </row>
    <row r="168" spans="1:19" s="1" customFormat="1" ht="12" customHeight="1" outlineLevel="4">
      <c r="A168" s="64" t="s">
        <v>542</v>
      </c>
      <c r="B168" s="64"/>
      <c r="C168" s="64"/>
      <c r="D168" s="64"/>
      <c r="E168" s="64"/>
      <c r="F168" s="64"/>
      <c r="G168" s="8"/>
      <c r="H168" s="12"/>
      <c r="I168" s="2"/>
      <c r="J168" s="2"/>
      <c r="K168" s="13"/>
      <c r="L168" s="2"/>
      <c r="M168" s="2"/>
      <c r="N168" s="2"/>
      <c r="O168" s="2"/>
      <c r="P168" s="2"/>
      <c r="Q168" s="2"/>
      <c r="R168" s="2"/>
      <c r="S168" s="2"/>
    </row>
    <row r="169" spans="1:19" s="1" customFormat="1" ht="12" customHeight="1" outlineLevel="5">
      <c r="A169" s="64" t="s">
        <v>543</v>
      </c>
      <c r="B169" s="64"/>
      <c r="C169" s="64"/>
      <c r="D169" s="64"/>
      <c r="E169" s="64"/>
      <c r="F169" s="64"/>
      <c r="G169" s="8"/>
      <c r="H169" s="12"/>
      <c r="I169" s="2"/>
      <c r="J169" s="2"/>
      <c r="K169" s="13"/>
      <c r="L169" s="2"/>
      <c r="M169" s="2"/>
      <c r="N169" s="2"/>
      <c r="O169" s="2"/>
      <c r="P169" s="2"/>
      <c r="Q169" s="2"/>
      <c r="R169" s="2"/>
      <c r="S169" s="2"/>
    </row>
    <row r="170" spans="1:19" s="1" customFormat="1" ht="12" customHeight="1" outlineLevel="6">
      <c r="A170" s="64" t="s">
        <v>544</v>
      </c>
      <c r="B170" s="64"/>
      <c r="C170" s="64"/>
      <c r="D170" s="64"/>
      <c r="E170" s="64"/>
      <c r="F170" s="64"/>
      <c r="G170" s="8"/>
      <c r="H170" s="12"/>
      <c r="I170" s="2"/>
      <c r="J170" s="2"/>
      <c r="K170" s="13"/>
      <c r="L170" s="2"/>
      <c r="M170" s="2"/>
      <c r="N170" s="2"/>
      <c r="O170" s="2"/>
      <c r="P170" s="2"/>
      <c r="Q170" s="2"/>
      <c r="R170" s="2"/>
      <c r="S170" s="2"/>
    </row>
    <row r="171" spans="1:19" s="2" customFormat="1" ht="96.2" customHeight="1" outlineLevel="7">
      <c r="A171" s="9">
        <v>121</v>
      </c>
      <c r="B171" s="10" t="s">
        <v>545</v>
      </c>
      <c r="C171" s="65" t="s">
        <v>546</v>
      </c>
      <c r="D171" s="65"/>
      <c r="E171" s="65"/>
      <c r="F171" s="65"/>
      <c r="G171" s="11" t="s">
        <v>547</v>
      </c>
      <c r="H171" s="14">
        <v>84</v>
      </c>
      <c r="I171" s="15"/>
      <c r="J171" s="9">
        <v>12</v>
      </c>
      <c r="K171" s="16">
        <v>66.790000000000006</v>
      </c>
      <c r="L171" s="17"/>
      <c r="M171" s="15">
        <f>K171*L171</f>
        <v>0</v>
      </c>
      <c r="N171" s="23">
        <f>0.09*L171</f>
        <v>0</v>
      </c>
      <c r="O171" s="19">
        <f>0.00037*L171</f>
        <v>0</v>
      </c>
      <c r="P171" s="24" t="s">
        <v>26</v>
      </c>
      <c r="Q171" s="15" t="s">
        <v>548</v>
      </c>
      <c r="R171" s="15"/>
      <c r="S171" s="10" t="str">
        <f>HYPERLINK("https://miland.ru/api/getInfo/image/c152a683-faaa-11f0-a28e-00155d82e908")</f>
        <v>https://miland.ru/api/getInfo/image/c152a683-faaa-11f0-a28e-00155d82e908</v>
      </c>
    </row>
    <row r="172" spans="1:19" s="1" customFormat="1" ht="12" customHeight="1" outlineLevel="6">
      <c r="A172" s="64" t="s">
        <v>549</v>
      </c>
      <c r="B172" s="64"/>
      <c r="C172" s="64"/>
      <c r="D172" s="64"/>
      <c r="E172" s="64"/>
      <c r="F172" s="64"/>
      <c r="G172" s="8"/>
      <c r="H172" s="12"/>
      <c r="I172" s="2"/>
      <c r="J172" s="2"/>
      <c r="K172" s="13"/>
      <c r="L172" s="2"/>
      <c r="M172" s="2"/>
      <c r="N172" s="2"/>
      <c r="O172" s="2"/>
      <c r="P172" s="2"/>
      <c r="Q172" s="2"/>
      <c r="R172" s="2"/>
      <c r="S172" s="2"/>
    </row>
    <row r="173" spans="1:19" s="2" customFormat="1" ht="96.2" customHeight="1" outlineLevel="7">
      <c r="A173" s="9">
        <v>122</v>
      </c>
      <c r="B173" s="10" t="s">
        <v>550</v>
      </c>
      <c r="C173" s="65" t="s">
        <v>551</v>
      </c>
      <c r="D173" s="65"/>
      <c r="E173" s="65"/>
      <c r="F173" s="65"/>
      <c r="G173" s="11" t="s">
        <v>552</v>
      </c>
      <c r="H173" s="14">
        <v>132</v>
      </c>
      <c r="I173" s="15"/>
      <c r="J173" s="9">
        <v>12</v>
      </c>
      <c r="K173" s="16">
        <v>70.73</v>
      </c>
      <c r="L173" s="17"/>
      <c r="M173" s="15">
        <f>K173*L173</f>
        <v>0</v>
      </c>
      <c r="N173" s="23">
        <f>0.08*L173</f>
        <v>0</v>
      </c>
      <c r="O173" s="19">
        <f>0.00041*L173</f>
        <v>0</v>
      </c>
      <c r="P173" s="24" t="s">
        <v>26</v>
      </c>
      <c r="Q173" s="15" t="s">
        <v>553</v>
      </c>
      <c r="R173" s="15"/>
      <c r="S173" s="10" t="str">
        <f>HYPERLINK("https://miland.ru/api/getInfo/image/f14177de-faaa-11f0-a28e-00155d82e908")</f>
        <v>https://miland.ru/api/getInfo/image/f14177de-faaa-11f0-a28e-00155d82e908</v>
      </c>
    </row>
    <row r="174" spans="1:19" s="1" customFormat="1" ht="12" customHeight="1" outlineLevel="5">
      <c r="A174" s="64" t="s">
        <v>554</v>
      </c>
      <c r="B174" s="64"/>
      <c r="C174" s="64"/>
      <c r="D174" s="64"/>
      <c r="E174" s="64"/>
      <c r="F174" s="64"/>
      <c r="G174" s="8"/>
      <c r="H174" s="12"/>
      <c r="I174" s="2"/>
      <c r="J174" s="2"/>
      <c r="K174" s="13"/>
      <c r="L174" s="2"/>
      <c r="M174" s="2"/>
      <c r="N174" s="2"/>
      <c r="O174" s="2"/>
      <c r="P174" s="2"/>
      <c r="Q174" s="2"/>
      <c r="R174" s="2"/>
      <c r="S174" s="2"/>
    </row>
    <row r="175" spans="1:19" s="1" customFormat="1" ht="12" customHeight="1" outlineLevel="6">
      <c r="A175" s="64" t="s">
        <v>544</v>
      </c>
      <c r="B175" s="64"/>
      <c r="C175" s="64"/>
      <c r="D175" s="64"/>
      <c r="E175" s="64"/>
      <c r="F175" s="64"/>
      <c r="G175" s="8"/>
      <c r="H175" s="12"/>
      <c r="I175" s="2"/>
      <c r="J175" s="2"/>
      <c r="K175" s="13"/>
      <c r="L175" s="2"/>
      <c r="M175" s="2"/>
      <c r="N175" s="2"/>
      <c r="O175" s="2"/>
      <c r="P175" s="2"/>
      <c r="Q175" s="2"/>
      <c r="R175" s="2"/>
      <c r="S175" s="2"/>
    </row>
    <row r="176" spans="1:19" s="2" customFormat="1" ht="96.2" customHeight="1" outlineLevel="7">
      <c r="A176" s="9">
        <v>123</v>
      </c>
      <c r="B176" s="10" t="s">
        <v>555</v>
      </c>
      <c r="C176" s="65" t="s">
        <v>556</v>
      </c>
      <c r="D176" s="65"/>
      <c r="E176" s="65"/>
      <c r="F176" s="65"/>
      <c r="G176" s="11" t="s">
        <v>557</v>
      </c>
      <c r="H176" s="14">
        <v>396</v>
      </c>
      <c r="I176" s="15"/>
      <c r="J176" s="9">
        <v>12</v>
      </c>
      <c r="K176" s="16">
        <v>88.37</v>
      </c>
      <c r="L176" s="17"/>
      <c r="M176" s="15">
        <f>K176*L176</f>
        <v>0</v>
      </c>
      <c r="N176" s="18">
        <f>0.103*L176</f>
        <v>0</v>
      </c>
      <c r="O176" s="19">
        <f>0.00059*L176</f>
        <v>0</v>
      </c>
      <c r="P176" s="24" t="s">
        <v>26</v>
      </c>
      <c r="Q176" s="15" t="s">
        <v>558</v>
      </c>
      <c r="R176" s="15"/>
      <c r="S176" s="10" t="str">
        <f>HYPERLINK("https://miland.ru/api/getInfo/image/0872960f-faab-11f0-a28e-00155d82e908")</f>
        <v>https://miland.ru/api/getInfo/image/0872960f-faab-11f0-a28e-00155d82e908</v>
      </c>
    </row>
    <row r="177" spans="1:19" s="1" customFormat="1" ht="12" customHeight="1" outlineLevel="6">
      <c r="A177" s="64" t="s">
        <v>549</v>
      </c>
      <c r="B177" s="64"/>
      <c r="C177" s="64"/>
      <c r="D177" s="64"/>
      <c r="E177" s="64"/>
      <c r="F177" s="64"/>
      <c r="G177" s="8"/>
      <c r="H177" s="12"/>
      <c r="I177" s="2"/>
      <c r="J177" s="2"/>
      <c r="K177" s="13"/>
      <c r="L177" s="2"/>
      <c r="M177" s="2"/>
      <c r="N177" s="2"/>
      <c r="O177" s="2"/>
      <c r="P177" s="2"/>
      <c r="Q177" s="2"/>
      <c r="R177" s="2"/>
      <c r="S177" s="2"/>
    </row>
    <row r="178" spans="1:19" s="2" customFormat="1" ht="96.2" customHeight="1" outlineLevel="7">
      <c r="A178" s="9">
        <v>124</v>
      </c>
      <c r="B178" s="10" t="s">
        <v>559</v>
      </c>
      <c r="C178" s="65" t="s">
        <v>560</v>
      </c>
      <c r="D178" s="65"/>
      <c r="E178" s="65"/>
      <c r="F178" s="65"/>
      <c r="G178" s="11" t="s">
        <v>561</v>
      </c>
      <c r="H178" s="21" t="s">
        <v>44</v>
      </c>
      <c r="I178" s="15"/>
      <c r="J178" s="9">
        <v>12</v>
      </c>
      <c r="K178" s="16">
        <v>59.45</v>
      </c>
      <c r="L178" s="17"/>
      <c r="M178" s="15">
        <f>K178*L178</f>
        <v>0</v>
      </c>
      <c r="N178" s="18">
        <f>0.094*L178</f>
        <v>0</v>
      </c>
      <c r="O178" s="20">
        <f>0.0006*L178</f>
        <v>0</v>
      </c>
      <c r="P178" s="24" t="s">
        <v>26</v>
      </c>
      <c r="Q178" s="15" t="s">
        <v>562</v>
      </c>
      <c r="R178" s="15"/>
      <c r="S178" s="10" t="str">
        <f>HYPERLINK("https://miland.ru/api/getInfo/image/377272af-faab-11f0-a28e-00155d82e908")</f>
        <v>https://miland.ru/api/getInfo/image/377272af-faab-11f0-a28e-00155d82e908</v>
      </c>
    </row>
    <row r="179" spans="1:19" s="2" customFormat="1" ht="96.2" customHeight="1" outlineLevel="7">
      <c r="A179" s="9">
        <v>125</v>
      </c>
      <c r="B179" s="10" t="s">
        <v>563</v>
      </c>
      <c r="C179" s="65" t="s">
        <v>564</v>
      </c>
      <c r="D179" s="65"/>
      <c r="E179" s="65"/>
      <c r="F179" s="65"/>
      <c r="G179" s="11" t="s">
        <v>565</v>
      </c>
      <c r="H179" s="21" t="s">
        <v>44</v>
      </c>
      <c r="I179" s="15"/>
      <c r="J179" s="9">
        <v>12</v>
      </c>
      <c r="K179" s="16">
        <v>59.45</v>
      </c>
      <c r="L179" s="17"/>
      <c r="M179" s="15">
        <f>K179*L179</f>
        <v>0</v>
      </c>
      <c r="N179" s="18">
        <f>0.093*L179</f>
        <v>0</v>
      </c>
      <c r="O179" s="19">
        <f>0.00253*L179</f>
        <v>0</v>
      </c>
      <c r="P179" s="24" t="s">
        <v>26</v>
      </c>
      <c r="Q179" s="15" t="s">
        <v>566</v>
      </c>
      <c r="R179" s="15"/>
      <c r="S179" s="10" t="str">
        <f>HYPERLINK("https://miland.ru/api/getInfo/image/234aed68-faab-11f0-a28e-00155d82e908")</f>
        <v>https://miland.ru/api/getInfo/image/234aed68-faab-11f0-a28e-00155d82e908</v>
      </c>
    </row>
    <row r="180" spans="1:19" s="1" customFormat="1" ht="12" customHeight="1" outlineLevel="4">
      <c r="A180" s="64" t="s">
        <v>567</v>
      </c>
      <c r="B180" s="64"/>
      <c r="C180" s="64"/>
      <c r="D180" s="64"/>
      <c r="E180" s="64"/>
      <c r="F180" s="64"/>
      <c r="G180" s="8"/>
      <c r="H180" s="12"/>
      <c r="I180" s="2"/>
      <c r="J180" s="2"/>
      <c r="K180" s="13"/>
      <c r="L180" s="2"/>
      <c r="M180" s="2"/>
      <c r="N180" s="2"/>
      <c r="O180" s="2"/>
      <c r="P180" s="2"/>
      <c r="Q180" s="2"/>
      <c r="R180" s="2"/>
      <c r="S180" s="2"/>
    </row>
    <row r="181" spans="1:19" s="1" customFormat="1" ht="12" customHeight="1" outlineLevel="5">
      <c r="A181" s="64" t="s">
        <v>568</v>
      </c>
      <c r="B181" s="64"/>
      <c r="C181" s="64"/>
      <c r="D181" s="64"/>
      <c r="E181" s="64"/>
      <c r="F181" s="64"/>
      <c r="G181" s="8"/>
      <c r="H181" s="12"/>
      <c r="I181" s="2"/>
      <c r="J181" s="2"/>
      <c r="K181" s="13"/>
      <c r="L181" s="2"/>
      <c r="M181" s="2"/>
      <c r="N181" s="2"/>
      <c r="O181" s="2"/>
      <c r="P181" s="2"/>
      <c r="Q181" s="2"/>
      <c r="R181" s="2"/>
      <c r="S181" s="2"/>
    </row>
    <row r="182" spans="1:19" s="2" customFormat="1" ht="96.2" customHeight="1" outlineLevel="6">
      <c r="A182" s="9">
        <v>126</v>
      </c>
      <c r="B182" s="10" t="s">
        <v>569</v>
      </c>
      <c r="C182" s="65" t="s">
        <v>570</v>
      </c>
      <c r="D182" s="65"/>
      <c r="E182" s="65"/>
      <c r="F182" s="65"/>
      <c r="G182" s="11" t="s">
        <v>571</v>
      </c>
      <c r="H182" s="14">
        <v>200</v>
      </c>
      <c r="I182" s="15"/>
      <c r="J182" s="9">
        <v>50</v>
      </c>
      <c r="K182" s="16">
        <v>31.22</v>
      </c>
      <c r="L182" s="17"/>
      <c r="M182" s="15">
        <f>K182*L182</f>
        <v>0</v>
      </c>
      <c r="N182" s="18">
        <f>0.022*L182</f>
        <v>0</v>
      </c>
      <c r="O182" s="19">
        <f>0.00051*L182</f>
        <v>0</v>
      </c>
      <c r="P182" s="24" t="s">
        <v>26</v>
      </c>
      <c r="Q182" s="15" t="s">
        <v>572</v>
      </c>
      <c r="R182" s="15"/>
      <c r="S182" s="10" t="str">
        <f>HYPERLINK("https://miland.ru/api/getInfo/image/a82a7013-3331-11f1-a292-00155d82e908")</f>
        <v>https://miland.ru/api/getInfo/image/a82a7013-3331-11f1-a292-00155d82e908</v>
      </c>
    </row>
    <row r="183" spans="1:19" s="2" customFormat="1" ht="96.2" customHeight="1" outlineLevel="6">
      <c r="A183" s="9">
        <v>127</v>
      </c>
      <c r="B183" s="10" t="s">
        <v>573</v>
      </c>
      <c r="C183" s="65" t="s">
        <v>574</v>
      </c>
      <c r="D183" s="65"/>
      <c r="E183" s="65"/>
      <c r="F183" s="65"/>
      <c r="G183" s="11" t="s">
        <v>575</v>
      </c>
      <c r="H183" s="14">
        <v>50</v>
      </c>
      <c r="I183" s="15"/>
      <c r="J183" s="9">
        <v>50</v>
      </c>
      <c r="K183" s="16">
        <v>10.76</v>
      </c>
      <c r="L183" s="17"/>
      <c r="M183" s="15">
        <f>K183*L183</f>
        <v>0</v>
      </c>
      <c r="N183" s="23">
        <f>0.02*L183</f>
        <v>0</v>
      </c>
      <c r="O183" s="19">
        <f>0.00025*L183</f>
        <v>0</v>
      </c>
      <c r="P183" s="24" t="s">
        <v>26</v>
      </c>
      <c r="Q183" s="15" t="s">
        <v>576</v>
      </c>
      <c r="R183" s="15"/>
      <c r="S183" s="10" t="str">
        <f>HYPERLINK("https://miland.ru/api/getInfo/image/9ea4f6d3-3330-11f1-a292-00155d82e908")</f>
        <v>https://miland.ru/api/getInfo/image/9ea4f6d3-3330-11f1-a292-00155d82e908</v>
      </c>
    </row>
    <row r="184" spans="1:19" s="2" customFormat="1" ht="96.2" customHeight="1" outlineLevel="6">
      <c r="A184" s="9">
        <v>128</v>
      </c>
      <c r="B184" s="10" t="s">
        <v>577</v>
      </c>
      <c r="C184" s="65" t="s">
        <v>578</v>
      </c>
      <c r="D184" s="65"/>
      <c r="E184" s="65"/>
      <c r="F184" s="65"/>
      <c r="G184" s="11" t="s">
        <v>579</v>
      </c>
      <c r="H184" s="21" t="s">
        <v>44</v>
      </c>
      <c r="I184" s="15"/>
      <c r="J184" s="9">
        <v>100</v>
      </c>
      <c r="K184" s="16">
        <v>5.7</v>
      </c>
      <c r="L184" s="17"/>
      <c r="M184" s="15">
        <f>K184*L184</f>
        <v>0</v>
      </c>
      <c r="N184" s="18">
        <f>0.003*L184</f>
        <v>0</v>
      </c>
      <c r="O184" s="19">
        <f>0.00007*L184</f>
        <v>0</v>
      </c>
      <c r="P184" s="24" t="s">
        <v>26</v>
      </c>
      <c r="Q184" s="15" t="s">
        <v>580</v>
      </c>
      <c r="R184" s="15"/>
      <c r="S184" s="10" t="str">
        <f>HYPERLINK("https://miland.ru/api/getInfo/image/0569b93a-3330-11f1-a292-00155d82e908")</f>
        <v>https://miland.ru/api/getInfo/image/0569b93a-3330-11f1-a292-00155d82e908</v>
      </c>
    </row>
    <row r="185" spans="1:19" s="1" customFormat="1" ht="12" customHeight="1" outlineLevel="5">
      <c r="A185" s="64" t="s">
        <v>581</v>
      </c>
      <c r="B185" s="64"/>
      <c r="C185" s="64"/>
      <c r="D185" s="64"/>
      <c r="E185" s="64"/>
      <c r="F185" s="64"/>
      <c r="G185" s="8"/>
      <c r="H185" s="12"/>
      <c r="I185" s="2"/>
      <c r="J185" s="2"/>
      <c r="K185" s="13"/>
      <c r="L185" s="2"/>
      <c r="M185" s="2"/>
      <c r="N185" s="2"/>
      <c r="O185" s="2"/>
      <c r="P185" s="2"/>
      <c r="Q185" s="2"/>
      <c r="R185" s="2"/>
      <c r="S185" s="2"/>
    </row>
    <row r="186" spans="1:19" s="2" customFormat="1" ht="96.2" customHeight="1" outlineLevel="6">
      <c r="A186" s="9">
        <v>129</v>
      </c>
      <c r="B186" s="10" t="s">
        <v>582</v>
      </c>
      <c r="C186" s="65" t="s">
        <v>583</v>
      </c>
      <c r="D186" s="65"/>
      <c r="E186" s="65"/>
      <c r="F186" s="65"/>
      <c r="G186" s="11" t="s">
        <v>584</v>
      </c>
      <c r="H186" s="14">
        <v>50</v>
      </c>
      <c r="I186" s="15"/>
      <c r="J186" s="9">
        <v>50</v>
      </c>
      <c r="K186" s="16">
        <v>21.79</v>
      </c>
      <c r="L186" s="17"/>
      <c r="M186" s="15">
        <f>K186*L186</f>
        <v>0</v>
      </c>
      <c r="N186" s="18">
        <f>0.021*L186</f>
        <v>0</v>
      </c>
      <c r="O186" s="19">
        <f>0.00034*L186</f>
        <v>0</v>
      </c>
      <c r="P186" s="24" t="s">
        <v>26</v>
      </c>
      <c r="Q186" s="15" t="s">
        <v>585</v>
      </c>
      <c r="R186" s="15"/>
      <c r="S186" s="10" t="str">
        <f>HYPERLINK("https://miland.ru/api/getInfo/image/160e7908-333a-11f1-a292-00155d82e908")</f>
        <v>https://miland.ru/api/getInfo/image/160e7908-333a-11f1-a292-00155d82e908</v>
      </c>
    </row>
    <row r="187" spans="1:19" s="1" customFormat="1" ht="12" customHeight="1" outlineLevel="4">
      <c r="A187" s="64" t="s">
        <v>586</v>
      </c>
      <c r="B187" s="64"/>
      <c r="C187" s="64"/>
      <c r="D187" s="64"/>
      <c r="E187" s="64"/>
      <c r="F187" s="64"/>
      <c r="G187" s="8"/>
      <c r="H187" s="12"/>
      <c r="I187" s="2"/>
      <c r="J187" s="2"/>
      <c r="K187" s="13"/>
      <c r="L187" s="2"/>
      <c r="M187" s="2"/>
      <c r="N187" s="2"/>
      <c r="O187" s="2"/>
      <c r="P187" s="2"/>
      <c r="Q187" s="2"/>
      <c r="R187" s="2"/>
      <c r="S187" s="2"/>
    </row>
    <row r="188" spans="1:19" s="2" customFormat="1" ht="96.2" customHeight="1" outlineLevel="5">
      <c r="A188" s="9">
        <v>130</v>
      </c>
      <c r="B188" s="10" t="s">
        <v>587</v>
      </c>
      <c r="C188" s="65" t="s">
        <v>588</v>
      </c>
      <c r="D188" s="65"/>
      <c r="E188" s="65"/>
      <c r="F188" s="65"/>
      <c r="G188" s="11" t="s">
        <v>589</v>
      </c>
      <c r="H188" s="14">
        <v>1</v>
      </c>
      <c r="I188" s="15"/>
      <c r="J188" s="9">
        <v>1</v>
      </c>
      <c r="K188" s="16">
        <v>580.48</v>
      </c>
      <c r="L188" s="17"/>
      <c r="M188" s="15">
        <f>K188*L188</f>
        <v>0</v>
      </c>
      <c r="N188" s="18">
        <f>0.437*L188</f>
        <v>0</v>
      </c>
      <c r="O188" s="19">
        <f>0.00455*L188</f>
        <v>0</v>
      </c>
      <c r="P188" s="24" t="s">
        <v>26</v>
      </c>
      <c r="Q188" s="15" t="s">
        <v>590</v>
      </c>
      <c r="R188" s="15"/>
      <c r="S188" s="10" t="str">
        <f>HYPERLINK("https://miland.ru/api/getInfo/image/0a8b1a1e-f607-11f0-a28d-00155d82e908")</f>
        <v>https://miland.ru/api/getInfo/image/0a8b1a1e-f607-11f0-a28d-00155d82e908</v>
      </c>
    </row>
    <row r="189" spans="1:19" s="2" customFormat="1" ht="96.2" customHeight="1" outlineLevel="5">
      <c r="A189" s="9">
        <v>131</v>
      </c>
      <c r="B189" s="10" t="s">
        <v>591</v>
      </c>
      <c r="C189" s="65" t="s">
        <v>592</v>
      </c>
      <c r="D189" s="65"/>
      <c r="E189" s="65"/>
      <c r="F189" s="65"/>
      <c r="G189" s="11" t="s">
        <v>593</v>
      </c>
      <c r="H189" s="14">
        <v>142</v>
      </c>
      <c r="I189" s="15"/>
      <c r="J189" s="9">
        <v>1</v>
      </c>
      <c r="K189" s="22">
        <v>1536.51</v>
      </c>
      <c r="L189" s="17"/>
      <c r="M189" s="15">
        <f>K189*L189</f>
        <v>0</v>
      </c>
      <c r="N189" s="18">
        <f>1.414*L189</f>
        <v>0</v>
      </c>
      <c r="O189" s="20">
        <f>0.0087*L189</f>
        <v>0</v>
      </c>
      <c r="P189" s="24" t="s">
        <v>26</v>
      </c>
      <c r="Q189" s="15" t="s">
        <v>594</v>
      </c>
      <c r="R189" s="15"/>
      <c r="S189" s="10" t="str">
        <f>HYPERLINK("https://miland.ru/api/getInfo/image/a43eb1e8-f689-11f0-a28d-00155d82e908")</f>
        <v>https://miland.ru/api/getInfo/image/a43eb1e8-f689-11f0-a28d-00155d82e908</v>
      </c>
    </row>
    <row r="190" spans="1:19" s="1" customFormat="1" ht="12" customHeight="1" outlineLevel="4">
      <c r="A190" s="64" t="s">
        <v>595</v>
      </c>
      <c r="B190" s="64"/>
      <c r="C190" s="64"/>
      <c r="D190" s="64"/>
      <c r="E190" s="64"/>
      <c r="F190" s="64"/>
      <c r="G190" s="8"/>
      <c r="H190" s="12"/>
      <c r="I190" s="2"/>
      <c r="J190" s="2"/>
      <c r="K190" s="13"/>
      <c r="L190" s="2"/>
      <c r="M190" s="2"/>
      <c r="N190" s="2"/>
      <c r="O190" s="2"/>
      <c r="P190" s="2"/>
      <c r="Q190" s="2"/>
      <c r="R190" s="2"/>
      <c r="S190" s="2"/>
    </row>
    <row r="191" spans="1:19" s="2" customFormat="1" ht="96.2" customHeight="1" outlineLevel="5">
      <c r="A191" s="9">
        <v>132</v>
      </c>
      <c r="B191" s="10" t="s">
        <v>596</v>
      </c>
      <c r="C191" s="65" t="s">
        <v>597</v>
      </c>
      <c r="D191" s="65"/>
      <c r="E191" s="65"/>
      <c r="F191" s="65"/>
      <c r="G191" s="11" t="s">
        <v>598</v>
      </c>
      <c r="H191" s="21" t="s">
        <v>44</v>
      </c>
      <c r="I191" s="15"/>
      <c r="J191" s="9">
        <v>50</v>
      </c>
      <c r="K191" s="16">
        <v>48.19</v>
      </c>
      <c r="L191" s="17"/>
      <c r="M191" s="15">
        <f>K191*L191</f>
        <v>0</v>
      </c>
      <c r="N191" s="23">
        <f>3.15*L191</f>
        <v>0</v>
      </c>
      <c r="O191" s="19">
        <f>0.02698*L191</f>
        <v>0</v>
      </c>
      <c r="P191" s="24" t="s">
        <v>26</v>
      </c>
      <c r="Q191" s="15" t="s">
        <v>599</v>
      </c>
      <c r="R191" s="15"/>
      <c r="S191" s="10" t="str">
        <f>HYPERLINK("https://miland.ru/api/getInfo/image/02b618c1-f513-11f0-a28d-00155d82e908")</f>
        <v>https://miland.ru/api/getInfo/image/02b618c1-f513-11f0-a28d-00155d82e908</v>
      </c>
    </row>
    <row r="192" spans="1:19" s="2" customFormat="1" ht="96.2" customHeight="1" outlineLevel="5">
      <c r="A192" s="9">
        <v>133</v>
      </c>
      <c r="B192" s="10" t="s">
        <v>600</v>
      </c>
      <c r="C192" s="65" t="s">
        <v>601</v>
      </c>
      <c r="D192" s="65"/>
      <c r="E192" s="65"/>
      <c r="F192" s="65"/>
      <c r="G192" s="11" t="s">
        <v>602</v>
      </c>
      <c r="H192" s="14">
        <v>297</v>
      </c>
      <c r="I192" s="15"/>
      <c r="J192" s="9">
        <v>1</v>
      </c>
      <c r="K192" s="16">
        <v>444.82</v>
      </c>
      <c r="L192" s="17"/>
      <c r="M192" s="15">
        <f>K192*L192</f>
        <v>0</v>
      </c>
      <c r="N192" s="18">
        <f>0.593*L192</f>
        <v>0</v>
      </c>
      <c r="O192" s="19">
        <f>0.00076*L192</f>
        <v>0</v>
      </c>
      <c r="P192" s="24" t="s">
        <v>26</v>
      </c>
      <c r="Q192" s="15" t="s">
        <v>603</v>
      </c>
      <c r="R192" s="15"/>
      <c r="S192" s="10" t="str">
        <f>HYPERLINK("https://miland.ru/api/getInfo/image/57f49b18-f50c-11f0-a28d-00155d82e908")</f>
        <v>https://miland.ru/api/getInfo/image/57f49b18-f50c-11f0-a28d-00155d82e908</v>
      </c>
    </row>
    <row r="193" spans="1:19" s="1" customFormat="1" ht="12" customHeight="1" outlineLevel="2">
      <c r="A193" s="63" t="s">
        <v>604</v>
      </c>
      <c r="B193" s="63"/>
      <c r="C193" s="63"/>
      <c r="D193" s="63"/>
      <c r="E193" s="63"/>
      <c r="F193" s="63"/>
      <c r="G193" s="8"/>
      <c r="H193" s="12"/>
      <c r="I193" s="2"/>
      <c r="J193" s="2"/>
      <c r="K193" s="13"/>
      <c r="L193" s="2"/>
      <c r="M193" s="2"/>
      <c r="N193" s="2"/>
      <c r="O193" s="2"/>
      <c r="P193" s="2"/>
      <c r="Q193" s="2"/>
      <c r="R193" s="2"/>
      <c r="S193" s="2"/>
    </row>
    <row r="194" spans="1:19" s="1" customFormat="1" ht="12" customHeight="1" outlineLevel="3">
      <c r="A194" s="64" t="s">
        <v>605</v>
      </c>
      <c r="B194" s="64"/>
      <c r="C194" s="64"/>
      <c r="D194" s="64"/>
      <c r="E194" s="64"/>
      <c r="F194" s="64"/>
      <c r="G194" s="8"/>
      <c r="H194" s="12"/>
      <c r="I194" s="2"/>
      <c r="J194" s="2"/>
      <c r="K194" s="13"/>
      <c r="L194" s="2"/>
      <c r="M194" s="2"/>
      <c r="N194" s="2"/>
      <c r="O194" s="2"/>
      <c r="P194" s="2"/>
      <c r="Q194" s="2"/>
      <c r="R194" s="2"/>
      <c r="S194" s="2"/>
    </row>
    <row r="195" spans="1:19" s="1" customFormat="1" ht="12" customHeight="1" outlineLevel="4">
      <c r="A195" s="64" t="s">
        <v>606</v>
      </c>
      <c r="B195" s="64"/>
      <c r="C195" s="64"/>
      <c r="D195" s="64"/>
      <c r="E195" s="64"/>
      <c r="F195" s="64"/>
      <c r="G195" s="8"/>
      <c r="H195" s="12"/>
      <c r="I195" s="2"/>
      <c r="J195" s="2"/>
      <c r="K195" s="13"/>
      <c r="L195" s="2"/>
      <c r="M195" s="2"/>
      <c r="N195" s="2"/>
      <c r="O195" s="2"/>
      <c r="P195" s="2"/>
      <c r="Q195" s="2"/>
      <c r="R195" s="2"/>
      <c r="S195" s="2"/>
    </row>
    <row r="196" spans="1:19" s="1" customFormat="1" ht="12" customHeight="1" outlineLevel="5">
      <c r="A196" s="64" t="s">
        <v>138</v>
      </c>
      <c r="B196" s="64"/>
      <c r="C196" s="64"/>
      <c r="D196" s="64"/>
      <c r="E196" s="64"/>
      <c r="F196" s="64"/>
      <c r="G196" s="8"/>
      <c r="H196" s="12"/>
      <c r="I196" s="2"/>
      <c r="J196" s="2"/>
      <c r="K196" s="13"/>
      <c r="L196" s="2"/>
      <c r="M196" s="2"/>
      <c r="N196" s="2"/>
      <c r="O196" s="2"/>
      <c r="P196" s="2"/>
      <c r="Q196" s="2"/>
      <c r="R196" s="2"/>
      <c r="S196" s="2"/>
    </row>
    <row r="197" spans="1:19" s="2" customFormat="1" ht="96.2" customHeight="1" outlineLevel="6">
      <c r="A197" s="25">
        <v>134</v>
      </c>
      <c r="B197" s="26" t="s">
        <v>607</v>
      </c>
      <c r="C197" s="66" t="s">
        <v>608</v>
      </c>
      <c r="D197" s="66"/>
      <c r="E197" s="66"/>
      <c r="F197" s="66"/>
      <c r="G197" s="27" t="s">
        <v>609</v>
      </c>
      <c r="H197" s="28" t="s">
        <v>44</v>
      </c>
      <c r="I197" s="29"/>
      <c r="J197" s="25">
        <v>4</v>
      </c>
      <c r="K197" s="30">
        <v>139.12</v>
      </c>
      <c r="L197" s="17"/>
      <c r="M197" s="29">
        <f>K197*L197</f>
        <v>0</v>
      </c>
      <c r="N197" s="31">
        <f>0.047*L197</f>
        <v>0</v>
      </c>
      <c r="O197" s="32">
        <f>0.00029*L197</f>
        <v>0</v>
      </c>
      <c r="P197" s="36"/>
      <c r="Q197" s="29" t="s">
        <v>610</v>
      </c>
      <c r="R197" s="29" t="s">
        <v>611</v>
      </c>
      <c r="S197" s="26" t="str">
        <f>HYPERLINK("https://miland.ru/api/getInfo/image/e4e4430c-ff0f-11ef-a277-00155d82e908")</f>
        <v>https://miland.ru/api/getInfo/image/e4e4430c-ff0f-11ef-a277-00155d82e908</v>
      </c>
    </row>
    <row r="198" spans="1:19" s="1" customFormat="1" ht="12" customHeight="1" outlineLevel="5">
      <c r="A198" s="64" t="s">
        <v>612</v>
      </c>
      <c r="B198" s="64"/>
      <c r="C198" s="64"/>
      <c r="D198" s="64"/>
      <c r="E198" s="64"/>
      <c r="F198" s="64"/>
      <c r="G198" s="8"/>
      <c r="H198" s="12"/>
      <c r="I198" s="2"/>
      <c r="J198" s="2"/>
      <c r="K198" s="13"/>
      <c r="L198" s="2"/>
      <c r="M198" s="2"/>
      <c r="N198" s="2"/>
      <c r="O198" s="2"/>
      <c r="P198" s="2"/>
      <c r="Q198" s="2"/>
      <c r="R198" s="2"/>
      <c r="S198" s="2"/>
    </row>
    <row r="199" spans="1:19" s="1" customFormat="1" ht="12" customHeight="1" outlineLevel="6">
      <c r="A199" s="64" t="s">
        <v>613</v>
      </c>
      <c r="B199" s="64"/>
      <c r="C199" s="64"/>
      <c r="D199" s="64"/>
      <c r="E199" s="64"/>
      <c r="F199" s="64"/>
      <c r="G199" s="8"/>
      <c r="H199" s="12"/>
      <c r="I199" s="2"/>
      <c r="J199" s="2"/>
      <c r="K199" s="13"/>
      <c r="L199" s="2"/>
      <c r="M199" s="2"/>
      <c r="N199" s="2"/>
      <c r="O199" s="2"/>
      <c r="P199" s="2"/>
      <c r="Q199" s="2"/>
      <c r="R199" s="2"/>
      <c r="S199" s="2"/>
    </row>
    <row r="200" spans="1:19" s="2" customFormat="1" ht="96.2" customHeight="1" outlineLevel="7">
      <c r="A200" s="25">
        <v>135</v>
      </c>
      <c r="B200" s="26" t="s">
        <v>614</v>
      </c>
      <c r="C200" s="66" t="s">
        <v>615</v>
      </c>
      <c r="D200" s="66"/>
      <c r="E200" s="66"/>
      <c r="F200" s="66"/>
      <c r="G200" s="27" t="s">
        <v>616</v>
      </c>
      <c r="H200" s="33">
        <v>81</v>
      </c>
      <c r="I200" s="29"/>
      <c r="J200" s="25">
        <v>1</v>
      </c>
      <c r="K200" s="30">
        <v>867.89</v>
      </c>
      <c r="L200" s="17"/>
      <c r="M200" s="29">
        <f>K200*L200</f>
        <v>0</v>
      </c>
      <c r="N200" s="31">
        <f>0.246*L200</f>
        <v>0</v>
      </c>
      <c r="O200" s="32">
        <f>0.00081*L200</f>
        <v>0</v>
      </c>
      <c r="P200" s="36"/>
      <c r="Q200" s="29" t="s">
        <v>617</v>
      </c>
      <c r="R200" s="29"/>
      <c r="S200" s="26" t="str">
        <f>HYPERLINK("https://miland.ru/api/getInfo/image/f2a5002a-138c-11f0-a279-00155d82e908")</f>
        <v>https://miland.ru/api/getInfo/image/f2a5002a-138c-11f0-a279-00155d82e908</v>
      </c>
    </row>
    <row r="201" spans="1:19" s="1" customFormat="1" ht="12" customHeight="1" outlineLevel="6">
      <c r="A201" s="64" t="s">
        <v>618</v>
      </c>
      <c r="B201" s="64"/>
      <c r="C201" s="64"/>
      <c r="D201" s="64"/>
      <c r="E201" s="64"/>
      <c r="F201" s="64"/>
      <c r="G201" s="8"/>
      <c r="H201" s="12"/>
      <c r="I201" s="2"/>
      <c r="J201" s="2"/>
      <c r="K201" s="13"/>
      <c r="L201" s="2"/>
      <c r="M201" s="2"/>
      <c r="N201" s="2"/>
      <c r="O201" s="2"/>
      <c r="P201" s="2"/>
      <c r="Q201" s="2"/>
      <c r="R201" s="2"/>
      <c r="S201" s="2"/>
    </row>
    <row r="202" spans="1:19" s="2" customFormat="1" ht="96.2" customHeight="1" outlineLevel="7">
      <c r="A202" s="9">
        <v>136</v>
      </c>
      <c r="B202" s="10" t="s">
        <v>619</v>
      </c>
      <c r="C202" s="65" t="s">
        <v>620</v>
      </c>
      <c r="D202" s="65"/>
      <c r="E202" s="65"/>
      <c r="F202" s="65"/>
      <c r="G202" s="11" t="s">
        <v>621</v>
      </c>
      <c r="H202" s="21" t="s">
        <v>44</v>
      </c>
      <c r="I202" s="15"/>
      <c r="J202" s="9">
        <v>1</v>
      </c>
      <c r="K202" s="16">
        <v>511.07</v>
      </c>
      <c r="L202" s="17"/>
      <c r="M202" s="15">
        <f>K202*L202</f>
        <v>0</v>
      </c>
      <c r="N202" s="23">
        <f>0.04*L202</f>
        <v>0</v>
      </c>
      <c r="O202" s="19">
        <f>0.00018*L202</f>
        <v>0</v>
      </c>
      <c r="P202" s="24" t="s">
        <v>26</v>
      </c>
      <c r="Q202" s="15" t="s">
        <v>622</v>
      </c>
      <c r="R202" s="15"/>
      <c r="S202" s="10" t="str">
        <f>HYPERLINK("https://miland.ru/api/getInfo/image/4d917d4d-087e-11f0-a277-00155d82e908")</f>
        <v>https://miland.ru/api/getInfo/image/4d917d4d-087e-11f0-a277-00155d82e908</v>
      </c>
    </row>
    <row r="203" spans="1:19" s="2" customFormat="1" ht="96.2" customHeight="1" outlineLevel="7">
      <c r="A203" s="9">
        <v>137</v>
      </c>
      <c r="B203" s="10" t="s">
        <v>623</v>
      </c>
      <c r="C203" s="65" t="s">
        <v>624</v>
      </c>
      <c r="D203" s="65"/>
      <c r="E203" s="65"/>
      <c r="F203" s="65"/>
      <c r="G203" s="11" t="s">
        <v>625</v>
      </c>
      <c r="H203" s="21" t="s">
        <v>44</v>
      </c>
      <c r="I203" s="15"/>
      <c r="J203" s="9">
        <v>1</v>
      </c>
      <c r="K203" s="16">
        <v>480.36</v>
      </c>
      <c r="L203" s="17"/>
      <c r="M203" s="15">
        <f>K203*L203</f>
        <v>0</v>
      </c>
      <c r="N203" s="23">
        <f>0.06*L203</f>
        <v>0</v>
      </c>
      <c r="O203" s="19">
        <f>0.00016*L203</f>
        <v>0</v>
      </c>
      <c r="P203" s="24" t="s">
        <v>26</v>
      </c>
      <c r="Q203" s="15" t="s">
        <v>626</v>
      </c>
      <c r="R203" s="15"/>
      <c r="S203" s="10" t="str">
        <f>HYPERLINK("https://miland.ru/api/getInfo/image/7e621bcb-087d-11f0-a277-00155d82e908")</f>
        <v>https://miland.ru/api/getInfo/image/7e621bcb-087d-11f0-a277-00155d82e908</v>
      </c>
    </row>
    <row r="204" spans="1:19" s="2" customFormat="1" ht="96.2" customHeight="1" outlineLevel="7">
      <c r="A204" s="9">
        <v>138</v>
      </c>
      <c r="B204" s="10" t="s">
        <v>627</v>
      </c>
      <c r="C204" s="65" t="s">
        <v>628</v>
      </c>
      <c r="D204" s="65"/>
      <c r="E204" s="65"/>
      <c r="F204" s="65"/>
      <c r="G204" s="11" t="s">
        <v>629</v>
      </c>
      <c r="H204" s="14">
        <v>82</v>
      </c>
      <c r="I204" s="15"/>
      <c r="J204" s="9">
        <v>1</v>
      </c>
      <c r="K204" s="22">
        <v>1241.1500000000001</v>
      </c>
      <c r="L204" s="17"/>
      <c r="M204" s="15">
        <f>K204*L204</f>
        <v>0</v>
      </c>
      <c r="N204" s="18">
        <f>0.165*L204</f>
        <v>0</v>
      </c>
      <c r="O204" s="19">
        <f>0.00143*L204</f>
        <v>0</v>
      </c>
      <c r="P204" s="24" t="s">
        <v>26</v>
      </c>
      <c r="Q204" s="15" t="s">
        <v>630</v>
      </c>
      <c r="R204" s="15"/>
      <c r="S204" s="10" t="str">
        <f>HYPERLINK("https://miland.ru/api/getInfo/image/f4dba784-2824-11f1-a291-00155d82e908")</f>
        <v>https://miland.ru/api/getInfo/image/f4dba784-2824-11f1-a291-00155d82e908</v>
      </c>
    </row>
    <row r="205" spans="1:19" s="1" customFormat="1" ht="12" customHeight="1" outlineLevel="5">
      <c r="A205" s="64" t="s">
        <v>203</v>
      </c>
      <c r="B205" s="64"/>
      <c r="C205" s="64"/>
      <c r="D205" s="64"/>
      <c r="E205" s="64"/>
      <c r="F205" s="64"/>
      <c r="G205" s="8"/>
      <c r="H205" s="12"/>
      <c r="I205" s="2"/>
      <c r="J205" s="2"/>
      <c r="K205" s="13"/>
      <c r="L205" s="2"/>
      <c r="M205" s="2"/>
      <c r="N205" s="2"/>
      <c r="O205" s="2"/>
      <c r="P205" s="2"/>
      <c r="Q205" s="2"/>
      <c r="R205" s="2"/>
      <c r="S205" s="2"/>
    </row>
    <row r="206" spans="1:19" s="2" customFormat="1" ht="96.2" customHeight="1" outlineLevel="6">
      <c r="A206" s="25">
        <v>139</v>
      </c>
      <c r="B206" s="26" t="s">
        <v>631</v>
      </c>
      <c r="C206" s="66" t="s">
        <v>632</v>
      </c>
      <c r="D206" s="66"/>
      <c r="E206" s="66"/>
      <c r="F206" s="66"/>
      <c r="G206" s="27" t="s">
        <v>633</v>
      </c>
      <c r="H206" s="28" t="s">
        <v>44</v>
      </c>
      <c r="I206" s="29"/>
      <c r="J206" s="25">
        <v>1</v>
      </c>
      <c r="K206" s="30">
        <v>572.22</v>
      </c>
      <c r="L206" s="17"/>
      <c r="M206" s="29">
        <f>K206*L206</f>
        <v>0</v>
      </c>
      <c r="N206" s="34">
        <f>0.27*L206</f>
        <v>0</v>
      </c>
      <c r="O206" s="32">
        <f>0.00188*L206</f>
        <v>0</v>
      </c>
      <c r="P206" s="36"/>
      <c r="Q206" s="29" t="s">
        <v>634</v>
      </c>
      <c r="R206" s="29"/>
      <c r="S206" s="26" t="str">
        <f>HYPERLINK("https://miland.ru/api/getInfo/image/819866da-1127-11f0-a279-00155d82e908")</f>
        <v>https://miland.ru/api/getInfo/image/819866da-1127-11f0-a279-00155d82e908</v>
      </c>
    </row>
    <row r="207" spans="1:19" s="2" customFormat="1" ht="96.2" customHeight="1" outlineLevel="6">
      <c r="A207" s="25">
        <v>140</v>
      </c>
      <c r="B207" s="26" t="s">
        <v>635</v>
      </c>
      <c r="C207" s="66" t="s">
        <v>636</v>
      </c>
      <c r="D207" s="66"/>
      <c r="E207" s="66"/>
      <c r="F207" s="66"/>
      <c r="G207" s="27" t="s">
        <v>637</v>
      </c>
      <c r="H207" s="28" t="s">
        <v>44</v>
      </c>
      <c r="I207" s="29"/>
      <c r="J207" s="25">
        <v>1</v>
      </c>
      <c r="K207" s="30">
        <v>572.22</v>
      </c>
      <c r="L207" s="17"/>
      <c r="M207" s="29">
        <f>K207*L207</f>
        <v>0</v>
      </c>
      <c r="N207" s="31">
        <f>0.274*L207</f>
        <v>0</v>
      </c>
      <c r="O207" s="32">
        <f>0.00115*L207</f>
        <v>0</v>
      </c>
      <c r="P207" s="36"/>
      <c r="Q207" s="29" t="s">
        <v>638</v>
      </c>
      <c r="R207" s="29"/>
      <c r="S207" s="26" t="str">
        <f>HYPERLINK("https://miland.ru/api/getInfo/image/d955c72a-1127-11f0-a279-00155d82e908")</f>
        <v>https://miland.ru/api/getInfo/image/d955c72a-1127-11f0-a279-00155d82e908</v>
      </c>
    </row>
    <row r="208" spans="1:19" s="1" customFormat="1" ht="12" customHeight="1" outlineLevel="4">
      <c r="A208" s="64" t="s">
        <v>639</v>
      </c>
      <c r="B208" s="64"/>
      <c r="C208" s="64"/>
      <c r="D208" s="64"/>
      <c r="E208" s="64"/>
      <c r="F208" s="64"/>
      <c r="G208" s="8"/>
      <c r="H208" s="12"/>
      <c r="I208" s="2"/>
      <c r="J208" s="2"/>
      <c r="K208" s="13"/>
      <c r="L208" s="2"/>
      <c r="M208" s="2"/>
      <c r="N208" s="2"/>
      <c r="O208" s="2"/>
      <c r="P208" s="2"/>
      <c r="Q208" s="2"/>
      <c r="R208" s="2"/>
      <c r="S208" s="2"/>
    </row>
    <row r="209" spans="1:19" s="1" customFormat="1" ht="12" customHeight="1" outlineLevel="5">
      <c r="A209" s="64" t="s">
        <v>612</v>
      </c>
      <c r="B209" s="64"/>
      <c r="C209" s="64"/>
      <c r="D209" s="64"/>
      <c r="E209" s="64"/>
      <c r="F209" s="64"/>
      <c r="G209" s="8"/>
      <c r="H209" s="12"/>
      <c r="I209" s="2"/>
      <c r="J209" s="2"/>
      <c r="K209" s="13"/>
      <c r="L209" s="2"/>
      <c r="M209" s="2"/>
      <c r="N209" s="2"/>
      <c r="O209" s="2"/>
      <c r="P209" s="2"/>
      <c r="Q209" s="2"/>
      <c r="R209" s="2"/>
      <c r="S209" s="2"/>
    </row>
    <row r="210" spans="1:19" s="1" customFormat="1" ht="12" customHeight="1" outlineLevel="6">
      <c r="A210" s="64" t="s">
        <v>618</v>
      </c>
      <c r="B210" s="64"/>
      <c r="C210" s="64"/>
      <c r="D210" s="64"/>
      <c r="E210" s="64"/>
      <c r="F210" s="64"/>
      <c r="G210" s="8"/>
      <c r="H210" s="12"/>
      <c r="I210" s="2"/>
      <c r="J210" s="2"/>
      <c r="K210" s="13"/>
      <c r="L210" s="2"/>
      <c r="M210" s="2"/>
      <c r="N210" s="2"/>
      <c r="O210" s="2"/>
      <c r="P210" s="2"/>
      <c r="Q210" s="2"/>
      <c r="R210" s="2"/>
      <c r="S210" s="2"/>
    </row>
    <row r="211" spans="1:19" s="2" customFormat="1" ht="96.2" customHeight="1" outlineLevel="7">
      <c r="A211" s="9">
        <v>141</v>
      </c>
      <c r="B211" s="10" t="s">
        <v>640</v>
      </c>
      <c r="C211" s="65" t="s">
        <v>641</v>
      </c>
      <c r="D211" s="65"/>
      <c r="E211" s="65"/>
      <c r="F211" s="65"/>
      <c r="G211" s="11" t="s">
        <v>642</v>
      </c>
      <c r="H211" s="14">
        <v>329</v>
      </c>
      <c r="I211" s="15"/>
      <c r="J211" s="9">
        <v>1</v>
      </c>
      <c r="K211" s="22">
        <v>1212.56</v>
      </c>
      <c r="L211" s="17"/>
      <c r="M211" s="15">
        <f>K211*L211</f>
        <v>0</v>
      </c>
      <c r="N211" s="18">
        <f>0.161*L211</f>
        <v>0</v>
      </c>
      <c r="O211" s="19">
        <f>0.00167*L211</f>
        <v>0</v>
      </c>
      <c r="P211" s="24" t="s">
        <v>26</v>
      </c>
      <c r="Q211" s="15" t="s">
        <v>643</v>
      </c>
      <c r="R211" s="15"/>
      <c r="S211" s="10" t="str">
        <f>HYPERLINK("https://miland.ru/api/getInfo/image/5fbe0ac6-2825-11f1-a291-00155d82e908")</f>
        <v>https://miland.ru/api/getInfo/image/5fbe0ac6-2825-11f1-a291-00155d82e908</v>
      </c>
    </row>
    <row r="212" spans="1:19" s="2" customFormat="1" ht="96.2" customHeight="1" outlineLevel="7">
      <c r="A212" s="9">
        <v>142</v>
      </c>
      <c r="B212" s="10" t="s">
        <v>644</v>
      </c>
      <c r="C212" s="65" t="s">
        <v>645</v>
      </c>
      <c r="D212" s="65"/>
      <c r="E212" s="65"/>
      <c r="F212" s="65"/>
      <c r="G212" s="11" t="s">
        <v>646</v>
      </c>
      <c r="H212" s="21" t="s">
        <v>44</v>
      </c>
      <c r="I212" s="15"/>
      <c r="J212" s="9">
        <v>1</v>
      </c>
      <c r="K212" s="16">
        <v>473.09</v>
      </c>
      <c r="L212" s="17"/>
      <c r="M212" s="15">
        <f>K212*L212</f>
        <v>0</v>
      </c>
      <c r="N212" s="23">
        <f>0.06*L212</f>
        <v>0</v>
      </c>
      <c r="O212" s="19">
        <f>0.00216*L212</f>
        <v>0</v>
      </c>
      <c r="P212" s="24" t="s">
        <v>26</v>
      </c>
      <c r="Q212" s="15" t="s">
        <v>647</v>
      </c>
      <c r="R212" s="15"/>
      <c r="S212" s="10" t="str">
        <f>HYPERLINK("https://miland.ru/api/getInfo/image/d88f4ff7-087e-11f0-a277-00155d82e908")</f>
        <v>https://miland.ru/api/getInfo/image/d88f4ff7-087e-11f0-a277-00155d82e908</v>
      </c>
    </row>
    <row r="213" spans="1:19" s="2" customFormat="1" ht="96.2" customHeight="1" outlineLevel="7">
      <c r="A213" s="9">
        <v>143</v>
      </c>
      <c r="B213" s="10" t="s">
        <v>648</v>
      </c>
      <c r="C213" s="65" t="s">
        <v>649</v>
      </c>
      <c r="D213" s="65"/>
      <c r="E213" s="65"/>
      <c r="F213" s="65"/>
      <c r="G213" s="11" t="s">
        <v>650</v>
      </c>
      <c r="H213" s="21" t="s">
        <v>44</v>
      </c>
      <c r="I213" s="15"/>
      <c r="J213" s="9">
        <v>1</v>
      </c>
      <c r="K213" s="16">
        <v>457.64</v>
      </c>
      <c r="L213" s="17"/>
      <c r="M213" s="15">
        <f>K213*L213</f>
        <v>0</v>
      </c>
      <c r="N213" s="18">
        <f>0.046*L213</f>
        <v>0</v>
      </c>
      <c r="O213" s="19">
        <f>0.00175*L213</f>
        <v>0</v>
      </c>
      <c r="P213" s="24" t="s">
        <v>26</v>
      </c>
      <c r="Q213" s="15" t="s">
        <v>651</v>
      </c>
      <c r="R213" s="15"/>
      <c r="S213" s="10" t="str">
        <f>HYPERLINK("https://miland.ru/api/getInfo/image/3bef77f3-087f-11f0-a277-00155d82e908")</f>
        <v>https://miland.ru/api/getInfo/image/3bef77f3-087f-11f0-a277-00155d82e908</v>
      </c>
    </row>
    <row r="214" spans="1:19" s="1" customFormat="1" ht="12" customHeight="1" outlineLevel="4">
      <c r="A214" s="64" t="s">
        <v>652</v>
      </c>
      <c r="B214" s="64"/>
      <c r="C214" s="64"/>
      <c r="D214" s="64"/>
      <c r="E214" s="64"/>
      <c r="F214" s="64"/>
      <c r="G214" s="8"/>
      <c r="H214" s="12"/>
      <c r="I214" s="2"/>
      <c r="J214" s="2"/>
      <c r="K214" s="13"/>
      <c r="L214" s="2"/>
      <c r="M214" s="2"/>
      <c r="N214" s="2"/>
      <c r="O214" s="2"/>
      <c r="P214" s="2"/>
      <c r="Q214" s="2"/>
      <c r="R214" s="2"/>
      <c r="S214" s="2"/>
    </row>
    <row r="215" spans="1:19" s="1" customFormat="1" ht="12" customHeight="1" outlineLevel="5">
      <c r="A215" s="64" t="s">
        <v>138</v>
      </c>
      <c r="B215" s="64"/>
      <c r="C215" s="64"/>
      <c r="D215" s="64"/>
      <c r="E215" s="64"/>
      <c r="F215" s="64"/>
      <c r="G215" s="8"/>
      <c r="H215" s="12"/>
      <c r="I215" s="2"/>
      <c r="J215" s="2"/>
      <c r="K215" s="13"/>
      <c r="L215" s="2"/>
      <c r="M215" s="2"/>
      <c r="N215" s="2"/>
      <c r="O215" s="2"/>
      <c r="P215" s="2"/>
      <c r="Q215" s="2"/>
      <c r="R215" s="2"/>
      <c r="S215" s="2"/>
    </row>
    <row r="216" spans="1:19" s="2" customFormat="1" ht="96.2" customHeight="1" outlineLevel="6">
      <c r="A216" s="25">
        <v>144</v>
      </c>
      <c r="B216" s="26" t="s">
        <v>653</v>
      </c>
      <c r="C216" s="66" t="s">
        <v>654</v>
      </c>
      <c r="D216" s="66"/>
      <c r="E216" s="66"/>
      <c r="F216" s="66"/>
      <c r="G216" s="27" t="s">
        <v>655</v>
      </c>
      <c r="H216" s="28" t="s">
        <v>44</v>
      </c>
      <c r="I216" s="29"/>
      <c r="J216" s="25">
        <v>4</v>
      </c>
      <c r="K216" s="30">
        <v>94.62</v>
      </c>
      <c r="L216" s="17"/>
      <c r="M216" s="29">
        <f>K216*L216</f>
        <v>0</v>
      </c>
      <c r="N216" s="31">
        <f>0.028*L216</f>
        <v>0</v>
      </c>
      <c r="O216" s="32">
        <f>0.00024*L216</f>
        <v>0</v>
      </c>
      <c r="P216" s="36"/>
      <c r="Q216" s="29" t="s">
        <v>656</v>
      </c>
      <c r="R216" s="29"/>
      <c r="S216" s="26" t="str">
        <f>HYPERLINK("https://miland.ru/api/getInfo/image/877e00a1-ff0d-11ef-a277-00155d82e908")</f>
        <v>https://miland.ru/api/getInfo/image/877e00a1-ff0d-11ef-a277-00155d82e908</v>
      </c>
    </row>
    <row r="217" spans="1:19" s="1" customFormat="1" ht="12" customHeight="1" outlineLevel="5">
      <c r="A217" s="64" t="s">
        <v>59</v>
      </c>
      <c r="B217" s="64"/>
      <c r="C217" s="64"/>
      <c r="D217" s="64"/>
      <c r="E217" s="64"/>
      <c r="F217" s="64"/>
      <c r="G217" s="8"/>
      <c r="H217" s="12"/>
      <c r="I217" s="2"/>
      <c r="J217" s="2"/>
      <c r="K217" s="13"/>
      <c r="L217" s="2"/>
      <c r="M217" s="2"/>
      <c r="N217" s="2"/>
      <c r="O217" s="2"/>
      <c r="P217" s="2"/>
      <c r="Q217" s="2"/>
      <c r="R217" s="2"/>
      <c r="S217" s="2"/>
    </row>
    <row r="218" spans="1:19" s="2" customFormat="1" ht="96.2" customHeight="1" outlineLevel="6">
      <c r="A218" s="25">
        <v>145</v>
      </c>
      <c r="B218" s="26" t="s">
        <v>657</v>
      </c>
      <c r="C218" s="66" t="s">
        <v>658</v>
      </c>
      <c r="D218" s="66"/>
      <c r="E218" s="66"/>
      <c r="F218" s="66"/>
      <c r="G218" s="27" t="s">
        <v>659</v>
      </c>
      <c r="H218" s="33">
        <v>299</v>
      </c>
      <c r="I218" s="29"/>
      <c r="J218" s="25">
        <v>12</v>
      </c>
      <c r="K218" s="30">
        <v>154.94</v>
      </c>
      <c r="L218" s="17"/>
      <c r="M218" s="29">
        <f>K218*L218</f>
        <v>0</v>
      </c>
      <c r="N218" s="31">
        <f>0.029*L218</f>
        <v>0</v>
      </c>
      <c r="O218" s="32">
        <f>0.00012*L218</f>
        <v>0</v>
      </c>
      <c r="P218" s="36"/>
      <c r="Q218" s="29" t="s">
        <v>660</v>
      </c>
      <c r="R218" s="29"/>
      <c r="S218" s="26" t="str">
        <f>HYPERLINK("https://miland.ru/api/getInfo/image/3039f813-fd77-11ef-a274-00155d82e908")</f>
        <v>https://miland.ru/api/getInfo/image/3039f813-fd77-11ef-a274-00155d82e908</v>
      </c>
    </row>
    <row r="219" spans="1:19" s="2" customFormat="1" ht="96.2" customHeight="1" outlineLevel="6">
      <c r="A219" s="25">
        <v>146</v>
      </c>
      <c r="B219" s="26" t="s">
        <v>661</v>
      </c>
      <c r="C219" s="66" t="s">
        <v>662</v>
      </c>
      <c r="D219" s="66"/>
      <c r="E219" s="66"/>
      <c r="F219" s="66"/>
      <c r="G219" s="27" t="s">
        <v>663</v>
      </c>
      <c r="H219" s="33">
        <v>253</v>
      </c>
      <c r="I219" s="29"/>
      <c r="J219" s="25">
        <v>12</v>
      </c>
      <c r="K219" s="30">
        <v>154.94</v>
      </c>
      <c r="L219" s="17"/>
      <c r="M219" s="29">
        <f>K219*L219</f>
        <v>0</v>
      </c>
      <c r="N219" s="31">
        <f>0.038*L219</f>
        <v>0</v>
      </c>
      <c r="O219" s="32">
        <f>0.00012*L219</f>
        <v>0</v>
      </c>
      <c r="P219" s="36"/>
      <c r="Q219" s="29" t="s">
        <v>664</v>
      </c>
      <c r="R219" s="29"/>
      <c r="S219" s="26" t="str">
        <f>HYPERLINK("https://miland.ru/api/getInfo/image/aafa39ef-fd77-11ef-a274-00155d82e908")</f>
        <v>https://miland.ru/api/getInfo/image/aafa39ef-fd77-11ef-a274-00155d82e908</v>
      </c>
    </row>
    <row r="220" spans="1:19" s="1" customFormat="1" ht="12" customHeight="1" outlineLevel="5">
      <c r="A220" s="64" t="s">
        <v>665</v>
      </c>
      <c r="B220" s="64"/>
      <c r="C220" s="64"/>
      <c r="D220" s="64"/>
      <c r="E220" s="64"/>
      <c r="F220" s="64"/>
      <c r="G220" s="8"/>
      <c r="H220" s="12"/>
      <c r="I220" s="2"/>
      <c r="J220" s="2"/>
      <c r="K220" s="13"/>
      <c r="L220" s="2"/>
      <c r="M220" s="2"/>
      <c r="N220" s="2"/>
      <c r="O220" s="2"/>
      <c r="P220" s="2"/>
      <c r="Q220" s="2"/>
      <c r="R220" s="2"/>
      <c r="S220" s="2"/>
    </row>
    <row r="221" spans="1:19" s="1" customFormat="1" ht="12" customHeight="1" outlineLevel="6">
      <c r="A221" s="64" t="s">
        <v>666</v>
      </c>
      <c r="B221" s="64"/>
      <c r="C221" s="64"/>
      <c r="D221" s="64"/>
      <c r="E221" s="64"/>
      <c r="F221" s="64"/>
      <c r="G221" s="8"/>
      <c r="H221" s="12"/>
      <c r="I221" s="2"/>
      <c r="J221" s="2"/>
      <c r="K221" s="13"/>
      <c r="L221" s="2"/>
      <c r="M221" s="2"/>
      <c r="N221" s="2"/>
      <c r="O221" s="2"/>
      <c r="P221" s="2"/>
      <c r="Q221" s="2"/>
      <c r="R221" s="2"/>
      <c r="S221" s="2"/>
    </row>
    <row r="222" spans="1:19" s="2" customFormat="1" ht="96.2" customHeight="1" outlineLevel="7">
      <c r="A222" s="25">
        <v>147</v>
      </c>
      <c r="B222" s="26" t="s">
        <v>667</v>
      </c>
      <c r="C222" s="66" t="s">
        <v>668</v>
      </c>
      <c r="D222" s="66"/>
      <c r="E222" s="66"/>
      <c r="F222" s="66"/>
      <c r="G222" s="27" t="s">
        <v>669</v>
      </c>
      <c r="H222" s="28" t="s">
        <v>44</v>
      </c>
      <c r="I222" s="29"/>
      <c r="J222" s="25">
        <v>2</v>
      </c>
      <c r="K222" s="30">
        <v>355.93</v>
      </c>
      <c r="L222" s="17"/>
      <c r="M222" s="29">
        <f>K222*L222</f>
        <v>0</v>
      </c>
      <c r="N222" s="31">
        <f>0.113*L222</f>
        <v>0</v>
      </c>
      <c r="O222" s="35">
        <f>0.0013*L222</f>
        <v>0</v>
      </c>
      <c r="P222" s="36"/>
      <c r="Q222" s="29" t="s">
        <v>670</v>
      </c>
      <c r="R222" s="29"/>
      <c r="S222" s="26" t="str">
        <f>HYPERLINK("https://miland.ru/api/getInfo/image/1f8dd5c2-fe6b-11ef-a277-00155d82e908")</f>
        <v>https://miland.ru/api/getInfo/image/1f8dd5c2-fe6b-11ef-a277-00155d82e908</v>
      </c>
    </row>
    <row r="223" spans="1:19" s="1" customFormat="1" ht="12" customHeight="1" outlineLevel="6">
      <c r="A223" s="64" t="s">
        <v>671</v>
      </c>
      <c r="B223" s="64"/>
      <c r="C223" s="64"/>
      <c r="D223" s="64"/>
      <c r="E223" s="64"/>
      <c r="F223" s="64"/>
      <c r="G223" s="8"/>
      <c r="H223" s="12"/>
      <c r="I223" s="2"/>
      <c r="J223" s="2"/>
      <c r="K223" s="13"/>
      <c r="L223" s="2"/>
      <c r="M223" s="2"/>
      <c r="N223" s="2"/>
      <c r="O223" s="2"/>
      <c r="P223" s="2"/>
      <c r="Q223" s="2"/>
      <c r="R223" s="2"/>
      <c r="S223" s="2"/>
    </row>
    <row r="224" spans="1:19" s="2" customFormat="1" ht="96.2" customHeight="1" outlineLevel="7">
      <c r="A224" s="25">
        <v>148</v>
      </c>
      <c r="B224" s="26" t="s">
        <v>672</v>
      </c>
      <c r="C224" s="66" t="s">
        <v>673</v>
      </c>
      <c r="D224" s="66"/>
      <c r="E224" s="66"/>
      <c r="F224" s="66"/>
      <c r="G224" s="27" t="s">
        <v>674</v>
      </c>
      <c r="H224" s="28" t="s">
        <v>44</v>
      </c>
      <c r="I224" s="29"/>
      <c r="J224" s="25">
        <v>3</v>
      </c>
      <c r="K224" s="30">
        <v>257.12</v>
      </c>
      <c r="L224" s="17"/>
      <c r="M224" s="29">
        <f>K224*L224</f>
        <v>0</v>
      </c>
      <c r="N224" s="31">
        <f>0.081*L224</f>
        <v>0</v>
      </c>
      <c r="O224" s="32">
        <f>0.00021*L224</f>
        <v>0</v>
      </c>
      <c r="P224" s="36"/>
      <c r="Q224" s="29" t="s">
        <v>675</v>
      </c>
      <c r="R224" s="29"/>
      <c r="S224" s="26" t="str">
        <f>HYPERLINK("https://miland.ru/api/getInfo/image/c47e5d0d-fe6b-11ef-a277-00155d82e908")</f>
        <v>https://miland.ru/api/getInfo/image/c47e5d0d-fe6b-11ef-a277-00155d82e908</v>
      </c>
    </row>
    <row r="225" spans="1:19" s="1" customFormat="1" ht="12" customHeight="1" outlineLevel="5">
      <c r="A225" s="64" t="s">
        <v>612</v>
      </c>
      <c r="B225" s="64"/>
      <c r="C225" s="64"/>
      <c r="D225" s="64"/>
      <c r="E225" s="64"/>
      <c r="F225" s="64"/>
      <c r="G225" s="8"/>
      <c r="H225" s="12"/>
      <c r="I225" s="2"/>
      <c r="J225" s="2"/>
      <c r="K225" s="13"/>
      <c r="L225" s="2"/>
      <c r="M225" s="2"/>
      <c r="N225" s="2"/>
      <c r="O225" s="2"/>
      <c r="P225" s="2"/>
      <c r="Q225" s="2"/>
      <c r="R225" s="2"/>
      <c r="S225" s="2"/>
    </row>
    <row r="226" spans="1:19" s="1" customFormat="1" ht="12" customHeight="1" outlineLevel="6">
      <c r="A226" s="64" t="s">
        <v>613</v>
      </c>
      <c r="B226" s="64"/>
      <c r="C226" s="64"/>
      <c r="D226" s="64"/>
      <c r="E226" s="64"/>
      <c r="F226" s="64"/>
      <c r="G226" s="8"/>
      <c r="H226" s="12"/>
      <c r="I226" s="2"/>
      <c r="J226" s="2"/>
      <c r="K226" s="13"/>
      <c r="L226" s="2"/>
      <c r="M226" s="2"/>
      <c r="N226" s="2"/>
      <c r="O226" s="2"/>
      <c r="P226" s="2"/>
      <c r="Q226" s="2"/>
      <c r="R226" s="2"/>
      <c r="S226" s="2"/>
    </row>
    <row r="227" spans="1:19" s="2" customFormat="1" ht="96.2" customHeight="1" outlineLevel="7">
      <c r="A227" s="25">
        <v>149</v>
      </c>
      <c r="B227" s="26" t="s">
        <v>676</v>
      </c>
      <c r="C227" s="66" t="s">
        <v>677</v>
      </c>
      <c r="D227" s="66"/>
      <c r="E227" s="66"/>
      <c r="F227" s="66"/>
      <c r="G227" s="27" t="s">
        <v>678</v>
      </c>
      <c r="H227" s="28" t="s">
        <v>44</v>
      </c>
      <c r="I227" s="29"/>
      <c r="J227" s="25">
        <v>1</v>
      </c>
      <c r="K227" s="30">
        <v>867.89</v>
      </c>
      <c r="L227" s="17"/>
      <c r="M227" s="29">
        <f>K227*L227</f>
        <v>0</v>
      </c>
      <c r="N227" s="31">
        <f>0.238*L227</f>
        <v>0</v>
      </c>
      <c r="O227" s="32">
        <f>0.00096*L227</f>
        <v>0</v>
      </c>
      <c r="P227" s="36"/>
      <c r="Q227" s="29" t="s">
        <v>679</v>
      </c>
      <c r="R227" s="29"/>
      <c r="S227" s="26" t="str">
        <f>HYPERLINK("https://miland.ru/api/getInfo/image/140f8766-138c-11f0-a279-00155d82e908")</f>
        <v>https://miland.ru/api/getInfo/image/140f8766-138c-11f0-a279-00155d82e908</v>
      </c>
    </row>
    <row r="228" spans="1:19" s="2" customFormat="1" ht="96.2" customHeight="1" outlineLevel="7">
      <c r="A228" s="9">
        <v>150</v>
      </c>
      <c r="B228" s="10" t="s">
        <v>680</v>
      </c>
      <c r="C228" s="65" t="s">
        <v>681</v>
      </c>
      <c r="D228" s="65"/>
      <c r="E228" s="65"/>
      <c r="F228" s="65"/>
      <c r="G228" s="11" t="s">
        <v>682</v>
      </c>
      <c r="H228" s="14">
        <v>20</v>
      </c>
      <c r="I228" s="15"/>
      <c r="J228" s="9">
        <v>7</v>
      </c>
      <c r="K228" s="16">
        <v>93.82</v>
      </c>
      <c r="L228" s="17"/>
      <c r="M228" s="15">
        <f>K228*L228</f>
        <v>0</v>
      </c>
      <c r="N228" s="18">
        <f>0.016*L228</f>
        <v>0</v>
      </c>
      <c r="O228" s="19">
        <f>0.00014*L228</f>
        <v>0</v>
      </c>
      <c r="P228" s="24" t="s">
        <v>26</v>
      </c>
      <c r="Q228" s="15" t="s">
        <v>683</v>
      </c>
      <c r="R228" s="15"/>
      <c r="S228" s="10" t="str">
        <f>HYPERLINK("https://miland.ru/api/getInfo/image/24032d73-318e-11f1-a292-00155d82e908")</f>
        <v>https://miland.ru/api/getInfo/image/24032d73-318e-11f1-a292-00155d82e908</v>
      </c>
    </row>
    <row r="229" spans="1:19" s="2" customFormat="1" ht="96.2" customHeight="1" outlineLevel="7">
      <c r="A229" s="9">
        <v>151</v>
      </c>
      <c r="B229" s="10" t="s">
        <v>684</v>
      </c>
      <c r="C229" s="65" t="s">
        <v>685</v>
      </c>
      <c r="D229" s="65"/>
      <c r="E229" s="65"/>
      <c r="F229" s="65"/>
      <c r="G229" s="11" t="s">
        <v>686</v>
      </c>
      <c r="H229" s="14">
        <v>10</v>
      </c>
      <c r="I229" s="15"/>
      <c r="J229" s="9">
        <v>4</v>
      </c>
      <c r="K229" s="16">
        <v>187.64</v>
      </c>
      <c r="L229" s="17"/>
      <c r="M229" s="15">
        <f>K229*L229</f>
        <v>0</v>
      </c>
      <c r="N229" s="18">
        <f>0.023*L229</f>
        <v>0</v>
      </c>
      <c r="O229" s="20">
        <f>0.0003*L229</f>
        <v>0</v>
      </c>
      <c r="P229" s="24" t="s">
        <v>26</v>
      </c>
      <c r="Q229" s="15" t="s">
        <v>687</v>
      </c>
      <c r="R229" s="15"/>
      <c r="S229" s="10" t="str">
        <f>HYPERLINK("https://miland.ru/api/getInfo/image/5d7eb201-318e-11f1-a292-00155d82e908")</f>
        <v>https://miland.ru/api/getInfo/image/5d7eb201-318e-11f1-a292-00155d82e908</v>
      </c>
    </row>
    <row r="230" spans="1:19" s="2" customFormat="1" ht="96.2" customHeight="1" outlineLevel="7">
      <c r="A230" s="9">
        <v>152</v>
      </c>
      <c r="B230" s="10" t="s">
        <v>688</v>
      </c>
      <c r="C230" s="65" t="s">
        <v>689</v>
      </c>
      <c r="D230" s="65"/>
      <c r="E230" s="65"/>
      <c r="F230" s="65"/>
      <c r="G230" s="11" t="s">
        <v>690</v>
      </c>
      <c r="H230" s="14">
        <v>20</v>
      </c>
      <c r="I230" s="15"/>
      <c r="J230" s="9">
        <v>7</v>
      </c>
      <c r="K230" s="16">
        <v>93.82</v>
      </c>
      <c r="L230" s="17"/>
      <c r="M230" s="15">
        <f>K230*L230</f>
        <v>0</v>
      </c>
      <c r="N230" s="18">
        <f>0.009*L230</f>
        <v>0</v>
      </c>
      <c r="O230" s="19">
        <f>0.00008*L230</f>
        <v>0</v>
      </c>
      <c r="P230" s="24" t="s">
        <v>26</v>
      </c>
      <c r="Q230" s="15" t="s">
        <v>691</v>
      </c>
      <c r="R230" s="15"/>
      <c r="S230" s="10" t="str">
        <f>HYPERLINK("https://miland.ru/api/getInfo/image/41078257-318e-11f1-a292-00155d82e908")</f>
        <v>https://miland.ru/api/getInfo/image/41078257-318e-11f1-a292-00155d82e908</v>
      </c>
    </row>
    <row r="231" spans="1:19" s="1" customFormat="1" ht="12" customHeight="1" outlineLevel="6">
      <c r="A231" s="64" t="s">
        <v>692</v>
      </c>
      <c r="B231" s="64"/>
      <c r="C231" s="64"/>
      <c r="D231" s="64"/>
      <c r="E231" s="64"/>
      <c r="F231" s="64"/>
      <c r="G231" s="8"/>
      <c r="H231" s="12"/>
      <c r="I231" s="2"/>
      <c r="J231" s="2"/>
      <c r="K231" s="13"/>
      <c r="L231" s="2"/>
      <c r="M231" s="2"/>
      <c r="N231" s="2"/>
      <c r="O231" s="2"/>
      <c r="P231" s="2"/>
      <c r="Q231" s="2"/>
      <c r="R231" s="2"/>
      <c r="S231" s="2"/>
    </row>
    <row r="232" spans="1:19" s="2" customFormat="1" ht="96.2" customHeight="1" outlineLevel="7">
      <c r="A232" s="9">
        <v>153</v>
      </c>
      <c r="B232" s="10" t="s">
        <v>693</v>
      </c>
      <c r="C232" s="65" t="s">
        <v>694</v>
      </c>
      <c r="D232" s="65"/>
      <c r="E232" s="65"/>
      <c r="F232" s="65"/>
      <c r="G232" s="11" t="s">
        <v>695</v>
      </c>
      <c r="H232" s="14">
        <v>224</v>
      </c>
      <c r="I232" s="15"/>
      <c r="J232" s="9">
        <v>1</v>
      </c>
      <c r="K232" s="16">
        <v>505.65</v>
      </c>
      <c r="L232" s="17"/>
      <c r="M232" s="15">
        <f>K232*L232</f>
        <v>0</v>
      </c>
      <c r="N232" s="18">
        <f>0.169*L232</f>
        <v>0</v>
      </c>
      <c r="O232" s="19">
        <f>0.00326*L232</f>
        <v>0</v>
      </c>
      <c r="P232" s="24" t="s">
        <v>26</v>
      </c>
      <c r="Q232" s="15" t="s">
        <v>696</v>
      </c>
      <c r="R232" s="15"/>
      <c r="S232" s="10" t="str">
        <f>HYPERLINK("https://miland.ru/api/getInfo/image/82d1c98d-0647-11f1-a28f-00155d82e908")</f>
        <v>https://miland.ru/api/getInfo/image/82d1c98d-0647-11f1-a28f-00155d82e908</v>
      </c>
    </row>
    <row r="233" spans="1:19" s="1" customFormat="1" ht="12" customHeight="1" outlineLevel="6">
      <c r="A233" s="64" t="s">
        <v>618</v>
      </c>
      <c r="B233" s="64"/>
      <c r="C233" s="64"/>
      <c r="D233" s="64"/>
      <c r="E233" s="64"/>
      <c r="F233" s="64"/>
      <c r="G233" s="8"/>
      <c r="H233" s="12"/>
      <c r="I233" s="2"/>
      <c r="J233" s="2"/>
      <c r="K233" s="13"/>
      <c r="L233" s="2"/>
      <c r="M233" s="2"/>
      <c r="N233" s="2"/>
      <c r="O233" s="2"/>
      <c r="P233" s="2"/>
      <c r="Q233" s="2"/>
      <c r="R233" s="2"/>
      <c r="S233" s="2"/>
    </row>
    <row r="234" spans="1:19" s="2" customFormat="1" ht="96.2" customHeight="1" outlineLevel="7">
      <c r="A234" s="9">
        <v>154</v>
      </c>
      <c r="B234" s="10" t="s">
        <v>697</v>
      </c>
      <c r="C234" s="65" t="s">
        <v>698</v>
      </c>
      <c r="D234" s="65"/>
      <c r="E234" s="65"/>
      <c r="F234" s="65"/>
      <c r="G234" s="11" t="s">
        <v>699</v>
      </c>
      <c r="H234" s="21" t="s">
        <v>44</v>
      </c>
      <c r="I234" s="15"/>
      <c r="J234" s="9">
        <v>1</v>
      </c>
      <c r="K234" s="16">
        <v>770.86</v>
      </c>
      <c r="L234" s="17"/>
      <c r="M234" s="15">
        <f>K234*L234</f>
        <v>0</v>
      </c>
      <c r="N234" s="18">
        <f>0.025*L234</f>
        <v>0</v>
      </c>
      <c r="O234" s="19">
        <f>0.00014*L234</f>
        <v>0</v>
      </c>
      <c r="P234" s="24" t="s">
        <v>26</v>
      </c>
      <c r="Q234" s="15" t="s">
        <v>700</v>
      </c>
      <c r="R234" s="15"/>
      <c r="S234" s="10" t="str">
        <f>HYPERLINK("https://miland.ru/api/getInfo/image/5d5e4510-0880-11f0-a277-00155d82e908")</f>
        <v>https://miland.ru/api/getInfo/image/5d5e4510-0880-11f0-a277-00155d82e908</v>
      </c>
    </row>
    <row r="235" spans="1:19" s="2" customFormat="1" ht="96.2" customHeight="1" outlineLevel="7">
      <c r="A235" s="9">
        <v>155</v>
      </c>
      <c r="B235" s="10" t="s">
        <v>701</v>
      </c>
      <c r="C235" s="65" t="s">
        <v>702</v>
      </c>
      <c r="D235" s="65"/>
      <c r="E235" s="65"/>
      <c r="F235" s="65"/>
      <c r="G235" s="11" t="s">
        <v>703</v>
      </c>
      <c r="H235" s="21" t="s">
        <v>44</v>
      </c>
      <c r="I235" s="15"/>
      <c r="J235" s="9">
        <v>1</v>
      </c>
      <c r="K235" s="16">
        <v>844.71</v>
      </c>
      <c r="L235" s="17"/>
      <c r="M235" s="15">
        <f>K235*L235</f>
        <v>0</v>
      </c>
      <c r="N235" s="23">
        <f>0.05*L235</f>
        <v>0</v>
      </c>
      <c r="O235" s="19">
        <f>0.00021*L235</f>
        <v>0</v>
      </c>
      <c r="P235" s="24" t="s">
        <v>26</v>
      </c>
      <c r="Q235" s="15" t="s">
        <v>704</v>
      </c>
      <c r="R235" s="15"/>
      <c r="S235" s="10" t="str">
        <f>HYPERLINK("https://miland.ru/api/getInfo/image/bdb69a17-0880-11f0-a277-00155d82e908")</f>
        <v>https://miland.ru/api/getInfo/image/bdb69a17-0880-11f0-a277-00155d82e908</v>
      </c>
    </row>
    <row r="236" spans="1:19" s="2" customFormat="1" ht="96.2" customHeight="1" outlineLevel="7">
      <c r="A236" s="9">
        <v>156</v>
      </c>
      <c r="B236" s="10" t="s">
        <v>705</v>
      </c>
      <c r="C236" s="65" t="s">
        <v>706</v>
      </c>
      <c r="D236" s="65"/>
      <c r="E236" s="65"/>
      <c r="F236" s="65"/>
      <c r="G236" s="11" t="s">
        <v>707</v>
      </c>
      <c r="H236" s="21" t="s">
        <v>44</v>
      </c>
      <c r="I236" s="15"/>
      <c r="J236" s="9">
        <v>1</v>
      </c>
      <c r="K236" s="16">
        <v>395.15</v>
      </c>
      <c r="L236" s="17"/>
      <c r="M236" s="15">
        <f>K236*L236</f>
        <v>0</v>
      </c>
      <c r="N236" s="18">
        <f>0.041*L236</f>
        <v>0</v>
      </c>
      <c r="O236" s="19">
        <f>0.00042*L236</f>
        <v>0</v>
      </c>
      <c r="P236" s="24" t="s">
        <v>26</v>
      </c>
      <c r="Q236" s="15" t="s">
        <v>708</v>
      </c>
      <c r="R236" s="15"/>
      <c r="S236" s="10" t="str">
        <f>HYPERLINK("https://miland.ru/api/getInfo/image/b9720ddc-284d-11f1-a291-00155d82e908")</f>
        <v>https://miland.ru/api/getInfo/image/b9720ddc-284d-11f1-a291-00155d82e908</v>
      </c>
    </row>
    <row r="237" spans="1:19" s="1" customFormat="1" ht="12" customHeight="1" outlineLevel="5">
      <c r="A237" s="64" t="s">
        <v>709</v>
      </c>
      <c r="B237" s="64"/>
      <c r="C237" s="64"/>
      <c r="D237" s="64"/>
      <c r="E237" s="64"/>
      <c r="F237" s="64"/>
      <c r="G237" s="8"/>
      <c r="H237" s="12"/>
      <c r="I237" s="2"/>
      <c r="J237" s="2"/>
      <c r="K237" s="13"/>
      <c r="L237" s="2"/>
      <c r="M237" s="2"/>
      <c r="N237" s="2"/>
      <c r="O237" s="2"/>
      <c r="P237" s="2"/>
      <c r="Q237" s="2"/>
      <c r="R237" s="2"/>
      <c r="S237" s="2"/>
    </row>
    <row r="238" spans="1:19" s="2" customFormat="1" ht="96.2" customHeight="1" outlineLevel="6">
      <c r="A238" s="25">
        <v>157</v>
      </c>
      <c r="B238" s="26" t="s">
        <v>710</v>
      </c>
      <c r="C238" s="66" t="s">
        <v>711</v>
      </c>
      <c r="D238" s="66"/>
      <c r="E238" s="66"/>
      <c r="F238" s="66"/>
      <c r="G238" s="27" t="s">
        <v>712</v>
      </c>
      <c r="H238" s="33">
        <v>230</v>
      </c>
      <c r="I238" s="29"/>
      <c r="J238" s="25">
        <v>2</v>
      </c>
      <c r="K238" s="30">
        <v>282.07</v>
      </c>
      <c r="L238" s="17"/>
      <c r="M238" s="29">
        <f>K238*L238</f>
        <v>0</v>
      </c>
      <c r="N238" s="31">
        <f>0.063*L238</f>
        <v>0</v>
      </c>
      <c r="O238" s="35">
        <f>0.0009*L238</f>
        <v>0</v>
      </c>
      <c r="P238" s="36"/>
      <c r="Q238" s="29" t="s">
        <v>713</v>
      </c>
      <c r="R238" s="29"/>
      <c r="S238" s="26" t="str">
        <f>HYPERLINK("https://miland.ru/api/getInfo/image/d6655a60-087b-11f0-a277-00155d82e908")</f>
        <v>https://miland.ru/api/getInfo/image/d6655a60-087b-11f0-a277-00155d82e908</v>
      </c>
    </row>
    <row r="239" spans="1:19" s="2" customFormat="1" ht="96.2" customHeight="1" outlineLevel="6">
      <c r="A239" s="25">
        <v>158</v>
      </c>
      <c r="B239" s="26" t="s">
        <v>714</v>
      </c>
      <c r="C239" s="66" t="s">
        <v>715</v>
      </c>
      <c r="D239" s="66"/>
      <c r="E239" s="66"/>
      <c r="F239" s="66"/>
      <c r="G239" s="27" t="s">
        <v>716</v>
      </c>
      <c r="H239" s="33">
        <v>152</v>
      </c>
      <c r="I239" s="29"/>
      <c r="J239" s="25">
        <v>2</v>
      </c>
      <c r="K239" s="30">
        <v>189.66</v>
      </c>
      <c r="L239" s="17"/>
      <c r="M239" s="29">
        <f>K239*L239</f>
        <v>0</v>
      </c>
      <c r="N239" s="31">
        <f>0.031*L239</f>
        <v>0</v>
      </c>
      <c r="O239" s="32">
        <f>0.00031*L239</f>
        <v>0</v>
      </c>
      <c r="P239" s="36"/>
      <c r="Q239" s="29" t="s">
        <v>717</v>
      </c>
      <c r="R239" s="29"/>
      <c r="S239" s="26" t="str">
        <f>HYPERLINK("https://miland.ru/api/getInfo/image/41d487e8-087b-11f0-a277-00155d82e908")</f>
        <v>https://miland.ru/api/getInfo/image/41d487e8-087b-11f0-a277-00155d82e908</v>
      </c>
    </row>
    <row r="240" spans="1:19" s="1" customFormat="1" ht="12" customHeight="1" outlineLevel="5">
      <c r="A240" s="64" t="s">
        <v>203</v>
      </c>
      <c r="B240" s="64"/>
      <c r="C240" s="64"/>
      <c r="D240" s="64"/>
      <c r="E240" s="64"/>
      <c r="F240" s="64"/>
      <c r="G240" s="8"/>
      <c r="H240" s="12"/>
      <c r="I240" s="2"/>
      <c r="J240" s="2"/>
      <c r="K240" s="13"/>
      <c r="L240" s="2"/>
      <c r="M240" s="2"/>
      <c r="N240" s="2"/>
      <c r="O240" s="2"/>
      <c r="P240" s="2"/>
      <c r="Q240" s="2"/>
      <c r="R240" s="2"/>
      <c r="S240" s="2"/>
    </row>
    <row r="241" spans="1:19" s="2" customFormat="1" ht="96.2" customHeight="1" outlineLevel="6">
      <c r="A241" s="25">
        <v>159</v>
      </c>
      <c r="B241" s="26" t="s">
        <v>718</v>
      </c>
      <c r="C241" s="66" t="s">
        <v>719</v>
      </c>
      <c r="D241" s="66"/>
      <c r="E241" s="66"/>
      <c r="F241" s="66"/>
      <c r="G241" s="27" t="s">
        <v>720</v>
      </c>
      <c r="H241" s="33">
        <v>361</v>
      </c>
      <c r="I241" s="29"/>
      <c r="J241" s="25">
        <v>1</v>
      </c>
      <c r="K241" s="30">
        <v>768.04</v>
      </c>
      <c r="L241" s="17"/>
      <c r="M241" s="29">
        <f>K241*L241</f>
        <v>0</v>
      </c>
      <c r="N241" s="31">
        <f>0.288*L241</f>
        <v>0</v>
      </c>
      <c r="O241" s="32">
        <f>0.00117*L241</f>
        <v>0</v>
      </c>
      <c r="P241" s="36"/>
      <c r="Q241" s="29" t="s">
        <v>721</v>
      </c>
      <c r="R241" s="29"/>
      <c r="S241" s="26" t="str">
        <f>HYPERLINK("https://miland.ru/api/getInfo/image/83562113-1126-11f0-a279-00155d82e908")</f>
        <v>https://miland.ru/api/getInfo/image/83562113-1126-11f0-a279-00155d82e908</v>
      </c>
    </row>
    <row r="242" spans="1:19" s="1" customFormat="1" ht="12" customHeight="1" outlineLevel="5">
      <c r="A242" s="64" t="s">
        <v>722</v>
      </c>
      <c r="B242" s="64"/>
      <c r="C242" s="64"/>
      <c r="D242" s="64"/>
      <c r="E242" s="64"/>
      <c r="F242" s="64"/>
      <c r="G242" s="8"/>
      <c r="H242" s="12"/>
      <c r="I242" s="2"/>
      <c r="J242" s="2"/>
      <c r="K242" s="13"/>
      <c r="L242" s="2"/>
      <c r="M242" s="2"/>
      <c r="N242" s="2"/>
      <c r="O242" s="2"/>
      <c r="P242" s="2"/>
      <c r="Q242" s="2"/>
      <c r="R242" s="2"/>
      <c r="S242" s="2"/>
    </row>
    <row r="243" spans="1:19" s="2" customFormat="1" ht="96.2" customHeight="1" outlineLevel="6">
      <c r="A243" s="25">
        <v>160</v>
      </c>
      <c r="B243" s="26" t="s">
        <v>723</v>
      </c>
      <c r="C243" s="66" t="s">
        <v>724</v>
      </c>
      <c r="D243" s="66"/>
      <c r="E243" s="66"/>
      <c r="F243" s="66"/>
      <c r="G243" s="27" t="s">
        <v>725</v>
      </c>
      <c r="H243" s="28" t="s">
        <v>44</v>
      </c>
      <c r="I243" s="29"/>
      <c r="J243" s="25">
        <v>12</v>
      </c>
      <c r="K243" s="30">
        <v>52.65</v>
      </c>
      <c r="L243" s="17"/>
      <c r="M243" s="29">
        <f>K243*L243</f>
        <v>0</v>
      </c>
      <c r="N243" s="31">
        <f>0.034*L243</f>
        <v>0</v>
      </c>
      <c r="O243" s="32">
        <f>0.00019*L243</f>
        <v>0</v>
      </c>
      <c r="P243" s="36"/>
      <c r="Q243" s="29" t="s">
        <v>726</v>
      </c>
      <c r="R243" s="29"/>
      <c r="S243" s="26" t="str">
        <f>HYPERLINK("https://miland.ru/api/getInfo/image/13b17500-0ef8-11f0-a279-00155d82e908")</f>
        <v>https://miland.ru/api/getInfo/image/13b17500-0ef8-11f0-a279-00155d82e908</v>
      </c>
    </row>
    <row r="244" spans="1:19" s="2" customFormat="1" ht="96.2" customHeight="1" outlineLevel="6">
      <c r="A244" s="25">
        <v>161</v>
      </c>
      <c r="B244" s="26" t="s">
        <v>727</v>
      </c>
      <c r="C244" s="66" t="s">
        <v>728</v>
      </c>
      <c r="D244" s="66"/>
      <c r="E244" s="66"/>
      <c r="F244" s="66"/>
      <c r="G244" s="27" t="s">
        <v>729</v>
      </c>
      <c r="H244" s="28" t="s">
        <v>44</v>
      </c>
      <c r="I244" s="29"/>
      <c r="J244" s="25">
        <v>12</v>
      </c>
      <c r="K244" s="30">
        <v>66.569999999999993</v>
      </c>
      <c r="L244" s="17"/>
      <c r="M244" s="29">
        <f>K244*L244</f>
        <v>0</v>
      </c>
      <c r="N244" s="31">
        <f>0.056*L244</f>
        <v>0</v>
      </c>
      <c r="O244" s="32">
        <f>0.00034*L244</f>
        <v>0</v>
      </c>
      <c r="P244" s="36"/>
      <c r="Q244" s="29" t="s">
        <v>730</v>
      </c>
      <c r="R244" s="29"/>
      <c r="S244" s="26" t="str">
        <f>HYPERLINK("https://miland.ru/api/getInfo/image/dc84df89-0ef8-11f0-a279-00155d82e908")</f>
        <v>https://miland.ru/api/getInfo/image/dc84df89-0ef8-11f0-a279-00155d82e908</v>
      </c>
    </row>
    <row r="245" spans="1:19" s="1" customFormat="1" ht="12" customHeight="1" outlineLevel="4">
      <c r="A245" s="64" t="s">
        <v>731</v>
      </c>
      <c r="B245" s="64"/>
      <c r="C245" s="64"/>
      <c r="D245" s="64"/>
      <c r="E245" s="64"/>
      <c r="F245" s="64"/>
      <c r="G245" s="8"/>
      <c r="H245" s="12"/>
      <c r="I245" s="2"/>
      <c r="J245" s="2"/>
      <c r="K245" s="13"/>
      <c r="L245" s="2"/>
      <c r="M245" s="2"/>
      <c r="N245" s="2"/>
      <c r="O245" s="2"/>
      <c r="P245" s="2"/>
      <c r="Q245" s="2"/>
      <c r="R245" s="2"/>
      <c r="S245" s="2"/>
    </row>
    <row r="246" spans="1:19" s="1" customFormat="1" ht="12" customHeight="1" outlineLevel="5">
      <c r="A246" s="64" t="s">
        <v>138</v>
      </c>
      <c r="B246" s="64"/>
      <c r="C246" s="64"/>
      <c r="D246" s="64"/>
      <c r="E246" s="64"/>
      <c r="F246" s="64"/>
      <c r="G246" s="8"/>
      <c r="H246" s="12"/>
      <c r="I246" s="2"/>
      <c r="J246" s="2"/>
      <c r="K246" s="13"/>
      <c r="L246" s="2"/>
      <c r="M246" s="2"/>
      <c r="N246" s="2"/>
      <c r="O246" s="2"/>
      <c r="P246" s="2"/>
      <c r="Q246" s="2"/>
      <c r="R246" s="2"/>
      <c r="S246" s="2"/>
    </row>
    <row r="247" spans="1:19" s="2" customFormat="1" ht="96.2" customHeight="1" outlineLevel="6">
      <c r="A247" s="25">
        <v>162</v>
      </c>
      <c r="B247" s="26" t="s">
        <v>732</v>
      </c>
      <c r="C247" s="66" t="s">
        <v>733</v>
      </c>
      <c r="D247" s="66"/>
      <c r="E247" s="66"/>
      <c r="F247" s="66"/>
      <c r="G247" s="27" t="s">
        <v>734</v>
      </c>
      <c r="H247" s="33">
        <v>79</v>
      </c>
      <c r="I247" s="29"/>
      <c r="J247" s="25">
        <v>4</v>
      </c>
      <c r="K247" s="30">
        <v>139.12</v>
      </c>
      <c r="L247" s="17"/>
      <c r="M247" s="29">
        <f>K247*L247</f>
        <v>0</v>
      </c>
      <c r="N247" s="31">
        <f>0.046*L247</f>
        <v>0</v>
      </c>
      <c r="O247" s="32">
        <f>0.00028*L247</f>
        <v>0</v>
      </c>
      <c r="P247" s="36"/>
      <c r="Q247" s="29" t="s">
        <v>735</v>
      </c>
      <c r="R247" s="29"/>
      <c r="S247" s="26" t="str">
        <f>HYPERLINK("https://miland.ru/api/getInfo/image/b03752a7-ff0e-11ef-a277-00155d82e908")</f>
        <v>https://miland.ru/api/getInfo/image/b03752a7-ff0e-11ef-a277-00155d82e908</v>
      </c>
    </row>
    <row r="248" spans="1:19" s="1" customFormat="1" ht="12" customHeight="1" outlineLevel="5">
      <c r="A248" s="64" t="s">
        <v>665</v>
      </c>
      <c r="B248" s="64"/>
      <c r="C248" s="64"/>
      <c r="D248" s="64"/>
      <c r="E248" s="64"/>
      <c r="F248" s="64"/>
      <c r="G248" s="8"/>
      <c r="H248" s="12"/>
      <c r="I248" s="2"/>
      <c r="J248" s="2"/>
      <c r="K248" s="13"/>
      <c r="L248" s="2"/>
      <c r="M248" s="2"/>
      <c r="N248" s="2"/>
      <c r="O248" s="2"/>
      <c r="P248" s="2"/>
      <c r="Q248" s="2"/>
      <c r="R248" s="2"/>
      <c r="S248" s="2"/>
    </row>
    <row r="249" spans="1:19" s="1" customFormat="1" ht="12" customHeight="1" outlineLevel="6">
      <c r="A249" s="64" t="s">
        <v>666</v>
      </c>
      <c r="B249" s="64"/>
      <c r="C249" s="64"/>
      <c r="D249" s="64"/>
      <c r="E249" s="64"/>
      <c r="F249" s="64"/>
      <c r="G249" s="8"/>
      <c r="H249" s="12"/>
      <c r="I249" s="2"/>
      <c r="J249" s="2"/>
      <c r="K249" s="13"/>
      <c r="L249" s="2"/>
      <c r="M249" s="2"/>
      <c r="N249" s="2"/>
      <c r="O249" s="2"/>
      <c r="P249" s="2"/>
      <c r="Q249" s="2"/>
      <c r="R249" s="2"/>
      <c r="S249" s="2"/>
    </row>
    <row r="250" spans="1:19" s="2" customFormat="1" ht="96.2" customHeight="1" outlineLevel="7">
      <c r="A250" s="25">
        <v>163</v>
      </c>
      <c r="B250" s="26" t="s">
        <v>736</v>
      </c>
      <c r="C250" s="66" t="s">
        <v>737</v>
      </c>
      <c r="D250" s="66"/>
      <c r="E250" s="66"/>
      <c r="F250" s="66"/>
      <c r="G250" s="27" t="s">
        <v>738</v>
      </c>
      <c r="H250" s="33">
        <v>371</v>
      </c>
      <c r="I250" s="29"/>
      <c r="J250" s="25">
        <v>2</v>
      </c>
      <c r="K250" s="30">
        <v>355.93</v>
      </c>
      <c r="L250" s="17"/>
      <c r="M250" s="29">
        <f>K250*L250</f>
        <v>0</v>
      </c>
      <c r="N250" s="31">
        <f>0.114*L250</f>
        <v>0</v>
      </c>
      <c r="O250" s="32">
        <f>0.00131*L250</f>
        <v>0</v>
      </c>
      <c r="P250" s="36"/>
      <c r="Q250" s="29" t="s">
        <v>739</v>
      </c>
      <c r="R250" s="29"/>
      <c r="S250" s="26" t="str">
        <f>HYPERLINK("https://miland.ru/api/getInfo/image/86b8aa28-fe6b-11ef-a277-00155d82e908")</f>
        <v>https://miland.ru/api/getInfo/image/86b8aa28-fe6b-11ef-a277-00155d82e908</v>
      </c>
    </row>
    <row r="251" spans="1:19" s="1" customFormat="1" ht="12" customHeight="1" outlineLevel="6">
      <c r="A251" s="64" t="s">
        <v>671</v>
      </c>
      <c r="B251" s="64"/>
      <c r="C251" s="64"/>
      <c r="D251" s="64"/>
      <c r="E251" s="64"/>
      <c r="F251" s="64"/>
      <c r="G251" s="8"/>
      <c r="H251" s="12"/>
      <c r="I251" s="2"/>
      <c r="J251" s="2"/>
      <c r="K251" s="13"/>
      <c r="L251" s="2"/>
      <c r="M251" s="2"/>
      <c r="N251" s="2"/>
      <c r="O251" s="2"/>
      <c r="P251" s="2"/>
      <c r="Q251" s="2"/>
      <c r="R251" s="2"/>
      <c r="S251" s="2"/>
    </row>
    <row r="252" spans="1:19" s="2" customFormat="1" ht="96.2" customHeight="1" outlineLevel="7">
      <c r="A252" s="25">
        <v>164</v>
      </c>
      <c r="B252" s="26" t="s">
        <v>740</v>
      </c>
      <c r="C252" s="66" t="s">
        <v>741</v>
      </c>
      <c r="D252" s="66"/>
      <c r="E252" s="66"/>
      <c r="F252" s="66"/>
      <c r="G252" s="27" t="s">
        <v>742</v>
      </c>
      <c r="H252" s="28" t="s">
        <v>44</v>
      </c>
      <c r="I252" s="29"/>
      <c r="J252" s="25">
        <v>3</v>
      </c>
      <c r="K252" s="30">
        <v>263.55</v>
      </c>
      <c r="L252" s="17"/>
      <c r="M252" s="29">
        <f>K252*L252</f>
        <v>0</v>
      </c>
      <c r="N252" s="31">
        <f>0.081*L252</f>
        <v>0</v>
      </c>
      <c r="O252" s="32">
        <f>0.00025*L252</f>
        <v>0</v>
      </c>
      <c r="P252" s="36"/>
      <c r="Q252" s="29" t="s">
        <v>743</v>
      </c>
      <c r="R252" s="29"/>
      <c r="S252" s="26" t="str">
        <f>HYPERLINK("https://miland.ru/api/getInfo/image/f8a0b39e-fe6b-11ef-a277-00155d82e908")</f>
        <v>https://miland.ru/api/getInfo/image/f8a0b39e-fe6b-11ef-a277-00155d82e908</v>
      </c>
    </row>
    <row r="253" spans="1:19" s="1" customFormat="1" ht="12" customHeight="1" outlineLevel="5">
      <c r="A253" s="64" t="s">
        <v>612</v>
      </c>
      <c r="B253" s="64"/>
      <c r="C253" s="64"/>
      <c r="D253" s="64"/>
      <c r="E253" s="64"/>
      <c r="F253" s="64"/>
      <c r="G253" s="8"/>
      <c r="H253" s="12"/>
      <c r="I253" s="2"/>
      <c r="J253" s="2"/>
      <c r="K253" s="13"/>
      <c r="L253" s="2"/>
      <c r="M253" s="2"/>
      <c r="N253" s="2"/>
      <c r="O253" s="2"/>
      <c r="P253" s="2"/>
      <c r="Q253" s="2"/>
      <c r="R253" s="2"/>
      <c r="S253" s="2"/>
    </row>
    <row r="254" spans="1:19" s="1" customFormat="1" ht="12" customHeight="1" outlineLevel="6">
      <c r="A254" s="64" t="s">
        <v>613</v>
      </c>
      <c r="B254" s="64"/>
      <c r="C254" s="64"/>
      <c r="D254" s="64"/>
      <c r="E254" s="64"/>
      <c r="F254" s="64"/>
      <c r="G254" s="8"/>
      <c r="H254" s="12"/>
      <c r="I254" s="2"/>
      <c r="J254" s="2"/>
      <c r="K254" s="13"/>
      <c r="L254" s="2"/>
      <c r="M254" s="2"/>
      <c r="N254" s="2"/>
      <c r="O254" s="2"/>
      <c r="P254" s="2"/>
      <c r="Q254" s="2"/>
      <c r="R254" s="2"/>
      <c r="S254" s="2"/>
    </row>
    <row r="255" spans="1:19" s="2" customFormat="1" ht="96.2" customHeight="1" outlineLevel="7">
      <c r="A255" s="25">
        <v>165</v>
      </c>
      <c r="B255" s="26" t="s">
        <v>744</v>
      </c>
      <c r="C255" s="66" t="s">
        <v>745</v>
      </c>
      <c r="D255" s="66"/>
      <c r="E255" s="66"/>
      <c r="F255" s="66"/>
      <c r="G255" s="27" t="s">
        <v>746</v>
      </c>
      <c r="H255" s="28" t="s">
        <v>44</v>
      </c>
      <c r="I255" s="29"/>
      <c r="J255" s="25">
        <v>1</v>
      </c>
      <c r="K255" s="30">
        <v>867.89</v>
      </c>
      <c r="L255" s="17"/>
      <c r="M255" s="29">
        <f>K255*L255</f>
        <v>0</v>
      </c>
      <c r="N255" s="31">
        <f>0.252*L255</f>
        <v>0</v>
      </c>
      <c r="O255" s="35">
        <f>0.0008*L255</f>
        <v>0</v>
      </c>
      <c r="P255" s="36"/>
      <c r="Q255" s="29" t="s">
        <v>747</v>
      </c>
      <c r="R255" s="29"/>
      <c r="S255" s="26" t="str">
        <f>HYPERLINK("https://miland.ru/api/getInfo/image/74ce877d-138b-11f0-a279-00155d82e908")</f>
        <v>https://miland.ru/api/getInfo/image/74ce877d-138b-11f0-a279-00155d82e908</v>
      </c>
    </row>
    <row r="256" spans="1:19" s="2" customFormat="1" ht="96.2" customHeight="1" outlineLevel="7">
      <c r="A256" s="9">
        <v>166</v>
      </c>
      <c r="B256" s="10" t="s">
        <v>748</v>
      </c>
      <c r="C256" s="65" t="s">
        <v>749</v>
      </c>
      <c r="D256" s="65"/>
      <c r="E256" s="65"/>
      <c r="F256" s="65"/>
      <c r="G256" s="11" t="s">
        <v>750</v>
      </c>
      <c r="H256" s="21" t="s">
        <v>44</v>
      </c>
      <c r="I256" s="15"/>
      <c r="J256" s="9">
        <v>7</v>
      </c>
      <c r="K256" s="16">
        <v>93.82</v>
      </c>
      <c r="L256" s="17"/>
      <c r="M256" s="15">
        <f>K256*L256</f>
        <v>0</v>
      </c>
      <c r="N256" s="18">
        <f>0.009*L256</f>
        <v>0</v>
      </c>
      <c r="O256" s="19">
        <f>0.00035*L256</f>
        <v>0</v>
      </c>
      <c r="P256" s="24" t="s">
        <v>26</v>
      </c>
      <c r="Q256" s="15" t="s">
        <v>751</v>
      </c>
      <c r="R256" s="15"/>
      <c r="S256" s="10" t="str">
        <f>HYPERLINK("https://miland.ru/api/getInfo/image/ac2659e8-318e-11f1-a292-00155d82e908")</f>
        <v>https://miland.ru/api/getInfo/image/ac2659e8-318e-11f1-a292-00155d82e908</v>
      </c>
    </row>
    <row r="257" spans="1:19" s="1" customFormat="1" ht="12" customHeight="1" outlineLevel="6">
      <c r="A257" s="64" t="s">
        <v>692</v>
      </c>
      <c r="B257" s="64"/>
      <c r="C257" s="64"/>
      <c r="D257" s="64"/>
      <c r="E257" s="64"/>
      <c r="F257" s="64"/>
      <c r="G257" s="8"/>
      <c r="H257" s="12"/>
      <c r="I257" s="2"/>
      <c r="J257" s="2"/>
      <c r="K257" s="13"/>
      <c r="L257" s="2"/>
      <c r="M257" s="2"/>
      <c r="N257" s="2"/>
      <c r="O257" s="2"/>
      <c r="P257" s="2"/>
      <c r="Q257" s="2"/>
      <c r="R257" s="2"/>
      <c r="S257" s="2"/>
    </row>
    <row r="258" spans="1:19" s="2" customFormat="1" ht="96.2" customHeight="1" outlineLevel="7">
      <c r="A258" s="9">
        <v>167</v>
      </c>
      <c r="B258" s="10" t="s">
        <v>752</v>
      </c>
      <c r="C258" s="65" t="s">
        <v>753</v>
      </c>
      <c r="D258" s="65"/>
      <c r="E258" s="65"/>
      <c r="F258" s="65"/>
      <c r="G258" s="11" t="s">
        <v>754</v>
      </c>
      <c r="H258" s="14">
        <v>294</v>
      </c>
      <c r="I258" s="15"/>
      <c r="J258" s="9">
        <v>1</v>
      </c>
      <c r="K258" s="16">
        <v>505.65</v>
      </c>
      <c r="L258" s="17"/>
      <c r="M258" s="15">
        <f>K258*L258</f>
        <v>0</v>
      </c>
      <c r="N258" s="18">
        <f>0.173*L258</f>
        <v>0</v>
      </c>
      <c r="O258" s="19">
        <f>0.00326*L258</f>
        <v>0</v>
      </c>
      <c r="P258" s="24" t="s">
        <v>26</v>
      </c>
      <c r="Q258" s="15" t="s">
        <v>755</v>
      </c>
      <c r="R258" s="15"/>
      <c r="S258" s="10" t="str">
        <f>HYPERLINK("https://miland.ru/api/getInfo/image/0c0a7f0c-0646-11f1-a28f-00155d82e908")</f>
        <v>https://miland.ru/api/getInfo/image/0c0a7f0c-0646-11f1-a28f-00155d82e908</v>
      </c>
    </row>
    <row r="259" spans="1:19" s="1" customFormat="1" ht="12" customHeight="1" outlineLevel="6">
      <c r="A259" s="64" t="s">
        <v>618</v>
      </c>
      <c r="B259" s="64"/>
      <c r="C259" s="64"/>
      <c r="D259" s="64"/>
      <c r="E259" s="64"/>
      <c r="F259" s="64"/>
      <c r="G259" s="8"/>
      <c r="H259" s="12"/>
      <c r="I259" s="2"/>
      <c r="J259" s="2"/>
      <c r="K259" s="13"/>
      <c r="L259" s="2"/>
      <c r="M259" s="2"/>
      <c r="N259" s="2"/>
      <c r="O259" s="2"/>
      <c r="P259" s="2"/>
      <c r="Q259" s="2"/>
      <c r="R259" s="2"/>
      <c r="S259" s="2"/>
    </row>
    <row r="260" spans="1:19" s="2" customFormat="1" ht="96.2" customHeight="1" outlineLevel="7">
      <c r="A260" s="9">
        <v>168</v>
      </c>
      <c r="B260" s="10" t="s">
        <v>756</v>
      </c>
      <c r="C260" s="65" t="s">
        <v>757</v>
      </c>
      <c r="D260" s="65"/>
      <c r="E260" s="65"/>
      <c r="F260" s="65"/>
      <c r="G260" s="11" t="s">
        <v>758</v>
      </c>
      <c r="H260" s="14">
        <v>160</v>
      </c>
      <c r="I260" s="15"/>
      <c r="J260" s="9">
        <v>1</v>
      </c>
      <c r="K260" s="16">
        <v>326.37</v>
      </c>
      <c r="L260" s="17"/>
      <c r="M260" s="15">
        <f>K260*L260</f>
        <v>0</v>
      </c>
      <c r="N260" s="18">
        <f>0.029*L260</f>
        <v>0</v>
      </c>
      <c r="O260" s="19">
        <f>0.00031*L260</f>
        <v>0</v>
      </c>
      <c r="P260" s="24" t="s">
        <v>26</v>
      </c>
      <c r="Q260" s="15" t="s">
        <v>759</v>
      </c>
      <c r="R260" s="15"/>
      <c r="S260" s="10" t="str">
        <f>HYPERLINK("https://miland.ru/api/getInfo/image/7f2c3cec-2c0f-11f1-a292-00155d82e908")</f>
        <v>https://miland.ru/api/getInfo/image/7f2c3cec-2c0f-11f1-a292-00155d82e908</v>
      </c>
    </row>
    <row r="261" spans="1:19" s="2" customFormat="1" ht="96.2" customHeight="1" outlineLevel="7">
      <c r="A261" s="9">
        <v>169</v>
      </c>
      <c r="B261" s="10" t="s">
        <v>760</v>
      </c>
      <c r="C261" s="65" t="s">
        <v>761</v>
      </c>
      <c r="D261" s="65"/>
      <c r="E261" s="65"/>
      <c r="F261" s="65"/>
      <c r="G261" s="11" t="s">
        <v>762</v>
      </c>
      <c r="H261" s="21" t="s">
        <v>44</v>
      </c>
      <c r="I261" s="15"/>
      <c r="J261" s="9">
        <v>1</v>
      </c>
      <c r="K261" s="22">
        <v>1036.69</v>
      </c>
      <c r="L261" s="17"/>
      <c r="M261" s="15">
        <f>K261*L261</f>
        <v>0</v>
      </c>
      <c r="N261" s="18">
        <f>0.041*L261</f>
        <v>0</v>
      </c>
      <c r="O261" s="19">
        <f>0.00013*L261</f>
        <v>0</v>
      </c>
      <c r="P261" s="24" t="s">
        <v>26</v>
      </c>
      <c r="Q261" s="15" t="s">
        <v>763</v>
      </c>
      <c r="R261" s="15"/>
      <c r="S261" s="10" t="str">
        <f>HYPERLINK("https://miland.ru/api/getInfo/image/43627c6d-0881-11f0-a277-00155d82e908")</f>
        <v>https://miland.ru/api/getInfo/image/43627c6d-0881-11f0-a277-00155d82e908</v>
      </c>
    </row>
    <row r="262" spans="1:19" s="2" customFormat="1" ht="96.2" customHeight="1" outlineLevel="7">
      <c r="A262" s="9">
        <v>170</v>
      </c>
      <c r="B262" s="10" t="s">
        <v>764</v>
      </c>
      <c r="C262" s="65" t="s">
        <v>765</v>
      </c>
      <c r="D262" s="65"/>
      <c r="E262" s="65"/>
      <c r="F262" s="65"/>
      <c r="G262" s="11" t="s">
        <v>766</v>
      </c>
      <c r="H262" s="21" t="s">
        <v>44</v>
      </c>
      <c r="I262" s="15"/>
      <c r="J262" s="9">
        <v>1</v>
      </c>
      <c r="K262" s="16">
        <v>671.93</v>
      </c>
      <c r="L262" s="17"/>
      <c r="M262" s="15">
        <f>K262*L262</f>
        <v>0</v>
      </c>
      <c r="N262" s="18">
        <f>0.021*L262</f>
        <v>0</v>
      </c>
      <c r="O262" s="19">
        <f>0.00003*L262</f>
        <v>0</v>
      </c>
      <c r="P262" s="24" t="s">
        <v>26</v>
      </c>
      <c r="Q262" s="15" t="s">
        <v>767</v>
      </c>
      <c r="R262" s="15"/>
      <c r="S262" s="10" t="str">
        <f>HYPERLINK("https://miland.ru/api/getInfo/image/adbb162f-0881-11f0-a277-00155d82e908")</f>
        <v>https://miland.ru/api/getInfo/image/adbb162f-0881-11f0-a277-00155d82e908</v>
      </c>
    </row>
    <row r="263" spans="1:19" s="2" customFormat="1" ht="96.2" customHeight="1" outlineLevel="7">
      <c r="A263" s="9">
        <v>171</v>
      </c>
      <c r="B263" s="10" t="s">
        <v>768</v>
      </c>
      <c r="C263" s="65" t="s">
        <v>769</v>
      </c>
      <c r="D263" s="65"/>
      <c r="E263" s="65"/>
      <c r="F263" s="65"/>
      <c r="G263" s="11" t="s">
        <v>770</v>
      </c>
      <c r="H263" s="14">
        <v>109</v>
      </c>
      <c r="I263" s="15"/>
      <c r="J263" s="9">
        <v>1</v>
      </c>
      <c r="K263" s="22">
        <v>2039.81</v>
      </c>
      <c r="L263" s="17"/>
      <c r="M263" s="15">
        <f>K263*L263</f>
        <v>0</v>
      </c>
      <c r="N263" s="23">
        <f>0.13*L263</f>
        <v>0</v>
      </c>
      <c r="O263" s="19">
        <f>0.00167*L263</f>
        <v>0</v>
      </c>
      <c r="P263" s="24" t="s">
        <v>26</v>
      </c>
      <c r="Q263" s="15" t="s">
        <v>771</v>
      </c>
      <c r="R263" s="15"/>
      <c r="S263" s="10" t="str">
        <f>HYPERLINK("https://miland.ru/api/getInfo/image/99343c93-2825-11f1-a291-00155d82e908")</f>
        <v>https://miland.ru/api/getInfo/image/99343c93-2825-11f1-a291-00155d82e908</v>
      </c>
    </row>
    <row r="264" spans="1:19" s="1" customFormat="1" ht="12" customHeight="1" outlineLevel="6">
      <c r="A264" s="64" t="s">
        <v>65</v>
      </c>
      <c r="B264" s="64"/>
      <c r="C264" s="64"/>
      <c r="D264" s="64"/>
      <c r="E264" s="64"/>
      <c r="F264" s="64"/>
      <c r="G264" s="8"/>
      <c r="H264" s="12"/>
      <c r="I264" s="2"/>
      <c r="J264" s="2"/>
      <c r="K264" s="13"/>
      <c r="L264" s="2"/>
      <c r="M264" s="2"/>
      <c r="N264" s="2"/>
      <c r="O264" s="2"/>
      <c r="P264" s="2"/>
      <c r="Q264" s="2"/>
      <c r="R264" s="2"/>
      <c r="S264" s="2"/>
    </row>
    <row r="265" spans="1:19" s="2" customFormat="1" ht="96.2" customHeight="1" outlineLevel="7">
      <c r="A265" s="25">
        <v>172</v>
      </c>
      <c r="B265" s="26" t="s">
        <v>772</v>
      </c>
      <c r="C265" s="66" t="s">
        <v>773</v>
      </c>
      <c r="D265" s="66"/>
      <c r="E265" s="66"/>
      <c r="F265" s="66"/>
      <c r="G265" s="27" t="s">
        <v>774</v>
      </c>
      <c r="H265" s="33">
        <v>4</v>
      </c>
      <c r="I265" s="29"/>
      <c r="J265" s="25">
        <v>1</v>
      </c>
      <c r="K265" s="30">
        <v>478.19</v>
      </c>
      <c r="L265" s="17"/>
      <c r="M265" s="29">
        <f>K265*L265</f>
        <v>0</v>
      </c>
      <c r="N265" s="31">
        <f>0.062*L265</f>
        <v>0</v>
      </c>
      <c r="O265" s="32">
        <f>0.00034*L265</f>
        <v>0</v>
      </c>
      <c r="P265" s="36"/>
      <c r="Q265" s="29" t="s">
        <v>775</v>
      </c>
      <c r="R265" s="29" t="s">
        <v>611</v>
      </c>
      <c r="S265" s="26" t="str">
        <f>HYPERLINK("https://miland.ru/api/getInfo/image/9a4503b8-fd74-11ef-a274-00155d82e908")</f>
        <v>https://miland.ru/api/getInfo/image/9a4503b8-fd74-11ef-a274-00155d82e908</v>
      </c>
    </row>
    <row r="266" spans="1:19" s="1" customFormat="1" ht="12" customHeight="1" outlineLevel="5">
      <c r="A266" s="64" t="s">
        <v>776</v>
      </c>
      <c r="B266" s="64"/>
      <c r="C266" s="64"/>
      <c r="D266" s="64"/>
      <c r="E266" s="64"/>
      <c r="F266" s="64"/>
      <c r="G266" s="8"/>
      <c r="H266" s="12"/>
      <c r="I266" s="2"/>
      <c r="J266" s="2"/>
      <c r="K266" s="13"/>
      <c r="L266" s="2"/>
      <c r="M266" s="2"/>
      <c r="N266" s="2"/>
      <c r="O266" s="2"/>
      <c r="P266" s="2"/>
      <c r="Q266" s="2"/>
      <c r="R266" s="2"/>
      <c r="S266" s="2"/>
    </row>
    <row r="267" spans="1:19" s="2" customFormat="1" ht="96.2" customHeight="1" outlineLevel="6">
      <c r="A267" s="9">
        <v>173</v>
      </c>
      <c r="B267" s="10" t="s">
        <v>777</v>
      </c>
      <c r="C267" s="65" t="s">
        <v>778</v>
      </c>
      <c r="D267" s="65"/>
      <c r="E267" s="65"/>
      <c r="F267" s="65"/>
      <c r="G267" s="11" t="s">
        <v>779</v>
      </c>
      <c r="H267" s="14">
        <v>29</v>
      </c>
      <c r="I267" s="15"/>
      <c r="J267" s="9">
        <v>1</v>
      </c>
      <c r="K267" s="22">
        <v>1384.21</v>
      </c>
      <c r="L267" s="17"/>
      <c r="M267" s="15">
        <f>K267*L267</f>
        <v>0</v>
      </c>
      <c r="N267" s="18">
        <f>0.393*L267</f>
        <v>0</v>
      </c>
      <c r="O267" s="20">
        <f>0.0096*L267</f>
        <v>0</v>
      </c>
      <c r="P267" s="24" t="s">
        <v>26</v>
      </c>
      <c r="Q267" s="15" t="s">
        <v>780</v>
      </c>
      <c r="R267" s="15"/>
      <c r="S267" s="10" t="str">
        <f>HYPERLINK("https://miland.ru/api/getInfo/image/23668e9d-2777-11f1-a291-00155d82e908")</f>
        <v>https://miland.ru/api/getInfo/image/23668e9d-2777-11f1-a291-00155d82e908</v>
      </c>
    </row>
    <row r="268" spans="1:19" s="1" customFormat="1" ht="12" customHeight="1" outlineLevel="4">
      <c r="A268" s="64" t="s">
        <v>781</v>
      </c>
      <c r="B268" s="64"/>
      <c r="C268" s="64"/>
      <c r="D268" s="64"/>
      <c r="E268" s="64"/>
      <c r="F268" s="64"/>
      <c r="G268" s="8"/>
      <c r="H268" s="12"/>
      <c r="I268" s="2"/>
      <c r="J268" s="2"/>
      <c r="K268" s="13"/>
      <c r="L268" s="2"/>
      <c r="M268" s="2"/>
      <c r="N268" s="2"/>
      <c r="O268" s="2"/>
      <c r="P268" s="2"/>
      <c r="Q268" s="2"/>
      <c r="R268" s="2"/>
      <c r="S268" s="2"/>
    </row>
    <row r="269" spans="1:19" s="1" customFormat="1" ht="12" customHeight="1" outlineLevel="5">
      <c r="A269" s="64" t="s">
        <v>782</v>
      </c>
      <c r="B269" s="64"/>
      <c r="C269" s="64"/>
      <c r="D269" s="64"/>
      <c r="E269" s="64"/>
      <c r="F269" s="64"/>
      <c r="G269" s="8"/>
      <c r="H269" s="12"/>
      <c r="I269" s="2"/>
      <c r="J269" s="2"/>
      <c r="K269" s="13"/>
      <c r="L269" s="2"/>
      <c r="M269" s="2"/>
      <c r="N269" s="2"/>
      <c r="O269" s="2"/>
      <c r="P269" s="2"/>
      <c r="Q269" s="2"/>
      <c r="R269" s="2"/>
      <c r="S269" s="2"/>
    </row>
    <row r="270" spans="1:19" s="2" customFormat="1" ht="96.2" customHeight="1" outlineLevel="6">
      <c r="A270" s="9">
        <v>174</v>
      </c>
      <c r="B270" s="10" t="s">
        <v>783</v>
      </c>
      <c r="C270" s="65" t="s">
        <v>784</v>
      </c>
      <c r="D270" s="65"/>
      <c r="E270" s="65"/>
      <c r="F270" s="65"/>
      <c r="G270" s="11" t="s">
        <v>785</v>
      </c>
      <c r="H270" s="21" t="s">
        <v>44</v>
      </c>
      <c r="I270" s="15"/>
      <c r="J270" s="9">
        <v>2</v>
      </c>
      <c r="K270" s="16">
        <v>263.55</v>
      </c>
      <c r="L270" s="17"/>
      <c r="M270" s="15">
        <f>K270*L270</f>
        <v>0</v>
      </c>
      <c r="N270" s="18">
        <f>0.237*L270</f>
        <v>0</v>
      </c>
      <c r="O270" s="19">
        <f>0.00054*L270</f>
        <v>0</v>
      </c>
      <c r="P270" s="24" t="s">
        <v>26</v>
      </c>
      <c r="Q270" s="15" t="s">
        <v>786</v>
      </c>
      <c r="R270" s="15"/>
      <c r="S270" s="10" t="str">
        <f>HYPERLINK("https://miland.ru/api/getInfo/image/cf500b90-2bf8-11f1-a292-00155d82e908")</f>
        <v>https://miland.ru/api/getInfo/image/cf500b90-2bf8-11f1-a292-00155d82e908</v>
      </c>
    </row>
    <row r="271" spans="1:19" s="1" customFormat="1" ht="12" customHeight="1" outlineLevel="5">
      <c r="A271" s="64" t="s">
        <v>612</v>
      </c>
      <c r="B271" s="64"/>
      <c r="C271" s="64"/>
      <c r="D271" s="64"/>
      <c r="E271" s="64"/>
      <c r="F271" s="64"/>
      <c r="G271" s="8"/>
      <c r="H271" s="12"/>
      <c r="I271" s="2"/>
      <c r="J271" s="2"/>
      <c r="K271" s="13"/>
      <c r="L271" s="2"/>
      <c r="M271" s="2"/>
      <c r="N271" s="2"/>
      <c r="O271" s="2"/>
      <c r="P271" s="2"/>
      <c r="Q271" s="2"/>
      <c r="R271" s="2"/>
      <c r="S271" s="2"/>
    </row>
    <row r="272" spans="1:19" s="1" customFormat="1" ht="12" customHeight="1" outlineLevel="6">
      <c r="A272" s="64" t="s">
        <v>618</v>
      </c>
      <c r="B272" s="64"/>
      <c r="C272" s="64"/>
      <c r="D272" s="64"/>
      <c r="E272" s="64"/>
      <c r="F272" s="64"/>
      <c r="G272" s="8"/>
      <c r="H272" s="12"/>
      <c r="I272" s="2"/>
      <c r="J272" s="2"/>
      <c r="K272" s="13"/>
      <c r="L272" s="2"/>
      <c r="M272" s="2"/>
      <c r="N272" s="2"/>
      <c r="O272" s="2"/>
      <c r="P272" s="2"/>
      <c r="Q272" s="2"/>
      <c r="R272" s="2"/>
      <c r="S272" s="2"/>
    </row>
    <row r="273" spans="1:19" s="2" customFormat="1" ht="96.2" customHeight="1" outlineLevel="7">
      <c r="A273" s="9">
        <v>175</v>
      </c>
      <c r="B273" s="10" t="s">
        <v>787</v>
      </c>
      <c r="C273" s="65" t="s">
        <v>788</v>
      </c>
      <c r="D273" s="65"/>
      <c r="E273" s="65"/>
      <c r="F273" s="65"/>
      <c r="G273" s="11" t="s">
        <v>789</v>
      </c>
      <c r="H273" s="21" t="s">
        <v>44</v>
      </c>
      <c r="I273" s="15"/>
      <c r="J273" s="9">
        <v>1</v>
      </c>
      <c r="K273" s="16">
        <v>493.66</v>
      </c>
      <c r="L273" s="17"/>
      <c r="M273" s="15">
        <f>K273*L273</f>
        <v>0</v>
      </c>
      <c r="N273" s="18">
        <f>0.064*L273</f>
        <v>0</v>
      </c>
      <c r="O273" s="19">
        <f>0.00246*L273</f>
        <v>0</v>
      </c>
      <c r="P273" s="24" t="s">
        <v>26</v>
      </c>
      <c r="Q273" s="15" t="s">
        <v>790</v>
      </c>
      <c r="R273" s="15"/>
      <c r="S273" s="10" t="str">
        <f>HYPERLINK("https://miland.ru/api/getInfo/image/c7b65936-087f-11f0-a277-00155d82e908")</f>
        <v>https://miland.ru/api/getInfo/image/c7b65936-087f-11f0-a277-00155d82e908</v>
      </c>
    </row>
    <row r="274" spans="1:19" s="2" customFormat="1" ht="96.2" customHeight="1" outlineLevel="7">
      <c r="A274" s="9">
        <v>176</v>
      </c>
      <c r="B274" s="10" t="s">
        <v>791</v>
      </c>
      <c r="C274" s="65" t="s">
        <v>792</v>
      </c>
      <c r="D274" s="65"/>
      <c r="E274" s="65"/>
      <c r="F274" s="65"/>
      <c r="G274" s="11" t="s">
        <v>793</v>
      </c>
      <c r="H274" s="21" t="s">
        <v>44</v>
      </c>
      <c r="I274" s="15"/>
      <c r="J274" s="9">
        <v>1</v>
      </c>
      <c r="K274" s="16">
        <v>376.02</v>
      </c>
      <c r="L274" s="17"/>
      <c r="M274" s="15">
        <f>K274*L274</f>
        <v>0</v>
      </c>
      <c r="N274" s="18">
        <f>0.021*L274</f>
        <v>0</v>
      </c>
      <c r="O274" s="19">
        <f>0.00006*L274</f>
        <v>0</v>
      </c>
      <c r="P274" s="24" t="s">
        <v>26</v>
      </c>
      <c r="Q274" s="15" t="s">
        <v>794</v>
      </c>
      <c r="R274" s="15"/>
      <c r="S274" s="10" t="str">
        <f>HYPERLINK("https://miland.ru/api/getInfo/image/8c4c230c-29ab-11f1-a291-00155d82e908")</f>
        <v>https://miland.ru/api/getInfo/image/8c4c230c-29ab-11f1-a291-00155d82e908</v>
      </c>
    </row>
    <row r="275" spans="1:19" s="1" customFormat="1" ht="12" customHeight="1" outlineLevel="5">
      <c r="A275" s="64" t="s">
        <v>709</v>
      </c>
      <c r="B275" s="64"/>
      <c r="C275" s="64"/>
      <c r="D275" s="64"/>
      <c r="E275" s="64"/>
      <c r="F275" s="64"/>
      <c r="G275" s="8"/>
      <c r="H275" s="12"/>
      <c r="I275" s="2"/>
      <c r="J275" s="2"/>
      <c r="K275" s="13"/>
      <c r="L275" s="2"/>
      <c r="M275" s="2"/>
      <c r="N275" s="2"/>
      <c r="O275" s="2"/>
      <c r="P275" s="2"/>
      <c r="Q275" s="2"/>
      <c r="R275" s="2"/>
      <c r="S275" s="2"/>
    </row>
    <row r="276" spans="1:19" s="2" customFormat="1" ht="96.2" customHeight="1" outlineLevel="6">
      <c r="A276" s="9">
        <v>177</v>
      </c>
      <c r="B276" s="10" t="s">
        <v>795</v>
      </c>
      <c r="C276" s="65" t="s">
        <v>796</v>
      </c>
      <c r="D276" s="65"/>
      <c r="E276" s="65"/>
      <c r="F276" s="65"/>
      <c r="G276" s="11" t="s">
        <v>797</v>
      </c>
      <c r="H276" s="14">
        <v>229</v>
      </c>
      <c r="I276" s="15"/>
      <c r="J276" s="9">
        <v>2</v>
      </c>
      <c r="K276" s="16">
        <v>189.66</v>
      </c>
      <c r="L276" s="17"/>
      <c r="M276" s="15">
        <f>K276*L276</f>
        <v>0</v>
      </c>
      <c r="N276" s="18">
        <f>0.029*L276</f>
        <v>0</v>
      </c>
      <c r="O276" s="19">
        <f>0.00024*L276</f>
        <v>0</v>
      </c>
      <c r="P276" s="24" t="s">
        <v>26</v>
      </c>
      <c r="Q276" s="15" t="s">
        <v>798</v>
      </c>
      <c r="R276" s="15"/>
      <c r="S276" s="10" t="str">
        <f>HYPERLINK("https://miland.ru/api/getInfo/image/e0f74d16-2750-11f1-a290-00155d82e908")</f>
        <v>https://miland.ru/api/getInfo/image/e0f74d16-2750-11f1-a290-00155d82e908</v>
      </c>
    </row>
    <row r="277" spans="1:19" s="1" customFormat="1" ht="12" customHeight="1" outlineLevel="4">
      <c r="A277" s="64" t="s">
        <v>799</v>
      </c>
      <c r="B277" s="64"/>
      <c r="C277" s="64"/>
      <c r="D277" s="64"/>
      <c r="E277" s="64"/>
      <c r="F277" s="64"/>
      <c r="G277" s="8"/>
      <c r="H277" s="12"/>
      <c r="I277" s="2"/>
      <c r="J277" s="2"/>
      <c r="K277" s="13"/>
      <c r="L277" s="2"/>
      <c r="M277" s="2"/>
      <c r="N277" s="2"/>
      <c r="O277" s="2"/>
      <c r="P277" s="2"/>
      <c r="Q277" s="2"/>
      <c r="R277" s="2"/>
      <c r="S277" s="2"/>
    </row>
    <row r="278" spans="1:19" s="1" customFormat="1" ht="12" customHeight="1" outlineLevel="5">
      <c r="A278" s="64" t="s">
        <v>328</v>
      </c>
      <c r="B278" s="64"/>
      <c r="C278" s="64"/>
      <c r="D278" s="64"/>
      <c r="E278" s="64"/>
      <c r="F278" s="64"/>
      <c r="G278" s="8"/>
      <c r="H278" s="12"/>
      <c r="I278" s="2"/>
      <c r="J278" s="2"/>
      <c r="K278" s="13"/>
      <c r="L278" s="2"/>
      <c r="M278" s="2"/>
      <c r="N278" s="2"/>
      <c r="O278" s="2"/>
      <c r="P278" s="2"/>
      <c r="Q278" s="2"/>
      <c r="R278" s="2"/>
      <c r="S278" s="2"/>
    </row>
    <row r="279" spans="1:19" s="1" customFormat="1" ht="12" customHeight="1" outlineLevel="6">
      <c r="A279" s="64" t="s">
        <v>618</v>
      </c>
      <c r="B279" s="64"/>
      <c r="C279" s="64"/>
      <c r="D279" s="64"/>
      <c r="E279" s="64"/>
      <c r="F279" s="64"/>
      <c r="G279" s="8"/>
      <c r="H279" s="12"/>
      <c r="I279" s="2"/>
      <c r="J279" s="2"/>
      <c r="K279" s="13"/>
      <c r="L279" s="2"/>
      <c r="M279" s="2"/>
      <c r="N279" s="2"/>
      <c r="O279" s="2"/>
      <c r="P279" s="2"/>
      <c r="Q279" s="2"/>
      <c r="R279" s="2"/>
      <c r="S279" s="2"/>
    </row>
    <row r="280" spans="1:19" s="2" customFormat="1" ht="96.2" customHeight="1" outlineLevel="7">
      <c r="A280" s="9">
        <v>178</v>
      </c>
      <c r="B280" s="10" t="s">
        <v>800</v>
      </c>
      <c r="C280" s="65" t="s">
        <v>801</v>
      </c>
      <c r="D280" s="65"/>
      <c r="E280" s="65"/>
      <c r="F280" s="65"/>
      <c r="G280" s="11" t="s">
        <v>802</v>
      </c>
      <c r="H280" s="21" t="s">
        <v>44</v>
      </c>
      <c r="I280" s="15"/>
      <c r="J280" s="9">
        <v>1</v>
      </c>
      <c r="K280" s="16">
        <v>669.87</v>
      </c>
      <c r="L280" s="17"/>
      <c r="M280" s="15">
        <f>K280*L280</f>
        <v>0</v>
      </c>
      <c r="N280" s="23">
        <f>0.03*L280</f>
        <v>0</v>
      </c>
      <c r="O280" s="19">
        <f>0.00019*L280</f>
        <v>0</v>
      </c>
      <c r="P280" s="24" t="s">
        <v>26</v>
      </c>
      <c r="Q280" s="15" t="s">
        <v>803</v>
      </c>
      <c r="R280" s="15"/>
      <c r="S280" s="10" t="str">
        <f>HYPERLINK("https://miland.ru/api/getInfo/image/e4db29bf-274c-11f1-a290-00155d82e908")</f>
        <v>https://miland.ru/api/getInfo/image/e4db29bf-274c-11f1-a290-00155d82e908</v>
      </c>
    </row>
    <row r="281" spans="1:19" s="1" customFormat="1" ht="12" customHeight="1" outlineLevel="5">
      <c r="A281" s="64" t="s">
        <v>489</v>
      </c>
      <c r="B281" s="64"/>
      <c r="C281" s="64"/>
      <c r="D281" s="64"/>
      <c r="E281" s="64"/>
      <c r="F281" s="64"/>
      <c r="G281" s="8"/>
      <c r="H281" s="12"/>
      <c r="I281" s="2"/>
      <c r="J281" s="2"/>
      <c r="K281" s="13"/>
      <c r="L281" s="2"/>
      <c r="M281" s="2"/>
      <c r="N281" s="2"/>
      <c r="O281" s="2"/>
      <c r="P281" s="2"/>
      <c r="Q281" s="2"/>
      <c r="R281" s="2"/>
      <c r="S281" s="2"/>
    </row>
    <row r="282" spans="1:19" s="2" customFormat="1" ht="96.2" customHeight="1" outlineLevel="6">
      <c r="A282" s="9">
        <v>179</v>
      </c>
      <c r="B282" s="10" t="s">
        <v>804</v>
      </c>
      <c r="C282" s="65" t="s">
        <v>805</v>
      </c>
      <c r="D282" s="65"/>
      <c r="E282" s="65"/>
      <c r="F282" s="65"/>
      <c r="G282" s="11" t="s">
        <v>806</v>
      </c>
      <c r="H282" s="14">
        <v>445</v>
      </c>
      <c r="I282" s="15"/>
      <c r="J282" s="9">
        <v>1</v>
      </c>
      <c r="K282" s="16">
        <v>662.97</v>
      </c>
      <c r="L282" s="17"/>
      <c r="M282" s="15">
        <f>K282*L282</f>
        <v>0</v>
      </c>
      <c r="N282" s="18">
        <f>0.089*L282</f>
        <v>0</v>
      </c>
      <c r="O282" s="19">
        <f>0.00127*L282</f>
        <v>0</v>
      </c>
      <c r="P282" s="24" t="s">
        <v>26</v>
      </c>
      <c r="Q282" s="15" t="s">
        <v>807</v>
      </c>
      <c r="R282" s="15"/>
      <c r="S282" s="10" t="str">
        <f>HYPERLINK("https://miland.ru/api/getInfo/image/d497fa9b-f771-11f0-a28d-00155d82e908")</f>
        <v>https://miland.ru/api/getInfo/image/d497fa9b-f771-11f0-a28d-00155d82e908</v>
      </c>
    </row>
    <row r="283" spans="1:19" s="2" customFormat="1" ht="96.2" customHeight="1" outlineLevel="6">
      <c r="A283" s="9">
        <v>180</v>
      </c>
      <c r="B283" s="10" t="s">
        <v>808</v>
      </c>
      <c r="C283" s="65" t="s">
        <v>809</v>
      </c>
      <c r="D283" s="65"/>
      <c r="E283" s="65"/>
      <c r="F283" s="65"/>
      <c r="G283" s="11" t="s">
        <v>810</v>
      </c>
      <c r="H283" s="14">
        <v>425</v>
      </c>
      <c r="I283" s="15"/>
      <c r="J283" s="9">
        <v>1</v>
      </c>
      <c r="K283" s="16">
        <v>662.97</v>
      </c>
      <c r="L283" s="17"/>
      <c r="M283" s="15">
        <f>K283*L283</f>
        <v>0</v>
      </c>
      <c r="N283" s="18">
        <f>0.087*L283</f>
        <v>0</v>
      </c>
      <c r="O283" s="19">
        <f>0.00132*L283</f>
        <v>0</v>
      </c>
      <c r="P283" s="24" t="s">
        <v>26</v>
      </c>
      <c r="Q283" s="15" t="s">
        <v>811</v>
      </c>
      <c r="R283" s="15"/>
      <c r="S283" s="10" t="str">
        <f>HYPERLINK("https://miland.ru/api/getInfo/image/08d929b1-f771-11f0-a28d-00155d82e908")</f>
        <v>https://miland.ru/api/getInfo/image/08d929b1-f771-11f0-a28d-00155d82e908</v>
      </c>
    </row>
    <row r="284" spans="1:19" s="2" customFormat="1" ht="96.2" customHeight="1" outlineLevel="6">
      <c r="A284" s="9">
        <v>181</v>
      </c>
      <c r="B284" s="10" t="s">
        <v>812</v>
      </c>
      <c r="C284" s="65" t="s">
        <v>813</v>
      </c>
      <c r="D284" s="65"/>
      <c r="E284" s="65"/>
      <c r="F284" s="65"/>
      <c r="G284" s="11" t="s">
        <v>814</v>
      </c>
      <c r="H284" s="21" t="s">
        <v>44</v>
      </c>
      <c r="I284" s="15"/>
      <c r="J284" s="9">
        <v>1</v>
      </c>
      <c r="K284" s="16">
        <v>662.97</v>
      </c>
      <c r="L284" s="17"/>
      <c r="M284" s="15">
        <f>K284*L284</f>
        <v>0</v>
      </c>
      <c r="N284" s="18">
        <f>0.088*L284</f>
        <v>0</v>
      </c>
      <c r="O284" s="19">
        <f>0.00137*L284</f>
        <v>0</v>
      </c>
      <c r="P284" s="24" t="s">
        <v>26</v>
      </c>
      <c r="Q284" s="15" t="s">
        <v>815</v>
      </c>
      <c r="R284" s="15"/>
      <c r="S284" s="10" t="str">
        <f>HYPERLINK("https://miland.ru/api/getInfo/image/5eea0edb-f772-11f0-a28d-00155d82e908")</f>
        <v>https://miland.ru/api/getInfo/image/5eea0edb-f772-11f0-a28d-00155d82e908</v>
      </c>
    </row>
    <row r="285" spans="1:19" s="1" customFormat="1" ht="12" customHeight="1" outlineLevel="4">
      <c r="A285" s="64" t="s">
        <v>816</v>
      </c>
      <c r="B285" s="64"/>
      <c r="C285" s="64"/>
      <c r="D285" s="64"/>
      <c r="E285" s="64"/>
      <c r="F285" s="64"/>
      <c r="G285" s="8"/>
      <c r="H285" s="12"/>
      <c r="I285" s="2"/>
      <c r="J285" s="2"/>
      <c r="K285" s="13"/>
      <c r="L285" s="2"/>
      <c r="M285" s="2"/>
      <c r="N285" s="2"/>
      <c r="O285" s="2"/>
      <c r="P285" s="2"/>
      <c r="Q285" s="2"/>
      <c r="R285" s="2"/>
      <c r="S285" s="2"/>
    </row>
    <row r="286" spans="1:19" s="1" customFormat="1" ht="12" customHeight="1" outlineLevel="5">
      <c r="A286" s="64" t="s">
        <v>817</v>
      </c>
      <c r="B286" s="64"/>
      <c r="C286" s="64"/>
      <c r="D286" s="64"/>
      <c r="E286" s="64"/>
      <c r="F286" s="64"/>
      <c r="G286" s="8"/>
      <c r="H286" s="12"/>
      <c r="I286" s="2"/>
      <c r="J286" s="2"/>
      <c r="K286" s="13"/>
      <c r="L286" s="2"/>
      <c r="M286" s="2"/>
      <c r="N286" s="2"/>
      <c r="O286" s="2"/>
      <c r="P286" s="2"/>
      <c r="Q286" s="2"/>
      <c r="R286" s="2"/>
      <c r="S286" s="2"/>
    </row>
    <row r="287" spans="1:19" s="2" customFormat="1" ht="96.2" customHeight="1" outlineLevel="6">
      <c r="A287" s="9">
        <v>182</v>
      </c>
      <c r="B287" s="10" t="s">
        <v>818</v>
      </c>
      <c r="C287" s="65" t="s">
        <v>819</v>
      </c>
      <c r="D287" s="65"/>
      <c r="E287" s="65"/>
      <c r="F287" s="65"/>
      <c r="G287" s="11" t="s">
        <v>820</v>
      </c>
      <c r="H287" s="21" t="s">
        <v>44</v>
      </c>
      <c r="I287" s="15"/>
      <c r="J287" s="9">
        <v>1</v>
      </c>
      <c r="K287" s="22">
        <v>4221.3599999999997</v>
      </c>
      <c r="L287" s="17"/>
      <c r="M287" s="15">
        <f>K287*L287</f>
        <v>0</v>
      </c>
      <c r="N287" s="18">
        <f>0.375*L287</f>
        <v>0</v>
      </c>
      <c r="O287" s="19">
        <f>0.00393*L287</f>
        <v>0</v>
      </c>
      <c r="P287" s="24" t="s">
        <v>26</v>
      </c>
      <c r="Q287" s="15" t="s">
        <v>821</v>
      </c>
      <c r="R287" s="15"/>
      <c r="S287" s="10" t="str">
        <f>HYPERLINK("https://miland.ru/api/getInfo/image/b3d5a4e2-2825-11f1-a291-00155d82e908")</f>
        <v>https://miland.ru/api/getInfo/image/b3d5a4e2-2825-11f1-a291-00155d82e908</v>
      </c>
    </row>
    <row r="288" spans="1:19" s="1" customFormat="1" ht="12" customHeight="1" outlineLevel="3">
      <c r="A288" s="64" t="s">
        <v>822</v>
      </c>
      <c r="B288" s="64"/>
      <c r="C288" s="64"/>
      <c r="D288" s="64"/>
      <c r="E288" s="64"/>
      <c r="F288" s="64"/>
      <c r="G288" s="8"/>
      <c r="H288" s="12"/>
      <c r="I288" s="2"/>
      <c r="J288" s="2"/>
      <c r="K288" s="13"/>
      <c r="L288" s="2"/>
      <c r="M288" s="2"/>
      <c r="N288" s="2"/>
      <c r="O288" s="2"/>
      <c r="P288" s="2"/>
      <c r="Q288" s="2"/>
      <c r="R288" s="2"/>
      <c r="S288" s="2"/>
    </row>
    <row r="289" spans="1:19" s="1" customFormat="1" ht="12" customHeight="1" outlineLevel="4">
      <c r="A289" s="64" t="s">
        <v>612</v>
      </c>
      <c r="B289" s="64"/>
      <c r="C289" s="64"/>
      <c r="D289" s="64"/>
      <c r="E289" s="64"/>
      <c r="F289" s="64"/>
      <c r="G289" s="8"/>
      <c r="H289" s="12"/>
      <c r="I289" s="2"/>
      <c r="J289" s="2"/>
      <c r="K289" s="13"/>
      <c r="L289" s="2"/>
      <c r="M289" s="2"/>
      <c r="N289" s="2"/>
      <c r="O289" s="2"/>
      <c r="P289" s="2"/>
      <c r="Q289" s="2"/>
      <c r="R289" s="2"/>
      <c r="S289" s="2"/>
    </row>
    <row r="290" spans="1:19" s="1" customFormat="1" ht="12" customHeight="1" outlineLevel="5">
      <c r="A290" s="64" t="s">
        <v>613</v>
      </c>
      <c r="B290" s="64"/>
      <c r="C290" s="64"/>
      <c r="D290" s="64"/>
      <c r="E290" s="64"/>
      <c r="F290" s="64"/>
      <c r="G290" s="8"/>
      <c r="H290" s="12"/>
      <c r="I290" s="2"/>
      <c r="J290" s="2"/>
      <c r="K290" s="13"/>
      <c r="L290" s="2"/>
      <c r="M290" s="2"/>
      <c r="N290" s="2"/>
      <c r="O290" s="2"/>
      <c r="P290" s="2"/>
      <c r="Q290" s="2"/>
      <c r="R290" s="2"/>
      <c r="S290" s="2"/>
    </row>
    <row r="291" spans="1:19" s="2" customFormat="1" ht="96.2" customHeight="1" outlineLevel="6">
      <c r="A291" s="9">
        <v>183</v>
      </c>
      <c r="B291" s="10" t="s">
        <v>823</v>
      </c>
      <c r="C291" s="65" t="s">
        <v>824</v>
      </c>
      <c r="D291" s="65"/>
      <c r="E291" s="65"/>
      <c r="F291" s="65"/>
      <c r="G291" s="11" t="s">
        <v>825</v>
      </c>
      <c r="H291" s="14">
        <v>406</v>
      </c>
      <c r="I291" s="15"/>
      <c r="J291" s="9">
        <v>1</v>
      </c>
      <c r="K291" s="16">
        <v>586.66999999999996</v>
      </c>
      <c r="L291" s="17"/>
      <c r="M291" s="15">
        <f t="shared" ref="M291:M296" si="10">K291*L291</f>
        <v>0</v>
      </c>
      <c r="N291" s="18">
        <f>0.078*L291</f>
        <v>0</v>
      </c>
      <c r="O291" s="19">
        <f>0.00051*L291</f>
        <v>0</v>
      </c>
      <c r="P291" s="24" t="s">
        <v>26</v>
      </c>
      <c r="Q291" s="15" t="s">
        <v>826</v>
      </c>
      <c r="R291" s="15"/>
      <c r="S291" s="10" t="str">
        <f>HYPERLINK("https://miland.ru/api/getInfo/image/2faddc56-63e7-11f1-a296-00155d82e908")</f>
        <v>https://miland.ru/api/getInfo/image/2faddc56-63e7-11f1-a296-00155d82e908</v>
      </c>
    </row>
    <row r="292" spans="1:19" s="2" customFormat="1" ht="96.2" customHeight="1" outlineLevel="6">
      <c r="A292" s="9">
        <v>184</v>
      </c>
      <c r="B292" s="10" t="s">
        <v>827</v>
      </c>
      <c r="C292" s="65" t="s">
        <v>828</v>
      </c>
      <c r="D292" s="65"/>
      <c r="E292" s="65"/>
      <c r="F292" s="65"/>
      <c r="G292" s="11" t="s">
        <v>829</v>
      </c>
      <c r="H292" s="14">
        <v>114</v>
      </c>
      <c r="I292" s="15"/>
      <c r="J292" s="9">
        <v>1</v>
      </c>
      <c r="K292" s="16">
        <v>867.89</v>
      </c>
      <c r="L292" s="17"/>
      <c r="M292" s="15">
        <f t="shared" si="10"/>
        <v>0</v>
      </c>
      <c r="N292" s="23">
        <f>0.24*L292</f>
        <v>0</v>
      </c>
      <c r="O292" s="19">
        <f>0.00071*L292</f>
        <v>0</v>
      </c>
      <c r="P292" s="24" t="s">
        <v>26</v>
      </c>
      <c r="Q292" s="15" t="s">
        <v>830</v>
      </c>
      <c r="R292" s="15"/>
      <c r="S292" s="10" t="str">
        <f>HYPERLINK("https://miland.ru/api/getInfo/image/fe2373c5-63e7-11f1-a296-00155d82e908")</f>
        <v>https://miland.ru/api/getInfo/image/fe2373c5-63e7-11f1-a296-00155d82e908</v>
      </c>
    </row>
    <row r="293" spans="1:19" s="2" customFormat="1" ht="96.2" customHeight="1" outlineLevel="6">
      <c r="A293" s="9">
        <v>185</v>
      </c>
      <c r="B293" s="10" t="s">
        <v>831</v>
      </c>
      <c r="C293" s="65" t="s">
        <v>832</v>
      </c>
      <c r="D293" s="65"/>
      <c r="E293" s="65"/>
      <c r="F293" s="65"/>
      <c r="G293" s="11" t="s">
        <v>833</v>
      </c>
      <c r="H293" s="21" t="s">
        <v>44</v>
      </c>
      <c r="I293" s="15"/>
      <c r="J293" s="9">
        <v>7</v>
      </c>
      <c r="K293" s="16">
        <v>93.82</v>
      </c>
      <c r="L293" s="17"/>
      <c r="M293" s="15">
        <f t="shared" si="10"/>
        <v>0</v>
      </c>
      <c r="N293" s="18">
        <f>0.008*L293</f>
        <v>0</v>
      </c>
      <c r="O293" s="19">
        <f>0.00004*L293</f>
        <v>0</v>
      </c>
      <c r="P293" s="24" t="s">
        <v>26</v>
      </c>
      <c r="Q293" s="15" t="s">
        <v>834</v>
      </c>
      <c r="R293" s="15"/>
      <c r="S293" s="10" t="str">
        <f>HYPERLINK("https://miland.ru/api/getInfo/image/4da4f775-63e7-11f1-a296-00155d82e908")</f>
        <v>https://miland.ru/api/getInfo/image/4da4f775-63e7-11f1-a296-00155d82e908</v>
      </c>
    </row>
    <row r="294" spans="1:19" s="2" customFormat="1" ht="96.2" customHeight="1" outlineLevel="6">
      <c r="A294" s="9">
        <v>186</v>
      </c>
      <c r="B294" s="10" t="s">
        <v>835</v>
      </c>
      <c r="C294" s="65" t="s">
        <v>836</v>
      </c>
      <c r="D294" s="65"/>
      <c r="E294" s="65"/>
      <c r="F294" s="65"/>
      <c r="G294" s="11" t="s">
        <v>837</v>
      </c>
      <c r="H294" s="21" t="s">
        <v>44</v>
      </c>
      <c r="I294" s="15"/>
      <c r="J294" s="9">
        <v>7</v>
      </c>
      <c r="K294" s="16">
        <v>93.82</v>
      </c>
      <c r="L294" s="17"/>
      <c r="M294" s="15">
        <f t="shared" si="10"/>
        <v>0</v>
      </c>
      <c r="N294" s="18">
        <f>0.012*L294</f>
        <v>0</v>
      </c>
      <c r="O294" s="19">
        <f>0.00005*L294</f>
        <v>0</v>
      </c>
      <c r="P294" s="24" t="s">
        <v>26</v>
      </c>
      <c r="Q294" s="15" t="s">
        <v>838</v>
      </c>
      <c r="R294" s="15"/>
      <c r="S294" s="10" t="str">
        <f>HYPERLINK("https://miland.ru/api/getInfo/image/746254d8-63e7-11f1-a296-00155d82e908")</f>
        <v>https://miland.ru/api/getInfo/image/746254d8-63e7-11f1-a296-00155d82e908</v>
      </c>
    </row>
    <row r="295" spans="1:19" s="2" customFormat="1" ht="96.2" customHeight="1" outlineLevel="6">
      <c r="A295" s="9">
        <v>187</v>
      </c>
      <c r="B295" s="10" t="s">
        <v>839</v>
      </c>
      <c r="C295" s="65" t="s">
        <v>840</v>
      </c>
      <c r="D295" s="65"/>
      <c r="E295" s="65"/>
      <c r="F295" s="65"/>
      <c r="G295" s="11" t="s">
        <v>841</v>
      </c>
      <c r="H295" s="21" t="s">
        <v>44</v>
      </c>
      <c r="I295" s="15"/>
      <c r="J295" s="9">
        <v>7</v>
      </c>
      <c r="K295" s="16">
        <v>93.82</v>
      </c>
      <c r="L295" s="17"/>
      <c r="M295" s="15">
        <f t="shared" si="10"/>
        <v>0</v>
      </c>
      <c r="N295" s="23">
        <f>0.01*L295</f>
        <v>0</v>
      </c>
      <c r="O295" s="19">
        <f>0.00005*L295</f>
        <v>0</v>
      </c>
      <c r="P295" s="24" t="s">
        <v>26</v>
      </c>
      <c r="Q295" s="15" t="s">
        <v>842</v>
      </c>
      <c r="R295" s="15"/>
      <c r="S295" s="10" t="str">
        <f>HYPERLINK("https://miland.ru/api/getInfo/image/608a7e30-63e7-11f1-a296-00155d82e908")</f>
        <v>https://miland.ru/api/getInfo/image/608a7e30-63e7-11f1-a296-00155d82e908</v>
      </c>
    </row>
    <row r="296" spans="1:19" s="2" customFormat="1" ht="96.2" customHeight="1" outlineLevel="6">
      <c r="A296" s="9">
        <v>188</v>
      </c>
      <c r="B296" s="10" t="s">
        <v>843</v>
      </c>
      <c r="C296" s="65" t="s">
        <v>844</v>
      </c>
      <c r="D296" s="65"/>
      <c r="E296" s="65"/>
      <c r="F296" s="65"/>
      <c r="G296" s="11" t="s">
        <v>845</v>
      </c>
      <c r="H296" s="21" t="s">
        <v>44</v>
      </c>
      <c r="I296" s="15"/>
      <c r="J296" s="9">
        <v>7</v>
      </c>
      <c r="K296" s="16">
        <v>93.82</v>
      </c>
      <c r="L296" s="17"/>
      <c r="M296" s="15">
        <f t="shared" si="10"/>
        <v>0</v>
      </c>
      <c r="N296" s="18">
        <f>0.006*L296</f>
        <v>0</v>
      </c>
      <c r="O296" s="19">
        <f>0.00002*L296</f>
        <v>0</v>
      </c>
      <c r="P296" s="24" t="s">
        <v>26</v>
      </c>
      <c r="Q296" s="15" t="s">
        <v>846</v>
      </c>
      <c r="R296" s="15"/>
      <c r="S296" s="10" t="str">
        <f>HYPERLINK("https://miland.ru/api/getInfo/image/8ce31bed-63e7-11f1-a296-00155d82e908")</f>
        <v>https://miland.ru/api/getInfo/image/8ce31bed-63e7-11f1-a296-00155d82e908</v>
      </c>
    </row>
    <row r="297" spans="1:19" s="1" customFormat="1" ht="12" customHeight="1" outlineLevel="5">
      <c r="A297" s="64" t="s">
        <v>692</v>
      </c>
      <c r="B297" s="64"/>
      <c r="C297" s="64"/>
      <c r="D297" s="64"/>
      <c r="E297" s="64"/>
      <c r="F297" s="64"/>
      <c r="G297" s="8"/>
      <c r="H297" s="12"/>
      <c r="I297" s="2"/>
      <c r="J297" s="2"/>
      <c r="K297" s="13"/>
      <c r="L297" s="2"/>
      <c r="M297" s="2"/>
      <c r="N297" s="2"/>
      <c r="O297" s="2"/>
      <c r="P297" s="2"/>
      <c r="Q297" s="2"/>
      <c r="R297" s="2"/>
      <c r="S297" s="2"/>
    </row>
    <row r="298" spans="1:19" s="2" customFormat="1" ht="96.2" customHeight="1" outlineLevel="6">
      <c r="A298" s="9">
        <v>189</v>
      </c>
      <c r="B298" s="10" t="s">
        <v>847</v>
      </c>
      <c r="C298" s="65" t="s">
        <v>848</v>
      </c>
      <c r="D298" s="65"/>
      <c r="E298" s="65"/>
      <c r="F298" s="65"/>
      <c r="G298" s="11" t="s">
        <v>849</v>
      </c>
      <c r="H298" s="21" t="s">
        <v>44</v>
      </c>
      <c r="I298" s="15"/>
      <c r="J298" s="9">
        <v>1</v>
      </c>
      <c r="K298" s="16">
        <v>505.65</v>
      </c>
      <c r="L298" s="17"/>
      <c r="M298" s="15">
        <f>K298*L298</f>
        <v>0</v>
      </c>
      <c r="N298" s="18">
        <f>0.163*L298</f>
        <v>0</v>
      </c>
      <c r="O298" s="19">
        <f>0.00341*L298</f>
        <v>0</v>
      </c>
      <c r="P298" s="24" t="s">
        <v>26</v>
      </c>
      <c r="Q298" s="15" t="s">
        <v>850</v>
      </c>
      <c r="R298" s="15"/>
      <c r="S298" s="10" t="str">
        <f>HYPERLINK("https://miland.ru/api/getInfo/image/7a0b246f-4787-11f1-a294-00155d82e908")</f>
        <v>https://miland.ru/api/getInfo/image/7a0b246f-4787-11f1-a294-00155d82e908</v>
      </c>
    </row>
    <row r="299" spans="1:19" s="1" customFormat="1" ht="12" customHeight="1" outlineLevel="3">
      <c r="A299" s="64" t="s">
        <v>851</v>
      </c>
      <c r="B299" s="64"/>
      <c r="C299" s="64"/>
      <c r="D299" s="64"/>
      <c r="E299" s="64"/>
      <c r="F299" s="64"/>
      <c r="G299" s="8"/>
      <c r="H299" s="12"/>
      <c r="I299" s="2"/>
      <c r="J299" s="2"/>
      <c r="K299" s="13"/>
      <c r="L299" s="2"/>
      <c r="M299" s="2"/>
      <c r="N299" s="2"/>
      <c r="O299" s="2"/>
      <c r="P299" s="2"/>
      <c r="Q299" s="2"/>
      <c r="R299" s="2"/>
      <c r="S299" s="2"/>
    </row>
    <row r="300" spans="1:19" s="1" customFormat="1" ht="12" customHeight="1" outlineLevel="4">
      <c r="A300" s="64" t="s">
        <v>782</v>
      </c>
      <c r="B300" s="64"/>
      <c r="C300" s="64"/>
      <c r="D300" s="64"/>
      <c r="E300" s="64"/>
      <c r="F300" s="64"/>
      <c r="G300" s="8"/>
      <c r="H300" s="12"/>
      <c r="I300" s="2"/>
      <c r="J300" s="2"/>
      <c r="K300" s="13"/>
      <c r="L300" s="2"/>
      <c r="M300" s="2"/>
      <c r="N300" s="2"/>
      <c r="O300" s="2"/>
      <c r="P300" s="2"/>
      <c r="Q300" s="2"/>
      <c r="R300" s="2"/>
      <c r="S300" s="2"/>
    </row>
    <row r="301" spans="1:19" s="2" customFormat="1" ht="96.2" customHeight="1" outlineLevel="5">
      <c r="A301" s="9">
        <v>190</v>
      </c>
      <c r="B301" s="10" t="s">
        <v>852</v>
      </c>
      <c r="C301" s="65" t="s">
        <v>853</v>
      </c>
      <c r="D301" s="65"/>
      <c r="E301" s="65"/>
      <c r="F301" s="65"/>
      <c r="G301" s="11" t="s">
        <v>854</v>
      </c>
      <c r="H301" s="21" t="s">
        <v>44</v>
      </c>
      <c r="I301" s="15"/>
      <c r="J301" s="9">
        <v>2</v>
      </c>
      <c r="K301" s="16">
        <v>263.55</v>
      </c>
      <c r="L301" s="17"/>
      <c r="M301" s="15">
        <f>K301*L301</f>
        <v>0</v>
      </c>
      <c r="N301" s="18">
        <f>0.237*L301</f>
        <v>0</v>
      </c>
      <c r="O301" s="19">
        <f>0.00054*L301</f>
        <v>0</v>
      </c>
      <c r="P301" s="24" t="s">
        <v>26</v>
      </c>
      <c r="Q301" s="15" t="s">
        <v>855</v>
      </c>
      <c r="R301" s="15"/>
      <c r="S301" s="10" t="str">
        <f>HYPERLINK("https://miland.ru/api/getInfo/image/de356686-4dce-11f1-a297-00155d82e908")</f>
        <v>https://miland.ru/api/getInfo/image/de356686-4dce-11f1-a297-00155d82e908</v>
      </c>
    </row>
    <row r="302" spans="1:19" s="1" customFormat="1" ht="12" customHeight="1" outlineLevel="4">
      <c r="A302" s="64" t="s">
        <v>612</v>
      </c>
      <c r="B302" s="64"/>
      <c r="C302" s="64"/>
      <c r="D302" s="64"/>
      <c r="E302" s="64"/>
      <c r="F302" s="64"/>
      <c r="G302" s="8"/>
      <c r="H302" s="12"/>
      <c r="I302" s="2"/>
      <c r="J302" s="2"/>
      <c r="K302" s="13"/>
      <c r="L302" s="2"/>
      <c r="M302" s="2"/>
      <c r="N302" s="2"/>
      <c r="O302" s="2"/>
      <c r="P302" s="2"/>
      <c r="Q302" s="2"/>
      <c r="R302" s="2"/>
      <c r="S302" s="2"/>
    </row>
    <row r="303" spans="1:19" s="1" customFormat="1" ht="12" customHeight="1" outlineLevel="5">
      <c r="A303" s="64" t="s">
        <v>613</v>
      </c>
      <c r="B303" s="64"/>
      <c r="C303" s="64"/>
      <c r="D303" s="64"/>
      <c r="E303" s="64"/>
      <c r="F303" s="64"/>
      <c r="G303" s="8"/>
      <c r="H303" s="12"/>
      <c r="I303" s="2"/>
      <c r="J303" s="2"/>
      <c r="K303" s="13"/>
      <c r="L303" s="2"/>
      <c r="M303" s="2"/>
      <c r="N303" s="2"/>
      <c r="O303" s="2"/>
      <c r="P303" s="2"/>
      <c r="Q303" s="2"/>
      <c r="R303" s="2"/>
      <c r="S303" s="2"/>
    </row>
    <row r="304" spans="1:19" s="1" customFormat="1" ht="12" customHeight="1" outlineLevel="6">
      <c r="A304" s="64" t="s">
        <v>692</v>
      </c>
      <c r="B304" s="64"/>
      <c r="C304" s="64"/>
      <c r="D304" s="64"/>
      <c r="E304" s="64"/>
      <c r="F304" s="64"/>
      <c r="G304" s="8"/>
      <c r="H304" s="12"/>
      <c r="I304" s="2"/>
      <c r="J304" s="2"/>
      <c r="K304" s="13"/>
      <c r="L304" s="2"/>
      <c r="M304" s="2"/>
      <c r="N304" s="2"/>
      <c r="O304" s="2"/>
      <c r="P304" s="2"/>
      <c r="Q304" s="2"/>
      <c r="R304" s="2"/>
      <c r="S304" s="2"/>
    </row>
    <row r="305" spans="1:19" s="2" customFormat="1" ht="96.2" customHeight="1" outlineLevel="7">
      <c r="A305" s="9">
        <v>191</v>
      </c>
      <c r="B305" s="10" t="s">
        <v>856</v>
      </c>
      <c r="C305" s="65" t="s">
        <v>857</v>
      </c>
      <c r="D305" s="65"/>
      <c r="E305" s="65"/>
      <c r="F305" s="65"/>
      <c r="G305" s="11" t="s">
        <v>858</v>
      </c>
      <c r="H305" s="21" t="s">
        <v>44</v>
      </c>
      <c r="I305" s="15"/>
      <c r="J305" s="9">
        <v>1</v>
      </c>
      <c r="K305" s="16">
        <v>505.65</v>
      </c>
      <c r="L305" s="17"/>
      <c r="M305" s="15">
        <f>K305*L305</f>
        <v>0</v>
      </c>
      <c r="N305" s="18">
        <f>0.182*L305</f>
        <v>0</v>
      </c>
      <c r="O305" s="20">
        <f>0.0034*L305</f>
        <v>0</v>
      </c>
      <c r="P305" s="24" t="s">
        <v>26</v>
      </c>
      <c r="Q305" s="15" t="s">
        <v>859</v>
      </c>
      <c r="R305" s="15"/>
      <c r="S305" s="10" t="str">
        <f>HYPERLINK("https://miland.ru/api/getInfo/image/21fe1760-5d92-11f1-a295-00155d82e908")</f>
        <v>https://miland.ru/api/getInfo/image/21fe1760-5d92-11f1-a295-00155d82e908</v>
      </c>
    </row>
    <row r="306" spans="1:19" s="1" customFormat="1" ht="12" customHeight="1" outlineLevel="6">
      <c r="A306" s="64" t="s">
        <v>860</v>
      </c>
      <c r="B306" s="64"/>
      <c r="C306" s="64"/>
      <c r="D306" s="64"/>
      <c r="E306" s="64"/>
      <c r="F306" s="64"/>
      <c r="G306" s="8"/>
      <c r="H306" s="12"/>
      <c r="I306" s="2"/>
      <c r="J306" s="2"/>
      <c r="K306" s="13"/>
      <c r="L306" s="2"/>
      <c r="M306" s="2"/>
      <c r="N306" s="2"/>
      <c r="O306" s="2"/>
      <c r="P306" s="2"/>
      <c r="Q306" s="2"/>
      <c r="R306" s="2"/>
      <c r="S306" s="2"/>
    </row>
    <row r="307" spans="1:19" s="2" customFormat="1" ht="96.2" customHeight="1" outlineLevel="7">
      <c r="A307" s="9">
        <v>192</v>
      </c>
      <c r="B307" s="10" t="s">
        <v>861</v>
      </c>
      <c r="C307" s="65" t="s">
        <v>862</v>
      </c>
      <c r="D307" s="65"/>
      <c r="E307" s="65"/>
      <c r="F307" s="65"/>
      <c r="G307" s="11" t="s">
        <v>863</v>
      </c>
      <c r="H307" s="14">
        <v>287</v>
      </c>
      <c r="I307" s="15"/>
      <c r="J307" s="9">
        <v>1</v>
      </c>
      <c r="K307" s="16">
        <v>586.66999999999996</v>
      </c>
      <c r="L307" s="17"/>
      <c r="M307" s="15">
        <f t="shared" ref="M307:M313" si="11">K307*L307</f>
        <v>0</v>
      </c>
      <c r="N307" s="18">
        <f>0.076*L307</f>
        <v>0</v>
      </c>
      <c r="O307" s="19">
        <f>0.00052*L307</f>
        <v>0</v>
      </c>
      <c r="P307" s="24" t="s">
        <v>26</v>
      </c>
      <c r="Q307" s="15" t="s">
        <v>864</v>
      </c>
      <c r="R307" s="15"/>
      <c r="S307" s="10" t="str">
        <f>HYPERLINK("https://miland.ru/api/getInfo/image/964ffe61-5e53-11f1-a295-00155d82e908")</f>
        <v>https://miland.ru/api/getInfo/image/964ffe61-5e53-11f1-a295-00155d82e908</v>
      </c>
    </row>
    <row r="308" spans="1:19" s="2" customFormat="1" ht="96.2" customHeight="1" outlineLevel="7">
      <c r="A308" s="9">
        <v>193</v>
      </c>
      <c r="B308" s="10" t="s">
        <v>865</v>
      </c>
      <c r="C308" s="65" t="s">
        <v>866</v>
      </c>
      <c r="D308" s="65"/>
      <c r="E308" s="65"/>
      <c r="F308" s="65"/>
      <c r="G308" s="11" t="s">
        <v>867</v>
      </c>
      <c r="H308" s="14">
        <v>453</v>
      </c>
      <c r="I308" s="15"/>
      <c r="J308" s="9">
        <v>7</v>
      </c>
      <c r="K308" s="16">
        <v>93.82</v>
      </c>
      <c r="L308" s="17"/>
      <c r="M308" s="15">
        <f t="shared" si="11"/>
        <v>0</v>
      </c>
      <c r="N308" s="18">
        <f>0.005*L308</f>
        <v>0</v>
      </c>
      <c r="O308" s="19">
        <f>0.00004*L308</f>
        <v>0</v>
      </c>
      <c r="P308" s="24" t="s">
        <v>26</v>
      </c>
      <c r="Q308" s="15" t="s">
        <v>868</v>
      </c>
      <c r="R308" s="15"/>
      <c r="S308" s="10" t="str">
        <f>HYPERLINK("https://miland.ru/api/getInfo/image/60408469-5e54-11f1-a295-00155d82e908")</f>
        <v>https://miland.ru/api/getInfo/image/60408469-5e54-11f1-a295-00155d82e908</v>
      </c>
    </row>
    <row r="309" spans="1:19" s="2" customFormat="1" ht="96.2" customHeight="1" outlineLevel="7">
      <c r="A309" s="9">
        <v>194</v>
      </c>
      <c r="B309" s="10" t="s">
        <v>869</v>
      </c>
      <c r="C309" s="65" t="s">
        <v>870</v>
      </c>
      <c r="D309" s="65"/>
      <c r="E309" s="65"/>
      <c r="F309" s="65"/>
      <c r="G309" s="11" t="s">
        <v>871</v>
      </c>
      <c r="H309" s="21" t="s">
        <v>44</v>
      </c>
      <c r="I309" s="15"/>
      <c r="J309" s="9">
        <v>7</v>
      </c>
      <c r="K309" s="16">
        <v>93.82</v>
      </c>
      <c r="L309" s="17"/>
      <c r="M309" s="15">
        <f t="shared" si="11"/>
        <v>0</v>
      </c>
      <c r="N309" s="23">
        <f>0.01*L309</f>
        <v>0</v>
      </c>
      <c r="O309" s="19">
        <f>0.00003*L309</f>
        <v>0</v>
      </c>
      <c r="P309" s="24" t="s">
        <v>26</v>
      </c>
      <c r="Q309" s="15" t="s">
        <v>872</v>
      </c>
      <c r="R309" s="15"/>
      <c r="S309" s="10" t="str">
        <f>HYPERLINK("https://miland.ru/api/getInfo/image/1ddc9a1f-5e54-11f1-a295-00155d82e908")</f>
        <v>https://miland.ru/api/getInfo/image/1ddc9a1f-5e54-11f1-a295-00155d82e908</v>
      </c>
    </row>
    <row r="310" spans="1:19" s="2" customFormat="1" ht="96.2" customHeight="1" outlineLevel="7">
      <c r="A310" s="9">
        <v>195</v>
      </c>
      <c r="B310" s="10" t="s">
        <v>873</v>
      </c>
      <c r="C310" s="65" t="s">
        <v>874</v>
      </c>
      <c r="D310" s="65"/>
      <c r="E310" s="65"/>
      <c r="F310" s="65"/>
      <c r="G310" s="11" t="s">
        <v>875</v>
      </c>
      <c r="H310" s="14">
        <v>483</v>
      </c>
      <c r="I310" s="15"/>
      <c r="J310" s="9">
        <v>7</v>
      </c>
      <c r="K310" s="16">
        <v>93.82</v>
      </c>
      <c r="L310" s="17"/>
      <c r="M310" s="15">
        <f t="shared" si="11"/>
        <v>0</v>
      </c>
      <c r="N310" s="18">
        <f>0.008*L310</f>
        <v>0</v>
      </c>
      <c r="O310" s="19">
        <f>0.00003*L310</f>
        <v>0</v>
      </c>
      <c r="P310" s="24" t="s">
        <v>26</v>
      </c>
      <c r="Q310" s="15" t="s">
        <v>876</v>
      </c>
      <c r="R310" s="15"/>
      <c r="S310" s="10" t="str">
        <f>HYPERLINK("https://miland.ru/api/getInfo/image/407bef92-5e54-11f1-a295-00155d82e908")</f>
        <v>https://miland.ru/api/getInfo/image/407bef92-5e54-11f1-a295-00155d82e908</v>
      </c>
    </row>
    <row r="311" spans="1:19" s="2" customFormat="1" ht="96.2" customHeight="1" outlineLevel="7">
      <c r="A311" s="9">
        <v>196</v>
      </c>
      <c r="B311" s="10" t="s">
        <v>877</v>
      </c>
      <c r="C311" s="65" t="s">
        <v>878</v>
      </c>
      <c r="D311" s="65"/>
      <c r="E311" s="65"/>
      <c r="F311" s="65"/>
      <c r="G311" s="11" t="s">
        <v>879</v>
      </c>
      <c r="H311" s="14">
        <v>464</v>
      </c>
      <c r="I311" s="15"/>
      <c r="J311" s="9">
        <v>7</v>
      </c>
      <c r="K311" s="16">
        <v>93.82</v>
      </c>
      <c r="L311" s="17"/>
      <c r="M311" s="15">
        <f t="shared" si="11"/>
        <v>0</v>
      </c>
      <c r="N311" s="18">
        <f>0.011*L311</f>
        <v>0</v>
      </c>
      <c r="O311" s="19">
        <f>0.00003*L311</f>
        <v>0</v>
      </c>
      <c r="P311" s="24" t="s">
        <v>26</v>
      </c>
      <c r="Q311" s="15" t="s">
        <v>880</v>
      </c>
      <c r="R311" s="15"/>
      <c r="S311" s="10" t="str">
        <f>HYPERLINK("https://miland.ru/api/getInfo/image/2fe11680-5e54-11f1-a295-00155d82e908")</f>
        <v>https://miland.ru/api/getInfo/image/2fe11680-5e54-11f1-a295-00155d82e908</v>
      </c>
    </row>
    <row r="312" spans="1:19" s="2" customFormat="1" ht="96.2" customHeight="1" outlineLevel="7">
      <c r="A312" s="9">
        <v>197</v>
      </c>
      <c r="B312" s="10" t="s">
        <v>881</v>
      </c>
      <c r="C312" s="65" t="s">
        <v>882</v>
      </c>
      <c r="D312" s="65"/>
      <c r="E312" s="65"/>
      <c r="F312" s="65"/>
      <c r="G312" s="11" t="s">
        <v>883</v>
      </c>
      <c r="H312" s="21" t="s">
        <v>44</v>
      </c>
      <c r="I312" s="15"/>
      <c r="J312" s="9">
        <v>7</v>
      </c>
      <c r="K312" s="16">
        <v>93.82</v>
      </c>
      <c r="L312" s="17"/>
      <c r="M312" s="15">
        <f t="shared" si="11"/>
        <v>0</v>
      </c>
      <c r="N312" s="23">
        <f>0.01*L312</f>
        <v>0</v>
      </c>
      <c r="O312" s="19">
        <f>0.00003*L312</f>
        <v>0</v>
      </c>
      <c r="P312" s="24" t="s">
        <v>26</v>
      </c>
      <c r="Q312" s="15" t="s">
        <v>884</v>
      </c>
      <c r="R312" s="15"/>
      <c r="S312" s="10" t="str">
        <f>HYPERLINK("https://miland.ru/api/getInfo/image/f33ebbcf-5e53-11f1-a295-00155d82e908")</f>
        <v>https://miland.ru/api/getInfo/image/f33ebbcf-5e53-11f1-a295-00155d82e908</v>
      </c>
    </row>
    <row r="313" spans="1:19" s="2" customFormat="1" ht="96.2" customHeight="1" outlineLevel="7">
      <c r="A313" s="9">
        <v>198</v>
      </c>
      <c r="B313" s="10" t="s">
        <v>885</v>
      </c>
      <c r="C313" s="65" t="s">
        <v>886</v>
      </c>
      <c r="D313" s="65"/>
      <c r="E313" s="65"/>
      <c r="F313" s="65"/>
      <c r="G313" s="11" t="s">
        <v>887</v>
      </c>
      <c r="H313" s="21" t="s">
        <v>44</v>
      </c>
      <c r="I313" s="15"/>
      <c r="J313" s="9">
        <v>7</v>
      </c>
      <c r="K313" s="16">
        <v>93.82</v>
      </c>
      <c r="L313" s="17"/>
      <c r="M313" s="15">
        <f t="shared" si="11"/>
        <v>0</v>
      </c>
      <c r="N313" s="23">
        <f>0.01*L313</f>
        <v>0</v>
      </c>
      <c r="O313" s="19">
        <f>0.00004*L313</f>
        <v>0</v>
      </c>
      <c r="P313" s="24" t="s">
        <v>26</v>
      </c>
      <c r="Q313" s="15" t="s">
        <v>888</v>
      </c>
      <c r="R313" s="15"/>
      <c r="S313" s="10" t="str">
        <f>HYPERLINK("https://miland.ru/api/getInfo/image/4aebc905-5e54-11f1-a295-00155d82e908")</f>
        <v>https://miland.ru/api/getInfo/image/4aebc905-5e54-11f1-a295-00155d82e908</v>
      </c>
    </row>
    <row r="314" spans="1:19" s="1" customFormat="1" ht="12" customHeight="1" outlineLevel="6">
      <c r="A314" s="64" t="s">
        <v>889</v>
      </c>
      <c r="B314" s="64"/>
      <c r="C314" s="64"/>
      <c r="D314" s="64"/>
      <c r="E314" s="64"/>
      <c r="F314" s="64"/>
      <c r="G314" s="8"/>
      <c r="H314" s="12"/>
      <c r="I314" s="2"/>
      <c r="J314" s="2"/>
      <c r="K314" s="13"/>
      <c r="L314" s="2"/>
      <c r="M314" s="2"/>
      <c r="N314" s="2"/>
      <c r="O314" s="2"/>
      <c r="P314" s="2"/>
      <c r="Q314" s="2"/>
      <c r="R314" s="2"/>
      <c r="S314" s="2"/>
    </row>
    <row r="315" spans="1:19" s="2" customFormat="1" ht="96.2" customHeight="1" outlineLevel="7">
      <c r="A315" s="9">
        <v>199</v>
      </c>
      <c r="B315" s="10" t="s">
        <v>890</v>
      </c>
      <c r="C315" s="65" t="s">
        <v>891</v>
      </c>
      <c r="D315" s="65"/>
      <c r="E315" s="65"/>
      <c r="F315" s="65"/>
      <c r="G315" s="11" t="s">
        <v>892</v>
      </c>
      <c r="H315" s="21" t="s">
        <v>44</v>
      </c>
      <c r="I315" s="15"/>
      <c r="J315" s="9">
        <v>1</v>
      </c>
      <c r="K315" s="16">
        <v>867.89</v>
      </c>
      <c r="L315" s="17"/>
      <c r="M315" s="15">
        <f>K315*L315</f>
        <v>0</v>
      </c>
      <c r="N315" s="18">
        <f>0.254*L315</f>
        <v>0</v>
      </c>
      <c r="O315" s="19">
        <f>0.00075*L315</f>
        <v>0</v>
      </c>
      <c r="P315" s="24" t="s">
        <v>26</v>
      </c>
      <c r="Q315" s="15" t="s">
        <v>893</v>
      </c>
      <c r="R315" s="15"/>
      <c r="S315" s="10" t="str">
        <f>HYPERLINK("https://miland.ru/api/getInfo/image/d7db97d9-54f5-11f1-a295-00155d82e908")</f>
        <v>https://miland.ru/api/getInfo/image/d7db97d9-54f5-11f1-a295-00155d82e908</v>
      </c>
    </row>
    <row r="316" spans="1:19" s="1" customFormat="1" ht="12" customHeight="1" outlineLevel="3">
      <c r="A316" s="64" t="s">
        <v>894</v>
      </c>
      <c r="B316" s="64"/>
      <c r="C316" s="64"/>
      <c r="D316" s="64"/>
      <c r="E316" s="64"/>
      <c r="F316" s="64"/>
      <c r="G316" s="8"/>
      <c r="H316" s="12"/>
      <c r="I316" s="2"/>
      <c r="J316" s="2"/>
      <c r="K316" s="13"/>
      <c r="L316" s="2"/>
      <c r="M316" s="2"/>
      <c r="N316" s="2"/>
      <c r="O316" s="2"/>
      <c r="P316" s="2"/>
      <c r="Q316" s="2"/>
      <c r="R316" s="2"/>
      <c r="S316" s="2"/>
    </row>
    <row r="317" spans="1:19" s="1" customFormat="1" ht="12" customHeight="1" outlineLevel="4">
      <c r="A317" s="64" t="s">
        <v>782</v>
      </c>
      <c r="B317" s="64"/>
      <c r="C317" s="64"/>
      <c r="D317" s="64"/>
      <c r="E317" s="64"/>
      <c r="F317" s="64"/>
      <c r="G317" s="8"/>
      <c r="H317" s="12"/>
      <c r="I317" s="2"/>
      <c r="J317" s="2"/>
      <c r="K317" s="13"/>
      <c r="L317" s="2"/>
      <c r="M317" s="2"/>
      <c r="N317" s="2"/>
      <c r="O317" s="2"/>
      <c r="P317" s="2"/>
      <c r="Q317" s="2"/>
      <c r="R317" s="2"/>
      <c r="S317" s="2"/>
    </row>
    <row r="318" spans="1:19" s="2" customFormat="1" ht="96.2" customHeight="1" outlineLevel="5">
      <c r="A318" s="9">
        <v>200</v>
      </c>
      <c r="B318" s="10" t="s">
        <v>895</v>
      </c>
      <c r="C318" s="65" t="s">
        <v>896</v>
      </c>
      <c r="D318" s="65"/>
      <c r="E318" s="65"/>
      <c r="F318" s="65"/>
      <c r="G318" s="11" t="s">
        <v>897</v>
      </c>
      <c r="H318" s="21" t="s">
        <v>44</v>
      </c>
      <c r="I318" s="15"/>
      <c r="J318" s="9">
        <v>2</v>
      </c>
      <c r="K318" s="16">
        <v>263.55</v>
      </c>
      <c r="L318" s="17"/>
      <c r="M318" s="15">
        <f>K318*L318</f>
        <v>0</v>
      </c>
      <c r="N318" s="18">
        <f>0.237*L318</f>
        <v>0</v>
      </c>
      <c r="O318" s="19">
        <f>0.00054*L318</f>
        <v>0</v>
      </c>
      <c r="P318" s="24" t="s">
        <v>26</v>
      </c>
      <c r="Q318" s="15" t="s">
        <v>898</v>
      </c>
      <c r="R318" s="15"/>
      <c r="S318" s="10" t="str">
        <f>HYPERLINK("https://miland.ru/api/getInfo/image/ad457bf5-5d80-11f1-a295-00155d82e908")</f>
        <v>https://miland.ru/api/getInfo/image/ad457bf5-5d80-11f1-a295-00155d82e908</v>
      </c>
    </row>
    <row r="319" spans="1:19" s="1" customFormat="1" ht="12" customHeight="1" outlineLevel="4">
      <c r="A319" s="64" t="s">
        <v>612</v>
      </c>
      <c r="B319" s="64"/>
      <c r="C319" s="64"/>
      <c r="D319" s="64"/>
      <c r="E319" s="64"/>
      <c r="F319" s="64"/>
      <c r="G319" s="8"/>
      <c r="H319" s="12"/>
      <c r="I319" s="2"/>
      <c r="J319" s="2"/>
      <c r="K319" s="13"/>
      <c r="L319" s="2"/>
      <c r="M319" s="2"/>
      <c r="N319" s="2"/>
      <c r="O319" s="2"/>
      <c r="P319" s="2"/>
      <c r="Q319" s="2"/>
      <c r="R319" s="2"/>
      <c r="S319" s="2"/>
    </row>
    <row r="320" spans="1:19" s="1" customFormat="1" ht="12" customHeight="1" outlineLevel="5">
      <c r="A320" s="64" t="s">
        <v>613</v>
      </c>
      <c r="B320" s="64"/>
      <c r="C320" s="64"/>
      <c r="D320" s="64"/>
      <c r="E320" s="64"/>
      <c r="F320" s="64"/>
      <c r="G320" s="8"/>
      <c r="H320" s="12"/>
      <c r="I320" s="2"/>
      <c r="J320" s="2"/>
      <c r="K320" s="13"/>
      <c r="L320" s="2"/>
      <c r="M320" s="2"/>
      <c r="N320" s="2"/>
      <c r="O320" s="2"/>
      <c r="P320" s="2"/>
      <c r="Q320" s="2"/>
      <c r="R320" s="2"/>
      <c r="S320" s="2"/>
    </row>
    <row r="321" spans="1:19" s="2" customFormat="1" ht="96.2" customHeight="1" outlineLevel="6">
      <c r="A321" s="9">
        <v>201</v>
      </c>
      <c r="B321" s="10" t="s">
        <v>899</v>
      </c>
      <c r="C321" s="65" t="s">
        <v>900</v>
      </c>
      <c r="D321" s="65"/>
      <c r="E321" s="65"/>
      <c r="F321" s="65"/>
      <c r="G321" s="11" t="s">
        <v>901</v>
      </c>
      <c r="H321" s="21" t="s">
        <v>44</v>
      </c>
      <c r="I321" s="15"/>
      <c r="J321" s="9">
        <v>1</v>
      </c>
      <c r="K321" s="16">
        <v>586.66999999999996</v>
      </c>
      <c r="L321" s="17"/>
      <c r="M321" s="15">
        <f t="shared" ref="M321:M328" si="12">K321*L321</f>
        <v>0</v>
      </c>
      <c r="N321" s="23">
        <f>0.08*L321</f>
        <v>0</v>
      </c>
      <c r="O321" s="19">
        <f>0.00052*L321</f>
        <v>0</v>
      </c>
      <c r="P321" s="24" t="s">
        <v>26</v>
      </c>
      <c r="Q321" s="15" t="s">
        <v>902</v>
      </c>
      <c r="R321" s="15"/>
      <c r="S321" s="10" t="str">
        <f>HYPERLINK("https://miland.ru/api/getInfo/image/9cc4f74c-63e5-11f1-a296-00155d82e908")</f>
        <v>https://miland.ru/api/getInfo/image/9cc4f74c-63e5-11f1-a296-00155d82e908</v>
      </c>
    </row>
    <row r="322" spans="1:19" s="2" customFormat="1" ht="96.2" customHeight="1" outlineLevel="6">
      <c r="A322" s="9">
        <v>202</v>
      </c>
      <c r="B322" s="10" t="s">
        <v>903</v>
      </c>
      <c r="C322" s="65" t="s">
        <v>904</v>
      </c>
      <c r="D322" s="65"/>
      <c r="E322" s="65"/>
      <c r="F322" s="65"/>
      <c r="G322" s="11" t="s">
        <v>905</v>
      </c>
      <c r="H322" s="14">
        <v>355</v>
      </c>
      <c r="I322" s="15"/>
      <c r="J322" s="9">
        <v>1</v>
      </c>
      <c r="K322" s="16">
        <v>867.89</v>
      </c>
      <c r="L322" s="17"/>
      <c r="M322" s="15">
        <f t="shared" si="12"/>
        <v>0</v>
      </c>
      <c r="N322" s="18">
        <f>0.238*L322</f>
        <v>0</v>
      </c>
      <c r="O322" s="19">
        <f>0.00079*L322</f>
        <v>0</v>
      </c>
      <c r="P322" s="24" t="s">
        <v>26</v>
      </c>
      <c r="Q322" s="15" t="s">
        <v>906</v>
      </c>
      <c r="R322" s="15"/>
      <c r="S322" s="10" t="str">
        <f>HYPERLINK("https://miland.ru/api/getInfo/image/c658ad8c-63e7-11f1-a296-00155d82e908")</f>
        <v>https://miland.ru/api/getInfo/image/c658ad8c-63e7-11f1-a296-00155d82e908</v>
      </c>
    </row>
    <row r="323" spans="1:19" s="2" customFormat="1" ht="96.2" customHeight="1" outlineLevel="6">
      <c r="A323" s="9">
        <v>203</v>
      </c>
      <c r="B323" s="10" t="s">
        <v>907</v>
      </c>
      <c r="C323" s="65" t="s">
        <v>908</v>
      </c>
      <c r="D323" s="65"/>
      <c r="E323" s="65"/>
      <c r="F323" s="65"/>
      <c r="G323" s="11" t="s">
        <v>909</v>
      </c>
      <c r="H323" s="21" t="s">
        <v>44</v>
      </c>
      <c r="I323" s="15"/>
      <c r="J323" s="9">
        <v>7</v>
      </c>
      <c r="K323" s="16">
        <v>93.82</v>
      </c>
      <c r="L323" s="17"/>
      <c r="M323" s="15">
        <f t="shared" si="12"/>
        <v>0</v>
      </c>
      <c r="N323" s="23">
        <f>0.01*L323</f>
        <v>0</v>
      </c>
      <c r="O323" s="19">
        <f>0.00004*L323</f>
        <v>0</v>
      </c>
      <c r="P323" s="24" t="s">
        <v>26</v>
      </c>
      <c r="Q323" s="15" t="s">
        <v>910</v>
      </c>
      <c r="R323" s="15"/>
      <c r="S323" s="10" t="str">
        <f>HYPERLINK("https://miland.ru/api/getInfo/image/02a882a1-63e7-11f1-a296-00155d82e908")</f>
        <v>https://miland.ru/api/getInfo/image/02a882a1-63e7-11f1-a296-00155d82e908</v>
      </c>
    </row>
    <row r="324" spans="1:19" s="2" customFormat="1" ht="96.2" customHeight="1" outlineLevel="6">
      <c r="A324" s="9">
        <v>204</v>
      </c>
      <c r="B324" s="10" t="s">
        <v>911</v>
      </c>
      <c r="C324" s="65" t="s">
        <v>912</v>
      </c>
      <c r="D324" s="65"/>
      <c r="E324" s="65"/>
      <c r="F324" s="65"/>
      <c r="G324" s="11" t="s">
        <v>913</v>
      </c>
      <c r="H324" s="21" t="s">
        <v>44</v>
      </c>
      <c r="I324" s="15"/>
      <c r="J324" s="9">
        <v>7</v>
      </c>
      <c r="K324" s="16">
        <v>93.82</v>
      </c>
      <c r="L324" s="17"/>
      <c r="M324" s="15">
        <f t="shared" si="12"/>
        <v>0</v>
      </c>
      <c r="N324" s="23">
        <f>0.01*L324</f>
        <v>0</v>
      </c>
      <c r="O324" s="19">
        <f>0.00003*L324</f>
        <v>0</v>
      </c>
      <c r="P324" s="24" t="s">
        <v>26</v>
      </c>
      <c r="Q324" s="15" t="s">
        <v>914</v>
      </c>
      <c r="R324" s="15"/>
      <c r="S324" s="10" t="str">
        <f>HYPERLINK("https://miland.ru/api/getInfo/image/dbe2d718-63e6-11f1-a296-00155d82e908")</f>
        <v>https://miland.ru/api/getInfo/image/dbe2d718-63e6-11f1-a296-00155d82e908</v>
      </c>
    </row>
    <row r="325" spans="1:19" s="2" customFormat="1" ht="96.2" customHeight="1" outlineLevel="6">
      <c r="A325" s="9">
        <v>205</v>
      </c>
      <c r="B325" s="10" t="s">
        <v>915</v>
      </c>
      <c r="C325" s="65" t="s">
        <v>916</v>
      </c>
      <c r="D325" s="65"/>
      <c r="E325" s="65"/>
      <c r="F325" s="65"/>
      <c r="G325" s="11" t="s">
        <v>917</v>
      </c>
      <c r="H325" s="21" t="s">
        <v>44</v>
      </c>
      <c r="I325" s="15"/>
      <c r="J325" s="9">
        <v>7</v>
      </c>
      <c r="K325" s="16">
        <v>93.82</v>
      </c>
      <c r="L325" s="17"/>
      <c r="M325" s="15">
        <f t="shared" si="12"/>
        <v>0</v>
      </c>
      <c r="N325" s="18">
        <f>0.006*L325</f>
        <v>0</v>
      </c>
      <c r="O325" s="19">
        <f>0.00003*L325</f>
        <v>0</v>
      </c>
      <c r="P325" s="24" t="s">
        <v>26</v>
      </c>
      <c r="Q325" s="15" t="s">
        <v>918</v>
      </c>
      <c r="R325" s="15"/>
      <c r="S325" s="10" t="str">
        <f>HYPERLINK("https://miland.ru/api/getInfo/image/c5c83c91-63e6-11f1-a296-00155d82e908")</f>
        <v>https://miland.ru/api/getInfo/image/c5c83c91-63e6-11f1-a296-00155d82e908</v>
      </c>
    </row>
    <row r="326" spans="1:19" s="2" customFormat="1" ht="96.2" customHeight="1" outlineLevel="6">
      <c r="A326" s="9">
        <v>206</v>
      </c>
      <c r="B326" s="10" t="s">
        <v>919</v>
      </c>
      <c r="C326" s="65" t="s">
        <v>920</v>
      </c>
      <c r="D326" s="65"/>
      <c r="E326" s="65"/>
      <c r="F326" s="65"/>
      <c r="G326" s="11" t="s">
        <v>921</v>
      </c>
      <c r="H326" s="21" t="s">
        <v>44</v>
      </c>
      <c r="I326" s="15"/>
      <c r="J326" s="9">
        <v>7</v>
      </c>
      <c r="K326" s="16">
        <v>93.82</v>
      </c>
      <c r="L326" s="17"/>
      <c r="M326" s="15">
        <f t="shared" si="12"/>
        <v>0</v>
      </c>
      <c r="N326" s="18">
        <f>0.008*L326</f>
        <v>0</v>
      </c>
      <c r="O326" s="19">
        <f>0.00003*L326</f>
        <v>0</v>
      </c>
      <c r="P326" s="24" t="s">
        <v>26</v>
      </c>
      <c r="Q326" s="15" t="s">
        <v>922</v>
      </c>
      <c r="R326" s="15"/>
      <c r="S326" s="10" t="str">
        <f>HYPERLINK("https://miland.ru/api/getInfo/image/ec72fad9-63e6-11f1-a296-00155d82e908")</f>
        <v>https://miland.ru/api/getInfo/image/ec72fad9-63e6-11f1-a296-00155d82e908</v>
      </c>
    </row>
    <row r="327" spans="1:19" s="2" customFormat="1" ht="96.2" customHeight="1" outlineLevel="6">
      <c r="A327" s="9">
        <v>207</v>
      </c>
      <c r="B327" s="10" t="s">
        <v>923</v>
      </c>
      <c r="C327" s="65" t="s">
        <v>924</v>
      </c>
      <c r="D327" s="65"/>
      <c r="E327" s="65"/>
      <c r="F327" s="65"/>
      <c r="G327" s="11" t="s">
        <v>925</v>
      </c>
      <c r="H327" s="21" t="s">
        <v>44</v>
      </c>
      <c r="I327" s="15"/>
      <c r="J327" s="9">
        <v>7</v>
      </c>
      <c r="K327" s="16">
        <v>93.82</v>
      </c>
      <c r="L327" s="17"/>
      <c r="M327" s="15">
        <f t="shared" si="12"/>
        <v>0</v>
      </c>
      <c r="N327" s="18">
        <f>0.015*L327</f>
        <v>0</v>
      </c>
      <c r="O327" s="19">
        <f>0.00004*L327</f>
        <v>0</v>
      </c>
      <c r="P327" s="24" t="s">
        <v>26</v>
      </c>
      <c r="Q327" s="15" t="s">
        <v>926</v>
      </c>
      <c r="R327" s="15"/>
      <c r="S327" s="10" t="str">
        <f>HYPERLINK("https://miland.ru/api/getInfo/image/9e46cc09-63e6-11f1-a296-00155d82e908")</f>
        <v>https://miland.ru/api/getInfo/image/9e46cc09-63e6-11f1-a296-00155d82e908</v>
      </c>
    </row>
    <row r="328" spans="1:19" s="2" customFormat="1" ht="96.2" customHeight="1" outlineLevel="6">
      <c r="A328" s="9">
        <v>208</v>
      </c>
      <c r="B328" s="10" t="s">
        <v>927</v>
      </c>
      <c r="C328" s="65" t="s">
        <v>928</v>
      </c>
      <c r="D328" s="65"/>
      <c r="E328" s="65"/>
      <c r="F328" s="65"/>
      <c r="G328" s="11" t="s">
        <v>929</v>
      </c>
      <c r="H328" s="14">
        <v>131</v>
      </c>
      <c r="I328" s="15"/>
      <c r="J328" s="9">
        <v>7</v>
      </c>
      <c r="K328" s="16">
        <v>93.82</v>
      </c>
      <c r="L328" s="17"/>
      <c r="M328" s="15">
        <f t="shared" si="12"/>
        <v>0</v>
      </c>
      <c r="N328" s="18">
        <f>0.008*L328</f>
        <v>0</v>
      </c>
      <c r="O328" s="19">
        <f>0.00003*L328</f>
        <v>0</v>
      </c>
      <c r="P328" s="24" t="s">
        <v>26</v>
      </c>
      <c r="Q328" s="15" t="s">
        <v>930</v>
      </c>
      <c r="R328" s="15"/>
      <c r="S328" s="10" t="str">
        <f>HYPERLINK("https://miland.ru/api/getInfo/image/17042fea-63e7-11f1-a296-00155d82e908")</f>
        <v>https://miland.ru/api/getInfo/image/17042fea-63e7-11f1-a296-00155d82e908</v>
      </c>
    </row>
    <row r="329" spans="1:19" s="1" customFormat="1" ht="12" customHeight="1" outlineLevel="5">
      <c r="A329" s="64" t="s">
        <v>692</v>
      </c>
      <c r="B329" s="64"/>
      <c r="C329" s="64"/>
      <c r="D329" s="64"/>
      <c r="E329" s="64"/>
      <c r="F329" s="64"/>
      <c r="G329" s="8"/>
      <c r="H329" s="12"/>
      <c r="I329" s="2"/>
      <c r="J329" s="2"/>
      <c r="K329" s="13"/>
      <c r="L329" s="2"/>
      <c r="M329" s="2"/>
      <c r="N329" s="2"/>
      <c r="O329" s="2"/>
      <c r="P329" s="2"/>
      <c r="Q329" s="2"/>
      <c r="R329" s="2"/>
      <c r="S329" s="2"/>
    </row>
    <row r="330" spans="1:19" s="2" customFormat="1" ht="96.2" customHeight="1" outlineLevel="6">
      <c r="A330" s="9">
        <v>209</v>
      </c>
      <c r="B330" s="10" t="s">
        <v>931</v>
      </c>
      <c r="C330" s="65" t="s">
        <v>932</v>
      </c>
      <c r="D330" s="65"/>
      <c r="E330" s="65"/>
      <c r="F330" s="65"/>
      <c r="G330" s="11" t="s">
        <v>933</v>
      </c>
      <c r="H330" s="21" t="s">
        <v>44</v>
      </c>
      <c r="I330" s="15"/>
      <c r="J330" s="9">
        <v>1</v>
      </c>
      <c r="K330" s="16">
        <v>505.65</v>
      </c>
      <c r="L330" s="17"/>
      <c r="M330" s="15">
        <f>K330*L330</f>
        <v>0</v>
      </c>
      <c r="N330" s="18">
        <f>0.178*L330</f>
        <v>0</v>
      </c>
      <c r="O330" s="19">
        <f>0.00352*L330</f>
        <v>0</v>
      </c>
      <c r="P330" s="24" t="s">
        <v>26</v>
      </c>
      <c r="Q330" s="15" t="s">
        <v>934</v>
      </c>
      <c r="R330" s="15"/>
      <c r="S330" s="10" t="str">
        <f>HYPERLINK("https://miland.ru/api/getInfo/image/7ff6e9c3-5909-11f1-a295-00155d82e908")</f>
        <v>https://miland.ru/api/getInfo/image/7ff6e9c3-5909-11f1-a295-00155d82e908</v>
      </c>
    </row>
    <row r="331" spans="1:19" s="1" customFormat="1" ht="12" customHeight="1" outlineLevel="3">
      <c r="A331" s="64" t="s">
        <v>935</v>
      </c>
      <c r="B331" s="64"/>
      <c r="C331" s="64"/>
      <c r="D331" s="64"/>
      <c r="E331" s="64"/>
      <c r="F331" s="64"/>
      <c r="G331" s="8"/>
      <c r="H331" s="12"/>
      <c r="I331" s="2"/>
      <c r="J331" s="2"/>
      <c r="K331" s="13"/>
      <c r="L331" s="2"/>
      <c r="M331" s="2"/>
      <c r="N331" s="2"/>
      <c r="O331" s="2"/>
      <c r="P331" s="2"/>
      <c r="Q331" s="2"/>
      <c r="R331" s="2"/>
      <c r="S331" s="2"/>
    </row>
    <row r="332" spans="1:19" s="1" customFormat="1" ht="12" customHeight="1" outlineLevel="4">
      <c r="A332" s="64" t="s">
        <v>612</v>
      </c>
      <c r="B332" s="64"/>
      <c r="C332" s="64"/>
      <c r="D332" s="64"/>
      <c r="E332" s="64"/>
      <c r="F332" s="64"/>
      <c r="G332" s="8"/>
      <c r="H332" s="12"/>
      <c r="I332" s="2"/>
      <c r="J332" s="2"/>
      <c r="K332" s="13"/>
      <c r="L332" s="2"/>
      <c r="M332" s="2"/>
      <c r="N332" s="2"/>
      <c r="O332" s="2"/>
      <c r="P332" s="2"/>
      <c r="Q332" s="2"/>
      <c r="R332" s="2"/>
      <c r="S332" s="2"/>
    </row>
    <row r="333" spans="1:19" s="1" customFormat="1" ht="12" customHeight="1" outlineLevel="5">
      <c r="A333" s="64" t="s">
        <v>618</v>
      </c>
      <c r="B333" s="64"/>
      <c r="C333" s="64"/>
      <c r="D333" s="64"/>
      <c r="E333" s="64"/>
      <c r="F333" s="64"/>
      <c r="G333" s="8"/>
      <c r="H333" s="12"/>
      <c r="I333" s="2"/>
      <c r="J333" s="2"/>
      <c r="K333" s="13"/>
      <c r="L333" s="2"/>
      <c r="M333" s="2"/>
      <c r="N333" s="2"/>
      <c r="O333" s="2"/>
      <c r="P333" s="2"/>
      <c r="Q333" s="2"/>
      <c r="R333" s="2"/>
      <c r="S333" s="2"/>
    </row>
    <row r="334" spans="1:19" s="2" customFormat="1" ht="96.2" customHeight="1" outlineLevel="6">
      <c r="A334" s="9">
        <v>210</v>
      </c>
      <c r="B334" s="10" t="s">
        <v>936</v>
      </c>
      <c r="C334" s="65" t="s">
        <v>937</v>
      </c>
      <c r="D334" s="65"/>
      <c r="E334" s="65"/>
      <c r="F334" s="65"/>
      <c r="G334" s="11" t="s">
        <v>938</v>
      </c>
      <c r="H334" s="21" t="s">
        <v>44</v>
      </c>
      <c r="I334" s="15"/>
      <c r="J334" s="9">
        <v>1</v>
      </c>
      <c r="K334" s="16">
        <v>457.65</v>
      </c>
      <c r="L334" s="17"/>
      <c r="M334" s="15">
        <f t="shared" ref="M334:M341" si="13">K334*L334</f>
        <v>0</v>
      </c>
      <c r="N334" s="23">
        <f>0.04*L334</f>
        <v>0</v>
      </c>
      <c r="O334" s="19">
        <f>0.00044*L334</f>
        <v>0</v>
      </c>
      <c r="P334" s="24" t="s">
        <v>26</v>
      </c>
      <c r="Q334" s="15" t="s">
        <v>939</v>
      </c>
      <c r="R334" s="15"/>
      <c r="S334" s="10" t="str">
        <f>HYPERLINK("https://miland.ru/api/getInfo/image/5663f5fc-47b4-11f1-a294-00155d82e908")</f>
        <v>https://miland.ru/api/getInfo/image/5663f5fc-47b4-11f1-a294-00155d82e908</v>
      </c>
    </row>
    <row r="335" spans="1:19" s="2" customFormat="1" ht="96.2" customHeight="1" outlineLevel="6">
      <c r="A335" s="9">
        <v>211</v>
      </c>
      <c r="B335" s="10" t="s">
        <v>940</v>
      </c>
      <c r="C335" s="65" t="s">
        <v>941</v>
      </c>
      <c r="D335" s="65"/>
      <c r="E335" s="65"/>
      <c r="F335" s="65"/>
      <c r="G335" s="11" t="s">
        <v>942</v>
      </c>
      <c r="H335" s="21" t="s">
        <v>44</v>
      </c>
      <c r="I335" s="15"/>
      <c r="J335" s="9">
        <v>1</v>
      </c>
      <c r="K335" s="16">
        <v>457.65</v>
      </c>
      <c r="L335" s="17"/>
      <c r="M335" s="15">
        <f t="shared" si="13"/>
        <v>0</v>
      </c>
      <c r="N335" s="23">
        <f>0.04*L335</f>
        <v>0</v>
      </c>
      <c r="O335" s="19">
        <f>0.00044*L335</f>
        <v>0</v>
      </c>
      <c r="P335" s="24" t="s">
        <v>26</v>
      </c>
      <c r="Q335" s="15" t="s">
        <v>943</v>
      </c>
      <c r="R335" s="15"/>
      <c r="S335" s="10" t="str">
        <f>HYPERLINK("https://miland.ru/api/getInfo/image/75ab38ea-47b4-11f1-a294-00155d82e908")</f>
        <v>https://miland.ru/api/getInfo/image/75ab38ea-47b4-11f1-a294-00155d82e908</v>
      </c>
    </row>
    <row r="336" spans="1:19" s="2" customFormat="1" ht="96.2" customHeight="1" outlineLevel="6">
      <c r="A336" s="9">
        <v>212</v>
      </c>
      <c r="B336" s="10" t="s">
        <v>944</v>
      </c>
      <c r="C336" s="65" t="s">
        <v>945</v>
      </c>
      <c r="D336" s="65"/>
      <c r="E336" s="65"/>
      <c r="F336" s="65"/>
      <c r="G336" s="11" t="s">
        <v>946</v>
      </c>
      <c r="H336" s="21" t="s">
        <v>44</v>
      </c>
      <c r="I336" s="15"/>
      <c r="J336" s="9">
        <v>1</v>
      </c>
      <c r="K336" s="16">
        <v>457.65</v>
      </c>
      <c r="L336" s="17"/>
      <c r="M336" s="15">
        <f t="shared" si="13"/>
        <v>0</v>
      </c>
      <c r="N336" s="18">
        <f>0.039*L336</f>
        <v>0</v>
      </c>
      <c r="O336" s="19">
        <f>0.00041*L336</f>
        <v>0</v>
      </c>
      <c r="P336" s="24" t="s">
        <v>26</v>
      </c>
      <c r="Q336" s="15" t="s">
        <v>947</v>
      </c>
      <c r="R336" s="15"/>
      <c r="S336" s="10" t="str">
        <f>HYPERLINK("https://miland.ru/api/getInfo/image/2a627b3e-47b4-11f1-a294-00155d82e908")</f>
        <v>https://miland.ru/api/getInfo/image/2a627b3e-47b4-11f1-a294-00155d82e908</v>
      </c>
    </row>
    <row r="337" spans="1:19" s="2" customFormat="1" ht="96.2" customHeight="1" outlineLevel="6">
      <c r="A337" s="9">
        <v>213</v>
      </c>
      <c r="B337" s="10" t="s">
        <v>948</v>
      </c>
      <c r="C337" s="65" t="s">
        <v>949</v>
      </c>
      <c r="D337" s="65"/>
      <c r="E337" s="65"/>
      <c r="F337" s="65"/>
      <c r="G337" s="11" t="s">
        <v>950</v>
      </c>
      <c r="H337" s="21" t="s">
        <v>44</v>
      </c>
      <c r="I337" s="15"/>
      <c r="J337" s="9">
        <v>1</v>
      </c>
      <c r="K337" s="16">
        <v>457.65</v>
      </c>
      <c r="L337" s="17"/>
      <c r="M337" s="15">
        <f t="shared" si="13"/>
        <v>0</v>
      </c>
      <c r="N337" s="18">
        <f>0.041*L337</f>
        <v>0</v>
      </c>
      <c r="O337" s="19">
        <f>0.00046*L337</f>
        <v>0</v>
      </c>
      <c r="P337" s="24" t="s">
        <v>26</v>
      </c>
      <c r="Q337" s="15" t="s">
        <v>951</v>
      </c>
      <c r="R337" s="15"/>
      <c r="S337" s="10" t="str">
        <f>HYPERLINK("https://miland.ru/api/getInfo/image/461cc2b7-47b4-11f1-a294-00155d82e908")</f>
        <v>https://miland.ru/api/getInfo/image/461cc2b7-47b4-11f1-a294-00155d82e908</v>
      </c>
    </row>
    <row r="338" spans="1:19" s="2" customFormat="1" ht="96.2" customHeight="1" outlineLevel="6">
      <c r="A338" s="9">
        <v>214</v>
      </c>
      <c r="B338" s="10" t="s">
        <v>952</v>
      </c>
      <c r="C338" s="65" t="s">
        <v>953</v>
      </c>
      <c r="D338" s="65"/>
      <c r="E338" s="65"/>
      <c r="F338" s="65"/>
      <c r="G338" s="11" t="s">
        <v>954</v>
      </c>
      <c r="H338" s="21" t="s">
        <v>44</v>
      </c>
      <c r="I338" s="15"/>
      <c r="J338" s="9">
        <v>1</v>
      </c>
      <c r="K338" s="16">
        <v>457.65</v>
      </c>
      <c r="L338" s="17"/>
      <c r="M338" s="15">
        <f t="shared" si="13"/>
        <v>0</v>
      </c>
      <c r="N338" s="18">
        <f>0.038*L338</f>
        <v>0</v>
      </c>
      <c r="O338" s="19">
        <f>0.00042*L338</f>
        <v>0</v>
      </c>
      <c r="P338" s="24" t="s">
        <v>26</v>
      </c>
      <c r="Q338" s="15" t="s">
        <v>955</v>
      </c>
      <c r="R338" s="15"/>
      <c r="S338" s="10" t="str">
        <f>HYPERLINK("https://miland.ru/api/getInfo/image/1842ddfb-47b4-11f1-a294-00155d82e908")</f>
        <v>https://miland.ru/api/getInfo/image/1842ddfb-47b4-11f1-a294-00155d82e908</v>
      </c>
    </row>
    <row r="339" spans="1:19" s="2" customFormat="1" ht="96.2" customHeight="1" outlineLevel="6">
      <c r="A339" s="9">
        <v>215</v>
      </c>
      <c r="B339" s="10" t="s">
        <v>956</v>
      </c>
      <c r="C339" s="65" t="s">
        <v>957</v>
      </c>
      <c r="D339" s="65"/>
      <c r="E339" s="65"/>
      <c r="F339" s="65"/>
      <c r="G339" s="11" t="s">
        <v>958</v>
      </c>
      <c r="H339" s="21" t="s">
        <v>44</v>
      </c>
      <c r="I339" s="15"/>
      <c r="J339" s="9">
        <v>1</v>
      </c>
      <c r="K339" s="16">
        <v>457.65</v>
      </c>
      <c r="L339" s="17"/>
      <c r="M339" s="15">
        <f t="shared" si="13"/>
        <v>0</v>
      </c>
      <c r="N339" s="23">
        <f>0.04*L339</f>
        <v>0</v>
      </c>
      <c r="O339" s="19">
        <f>0.00043*L339</f>
        <v>0</v>
      </c>
      <c r="P339" s="24" t="s">
        <v>26</v>
      </c>
      <c r="Q339" s="15" t="s">
        <v>959</v>
      </c>
      <c r="R339" s="15"/>
      <c r="S339" s="10" t="str">
        <f>HYPERLINK("https://miland.ru/api/getInfo/image/6363efa8-47b4-11f1-a294-00155d82e908")</f>
        <v>https://miland.ru/api/getInfo/image/6363efa8-47b4-11f1-a294-00155d82e908</v>
      </c>
    </row>
    <row r="340" spans="1:19" s="2" customFormat="1" ht="96.2" customHeight="1" outlineLevel="6">
      <c r="A340" s="9">
        <v>216</v>
      </c>
      <c r="B340" s="10" t="s">
        <v>960</v>
      </c>
      <c r="C340" s="65" t="s">
        <v>961</v>
      </c>
      <c r="D340" s="65"/>
      <c r="E340" s="65"/>
      <c r="F340" s="65"/>
      <c r="G340" s="11" t="s">
        <v>962</v>
      </c>
      <c r="H340" s="21" t="s">
        <v>44</v>
      </c>
      <c r="I340" s="15"/>
      <c r="J340" s="9">
        <v>1</v>
      </c>
      <c r="K340" s="16">
        <v>457.65</v>
      </c>
      <c r="L340" s="17"/>
      <c r="M340" s="15">
        <f t="shared" si="13"/>
        <v>0</v>
      </c>
      <c r="N340" s="18">
        <f>0.035*L340</f>
        <v>0</v>
      </c>
      <c r="O340" s="19">
        <f>0.00043*L340</f>
        <v>0</v>
      </c>
      <c r="P340" s="24" t="s">
        <v>26</v>
      </c>
      <c r="Q340" s="15" t="s">
        <v>963</v>
      </c>
      <c r="R340" s="15"/>
      <c r="S340" s="10" t="str">
        <f>HYPERLINK("https://miland.ru/api/getInfo/image/87f03965-47b4-11f1-a294-00155d82e908")</f>
        <v>https://miland.ru/api/getInfo/image/87f03965-47b4-11f1-a294-00155d82e908</v>
      </c>
    </row>
    <row r="341" spans="1:19" s="2" customFormat="1" ht="96.2" customHeight="1" outlineLevel="6">
      <c r="A341" s="9">
        <v>217</v>
      </c>
      <c r="B341" s="10" t="s">
        <v>964</v>
      </c>
      <c r="C341" s="65" t="s">
        <v>965</v>
      </c>
      <c r="D341" s="65"/>
      <c r="E341" s="65"/>
      <c r="F341" s="65"/>
      <c r="G341" s="11" t="s">
        <v>966</v>
      </c>
      <c r="H341" s="21" t="s">
        <v>44</v>
      </c>
      <c r="I341" s="15"/>
      <c r="J341" s="9">
        <v>1</v>
      </c>
      <c r="K341" s="16">
        <v>457.65</v>
      </c>
      <c r="L341" s="17"/>
      <c r="M341" s="15">
        <f t="shared" si="13"/>
        <v>0</v>
      </c>
      <c r="N341" s="18">
        <f>0.037*L341</f>
        <v>0</v>
      </c>
      <c r="O341" s="19">
        <f>0.00042*L341</f>
        <v>0</v>
      </c>
      <c r="P341" s="24" t="s">
        <v>26</v>
      </c>
      <c r="Q341" s="15" t="s">
        <v>967</v>
      </c>
      <c r="R341" s="15"/>
      <c r="S341" s="10" t="str">
        <f>HYPERLINK("https://miland.ru/api/getInfo/image/819b70eb-47b3-11f1-a294-00155d82e908")</f>
        <v>https://miland.ru/api/getInfo/image/819b70eb-47b3-11f1-a294-00155d82e908</v>
      </c>
    </row>
    <row r="342" spans="1:19" s="1" customFormat="1" ht="12" customHeight="1" outlineLevel="3">
      <c r="A342" s="64" t="s">
        <v>968</v>
      </c>
      <c r="B342" s="64"/>
      <c r="C342" s="64"/>
      <c r="D342" s="64"/>
      <c r="E342" s="64"/>
      <c r="F342" s="64"/>
      <c r="G342" s="8"/>
      <c r="H342" s="12"/>
      <c r="I342" s="2"/>
      <c r="J342" s="2"/>
      <c r="K342" s="13"/>
      <c r="L342" s="2"/>
      <c r="M342" s="2"/>
      <c r="N342" s="2"/>
      <c r="O342" s="2"/>
      <c r="P342" s="2"/>
      <c r="Q342" s="2"/>
      <c r="R342" s="2"/>
      <c r="S342" s="2"/>
    </row>
    <row r="343" spans="1:19" s="1" customFormat="1" ht="12" customHeight="1" outlineLevel="4">
      <c r="A343" s="64" t="s">
        <v>138</v>
      </c>
      <c r="B343" s="64"/>
      <c r="C343" s="64"/>
      <c r="D343" s="64"/>
      <c r="E343" s="64"/>
      <c r="F343" s="64"/>
      <c r="G343" s="8"/>
      <c r="H343" s="12"/>
      <c r="I343" s="2"/>
      <c r="J343" s="2"/>
      <c r="K343" s="13"/>
      <c r="L343" s="2"/>
      <c r="M343" s="2"/>
      <c r="N343" s="2"/>
      <c r="O343" s="2"/>
      <c r="P343" s="2"/>
      <c r="Q343" s="2"/>
      <c r="R343" s="2"/>
      <c r="S343" s="2"/>
    </row>
    <row r="344" spans="1:19" s="2" customFormat="1" ht="96.2" customHeight="1" outlineLevel="5">
      <c r="A344" s="9">
        <v>218</v>
      </c>
      <c r="B344" s="10" t="s">
        <v>969</v>
      </c>
      <c r="C344" s="65" t="s">
        <v>970</v>
      </c>
      <c r="D344" s="65"/>
      <c r="E344" s="65"/>
      <c r="F344" s="65"/>
      <c r="G344" s="11" t="s">
        <v>971</v>
      </c>
      <c r="H344" s="21" t="s">
        <v>44</v>
      </c>
      <c r="I344" s="15"/>
      <c r="J344" s="9">
        <v>4</v>
      </c>
      <c r="K344" s="16">
        <v>139.12</v>
      </c>
      <c r="L344" s="17"/>
      <c r="M344" s="15">
        <f>K344*L344</f>
        <v>0</v>
      </c>
      <c r="N344" s="18">
        <f>0.046*L344</f>
        <v>0</v>
      </c>
      <c r="O344" s="19">
        <f>0.00012*L344</f>
        <v>0</v>
      </c>
      <c r="P344" s="24" t="s">
        <v>26</v>
      </c>
      <c r="Q344" s="15" t="s">
        <v>972</v>
      </c>
      <c r="R344" s="15"/>
      <c r="S344" s="10" t="str">
        <f>HYPERLINK("https://miland.ru/api/getInfo/image/18d22321-ba48-11f0-a287-00155d82e908")</f>
        <v>https://miland.ru/api/getInfo/image/18d22321-ba48-11f0-a287-00155d82e908</v>
      </c>
    </row>
    <row r="345" spans="1:19" s="2" customFormat="1" ht="96.2" customHeight="1" outlineLevel="5">
      <c r="A345" s="9">
        <v>219</v>
      </c>
      <c r="B345" s="10" t="s">
        <v>973</v>
      </c>
      <c r="C345" s="65" t="s">
        <v>974</v>
      </c>
      <c r="D345" s="65"/>
      <c r="E345" s="65"/>
      <c r="F345" s="65"/>
      <c r="G345" s="11" t="s">
        <v>975</v>
      </c>
      <c r="H345" s="21" t="s">
        <v>44</v>
      </c>
      <c r="I345" s="15"/>
      <c r="J345" s="9">
        <v>4</v>
      </c>
      <c r="K345" s="16">
        <v>94.62</v>
      </c>
      <c r="L345" s="17"/>
      <c r="M345" s="15">
        <f>K345*L345</f>
        <v>0</v>
      </c>
      <c r="N345" s="18">
        <f>0.031*L345</f>
        <v>0</v>
      </c>
      <c r="O345" s="19">
        <f>0.00016*L345</f>
        <v>0</v>
      </c>
      <c r="P345" s="24" t="s">
        <v>26</v>
      </c>
      <c r="Q345" s="15" t="s">
        <v>976</v>
      </c>
      <c r="R345" s="15"/>
      <c r="S345" s="10" t="str">
        <f>HYPERLINK("https://miland.ru/api/getInfo/image/5163cb71-ba47-11f0-a287-00155d82e908")</f>
        <v>https://miland.ru/api/getInfo/image/5163cb71-ba47-11f0-a287-00155d82e908</v>
      </c>
    </row>
    <row r="346" spans="1:19" s="1" customFormat="1" ht="12" customHeight="1" outlineLevel="4">
      <c r="A346" s="64" t="s">
        <v>59</v>
      </c>
      <c r="B346" s="64"/>
      <c r="C346" s="64"/>
      <c r="D346" s="64"/>
      <c r="E346" s="64"/>
      <c r="F346" s="64"/>
      <c r="G346" s="8"/>
      <c r="H346" s="12"/>
      <c r="I346" s="2"/>
      <c r="J346" s="2"/>
      <c r="K346" s="13"/>
      <c r="L346" s="2"/>
      <c r="M346" s="2"/>
      <c r="N346" s="2"/>
      <c r="O346" s="2"/>
      <c r="P346" s="2"/>
      <c r="Q346" s="2"/>
      <c r="R346" s="2"/>
      <c r="S346" s="2"/>
    </row>
    <row r="347" spans="1:19" s="2" customFormat="1" ht="96.2" customHeight="1" outlineLevel="5">
      <c r="A347" s="9">
        <v>220</v>
      </c>
      <c r="B347" s="10" t="s">
        <v>977</v>
      </c>
      <c r="C347" s="65" t="s">
        <v>978</v>
      </c>
      <c r="D347" s="65"/>
      <c r="E347" s="65"/>
      <c r="F347" s="65"/>
      <c r="G347" s="11" t="s">
        <v>979</v>
      </c>
      <c r="H347" s="21" t="s">
        <v>44</v>
      </c>
      <c r="I347" s="15"/>
      <c r="J347" s="9">
        <v>12</v>
      </c>
      <c r="K347" s="16">
        <v>100.64</v>
      </c>
      <c r="L347" s="17"/>
      <c r="M347" s="15">
        <f>K347*L347</f>
        <v>0</v>
      </c>
      <c r="N347" s="18">
        <f>0.045*L347</f>
        <v>0</v>
      </c>
      <c r="O347" s="19">
        <f>0.00018*L347</f>
        <v>0</v>
      </c>
      <c r="P347" s="24" t="s">
        <v>26</v>
      </c>
      <c r="Q347" s="15" t="s">
        <v>980</v>
      </c>
      <c r="R347" s="15"/>
      <c r="S347" s="10" t="str">
        <f>HYPERLINK("https://miland.ru/api/getInfo/image/9a3bddeb-08da-11f1-a28f-00155d82e908")</f>
        <v>https://miland.ru/api/getInfo/image/9a3bddeb-08da-11f1-a28f-00155d82e908</v>
      </c>
    </row>
    <row r="348" spans="1:19" s="1" customFormat="1" ht="12" customHeight="1" outlineLevel="4">
      <c r="A348" s="64" t="s">
        <v>665</v>
      </c>
      <c r="B348" s="64"/>
      <c r="C348" s="64"/>
      <c r="D348" s="64"/>
      <c r="E348" s="64"/>
      <c r="F348" s="64"/>
      <c r="G348" s="8"/>
      <c r="H348" s="12"/>
      <c r="I348" s="2"/>
      <c r="J348" s="2"/>
      <c r="K348" s="13"/>
      <c r="L348" s="2"/>
      <c r="M348" s="2"/>
      <c r="N348" s="2"/>
      <c r="O348" s="2"/>
      <c r="P348" s="2"/>
      <c r="Q348" s="2"/>
      <c r="R348" s="2"/>
      <c r="S348" s="2"/>
    </row>
    <row r="349" spans="1:19" s="1" customFormat="1" ht="12" customHeight="1" outlineLevel="5">
      <c r="A349" s="64" t="s">
        <v>671</v>
      </c>
      <c r="B349" s="64"/>
      <c r="C349" s="64"/>
      <c r="D349" s="64"/>
      <c r="E349" s="64"/>
      <c r="F349" s="64"/>
      <c r="G349" s="8"/>
      <c r="H349" s="12"/>
      <c r="I349" s="2"/>
      <c r="J349" s="2"/>
      <c r="K349" s="13"/>
      <c r="L349" s="2"/>
      <c r="M349" s="2"/>
      <c r="N349" s="2"/>
      <c r="O349" s="2"/>
      <c r="P349" s="2"/>
      <c r="Q349" s="2"/>
      <c r="R349" s="2"/>
      <c r="S349" s="2"/>
    </row>
    <row r="350" spans="1:19" s="2" customFormat="1" ht="96.2" customHeight="1" outlineLevel="6">
      <c r="A350" s="9">
        <v>221</v>
      </c>
      <c r="B350" s="10" t="s">
        <v>981</v>
      </c>
      <c r="C350" s="65" t="s">
        <v>982</v>
      </c>
      <c r="D350" s="65"/>
      <c r="E350" s="65"/>
      <c r="F350" s="65"/>
      <c r="G350" s="11" t="s">
        <v>983</v>
      </c>
      <c r="H350" s="21" t="s">
        <v>44</v>
      </c>
      <c r="I350" s="15"/>
      <c r="J350" s="9">
        <v>2</v>
      </c>
      <c r="K350" s="16">
        <v>263.55</v>
      </c>
      <c r="L350" s="17"/>
      <c r="M350" s="15">
        <f>K350*L350</f>
        <v>0</v>
      </c>
      <c r="N350" s="18">
        <f>0.237*L350</f>
        <v>0</v>
      </c>
      <c r="O350" s="19">
        <f>0.00054*L350</f>
        <v>0</v>
      </c>
      <c r="P350" s="24" t="s">
        <v>26</v>
      </c>
      <c r="Q350" s="15" t="s">
        <v>984</v>
      </c>
      <c r="R350" s="15"/>
      <c r="S350" s="10" t="str">
        <f>HYPERLINK("https://miland.ru/api/getInfo/image/fd911758-a361-11f0-a286-00155d82e908")</f>
        <v>https://miland.ru/api/getInfo/image/fd911758-a361-11f0-a286-00155d82e908</v>
      </c>
    </row>
    <row r="351" spans="1:19" s="1" customFormat="1" ht="12" customHeight="1" outlineLevel="4">
      <c r="A351" s="64" t="s">
        <v>612</v>
      </c>
      <c r="B351" s="64"/>
      <c r="C351" s="64"/>
      <c r="D351" s="64"/>
      <c r="E351" s="64"/>
      <c r="F351" s="64"/>
      <c r="G351" s="8"/>
      <c r="H351" s="12"/>
      <c r="I351" s="2"/>
      <c r="J351" s="2"/>
      <c r="K351" s="13"/>
      <c r="L351" s="2"/>
      <c r="M351" s="2"/>
      <c r="N351" s="2"/>
      <c r="O351" s="2"/>
      <c r="P351" s="2"/>
      <c r="Q351" s="2"/>
      <c r="R351" s="2"/>
      <c r="S351" s="2"/>
    </row>
    <row r="352" spans="1:19" s="1" customFormat="1" ht="12" customHeight="1" outlineLevel="5">
      <c r="A352" s="64" t="s">
        <v>613</v>
      </c>
      <c r="B352" s="64"/>
      <c r="C352" s="64"/>
      <c r="D352" s="64"/>
      <c r="E352" s="64"/>
      <c r="F352" s="64"/>
      <c r="G352" s="8"/>
      <c r="H352" s="12"/>
      <c r="I352" s="2"/>
      <c r="J352" s="2"/>
      <c r="K352" s="13"/>
      <c r="L352" s="2"/>
      <c r="M352" s="2"/>
      <c r="N352" s="2"/>
      <c r="O352" s="2"/>
      <c r="P352" s="2"/>
      <c r="Q352" s="2"/>
      <c r="R352" s="2"/>
      <c r="S352" s="2"/>
    </row>
    <row r="353" spans="1:19" s="2" customFormat="1" ht="96.2" customHeight="1" outlineLevel="6">
      <c r="A353" s="9">
        <v>222</v>
      </c>
      <c r="B353" s="10" t="s">
        <v>985</v>
      </c>
      <c r="C353" s="65" t="s">
        <v>986</v>
      </c>
      <c r="D353" s="65"/>
      <c r="E353" s="65"/>
      <c r="F353" s="65"/>
      <c r="G353" s="11" t="s">
        <v>987</v>
      </c>
      <c r="H353" s="21" t="s">
        <v>44</v>
      </c>
      <c r="I353" s="15"/>
      <c r="J353" s="9">
        <v>3</v>
      </c>
      <c r="K353" s="16">
        <v>244.08</v>
      </c>
      <c r="L353" s="17"/>
      <c r="M353" s="15">
        <f t="shared" ref="M353:M361" si="14">K353*L353</f>
        <v>0</v>
      </c>
      <c r="N353" s="18">
        <f>0.029*L353</f>
        <v>0</v>
      </c>
      <c r="O353" s="19">
        <f>0.00017*L353</f>
        <v>0</v>
      </c>
      <c r="P353" s="24" t="s">
        <v>26</v>
      </c>
      <c r="Q353" s="15" t="s">
        <v>988</v>
      </c>
      <c r="R353" s="15"/>
      <c r="S353" s="10" t="str">
        <f>HYPERLINK("https://miland.ru/api/getInfo/image/d3ce3591-318d-11f1-a292-00155d82e908")</f>
        <v>https://miland.ru/api/getInfo/image/d3ce3591-318d-11f1-a292-00155d82e908</v>
      </c>
    </row>
    <row r="354" spans="1:19" s="2" customFormat="1" ht="96.2" customHeight="1" outlineLevel="6">
      <c r="A354" s="9">
        <v>223</v>
      </c>
      <c r="B354" s="10" t="s">
        <v>989</v>
      </c>
      <c r="C354" s="65" t="s">
        <v>990</v>
      </c>
      <c r="D354" s="65"/>
      <c r="E354" s="65"/>
      <c r="F354" s="65"/>
      <c r="G354" s="11" t="s">
        <v>991</v>
      </c>
      <c r="H354" s="21" t="s">
        <v>44</v>
      </c>
      <c r="I354" s="15"/>
      <c r="J354" s="9">
        <v>1</v>
      </c>
      <c r="K354" s="16">
        <v>586.66999999999996</v>
      </c>
      <c r="L354" s="17"/>
      <c r="M354" s="15">
        <f t="shared" si="14"/>
        <v>0</v>
      </c>
      <c r="N354" s="18">
        <f>0.087*L354</f>
        <v>0</v>
      </c>
      <c r="O354" s="19">
        <f>0.00072*L354</f>
        <v>0</v>
      </c>
      <c r="P354" s="24" t="s">
        <v>26</v>
      </c>
      <c r="Q354" s="15" t="s">
        <v>992</v>
      </c>
      <c r="R354" s="15"/>
      <c r="S354" s="10" t="str">
        <f>HYPERLINK("https://miland.ru/api/getInfo/image/bb32e950-318d-11f1-a292-00155d82e908")</f>
        <v>https://miland.ru/api/getInfo/image/bb32e950-318d-11f1-a292-00155d82e908</v>
      </c>
    </row>
    <row r="355" spans="1:19" s="2" customFormat="1" ht="96.2" customHeight="1" outlineLevel="6">
      <c r="A355" s="9">
        <v>224</v>
      </c>
      <c r="B355" s="10" t="s">
        <v>993</v>
      </c>
      <c r="C355" s="65" t="s">
        <v>994</v>
      </c>
      <c r="D355" s="65"/>
      <c r="E355" s="65"/>
      <c r="F355" s="65"/>
      <c r="G355" s="11" t="s">
        <v>995</v>
      </c>
      <c r="H355" s="21" t="s">
        <v>44</v>
      </c>
      <c r="I355" s="15"/>
      <c r="J355" s="9">
        <v>1</v>
      </c>
      <c r="K355" s="16">
        <v>867.89</v>
      </c>
      <c r="L355" s="17"/>
      <c r="M355" s="15">
        <f t="shared" si="14"/>
        <v>0</v>
      </c>
      <c r="N355" s="18">
        <f>0.245*L355</f>
        <v>0</v>
      </c>
      <c r="O355" s="19">
        <f>0.00081*L355</f>
        <v>0</v>
      </c>
      <c r="P355" s="24" t="s">
        <v>26</v>
      </c>
      <c r="Q355" s="15" t="s">
        <v>996</v>
      </c>
      <c r="R355" s="15"/>
      <c r="S355" s="10" t="str">
        <f>HYPERLINK("https://miland.ru/api/getInfo/image/b4f81eef-31ad-11f1-a292-00155d82e908")</f>
        <v>https://miland.ru/api/getInfo/image/b4f81eef-31ad-11f1-a292-00155d82e908</v>
      </c>
    </row>
    <row r="356" spans="1:19" s="2" customFormat="1" ht="96.2" customHeight="1" outlineLevel="6">
      <c r="A356" s="9">
        <v>225</v>
      </c>
      <c r="B356" s="10" t="s">
        <v>997</v>
      </c>
      <c r="C356" s="65" t="s">
        <v>998</v>
      </c>
      <c r="D356" s="65"/>
      <c r="E356" s="65"/>
      <c r="F356" s="65"/>
      <c r="G356" s="11" t="s">
        <v>999</v>
      </c>
      <c r="H356" s="21" t="s">
        <v>44</v>
      </c>
      <c r="I356" s="15"/>
      <c r="J356" s="9">
        <v>7</v>
      </c>
      <c r="K356" s="16">
        <v>93.82</v>
      </c>
      <c r="L356" s="17"/>
      <c r="M356" s="15">
        <f t="shared" si="14"/>
        <v>0</v>
      </c>
      <c r="N356" s="18">
        <f>0.011*L356</f>
        <v>0</v>
      </c>
      <c r="O356" s="19">
        <f>0.00031*L356</f>
        <v>0</v>
      </c>
      <c r="P356" s="24" t="s">
        <v>26</v>
      </c>
      <c r="Q356" s="15" t="s">
        <v>1000</v>
      </c>
      <c r="R356" s="15"/>
      <c r="S356" s="10" t="str">
        <f>HYPERLINK("https://miland.ru/api/getInfo/image/9f6f254f-318d-11f1-a292-00155d82e908")</f>
        <v>https://miland.ru/api/getInfo/image/9f6f254f-318d-11f1-a292-00155d82e908</v>
      </c>
    </row>
    <row r="357" spans="1:19" s="2" customFormat="1" ht="96.2" customHeight="1" outlineLevel="6">
      <c r="A357" s="9">
        <v>226</v>
      </c>
      <c r="B357" s="10" t="s">
        <v>1001</v>
      </c>
      <c r="C357" s="65" t="s">
        <v>1002</v>
      </c>
      <c r="D357" s="65"/>
      <c r="E357" s="65"/>
      <c r="F357" s="65"/>
      <c r="G357" s="11" t="s">
        <v>1003</v>
      </c>
      <c r="H357" s="21" t="s">
        <v>44</v>
      </c>
      <c r="I357" s="15"/>
      <c r="J357" s="9">
        <v>7</v>
      </c>
      <c r="K357" s="16">
        <v>93.82</v>
      </c>
      <c r="L357" s="17"/>
      <c r="M357" s="15">
        <f t="shared" si="14"/>
        <v>0</v>
      </c>
      <c r="N357" s="18">
        <f>0.011*L357</f>
        <v>0</v>
      </c>
      <c r="O357" s="19">
        <f>0.00017*L357</f>
        <v>0</v>
      </c>
      <c r="P357" s="24" t="s">
        <v>26</v>
      </c>
      <c r="Q357" s="15" t="s">
        <v>1004</v>
      </c>
      <c r="R357" s="15"/>
      <c r="S357" s="10" t="str">
        <f>HYPERLINK("https://miland.ru/api/getInfo/image/5df62c86-318d-11f1-a292-00155d82e908")</f>
        <v>https://miland.ru/api/getInfo/image/5df62c86-318d-11f1-a292-00155d82e908</v>
      </c>
    </row>
    <row r="358" spans="1:19" s="2" customFormat="1" ht="96.2" customHeight="1" outlineLevel="6">
      <c r="A358" s="9">
        <v>227</v>
      </c>
      <c r="B358" s="10" t="s">
        <v>1005</v>
      </c>
      <c r="C358" s="65" t="s">
        <v>1006</v>
      </c>
      <c r="D358" s="65"/>
      <c r="E358" s="65"/>
      <c r="F358" s="65"/>
      <c r="G358" s="11" t="s">
        <v>1007</v>
      </c>
      <c r="H358" s="21" t="s">
        <v>44</v>
      </c>
      <c r="I358" s="15"/>
      <c r="J358" s="9">
        <v>7</v>
      </c>
      <c r="K358" s="16">
        <v>93.82</v>
      </c>
      <c r="L358" s="17"/>
      <c r="M358" s="15">
        <f t="shared" si="14"/>
        <v>0</v>
      </c>
      <c r="N358" s="18">
        <f>0.013*L358</f>
        <v>0</v>
      </c>
      <c r="O358" s="19">
        <f>0.00004*L358</f>
        <v>0</v>
      </c>
      <c r="P358" s="24" t="s">
        <v>26</v>
      </c>
      <c r="Q358" s="15" t="s">
        <v>1008</v>
      </c>
      <c r="R358" s="15"/>
      <c r="S358" s="10" t="str">
        <f>HYPERLINK("https://miland.ru/api/getInfo/image/353fbef2-318d-11f1-a292-00155d82e908")</f>
        <v>https://miland.ru/api/getInfo/image/353fbef2-318d-11f1-a292-00155d82e908</v>
      </c>
    </row>
    <row r="359" spans="1:19" s="2" customFormat="1" ht="96.2" customHeight="1" outlineLevel="6">
      <c r="A359" s="9">
        <v>228</v>
      </c>
      <c r="B359" s="10" t="s">
        <v>1009</v>
      </c>
      <c r="C359" s="65" t="s">
        <v>1010</v>
      </c>
      <c r="D359" s="65"/>
      <c r="E359" s="65"/>
      <c r="F359" s="65"/>
      <c r="G359" s="11" t="s">
        <v>1011</v>
      </c>
      <c r="H359" s="21" t="s">
        <v>44</v>
      </c>
      <c r="I359" s="15"/>
      <c r="J359" s="9">
        <v>7</v>
      </c>
      <c r="K359" s="16">
        <v>93.82</v>
      </c>
      <c r="L359" s="17"/>
      <c r="M359" s="15">
        <f t="shared" si="14"/>
        <v>0</v>
      </c>
      <c r="N359" s="18">
        <f>0.011*L359</f>
        <v>0</v>
      </c>
      <c r="O359" s="19">
        <f>0.00013*L359</f>
        <v>0</v>
      </c>
      <c r="P359" s="24" t="s">
        <v>26</v>
      </c>
      <c r="Q359" s="15" t="s">
        <v>1012</v>
      </c>
      <c r="R359" s="15"/>
      <c r="S359" s="10" t="str">
        <f>HYPERLINK("https://miland.ru/api/getInfo/image/4aca004d-318d-11f1-a292-00155d82e908")</f>
        <v>https://miland.ru/api/getInfo/image/4aca004d-318d-11f1-a292-00155d82e908</v>
      </c>
    </row>
    <row r="360" spans="1:19" s="2" customFormat="1" ht="96.2" customHeight="1" outlineLevel="6">
      <c r="A360" s="9">
        <v>229</v>
      </c>
      <c r="B360" s="10" t="s">
        <v>1013</v>
      </c>
      <c r="C360" s="65" t="s">
        <v>1014</v>
      </c>
      <c r="D360" s="65"/>
      <c r="E360" s="65"/>
      <c r="F360" s="65"/>
      <c r="G360" s="11" t="s">
        <v>1015</v>
      </c>
      <c r="H360" s="21" t="s">
        <v>44</v>
      </c>
      <c r="I360" s="15"/>
      <c r="J360" s="9">
        <v>7</v>
      </c>
      <c r="K360" s="16">
        <v>93.82</v>
      </c>
      <c r="L360" s="17"/>
      <c r="M360" s="15">
        <f t="shared" si="14"/>
        <v>0</v>
      </c>
      <c r="N360" s="18">
        <f>0.008*L360</f>
        <v>0</v>
      </c>
      <c r="O360" s="20">
        <f>0.0003*L360</f>
        <v>0</v>
      </c>
      <c r="P360" s="24" t="s">
        <v>26</v>
      </c>
      <c r="Q360" s="15" t="s">
        <v>1016</v>
      </c>
      <c r="R360" s="15"/>
      <c r="S360" s="10" t="str">
        <f>HYPERLINK("https://miland.ru/api/getInfo/image/8dbb67ee-318d-11f1-a292-00155d82e908")</f>
        <v>https://miland.ru/api/getInfo/image/8dbb67ee-318d-11f1-a292-00155d82e908</v>
      </c>
    </row>
    <row r="361" spans="1:19" s="2" customFormat="1" ht="96.2" customHeight="1" outlineLevel="6">
      <c r="A361" s="9">
        <v>230</v>
      </c>
      <c r="B361" s="10" t="s">
        <v>1017</v>
      </c>
      <c r="C361" s="65" t="s">
        <v>1018</v>
      </c>
      <c r="D361" s="65"/>
      <c r="E361" s="65"/>
      <c r="F361" s="65"/>
      <c r="G361" s="11" t="s">
        <v>1019</v>
      </c>
      <c r="H361" s="21" t="s">
        <v>44</v>
      </c>
      <c r="I361" s="15"/>
      <c r="J361" s="9">
        <v>7</v>
      </c>
      <c r="K361" s="16">
        <v>93.82</v>
      </c>
      <c r="L361" s="17"/>
      <c r="M361" s="15">
        <f t="shared" si="14"/>
        <v>0</v>
      </c>
      <c r="N361" s="18">
        <f>0.013*L361</f>
        <v>0</v>
      </c>
      <c r="O361" s="19">
        <f>0.00002*L361</f>
        <v>0</v>
      </c>
      <c r="P361" s="24" t="s">
        <v>26</v>
      </c>
      <c r="Q361" s="15" t="s">
        <v>1020</v>
      </c>
      <c r="R361" s="15"/>
      <c r="S361" s="10" t="str">
        <f>HYPERLINK("https://miland.ru/api/getInfo/image/76a1853e-318d-11f1-a292-00155d82e908")</f>
        <v>https://miland.ru/api/getInfo/image/76a1853e-318d-11f1-a292-00155d82e908</v>
      </c>
    </row>
    <row r="362" spans="1:19" s="1" customFormat="1" ht="12" customHeight="1" outlineLevel="5">
      <c r="A362" s="64" t="s">
        <v>692</v>
      </c>
      <c r="B362" s="64"/>
      <c r="C362" s="64"/>
      <c r="D362" s="64"/>
      <c r="E362" s="64"/>
      <c r="F362" s="64"/>
      <c r="G362" s="8"/>
      <c r="H362" s="12"/>
      <c r="I362" s="2"/>
      <c r="J362" s="2"/>
      <c r="K362" s="13"/>
      <c r="L362" s="2"/>
      <c r="M362" s="2"/>
      <c r="N362" s="2"/>
      <c r="O362" s="2"/>
      <c r="P362" s="2"/>
      <c r="Q362" s="2"/>
      <c r="R362" s="2"/>
      <c r="S362" s="2"/>
    </row>
    <row r="363" spans="1:19" s="2" customFormat="1" ht="96.2" customHeight="1" outlineLevel="6">
      <c r="A363" s="9">
        <v>231</v>
      </c>
      <c r="B363" s="10" t="s">
        <v>1021</v>
      </c>
      <c r="C363" s="65" t="s">
        <v>1022</v>
      </c>
      <c r="D363" s="65"/>
      <c r="E363" s="65"/>
      <c r="F363" s="65"/>
      <c r="G363" s="11" t="s">
        <v>1023</v>
      </c>
      <c r="H363" s="21" t="s">
        <v>44</v>
      </c>
      <c r="I363" s="15"/>
      <c r="J363" s="9">
        <v>1</v>
      </c>
      <c r="K363" s="16">
        <v>505.65</v>
      </c>
      <c r="L363" s="17"/>
      <c r="M363" s="15">
        <f>K363*L363</f>
        <v>0</v>
      </c>
      <c r="N363" s="18">
        <f>0.185*L363</f>
        <v>0</v>
      </c>
      <c r="O363" s="19">
        <f>0.00325*L363</f>
        <v>0</v>
      </c>
      <c r="P363" s="24" t="s">
        <v>26</v>
      </c>
      <c r="Q363" s="15" t="s">
        <v>1024</v>
      </c>
      <c r="R363" s="15"/>
      <c r="S363" s="10" t="str">
        <f>HYPERLINK("https://miland.ru/api/getInfo/image/f74e39e0-0647-11f1-a28f-00155d82e908")</f>
        <v>https://miland.ru/api/getInfo/image/f74e39e0-0647-11f1-a28f-00155d82e908</v>
      </c>
    </row>
    <row r="364" spans="1:19" s="1" customFormat="1" ht="12" customHeight="1" outlineLevel="5">
      <c r="A364" s="64" t="s">
        <v>618</v>
      </c>
      <c r="B364" s="64"/>
      <c r="C364" s="64"/>
      <c r="D364" s="64"/>
      <c r="E364" s="64"/>
      <c r="F364" s="64"/>
      <c r="G364" s="8"/>
      <c r="H364" s="12"/>
      <c r="I364" s="2"/>
      <c r="J364" s="2"/>
      <c r="K364" s="13"/>
      <c r="L364" s="2"/>
      <c r="M364" s="2"/>
      <c r="N364" s="2"/>
      <c r="O364" s="2"/>
      <c r="P364" s="2"/>
      <c r="Q364" s="2"/>
      <c r="R364" s="2"/>
      <c r="S364" s="2"/>
    </row>
    <row r="365" spans="1:19" s="2" customFormat="1" ht="96.2" customHeight="1" outlineLevel="6">
      <c r="A365" s="9">
        <v>232</v>
      </c>
      <c r="B365" s="10" t="s">
        <v>1025</v>
      </c>
      <c r="C365" s="65" t="s">
        <v>1026</v>
      </c>
      <c r="D365" s="65"/>
      <c r="E365" s="65"/>
      <c r="F365" s="65"/>
      <c r="G365" s="11" t="s">
        <v>1027</v>
      </c>
      <c r="H365" s="21" t="s">
        <v>44</v>
      </c>
      <c r="I365" s="15"/>
      <c r="J365" s="9">
        <v>1</v>
      </c>
      <c r="K365" s="22">
        <v>2399.2399999999998</v>
      </c>
      <c r="L365" s="17"/>
      <c r="M365" s="15">
        <f>K365*L365</f>
        <v>0</v>
      </c>
      <c r="N365" s="18">
        <f>0.163*L365</f>
        <v>0</v>
      </c>
      <c r="O365" s="19">
        <f>0.00133*L365</f>
        <v>0</v>
      </c>
      <c r="P365" s="24" t="s">
        <v>26</v>
      </c>
      <c r="Q365" s="15" t="s">
        <v>1028</v>
      </c>
      <c r="R365" s="15"/>
      <c r="S365" s="10" t="str">
        <f>HYPERLINK("https://miland.ru/api/getInfo/image/cd23731a-28d7-11f1-a291-00155d82e908")</f>
        <v>https://miland.ru/api/getInfo/image/cd23731a-28d7-11f1-a291-00155d82e908</v>
      </c>
    </row>
    <row r="366" spans="1:19" s="2" customFormat="1" ht="96.2" customHeight="1" outlineLevel="6">
      <c r="A366" s="9">
        <v>233</v>
      </c>
      <c r="B366" s="10" t="s">
        <v>1029</v>
      </c>
      <c r="C366" s="65" t="s">
        <v>1030</v>
      </c>
      <c r="D366" s="65"/>
      <c r="E366" s="65"/>
      <c r="F366" s="65"/>
      <c r="G366" s="11" t="s">
        <v>1031</v>
      </c>
      <c r="H366" s="21" t="s">
        <v>44</v>
      </c>
      <c r="I366" s="15"/>
      <c r="J366" s="9">
        <v>1</v>
      </c>
      <c r="K366" s="22">
        <v>4143.0200000000004</v>
      </c>
      <c r="L366" s="17"/>
      <c r="M366" s="15">
        <f>K366*L366</f>
        <v>0</v>
      </c>
      <c r="N366" s="18">
        <f>0.376*L366</f>
        <v>0</v>
      </c>
      <c r="O366" s="19">
        <f>0.00387*L366</f>
        <v>0</v>
      </c>
      <c r="P366" s="24" t="s">
        <v>26</v>
      </c>
      <c r="Q366" s="15" t="s">
        <v>1032</v>
      </c>
      <c r="R366" s="15"/>
      <c r="S366" s="10" t="str">
        <f>HYPERLINK("https://miland.ru/api/getInfo/image/40ada84e-28d7-11f1-a291-00155d82e908")</f>
        <v>https://miland.ru/api/getInfo/image/40ada84e-28d7-11f1-a291-00155d82e908</v>
      </c>
    </row>
    <row r="367" spans="1:19" s="2" customFormat="1" ht="96.2" customHeight="1" outlineLevel="6">
      <c r="A367" s="9">
        <v>234</v>
      </c>
      <c r="B367" s="10" t="s">
        <v>1033</v>
      </c>
      <c r="C367" s="65" t="s">
        <v>1034</v>
      </c>
      <c r="D367" s="65"/>
      <c r="E367" s="65"/>
      <c r="F367" s="65"/>
      <c r="G367" s="11" t="s">
        <v>1035</v>
      </c>
      <c r="H367" s="21" t="s">
        <v>44</v>
      </c>
      <c r="I367" s="15"/>
      <c r="J367" s="9">
        <v>1</v>
      </c>
      <c r="K367" s="16">
        <v>775.85</v>
      </c>
      <c r="L367" s="17"/>
      <c r="M367" s="15">
        <f>K367*L367</f>
        <v>0</v>
      </c>
      <c r="N367" s="18">
        <f>0.041*L367</f>
        <v>0</v>
      </c>
      <c r="O367" s="19">
        <f>0.00013*L367</f>
        <v>0</v>
      </c>
      <c r="P367" s="24" t="s">
        <v>26</v>
      </c>
      <c r="Q367" s="15" t="s">
        <v>1036</v>
      </c>
      <c r="R367" s="15"/>
      <c r="S367" s="10" t="str">
        <f>HYPERLINK("https://miland.ru/api/getInfo/image/15e85319-28f0-11f1-a291-00155d82e908")</f>
        <v>https://miland.ru/api/getInfo/image/15e85319-28f0-11f1-a291-00155d82e908</v>
      </c>
    </row>
    <row r="368" spans="1:19" s="2" customFormat="1" ht="96.2" customHeight="1" outlineLevel="6">
      <c r="A368" s="9">
        <v>235</v>
      </c>
      <c r="B368" s="10" t="s">
        <v>1037</v>
      </c>
      <c r="C368" s="65" t="s">
        <v>1038</v>
      </c>
      <c r="D368" s="65"/>
      <c r="E368" s="65"/>
      <c r="F368" s="65"/>
      <c r="G368" s="11" t="s">
        <v>1039</v>
      </c>
      <c r="H368" s="21" t="s">
        <v>44</v>
      </c>
      <c r="I368" s="15"/>
      <c r="J368" s="9">
        <v>1</v>
      </c>
      <c r="K368" s="16">
        <v>775.85</v>
      </c>
      <c r="L368" s="17"/>
      <c r="M368" s="15">
        <f>K368*L368</f>
        <v>0</v>
      </c>
      <c r="N368" s="18">
        <f>0.052*L368</f>
        <v>0</v>
      </c>
      <c r="O368" s="19">
        <f>0.00017*L368</f>
        <v>0</v>
      </c>
      <c r="P368" s="24" t="s">
        <v>26</v>
      </c>
      <c r="Q368" s="15" t="s">
        <v>1040</v>
      </c>
      <c r="R368" s="15"/>
      <c r="S368" s="10" t="str">
        <f>HYPERLINK("https://miland.ru/api/getInfo/image/dbdfab63-28ee-11f1-a291-00155d82e908")</f>
        <v>https://miland.ru/api/getInfo/image/dbdfab63-28ee-11f1-a291-00155d82e908</v>
      </c>
    </row>
    <row r="369" spans="1:19" s="2" customFormat="1" ht="96.2" customHeight="1" outlineLevel="6">
      <c r="A369" s="9">
        <v>236</v>
      </c>
      <c r="B369" s="10" t="s">
        <v>1041</v>
      </c>
      <c r="C369" s="65" t="s">
        <v>1042</v>
      </c>
      <c r="D369" s="65"/>
      <c r="E369" s="65"/>
      <c r="F369" s="65"/>
      <c r="G369" s="11" t="s">
        <v>1043</v>
      </c>
      <c r="H369" s="21" t="s">
        <v>44</v>
      </c>
      <c r="I369" s="15"/>
      <c r="J369" s="9">
        <v>1</v>
      </c>
      <c r="K369" s="16">
        <v>775.85</v>
      </c>
      <c r="L369" s="17"/>
      <c r="M369" s="15">
        <f>K369*L369</f>
        <v>0</v>
      </c>
      <c r="N369" s="23">
        <f>0.03*L369</f>
        <v>0</v>
      </c>
      <c r="O369" s="19">
        <f>0.00011*L369</f>
        <v>0</v>
      </c>
      <c r="P369" s="24" t="s">
        <v>26</v>
      </c>
      <c r="Q369" s="15" t="s">
        <v>1044</v>
      </c>
      <c r="R369" s="15"/>
      <c r="S369" s="10" t="str">
        <f>HYPERLINK("https://miland.ru/api/getInfo/image/2e289ac5-28f0-11f1-a291-00155d82e908")</f>
        <v>https://miland.ru/api/getInfo/image/2e289ac5-28f0-11f1-a291-00155d82e908</v>
      </c>
    </row>
    <row r="370" spans="1:19" s="1" customFormat="1" ht="12" customHeight="1" outlineLevel="5">
      <c r="A370" s="64" t="s">
        <v>65</v>
      </c>
      <c r="B370" s="64"/>
      <c r="C370" s="64"/>
      <c r="D370" s="64"/>
      <c r="E370" s="64"/>
      <c r="F370" s="64"/>
      <c r="G370" s="8"/>
      <c r="H370" s="12"/>
      <c r="I370" s="2"/>
      <c r="J370" s="2"/>
      <c r="K370" s="13"/>
      <c r="L370" s="2"/>
      <c r="M370" s="2"/>
      <c r="N370" s="2"/>
      <c r="O370" s="2"/>
      <c r="P370" s="2"/>
      <c r="Q370" s="2"/>
      <c r="R370" s="2"/>
      <c r="S370" s="2"/>
    </row>
    <row r="371" spans="1:19" s="2" customFormat="1" ht="96.2" customHeight="1" outlineLevel="6">
      <c r="A371" s="9">
        <v>237</v>
      </c>
      <c r="B371" s="10" t="s">
        <v>1045</v>
      </c>
      <c r="C371" s="65" t="s">
        <v>1046</v>
      </c>
      <c r="D371" s="65"/>
      <c r="E371" s="65"/>
      <c r="F371" s="65"/>
      <c r="G371" s="11" t="s">
        <v>1047</v>
      </c>
      <c r="H371" s="21" t="s">
        <v>44</v>
      </c>
      <c r="I371" s="15"/>
      <c r="J371" s="9">
        <v>1</v>
      </c>
      <c r="K371" s="16">
        <v>658.67</v>
      </c>
      <c r="L371" s="17"/>
      <c r="M371" s="15">
        <f>K371*L371</f>
        <v>0</v>
      </c>
      <c r="N371" s="18">
        <f>0.055*L371</f>
        <v>0</v>
      </c>
      <c r="O371" s="19">
        <f>0.00025*L371</f>
        <v>0</v>
      </c>
      <c r="P371" s="24" t="s">
        <v>26</v>
      </c>
      <c r="Q371" s="15" t="s">
        <v>1048</v>
      </c>
      <c r="R371" s="15"/>
      <c r="S371" s="10" t="str">
        <f>HYPERLINK("https://miland.ru/api/getInfo/image/27799301-08d1-11f1-a28f-00155d82e908")</f>
        <v>https://miland.ru/api/getInfo/image/27799301-08d1-11f1-a28f-00155d82e908</v>
      </c>
    </row>
    <row r="372" spans="1:19" s="2" customFormat="1" ht="96.2" customHeight="1" outlineLevel="6">
      <c r="A372" s="9">
        <v>238</v>
      </c>
      <c r="B372" s="10" t="s">
        <v>1049</v>
      </c>
      <c r="C372" s="65" t="s">
        <v>1050</v>
      </c>
      <c r="D372" s="65"/>
      <c r="E372" s="65"/>
      <c r="F372" s="65"/>
      <c r="G372" s="11" t="s">
        <v>1051</v>
      </c>
      <c r="H372" s="21" t="s">
        <v>44</v>
      </c>
      <c r="I372" s="15"/>
      <c r="J372" s="9">
        <v>1</v>
      </c>
      <c r="K372" s="16">
        <v>658.67</v>
      </c>
      <c r="L372" s="17"/>
      <c r="M372" s="15">
        <f>K372*L372</f>
        <v>0</v>
      </c>
      <c r="N372" s="18">
        <f>0.043*L372</f>
        <v>0</v>
      </c>
      <c r="O372" s="19">
        <f>0.00025*L372</f>
        <v>0</v>
      </c>
      <c r="P372" s="24" t="s">
        <v>26</v>
      </c>
      <c r="Q372" s="15" t="s">
        <v>1052</v>
      </c>
      <c r="R372" s="15"/>
      <c r="S372" s="10" t="str">
        <f>HYPERLINK("https://miland.ru/api/getInfo/image/39616bdc-08d5-11f1-a28f-00155d82e908")</f>
        <v>https://miland.ru/api/getInfo/image/39616bdc-08d5-11f1-a28f-00155d82e908</v>
      </c>
    </row>
    <row r="373" spans="1:19" s="1" customFormat="1" ht="12" customHeight="1" outlineLevel="4">
      <c r="A373" s="64" t="s">
        <v>489</v>
      </c>
      <c r="B373" s="64"/>
      <c r="C373" s="64"/>
      <c r="D373" s="64"/>
      <c r="E373" s="64"/>
      <c r="F373" s="64"/>
      <c r="G373" s="8"/>
      <c r="H373" s="12"/>
      <c r="I373" s="2"/>
      <c r="J373" s="2"/>
      <c r="K373" s="13"/>
      <c r="L373" s="2"/>
      <c r="M373" s="2"/>
      <c r="N373" s="2"/>
      <c r="O373" s="2"/>
      <c r="P373" s="2"/>
      <c r="Q373" s="2"/>
      <c r="R373" s="2"/>
      <c r="S373" s="2"/>
    </row>
    <row r="374" spans="1:19" s="2" customFormat="1" ht="96.2" customHeight="1" outlineLevel="5">
      <c r="A374" s="9">
        <v>239</v>
      </c>
      <c r="B374" s="10" t="s">
        <v>1053</v>
      </c>
      <c r="C374" s="65" t="s">
        <v>1054</v>
      </c>
      <c r="D374" s="65"/>
      <c r="E374" s="65"/>
      <c r="F374" s="65"/>
      <c r="G374" s="11" t="s">
        <v>1055</v>
      </c>
      <c r="H374" s="21" t="s">
        <v>44</v>
      </c>
      <c r="I374" s="15"/>
      <c r="J374" s="9">
        <v>1</v>
      </c>
      <c r="K374" s="16">
        <v>642.25</v>
      </c>
      <c r="L374" s="17"/>
      <c r="M374" s="15">
        <f>K374*L374</f>
        <v>0</v>
      </c>
      <c r="N374" s="18">
        <f>0.089*L374</f>
        <v>0</v>
      </c>
      <c r="O374" s="19">
        <f>0.00135*L374</f>
        <v>0</v>
      </c>
      <c r="P374" s="24" t="s">
        <v>26</v>
      </c>
      <c r="Q374" s="15" t="s">
        <v>1056</v>
      </c>
      <c r="R374" s="15"/>
      <c r="S374" s="10" t="str">
        <f>HYPERLINK("https://miland.ru/api/getInfo/image/3a1d4d58-f5f1-11f0-a28d-00155d82e908")</f>
        <v>https://miland.ru/api/getInfo/image/3a1d4d58-f5f1-11f0-a28d-00155d82e908</v>
      </c>
    </row>
    <row r="375" spans="1:19" s="2" customFormat="1" ht="96.2" customHeight="1" outlineLevel="5">
      <c r="A375" s="9">
        <v>240</v>
      </c>
      <c r="B375" s="10" t="s">
        <v>1057</v>
      </c>
      <c r="C375" s="65" t="s">
        <v>1058</v>
      </c>
      <c r="D375" s="65"/>
      <c r="E375" s="65"/>
      <c r="F375" s="65"/>
      <c r="G375" s="11" t="s">
        <v>1059</v>
      </c>
      <c r="H375" s="21" t="s">
        <v>44</v>
      </c>
      <c r="I375" s="15"/>
      <c r="J375" s="9">
        <v>1</v>
      </c>
      <c r="K375" s="16">
        <v>642.25</v>
      </c>
      <c r="L375" s="17"/>
      <c r="M375" s="15">
        <f>K375*L375</f>
        <v>0</v>
      </c>
      <c r="N375" s="18">
        <f>0.088*L375</f>
        <v>0</v>
      </c>
      <c r="O375" s="19">
        <f>0.00137*L375</f>
        <v>0</v>
      </c>
      <c r="P375" s="24" t="s">
        <v>26</v>
      </c>
      <c r="Q375" s="15" t="s">
        <v>1060</v>
      </c>
      <c r="R375" s="15"/>
      <c r="S375" s="10" t="str">
        <f>HYPERLINK("https://miland.ru/api/getInfo/image/f63ab076-f5f0-11f0-a28d-00155d82e908")</f>
        <v>https://miland.ru/api/getInfo/image/f63ab076-f5f0-11f0-a28d-00155d82e908</v>
      </c>
    </row>
    <row r="376" spans="1:19" s="2" customFormat="1" ht="96.2" customHeight="1" outlineLevel="5">
      <c r="A376" s="9">
        <v>241</v>
      </c>
      <c r="B376" s="10" t="s">
        <v>1061</v>
      </c>
      <c r="C376" s="65" t="s">
        <v>1062</v>
      </c>
      <c r="D376" s="65"/>
      <c r="E376" s="65"/>
      <c r="F376" s="65"/>
      <c r="G376" s="11" t="s">
        <v>1063</v>
      </c>
      <c r="H376" s="21" t="s">
        <v>44</v>
      </c>
      <c r="I376" s="15"/>
      <c r="J376" s="9">
        <v>1</v>
      </c>
      <c r="K376" s="16">
        <v>642.25</v>
      </c>
      <c r="L376" s="17"/>
      <c r="M376" s="15">
        <f>K376*L376</f>
        <v>0</v>
      </c>
      <c r="N376" s="18">
        <f>0.087*L376</f>
        <v>0</v>
      </c>
      <c r="O376" s="19">
        <f>0.00137*L376</f>
        <v>0</v>
      </c>
      <c r="P376" s="24" t="s">
        <v>26</v>
      </c>
      <c r="Q376" s="15" t="s">
        <v>1064</v>
      </c>
      <c r="R376" s="15"/>
      <c r="S376" s="10" t="str">
        <f>HYPERLINK("https://miland.ru/api/getInfo/image/708ddc7f-f5f1-11f0-a28d-00155d82e908")</f>
        <v>https://miland.ru/api/getInfo/image/708ddc7f-f5f1-11f0-a28d-00155d82e908</v>
      </c>
    </row>
    <row r="377" spans="1:19" s="1" customFormat="1" ht="12" customHeight="1" outlineLevel="3">
      <c r="A377" s="64" t="s">
        <v>1065</v>
      </c>
      <c r="B377" s="64"/>
      <c r="C377" s="64"/>
      <c r="D377" s="64"/>
      <c r="E377" s="64"/>
      <c r="F377" s="64"/>
      <c r="G377" s="8"/>
      <c r="H377" s="12"/>
      <c r="I377" s="2"/>
      <c r="J377" s="2"/>
      <c r="K377" s="13"/>
      <c r="L377" s="2"/>
      <c r="M377" s="2"/>
      <c r="N377" s="2"/>
      <c r="O377" s="2"/>
      <c r="P377" s="2"/>
      <c r="Q377" s="2"/>
      <c r="R377" s="2"/>
      <c r="S377" s="2"/>
    </row>
    <row r="378" spans="1:19" s="1" customFormat="1" ht="12" customHeight="1" outlineLevel="4">
      <c r="A378" s="64" t="s">
        <v>1066</v>
      </c>
      <c r="B378" s="64"/>
      <c r="C378" s="64"/>
      <c r="D378" s="64"/>
      <c r="E378" s="64"/>
      <c r="F378" s="64"/>
      <c r="G378" s="8"/>
      <c r="H378" s="12"/>
      <c r="I378" s="2"/>
      <c r="J378" s="2"/>
      <c r="K378" s="13"/>
      <c r="L378" s="2"/>
      <c r="M378" s="2"/>
      <c r="N378" s="2"/>
      <c r="O378" s="2"/>
      <c r="P378" s="2"/>
      <c r="Q378" s="2"/>
      <c r="R378" s="2"/>
      <c r="S378" s="2"/>
    </row>
    <row r="379" spans="1:19" s="1" customFormat="1" ht="12" customHeight="1" outlineLevel="5">
      <c r="A379" s="64" t="s">
        <v>327</v>
      </c>
      <c r="B379" s="64"/>
      <c r="C379" s="64"/>
      <c r="D379" s="64"/>
      <c r="E379" s="64"/>
      <c r="F379" s="64"/>
      <c r="G379" s="8"/>
      <c r="H379" s="12"/>
      <c r="I379" s="2"/>
      <c r="J379" s="2"/>
      <c r="K379" s="13"/>
      <c r="L379" s="2"/>
      <c r="M379" s="2"/>
      <c r="N379" s="2"/>
      <c r="O379" s="2"/>
      <c r="P379" s="2"/>
      <c r="Q379" s="2"/>
      <c r="R379" s="2"/>
      <c r="S379" s="2"/>
    </row>
    <row r="380" spans="1:19" s="1" customFormat="1" ht="12" customHeight="1" outlineLevel="6">
      <c r="A380" s="64" t="s">
        <v>328</v>
      </c>
      <c r="B380" s="64"/>
      <c r="C380" s="64"/>
      <c r="D380" s="64"/>
      <c r="E380" s="64"/>
      <c r="F380" s="64"/>
      <c r="G380" s="8"/>
      <c r="H380" s="12"/>
      <c r="I380" s="2"/>
      <c r="J380" s="2"/>
      <c r="K380" s="13"/>
      <c r="L380" s="2"/>
      <c r="M380" s="2"/>
      <c r="N380" s="2"/>
      <c r="O380" s="2"/>
      <c r="P380" s="2"/>
      <c r="Q380" s="2"/>
      <c r="R380" s="2"/>
      <c r="S380" s="2"/>
    </row>
    <row r="381" spans="1:19" s="1" customFormat="1" ht="12" customHeight="1" outlineLevel="7">
      <c r="A381" s="64" t="s">
        <v>692</v>
      </c>
      <c r="B381" s="64"/>
      <c r="C381" s="64"/>
      <c r="D381" s="64"/>
      <c r="E381" s="64"/>
      <c r="F381" s="64"/>
      <c r="G381" s="8"/>
      <c r="H381" s="12"/>
      <c r="I381" s="2"/>
      <c r="J381" s="2"/>
      <c r="K381" s="13"/>
      <c r="L381" s="2"/>
      <c r="M381" s="2"/>
      <c r="N381" s="2"/>
      <c r="O381" s="2"/>
      <c r="P381" s="2"/>
      <c r="Q381" s="2"/>
      <c r="R381" s="2"/>
      <c r="S381" s="2"/>
    </row>
    <row r="382" spans="1:19" s="2" customFormat="1" ht="96.2" customHeight="1" outlineLevel="7">
      <c r="A382" s="9">
        <v>242</v>
      </c>
      <c r="B382" s="10" t="s">
        <v>1067</v>
      </c>
      <c r="C382" s="65" t="s">
        <v>1068</v>
      </c>
      <c r="D382" s="65"/>
      <c r="E382" s="65"/>
      <c r="F382" s="65"/>
      <c r="G382" s="11" t="s">
        <v>1069</v>
      </c>
      <c r="H382" s="21" t="s">
        <v>44</v>
      </c>
      <c r="I382" s="15"/>
      <c r="J382" s="9">
        <v>1</v>
      </c>
      <c r="K382" s="16">
        <v>505.65</v>
      </c>
      <c r="L382" s="17"/>
      <c r="M382" s="15">
        <f>K382*L382</f>
        <v>0</v>
      </c>
      <c r="N382" s="18">
        <f>0.172*L382</f>
        <v>0</v>
      </c>
      <c r="O382" s="19">
        <f>0.00356*L382</f>
        <v>0</v>
      </c>
      <c r="P382" s="24" t="s">
        <v>26</v>
      </c>
      <c r="Q382" s="15" t="s">
        <v>1070</v>
      </c>
      <c r="R382" s="15"/>
      <c r="S382" s="10" t="str">
        <f>HYPERLINK("https://miland.ru/api/getInfo/image/cb8478fe-5908-11f1-a295-00155d82e908")</f>
        <v>https://miland.ru/api/getInfo/image/cb8478fe-5908-11f1-a295-00155d82e908</v>
      </c>
    </row>
    <row r="383" spans="1:19" s="1" customFormat="1" ht="12" customHeight="1" outlineLevel="7">
      <c r="A383" s="64" t="s">
        <v>362</v>
      </c>
      <c r="B383" s="64"/>
      <c r="C383" s="64"/>
      <c r="D383" s="64"/>
      <c r="E383" s="64"/>
      <c r="F383" s="64"/>
      <c r="G383" s="8"/>
      <c r="H383" s="12"/>
      <c r="I383" s="2"/>
      <c r="J383" s="2"/>
      <c r="K383" s="13"/>
      <c r="L383" s="2"/>
      <c r="M383" s="2"/>
      <c r="N383" s="2"/>
      <c r="O383" s="2"/>
      <c r="P383" s="2"/>
      <c r="Q383" s="2"/>
      <c r="R383" s="2"/>
      <c r="S383" s="2"/>
    </row>
    <row r="384" spans="1:19" s="2" customFormat="1" ht="96.2" customHeight="1" outlineLevel="7">
      <c r="A384" s="9">
        <v>243</v>
      </c>
      <c r="B384" s="10" t="s">
        <v>1071</v>
      </c>
      <c r="C384" s="65" t="s">
        <v>1072</v>
      </c>
      <c r="D384" s="65"/>
      <c r="E384" s="65"/>
      <c r="F384" s="65"/>
      <c r="G384" s="11" t="s">
        <v>1073</v>
      </c>
      <c r="H384" s="14">
        <v>245</v>
      </c>
      <c r="I384" s="15"/>
      <c r="J384" s="9">
        <v>1</v>
      </c>
      <c r="K384" s="16">
        <v>586.66999999999996</v>
      </c>
      <c r="L384" s="17"/>
      <c r="M384" s="15">
        <f>K384*L384</f>
        <v>0</v>
      </c>
      <c r="N384" s="18">
        <f>0.076*L384</f>
        <v>0</v>
      </c>
      <c r="O384" s="20">
        <f>0.0005*L384</f>
        <v>0</v>
      </c>
      <c r="P384" s="24" t="s">
        <v>26</v>
      </c>
      <c r="Q384" s="15" t="s">
        <v>1074</v>
      </c>
      <c r="R384" s="15"/>
      <c r="S384" s="10" t="str">
        <f>HYPERLINK("https://miland.ru/api/getInfo/image/86c82067-5e54-11f1-a295-00155d82e908")</f>
        <v>https://miland.ru/api/getInfo/image/86c82067-5e54-11f1-a295-00155d82e908</v>
      </c>
    </row>
    <row r="385" spans="1:19" s="2" customFormat="1" ht="96.2" customHeight="1" outlineLevel="7">
      <c r="A385" s="9">
        <v>244</v>
      </c>
      <c r="B385" s="10" t="s">
        <v>1075</v>
      </c>
      <c r="C385" s="65" t="s">
        <v>1076</v>
      </c>
      <c r="D385" s="65"/>
      <c r="E385" s="65"/>
      <c r="F385" s="65"/>
      <c r="G385" s="11" t="s">
        <v>1077</v>
      </c>
      <c r="H385" s="21" t="s">
        <v>44</v>
      </c>
      <c r="I385" s="15"/>
      <c r="J385" s="9">
        <v>1</v>
      </c>
      <c r="K385" s="16">
        <v>867.89</v>
      </c>
      <c r="L385" s="17"/>
      <c r="M385" s="15">
        <f>K385*L385</f>
        <v>0</v>
      </c>
      <c r="N385" s="18">
        <f>0.249*L385</f>
        <v>0</v>
      </c>
      <c r="O385" s="19">
        <f>0.00075*L385</f>
        <v>0</v>
      </c>
      <c r="P385" s="24" t="s">
        <v>26</v>
      </c>
      <c r="Q385" s="15" t="s">
        <v>1078</v>
      </c>
      <c r="R385" s="15"/>
      <c r="S385" s="10" t="str">
        <f>HYPERLINK("https://miland.ru/api/getInfo/image/4a5ee632-54f9-11f1-a295-00155d82e908")</f>
        <v>https://miland.ru/api/getInfo/image/4a5ee632-54f9-11f1-a295-00155d82e908</v>
      </c>
    </row>
    <row r="386" spans="1:19" s="2" customFormat="1" ht="96.2" customHeight="1" outlineLevel="7">
      <c r="A386" s="9">
        <v>245</v>
      </c>
      <c r="B386" s="10" t="s">
        <v>1079</v>
      </c>
      <c r="C386" s="65" t="s">
        <v>1080</v>
      </c>
      <c r="D386" s="65"/>
      <c r="E386" s="65"/>
      <c r="F386" s="65"/>
      <c r="G386" s="11" t="s">
        <v>1081</v>
      </c>
      <c r="H386" s="21" t="s">
        <v>44</v>
      </c>
      <c r="I386" s="15"/>
      <c r="J386" s="9">
        <v>7</v>
      </c>
      <c r="K386" s="16">
        <v>93.82</v>
      </c>
      <c r="L386" s="17"/>
      <c r="M386" s="15">
        <f>K386*L386</f>
        <v>0</v>
      </c>
      <c r="N386" s="18">
        <f>0.008*L386</f>
        <v>0</v>
      </c>
      <c r="O386" s="19">
        <f>0.00003*L386</f>
        <v>0</v>
      </c>
      <c r="P386" s="24" t="s">
        <v>26</v>
      </c>
      <c r="Q386" s="15" t="s">
        <v>1082</v>
      </c>
      <c r="R386" s="15"/>
      <c r="S386" s="10" t="str">
        <f>HYPERLINK("https://miland.ru/api/getInfo/image/bdebbc3e-5e55-11f1-a295-00155d82e908")</f>
        <v>https://miland.ru/api/getInfo/image/bdebbc3e-5e55-11f1-a295-00155d82e908</v>
      </c>
    </row>
    <row r="387" spans="1:19" s="2" customFormat="1" ht="96.2" customHeight="1" outlineLevel="7">
      <c r="A387" s="9">
        <v>246</v>
      </c>
      <c r="B387" s="10" t="s">
        <v>1083</v>
      </c>
      <c r="C387" s="65" t="s">
        <v>1084</v>
      </c>
      <c r="D387" s="65"/>
      <c r="E387" s="65"/>
      <c r="F387" s="65"/>
      <c r="G387" s="11" t="s">
        <v>1085</v>
      </c>
      <c r="H387" s="21" t="s">
        <v>44</v>
      </c>
      <c r="I387" s="15"/>
      <c r="J387" s="9">
        <v>7</v>
      </c>
      <c r="K387" s="16">
        <v>93.82</v>
      </c>
      <c r="L387" s="17"/>
      <c r="M387" s="15">
        <f>K387*L387</f>
        <v>0</v>
      </c>
      <c r="N387" s="23">
        <f>0.01*L387</f>
        <v>0</v>
      </c>
      <c r="O387" s="19">
        <f>0.00004*L387</f>
        <v>0</v>
      </c>
      <c r="P387" s="24" t="s">
        <v>26</v>
      </c>
      <c r="Q387" s="15" t="s">
        <v>1086</v>
      </c>
      <c r="R387" s="15"/>
      <c r="S387" s="10" t="str">
        <f>HYPERLINK("https://miland.ru/api/getInfo/image/9b570251-5e54-11f1-a295-00155d82e908")</f>
        <v>https://miland.ru/api/getInfo/image/9b570251-5e54-11f1-a295-00155d82e908</v>
      </c>
    </row>
    <row r="388" spans="1:19" s="2" customFormat="1" ht="96.2" customHeight="1" outlineLevel="7">
      <c r="A388" s="9">
        <v>247</v>
      </c>
      <c r="B388" s="10" t="s">
        <v>1087</v>
      </c>
      <c r="C388" s="65" t="s">
        <v>1088</v>
      </c>
      <c r="D388" s="65"/>
      <c r="E388" s="65"/>
      <c r="F388" s="65"/>
      <c r="G388" s="11" t="s">
        <v>1089</v>
      </c>
      <c r="H388" s="14">
        <v>382</v>
      </c>
      <c r="I388" s="15"/>
      <c r="J388" s="9">
        <v>7</v>
      </c>
      <c r="K388" s="16">
        <v>93.82</v>
      </c>
      <c r="L388" s="17"/>
      <c r="M388" s="15">
        <f>K388*L388</f>
        <v>0</v>
      </c>
      <c r="N388" s="18">
        <f>0.007*L388</f>
        <v>0</v>
      </c>
      <c r="O388" s="19">
        <f>0.00003*L388</f>
        <v>0</v>
      </c>
      <c r="P388" s="24" t="s">
        <v>26</v>
      </c>
      <c r="Q388" s="15" t="s">
        <v>1090</v>
      </c>
      <c r="R388" s="15"/>
      <c r="S388" s="10" t="str">
        <f>HYPERLINK("https://miland.ru/api/getInfo/image/d4e7dd04-5e54-11f1-a295-00155d82e908")</f>
        <v>https://miland.ru/api/getInfo/image/d4e7dd04-5e54-11f1-a295-00155d82e908</v>
      </c>
    </row>
    <row r="389" spans="1:19" s="1" customFormat="1" ht="12" customHeight="1" outlineLevel="4">
      <c r="A389" s="64" t="s">
        <v>1091</v>
      </c>
      <c r="B389" s="64"/>
      <c r="C389" s="64"/>
      <c r="D389" s="64"/>
      <c r="E389" s="64"/>
      <c r="F389" s="64"/>
      <c r="G389" s="8"/>
      <c r="H389" s="12"/>
      <c r="I389" s="2"/>
      <c r="J389" s="2"/>
      <c r="K389" s="13"/>
      <c r="L389" s="2"/>
      <c r="M389" s="2"/>
      <c r="N389" s="2"/>
      <c r="O389" s="2"/>
      <c r="P389" s="2"/>
      <c r="Q389" s="2"/>
      <c r="R389" s="2"/>
      <c r="S389" s="2"/>
    </row>
    <row r="390" spans="1:19" s="1" customFormat="1" ht="12" customHeight="1" outlineLevel="5">
      <c r="A390" s="64" t="s">
        <v>59</v>
      </c>
      <c r="B390" s="64"/>
      <c r="C390" s="64"/>
      <c r="D390" s="64"/>
      <c r="E390" s="64"/>
      <c r="F390" s="64"/>
      <c r="G390" s="8"/>
      <c r="H390" s="12"/>
      <c r="I390" s="2"/>
      <c r="J390" s="2"/>
      <c r="K390" s="13"/>
      <c r="L390" s="2"/>
      <c r="M390" s="2"/>
      <c r="N390" s="2"/>
      <c r="O390" s="2"/>
      <c r="P390" s="2"/>
      <c r="Q390" s="2"/>
      <c r="R390" s="2"/>
      <c r="S390" s="2"/>
    </row>
    <row r="391" spans="1:19" s="1" customFormat="1" ht="12" customHeight="1" outlineLevel="6">
      <c r="A391" s="64" t="s">
        <v>1092</v>
      </c>
      <c r="B391" s="64"/>
      <c r="C391" s="64"/>
      <c r="D391" s="64"/>
      <c r="E391" s="64"/>
      <c r="F391" s="64"/>
      <c r="G391" s="8"/>
      <c r="H391" s="12"/>
      <c r="I391" s="2"/>
      <c r="J391" s="2"/>
      <c r="K391" s="13"/>
      <c r="L391" s="2"/>
      <c r="M391" s="2"/>
      <c r="N391" s="2"/>
      <c r="O391" s="2"/>
      <c r="P391" s="2"/>
      <c r="Q391" s="2"/>
      <c r="R391" s="2"/>
      <c r="S391" s="2"/>
    </row>
    <row r="392" spans="1:19" s="2" customFormat="1" ht="96.2" customHeight="1" outlineLevel="7">
      <c r="A392" s="25">
        <v>248</v>
      </c>
      <c r="B392" s="26" t="s">
        <v>1093</v>
      </c>
      <c r="C392" s="66" t="s">
        <v>1094</v>
      </c>
      <c r="D392" s="66"/>
      <c r="E392" s="66"/>
      <c r="F392" s="66"/>
      <c r="G392" s="27" t="s">
        <v>1095</v>
      </c>
      <c r="H392" s="33">
        <v>52</v>
      </c>
      <c r="I392" s="29"/>
      <c r="J392" s="25">
        <v>24</v>
      </c>
      <c r="K392" s="30">
        <v>22.96</v>
      </c>
      <c r="L392" s="17"/>
      <c r="M392" s="29">
        <f>K392*L392</f>
        <v>0</v>
      </c>
      <c r="N392" s="31">
        <f>0.006*L392</f>
        <v>0</v>
      </c>
      <c r="O392" s="32">
        <f>0.00002*L392</f>
        <v>0</v>
      </c>
      <c r="P392" s="36"/>
      <c r="Q392" s="29" t="s">
        <v>1096</v>
      </c>
      <c r="R392" s="29" t="s">
        <v>611</v>
      </c>
      <c r="S392" s="26" t="str">
        <f>HYPERLINK("https://miland.ru/api/getInfo/image/40fe199b-18e7-11ef-a25d-00155d82e908")</f>
        <v>https://miland.ru/api/getInfo/image/40fe199b-18e7-11ef-a25d-00155d82e908</v>
      </c>
    </row>
    <row r="393" spans="1:19" s="1" customFormat="1" ht="12" customHeight="1" outlineLevel="6">
      <c r="A393" s="64" t="s">
        <v>1097</v>
      </c>
      <c r="B393" s="64"/>
      <c r="C393" s="64"/>
      <c r="D393" s="64"/>
      <c r="E393" s="64"/>
      <c r="F393" s="64"/>
      <c r="G393" s="8"/>
      <c r="H393" s="12"/>
      <c r="I393" s="2"/>
      <c r="J393" s="2"/>
      <c r="K393" s="13"/>
      <c r="L393" s="2"/>
      <c r="M393" s="2"/>
      <c r="N393" s="2"/>
      <c r="O393" s="2"/>
      <c r="P393" s="2"/>
      <c r="Q393" s="2"/>
      <c r="R393" s="2"/>
      <c r="S393" s="2"/>
    </row>
    <row r="394" spans="1:19" s="2" customFormat="1" ht="96.2" customHeight="1" outlineLevel="7">
      <c r="A394" s="25">
        <v>249</v>
      </c>
      <c r="B394" s="26" t="s">
        <v>1098</v>
      </c>
      <c r="C394" s="66" t="s">
        <v>1099</v>
      </c>
      <c r="D394" s="66"/>
      <c r="E394" s="66"/>
      <c r="F394" s="66"/>
      <c r="G394" s="27" t="s">
        <v>1100</v>
      </c>
      <c r="H394" s="28" t="s">
        <v>44</v>
      </c>
      <c r="I394" s="29"/>
      <c r="J394" s="25">
        <v>4</v>
      </c>
      <c r="K394" s="30">
        <v>154.94</v>
      </c>
      <c r="L394" s="17"/>
      <c r="M394" s="29">
        <f t="shared" ref="M394:M400" si="15">K394*L394</f>
        <v>0</v>
      </c>
      <c r="N394" s="31">
        <f>0.031*L394</f>
        <v>0</v>
      </c>
      <c r="O394" s="32">
        <f>0.00017*L394</f>
        <v>0</v>
      </c>
      <c r="P394" s="36"/>
      <c r="Q394" s="29" t="s">
        <v>1101</v>
      </c>
      <c r="R394" s="29" t="s">
        <v>611</v>
      </c>
      <c r="S394" s="26" t="str">
        <f>HYPERLINK("https://miland.ru/api/getInfo/image/78d3bb2a-f8d5-11ee-a25d-00155d82e908")</f>
        <v>https://miland.ru/api/getInfo/image/78d3bb2a-f8d5-11ee-a25d-00155d82e908</v>
      </c>
    </row>
    <row r="395" spans="1:19" s="2" customFormat="1" ht="96.2" customHeight="1" outlineLevel="7">
      <c r="A395" s="25">
        <v>250</v>
      </c>
      <c r="B395" s="26" t="s">
        <v>1102</v>
      </c>
      <c r="C395" s="66" t="s">
        <v>1103</v>
      </c>
      <c r="D395" s="66"/>
      <c r="E395" s="66"/>
      <c r="F395" s="66"/>
      <c r="G395" s="27" t="s">
        <v>1104</v>
      </c>
      <c r="H395" s="33">
        <v>177</v>
      </c>
      <c r="I395" s="29"/>
      <c r="J395" s="25">
        <v>4</v>
      </c>
      <c r="K395" s="30">
        <v>154.94</v>
      </c>
      <c r="L395" s="17"/>
      <c r="M395" s="29">
        <f t="shared" si="15"/>
        <v>0</v>
      </c>
      <c r="N395" s="31">
        <f>0.047*L395</f>
        <v>0</v>
      </c>
      <c r="O395" s="32">
        <f>0.00016*L395</f>
        <v>0</v>
      </c>
      <c r="P395" s="36"/>
      <c r="Q395" s="29" t="s">
        <v>1105</v>
      </c>
      <c r="R395" s="29" t="s">
        <v>611</v>
      </c>
      <c r="S395" s="26" t="str">
        <f>HYPERLINK("https://miland.ru/api/getInfo/image/8cc6a7fb-f8d5-11ee-a25d-00155d82e908")</f>
        <v>https://miland.ru/api/getInfo/image/8cc6a7fb-f8d5-11ee-a25d-00155d82e908</v>
      </c>
    </row>
    <row r="396" spans="1:19" s="2" customFormat="1" ht="96.2" customHeight="1" outlineLevel="7">
      <c r="A396" s="25">
        <v>251</v>
      </c>
      <c r="B396" s="26" t="s">
        <v>1106</v>
      </c>
      <c r="C396" s="66" t="s">
        <v>1107</v>
      </c>
      <c r="D396" s="66"/>
      <c r="E396" s="66"/>
      <c r="F396" s="66"/>
      <c r="G396" s="27" t="s">
        <v>1108</v>
      </c>
      <c r="H396" s="28" t="s">
        <v>44</v>
      </c>
      <c r="I396" s="29"/>
      <c r="J396" s="25">
        <v>4</v>
      </c>
      <c r="K396" s="30">
        <v>154.94</v>
      </c>
      <c r="L396" s="17"/>
      <c r="M396" s="29">
        <f t="shared" si="15"/>
        <v>0</v>
      </c>
      <c r="N396" s="31">
        <f>0.052*L396</f>
        <v>0</v>
      </c>
      <c r="O396" s="32">
        <f>0.00016*L396</f>
        <v>0</v>
      </c>
      <c r="P396" s="36"/>
      <c r="Q396" s="29" t="s">
        <v>1109</v>
      </c>
      <c r="R396" s="29" t="s">
        <v>611</v>
      </c>
      <c r="S396" s="26" t="str">
        <f>HYPERLINK("https://miland.ru/api/getInfo/image/a66cbe3c-f8d5-11ee-a25d-00155d82e908")</f>
        <v>https://miland.ru/api/getInfo/image/a66cbe3c-f8d5-11ee-a25d-00155d82e908</v>
      </c>
    </row>
    <row r="397" spans="1:19" s="2" customFormat="1" ht="96.2" customHeight="1" outlineLevel="7">
      <c r="A397" s="25">
        <v>252</v>
      </c>
      <c r="B397" s="26" t="s">
        <v>1110</v>
      </c>
      <c r="C397" s="66" t="s">
        <v>1111</v>
      </c>
      <c r="D397" s="66"/>
      <c r="E397" s="66"/>
      <c r="F397" s="66"/>
      <c r="G397" s="27" t="s">
        <v>1112</v>
      </c>
      <c r="H397" s="28" t="s">
        <v>44</v>
      </c>
      <c r="I397" s="29"/>
      <c r="J397" s="25">
        <v>4</v>
      </c>
      <c r="K397" s="30">
        <v>154.94</v>
      </c>
      <c r="L397" s="17"/>
      <c r="M397" s="29">
        <f t="shared" si="15"/>
        <v>0</v>
      </c>
      <c r="N397" s="31">
        <f>0.052*L397</f>
        <v>0</v>
      </c>
      <c r="O397" s="32">
        <f>0.00006*L397</f>
        <v>0</v>
      </c>
      <c r="P397" s="36"/>
      <c r="Q397" s="29" t="s">
        <v>1113</v>
      </c>
      <c r="R397" s="29" t="s">
        <v>611</v>
      </c>
      <c r="S397" s="26" t="str">
        <f>HYPERLINK("https://miland.ru/api/getInfo/image/98cca7cb-f8d5-11ee-a25d-00155d82e908")</f>
        <v>https://miland.ru/api/getInfo/image/98cca7cb-f8d5-11ee-a25d-00155d82e908</v>
      </c>
    </row>
    <row r="398" spans="1:19" s="2" customFormat="1" ht="96.2" customHeight="1" outlineLevel="7">
      <c r="A398" s="25">
        <v>253</v>
      </c>
      <c r="B398" s="26" t="s">
        <v>1114</v>
      </c>
      <c r="C398" s="66" t="s">
        <v>1115</v>
      </c>
      <c r="D398" s="66"/>
      <c r="E398" s="66"/>
      <c r="F398" s="66"/>
      <c r="G398" s="27" t="s">
        <v>1116</v>
      </c>
      <c r="H398" s="28" t="s">
        <v>44</v>
      </c>
      <c r="I398" s="29"/>
      <c r="J398" s="25">
        <v>12</v>
      </c>
      <c r="K398" s="30">
        <v>154.94</v>
      </c>
      <c r="L398" s="17"/>
      <c r="M398" s="29">
        <f t="shared" si="15"/>
        <v>0</v>
      </c>
      <c r="N398" s="31">
        <f>0.049*L398</f>
        <v>0</v>
      </c>
      <c r="O398" s="32">
        <f>0.00006*L398</f>
        <v>0</v>
      </c>
      <c r="P398" s="36"/>
      <c r="Q398" s="29" t="s">
        <v>1117</v>
      </c>
      <c r="R398" s="29" t="s">
        <v>611</v>
      </c>
      <c r="S398" s="26" t="str">
        <f>HYPERLINK("https://miland.ru/api/getInfo/image/6e427fd5-edf7-11ef-a274-00155d82e908")</f>
        <v>https://miland.ru/api/getInfo/image/6e427fd5-edf7-11ef-a274-00155d82e908</v>
      </c>
    </row>
    <row r="399" spans="1:19" s="2" customFormat="1" ht="96.2" customHeight="1" outlineLevel="7">
      <c r="A399" s="25">
        <v>254</v>
      </c>
      <c r="B399" s="26" t="s">
        <v>1118</v>
      </c>
      <c r="C399" s="66" t="s">
        <v>1119</v>
      </c>
      <c r="D399" s="66"/>
      <c r="E399" s="66"/>
      <c r="F399" s="66"/>
      <c r="G399" s="27" t="s">
        <v>1120</v>
      </c>
      <c r="H399" s="33">
        <v>62</v>
      </c>
      <c r="I399" s="29"/>
      <c r="J399" s="25">
        <v>8</v>
      </c>
      <c r="K399" s="30">
        <v>83.03</v>
      </c>
      <c r="L399" s="17"/>
      <c r="M399" s="29">
        <f t="shared" si="15"/>
        <v>0</v>
      </c>
      <c r="N399" s="31">
        <f>0.048*L399</f>
        <v>0</v>
      </c>
      <c r="O399" s="32">
        <f>0.00006*L399</f>
        <v>0</v>
      </c>
      <c r="P399" s="36"/>
      <c r="Q399" s="29" t="s">
        <v>1121</v>
      </c>
      <c r="R399" s="29" t="s">
        <v>611</v>
      </c>
      <c r="S399" s="26" t="str">
        <f>HYPERLINK("https://miland.ru/api/getInfo/image/0af0a3dd-f8d5-11ee-a25d-00155d82e908")</f>
        <v>https://miland.ru/api/getInfo/image/0af0a3dd-f8d5-11ee-a25d-00155d82e908</v>
      </c>
    </row>
    <row r="400" spans="1:19" s="2" customFormat="1" ht="96.2" customHeight="1" outlineLevel="7">
      <c r="A400" s="25">
        <v>255</v>
      </c>
      <c r="B400" s="26" t="s">
        <v>1122</v>
      </c>
      <c r="C400" s="66" t="s">
        <v>1123</v>
      </c>
      <c r="D400" s="66"/>
      <c r="E400" s="66"/>
      <c r="F400" s="66"/>
      <c r="G400" s="27" t="s">
        <v>1124</v>
      </c>
      <c r="H400" s="33">
        <v>274</v>
      </c>
      <c r="I400" s="29"/>
      <c r="J400" s="25">
        <v>12</v>
      </c>
      <c r="K400" s="30">
        <v>154.94</v>
      </c>
      <c r="L400" s="17"/>
      <c r="M400" s="29">
        <f t="shared" si="15"/>
        <v>0</v>
      </c>
      <c r="N400" s="31">
        <f>0.053*L400</f>
        <v>0</v>
      </c>
      <c r="O400" s="32">
        <f>0.00006*L400</f>
        <v>0</v>
      </c>
      <c r="P400" s="36"/>
      <c r="Q400" s="29" t="s">
        <v>1125</v>
      </c>
      <c r="R400" s="29" t="s">
        <v>611</v>
      </c>
      <c r="S400" s="26" t="str">
        <f>HYPERLINK("https://miland.ru/api/getInfo/image/094e0ed5-edf7-11ef-a274-00155d82e908")</f>
        <v>https://miland.ru/api/getInfo/image/094e0ed5-edf7-11ef-a274-00155d82e908</v>
      </c>
    </row>
    <row r="401" spans="1:19" s="1" customFormat="1" ht="12" customHeight="1" outlineLevel="5">
      <c r="A401" s="64" t="s">
        <v>665</v>
      </c>
      <c r="B401" s="64"/>
      <c r="C401" s="64"/>
      <c r="D401" s="64"/>
      <c r="E401" s="64"/>
      <c r="F401" s="64"/>
      <c r="G401" s="8"/>
      <c r="H401" s="12"/>
      <c r="I401" s="2"/>
      <c r="J401" s="2"/>
      <c r="K401" s="13"/>
      <c r="L401" s="2"/>
      <c r="M401" s="2"/>
      <c r="N401" s="2"/>
      <c r="O401" s="2"/>
      <c r="P401" s="2"/>
      <c r="Q401" s="2"/>
      <c r="R401" s="2"/>
      <c r="S401" s="2"/>
    </row>
    <row r="402" spans="1:19" s="2" customFormat="1" ht="96.2" customHeight="1" outlineLevel="6">
      <c r="A402" s="25">
        <v>256</v>
      </c>
      <c r="B402" s="26" t="s">
        <v>1126</v>
      </c>
      <c r="C402" s="66" t="s">
        <v>1127</v>
      </c>
      <c r="D402" s="66"/>
      <c r="E402" s="66"/>
      <c r="F402" s="66"/>
      <c r="G402" s="27" t="s">
        <v>1128</v>
      </c>
      <c r="H402" s="28" t="s">
        <v>44</v>
      </c>
      <c r="I402" s="29"/>
      <c r="J402" s="25">
        <v>2</v>
      </c>
      <c r="K402" s="30">
        <v>364.83</v>
      </c>
      <c r="L402" s="17"/>
      <c r="M402" s="29">
        <f>K402*L402</f>
        <v>0</v>
      </c>
      <c r="N402" s="31">
        <f>0.134*L402</f>
        <v>0</v>
      </c>
      <c r="O402" s="32">
        <f>0.00142*L402</f>
        <v>0</v>
      </c>
      <c r="P402" s="36"/>
      <c r="Q402" s="29" t="s">
        <v>1129</v>
      </c>
      <c r="R402" s="29" t="s">
        <v>611</v>
      </c>
      <c r="S402" s="26" t="str">
        <f>HYPERLINK("https://miland.ru/api/getInfo/image/79085234-18db-11ef-a25d-00155d82e908")</f>
        <v>https://miland.ru/api/getInfo/image/79085234-18db-11ef-a25d-00155d82e908</v>
      </c>
    </row>
    <row r="403" spans="1:19" s="2" customFormat="1" ht="96.2" customHeight="1" outlineLevel="6">
      <c r="A403" s="25">
        <v>257</v>
      </c>
      <c r="B403" s="26" t="s">
        <v>1130</v>
      </c>
      <c r="C403" s="66" t="s">
        <v>1131</v>
      </c>
      <c r="D403" s="66"/>
      <c r="E403" s="66"/>
      <c r="F403" s="66"/>
      <c r="G403" s="27" t="s">
        <v>1132</v>
      </c>
      <c r="H403" s="28" t="s">
        <v>44</v>
      </c>
      <c r="I403" s="29"/>
      <c r="J403" s="25">
        <v>3</v>
      </c>
      <c r="K403" s="30">
        <v>263.55</v>
      </c>
      <c r="L403" s="17"/>
      <c r="M403" s="29">
        <f>K403*L403</f>
        <v>0</v>
      </c>
      <c r="N403" s="31">
        <f>0.093*L403</f>
        <v>0</v>
      </c>
      <c r="O403" s="32">
        <f>0.00008*L403</f>
        <v>0</v>
      </c>
      <c r="P403" s="36"/>
      <c r="Q403" s="29" t="s">
        <v>1133</v>
      </c>
      <c r="R403" s="29"/>
      <c r="S403" s="26" t="str">
        <f>HYPERLINK("https://miland.ru/api/getInfo/image/0642768a-c0df-11ee-a25a-00155d82e908")</f>
        <v>https://miland.ru/api/getInfo/image/0642768a-c0df-11ee-a25a-00155d82e908</v>
      </c>
    </row>
    <row r="404" spans="1:19" s="2" customFormat="1" ht="96.2" customHeight="1" outlineLevel="6">
      <c r="A404" s="25">
        <v>258</v>
      </c>
      <c r="B404" s="26" t="s">
        <v>1134</v>
      </c>
      <c r="C404" s="66" t="s">
        <v>1135</v>
      </c>
      <c r="D404" s="66"/>
      <c r="E404" s="66"/>
      <c r="F404" s="66"/>
      <c r="G404" s="27" t="s">
        <v>1136</v>
      </c>
      <c r="H404" s="28" t="s">
        <v>44</v>
      </c>
      <c r="I404" s="29"/>
      <c r="J404" s="25">
        <v>10</v>
      </c>
      <c r="K404" s="30">
        <v>69.09</v>
      </c>
      <c r="L404" s="17"/>
      <c r="M404" s="29">
        <f>K404*L404</f>
        <v>0</v>
      </c>
      <c r="N404" s="31">
        <f>0.402*L404</f>
        <v>0</v>
      </c>
      <c r="O404" s="32">
        <f>0.00583*L404</f>
        <v>0</v>
      </c>
      <c r="P404" s="36"/>
      <c r="Q404" s="29" t="s">
        <v>1137</v>
      </c>
      <c r="R404" s="29"/>
      <c r="S404" s="26" t="str">
        <f>HYPERLINK("https://miland.ru/api/getInfo/image/2ceaa0fe-18dc-11ef-a25d-00155d82e908")</f>
        <v>https://miland.ru/api/getInfo/image/2ceaa0fe-18dc-11ef-a25d-00155d82e908</v>
      </c>
    </row>
    <row r="405" spans="1:19" s="1" customFormat="1" ht="12" customHeight="1" outlineLevel="5">
      <c r="A405" s="64" t="s">
        <v>203</v>
      </c>
      <c r="B405" s="64"/>
      <c r="C405" s="64"/>
      <c r="D405" s="64"/>
      <c r="E405" s="64"/>
      <c r="F405" s="64"/>
      <c r="G405" s="8"/>
      <c r="H405" s="12"/>
      <c r="I405" s="2"/>
      <c r="J405" s="2"/>
      <c r="K405" s="13"/>
      <c r="L405" s="2"/>
      <c r="M405" s="2"/>
      <c r="N405" s="2"/>
      <c r="O405" s="2"/>
      <c r="P405" s="2"/>
      <c r="Q405" s="2"/>
      <c r="R405" s="2"/>
      <c r="S405" s="2"/>
    </row>
    <row r="406" spans="1:19" s="2" customFormat="1" ht="96.2" customHeight="1" outlineLevel="6">
      <c r="A406" s="25">
        <v>259</v>
      </c>
      <c r="B406" s="26" t="s">
        <v>1138</v>
      </c>
      <c r="C406" s="66" t="s">
        <v>1139</v>
      </c>
      <c r="D406" s="66"/>
      <c r="E406" s="66"/>
      <c r="F406" s="66"/>
      <c r="G406" s="27" t="s">
        <v>1140</v>
      </c>
      <c r="H406" s="28" t="s">
        <v>44</v>
      </c>
      <c r="I406" s="29"/>
      <c r="J406" s="25">
        <v>1</v>
      </c>
      <c r="K406" s="30">
        <v>994.64</v>
      </c>
      <c r="L406" s="17"/>
      <c r="M406" s="29">
        <f>K406*L406</f>
        <v>0</v>
      </c>
      <c r="N406" s="31">
        <f>0.913*L406</f>
        <v>0</v>
      </c>
      <c r="O406" s="31">
        <f>0.004*L406</f>
        <v>0</v>
      </c>
      <c r="P406" s="36"/>
      <c r="Q406" s="29" t="s">
        <v>1141</v>
      </c>
      <c r="R406" s="29"/>
      <c r="S406" s="26" t="str">
        <f>HYPERLINK("https://miland.ru/api/getInfo/image/d1d4abd4-5030-11f0-a27e-00155d82e908")</f>
        <v>https://miland.ru/api/getInfo/image/d1d4abd4-5030-11f0-a27e-00155d82e908</v>
      </c>
    </row>
    <row r="407" spans="1:19" s="2" customFormat="1" ht="96.2" customHeight="1" outlineLevel="6">
      <c r="A407" s="25">
        <v>260</v>
      </c>
      <c r="B407" s="26" t="s">
        <v>1142</v>
      </c>
      <c r="C407" s="66" t="s">
        <v>1143</v>
      </c>
      <c r="D407" s="66"/>
      <c r="E407" s="66"/>
      <c r="F407" s="66"/>
      <c r="G407" s="27" t="s">
        <v>1144</v>
      </c>
      <c r="H407" s="33">
        <v>493</v>
      </c>
      <c r="I407" s="29"/>
      <c r="J407" s="25">
        <v>1</v>
      </c>
      <c r="K407" s="30">
        <v>572.22</v>
      </c>
      <c r="L407" s="17"/>
      <c r="M407" s="29">
        <f>K407*L407</f>
        <v>0</v>
      </c>
      <c r="N407" s="31">
        <f>0.288*L407</f>
        <v>0</v>
      </c>
      <c r="O407" s="32">
        <f>0.00117*L407</f>
        <v>0</v>
      </c>
      <c r="P407" s="36"/>
      <c r="Q407" s="29" t="s">
        <v>1145</v>
      </c>
      <c r="R407" s="29"/>
      <c r="S407" s="26" t="str">
        <f>HYPERLINK("https://miland.ru/api/getInfo/image/79597826-502f-11f0-a27e-00155d82e908")</f>
        <v>https://miland.ru/api/getInfo/image/79597826-502f-11f0-a27e-00155d82e908</v>
      </c>
    </row>
    <row r="408" spans="1:19" s="2" customFormat="1" ht="96.2" customHeight="1" outlineLevel="6">
      <c r="A408" s="25">
        <v>261</v>
      </c>
      <c r="B408" s="26" t="s">
        <v>1146</v>
      </c>
      <c r="C408" s="66" t="s">
        <v>1147</v>
      </c>
      <c r="D408" s="66"/>
      <c r="E408" s="66"/>
      <c r="F408" s="66"/>
      <c r="G408" s="27" t="s">
        <v>1148</v>
      </c>
      <c r="H408" s="28" t="s">
        <v>44</v>
      </c>
      <c r="I408" s="29"/>
      <c r="J408" s="25">
        <v>1</v>
      </c>
      <c r="K408" s="30">
        <v>572.22</v>
      </c>
      <c r="L408" s="17"/>
      <c r="M408" s="29">
        <f>K408*L408</f>
        <v>0</v>
      </c>
      <c r="N408" s="31">
        <f>0.342*L408</f>
        <v>0</v>
      </c>
      <c r="O408" s="32">
        <f>0.00193*L408</f>
        <v>0</v>
      </c>
      <c r="P408" s="36"/>
      <c r="Q408" s="29" t="s">
        <v>1149</v>
      </c>
      <c r="R408" s="29"/>
      <c r="S408" s="26" t="str">
        <f>HYPERLINK("https://miland.ru/api/getInfo/image/39ca4c99-5030-11f0-a27e-00155d82e908")</f>
        <v>https://miland.ru/api/getInfo/image/39ca4c99-5030-11f0-a27e-00155d82e908</v>
      </c>
    </row>
    <row r="409" spans="1:19" s="1" customFormat="1" ht="12" customHeight="1" outlineLevel="5">
      <c r="A409" s="64" t="s">
        <v>327</v>
      </c>
      <c r="B409" s="64"/>
      <c r="C409" s="64"/>
      <c r="D409" s="64"/>
      <c r="E409" s="64"/>
      <c r="F409" s="64"/>
      <c r="G409" s="8"/>
      <c r="H409" s="12"/>
      <c r="I409" s="2"/>
      <c r="J409" s="2"/>
      <c r="K409" s="13"/>
      <c r="L409" s="2"/>
      <c r="M409" s="2"/>
      <c r="N409" s="2"/>
      <c r="O409" s="2"/>
      <c r="P409" s="2"/>
      <c r="Q409" s="2"/>
      <c r="R409" s="2"/>
      <c r="S409" s="2"/>
    </row>
    <row r="410" spans="1:19" s="1" customFormat="1" ht="12" customHeight="1" outlineLevel="6">
      <c r="A410" s="64" t="s">
        <v>328</v>
      </c>
      <c r="B410" s="64"/>
      <c r="C410" s="64"/>
      <c r="D410" s="64"/>
      <c r="E410" s="64"/>
      <c r="F410" s="64"/>
      <c r="G410" s="8"/>
      <c r="H410" s="12"/>
      <c r="I410" s="2"/>
      <c r="J410" s="2"/>
      <c r="K410" s="13"/>
      <c r="L410" s="2"/>
      <c r="M410" s="2"/>
      <c r="N410" s="2"/>
      <c r="O410" s="2"/>
      <c r="P410" s="2"/>
      <c r="Q410" s="2"/>
      <c r="R410" s="2"/>
      <c r="S410" s="2"/>
    </row>
    <row r="411" spans="1:19" s="1" customFormat="1" ht="12" customHeight="1" outlineLevel="7">
      <c r="A411" s="64" t="s">
        <v>362</v>
      </c>
      <c r="B411" s="64"/>
      <c r="C411" s="64"/>
      <c r="D411" s="64"/>
      <c r="E411" s="64"/>
      <c r="F411" s="64"/>
      <c r="G411" s="8"/>
      <c r="H411" s="12"/>
      <c r="I411" s="2"/>
      <c r="J411" s="2"/>
      <c r="K411" s="13"/>
      <c r="L411" s="2"/>
      <c r="M411" s="2"/>
      <c r="N411" s="2"/>
      <c r="O411" s="2"/>
      <c r="P411" s="2"/>
      <c r="Q411" s="2"/>
      <c r="R411" s="2"/>
      <c r="S411" s="2"/>
    </row>
    <row r="412" spans="1:19" s="2" customFormat="1" ht="96.2" customHeight="1" outlineLevel="7">
      <c r="A412" s="25">
        <v>262</v>
      </c>
      <c r="B412" s="26" t="s">
        <v>1150</v>
      </c>
      <c r="C412" s="66" t="s">
        <v>1151</v>
      </c>
      <c r="D412" s="66"/>
      <c r="E412" s="66"/>
      <c r="F412" s="66"/>
      <c r="G412" s="27" t="s">
        <v>1152</v>
      </c>
      <c r="H412" s="28" t="s">
        <v>44</v>
      </c>
      <c r="I412" s="29"/>
      <c r="J412" s="25">
        <v>1</v>
      </c>
      <c r="K412" s="30">
        <v>819.12</v>
      </c>
      <c r="L412" s="17"/>
      <c r="M412" s="29">
        <f t="shared" ref="M412:M418" si="16">K412*L412</f>
        <v>0</v>
      </c>
      <c r="N412" s="31">
        <f>0.092*L412</f>
        <v>0</v>
      </c>
      <c r="O412" s="32">
        <f>0.00106*L412</f>
        <v>0</v>
      </c>
      <c r="P412" s="36"/>
      <c r="Q412" s="29" t="s">
        <v>1153</v>
      </c>
      <c r="R412" s="29"/>
      <c r="S412" s="26" t="str">
        <f>HYPERLINK("https://miland.ru/api/getInfo/image/f3abe8ff-03ae-11ef-a25d-00155d82e908")</f>
        <v>https://miland.ru/api/getInfo/image/f3abe8ff-03ae-11ef-a25d-00155d82e908</v>
      </c>
    </row>
    <row r="413" spans="1:19" s="2" customFormat="1" ht="96.2" customHeight="1" outlineLevel="7">
      <c r="A413" s="25">
        <v>263</v>
      </c>
      <c r="B413" s="26" t="s">
        <v>1154</v>
      </c>
      <c r="C413" s="66" t="s">
        <v>1155</v>
      </c>
      <c r="D413" s="66"/>
      <c r="E413" s="66"/>
      <c r="F413" s="66"/>
      <c r="G413" s="27" t="s">
        <v>1156</v>
      </c>
      <c r="H413" s="28" t="s">
        <v>44</v>
      </c>
      <c r="I413" s="29"/>
      <c r="J413" s="25">
        <v>5</v>
      </c>
      <c r="K413" s="30">
        <v>114.78</v>
      </c>
      <c r="L413" s="17"/>
      <c r="M413" s="29">
        <f t="shared" si="16"/>
        <v>0</v>
      </c>
      <c r="N413" s="31">
        <f>0.011*L413</f>
        <v>0</v>
      </c>
      <c r="O413" s="32">
        <f>0.00003*L413</f>
        <v>0</v>
      </c>
      <c r="P413" s="36"/>
      <c r="Q413" s="29" t="s">
        <v>1157</v>
      </c>
      <c r="R413" s="29"/>
      <c r="S413" s="26" t="str">
        <f>HYPERLINK("https://miland.ru/api/getInfo/image/e3d1d237-03ae-11ef-a25d-00155d82e908")</f>
        <v>https://miland.ru/api/getInfo/image/e3d1d237-03ae-11ef-a25d-00155d82e908</v>
      </c>
    </row>
    <row r="414" spans="1:19" s="2" customFormat="1" ht="96.2" customHeight="1" outlineLevel="7">
      <c r="A414" s="25">
        <v>264</v>
      </c>
      <c r="B414" s="26" t="s">
        <v>1158</v>
      </c>
      <c r="C414" s="66" t="s">
        <v>1159</v>
      </c>
      <c r="D414" s="66"/>
      <c r="E414" s="66"/>
      <c r="F414" s="66"/>
      <c r="G414" s="27" t="s">
        <v>1160</v>
      </c>
      <c r="H414" s="33">
        <v>469</v>
      </c>
      <c r="I414" s="29"/>
      <c r="J414" s="25">
        <v>5</v>
      </c>
      <c r="K414" s="30">
        <v>114.78</v>
      </c>
      <c r="L414" s="17"/>
      <c r="M414" s="29">
        <f t="shared" si="16"/>
        <v>0</v>
      </c>
      <c r="N414" s="34">
        <f>0.01*L414</f>
        <v>0</v>
      </c>
      <c r="O414" s="32">
        <f>0.00006*L414</f>
        <v>0</v>
      </c>
      <c r="P414" s="36"/>
      <c r="Q414" s="29" t="s">
        <v>1161</v>
      </c>
      <c r="R414" s="29"/>
      <c r="S414" s="26" t="str">
        <f>HYPERLINK("https://miland.ru/api/getInfo/image/aa5d9719-03ae-11ef-a25d-00155d82e908")</f>
        <v>https://miland.ru/api/getInfo/image/aa5d9719-03ae-11ef-a25d-00155d82e908</v>
      </c>
    </row>
    <row r="415" spans="1:19" s="2" customFormat="1" ht="96.2" customHeight="1" outlineLevel="7">
      <c r="A415" s="25">
        <v>265</v>
      </c>
      <c r="B415" s="26" t="s">
        <v>1162</v>
      </c>
      <c r="C415" s="66" t="s">
        <v>1163</v>
      </c>
      <c r="D415" s="66"/>
      <c r="E415" s="66"/>
      <c r="F415" s="66"/>
      <c r="G415" s="27" t="s">
        <v>1164</v>
      </c>
      <c r="H415" s="33">
        <v>490</v>
      </c>
      <c r="I415" s="29"/>
      <c r="J415" s="25">
        <v>5</v>
      </c>
      <c r="K415" s="30">
        <v>114.78</v>
      </c>
      <c r="L415" s="17"/>
      <c r="M415" s="29">
        <f t="shared" si="16"/>
        <v>0</v>
      </c>
      <c r="N415" s="31">
        <f>0.018*L415</f>
        <v>0</v>
      </c>
      <c r="O415" s="32">
        <f>0.00012*L415</f>
        <v>0</v>
      </c>
      <c r="P415" s="36"/>
      <c r="Q415" s="29" t="s">
        <v>1165</v>
      </c>
      <c r="R415" s="29"/>
      <c r="S415" s="26" t="str">
        <f>HYPERLINK("https://miland.ru/api/getInfo/image/bfaf0fa4-03ae-11ef-a25d-00155d82e908")</f>
        <v>https://miland.ru/api/getInfo/image/bfaf0fa4-03ae-11ef-a25d-00155d82e908</v>
      </c>
    </row>
    <row r="416" spans="1:19" s="2" customFormat="1" ht="96.2" customHeight="1" outlineLevel="7">
      <c r="A416" s="25">
        <v>266</v>
      </c>
      <c r="B416" s="26" t="s">
        <v>1166</v>
      </c>
      <c r="C416" s="66" t="s">
        <v>1167</v>
      </c>
      <c r="D416" s="66"/>
      <c r="E416" s="66"/>
      <c r="F416" s="66"/>
      <c r="G416" s="27" t="s">
        <v>1168</v>
      </c>
      <c r="H416" s="33">
        <v>122</v>
      </c>
      <c r="I416" s="29"/>
      <c r="J416" s="25">
        <v>5</v>
      </c>
      <c r="K416" s="30">
        <v>114.78</v>
      </c>
      <c r="L416" s="17"/>
      <c r="M416" s="29">
        <f t="shared" si="16"/>
        <v>0</v>
      </c>
      <c r="N416" s="34">
        <f>0.01*L416</f>
        <v>0</v>
      </c>
      <c r="O416" s="32">
        <f>0.00006*L416</f>
        <v>0</v>
      </c>
      <c r="P416" s="36"/>
      <c r="Q416" s="29" t="s">
        <v>1169</v>
      </c>
      <c r="R416" s="29"/>
      <c r="S416" s="26" t="str">
        <f>HYPERLINK("https://miland.ru/api/getInfo/image/9b89eae6-03ae-11ef-a25d-00155d82e908")</f>
        <v>https://miland.ru/api/getInfo/image/9b89eae6-03ae-11ef-a25d-00155d82e908</v>
      </c>
    </row>
    <row r="417" spans="1:19" s="2" customFormat="1" ht="96.2" customHeight="1" outlineLevel="7">
      <c r="A417" s="25">
        <v>267</v>
      </c>
      <c r="B417" s="26" t="s">
        <v>1170</v>
      </c>
      <c r="C417" s="66" t="s">
        <v>1171</v>
      </c>
      <c r="D417" s="66"/>
      <c r="E417" s="66"/>
      <c r="F417" s="66"/>
      <c r="G417" s="27" t="s">
        <v>1172</v>
      </c>
      <c r="H417" s="33">
        <v>91</v>
      </c>
      <c r="I417" s="29"/>
      <c r="J417" s="25">
        <v>5</v>
      </c>
      <c r="K417" s="30">
        <v>114.78</v>
      </c>
      <c r="L417" s="17"/>
      <c r="M417" s="29">
        <f t="shared" si="16"/>
        <v>0</v>
      </c>
      <c r="N417" s="31">
        <f>0.018*L417</f>
        <v>0</v>
      </c>
      <c r="O417" s="32">
        <f>0.00012*L417</f>
        <v>0</v>
      </c>
      <c r="P417" s="36"/>
      <c r="Q417" s="29" t="s">
        <v>1173</v>
      </c>
      <c r="R417" s="29"/>
      <c r="S417" s="26" t="str">
        <f>HYPERLINK("https://miland.ru/api/getInfo/image/d3f0bb7d-03ae-11ef-a25d-00155d82e908")</f>
        <v>https://miland.ru/api/getInfo/image/d3f0bb7d-03ae-11ef-a25d-00155d82e908</v>
      </c>
    </row>
    <row r="418" spans="1:19" s="2" customFormat="1" ht="96.2" customHeight="1" outlineLevel="7">
      <c r="A418" s="25">
        <v>268</v>
      </c>
      <c r="B418" s="26" t="s">
        <v>1174</v>
      </c>
      <c r="C418" s="66" t="s">
        <v>1175</v>
      </c>
      <c r="D418" s="66"/>
      <c r="E418" s="66"/>
      <c r="F418" s="66"/>
      <c r="G418" s="27" t="s">
        <v>1176</v>
      </c>
      <c r="H418" s="28" t="s">
        <v>44</v>
      </c>
      <c r="I418" s="29"/>
      <c r="J418" s="25">
        <v>5</v>
      </c>
      <c r="K418" s="30">
        <v>114.78</v>
      </c>
      <c r="L418" s="17"/>
      <c r="M418" s="29">
        <f t="shared" si="16"/>
        <v>0</v>
      </c>
      <c r="N418" s="34">
        <f>0.01*L418</f>
        <v>0</v>
      </c>
      <c r="O418" s="32">
        <f>0.00006*L418</f>
        <v>0</v>
      </c>
      <c r="P418" s="36"/>
      <c r="Q418" s="29" t="s">
        <v>1177</v>
      </c>
      <c r="R418" s="29"/>
      <c r="S418" s="26" t="str">
        <f>HYPERLINK("https://miland.ru/api/getInfo/image/3f91c7f8-03ae-11ef-a25d-00155d82e908")</f>
        <v>https://miland.ru/api/getInfo/image/3f91c7f8-03ae-11ef-a25d-00155d82e908</v>
      </c>
    </row>
    <row r="419" spans="1:19" s="1" customFormat="1" ht="12" customHeight="1" outlineLevel="7">
      <c r="A419" s="64" t="s">
        <v>463</v>
      </c>
      <c r="B419" s="64"/>
      <c r="C419" s="64"/>
      <c r="D419" s="64"/>
      <c r="E419" s="64"/>
      <c r="F419" s="64"/>
      <c r="G419" s="8"/>
      <c r="H419" s="12"/>
      <c r="I419" s="2"/>
      <c r="J419" s="2"/>
      <c r="K419" s="13"/>
      <c r="L419" s="2"/>
      <c r="M419" s="2"/>
      <c r="N419" s="2"/>
      <c r="O419" s="2"/>
      <c r="P419" s="2"/>
      <c r="Q419" s="2"/>
      <c r="R419" s="2"/>
      <c r="S419" s="2"/>
    </row>
    <row r="420" spans="1:19" s="2" customFormat="1" ht="96.2" customHeight="1" outlineLevel="7">
      <c r="A420" s="25">
        <v>269</v>
      </c>
      <c r="B420" s="26" t="s">
        <v>1178</v>
      </c>
      <c r="C420" s="66" t="s">
        <v>1179</v>
      </c>
      <c r="D420" s="66"/>
      <c r="E420" s="66"/>
      <c r="F420" s="66"/>
      <c r="G420" s="27" t="s">
        <v>1180</v>
      </c>
      <c r="H420" s="28" t="s">
        <v>44</v>
      </c>
      <c r="I420" s="29"/>
      <c r="J420" s="25">
        <v>1</v>
      </c>
      <c r="K420" s="30">
        <v>451.72</v>
      </c>
      <c r="L420" s="17"/>
      <c r="M420" s="29">
        <f t="shared" ref="M420:M425" si="17">K420*L420</f>
        <v>0</v>
      </c>
      <c r="N420" s="31">
        <f>0.115*L420</f>
        <v>0</v>
      </c>
      <c r="O420" s="32">
        <f>0.00061*L420</f>
        <v>0</v>
      </c>
      <c r="P420" s="36"/>
      <c r="Q420" s="29" t="s">
        <v>1181</v>
      </c>
      <c r="R420" s="29"/>
      <c r="S420" s="26" t="str">
        <f>HYPERLINK("https://miland.ru/api/getInfo/image/d8d1a7a5-f8d5-11ee-a25d-00155d82e908")</f>
        <v>https://miland.ru/api/getInfo/image/d8d1a7a5-f8d5-11ee-a25d-00155d82e908</v>
      </c>
    </row>
    <row r="421" spans="1:19" s="2" customFormat="1" ht="96.2" customHeight="1" outlineLevel="7">
      <c r="A421" s="25">
        <v>270</v>
      </c>
      <c r="B421" s="26" t="s">
        <v>1182</v>
      </c>
      <c r="C421" s="66" t="s">
        <v>1183</v>
      </c>
      <c r="D421" s="66"/>
      <c r="E421" s="66"/>
      <c r="F421" s="66"/>
      <c r="G421" s="27" t="s">
        <v>1184</v>
      </c>
      <c r="H421" s="28" t="s">
        <v>44</v>
      </c>
      <c r="I421" s="29"/>
      <c r="J421" s="25">
        <v>1</v>
      </c>
      <c r="K421" s="30">
        <v>451.72</v>
      </c>
      <c r="L421" s="17"/>
      <c r="M421" s="29">
        <f t="shared" si="17"/>
        <v>0</v>
      </c>
      <c r="N421" s="31">
        <f>0.135*L421</f>
        <v>0</v>
      </c>
      <c r="O421" s="32">
        <f>0.00058*L421</f>
        <v>0</v>
      </c>
      <c r="P421" s="36"/>
      <c r="Q421" s="29" t="s">
        <v>1185</v>
      </c>
      <c r="R421" s="29"/>
      <c r="S421" s="26" t="str">
        <f>HYPERLINK("https://miland.ru/api/getInfo/image/cf95f79c-edf5-11ef-a274-00155d82e908")</f>
        <v>https://miland.ru/api/getInfo/image/cf95f79c-edf5-11ef-a274-00155d82e908</v>
      </c>
    </row>
    <row r="422" spans="1:19" s="2" customFormat="1" ht="96.2" customHeight="1" outlineLevel="7">
      <c r="A422" s="25">
        <v>271</v>
      </c>
      <c r="B422" s="26" t="s">
        <v>1186</v>
      </c>
      <c r="C422" s="66" t="s">
        <v>1187</v>
      </c>
      <c r="D422" s="66"/>
      <c r="E422" s="66"/>
      <c r="F422" s="66"/>
      <c r="G422" s="27" t="s">
        <v>1188</v>
      </c>
      <c r="H422" s="28" t="s">
        <v>44</v>
      </c>
      <c r="I422" s="29"/>
      <c r="J422" s="25">
        <v>1</v>
      </c>
      <c r="K422" s="30">
        <v>451.72</v>
      </c>
      <c r="L422" s="17"/>
      <c r="M422" s="29">
        <f t="shared" si="17"/>
        <v>0</v>
      </c>
      <c r="N422" s="31">
        <f>0.114*L422</f>
        <v>0</v>
      </c>
      <c r="O422" s="32">
        <f>0.00058*L422</f>
        <v>0</v>
      </c>
      <c r="P422" s="36"/>
      <c r="Q422" s="29" t="s">
        <v>1189</v>
      </c>
      <c r="R422" s="29"/>
      <c r="S422" s="26" t="str">
        <f>HYPERLINK("https://miland.ru/api/getInfo/image/36daee75-f8d6-11ee-a25d-00155d82e908")</f>
        <v>https://miland.ru/api/getInfo/image/36daee75-f8d6-11ee-a25d-00155d82e908</v>
      </c>
    </row>
    <row r="423" spans="1:19" s="2" customFormat="1" ht="96.2" customHeight="1" outlineLevel="7">
      <c r="A423" s="25">
        <v>272</v>
      </c>
      <c r="B423" s="26" t="s">
        <v>1190</v>
      </c>
      <c r="C423" s="66" t="s">
        <v>1191</v>
      </c>
      <c r="D423" s="66"/>
      <c r="E423" s="66"/>
      <c r="F423" s="66"/>
      <c r="G423" s="27" t="s">
        <v>1192</v>
      </c>
      <c r="H423" s="28" t="s">
        <v>44</v>
      </c>
      <c r="I423" s="29"/>
      <c r="J423" s="25">
        <v>1</v>
      </c>
      <c r="K423" s="30">
        <v>451.72</v>
      </c>
      <c r="L423" s="17"/>
      <c r="M423" s="29">
        <f t="shared" si="17"/>
        <v>0</v>
      </c>
      <c r="N423" s="31">
        <f>0.136*L423</f>
        <v>0</v>
      </c>
      <c r="O423" s="32">
        <f>0.00222*L423</f>
        <v>0</v>
      </c>
      <c r="P423" s="36"/>
      <c r="Q423" s="29" t="s">
        <v>1193</v>
      </c>
      <c r="R423" s="29"/>
      <c r="S423" s="26" t="str">
        <f>HYPERLINK("https://miland.ru/api/getInfo/image/99127d9c-edf6-11ef-a274-00155d82e908")</f>
        <v>https://miland.ru/api/getInfo/image/99127d9c-edf6-11ef-a274-00155d82e908</v>
      </c>
    </row>
    <row r="424" spans="1:19" s="2" customFormat="1" ht="96.2" customHeight="1" outlineLevel="7">
      <c r="A424" s="25">
        <v>273</v>
      </c>
      <c r="B424" s="26" t="s">
        <v>1194</v>
      </c>
      <c r="C424" s="66" t="s">
        <v>1195</v>
      </c>
      <c r="D424" s="66"/>
      <c r="E424" s="66"/>
      <c r="F424" s="66"/>
      <c r="G424" s="27" t="s">
        <v>1196</v>
      </c>
      <c r="H424" s="28" t="s">
        <v>44</v>
      </c>
      <c r="I424" s="29"/>
      <c r="J424" s="25">
        <v>1</v>
      </c>
      <c r="K424" s="30">
        <v>451.72</v>
      </c>
      <c r="L424" s="17"/>
      <c r="M424" s="29">
        <f t="shared" si="17"/>
        <v>0</v>
      </c>
      <c r="N424" s="31">
        <f>0.116*L424</f>
        <v>0</v>
      </c>
      <c r="O424" s="35">
        <f>0.0005*L424</f>
        <v>0</v>
      </c>
      <c r="P424" s="36"/>
      <c r="Q424" s="29" t="s">
        <v>1197</v>
      </c>
      <c r="R424" s="29"/>
      <c r="S424" s="26" t="str">
        <f>HYPERLINK("https://miland.ru/api/getInfo/image/52a56321-f8d6-11ee-a25d-00155d82e908")</f>
        <v>https://miland.ru/api/getInfo/image/52a56321-f8d6-11ee-a25d-00155d82e908</v>
      </c>
    </row>
    <row r="425" spans="1:19" s="2" customFormat="1" ht="96.2" customHeight="1" outlineLevel="7">
      <c r="A425" s="25">
        <v>274</v>
      </c>
      <c r="B425" s="26" t="s">
        <v>1198</v>
      </c>
      <c r="C425" s="66" t="s">
        <v>1199</v>
      </c>
      <c r="D425" s="66"/>
      <c r="E425" s="66"/>
      <c r="F425" s="66"/>
      <c r="G425" s="27" t="s">
        <v>1200</v>
      </c>
      <c r="H425" s="28" t="s">
        <v>44</v>
      </c>
      <c r="I425" s="29"/>
      <c r="J425" s="25">
        <v>1</v>
      </c>
      <c r="K425" s="30">
        <v>451.72</v>
      </c>
      <c r="L425" s="17"/>
      <c r="M425" s="29">
        <f t="shared" si="17"/>
        <v>0</v>
      </c>
      <c r="N425" s="31">
        <f>0.104*L425</f>
        <v>0</v>
      </c>
      <c r="O425" s="32">
        <f>0.00215*L425</f>
        <v>0</v>
      </c>
      <c r="P425" s="36"/>
      <c r="Q425" s="29" t="s">
        <v>1201</v>
      </c>
      <c r="R425" s="29"/>
      <c r="S425" s="26" t="str">
        <f>HYPERLINK("https://miland.ru/api/getInfo/image/a599774c-f8d6-11ee-a25d-00155d82e908")</f>
        <v>https://miland.ru/api/getInfo/image/a599774c-f8d6-11ee-a25d-00155d82e908</v>
      </c>
    </row>
    <row r="426" spans="1:19" s="1" customFormat="1" ht="12" customHeight="1" outlineLevel="7">
      <c r="A426" s="64" t="s">
        <v>1202</v>
      </c>
      <c r="B426" s="64"/>
      <c r="C426" s="64"/>
      <c r="D426" s="64"/>
      <c r="E426" s="64"/>
      <c r="F426" s="64"/>
      <c r="G426" s="8"/>
      <c r="H426" s="12"/>
      <c r="I426" s="2"/>
      <c r="J426" s="2"/>
      <c r="K426" s="13"/>
      <c r="L426" s="2"/>
      <c r="M426" s="2"/>
      <c r="N426" s="2"/>
      <c r="O426" s="2"/>
      <c r="P426" s="2"/>
      <c r="Q426" s="2"/>
      <c r="R426" s="2"/>
      <c r="S426" s="2"/>
    </row>
    <row r="427" spans="1:19" s="2" customFormat="1" ht="96.2" customHeight="1" outlineLevel="7">
      <c r="A427" s="9">
        <v>275</v>
      </c>
      <c r="B427" s="10" t="s">
        <v>1203</v>
      </c>
      <c r="C427" s="65" t="s">
        <v>1204</v>
      </c>
      <c r="D427" s="65"/>
      <c r="E427" s="65"/>
      <c r="F427" s="65"/>
      <c r="G427" s="11" t="s">
        <v>1205</v>
      </c>
      <c r="H427" s="21" t="s">
        <v>44</v>
      </c>
      <c r="I427" s="15"/>
      <c r="J427" s="9">
        <v>1</v>
      </c>
      <c r="K427" s="22">
        <v>1012.38</v>
      </c>
      <c r="L427" s="17"/>
      <c r="M427" s="15">
        <f>K427*L427</f>
        <v>0</v>
      </c>
      <c r="N427" s="23">
        <f>0.08*L427</f>
        <v>0</v>
      </c>
      <c r="O427" s="19">
        <f>0.00039*L427</f>
        <v>0</v>
      </c>
      <c r="P427" s="24" t="s">
        <v>26</v>
      </c>
      <c r="Q427" s="15" t="s">
        <v>1206</v>
      </c>
      <c r="R427" s="15"/>
      <c r="S427" s="10" t="str">
        <f>HYPERLINK("https://miland.ru/api/getInfo/image/30504294-0889-11f0-a277-00155d82e908")</f>
        <v>https://miland.ru/api/getInfo/image/30504294-0889-11f0-a277-00155d82e908</v>
      </c>
    </row>
    <row r="428" spans="1:19" s="2" customFormat="1" ht="96.2" customHeight="1" outlineLevel="7">
      <c r="A428" s="25">
        <v>276</v>
      </c>
      <c r="B428" s="26" t="s">
        <v>1207</v>
      </c>
      <c r="C428" s="66" t="s">
        <v>1208</v>
      </c>
      <c r="D428" s="66"/>
      <c r="E428" s="66"/>
      <c r="F428" s="66"/>
      <c r="G428" s="27" t="s">
        <v>1209</v>
      </c>
      <c r="H428" s="28" t="s">
        <v>44</v>
      </c>
      <c r="I428" s="29"/>
      <c r="J428" s="25">
        <v>1</v>
      </c>
      <c r="K428" s="30">
        <v>394.14</v>
      </c>
      <c r="L428" s="17"/>
      <c r="M428" s="29">
        <f>K428*L428</f>
        <v>0</v>
      </c>
      <c r="N428" s="31">
        <f>0.051*L428</f>
        <v>0</v>
      </c>
      <c r="O428" s="32">
        <f>0.00054*L428</f>
        <v>0</v>
      </c>
      <c r="P428" s="36"/>
      <c r="Q428" s="29" t="s">
        <v>1210</v>
      </c>
      <c r="R428" s="29"/>
      <c r="S428" s="26" t="str">
        <f>HYPERLINK("https://miland.ru/api/getInfo/image/ac1b0b80-fb0a-11ee-a25d-00155d82e908")</f>
        <v>https://miland.ru/api/getInfo/image/ac1b0b80-fb0a-11ee-a25d-00155d82e908</v>
      </c>
    </row>
    <row r="429" spans="1:19" s="2" customFormat="1" ht="96.2" customHeight="1" outlineLevel="7">
      <c r="A429" s="9">
        <v>277</v>
      </c>
      <c r="B429" s="10" t="s">
        <v>1211</v>
      </c>
      <c r="C429" s="65" t="s">
        <v>1212</v>
      </c>
      <c r="D429" s="65"/>
      <c r="E429" s="65"/>
      <c r="F429" s="65"/>
      <c r="G429" s="11" t="s">
        <v>1213</v>
      </c>
      <c r="H429" s="21" t="s">
        <v>44</v>
      </c>
      <c r="I429" s="15"/>
      <c r="J429" s="9">
        <v>1</v>
      </c>
      <c r="K429" s="22">
        <v>1012.38</v>
      </c>
      <c r="L429" s="17"/>
      <c r="M429" s="15">
        <f>K429*L429</f>
        <v>0</v>
      </c>
      <c r="N429" s="18">
        <f>0.068*L429</f>
        <v>0</v>
      </c>
      <c r="O429" s="19">
        <f>0.00024*L429</f>
        <v>0</v>
      </c>
      <c r="P429" s="24" t="s">
        <v>26</v>
      </c>
      <c r="Q429" s="15" t="s">
        <v>1214</v>
      </c>
      <c r="R429" s="15"/>
      <c r="S429" s="10" t="str">
        <f>HYPERLINK("https://miland.ru/api/getInfo/image/c275b471-0888-11f0-a277-00155d82e908")</f>
        <v>https://miland.ru/api/getInfo/image/c275b471-0888-11f0-a277-00155d82e908</v>
      </c>
    </row>
    <row r="430" spans="1:19" s="2" customFormat="1" ht="96.2" customHeight="1" outlineLevel="7">
      <c r="A430" s="9">
        <v>278</v>
      </c>
      <c r="B430" s="10" t="s">
        <v>1215</v>
      </c>
      <c r="C430" s="65" t="s">
        <v>1216</v>
      </c>
      <c r="D430" s="65"/>
      <c r="E430" s="65"/>
      <c r="F430" s="65"/>
      <c r="G430" s="11" t="s">
        <v>1217</v>
      </c>
      <c r="H430" s="21" t="s">
        <v>44</v>
      </c>
      <c r="I430" s="15"/>
      <c r="J430" s="9">
        <v>1</v>
      </c>
      <c r="K430" s="16">
        <v>368.69</v>
      </c>
      <c r="L430" s="17"/>
      <c r="M430" s="15">
        <f>K430*L430</f>
        <v>0</v>
      </c>
      <c r="N430" s="18">
        <f>0.043*L430</f>
        <v>0</v>
      </c>
      <c r="O430" s="19">
        <f>0.00038*L430</f>
        <v>0</v>
      </c>
      <c r="P430" s="24" t="s">
        <v>26</v>
      </c>
      <c r="Q430" s="15" t="s">
        <v>1218</v>
      </c>
      <c r="R430" s="15"/>
      <c r="S430" s="10" t="str">
        <f>HYPERLINK("https://miland.ru/api/getInfo/image/fb282e7f-284c-11f1-a291-00155d82e908")</f>
        <v>https://miland.ru/api/getInfo/image/fb282e7f-284c-11f1-a291-00155d82e908</v>
      </c>
    </row>
    <row r="431" spans="1:19" s="2" customFormat="1" ht="96.2" customHeight="1" outlineLevel="7">
      <c r="A431" s="25">
        <v>279</v>
      </c>
      <c r="B431" s="26" t="s">
        <v>1219</v>
      </c>
      <c r="C431" s="66" t="s">
        <v>1220</v>
      </c>
      <c r="D431" s="66"/>
      <c r="E431" s="66"/>
      <c r="F431" s="66"/>
      <c r="G431" s="27" t="s">
        <v>1221</v>
      </c>
      <c r="H431" s="28" t="s">
        <v>44</v>
      </c>
      <c r="I431" s="29"/>
      <c r="J431" s="25">
        <v>1</v>
      </c>
      <c r="K431" s="30">
        <v>394.14</v>
      </c>
      <c r="L431" s="17"/>
      <c r="M431" s="29">
        <f>K431*L431</f>
        <v>0</v>
      </c>
      <c r="N431" s="31">
        <f>0.054*L431</f>
        <v>0</v>
      </c>
      <c r="O431" s="32">
        <f>0.00763*L431</f>
        <v>0</v>
      </c>
      <c r="P431" s="36"/>
      <c r="Q431" s="29" t="s">
        <v>1222</v>
      </c>
      <c r="R431" s="29"/>
      <c r="S431" s="26" t="str">
        <f>HYPERLINK("https://miland.ru/api/getInfo/image/42da0c4d-fb0b-11ee-a25d-00155d82e908")</f>
        <v>https://miland.ru/api/getInfo/image/42da0c4d-fb0b-11ee-a25d-00155d82e908</v>
      </c>
    </row>
    <row r="432" spans="1:19" s="1" customFormat="1" ht="12" customHeight="1" outlineLevel="6">
      <c r="A432" s="64" t="s">
        <v>1223</v>
      </c>
      <c r="B432" s="64"/>
      <c r="C432" s="64"/>
      <c r="D432" s="64"/>
      <c r="E432" s="64"/>
      <c r="F432" s="64"/>
      <c r="G432" s="8"/>
      <c r="H432" s="12"/>
      <c r="I432" s="2"/>
      <c r="J432" s="2"/>
      <c r="K432" s="13"/>
      <c r="L432" s="2"/>
      <c r="M432" s="2"/>
      <c r="N432" s="2"/>
      <c r="O432" s="2"/>
      <c r="P432" s="2"/>
      <c r="Q432" s="2"/>
      <c r="R432" s="2"/>
      <c r="S432" s="2"/>
    </row>
    <row r="433" spans="1:19" s="1" customFormat="1" ht="12" customHeight="1" outlineLevel="7">
      <c r="A433" s="64" t="s">
        <v>1224</v>
      </c>
      <c r="B433" s="64"/>
      <c r="C433" s="64"/>
      <c r="D433" s="64"/>
      <c r="E433" s="64"/>
      <c r="F433" s="64"/>
      <c r="G433" s="8"/>
      <c r="H433" s="12"/>
      <c r="I433" s="2"/>
      <c r="J433" s="2"/>
      <c r="K433" s="13"/>
      <c r="L433" s="2"/>
      <c r="M433" s="2"/>
      <c r="N433" s="2"/>
      <c r="O433" s="2"/>
      <c r="P433" s="2"/>
      <c r="Q433" s="2"/>
      <c r="R433" s="2"/>
      <c r="S433" s="2"/>
    </row>
    <row r="434" spans="1:19" s="2" customFormat="1" ht="96.2" customHeight="1" outlineLevel="7">
      <c r="A434" s="25">
        <v>280</v>
      </c>
      <c r="B434" s="26" t="s">
        <v>1225</v>
      </c>
      <c r="C434" s="66" t="s">
        <v>1226</v>
      </c>
      <c r="D434" s="66"/>
      <c r="E434" s="66"/>
      <c r="F434" s="66"/>
      <c r="G434" s="27" t="s">
        <v>1227</v>
      </c>
      <c r="H434" s="33">
        <v>119</v>
      </c>
      <c r="I434" s="29"/>
      <c r="J434" s="25">
        <v>3</v>
      </c>
      <c r="K434" s="30">
        <v>264.79000000000002</v>
      </c>
      <c r="L434" s="17"/>
      <c r="M434" s="29">
        <f>K434*L434</f>
        <v>0</v>
      </c>
      <c r="N434" s="31">
        <f>0.034*L434</f>
        <v>0</v>
      </c>
      <c r="O434" s="32">
        <f>0.00057*L434</f>
        <v>0</v>
      </c>
      <c r="P434" s="36"/>
      <c r="Q434" s="29" t="s">
        <v>1228</v>
      </c>
      <c r="R434" s="29" t="s">
        <v>611</v>
      </c>
      <c r="S434" s="26" t="str">
        <f>HYPERLINK("https://miland.ru/api/getInfo/image/6133ead2-009f-11ef-a25d-00155d82e908")</f>
        <v>https://miland.ru/api/getInfo/image/6133ead2-009f-11ef-a25d-00155d82e908</v>
      </c>
    </row>
    <row r="435" spans="1:19" s="2" customFormat="1" ht="96.2" customHeight="1" outlineLevel="7">
      <c r="A435" s="25">
        <v>281</v>
      </c>
      <c r="B435" s="26" t="s">
        <v>1229</v>
      </c>
      <c r="C435" s="66" t="s">
        <v>1230</v>
      </c>
      <c r="D435" s="66"/>
      <c r="E435" s="66"/>
      <c r="F435" s="66"/>
      <c r="G435" s="27" t="s">
        <v>1231</v>
      </c>
      <c r="H435" s="33">
        <v>213</v>
      </c>
      <c r="I435" s="29"/>
      <c r="J435" s="25">
        <v>3</v>
      </c>
      <c r="K435" s="30">
        <v>264.79000000000002</v>
      </c>
      <c r="L435" s="17"/>
      <c r="M435" s="29">
        <f>K435*L435</f>
        <v>0</v>
      </c>
      <c r="N435" s="31">
        <f>0.039*L435</f>
        <v>0</v>
      </c>
      <c r="O435" s="32">
        <f>0.00079*L435</f>
        <v>0</v>
      </c>
      <c r="P435" s="36"/>
      <c r="Q435" s="29" t="s">
        <v>1232</v>
      </c>
      <c r="R435" s="29" t="s">
        <v>611</v>
      </c>
      <c r="S435" s="26" t="str">
        <f>HYPERLINK("https://miland.ru/api/getInfo/image/774b3dfc-009f-11ef-a25d-00155d82e908")</f>
        <v>https://miland.ru/api/getInfo/image/774b3dfc-009f-11ef-a25d-00155d82e908</v>
      </c>
    </row>
    <row r="436" spans="1:19" s="2" customFormat="1" ht="96.2" customHeight="1" outlineLevel="7">
      <c r="A436" s="25">
        <v>282</v>
      </c>
      <c r="B436" s="26" t="s">
        <v>1233</v>
      </c>
      <c r="C436" s="66" t="s">
        <v>1234</v>
      </c>
      <c r="D436" s="66"/>
      <c r="E436" s="66"/>
      <c r="F436" s="66"/>
      <c r="G436" s="27" t="s">
        <v>1235</v>
      </c>
      <c r="H436" s="33">
        <v>212</v>
      </c>
      <c r="I436" s="29"/>
      <c r="J436" s="25">
        <v>1</v>
      </c>
      <c r="K436" s="37">
        <v>1178.9000000000001</v>
      </c>
      <c r="L436" s="17"/>
      <c r="M436" s="29">
        <f>K436*L436</f>
        <v>0</v>
      </c>
      <c r="N436" s="34">
        <f>0.23*L436</f>
        <v>0</v>
      </c>
      <c r="O436" s="32">
        <f>0.00476*L436</f>
        <v>0</v>
      </c>
      <c r="P436" s="36"/>
      <c r="Q436" s="29" t="s">
        <v>1236</v>
      </c>
      <c r="R436" s="29" t="s">
        <v>611</v>
      </c>
      <c r="S436" s="26" t="str">
        <f>HYPERLINK("https://miland.ru/api/getInfo/image/50490fda-95cc-11ef-a267-00155d82e908")</f>
        <v>https://miland.ru/api/getInfo/image/50490fda-95cc-11ef-a267-00155d82e908</v>
      </c>
    </row>
    <row r="437" spans="1:19" s="1" customFormat="1" ht="12" customHeight="1" outlineLevel="7">
      <c r="A437" s="64" t="s">
        <v>1237</v>
      </c>
      <c r="B437" s="64"/>
      <c r="C437" s="64"/>
      <c r="D437" s="64"/>
      <c r="E437" s="64"/>
      <c r="F437" s="64"/>
      <c r="G437" s="8"/>
      <c r="H437" s="12"/>
      <c r="I437" s="2"/>
      <c r="J437" s="2"/>
      <c r="K437" s="13"/>
      <c r="L437" s="2"/>
      <c r="M437" s="2"/>
      <c r="N437" s="2"/>
      <c r="O437" s="2"/>
      <c r="P437" s="2"/>
      <c r="Q437" s="2"/>
      <c r="R437" s="2"/>
      <c r="S437" s="2"/>
    </row>
    <row r="438" spans="1:19" s="2" customFormat="1" ht="96.2" customHeight="1" outlineLevel="7">
      <c r="A438" s="9">
        <v>283</v>
      </c>
      <c r="B438" s="10" t="s">
        <v>1238</v>
      </c>
      <c r="C438" s="65" t="s">
        <v>1239</v>
      </c>
      <c r="D438" s="65"/>
      <c r="E438" s="65"/>
      <c r="F438" s="65"/>
      <c r="G438" s="11" t="s">
        <v>1240</v>
      </c>
      <c r="H438" s="21" t="s">
        <v>44</v>
      </c>
      <c r="I438" s="15"/>
      <c r="J438" s="9">
        <v>1</v>
      </c>
      <c r="K438" s="16">
        <v>642.25</v>
      </c>
      <c r="L438" s="17"/>
      <c r="M438" s="15">
        <f t="shared" ref="M438:M445" si="18">K438*L438</f>
        <v>0</v>
      </c>
      <c r="N438" s="18">
        <f>0.088*L438</f>
        <v>0</v>
      </c>
      <c r="O438" s="20">
        <f>0.0013*L438</f>
        <v>0</v>
      </c>
      <c r="P438" s="24" t="s">
        <v>26</v>
      </c>
      <c r="Q438" s="15" t="s">
        <v>1241</v>
      </c>
      <c r="R438" s="15"/>
      <c r="S438" s="10" t="str">
        <f>HYPERLINK("https://miland.ru/api/getInfo/image/0526ec0a-36ff-11f1-a293-00155d82e908")</f>
        <v>https://miland.ru/api/getInfo/image/0526ec0a-36ff-11f1-a293-00155d82e908</v>
      </c>
    </row>
    <row r="439" spans="1:19" s="2" customFormat="1" ht="96.2" customHeight="1" outlineLevel="7">
      <c r="A439" s="9">
        <v>284</v>
      </c>
      <c r="B439" s="10" t="s">
        <v>1242</v>
      </c>
      <c r="C439" s="65" t="s">
        <v>1243</v>
      </c>
      <c r="D439" s="65"/>
      <c r="E439" s="65"/>
      <c r="F439" s="65"/>
      <c r="G439" s="11" t="s">
        <v>1244</v>
      </c>
      <c r="H439" s="21" t="s">
        <v>44</v>
      </c>
      <c r="I439" s="15"/>
      <c r="J439" s="9">
        <v>1</v>
      </c>
      <c r="K439" s="16">
        <v>642.25</v>
      </c>
      <c r="L439" s="17"/>
      <c r="M439" s="15">
        <f t="shared" si="18"/>
        <v>0</v>
      </c>
      <c r="N439" s="18">
        <f>0.087*L439</f>
        <v>0</v>
      </c>
      <c r="O439" s="19">
        <f>0.00131*L439</f>
        <v>0</v>
      </c>
      <c r="P439" s="24" t="s">
        <v>26</v>
      </c>
      <c r="Q439" s="15" t="s">
        <v>1245</v>
      </c>
      <c r="R439" s="15"/>
      <c r="S439" s="10" t="str">
        <f>HYPERLINK("https://miland.ru/api/getInfo/image/2b889122-36fe-11f1-a293-00155d82e908")</f>
        <v>https://miland.ru/api/getInfo/image/2b889122-36fe-11f1-a293-00155d82e908</v>
      </c>
    </row>
    <row r="440" spans="1:19" s="2" customFormat="1" ht="96.2" customHeight="1" outlineLevel="7">
      <c r="A440" s="25">
        <v>285</v>
      </c>
      <c r="B440" s="26" t="s">
        <v>1246</v>
      </c>
      <c r="C440" s="66" t="s">
        <v>1247</v>
      </c>
      <c r="D440" s="66"/>
      <c r="E440" s="66"/>
      <c r="F440" s="66"/>
      <c r="G440" s="27" t="s">
        <v>1248</v>
      </c>
      <c r="H440" s="33">
        <v>101</v>
      </c>
      <c r="I440" s="29"/>
      <c r="J440" s="25">
        <v>2</v>
      </c>
      <c r="K440" s="30">
        <v>317.74</v>
      </c>
      <c r="L440" s="17"/>
      <c r="M440" s="29">
        <f t="shared" si="18"/>
        <v>0</v>
      </c>
      <c r="N440" s="31">
        <f>0.057*L440</f>
        <v>0</v>
      </c>
      <c r="O440" s="32">
        <f>0.00113*L440</f>
        <v>0</v>
      </c>
      <c r="P440" s="36"/>
      <c r="Q440" s="29" t="s">
        <v>1249</v>
      </c>
      <c r="R440" s="29" t="s">
        <v>611</v>
      </c>
      <c r="S440" s="26" t="str">
        <f>HYPERLINK("https://miland.ru/api/getInfo/image/46d17969-009f-11ef-a25d-00155d82e908")</f>
        <v>https://miland.ru/api/getInfo/image/46d17969-009f-11ef-a25d-00155d82e908</v>
      </c>
    </row>
    <row r="441" spans="1:19" s="2" customFormat="1" ht="96.2" customHeight="1" outlineLevel="7">
      <c r="A441" s="9">
        <v>286</v>
      </c>
      <c r="B441" s="10" t="s">
        <v>1250</v>
      </c>
      <c r="C441" s="65" t="s">
        <v>1251</v>
      </c>
      <c r="D441" s="65"/>
      <c r="E441" s="65"/>
      <c r="F441" s="65"/>
      <c r="G441" s="11" t="s">
        <v>1252</v>
      </c>
      <c r="H441" s="21" t="s">
        <v>44</v>
      </c>
      <c r="I441" s="15"/>
      <c r="J441" s="9">
        <v>1</v>
      </c>
      <c r="K441" s="16">
        <v>642.25</v>
      </c>
      <c r="L441" s="17"/>
      <c r="M441" s="15">
        <f t="shared" si="18"/>
        <v>0</v>
      </c>
      <c r="N441" s="23">
        <f>0.09*L441</f>
        <v>0</v>
      </c>
      <c r="O441" s="19">
        <f>0.00133*L441</f>
        <v>0</v>
      </c>
      <c r="P441" s="24" t="s">
        <v>26</v>
      </c>
      <c r="Q441" s="15" t="s">
        <v>1253</v>
      </c>
      <c r="R441" s="15"/>
      <c r="S441" s="10" t="str">
        <f>HYPERLINK("https://miland.ru/api/getInfo/image/5f24a006-36fd-11f1-a293-00155d82e908")</f>
        <v>https://miland.ru/api/getInfo/image/5f24a006-36fd-11f1-a293-00155d82e908</v>
      </c>
    </row>
    <row r="442" spans="1:19" s="2" customFormat="1" ht="96.2" customHeight="1" outlineLevel="7">
      <c r="A442" s="25">
        <v>287</v>
      </c>
      <c r="B442" s="26" t="s">
        <v>1254</v>
      </c>
      <c r="C442" s="66" t="s">
        <v>1255</v>
      </c>
      <c r="D442" s="66"/>
      <c r="E442" s="66"/>
      <c r="F442" s="66"/>
      <c r="G442" s="27" t="s">
        <v>1256</v>
      </c>
      <c r="H442" s="33">
        <v>69</v>
      </c>
      <c r="I442" s="29"/>
      <c r="J442" s="25">
        <v>2</v>
      </c>
      <c r="K442" s="30">
        <v>317.74</v>
      </c>
      <c r="L442" s="17"/>
      <c r="M442" s="29">
        <f t="shared" si="18"/>
        <v>0</v>
      </c>
      <c r="N442" s="31">
        <f>0.058*L442</f>
        <v>0</v>
      </c>
      <c r="O442" s="32">
        <f>0.00109*L442</f>
        <v>0</v>
      </c>
      <c r="P442" s="36"/>
      <c r="Q442" s="29" t="s">
        <v>1257</v>
      </c>
      <c r="R442" s="29" t="s">
        <v>611</v>
      </c>
      <c r="S442" s="26" t="str">
        <f>HYPERLINK("https://miland.ru/api/getInfo/image/2d0ec641-009f-11ef-a25d-00155d82e908")</f>
        <v>https://miland.ru/api/getInfo/image/2d0ec641-009f-11ef-a25d-00155d82e908</v>
      </c>
    </row>
    <row r="443" spans="1:19" s="2" customFormat="1" ht="96.2" customHeight="1" outlineLevel="7">
      <c r="A443" s="25">
        <v>288</v>
      </c>
      <c r="B443" s="26" t="s">
        <v>1258</v>
      </c>
      <c r="C443" s="66" t="s">
        <v>1259</v>
      </c>
      <c r="D443" s="66"/>
      <c r="E443" s="66"/>
      <c r="F443" s="66"/>
      <c r="G443" s="27" t="s">
        <v>1260</v>
      </c>
      <c r="H443" s="33">
        <v>19</v>
      </c>
      <c r="I443" s="29"/>
      <c r="J443" s="25">
        <v>2</v>
      </c>
      <c r="K443" s="30">
        <v>317.74</v>
      </c>
      <c r="L443" s="17"/>
      <c r="M443" s="29">
        <f t="shared" si="18"/>
        <v>0</v>
      </c>
      <c r="N443" s="34">
        <f>0.06*L443</f>
        <v>0</v>
      </c>
      <c r="O443" s="32">
        <f>0.00108*L443</f>
        <v>0</v>
      </c>
      <c r="P443" s="36"/>
      <c r="Q443" s="29" t="s">
        <v>1261</v>
      </c>
      <c r="R443" s="29" t="s">
        <v>611</v>
      </c>
      <c r="S443" s="26" t="str">
        <f>HYPERLINK("https://miland.ru/api/getInfo/image/dbf526db-009e-11ef-a25d-00155d82e908")</f>
        <v>https://miland.ru/api/getInfo/image/dbf526db-009e-11ef-a25d-00155d82e908</v>
      </c>
    </row>
    <row r="444" spans="1:19" s="2" customFormat="1" ht="96.2" customHeight="1" outlineLevel="7">
      <c r="A444" s="25">
        <v>289</v>
      </c>
      <c r="B444" s="26" t="s">
        <v>1262</v>
      </c>
      <c r="C444" s="66" t="s">
        <v>1263</v>
      </c>
      <c r="D444" s="66"/>
      <c r="E444" s="66"/>
      <c r="F444" s="66"/>
      <c r="G444" s="27" t="s">
        <v>1264</v>
      </c>
      <c r="H444" s="33">
        <v>54</v>
      </c>
      <c r="I444" s="29"/>
      <c r="J444" s="25">
        <v>2</v>
      </c>
      <c r="K444" s="30">
        <v>317.74</v>
      </c>
      <c r="L444" s="17"/>
      <c r="M444" s="29">
        <f t="shared" si="18"/>
        <v>0</v>
      </c>
      <c r="N444" s="34">
        <f>0.06*L444</f>
        <v>0</v>
      </c>
      <c r="O444" s="32">
        <f>0.00104*L444</f>
        <v>0</v>
      </c>
      <c r="P444" s="36"/>
      <c r="Q444" s="29" t="s">
        <v>1265</v>
      </c>
      <c r="R444" s="29" t="s">
        <v>611</v>
      </c>
      <c r="S444" s="26" t="str">
        <f>HYPERLINK("https://miland.ru/api/getInfo/image/19df51fb-009f-11ef-a25d-00155d82e908")</f>
        <v>https://miland.ru/api/getInfo/image/19df51fb-009f-11ef-a25d-00155d82e908</v>
      </c>
    </row>
    <row r="445" spans="1:19" s="2" customFormat="1" ht="96.2" customHeight="1" outlineLevel="7">
      <c r="A445" s="9">
        <v>290</v>
      </c>
      <c r="B445" s="10" t="s">
        <v>1266</v>
      </c>
      <c r="C445" s="65" t="s">
        <v>1267</v>
      </c>
      <c r="D445" s="65"/>
      <c r="E445" s="65"/>
      <c r="F445" s="65"/>
      <c r="G445" s="11" t="s">
        <v>1268</v>
      </c>
      <c r="H445" s="14">
        <v>191</v>
      </c>
      <c r="I445" s="15"/>
      <c r="J445" s="9">
        <v>1</v>
      </c>
      <c r="K445" s="22">
        <v>1390.74</v>
      </c>
      <c r="L445" s="17"/>
      <c r="M445" s="15">
        <f t="shared" si="18"/>
        <v>0</v>
      </c>
      <c r="N445" s="18">
        <f>0.366*L445</f>
        <v>0</v>
      </c>
      <c r="O445" s="19">
        <f>0.00624*L445</f>
        <v>0</v>
      </c>
      <c r="P445" s="24" t="s">
        <v>26</v>
      </c>
      <c r="Q445" s="15" t="s">
        <v>1269</v>
      </c>
      <c r="R445" s="15" t="s">
        <v>611</v>
      </c>
      <c r="S445" s="10" t="str">
        <f>HYPERLINK("https://miland.ru/api/getInfo/image/7df0732c-95cb-11ef-a267-00155d82e908")</f>
        <v>https://miland.ru/api/getInfo/image/7df0732c-95cb-11ef-a267-00155d82e908</v>
      </c>
    </row>
    <row r="446" spans="1:19" s="1" customFormat="1" ht="12" customHeight="1" outlineLevel="2">
      <c r="A446" s="63" t="s">
        <v>1270</v>
      </c>
      <c r="B446" s="63"/>
      <c r="C446" s="63"/>
      <c r="D446" s="63"/>
      <c r="E446" s="63"/>
      <c r="F446" s="63"/>
      <c r="G446" s="8"/>
      <c r="H446" s="12"/>
      <c r="I446" s="2"/>
      <c r="J446" s="2"/>
      <c r="K446" s="13"/>
      <c r="L446" s="2"/>
      <c r="M446" s="2"/>
      <c r="N446" s="2"/>
      <c r="O446" s="2"/>
      <c r="P446" s="2"/>
      <c r="Q446" s="2"/>
      <c r="R446" s="2"/>
      <c r="S446" s="2"/>
    </row>
    <row r="447" spans="1:19" s="1" customFormat="1" ht="12" customHeight="1" outlineLevel="3">
      <c r="A447" s="64" t="s">
        <v>1271</v>
      </c>
      <c r="B447" s="64"/>
      <c r="C447" s="64"/>
      <c r="D447" s="64"/>
      <c r="E447" s="64"/>
      <c r="F447" s="64"/>
      <c r="G447" s="8"/>
      <c r="H447" s="12"/>
      <c r="I447" s="2"/>
      <c r="J447" s="2"/>
      <c r="K447" s="13"/>
      <c r="L447" s="2"/>
      <c r="M447" s="2"/>
      <c r="N447" s="2"/>
      <c r="O447" s="2"/>
      <c r="P447" s="2"/>
      <c r="Q447" s="2"/>
      <c r="R447" s="2"/>
      <c r="S447" s="2"/>
    </row>
    <row r="448" spans="1:19" s="1" customFormat="1" ht="12" customHeight="1" outlineLevel="4">
      <c r="A448" s="64" t="s">
        <v>1272</v>
      </c>
      <c r="B448" s="64"/>
      <c r="C448" s="64"/>
      <c r="D448" s="64"/>
      <c r="E448" s="64"/>
      <c r="F448" s="64"/>
      <c r="G448" s="8"/>
      <c r="H448" s="12"/>
      <c r="I448" s="2"/>
      <c r="J448" s="2"/>
      <c r="K448" s="13"/>
      <c r="L448" s="2"/>
      <c r="M448" s="2"/>
      <c r="N448" s="2"/>
      <c r="O448" s="2"/>
      <c r="P448" s="2"/>
      <c r="Q448" s="2"/>
      <c r="R448" s="2"/>
      <c r="S448" s="2"/>
    </row>
    <row r="449" spans="1:19" s="1" customFormat="1" ht="12" customHeight="1" outlineLevel="5">
      <c r="A449" s="64" t="s">
        <v>1273</v>
      </c>
      <c r="B449" s="64"/>
      <c r="C449" s="64"/>
      <c r="D449" s="64"/>
      <c r="E449" s="64"/>
      <c r="F449" s="64"/>
      <c r="G449" s="8"/>
      <c r="H449" s="12"/>
      <c r="I449" s="2"/>
      <c r="J449" s="2"/>
      <c r="K449" s="13"/>
      <c r="L449" s="2"/>
      <c r="M449" s="2"/>
      <c r="N449" s="2"/>
      <c r="O449" s="2"/>
      <c r="P449" s="2"/>
      <c r="Q449" s="2"/>
      <c r="R449" s="2"/>
      <c r="S449" s="2"/>
    </row>
    <row r="450" spans="1:19" s="2" customFormat="1" ht="96.2" customHeight="1" outlineLevel="6">
      <c r="A450" s="25">
        <v>291</v>
      </c>
      <c r="B450" s="26" t="s">
        <v>1274</v>
      </c>
      <c r="C450" s="66" t="s">
        <v>1275</v>
      </c>
      <c r="D450" s="66"/>
      <c r="E450" s="66"/>
      <c r="F450" s="66"/>
      <c r="G450" s="27" t="s">
        <v>1276</v>
      </c>
      <c r="H450" s="28" t="s">
        <v>44</v>
      </c>
      <c r="I450" s="29"/>
      <c r="J450" s="25">
        <v>1</v>
      </c>
      <c r="K450" s="37">
        <v>2429.23</v>
      </c>
      <c r="L450" s="17"/>
      <c r="M450" s="29">
        <f>K450*L450</f>
        <v>0</v>
      </c>
      <c r="N450" s="31">
        <f>0.757*L450</f>
        <v>0</v>
      </c>
      <c r="O450" s="32">
        <f>0.07228*L450</f>
        <v>0</v>
      </c>
      <c r="P450" s="36"/>
      <c r="Q450" s="29" t="s">
        <v>1277</v>
      </c>
      <c r="R450" s="29"/>
      <c r="S450" s="26" t="str">
        <f>HYPERLINK("https://miland.ru/api/getInfo/image/942a2fa7-65b2-11ed-a22a-00155d82e902")</f>
        <v>https://miland.ru/api/getInfo/image/942a2fa7-65b2-11ed-a22a-00155d82e902</v>
      </c>
    </row>
    <row r="451" spans="1:19" s="2" customFormat="1" ht="96.2" customHeight="1" outlineLevel="6">
      <c r="A451" s="25">
        <v>292</v>
      </c>
      <c r="B451" s="26" t="s">
        <v>1278</v>
      </c>
      <c r="C451" s="66" t="s">
        <v>1279</v>
      </c>
      <c r="D451" s="66"/>
      <c r="E451" s="66"/>
      <c r="F451" s="66"/>
      <c r="G451" s="27" t="s">
        <v>1280</v>
      </c>
      <c r="H451" s="33">
        <v>228</v>
      </c>
      <c r="I451" s="29"/>
      <c r="J451" s="25">
        <v>1</v>
      </c>
      <c r="K451" s="37">
        <v>3498.84</v>
      </c>
      <c r="L451" s="17"/>
      <c r="M451" s="29">
        <f>K451*L451</f>
        <v>0</v>
      </c>
      <c r="N451" s="31">
        <f>0.797*L451</f>
        <v>0</v>
      </c>
      <c r="O451" s="35">
        <f>0.0184*L451</f>
        <v>0</v>
      </c>
      <c r="P451" s="36"/>
      <c r="Q451" s="29" t="s">
        <v>1281</v>
      </c>
      <c r="R451" s="29"/>
      <c r="S451" s="26" t="str">
        <f>HYPERLINK("https://miland.ru/api/getInfo/image/031d2c16-65b3-11ed-a22a-00155d82e902")</f>
        <v>https://miland.ru/api/getInfo/image/031d2c16-65b3-11ed-a22a-00155d82e902</v>
      </c>
    </row>
    <row r="452" spans="1:19" s="2" customFormat="1" ht="96.2" customHeight="1" outlineLevel="6">
      <c r="A452" s="25">
        <v>293</v>
      </c>
      <c r="B452" s="26" t="s">
        <v>1282</v>
      </c>
      <c r="C452" s="66" t="s">
        <v>1283</v>
      </c>
      <c r="D452" s="66"/>
      <c r="E452" s="66"/>
      <c r="F452" s="66"/>
      <c r="G452" s="27" t="s">
        <v>1284</v>
      </c>
      <c r="H452" s="33">
        <v>333</v>
      </c>
      <c r="I452" s="29"/>
      <c r="J452" s="25">
        <v>1</v>
      </c>
      <c r="K452" s="37">
        <v>2544.36</v>
      </c>
      <c r="L452" s="17"/>
      <c r="M452" s="29">
        <f>K452*L452</f>
        <v>0</v>
      </c>
      <c r="N452" s="31">
        <f>0.739*L452</f>
        <v>0</v>
      </c>
      <c r="O452" s="32">
        <f>0.02077*L452</f>
        <v>0</v>
      </c>
      <c r="P452" s="36"/>
      <c r="Q452" s="29" t="s">
        <v>1285</v>
      </c>
      <c r="R452" s="29"/>
      <c r="S452" s="26" t="str">
        <f>HYPERLINK("https://miland.ru/api/getInfo/image/cc98107a-65b2-11ed-a22a-00155d82e902")</f>
        <v>https://miland.ru/api/getInfo/image/cc98107a-65b2-11ed-a22a-00155d82e902</v>
      </c>
    </row>
    <row r="453" spans="1:19" s="2" customFormat="1" ht="96.2" customHeight="1" outlineLevel="6">
      <c r="A453" s="25">
        <v>294</v>
      </c>
      <c r="B453" s="26" t="s">
        <v>1286</v>
      </c>
      <c r="C453" s="66" t="s">
        <v>1287</v>
      </c>
      <c r="D453" s="66"/>
      <c r="E453" s="66"/>
      <c r="F453" s="66"/>
      <c r="G453" s="27" t="s">
        <v>1288</v>
      </c>
      <c r="H453" s="28" t="s">
        <v>44</v>
      </c>
      <c r="I453" s="29"/>
      <c r="J453" s="25">
        <v>1</v>
      </c>
      <c r="K453" s="37">
        <v>2448.09</v>
      </c>
      <c r="L453" s="17"/>
      <c r="M453" s="29">
        <f>K453*L453</f>
        <v>0</v>
      </c>
      <c r="N453" s="31">
        <f>0.727*L453</f>
        <v>0</v>
      </c>
      <c r="O453" s="35">
        <f>0.0065*L453</f>
        <v>0</v>
      </c>
      <c r="P453" s="36"/>
      <c r="Q453" s="29" t="s">
        <v>1289</v>
      </c>
      <c r="R453" s="29" t="s">
        <v>611</v>
      </c>
      <c r="S453" s="26" t="str">
        <f>HYPERLINK("https://miland.ru/api/getInfo/image/307f627e-65b3-11ed-a22a-00155d82e902")</f>
        <v>https://miland.ru/api/getInfo/image/307f627e-65b3-11ed-a22a-00155d82e902</v>
      </c>
    </row>
    <row r="454" spans="1:19" s="2" customFormat="1" ht="96.2" customHeight="1" outlineLevel="6">
      <c r="A454" s="25">
        <v>295</v>
      </c>
      <c r="B454" s="26" t="s">
        <v>1290</v>
      </c>
      <c r="C454" s="66" t="s">
        <v>1291</v>
      </c>
      <c r="D454" s="66"/>
      <c r="E454" s="66"/>
      <c r="F454" s="66"/>
      <c r="G454" s="27" t="s">
        <v>1292</v>
      </c>
      <c r="H454" s="33">
        <v>307</v>
      </c>
      <c r="I454" s="29"/>
      <c r="J454" s="25">
        <v>1</v>
      </c>
      <c r="K454" s="37">
        <v>3111.47</v>
      </c>
      <c r="L454" s="17"/>
      <c r="M454" s="29">
        <f>K454*L454</f>
        <v>0</v>
      </c>
      <c r="N454" s="31">
        <f>1.132*L454</f>
        <v>0</v>
      </c>
      <c r="O454" s="32">
        <f>0.02755*L454</f>
        <v>0</v>
      </c>
      <c r="P454" s="36"/>
      <c r="Q454" s="29" t="s">
        <v>1293</v>
      </c>
      <c r="R454" s="29" t="s">
        <v>611</v>
      </c>
      <c r="S454" s="26" t="str">
        <f>HYPERLINK("https://miland.ru/api/getInfo/image/6918329d-65b3-11ed-a22a-00155d82e902")</f>
        <v>https://miland.ru/api/getInfo/image/6918329d-65b3-11ed-a22a-00155d82e902</v>
      </c>
    </row>
    <row r="455" spans="1:19" s="1" customFormat="1" ht="12" customHeight="1" outlineLevel="5">
      <c r="A455" s="64" t="s">
        <v>1294</v>
      </c>
      <c r="B455" s="64"/>
      <c r="C455" s="64"/>
      <c r="D455" s="64"/>
      <c r="E455" s="64"/>
      <c r="F455" s="64"/>
      <c r="G455" s="8"/>
      <c r="H455" s="12"/>
      <c r="I455" s="2"/>
      <c r="J455" s="2"/>
      <c r="K455" s="13"/>
      <c r="L455" s="2"/>
      <c r="M455" s="2"/>
      <c r="N455" s="2"/>
      <c r="O455" s="2"/>
      <c r="P455" s="2"/>
      <c r="Q455" s="2"/>
      <c r="R455" s="2"/>
      <c r="S455" s="2"/>
    </row>
    <row r="456" spans="1:19" s="2" customFormat="1" ht="96.2" customHeight="1" outlineLevel="6">
      <c r="A456" s="25">
        <v>296</v>
      </c>
      <c r="B456" s="26" t="s">
        <v>1295</v>
      </c>
      <c r="C456" s="66" t="s">
        <v>1296</v>
      </c>
      <c r="D456" s="66"/>
      <c r="E456" s="66"/>
      <c r="F456" s="66"/>
      <c r="G456" s="27" t="s">
        <v>1297</v>
      </c>
      <c r="H456" s="33">
        <v>5</v>
      </c>
      <c r="I456" s="29"/>
      <c r="J456" s="25">
        <v>1</v>
      </c>
      <c r="K456" s="37">
        <v>1803.8</v>
      </c>
      <c r="L456" s="17"/>
      <c r="M456" s="29">
        <f t="shared" ref="M456:M463" si="19">K456*L456</f>
        <v>0</v>
      </c>
      <c r="N456" s="31">
        <f>0.594*L456</f>
        <v>0</v>
      </c>
      <c r="O456" s="32">
        <f>0.02906*L456</f>
        <v>0</v>
      </c>
      <c r="P456" s="36"/>
      <c r="Q456" s="29" t="s">
        <v>1298</v>
      </c>
      <c r="R456" s="29" t="s">
        <v>611</v>
      </c>
      <c r="S456" s="26" t="str">
        <f>HYPERLINK("https://miland.ru/api/getInfo/image/7ce33e99-9642-11ed-a22d-00155d82e902")</f>
        <v>https://miland.ru/api/getInfo/image/7ce33e99-9642-11ed-a22d-00155d82e902</v>
      </c>
    </row>
    <row r="457" spans="1:19" s="2" customFormat="1" ht="96.2" customHeight="1" outlineLevel="6">
      <c r="A457" s="25">
        <v>297</v>
      </c>
      <c r="B457" s="26" t="s">
        <v>1299</v>
      </c>
      <c r="C457" s="66" t="s">
        <v>1300</v>
      </c>
      <c r="D457" s="66"/>
      <c r="E457" s="66"/>
      <c r="F457" s="66"/>
      <c r="G457" s="27" t="s">
        <v>1301</v>
      </c>
      <c r="H457" s="28" t="s">
        <v>44</v>
      </c>
      <c r="I457" s="29"/>
      <c r="J457" s="25">
        <v>1</v>
      </c>
      <c r="K457" s="30">
        <v>598.66999999999996</v>
      </c>
      <c r="L457" s="17"/>
      <c r="M457" s="29">
        <f t="shared" si="19"/>
        <v>0</v>
      </c>
      <c r="N457" s="31">
        <f>0.617*L457</f>
        <v>0</v>
      </c>
      <c r="O457" s="32">
        <f>0.01273*L457</f>
        <v>0</v>
      </c>
      <c r="P457" s="36"/>
      <c r="Q457" s="29" t="s">
        <v>1302</v>
      </c>
      <c r="R457" s="29"/>
      <c r="S457" s="26" t="str">
        <f>HYPERLINK("https://miland.ru/api/getInfo/image/d70d4439-8e5f-11ec-a211-ac1f6b442185")</f>
        <v>https://miland.ru/api/getInfo/image/d70d4439-8e5f-11ec-a211-ac1f6b442185</v>
      </c>
    </row>
    <row r="458" spans="1:19" s="2" customFormat="1" ht="96.2" customHeight="1" outlineLevel="6">
      <c r="A458" s="25">
        <v>298</v>
      </c>
      <c r="B458" s="26" t="s">
        <v>1303</v>
      </c>
      <c r="C458" s="66" t="s">
        <v>1304</v>
      </c>
      <c r="D458" s="66"/>
      <c r="E458" s="66"/>
      <c r="F458" s="66"/>
      <c r="G458" s="27" t="s">
        <v>1305</v>
      </c>
      <c r="H458" s="28" t="s">
        <v>44</v>
      </c>
      <c r="I458" s="29"/>
      <c r="J458" s="25">
        <v>1</v>
      </c>
      <c r="K458" s="30">
        <v>677.08</v>
      </c>
      <c r="L458" s="17"/>
      <c r="M458" s="29">
        <f t="shared" si="19"/>
        <v>0</v>
      </c>
      <c r="N458" s="31">
        <f>0.728*L458</f>
        <v>0</v>
      </c>
      <c r="O458" s="32">
        <f>0.00934*L458</f>
        <v>0</v>
      </c>
      <c r="P458" s="36"/>
      <c r="Q458" s="29" t="s">
        <v>1306</v>
      </c>
      <c r="R458" s="29"/>
      <c r="S458" s="26" t="str">
        <f>HYPERLINK("https://miland.ru/api/getInfo/image/4f499f4e-8e60-11ec-a211-ac1f6b442185")</f>
        <v>https://miland.ru/api/getInfo/image/4f499f4e-8e60-11ec-a211-ac1f6b442185</v>
      </c>
    </row>
    <row r="459" spans="1:19" s="2" customFormat="1" ht="96.2" customHeight="1" outlineLevel="6">
      <c r="A459" s="25">
        <v>299</v>
      </c>
      <c r="B459" s="26" t="s">
        <v>1307</v>
      </c>
      <c r="C459" s="66" t="s">
        <v>1308</v>
      </c>
      <c r="D459" s="66"/>
      <c r="E459" s="66"/>
      <c r="F459" s="66"/>
      <c r="G459" s="27" t="s">
        <v>1309</v>
      </c>
      <c r="H459" s="28" t="s">
        <v>44</v>
      </c>
      <c r="I459" s="29"/>
      <c r="J459" s="25">
        <v>1</v>
      </c>
      <c r="K459" s="37">
        <v>1141.3800000000001</v>
      </c>
      <c r="L459" s="17"/>
      <c r="M459" s="29">
        <f t="shared" si="19"/>
        <v>0</v>
      </c>
      <c r="N459" s="31">
        <f>1.065*L459</f>
        <v>0</v>
      </c>
      <c r="O459" s="35">
        <f>0.0178*L459</f>
        <v>0</v>
      </c>
      <c r="P459" s="36"/>
      <c r="Q459" s="29" t="s">
        <v>1310</v>
      </c>
      <c r="R459" s="29"/>
      <c r="S459" s="26" t="str">
        <f>HYPERLINK("https://miland.ru/api/getInfo/image/896a43ca-8e61-11ec-a211-ac1f6b442185")</f>
        <v>https://miland.ru/api/getInfo/image/896a43ca-8e61-11ec-a211-ac1f6b442185</v>
      </c>
    </row>
    <row r="460" spans="1:19" s="2" customFormat="1" ht="96.2" customHeight="1" outlineLevel="6">
      <c r="A460" s="25">
        <v>300</v>
      </c>
      <c r="B460" s="26" t="s">
        <v>1311</v>
      </c>
      <c r="C460" s="66" t="s">
        <v>1312</v>
      </c>
      <c r="D460" s="66"/>
      <c r="E460" s="66"/>
      <c r="F460" s="66"/>
      <c r="G460" s="27" t="s">
        <v>1313</v>
      </c>
      <c r="H460" s="28" t="s">
        <v>44</v>
      </c>
      <c r="I460" s="29"/>
      <c r="J460" s="25">
        <v>1</v>
      </c>
      <c r="K460" s="37">
        <v>1282.54</v>
      </c>
      <c r="L460" s="17"/>
      <c r="M460" s="29">
        <f t="shared" si="19"/>
        <v>0</v>
      </c>
      <c r="N460" s="31">
        <f>1.231*L460</f>
        <v>0</v>
      </c>
      <c r="O460" s="32">
        <f>0.01776*L460</f>
        <v>0</v>
      </c>
      <c r="P460" s="36"/>
      <c r="Q460" s="29" t="s">
        <v>1314</v>
      </c>
      <c r="R460" s="29"/>
      <c r="S460" s="26" t="str">
        <f>HYPERLINK("https://miland.ru/api/getInfo/image/8be65b92-8e62-11ec-a211-ac1f6b442185")</f>
        <v>https://miland.ru/api/getInfo/image/8be65b92-8e62-11ec-a211-ac1f6b442185</v>
      </c>
    </row>
    <row r="461" spans="1:19" s="2" customFormat="1" ht="96.2" customHeight="1" outlineLevel="6">
      <c r="A461" s="25">
        <v>301</v>
      </c>
      <c r="B461" s="26" t="s">
        <v>1315</v>
      </c>
      <c r="C461" s="66" t="s">
        <v>1316</v>
      </c>
      <c r="D461" s="66"/>
      <c r="E461" s="66"/>
      <c r="F461" s="66"/>
      <c r="G461" s="27" t="s">
        <v>1317</v>
      </c>
      <c r="H461" s="33">
        <v>370</v>
      </c>
      <c r="I461" s="29"/>
      <c r="J461" s="25">
        <v>1</v>
      </c>
      <c r="K461" s="37">
        <v>1387.31</v>
      </c>
      <c r="L461" s="17"/>
      <c r="M461" s="29">
        <f t="shared" si="19"/>
        <v>0</v>
      </c>
      <c r="N461" s="31">
        <f>1.284*L461</f>
        <v>0</v>
      </c>
      <c r="O461" s="32">
        <f>0.02243*L461</f>
        <v>0</v>
      </c>
      <c r="P461" s="36"/>
      <c r="Q461" s="29" t="s">
        <v>1318</v>
      </c>
      <c r="R461" s="29"/>
      <c r="S461" s="26" t="str">
        <f>HYPERLINK("https://miland.ru/api/getInfo/image/e2051ad0-8e61-11ec-a211-ac1f6b442185")</f>
        <v>https://miland.ru/api/getInfo/image/e2051ad0-8e61-11ec-a211-ac1f6b442185</v>
      </c>
    </row>
    <row r="462" spans="1:19" s="2" customFormat="1" ht="96.2" customHeight="1" outlineLevel="6">
      <c r="A462" s="25">
        <v>302</v>
      </c>
      <c r="B462" s="26" t="s">
        <v>1319</v>
      </c>
      <c r="C462" s="66" t="s">
        <v>1320</v>
      </c>
      <c r="D462" s="66"/>
      <c r="E462" s="66"/>
      <c r="F462" s="66"/>
      <c r="G462" s="27" t="s">
        <v>1321</v>
      </c>
      <c r="H462" s="28" t="s">
        <v>44</v>
      </c>
      <c r="I462" s="29"/>
      <c r="J462" s="25">
        <v>1</v>
      </c>
      <c r="K462" s="37">
        <v>1663.62</v>
      </c>
      <c r="L462" s="17"/>
      <c r="M462" s="29">
        <f t="shared" si="19"/>
        <v>0</v>
      </c>
      <c r="N462" s="31">
        <f>1.611*L462</f>
        <v>0</v>
      </c>
      <c r="O462" s="32">
        <f>0.02015*L462</f>
        <v>0</v>
      </c>
      <c r="P462" s="36"/>
      <c r="Q462" s="29" t="s">
        <v>1322</v>
      </c>
      <c r="R462" s="29"/>
      <c r="S462" s="26" t="str">
        <f>HYPERLINK("https://miland.ru/api/getInfo/image/dd933f67-8e62-11ec-a211-ac1f6b442185")</f>
        <v>https://miland.ru/api/getInfo/image/dd933f67-8e62-11ec-a211-ac1f6b442185</v>
      </c>
    </row>
    <row r="463" spans="1:19" s="2" customFormat="1" ht="96.2" customHeight="1" outlineLevel="6">
      <c r="A463" s="25">
        <v>303</v>
      </c>
      <c r="B463" s="26" t="s">
        <v>1323</v>
      </c>
      <c r="C463" s="66" t="s">
        <v>1324</v>
      </c>
      <c r="D463" s="66"/>
      <c r="E463" s="66"/>
      <c r="F463" s="66"/>
      <c r="G463" s="27" t="s">
        <v>1325</v>
      </c>
      <c r="H463" s="33">
        <v>85</v>
      </c>
      <c r="I463" s="29"/>
      <c r="J463" s="25">
        <v>1</v>
      </c>
      <c r="K463" s="37">
        <v>1417.27</v>
      </c>
      <c r="L463" s="17"/>
      <c r="M463" s="29">
        <f t="shared" si="19"/>
        <v>0</v>
      </c>
      <c r="N463" s="31">
        <f>1.318*L463</f>
        <v>0</v>
      </c>
      <c r="O463" s="31">
        <f>0.019*L463</f>
        <v>0</v>
      </c>
      <c r="P463" s="36"/>
      <c r="Q463" s="29" t="s">
        <v>1326</v>
      </c>
      <c r="R463" s="29"/>
      <c r="S463" s="26" t="str">
        <f>HYPERLINK("https://miland.ru/api/getInfo/image/370ec41b-8e62-11ec-a211-ac1f6b442185")</f>
        <v>https://miland.ru/api/getInfo/image/370ec41b-8e62-11ec-a211-ac1f6b442185</v>
      </c>
    </row>
    <row r="464" spans="1:19" s="1" customFormat="1" ht="12" customHeight="1" outlineLevel="4">
      <c r="A464" s="64" t="s">
        <v>1327</v>
      </c>
      <c r="B464" s="64"/>
      <c r="C464" s="64"/>
      <c r="D464" s="64"/>
      <c r="E464" s="64"/>
      <c r="F464" s="64"/>
      <c r="G464" s="8"/>
      <c r="H464" s="12"/>
      <c r="I464" s="2"/>
      <c r="J464" s="2"/>
      <c r="K464" s="13"/>
      <c r="L464" s="2"/>
      <c r="M464" s="2"/>
      <c r="N464" s="2"/>
      <c r="O464" s="2"/>
      <c r="P464" s="2"/>
      <c r="Q464" s="2"/>
      <c r="R464" s="2"/>
      <c r="S464" s="2"/>
    </row>
    <row r="465" spans="1:19" s="1" customFormat="1" ht="12" customHeight="1" outlineLevel="5">
      <c r="A465" s="64" t="s">
        <v>1328</v>
      </c>
      <c r="B465" s="64"/>
      <c r="C465" s="64"/>
      <c r="D465" s="64"/>
      <c r="E465" s="64"/>
      <c r="F465" s="64"/>
      <c r="G465" s="8"/>
      <c r="H465" s="12"/>
      <c r="I465" s="2"/>
      <c r="J465" s="2"/>
      <c r="K465" s="13"/>
      <c r="L465" s="2"/>
      <c r="M465" s="2"/>
      <c r="N465" s="2"/>
      <c r="O465" s="2"/>
      <c r="P465" s="2"/>
      <c r="Q465" s="2"/>
      <c r="R465" s="2"/>
      <c r="S465" s="2"/>
    </row>
    <row r="466" spans="1:19" s="1" customFormat="1" ht="12" customHeight="1" outlineLevel="6">
      <c r="A466" s="64" t="s">
        <v>1329</v>
      </c>
      <c r="B466" s="64"/>
      <c r="C466" s="64"/>
      <c r="D466" s="64"/>
      <c r="E466" s="64"/>
      <c r="F466" s="64"/>
      <c r="G466" s="8"/>
      <c r="H466" s="12"/>
      <c r="I466" s="2"/>
      <c r="J466" s="2"/>
      <c r="K466" s="13"/>
      <c r="L466" s="2"/>
      <c r="M466" s="2"/>
      <c r="N466" s="2"/>
      <c r="O466" s="2"/>
      <c r="P466" s="2"/>
      <c r="Q466" s="2"/>
      <c r="R466" s="2"/>
      <c r="S466" s="2"/>
    </row>
    <row r="467" spans="1:19" s="1" customFormat="1" ht="12" customHeight="1" outlineLevel="7">
      <c r="A467" s="64" t="s">
        <v>1330</v>
      </c>
      <c r="B467" s="64"/>
      <c r="C467" s="64"/>
      <c r="D467" s="64"/>
      <c r="E467" s="64"/>
      <c r="F467" s="64"/>
      <c r="G467" s="8"/>
      <c r="H467" s="12"/>
      <c r="I467" s="2"/>
      <c r="J467" s="2"/>
      <c r="K467" s="13"/>
      <c r="L467" s="2"/>
      <c r="M467" s="2"/>
      <c r="N467" s="2"/>
      <c r="O467" s="2"/>
      <c r="P467" s="2"/>
      <c r="Q467" s="2"/>
      <c r="R467" s="2"/>
      <c r="S467" s="2"/>
    </row>
    <row r="468" spans="1:19" s="2" customFormat="1" ht="96.2" customHeight="1" outlineLevel="7">
      <c r="A468" s="25">
        <v>304</v>
      </c>
      <c r="B468" s="26" t="s">
        <v>1331</v>
      </c>
      <c r="C468" s="66" t="s">
        <v>1332</v>
      </c>
      <c r="D468" s="66"/>
      <c r="E468" s="66"/>
      <c r="F468" s="66"/>
      <c r="G468" s="27" t="s">
        <v>1333</v>
      </c>
      <c r="H468" s="33">
        <v>18</v>
      </c>
      <c r="I468" s="29"/>
      <c r="J468" s="25">
        <v>2</v>
      </c>
      <c r="K468" s="30">
        <v>399.23</v>
      </c>
      <c r="L468" s="17"/>
      <c r="M468" s="29">
        <f>K468*L468</f>
        <v>0</v>
      </c>
      <c r="N468" s="31">
        <f>0.128*L468</f>
        <v>0</v>
      </c>
      <c r="O468" s="32">
        <f>0.00062*L468</f>
        <v>0</v>
      </c>
      <c r="P468" s="36"/>
      <c r="Q468" s="29" t="s">
        <v>1334</v>
      </c>
      <c r="R468" s="29"/>
      <c r="S468" s="26" t="str">
        <f>HYPERLINK("https://miland.ru/api/getInfo/image/63da3e0a-eb50-11ee-a25b-00155d82e908")</f>
        <v>https://miland.ru/api/getInfo/image/63da3e0a-eb50-11ee-a25b-00155d82e908</v>
      </c>
    </row>
    <row r="469" spans="1:19" s="2" customFormat="1" ht="96.2" customHeight="1" outlineLevel="7">
      <c r="A469" s="25">
        <v>305</v>
      </c>
      <c r="B469" s="26" t="s">
        <v>1335</v>
      </c>
      <c r="C469" s="66" t="s">
        <v>1336</v>
      </c>
      <c r="D469" s="66"/>
      <c r="E469" s="66"/>
      <c r="F469" s="66"/>
      <c r="G469" s="27" t="s">
        <v>1337</v>
      </c>
      <c r="H469" s="33">
        <v>27</v>
      </c>
      <c r="I469" s="29"/>
      <c r="J469" s="25">
        <v>1</v>
      </c>
      <c r="K469" s="30">
        <v>937.59</v>
      </c>
      <c r="L469" s="17"/>
      <c r="M469" s="29">
        <f>K469*L469</f>
        <v>0</v>
      </c>
      <c r="N469" s="31">
        <f>13.255*L469</f>
        <v>0</v>
      </c>
      <c r="O469" s="32">
        <f>0.06782*L469</f>
        <v>0</v>
      </c>
      <c r="P469" s="36"/>
      <c r="Q469" s="29" t="s">
        <v>1338</v>
      </c>
      <c r="R469" s="29"/>
      <c r="S469" s="26" t="str">
        <f>HYPERLINK("https://miland.ru/api/getInfo/image/f7eee298-eb50-11ee-a25b-00155d82e908")</f>
        <v>https://miland.ru/api/getInfo/image/f7eee298-eb50-11ee-a25b-00155d82e908</v>
      </c>
    </row>
    <row r="470" spans="1:19" s="2" customFormat="1" ht="96.2" customHeight="1" outlineLevel="7">
      <c r="A470" s="25">
        <v>306</v>
      </c>
      <c r="B470" s="26" t="s">
        <v>1339</v>
      </c>
      <c r="C470" s="66" t="s">
        <v>1340</v>
      </c>
      <c r="D470" s="66"/>
      <c r="E470" s="66"/>
      <c r="F470" s="66"/>
      <c r="G470" s="27" t="s">
        <v>1341</v>
      </c>
      <c r="H470" s="33">
        <v>15</v>
      </c>
      <c r="I470" s="29"/>
      <c r="J470" s="25">
        <v>1</v>
      </c>
      <c r="K470" s="30">
        <v>937.59</v>
      </c>
      <c r="L470" s="17"/>
      <c r="M470" s="29">
        <f>K470*L470</f>
        <v>0</v>
      </c>
      <c r="N470" s="31">
        <f>0.249*L470</f>
        <v>0</v>
      </c>
      <c r="O470" s="32">
        <f>0.00129*L470</f>
        <v>0</v>
      </c>
      <c r="P470" s="36"/>
      <c r="Q470" s="29" t="s">
        <v>1342</v>
      </c>
      <c r="R470" s="29" t="s">
        <v>611</v>
      </c>
      <c r="S470" s="26" t="str">
        <f>HYPERLINK("https://miland.ru/api/getInfo/image/38e33900-eb52-11ee-a25b-00155d82e908")</f>
        <v>https://miland.ru/api/getInfo/image/38e33900-eb52-11ee-a25b-00155d82e908</v>
      </c>
    </row>
    <row r="471" spans="1:19" s="1" customFormat="1" ht="12" customHeight="1" outlineLevel="7">
      <c r="A471" s="64" t="s">
        <v>1343</v>
      </c>
      <c r="B471" s="64"/>
      <c r="C471" s="64"/>
      <c r="D471" s="64"/>
      <c r="E471" s="64"/>
      <c r="F471" s="64"/>
      <c r="G471" s="8"/>
      <c r="H471" s="12"/>
      <c r="I471" s="2"/>
      <c r="J471" s="2"/>
      <c r="K471" s="13"/>
      <c r="L471" s="2"/>
      <c r="M471" s="2"/>
      <c r="N471" s="2"/>
      <c r="O471" s="2"/>
      <c r="P471" s="2"/>
      <c r="Q471" s="2"/>
      <c r="R471" s="2"/>
      <c r="S471" s="2"/>
    </row>
    <row r="472" spans="1:19" s="2" customFormat="1" ht="96.2" customHeight="1" outlineLevel="7">
      <c r="A472" s="25">
        <v>307</v>
      </c>
      <c r="B472" s="26" t="s">
        <v>1344</v>
      </c>
      <c r="C472" s="66" t="s">
        <v>1345</v>
      </c>
      <c r="D472" s="66"/>
      <c r="E472" s="66"/>
      <c r="F472" s="66"/>
      <c r="G472" s="27" t="s">
        <v>1346</v>
      </c>
      <c r="H472" s="33">
        <v>460</v>
      </c>
      <c r="I472" s="29"/>
      <c r="J472" s="25">
        <v>2</v>
      </c>
      <c r="K472" s="30">
        <v>232.77</v>
      </c>
      <c r="L472" s="17"/>
      <c r="M472" s="29">
        <f t="shared" ref="M472:M479" si="20">K472*L472</f>
        <v>0</v>
      </c>
      <c r="N472" s="31">
        <f>0.102*L472</f>
        <v>0</v>
      </c>
      <c r="O472" s="35">
        <f>0.0006*L472</f>
        <v>0</v>
      </c>
      <c r="P472" s="36"/>
      <c r="Q472" s="29" t="s">
        <v>1347</v>
      </c>
      <c r="R472" s="29"/>
      <c r="S472" s="26" t="str">
        <f>HYPERLINK("https://miland.ru/api/getInfo/image/da06779b-eb4f-11ee-a25b-00155d82e908")</f>
        <v>https://miland.ru/api/getInfo/image/da06779b-eb4f-11ee-a25b-00155d82e908</v>
      </c>
    </row>
    <row r="473" spans="1:19" s="2" customFormat="1" ht="96.2" customHeight="1" outlineLevel="7">
      <c r="A473" s="25">
        <v>308</v>
      </c>
      <c r="B473" s="26" t="s">
        <v>1348</v>
      </c>
      <c r="C473" s="66" t="s">
        <v>1349</v>
      </c>
      <c r="D473" s="66"/>
      <c r="E473" s="66"/>
      <c r="F473" s="66"/>
      <c r="G473" s="27" t="s">
        <v>1350</v>
      </c>
      <c r="H473" s="28" t="s">
        <v>44</v>
      </c>
      <c r="I473" s="29"/>
      <c r="J473" s="25">
        <v>2</v>
      </c>
      <c r="K473" s="30">
        <v>237.14</v>
      </c>
      <c r="L473" s="17"/>
      <c r="M473" s="29">
        <f t="shared" si="20"/>
        <v>0</v>
      </c>
      <c r="N473" s="31">
        <f>0.111*L473</f>
        <v>0</v>
      </c>
      <c r="O473" s="32">
        <f>0.00518*L473</f>
        <v>0</v>
      </c>
      <c r="P473" s="36"/>
      <c r="Q473" s="29" t="s">
        <v>1351</v>
      </c>
      <c r="R473" s="29"/>
      <c r="S473" s="26" t="str">
        <f>HYPERLINK("https://miland.ru/api/getInfo/image/ef1c43a7-eb4f-11ee-a25b-00155d82e908")</f>
        <v>https://miland.ru/api/getInfo/image/ef1c43a7-eb4f-11ee-a25b-00155d82e908</v>
      </c>
    </row>
    <row r="474" spans="1:19" s="2" customFormat="1" ht="96.2" customHeight="1" outlineLevel="7">
      <c r="A474" s="25">
        <v>309</v>
      </c>
      <c r="B474" s="26" t="s">
        <v>1352</v>
      </c>
      <c r="C474" s="66" t="s">
        <v>1353</v>
      </c>
      <c r="D474" s="66"/>
      <c r="E474" s="66"/>
      <c r="F474" s="66"/>
      <c r="G474" s="27" t="s">
        <v>1354</v>
      </c>
      <c r="H474" s="28" t="s">
        <v>44</v>
      </c>
      <c r="I474" s="29"/>
      <c r="J474" s="25">
        <v>2</v>
      </c>
      <c r="K474" s="30">
        <v>232.77</v>
      </c>
      <c r="L474" s="17"/>
      <c r="M474" s="29">
        <f t="shared" si="20"/>
        <v>0</v>
      </c>
      <c r="N474" s="31">
        <f>0.111*L474</f>
        <v>0</v>
      </c>
      <c r="O474" s="35">
        <f>0.0006*L474</f>
        <v>0</v>
      </c>
      <c r="P474" s="36"/>
      <c r="Q474" s="29" t="s">
        <v>1355</v>
      </c>
      <c r="R474" s="29"/>
      <c r="S474" s="26" t="str">
        <f>HYPERLINK("https://miland.ru/api/getInfo/image/7e267986-eb4f-11ee-a25b-00155d82e908")</f>
        <v>https://miland.ru/api/getInfo/image/7e267986-eb4f-11ee-a25b-00155d82e908</v>
      </c>
    </row>
    <row r="475" spans="1:19" s="2" customFormat="1" ht="96.2" customHeight="1" outlineLevel="7">
      <c r="A475" s="25">
        <v>310</v>
      </c>
      <c r="B475" s="26" t="s">
        <v>1356</v>
      </c>
      <c r="C475" s="66" t="s">
        <v>1357</v>
      </c>
      <c r="D475" s="66"/>
      <c r="E475" s="66"/>
      <c r="F475" s="66"/>
      <c r="G475" s="27" t="s">
        <v>1358</v>
      </c>
      <c r="H475" s="28" t="s">
        <v>44</v>
      </c>
      <c r="I475" s="29"/>
      <c r="J475" s="25">
        <v>2</v>
      </c>
      <c r="K475" s="30">
        <v>232.77</v>
      </c>
      <c r="L475" s="17"/>
      <c r="M475" s="29">
        <f t="shared" si="20"/>
        <v>0</v>
      </c>
      <c r="N475" s="31">
        <f>0.114*L475</f>
        <v>0</v>
      </c>
      <c r="O475" s="35">
        <f>0.0006*L475</f>
        <v>0</v>
      </c>
      <c r="P475" s="36"/>
      <c r="Q475" s="29" t="s">
        <v>1359</v>
      </c>
      <c r="R475" s="29"/>
      <c r="S475" s="26" t="str">
        <f>HYPERLINK("https://miland.ru/api/getInfo/image/c71e91d9-eb4f-11ee-a25b-00155d82e908")</f>
        <v>https://miland.ru/api/getInfo/image/c71e91d9-eb4f-11ee-a25b-00155d82e908</v>
      </c>
    </row>
    <row r="476" spans="1:19" s="2" customFormat="1" ht="96.2" customHeight="1" outlineLevel="7">
      <c r="A476" s="25">
        <v>311</v>
      </c>
      <c r="B476" s="26" t="s">
        <v>1360</v>
      </c>
      <c r="C476" s="66" t="s">
        <v>1361</v>
      </c>
      <c r="D476" s="66"/>
      <c r="E476" s="66"/>
      <c r="F476" s="66"/>
      <c r="G476" s="27" t="s">
        <v>1362</v>
      </c>
      <c r="H476" s="33">
        <v>4</v>
      </c>
      <c r="I476" s="29"/>
      <c r="J476" s="25">
        <v>1</v>
      </c>
      <c r="K476" s="30">
        <v>605.67999999999995</v>
      </c>
      <c r="L476" s="17"/>
      <c r="M476" s="29">
        <f t="shared" si="20"/>
        <v>0</v>
      </c>
      <c r="N476" s="31">
        <f>0.284*L476</f>
        <v>0</v>
      </c>
      <c r="O476" s="35">
        <f>0.0084*L476</f>
        <v>0</v>
      </c>
      <c r="P476" s="36"/>
      <c r="Q476" s="29" t="s">
        <v>1363</v>
      </c>
      <c r="R476" s="29"/>
      <c r="S476" s="26" t="str">
        <f>HYPERLINK("https://miland.ru/api/getInfo/image/379d264f-eb50-11ee-a25b-00155d82e908")</f>
        <v>https://miland.ru/api/getInfo/image/379d264f-eb50-11ee-a25b-00155d82e908</v>
      </c>
    </row>
    <row r="477" spans="1:19" s="2" customFormat="1" ht="96.2" customHeight="1" outlineLevel="7">
      <c r="A477" s="25">
        <v>312</v>
      </c>
      <c r="B477" s="26" t="s">
        <v>1364</v>
      </c>
      <c r="C477" s="66" t="s">
        <v>1365</v>
      </c>
      <c r="D477" s="66"/>
      <c r="E477" s="66"/>
      <c r="F477" s="66"/>
      <c r="G477" s="27" t="s">
        <v>1366</v>
      </c>
      <c r="H477" s="28" t="s">
        <v>44</v>
      </c>
      <c r="I477" s="29"/>
      <c r="J477" s="25">
        <v>1</v>
      </c>
      <c r="K477" s="30">
        <v>605.67999999999995</v>
      </c>
      <c r="L477" s="17"/>
      <c r="M477" s="29">
        <f t="shared" si="20"/>
        <v>0</v>
      </c>
      <c r="N477" s="31">
        <f>0.284*L477</f>
        <v>0</v>
      </c>
      <c r="O477" s="35">
        <f>0.0084*L477</f>
        <v>0</v>
      </c>
      <c r="P477" s="36"/>
      <c r="Q477" s="29" t="s">
        <v>1367</v>
      </c>
      <c r="R477" s="29" t="s">
        <v>611</v>
      </c>
      <c r="S477" s="26" t="str">
        <f>HYPERLINK("https://miland.ru/api/getInfo/image/085e2cd5-eb50-11ee-a25b-00155d82e908")</f>
        <v>https://miland.ru/api/getInfo/image/085e2cd5-eb50-11ee-a25b-00155d82e908</v>
      </c>
    </row>
    <row r="478" spans="1:19" s="2" customFormat="1" ht="96.2" customHeight="1" outlineLevel="7">
      <c r="A478" s="25">
        <v>313</v>
      </c>
      <c r="B478" s="26" t="s">
        <v>1368</v>
      </c>
      <c r="C478" s="66" t="s">
        <v>1369</v>
      </c>
      <c r="D478" s="66"/>
      <c r="E478" s="66"/>
      <c r="F478" s="66"/>
      <c r="G478" s="27" t="s">
        <v>1370</v>
      </c>
      <c r="H478" s="33">
        <v>360</v>
      </c>
      <c r="I478" s="29"/>
      <c r="J478" s="25">
        <v>1</v>
      </c>
      <c r="K478" s="30">
        <v>605.67999999999995</v>
      </c>
      <c r="L478" s="17"/>
      <c r="M478" s="29">
        <f t="shared" si="20"/>
        <v>0</v>
      </c>
      <c r="N478" s="31">
        <f>0.294*L478</f>
        <v>0</v>
      </c>
      <c r="O478" s="32">
        <f>0.00777*L478</f>
        <v>0</v>
      </c>
      <c r="P478" s="36"/>
      <c r="Q478" s="29" t="s">
        <v>1371</v>
      </c>
      <c r="R478" s="29" t="s">
        <v>611</v>
      </c>
      <c r="S478" s="26" t="str">
        <f>HYPERLINK("https://miland.ru/api/getInfo/image/2035b0de-eb50-11ee-a25b-00155d82e908")</f>
        <v>https://miland.ru/api/getInfo/image/2035b0de-eb50-11ee-a25b-00155d82e908</v>
      </c>
    </row>
    <row r="479" spans="1:19" s="2" customFormat="1" ht="96.2" customHeight="1" outlineLevel="7">
      <c r="A479" s="25">
        <v>314</v>
      </c>
      <c r="B479" s="26" t="s">
        <v>1372</v>
      </c>
      <c r="C479" s="66" t="s">
        <v>1373</v>
      </c>
      <c r="D479" s="66"/>
      <c r="E479" s="66"/>
      <c r="F479" s="66"/>
      <c r="G479" s="27" t="s">
        <v>1374</v>
      </c>
      <c r="H479" s="28" t="s">
        <v>44</v>
      </c>
      <c r="I479" s="29"/>
      <c r="J479" s="25">
        <v>1</v>
      </c>
      <c r="K479" s="30">
        <v>618.75</v>
      </c>
      <c r="L479" s="17"/>
      <c r="M479" s="29">
        <f t="shared" si="20"/>
        <v>0</v>
      </c>
      <c r="N479" s="31">
        <f>3.019*L479</f>
        <v>0</v>
      </c>
      <c r="O479" s="35">
        <f>0.0152*L479</f>
        <v>0</v>
      </c>
      <c r="P479" s="36"/>
      <c r="Q479" s="29" t="s">
        <v>1375</v>
      </c>
      <c r="R479" s="29"/>
      <c r="S479" s="26" t="str">
        <f>HYPERLINK("https://miland.ru/api/getInfo/image/90e83201-1f67-11f0-a279-00155d82e908")</f>
        <v>https://miland.ru/api/getInfo/image/90e83201-1f67-11f0-a279-00155d82e908</v>
      </c>
    </row>
    <row r="480" spans="1:19" s="1" customFormat="1" ht="12" customHeight="1" outlineLevel="7">
      <c r="A480" s="64" t="s">
        <v>1376</v>
      </c>
      <c r="B480" s="64"/>
      <c r="C480" s="64"/>
      <c r="D480" s="64"/>
      <c r="E480" s="64"/>
      <c r="F480" s="64"/>
      <c r="G480" s="8"/>
      <c r="H480" s="12"/>
      <c r="I480" s="2"/>
      <c r="J480" s="2"/>
      <c r="K480" s="13"/>
      <c r="L480" s="2"/>
      <c r="M480" s="2"/>
      <c r="N480" s="2"/>
      <c r="O480" s="2"/>
      <c r="P480" s="2"/>
      <c r="Q480" s="2"/>
      <c r="R480" s="2"/>
      <c r="S480" s="2"/>
    </row>
    <row r="481" spans="1:19" s="2" customFormat="1" ht="96.2" customHeight="1" outlineLevel="7">
      <c r="A481" s="25">
        <v>315</v>
      </c>
      <c r="B481" s="26" t="s">
        <v>1377</v>
      </c>
      <c r="C481" s="66" t="s">
        <v>1378</v>
      </c>
      <c r="D481" s="66"/>
      <c r="E481" s="66"/>
      <c r="F481" s="66"/>
      <c r="G481" s="27" t="s">
        <v>1379</v>
      </c>
      <c r="H481" s="33">
        <v>4</v>
      </c>
      <c r="I481" s="29"/>
      <c r="J481" s="25">
        <v>1</v>
      </c>
      <c r="K481" s="30">
        <v>699.54</v>
      </c>
      <c r="L481" s="17"/>
      <c r="M481" s="29">
        <f t="shared" ref="M481:M498" si="21">K481*L481</f>
        <v>0</v>
      </c>
      <c r="N481" s="31">
        <f>0.118*L481</f>
        <v>0</v>
      </c>
      <c r="O481" s="32">
        <f>0.00067*L481</f>
        <v>0</v>
      </c>
      <c r="P481" s="36"/>
      <c r="Q481" s="29" t="s">
        <v>1380</v>
      </c>
      <c r="R481" s="29"/>
      <c r="S481" s="26" t="str">
        <f>HYPERLINK("https://miland.ru/api/getInfo/image/025592c7-1eb3-11f0-a279-00155d82e908")</f>
        <v>https://miland.ru/api/getInfo/image/025592c7-1eb3-11f0-a279-00155d82e908</v>
      </c>
    </row>
    <row r="482" spans="1:19" s="2" customFormat="1" ht="96.2" customHeight="1" outlineLevel="7">
      <c r="A482" s="25">
        <v>316</v>
      </c>
      <c r="B482" s="26" t="s">
        <v>1381</v>
      </c>
      <c r="C482" s="66" t="s">
        <v>1382</v>
      </c>
      <c r="D482" s="66"/>
      <c r="E482" s="66"/>
      <c r="F482" s="66"/>
      <c r="G482" s="27" t="s">
        <v>1383</v>
      </c>
      <c r="H482" s="33">
        <v>95</v>
      </c>
      <c r="I482" s="29"/>
      <c r="J482" s="25">
        <v>2</v>
      </c>
      <c r="K482" s="30">
        <v>296.04000000000002</v>
      </c>
      <c r="L482" s="17"/>
      <c r="M482" s="29">
        <f t="shared" si="21"/>
        <v>0</v>
      </c>
      <c r="N482" s="31">
        <f>0.048*L482</f>
        <v>0</v>
      </c>
      <c r="O482" s="32">
        <f>0.00029*L482</f>
        <v>0</v>
      </c>
      <c r="P482" s="36"/>
      <c r="Q482" s="29" t="s">
        <v>1384</v>
      </c>
      <c r="R482" s="29"/>
      <c r="S482" s="26" t="str">
        <f>HYPERLINK("https://miland.ru/api/getInfo/image/0f54b527-eb66-11ee-a25b-00155d82e908")</f>
        <v>https://miland.ru/api/getInfo/image/0f54b527-eb66-11ee-a25b-00155d82e908</v>
      </c>
    </row>
    <row r="483" spans="1:19" s="2" customFormat="1" ht="96.2" customHeight="1" outlineLevel="7">
      <c r="A483" s="25">
        <v>317</v>
      </c>
      <c r="B483" s="26" t="s">
        <v>1385</v>
      </c>
      <c r="C483" s="66" t="s">
        <v>1386</v>
      </c>
      <c r="D483" s="66"/>
      <c r="E483" s="66"/>
      <c r="F483" s="66"/>
      <c r="G483" s="27" t="s">
        <v>1387</v>
      </c>
      <c r="H483" s="33">
        <v>46</v>
      </c>
      <c r="I483" s="29"/>
      <c r="J483" s="25">
        <v>2</v>
      </c>
      <c r="K483" s="30">
        <v>296.04000000000002</v>
      </c>
      <c r="L483" s="17"/>
      <c r="M483" s="29">
        <f t="shared" si="21"/>
        <v>0</v>
      </c>
      <c r="N483" s="31">
        <f>3.832*L483</f>
        <v>0</v>
      </c>
      <c r="O483" s="32">
        <f>0.02972*L483</f>
        <v>0</v>
      </c>
      <c r="P483" s="36"/>
      <c r="Q483" s="29" t="s">
        <v>1388</v>
      </c>
      <c r="R483" s="29"/>
      <c r="S483" s="26" t="str">
        <f>HYPERLINK("https://miland.ru/api/getInfo/image/e4a1253c-eb65-11ee-a25b-00155d82e908")</f>
        <v>https://miland.ru/api/getInfo/image/e4a1253c-eb65-11ee-a25b-00155d82e908</v>
      </c>
    </row>
    <row r="484" spans="1:19" s="2" customFormat="1" ht="96.2" customHeight="1" outlineLevel="7">
      <c r="A484" s="25">
        <v>318</v>
      </c>
      <c r="B484" s="26" t="s">
        <v>1389</v>
      </c>
      <c r="C484" s="66" t="s">
        <v>1390</v>
      </c>
      <c r="D484" s="66"/>
      <c r="E484" s="66"/>
      <c r="F484" s="66"/>
      <c r="G484" s="27" t="s">
        <v>1391</v>
      </c>
      <c r="H484" s="33">
        <v>463</v>
      </c>
      <c r="I484" s="29"/>
      <c r="J484" s="25">
        <v>2</v>
      </c>
      <c r="K484" s="30">
        <v>296.04000000000002</v>
      </c>
      <c r="L484" s="17"/>
      <c r="M484" s="29">
        <f t="shared" si="21"/>
        <v>0</v>
      </c>
      <c r="N484" s="34">
        <f>0.03*L484</f>
        <v>0</v>
      </c>
      <c r="O484" s="32">
        <f>0.00024*L484</f>
        <v>0</v>
      </c>
      <c r="P484" s="36"/>
      <c r="Q484" s="29" t="s">
        <v>1392</v>
      </c>
      <c r="R484" s="29"/>
      <c r="S484" s="26" t="str">
        <f>HYPERLINK("https://miland.ru/api/getInfo/image/fc6a64d7-eb65-11ee-a25b-00155d82e908")</f>
        <v>https://miland.ru/api/getInfo/image/fc6a64d7-eb65-11ee-a25b-00155d82e908</v>
      </c>
    </row>
    <row r="485" spans="1:19" s="2" customFormat="1" ht="96.2" customHeight="1" outlineLevel="7">
      <c r="A485" s="25">
        <v>319</v>
      </c>
      <c r="B485" s="26" t="s">
        <v>1393</v>
      </c>
      <c r="C485" s="66" t="s">
        <v>1394</v>
      </c>
      <c r="D485" s="66"/>
      <c r="E485" s="66"/>
      <c r="F485" s="66"/>
      <c r="G485" s="27" t="s">
        <v>1395</v>
      </c>
      <c r="H485" s="28" t="s">
        <v>44</v>
      </c>
      <c r="I485" s="29"/>
      <c r="J485" s="25">
        <v>1</v>
      </c>
      <c r="K485" s="37">
        <v>2935.53</v>
      </c>
      <c r="L485" s="17"/>
      <c r="M485" s="29">
        <f t="shared" si="21"/>
        <v>0</v>
      </c>
      <c r="N485" s="31">
        <f>0.344*L485</f>
        <v>0</v>
      </c>
      <c r="O485" s="32">
        <f>0.00137*L485</f>
        <v>0</v>
      </c>
      <c r="P485" s="36"/>
      <c r="Q485" s="29" t="s">
        <v>1396</v>
      </c>
      <c r="R485" s="29"/>
      <c r="S485" s="26" t="str">
        <f>HYPERLINK("https://miland.ru/api/getInfo/image/ab70af40-eb66-11ee-a25b-00155d82e908")</f>
        <v>https://miland.ru/api/getInfo/image/ab70af40-eb66-11ee-a25b-00155d82e908</v>
      </c>
    </row>
    <row r="486" spans="1:19" s="2" customFormat="1" ht="96.2" customHeight="1" outlineLevel="7">
      <c r="A486" s="25">
        <v>320</v>
      </c>
      <c r="B486" s="26" t="s">
        <v>1397</v>
      </c>
      <c r="C486" s="66" t="s">
        <v>1398</v>
      </c>
      <c r="D486" s="66"/>
      <c r="E486" s="66"/>
      <c r="F486" s="66"/>
      <c r="G486" s="27" t="s">
        <v>1399</v>
      </c>
      <c r="H486" s="28" t="s">
        <v>44</v>
      </c>
      <c r="I486" s="29"/>
      <c r="J486" s="25">
        <v>1</v>
      </c>
      <c r="K486" s="37">
        <v>2349.02</v>
      </c>
      <c r="L486" s="17"/>
      <c r="M486" s="29">
        <f t="shared" si="21"/>
        <v>0</v>
      </c>
      <c r="N486" s="34">
        <f>0.34*L486</f>
        <v>0</v>
      </c>
      <c r="O486" s="32">
        <f>0.00088*L486</f>
        <v>0</v>
      </c>
      <c r="P486" s="36"/>
      <c r="Q486" s="29" t="s">
        <v>1400</v>
      </c>
      <c r="R486" s="29"/>
      <c r="S486" s="26" t="str">
        <f>HYPERLINK("https://miland.ru/api/getInfo/image/c78c33ec-eb66-11ee-a25b-00155d82e908")</f>
        <v>https://miland.ru/api/getInfo/image/c78c33ec-eb66-11ee-a25b-00155d82e908</v>
      </c>
    </row>
    <row r="487" spans="1:19" s="2" customFormat="1" ht="96.2" customHeight="1" outlineLevel="7">
      <c r="A487" s="25">
        <v>321</v>
      </c>
      <c r="B487" s="26" t="s">
        <v>1401</v>
      </c>
      <c r="C487" s="66" t="s">
        <v>1402</v>
      </c>
      <c r="D487" s="66"/>
      <c r="E487" s="66"/>
      <c r="F487" s="66"/>
      <c r="G487" s="27" t="s">
        <v>1403</v>
      </c>
      <c r="H487" s="33">
        <v>208</v>
      </c>
      <c r="I487" s="29"/>
      <c r="J487" s="25">
        <v>1</v>
      </c>
      <c r="K487" s="30">
        <v>569.32000000000005</v>
      </c>
      <c r="L487" s="17"/>
      <c r="M487" s="29">
        <f t="shared" si="21"/>
        <v>0</v>
      </c>
      <c r="N487" s="34">
        <f>0.06*L487</f>
        <v>0</v>
      </c>
      <c r="O487" s="32">
        <f>0.00031*L487</f>
        <v>0</v>
      </c>
      <c r="P487" s="36"/>
      <c r="Q487" s="29" t="s">
        <v>1404</v>
      </c>
      <c r="R487" s="29"/>
      <c r="S487" s="26" t="str">
        <f>HYPERLINK("https://miland.ru/api/getInfo/image/57fe3e21-eb66-11ee-a25b-00155d82e908")</f>
        <v>https://miland.ru/api/getInfo/image/57fe3e21-eb66-11ee-a25b-00155d82e908</v>
      </c>
    </row>
    <row r="488" spans="1:19" s="2" customFormat="1" ht="96.2" customHeight="1" outlineLevel="7">
      <c r="A488" s="25">
        <v>322</v>
      </c>
      <c r="B488" s="26" t="s">
        <v>1405</v>
      </c>
      <c r="C488" s="66" t="s">
        <v>1406</v>
      </c>
      <c r="D488" s="66"/>
      <c r="E488" s="66"/>
      <c r="F488" s="66"/>
      <c r="G488" s="27" t="s">
        <v>1407</v>
      </c>
      <c r="H488" s="28" t="s">
        <v>44</v>
      </c>
      <c r="I488" s="29"/>
      <c r="J488" s="25">
        <v>1</v>
      </c>
      <c r="K488" s="30">
        <v>569.32000000000005</v>
      </c>
      <c r="L488" s="17"/>
      <c r="M488" s="29">
        <f t="shared" si="21"/>
        <v>0</v>
      </c>
      <c r="N488" s="31">
        <f>0.065*L488</f>
        <v>0</v>
      </c>
      <c r="O488" s="32">
        <f>0.00028*L488</f>
        <v>0</v>
      </c>
      <c r="P488" s="36"/>
      <c r="Q488" s="29" t="s">
        <v>1408</v>
      </c>
      <c r="R488" s="29"/>
      <c r="S488" s="26" t="str">
        <f>HYPERLINK("https://miland.ru/api/getInfo/image/264c25cc-eb66-11ee-a25b-00155d82e908")</f>
        <v>https://miland.ru/api/getInfo/image/264c25cc-eb66-11ee-a25b-00155d82e908</v>
      </c>
    </row>
    <row r="489" spans="1:19" s="2" customFormat="1" ht="96.2" customHeight="1" outlineLevel="7">
      <c r="A489" s="25">
        <v>323</v>
      </c>
      <c r="B489" s="26" t="s">
        <v>1409</v>
      </c>
      <c r="C489" s="66" t="s">
        <v>1410</v>
      </c>
      <c r="D489" s="66"/>
      <c r="E489" s="66"/>
      <c r="F489" s="66"/>
      <c r="G489" s="27" t="s">
        <v>1411</v>
      </c>
      <c r="H489" s="28" t="s">
        <v>44</v>
      </c>
      <c r="I489" s="29"/>
      <c r="J489" s="25">
        <v>1</v>
      </c>
      <c r="K489" s="30">
        <v>569.32000000000005</v>
      </c>
      <c r="L489" s="17"/>
      <c r="M489" s="29">
        <f t="shared" si="21"/>
        <v>0</v>
      </c>
      <c r="N489" s="34">
        <f>0.06*L489</f>
        <v>0</v>
      </c>
      <c r="O489" s="32">
        <f>0.00031*L489</f>
        <v>0</v>
      </c>
      <c r="P489" s="36"/>
      <c r="Q489" s="29" t="s">
        <v>1412</v>
      </c>
      <c r="R489" s="29"/>
      <c r="S489" s="26" t="str">
        <f>HYPERLINK("https://miland.ru/api/getInfo/image/40519aa8-eb66-11ee-a25b-00155d82e908")</f>
        <v>https://miland.ru/api/getInfo/image/40519aa8-eb66-11ee-a25b-00155d82e908</v>
      </c>
    </row>
    <row r="490" spans="1:19" s="2" customFormat="1" ht="96.2" customHeight="1" outlineLevel="7">
      <c r="A490" s="25">
        <v>324</v>
      </c>
      <c r="B490" s="26" t="s">
        <v>1413</v>
      </c>
      <c r="C490" s="66" t="s">
        <v>1414</v>
      </c>
      <c r="D490" s="66"/>
      <c r="E490" s="66"/>
      <c r="F490" s="66"/>
      <c r="G490" s="27" t="s">
        <v>1415</v>
      </c>
      <c r="H490" s="28" t="s">
        <v>44</v>
      </c>
      <c r="I490" s="29"/>
      <c r="J490" s="25">
        <v>1</v>
      </c>
      <c r="K490" s="37">
        <v>4040.31</v>
      </c>
      <c r="L490" s="17"/>
      <c r="M490" s="29">
        <f t="shared" si="21"/>
        <v>0</v>
      </c>
      <c r="N490" s="31">
        <f>0.601*L490</f>
        <v>0</v>
      </c>
      <c r="O490" s="32">
        <f>0.00181*L490</f>
        <v>0</v>
      </c>
      <c r="P490" s="36"/>
      <c r="Q490" s="29" t="s">
        <v>1416</v>
      </c>
      <c r="R490" s="29"/>
      <c r="S490" s="26" t="str">
        <f>HYPERLINK("https://miland.ru/api/getInfo/image/dfab48b4-eb66-11ee-a25b-00155d82e908")</f>
        <v>https://miland.ru/api/getInfo/image/dfab48b4-eb66-11ee-a25b-00155d82e908</v>
      </c>
    </row>
    <row r="491" spans="1:19" s="2" customFormat="1" ht="96.2" customHeight="1" outlineLevel="7">
      <c r="A491" s="25">
        <v>325</v>
      </c>
      <c r="B491" s="26" t="s">
        <v>1417</v>
      </c>
      <c r="C491" s="66" t="s">
        <v>1418</v>
      </c>
      <c r="D491" s="66"/>
      <c r="E491" s="66"/>
      <c r="F491" s="66"/>
      <c r="G491" s="27" t="s">
        <v>1419</v>
      </c>
      <c r="H491" s="33">
        <v>5</v>
      </c>
      <c r="I491" s="29"/>
      <c r="J491" s="25">
        <v>1</v>
      </c>
      <c r="K491" s="30">
        <v>853.97</v>
      </c>
      <c r="L491" s="17"/>
      <c r="M491" s="29">
        <f t="shared" si="21"/>
        <v>0</v>
      </c>
      <c r="N491" s="34">
        <f>0.15*L491</f>
        <v>0</v>
      </c>
      <c r="O491" s="32">
        <f>0.00085*L491</f>
        <v>0</v>
      </c>
      <c r="P491" s="36"/>
      <c r="Q491" s="29" t="s">
        <v>1420</v>
      </c>
      <c r="R491" s="29"/>
      <c r="S491" s="26" t="str">
        <f>HYPERLINK("https://miland.ru/api/getInfo/image/2ae6dc27-eb67-11ee-a25b-00155d82e908")</f>
        <v>https://miland.ru/api/getInfo/image/2ae6dc27-eb67-11ee-a25b-00155d82e908</v>
      </c>
    </row>
    <row r="492" spans="1:19" s="2" customFormat="1" ht="96.2" customHeight="1" outlineLevel="7">
      <c r="A492" s="25">
        <v>326</v>
      </c>
      <c r="B492" s="26" t="s">
        <v>1421</v>
      </c>
      <c r="C492" s="66" t="s">
        <v>1422</v>
      </c>
      <c r="D492" s="66"/>
      <c r="E492" s="66"/>
      <c r="F492" s="66"/>
      <c r="G492" s="27" t="s">
        <v>1423</v>
      </c>
      <c r="H492" s="33">
        <v>229</v>
      </c>
      <c r="I492" s="29"/>
      <c r="J492" s="25">
        <v>1</v>
      </c>
      <c r="K492" s="30">
        <v>685.28</v>
      </c>
      <c r="L492" s="17"/>
      <c r="M492" s="29">
        <f t="shared" si="21"/>
        <v>0</v>
      </c>
      <c r="N492" s="34">
        <f>0.15*L492</f>
        <v>0</v>
      </c>
      <c r="O492" s="32">
        <f>0.00085*L492</f>
        <v>0</v>
      </c>
      <c r="P492" s="36"/>
      <c r="Q492" s="29" t="s">
        <v>1424</v>
      </c>
      <c r="R492" s="29"/>
      <c r="S492" s="26" t="str">
        <f>HYPERLINK("https://miland.ru/api/getInfo/image/f41a38f6-eb66-11ee-a25b-00155d82e908")</f>
        <v>https://miland.ru/api/getInfo/image/f41a38f6-eb66-11ee-a25b-00155d82e908</v>
      </c>
    </row>
    <row r="493" spans="1:19" s="2" customFormat="1" ht="96.2" customHeight="1" outlineLevel="7">
      <c r="A493" s="25">
        <v>327</v>
      </c>
      <c r="B493" s="26" t="s">
        <v>1425</v>
      </c>
      <c r="C493" s="66" t="s">
        <v>1426</v>
      </c>
      <c r="D493" s="66"/>
      <c r="E493" s="66"/>
      <c r="F493" s="66"/>
      <c r="G493" s="27" t="s">
        <v>1427</v>
      </c>
      <c r="H493" s="33">
        <v>36</v>
      </c>
      <c r="I493" s="29"/>
      <c r="J493" s="25">
        <v>1</v>
      </c>
      <c r="K493" s="30">
        <v>685.28</v>
      </c>
      <c r="L493" s="17"/>
      <c r="M493" s="29">
        <f t="shared" si="21"/>
        <v>0</v>
      </c>
      <c r="N493" s="31">
        <f>0.156*L493</f>
        <v>0</v>
      </c>
      <c r="O493" s="32">
        <f>0.00085*L493</f>
        <v>0</v>
      </c>
      <c r="P493" s="36"/>
      <c r="Q493" s="29" t="s">
        <v>1428</v>
      </c>
      <c r="R493" s="29"/>
      <c r="S493" s="26" t="str">
        <f>HYPERLINK("https://miland.ru/api/getInfo/image/12c302af-eb67-11ee-a25b-00155d82e908")</f>
        <v>https://miland.ru/api/getInfo/image/12c302af-eb67-11ee-a25b-00155d82e908</v>
      </c>
    </row>
    <row r="494" spans="1:19" s="2" customFormat="1" ht="96.2" customHeight="1" outlineLevel="7">
      <c r="A494" s="25">
        <v>328</v>
      </c>
      <c r="B494" s="26" t="s">
        <v>1429</v>
      </c>
      <c r="C494" s="66" t="s">
        <v>1430</v>
      </c>
      <c r="D494" s="66"/>
      <c r="E494" s="66"/>
      <c r="F494" s="66"/>
      <c r="G494" s="27" t="s">
        <v>1431</v>
      </c>
      <c r="H494" s="28" t="s">
        <v>44</v>
      </c>
      <c r="I494" s="29"/>
      <c r="J494" s="25">
        <v>4</v>
      </c>
      <c r="K494" s="30">
        <v>147.21</v>
      </c>
      <c r="L494" s="17"/>
      <c r="M494" s="29">
        <f t="shared" si="21"/>
        <v>0</v>
      </c>
      <c r="N494" s="31">
        <f>0.029*L494</f>
        <v>0</v>
      </c>
      <c r="O494" s="32">
        <f>0.00025*L494</f>
        <v>0</v>
      </c>
      <c r="P494" s="36"/>
      <c r="Q494" s="29" t="s">
        <v>1432</v>
      </c>
      <c r="R494" s="29"/>
      <c r="S494" s="26" t="str">
        <f>HYPERLINK("https://miland.ru/api/getInfo/image/cb8091fe-eb65-11ee-a25b-00155d82e908")</f>
        <v>https://miland.ru/api/getInfo/image/cb8091fe-eb65-11ee-a25b-00155d82e908</v>
      </c>
    </row>
    <row r="495" spans="1:19" s="2" customFormat="1" ht="96.2" customHeight="1" outlineLevel="7">
      <c r="A495" s="25">
        <v>329</v>
      </c>
      <c r="B495" s="26" t="s">
        <v>1433</v>
      </c>
      <c r="C495" s="66" t="s">
        <v>1434</v>
      </c>
      <c r="D495" s="66"/>
      <c r="E495" s="66"/>
      <c r="F495" s="66"/>
      <c r="G495" s="27" t="s">
        <v>1435</v>
      </c>
      <c r="H495" s="28" t="s">
        <v>44</v>
      </c>
      <c r="I495" s="29"/>
      <c r="J495" s="25">
        <v>4</v>
      </c>
      <c r="K495" s="30">
        <v>147.21</v>
      </c>
      <c r="L495" s="17"/>
      <c r="M495" s="29">
        <f t="shared" si="21"/>
        <v>0</v>
      </c>
      <c r="N495" s="31">
        <f>0.027*L495</f>
        <v>0</v>
      </c>
      <c r="O495" s="32">
        <f>0.00026*L495</f>
        <v>0</v>
      </c>
      <c r="P495" s="36"/>
      <c r="Q495" s="29" t="s">
        <v>1436</v>
      </c>
      <c r="R495" s="29"/>
      <c r="S495" s="26" t="str">
        <f>HYPERLINK("https://miland.ru/api/getInfo/image/a1253970-eb65-11ee-a25b-00155d82e908")</f>
        <v>https://miland.ru/api/getInfo/image/a1253970-eb65-11ee-a25b-00155d82e908</v>
      </c>
    </row>
    <row r="496" spans="1:19" s="2" customFormat="1" ht="96.2" customHeight="1" outlineLevel="7">
      <c r="A496" s="25">
        <v>330</v>
      </c>
      <c r="B496" s="26" t="s">
        <v>1437</v>
      </c>
      <c r="C496" s="66" t="s">
        <v>1438</v>
      </c>
      <c r="D496" s="66"/>
      <c r="E496" s="66"/>
      <c r="F496" s="66"/>
      <c r="G496" s="27" t="s">
        <v>1439</v>
      </c>
      <c r="H496" s="28" t="s">
        <v>44</v>
      </c>
      <c r="I496" s="29"/>
      <c r="J496" s="25">
        <v>4</v>
      </c>
      <c r="K496" s="30">
        <v>147.21</v>
      </c>
      <c r="L496" s="17"/>
      <c r="M496" s="29">
        <f t="shared" si="21"/>
        <v>0</v>
      </c>
      <c r="N496" s="31">
        <f>0.021*L496</f>
        <v>0</v>
      </c>
      <c r="O496" s="35">
        <f>0.0003*L496</f>
        <v>0</v>
      </c>
      <c r="P496" s="36"/>
      <c r="Q496" s="29" t="s">
        <v>1440</v>
      </c>
      <c r="R496" s="29"/>
      <c r="S496" s="26" t="str">
        <f>HYPERLINK("https://miland.ru/api/getInfo/image/b97fe915-eb65-11ee-a25b-00155d82e908")</f>
        <v>https://miland.ru/api/getInfo/image/b97fe915-eb65-11ee-a25b-00155d82e908</v>
      </c>
    </row>
    <row r="497" spans="1:19" s="2" customFormat="1" ht="96.2" customHeight="1" outlineLevel="7">
      <c r="A497" s="25">
        <v>331</v>
      </c>
      <c r="B497" s="26" t="s">
        <v>1441</v>
      </c>
      <c r="C497" s="66" t="s">
        <v>1442</v>
      </c>
      <c r="D497" s="66"/>
      <c r="E497" s="66"/>
      <c r="F497" s="66"/>
      <c r="G497" s="27" t="s">
        <v>1443</v>
      </c>
      <c r="H497" s="28" t="s">
        <v>44</v>
      </c>
      <c r="I497" s="29"/>
      <c r="J497" s="25">
        <v>1</v>
      </c>
      <c r="K497" s="37">
        <v>1790.68</v>
      </c>
      <c r="L497" s="17"/>
      <c r="M497" s="29">
        <f t="shared" si="21"/>
        <v>0</v>
      </c>
      <c r="N497" s="31">
        <f>0.208*L497</f>
        <v>0</v>
      </c>
      <c r="O497" s="32">
        <f>0.00093*L497</f>
        <v>0</v>
      </c>
      <c r="P497" s="36"/>
      <c r="Q497" s="29" t="s">
        <v>1444</v>
      </c>
      <c r="R497" s="29"/>
      <c r="S497" s="26" t="str">
        <f>HYPERLINK("https://miland.ru/api/getInfo/image/926334f7-eb66-11ee-a25b-00155d82e908")</f>
        <v>https://miland.ru/api/getInfo/image/926334f7-eb66-11ee-a25b-00155d82e908</v>
      </c>
    </row>
    <row r="498" spans="1:19" s="2" customFormat="1" ht="96.2" customHeight="1" outlineLevel="7">
      <c r="A498" s="25">
        <v>332</v>
      </c>
      <c r="B498" s="26" t="s">
        <v>1445</v>
      </c>
      <c r="C498" s="66" t="s">
        <v>1446</v>
      </c>
      <c r="D498" s="66"/>
      <c r="E498" s="66"/>
      <c r="F498" s="66"/>
      <c r="G498" s="27" t="s">
        <v>1447</v>
      </c>
      <c r="H498" s="28" t="s">
        <v>44</v>
      </c>
      <c r="I498" s="29"/>
      <c r="J498" s="25">
        <v>1</v>
      </c>
      <c r="K498" s="37">
        <v>1790.68</v>
      </c>
      <c r="L498" s="17"/>
      <c r="M498" s="29">
        <f t="shared" si="21"/>
        <v>0</v>
      </c>
      <c r="N498" s="31">
        <f>0.209*L498</f>
        <v>0</v>
      </c>
      <c r="O498" s="32">
        <f>0.00096*L498</f>
        <v>0</v>
      </c>
      <c r="P498" s="36"/>
      <c r="Q498" s="29" t="s">
        <v>1448</v>
      </c>
      <c r="R498" s="29"/>
      <c r="S498" s="26" t="str">
        <f>HYPERLINK("https://miland.ru/api/getInfo/image/7cdd4bca-eb66-11ee-a25b-00155d82e908")</f>
        <v>https://miland.ru/api/getInfo/image/7cdd4bca-eb66-11ee-a25b-00155d82e908</v>
      </c>
    </row>
    <row r="499" spans="1:19" s="1" customFormat="1" ht="12" customHeight="1" outlineLevel="7">
      <c r="A499" s="64" t="s">
        <v>1449</v>
      </c>
      <c r="B499" s="64"/>
      <c r="C499" s="64"/>
      <c r="D499" s="64"/>
      <c r="E499" s="64"/>
      <c r="F499" s="64"/>
      <c r="G499" s="8"/>
      <c r="H499" s="12"/>
      <c r="I499" s="2"/>
      <c r="J499" s="2"/>
      <c r="K499" s="13"/>
      <c r="L499" s="2"/>
      <c r="M499" s="2"/>
      <c r="N499" s="2"/>
      <c r="O499" s="2"/>
      <c r="P499" s="2"/>
      <c r="Q499" s="2"/>
      <c r="R499" s="2"/>
      <c r="S499" s="2"/>
    </row>
    <row r="500" spans="1:19" s="2" customFormat="1" ht="96.2" customHeight="1" outlineLevel="7">
      <c r="A500" s="25">
        <v>333</v>
      </c>
      <c r="B500" s="26" t="s">
        <v>1450</v>
      </c>
      <c r="C500" s="66" t="s">
        <v>1451</v>
      </c>
      <c r="D500" s="66"/>
      <c r="E500" s="66"/>
      <c r="F500" s="66"/>
      <c r="G500" s="27" t="s">
        <v>1452</v>
      </c>
      <c r="H500" s="28" t="s">
        <v>44</v>
      </c>
      <c r="I500" s="29"/>
      <c r="J500" s="25">
        <v>1</v>
      </c>
      <c r="K500" s="30">
        <v>671.8</v>
      </c>
      <c r="L500" s="17"/>
      <c r="M500" s="29">
        <f t="shared" ref="M500:M505" si="22">K500*L500</f>
        <v>0</v>
      </c>
      <c r="N500" s="31">
        <f>0.301*L500</f>
        <v>0</v>
      </c>
      <c r="O500" s="32">
        <f>0.00334*L500</f>
        <v>0</v>
      </c>
      <c r="P500" s="36"/>
      <c r="Q500" s="29" t="s">
        <v>1453</v>
      </c>
      <c r="R500" s="29"/>
      <c r="S500" s="26" t="str">
        <f>HYPERLINK("https://miland.ru/api/getInfo/image/9d2318e2-eb64-11ee-a25b-00155d82e908")</f>
        <v>https://miland.ru/api/getInfo/image/9d2318e2-eb64-11ee-a25b-00155d82e908</v>
      </c>
    </row>
    <row r="501" spans="1:19" s="2" customFormat="1" ht="96.2" customHeight="1" outlineLevel="7">
      <c r="A501" s="25">
        <v>334</v>
      </c>
      <c r="B501" s="26" t="s">
        <v>1454</v>
      </c>
      <c r="C501" s="66" t="s">
        <v>1455</v>
      </c>
      <c r="D501" s="66"/>
      <c r="E501" s="66"/>
      <c r="F501" s="66"/>
      <c r="G501" s="27" t="s">
        <v>1456</v>
      </c>
      <c r="H501" s="28" t="s">
        <v>44</v>
      </c>
      <c r="I501" s="29"/>
      <c r="J501" s="25">
        <v>1</v>
      </c>
      <c r="K501" s="30">
        <v>671.8</v>
      </c>
      <c r="L501" s="17"/>
      <c r="M501" s="29">
        <f t="shared" si="22"/>
        <v>0</v>
      </c>
      <c r="N501" s="31">
        <f>0.307*L501</f>
        <v>0</v>
      </c>
      <c r="O501" s="32">
        <f>0.00343*L501</f>
        <v>0</v>
      </c>
      <c r="P501" s="36"/>
      <c r="Q501" s="29" t="s">
        <v>1457</v>
      </c>
      <c r="R501" s="29"/>
      <c r="S501" s="26" t="str">
        <f>HYPERLINK("https://miland.ru/api/getInfo/image/b803e697-eb64-11ee-a25b-00155d82e908")</f>
        <v>https://miland.ru/api/getInfo/image/b803e697-eb64-11ee-a25b-00155d82e908</v>
      </c>
    </row>
    <row r="502" spans="1:19" s="2" customFormat="1" ht="96.2" customHeight="1" outlineLevel="7">
      <c r="A502" s="25">
        <v>335</v>
      </c>
      <c r="B502" s="26" t="s">
        <v>1458</v>
      </c>
      <c r="C502" s="66" t="s">
        <v>1459</v>
      </c>
      <c r="D502" s="66"/>
      <c r="E502" s="66"/>
      <c r="F502" s="66"/>
      <c r="G502" s="27" t="s">
        <v>1460</v>
      </c>
      <c r="H502" s="28" t="s">
        <v>44</v>
      </c>
      <c r="I502" s="29"/>
      <c r="J502" s="25">
        <v>1</v>
      </c>
      <c r="K502" s="30">
        <v>671.8</v>
      </c>
      <c r="L502" s="17"/>
      <c r="M502" s="29">
        <f t="shared" si="22"/>
        <v>0</v>
      </c>
      <c r="N502" s="31">
        <f>0.144*L502</f>
        <v>0</v>
      </c>
      <c r="O502" s="32">
        <f>0.00328*L502</f>
        <v>0</v>
      </c>
      <c r="P502" s="36"/>
      <c r="Q502" s="29" t="s">
        <v>1461</v>
      </c>
      <c r="R502" s="29"/>
      <c r="S502" s="26" t="str">
        <f>HYPERLINK("https://miland.ru/api/getInfo/image/2f393755-18d0-11ef-a25d-00155d82e908")</f>
        <v>https://miland.ru/api/getInfo/image/2f393755-18d0-11ef-a25d-00155d82e908</v>
      </c>
    </row>
    <row r="503" spans="1:19" s="2" customFormat="1" ht="96.2" customHeight="1" outlineLevel="7">
      <c r="A503" s="25">
        <v>336</v>
      </c>
      <c r="B503" s="26" t="s">
        <v>1462</v>
      </c>
      <c r="C503" s="66" t="s">
        <v>1463</v>
      </c>
      <c r="D503" s="66"/>
      <c r="E503" s="66"/>
      <c r="F503" s="66"/>
      <c r="G503" s="27" t="s">
        <v>1464</v>
      </c>
      <c r="H503" s="33">
        <v>343</v>
      </c>
      <c r="I503" s="29"/>
      <c r="J503" s="25">
        <v>1</v>
      </c>
      <c r="K503" s="30">
        <v>637.97</v>
      </c>
      <c r="L503" s="17"/>
      <c r="M503" s="29">
        <f t="shared" si="22"/>
        <v>0</v>
      </c>
      <c r="N503" s="31">
        <f>0.287*L503</f>
        <v>0</v>
      </c>
      <c r="O503" s="32">
        <f>0.00355*L503</f>
        <v>0</v>
      </c>
      <c r="P503" s="36"/>
      <c r="Q503" s="29" t="s">
        <v>1465</v>
      </c>
      <c r="R503" s="29"/>
      <c r="S503" s="26" t="str">
        <f>HYPERLINK("https://miland.ru/api/getInfo/image/aaf80d86-18d0-11ef-a25d-00155d82e908")</f>
        <v>https://miland.ru/api/getInfo/image/aaf80d86-18d0-11ef-a25d-00155d82e908</v>
      </c>
    </row>
    <row r="504" spans="1:19" s="2" customFormat="1" ht="96.2" customHeight="1" outlineLevel="7">
      <c r="A504" s="25">
        <v>337</v>
      </c>
      <c r="B504" s="26" t="s">
        <v>1466</v>
      </c>
      <c r="C504" s="66" t="s">
        <v>1467</v>
      </c>
      <c r="D504" s="66"/>
      <c r="E504" s="66"/>
      <c r="F504" s="66"/>
      <c r="G504" s="27" t="s">
        <v>1468</v>
      </c>
      <c r="H504" s="33">
        <v>58</v>
      </c>
      <c r="I504" s="29"/>
      <c r="J504" s="25">
        <v>1</v>
      </c>
      <c r="K504" s="30">
        <v>637.97</v>
      </c>
      <c r="L504" s="17"/>
      <c r="M504" s="29">
        <f t="shared" si="22"/>
        <v>0</v>
      </c>
      <c r="N504" s="31">
        <f>0.271*L504</f>
        <v>0</v>
      </c>
      <c r="O504" s="32">
        <f>0.00374*L504</f>
        <v>0</v>
      </c>
      <c r="P504" s="36"/>
      <c r="Q504" s="29" t="s">
        <v>1469</v>
      </c>
      <c r="R504" s="29"/>
      <c r="S504" s="26" t="str">
        <f>HYPERLINK("https://miland.ru/api/getInfo/image/e2260cf7-eb64-11ee-a25b-00155d82e908")</f>
        <v>https://miland.ru/api/getInfo/image/e2260cf7-eb64-11ee-a25b-00155d82e908</v>
      </c>
    </row>
    <row r="505" spans="1:19" s="2" customFormat="1" ht="96.2" customHeight="1" outlineLevel="7">
      <c r="A505" s="25">
        <v>338</v>
      </c>
      <c r="B505" s="26" t="s">
        <v>1470</v>
      </c>
      <c r="C505" s="66" t="s">
        <v>1471</v>
      </c>
      <c r="D505" s="66"/>
      <c r="E505" s="66"/>
      <c r="F505" s="66"/>
      <c r="G505" s="27" t="s">
        <v>1472</v>
      </c>
      <c r="H505" s="28" t="s">
        <v>44</v>
      </c>
      <c r="I505" s="29"/>
      <c r="J505" s="25">
        <v>1</v>
      </c>
      <c r="K505" s="30">
        <v>637.97</v>
      </c>
      <c r="L505" s="17"/>
      <c r="M505" s="29">
        <f t="shared" si="22"/>
        <v>0</v>
      </c>
      <c r="N505" s="31">
        <f>0.279*L505</f>
        <v>0</v>
      </c>
      <c r="O505" s="35">
        <f>0.0035*L505</f>
        <v>0</v>
      </c>
      <c r="P505" s="36"/>
      <c r="Q505" s="29" t="s">
        <v>1473</v>
      </c>
      <c r="R505" s="29"/>
      <c r="S505" s="26" t="str">
        <f>HYPERLINK("https://miland.ru/api/getInfo/image/0f562c0d-eb65-11ee-a25b-00155d82e908")</f>
        <v>https://miland.ru/api/getInfo/image/0f562c0d-eb65-11ee-a25b-00155d82e908</v>
      </c>
    </row>
    <row r="506" spans="1:19" s="1" customFormat="1" ht="12" customHeight="1" outlineLevel="6">
      <c r="A506" s="64" t="s">
        <v>1474</v>
      </c>
      <c r="B506" s="64"/>
      <c r="C506" s="64"/>
      <c r="D506" s="64"/>
      <c r="E506" s="64"/>
      <c r="F506" s="64"/>
      <c r="G506" s="8"/>
      <c r="H506" s="12"/>
      <c r="I506" s="2"/>
      <c r="J506" s="2"/>
      <c r="K506" s="13"/>
      <c r="L506" s="2"/>
      <c r="M506" s="2"/>
      <c r="N506" s="2"/>
      <c r="O506" s="2"/>
      <c r="P506" s="2"/>
      <c r="Q506" s="2"/>
      <c r="R506" s="2"/>
      <c r="S506" s="2"/>
    </row>
    <row r="507" spans="1:19" s="2" customFormat="1" ht="96.2" customHeight="1" outlineLevel="7">
      <c r="A507" s="9">
        <v>339</v>
      </c>
      <c r="B507" s="10" t="s">
        <v>1475</v>
      </c>
      <c r="C507" s="65" t="s">
        <v>1476</v>
      </c>
      <c r="D507" s="65"/>
      <c r="E507" s="65"/>
      <c r="F507" s="65"/>
      <c r="G507" s="11" t="s">
        <v>1477</v>
      </c>
      <c r="H507" s="21" t="s">
        <v>44</v>
      </c>
      <c r="I507" s="15"/>
      <c r="J507" s="9">
        <v>1</v>
      </c>
      <c r="K507" s="22">
        <v>1766.85</v>
      </c>
      <c r="L507" s="17"/>
      <c r="M507" s="15">
        <f t="shared" ref="M507:M514" si="23">K507*L507</f>
        <v>0</v>
      </c>
      <c r="N507" s="18">
        <f>0.905*L507</f>
        <v>0</v>
      </c>
      <c r="O507" s="19">
        <f>0.00856*L507</f>
        <v>0</v>
      </c>
      <c r="P507" s="24" t="s">
        <v>26</v>
      </c>
      <c r="Q507" s="15" t="s">
        <v>1478</v>
      </c>
      <c r="R507" s="15"/>
      <c r="S507" s="10" t="str">
        <f>HYPERLINK("https://miland.ru/api/getInfo/image/c74ea544-331c-11f1-a292-00155d82e908")</f>
        <v>https://miland.ru/api/getInfo/image/c74ea544-331c-11f1-a292-00155d82e908</v>
      </c>
    </row>
    <row r="508" spans="1:19" s="2" customFormat="1" ht="96.2" customHeight="1" outlineLevel="7">
      <c r="A508" s="9">
        <v>340</v>
      </c>
      <c r="B508" s="10" t="s">
        <v>1479</v>
      </c>
      <c r="C508" s="65" t="s">
        <v>1480</v>
      </c>
      <c r="D508" s="65"/>
      <c r="E508" s="65"/>
      <c r="F508" s="65"/>
      <c r="G508" s="11" t="s">
        <v>1481</v>
      </c>
      <c r="H508" s="21" t="s">
        <v>44</v>
      </c>
      <c r="I508" s="15"/>
      <c r="J508" s="9">
        <v>1</v>
      </c>
      <c r="K508" s="22">
        <v>1766.85</v>
      </c>
      <c r="L508" s="17"/>
      <c r="M508" s="15">
        <f t="shared" si="23"/>
        <v>0</v>
      </c>
      <c r="N508" s="18">
        <f>0.939*L508</f>
        <v>0</v>
      </c>
      <c r="O508" s="19">
        <f>0.00843*L508</f>
        <v>0</v>
      </c>
      <c r="P508" s="24" t="s">
        <v>26</v>
      </c>
      <c r="Q508" s="15" t="s">
        <v>1482</v>
      </c>
      <c r="R508" s="15"/>
      <c r="S508" s="10" t="str">
        <f>HYPERLINK("https://miland.ru/api/getInfo/image/ddef87b4-331c-11f1-a292-00155d82e908")</f>
        <v>https://miland.ru/api/getInfo/image/ddef87b4-331c-11f1-a292-00155d82e908</v>
      </c>
    </row>
    <row r="509" spans="1:19" s="2" customFormat="1" ht="96.2" customHeight="1" outlineLevel="7">
      <c r="A509" s="9">
        <v>341</v>
      </c>
      <c r="B509" s="10" t="s">
        <v>1483</v>
      </c>
      <c r="C509" s="65" t="s">
        <v>1484</v>
      </c>
      <c r="D509" s="65"/>
      <c r="E509" s="65"/>
      <c r="F509" s="65"/>
      <c r="G509" s="11" t="s">
        <v>1485</v>
      </c>
      <c r="H509" s="14">
        <v>329</v>
      </c>
      <c r="I509" s="15"/>
      <c r="J509" s="9">
        <v>1</v>
      </c>
      <c r="K509" s="22">
        <v>1766.85</v>
      </c>
      <c r="L509" s="17"/>
      <c r="M509" s="15">
        <f t="shared" si="23"/>
        <v>0</v>
      </c>
      <c r="N509" s="23">
        <f>0.89*L509</f>
        <v>0</v>
      </c>
      <c r="O509" s="19">
        <f>0.00869*L509</f>
        <v>0</v>
      </c>
      <c r="P509" s="24" t="s">
        <v>26</v>
      </c>
      <c r="Q509" s="15" t="s">
        <v>1486</v>
      </c>
      <c r="R509" s="15"/>
      <c r="S509" s="10" t="str">
        <f>HYPERLINK("https://miland.ru/api/getInfo/image/7b223efa-331c-11f1-a292-00155d82e908")</f>
        <v>https://miland.ru/api/getInfo/image/7b223efa-331c-11f1-a292-00155d82e908</v>
      </c>
    </row>
    <row r="510" spans="1:19" s="2" customFormat="1" ht="96.2" customHeight="1" outlineLevel="7">
      <c r="A510" s="9">
        <v>342</v>
      </c>
      <c r="B510" s="10" t="s">
        <v>1487</v>
      </c>
      <c r="C510" s="65" t="s">
        <v>1488</v>
      </c>
      <c r="D510" s="65"/>
      <c r="E510" s="65"/>
      <c r="F510" s="65"/>
      <c r="G510" s="11" t="s">
        <v>1489</v>
      </c>
      <c r="H510" s="21" t="s">
        <v>44</v>
      </c>
      <c r="I510" s="15"/>
      <c r="J510" s="9">
        <v>1</v>
      </c>
      <c r="K510" s="22">
        <v>2406.41</v>
      </c>
      <c r="L510" s="17"/>
      <c r="M510" s="15">
        <f t="shared" si="23"/>
        <v>0</v>
      </c>
      <c r="N510" s="18">
        <f>1.151*L510</f>
        <v>0</v>
      </c>
      <c r="O510" s="19">
        <f>0.01114*L510</f>
        <v>0</v>
      </c>
      <c r="P510" s="24" t="s">
        <v>26</v>
      </c>
      <c r="Q510" s="15" t="s">
        <v>1490</v>
      </c>
      <c r="R510" s="15"/>
      <c r="S510" s="10" t="str">
        <f>HYPERLINK("https://miland.ru/api/getInfo/image/1c16e308-331d-11f1-a292-00155d82e908")</f>
        <v>https://miland.ru/api/getInfo/image/1c16e308-331d-11f1-a292-00155d82e908</v>
      </c>
    </row>
    <row r="511" spans="1:19" s="2" customFormat="1" ht="96.2" customHeight="1" outlineLevel="7">
      <c r="A511" s="9">
        <v>343</v>
      </c>
      <c r="B511" s="10" t="s">
        <v>1491</v>
      </c>
      <c r="C511" s="65" t="s">
        <v>1492</v>
      </c>
      <c r="D511" s="65"/>
      <c r="E511" s="65"/>
      <c r="F511" s="65"/>
      <c r="G511" s="11" t="s">
        <v>1493</v>
      </c>
      <c r="H511" s="21" t="s">
        <v>44</v>
      </c>
      <c r="I511" s="15"/>
      <c r="J511" s="9">
        <v>1</v>
      </c>
      <c r="K511" s="22">
        <v>2406.41</v>
      </c>
      <c r="L511" s="17"/>
      <c r="M511" s="15">
        <f t="shared" si="23"/>
        <v>0</v>
      </c>
      <c r="N511" s="23">
        <f>1.14*L511</f>
        <v>0</v>
      </c>
      <c r="O511" s="19">
        <f>0.01104*L511</f>
        <v>0</v>
      </c>
      <c r="P511" s="24" t="s">
        <v>26</v>
      </c>
      <c r="Q511" s="15" t="s">
        <v>1494</v>
      </c>
      <c r="R511" s="15"/>
      <c r="S511" s="10" t="str">
        <f>HYPERLINK("https://miland.ru/api/getInfo/image/331e012b-331d-11f1-a292-00155d82e908")</f>
        <v>https://miland.ru/api/getInfo/image/331e012b-331d-11f1-a292-00155d82e908</v>
      </c>
    </row>
    <row r="512" spans="1:19" s="2" customFormat="1" ht="96.2" customHeight="1" outlineLevel="7">
      <c r="A512" s="9">
        <v>344</v>
      </c>
      <c r="B512" s="10" t="s">
        <v>1495</v>
      </c>
      <c r="C512" s="65" t="s">
        <v>1496</v>
      </c>
      <c r="D512" s="65"/>
      <c r="E512" s="65"/>
      <c r="F512" s="65"/>
      <c r="G512" s="11" t="s">
        <v>1497</v>
      </c>
      <c r="H512" s="21" t="s">
        <v>44</v>
      </c>
      <c r="I512" s="15"/>
      <c r="J512" s="9">
        <v>1</v>
      </c>
      <c r="K512" s="22">
        <v>2406.41</v>
      </c>
      <c r="L512" s="17"/>
      <c r="M512" s="15">
        <f t="shared" si="23"/>
        <v>0</v>
      </c>
      <c r="N512" s="18">
        <f>1.193*L512</f>
        <v>0</v>
      </c>
      <c r="O512" s="19">
        <f>0.01049*L512</f>
        <v>0</v>
      </c>
      <c r="P512" s="24" t="s">
        <v>26</v>
      </c>
      <c r="Q512" s="15" t="s">
        <v>1498</v>
      </c>
      <c r="R512" s="15"/>
      <c r="S512" s="10" t="str">
        <f>HYPERLINK("https://miland.ru/api/getInfo/image/f4374d1c-331c-11f1-a292-00155d82e908")</f>
        <v>https://miland.ru/api/getInfo/image/f4374d1c-331c-11f1-a292-00155d82e908</v>
      </c>
    </row>
    <row r="513" spans="1:19" s="2" customFormat="1" ht="96.2" customHeight="1" outlineLevel="7">
      <c r="A513" s="9">
        <v>345</v>
      </c>
      <c r="B513" s="10" t="s">
        <v>1499</v>
      </c>
      <c r="C513" s="65" t="s">
        <v>1500</v>
      </c>
      <c r="D513" s="65"/>
      <c r="E513" s="65"/>
      <c r="F513" s="65"/>
      <c r="G513" s="11" t="s">
        <v>1501</v>
      </c>
      <c r="H513" s="21" t="s">
        <v>44</v>
      </c>
      <c r="I513" s="15"/>
      <c r="J513" s="9">
        <v>1</v>
      </c>
      <c r="K513" s="16">
        <v>641.24</v>
      </c>
      <c r="L513" s="17"/>
      <c r="M513" s="15">
        <f t="shared" si="23"/>
        <v>0</v>
      </c>
      <c r="N513" s="18">
        <f>0.112*L513</f>
        <v>0</v>
      </c>
      <c r="O513" s="19">
        <f>0.00066*L513</f>
        <v>0</v>
      </c>
      <c r="P513" s="24" t="s">
        <v>26</v>
      </c>
      <c r="Q513" s="15" t="s">
        <v>1502</v>
      </c>
      <c r="R513" s="15"/>
      <c r="S513" s="10" t="str">
        <f>HYPERLINK("https://miland.ru/api/getInfo/image/2535e824-1c58-11f0-a279-00155d82e908")</f>
        <v>https://miland.ru/api/getInfo/image/2535e824-1c58-11f0-a279-00155d82e908</v>
      </c>
    </row>
    <row r="514" spans="1:19" s="2" customFormat="1" ht="96.2" customHeight="1" outlineLevel="7">
      <c r="A514" s="9">
        <v>346</v>
      </c>
      <c r="B514" s="10" t="s">
        <v>1503</v>
      </c>
      <c r="C514" s="65" t="s">
        <v>1504</v>
      </c>
      <c r="D514" s="65"/>
      <c r="E514" s="65"/>
      <c r="F514" s="65"/>
      <c r="G514" s="11" t="s">
        <v>1505</v>
      </c>
      <c r="H514" s="21" t="s">
        <v>44</v>
      </c>
      <c r="I514" s="15"/>
      <c r="J514" s="9">
        <v>1</v>
      </c>
      <c r="K514" s="16">
        <v>641.24</v>
      </c>
      <c r="L514" s="17"/>
      <c r="M514" s="15">
        <f t="shared" si="23"/>
        <v>0</v>
      </c>
      <c r="N514" s="18">
        <f>0.112*L514</f>
        <v>0</v>
      </c>
      <c r="O514" s="19">
        <f>0.00065*L514</f>
        <v>0</v>
      </c>
      <c r="P514" s="24" t="s">
        <v>26</v>
      </c>
      <c r="Q514" s="15" t="s">
        <v>1506</v>
      </c>
      <c r="R514" s="15"/>
      <c r="S514" s="10" t="str">
        <f>HYPERLINK("https://miland.ru/api/getInfo/image/a5a88752-1c57-11f0-a279-00155d82e908")</f>
        <v>https://miland.ru/api/getInfo/image/a5a88752-1c57-11f0-a279-00155d82e908</v>
      </c>
    </row>
    <row r="515" spans="1:19" s="1" customFormat="1" ht="12" customHeight="1" outlineLevel="6">
      <c r="A515" s="64" t="s">
        <v>1507</v>
      </c>
      <c r="B515" s="64"/>
      <c r="C515" s="64"/>
      <c r="D515" s="64"/>
      <c r="E515" s="64"/>
      <c r="F515" s="64"/>
      <c r="G515" s="8"/>
      <c r="H515" s="12"/>
      <c r="I515" s="2"/>
      <c r="J515" s="2"/>
      <c r="K515" s="13"/>
      <c r="L515" s="2"/>
      <c r="M515" s="2"/>
      <c r="N515" s="2"/>
      <c r="O515" s="2"/>
      <c r="P515" s="2"/>
      <c r="Q515" s="2"/>
      <c r="R515" s="2"/>
      <c r="S515" s="2"/>
    </row>
    <row r="516" spans="1:19" s="1" customFormat="1" ht="12" customHeight="1" outlineLevel="7">
      <c r="A516" s="64" t="s">
        <v>1508</v>
      </c>
      <c r="B516" s="64"/>
      <c r="C516" s="64"/>
      <c r="D516" s="64"/>
      <c r="E516" s="64"/>
      <c r="F516" s="64"/>
      <c r="G516" s="8"/>
      <c r="H516" s="12"/>
      <c r="I516" s="2"/>
      <c r="J516" s="2"/>
      <c r="K516" s="13"/>
      <c r="L516" s="2"/>
      <c r="M516" s="2"/>
      <c r="N516" s="2"/>
      <c r="O516" s="2"/>
      <c r="P516" s="2"/>
      <c r="Q516" s="2"/>
      <c r="R516" s="2"/>
      <c r="S516" s="2"/>
    </row>
    <row r="517" spans="1:19" s="2" customFormat="1" ht="96.2" customHeight="1" outlineLevel="7">
      <c r="A517" s="25">
        <v>347</v>
      </c>
      <c r="B517" s="26" t="s">
        <v>1509</v>
      </c>
      <c r="C517" s="66" t="s">
        <v>1510</v>
      </c>
      <c r="D517" s="66"/>
      <c r="E517" s="66"/>
      <c r="F517" s="66"/>
      <c r="G517" s="27" t="s">
        <v>1511</v>
      </c>
      <c r="H517" s="33">
        <v>12</v>
      </c>
      <c r="I517" s="29"/>
      <c r="J517" s="25">
        <v>1</v>
      </c>
      <c r="K517" s="37">
        <v>1730.71</v>
      </c>
      <c r="L517" s="17"/>
      <c r="M517" s="29">
        <f t="shared" ref="M517:M525" si="24">K517*L517</f>
        <v>0</v>
      </c>
      <c r="N517" s="34">
        <f>0.79*L517</f>
        <v>0</v>
      </c>
      <c r="O517" s="32">
        <f>0.00244*L517</f>
        <v>0</v>
      </c>
      <c r="P517" s="36"/>
      <c r="Q517" s="29" t="s">
        <v>1512</v>
      </c>
      <c r="R517" s="29"/>
      <c r="S517" s="26" t="str">
        <f>HYPERLINK("https://miland.ru/api/getInfo/image/9ff1e897-eb6a-11ee-a25b-00155d82e908")</f>
        <v>https://miland.ru/api/getInfo/image/9ff1e897-eb6a-11ee-a25b-00155d82e908</v>
      </c>
    </row>
    <row r="518" spans="1:19" s="2" customFormat="1" ht="96.2" customHeight="1" outlineLevel="7">
      <c r="A518" s="25">
        <v>348</v>
      </c>
      <c r="B518" s="26" t="s">
        <v>1513</v>
      </c>
      <c r="C518" s="66" t="s">
        <v>1514</v>
      </c>
      <c r="D518" s="66"/>
      <c r="E518" s="66"/>
      <c r="F518" s="66"/>
      <c r="G518" s="27" t="s">
        <v>1515</v>
      </c>
      <c r="H518" s="33">
        <v>296</v>
      </c>
      <c r="I518" s="29"/>
      <c r="J518" s="25">
        <v>1</v>
      </c>
      <c r="K518" s="37">
        <v>1730.71</v>
      </c>
      <c r="L518" s="17"/>
      <c r="M518" s="29">
        <f t="shared" si="24"/>
        <v>0</v>
      </c>
      <c r="N518" s="31">
        <f>0.797*L518</f>
        <v>0</v>
      </c>
      <c r="O518" s="32">
        <f>0.00286*L518</f>
        <v>0</v>
      </c>
      <c r="P518" s="36"/>
      <c r="Q518" s="29" t="s">
        <v>1516</v>
      </c>
      <c r="R518" s="29" t="s">
        <v>611</v>
      </c>
      <c r="S518" s="26" t="str">
        <f>HYPERLINK("https://miland.ru/api/getInfo/image/6b129fd0-eb6a-11ee-a25b-00155d82e908")</f>
        <v>https://miland.ru/api/getInfo/image/6b129fd0-eb6a-11ee-a25b-00155d82e908</v>
      </c>
    </row>
    <row r="519" spans="1:19" s="2" customFormat="1" ht="96.2" customHeight="1" outlineLevel="7">
      <c r="A519" s="25">
        <v>349</v>
      </c>
      <c r="B519" s="26" t="s">
        <v>1517</v>
      </c>
      <c r="C519" s="66" t="s">
        <v>1518</v>
      </c>
      <c r="D519" s="66"/>
      <c r="E519" s="66"/>
      <c r="F519" s="66"/>
      <c r="G519" s="27" t="s">
        <v>1519</v>
      </c>
      <c r="H519" s="33">
        <v>4</v>
      </c>
      <c r="I519" s="29"/>
      <c r="J519" s="25">
        <v>1</v>
      </c>
      <c r="K519" s="37">
        <v>1730.71</v>
      </c>
      <c r="L519" s="17"/>
      <c r="M519" s="29">
        <f t="shared" si="24"/>
        <v>0</v>
      </c>
      <c r="N519" s="31">
        <f>0.785*L519</f>
        <v>0</v>
      </c>
      <c r="O519" s="32">
        <f>0.00289*L519</f>
        <v>0</v>
      </c>
      <c r="P519" s="36"/>
      <c r="Q519" s="29" t="s">
        <v>1520</v>
      </c>
      <c r="R519" s="29"/>
      <c r="S519" s="26" t="str">
        <f>HYPERLINK("https://miland.ru/api/getInfo/image/8788d5bd-eb6a-11ee-a25b-00155d82e908")</f>
        <v>https://miland.ru/api/getInfo/image/8788d5bd-eb6a-11ee-a25b-00155d82e908</v>
      </c>
    </row>
    <row r="520" spans="1:19" s="2" customFormat="1" ht="96.2" customHeight="1" outlineLevel="7">
      <c r="A520" s="25">
        <v>350</v>
      </c>
      <c r="B520" s="26" t="s">
        <v>1521</v>
      </c>
      <c r="C520" s="66" t="s">
        <v>1522</v>
      </c>
      <c r="D520" s="66"/>
      <c r="E520" s="66"/>
      <c r="F520" s="66"/>
      <c r="G520" s="27" t="s">
        <v>1523</v>
      </c>
      <c r="H520" s="33">
        <v>215</v>
      </c>
      <c r="I520" s="29"/>
      <c r="J520" s="25">
        <v>1</v>
      </c>
      <c r="K520" s="37">
        <v>2706.71</v>
      </c>
      <c r="L520" s="17"/>
      <c r="M520" s="29">
        <f t="shared" si="24"/>
        <v>0</v>
      </c>
      <c r="N520" s="31">
        <f>1.604*L520</f>
        <v>0</v>
      </c>
      <c r="O520" s="32">
        <f>0.00616*L520</f>
        <v>0</v>
      </c>
      <c r="P520" s="36"/>
      <c r="Q520" s="29" t="s">
        <v>1524</v>
      </c>
      <c r="R520" s="29" t="s">
        <v>611</v>
      </c>
      <c r="S520" s="26" t="str">
        <f>HYPERLINK("https://miland.ru/api/getInfo/image/4eefdc42-eb6a-11ee-a25b-00155d82e908")</f>
        <v>https://miland.ru/api/getInfo/image/4eefdc42-eb6a-11ee-a25b-00155d82e908</v>
      </c>
    </row>
    <row r="521" spans="1:19" s="2" customFormat="1" ht="96.2" customHeight="1" outlineLevel="7">
      <c r="A521" s="25">
        <v>351</v>
      </c>
      <c r="B521" s="26" t="s">
        <v>1525</v>
      </c>
      <c r="C521" s="66" t="s">
        <v>1526</v>
      </c>
      <c r="D521" s="66"/>
      <c r="E521" s="66"/>
      <c r="F521" s="66"/>
      <c r="G521" s="27" t="s">
        <v>1527</v>
      </c>
      <c r="H521" s="33">
        <v>202</v>
      </c>
      <c r="I521" s="29"/>
      <c r="J521" s="25">
        <v>1</v>
      </c>
      <c r="K521" s="30">
        <v>643.32000000000005</v>
      </c>
      <c r="L521" s="17"/>
      <c r="M521" s="29">
        <f t="shared" si="24"/>
        <v>0</v>
      </c>
      <c r="N521" s="31">
        <f>9.903*L521</f>
        <v>0</v>
      </c>
      <c r="O521" s="32">
        <f>0.04066*L521</f>
        <v>0</v>
      </c>
      <c r="P521" s="36"/>
      <c r="Q521" s="29" t="s">
        <v>1528</v>
      </c>
      <c r="R521" s="29"/>
      <c r="S521" s="26" t="str">
        <f>HYPERLINK("https://miland.ru/api/getInfo/image/34757d44-eb6a-11ee-a25b-00155d82e908")</f>
        <v>https://miland.ru/api/getInfo/image/34757d44-eb6a-11ee-a25b-00155d82e908</v>
      </c>
    </row>
    <row r="522" spans="1:19" s="2" customFormat="1" ht="96.2" customHeight="1" outlineLevel="7">
      <c r="A522" s="25">
        <v>352</v>
      </c>
      <c r="B522" s="26" t="s">
        <v>1529</v>
      </c>
      <c r="C522" s="66" t="s">
        <v>1530</v>
      </c>
      <c r="D522" s="66"/>
      <c r="E522" s="66"/>
      <c r="F522" s="66"/>
      <c r="G522" s="27" t="s">
        <v>1531</v>
      </c>
      <c r="H522" s="33">
        <v>482</v>
      </c>
      <c r="I522" s="29"/>
      <c r="J522" s="25">
        <v>1</v>
      </c>
      <c r="K522" s="30">
        <v>643.32000000000005</v>
      </c>
      <c r="L522" s="17"/>
      <c r="M522" s="29">
        <f t="shared" si="24"/>
        <v>0</v>
      </c>
      <c r="N522" s="31">
        <f>9.708*L522</f>
        <v>0</v>
      </c>
      <c r="O522" s="32">
        <f>0.04122*L522</f>
        <v>0</v>
      </c>
      <c r="P522" s="36"/>
      <c r="Q522" s="29" t="s">
        <v>1532</v>
      </c>
      <c r="R522" s="29"/>
      <c r="S522" s="26" t="str">
        <f>HYPERLINK("https://miland.ru/api/getInfo/image/03bb3d24-eb6a-11ee-a25b-00155d82e908")</f>
        <v>https://miland.ru/api/getInfo/image/03bb3d24-eb6a-11ee-a25b-00155d82e908</v>
      </c>
    </row>
    <row r="523" spans="1:19" s="2" customFormat="1" ht="96.2" customHeight="1" outlineLevel="7">
      <c r="A523" s="25">
        <v>353</v>
      </c>
      <c r="B523" s="26" t="s">
        <v>1533</v>
      </c>
      <c r="C523" s="66" t="s">
        <v>1534</v>
      </c>
      <c r="D523" s="66"/>
      <c r="E523" s="66"/>
      <c r="F523" s="66"/>
      <c r="G523" s="27" t="s">
        <v>1535</v>
      </c>
      <c r="H523" s="33">
        <v>3</v>
      </c>
      <c r="I523" s="29"/>
      <c r="J523" s="25">
        <v>1</v>
      </c>
      <c r="K523" s="30">
        <v>441.62</v>
      </c>
      <c r="L523" s="17"/>
      <c r="M523" s="29">
        <f t="shared" si="24"/>
        <v>0</v>
      </c>
      <c r="N523" s="31">
        <f>0.163*L523</f>
        <v>0</v>
      </c>
      <c r="O523" s="32">
        <f>0.00066*L523</f>
        <v>0</v>
      </c>
      <c r="P523" s="36"/>
      <c r="Q523" s="29" t="s">
        <v>1536</v>
      </c>
      <c r="R523" s="29" t="s">
        <v>611</v>
      </c>
      <c r="S523" s="26" t="str">
        <f>HYPERLINK("https://miland.ru/api/getInfo/image/ccabc08c-eb69-11ee-a25b-00155d82e908")</f>
        <v>https://miland.ru/api/getInfo/image/ccabc08c-eb69-11ee-a25b-00155d82e908</v>
      </c>
    </row>
    <row r="524" spans="1:19" s="2" customFormat="1" ht="96.2" customHeight="1" outlineLevel="7">
      <c r="A524" s="25">
        <v>354</v>
      </c>
      <c r="B524" s="26" t="s">
        <v>1537</v>
      </c>
      <c r="C524" s="66" t="s">
        <v>1538</v>
      </c>
      <c r="D524" s="66"/>
      <c r="E524" s="66"/>
      <c r="F524" s="66"/>
      <c r="G524" s="27" t="s">
        <v>1539</v>
      </c>
      <c r="H524" s="28" t="s">
        <v>44</v>
      </c>
      <c r="I524" s="29"/>
      <c r="J524" s="25">
        <v>1</v>
      </c>
      <c r="K524" s="30">
        <v>441.62</v>
      </c>
      <c r="L524" s="17"/>
      <c r="M524" s="29">
        <f t="shared" si="24"/>
        <v>0</v>
      </c>
      <c r="N524" s="31">
        <f>0.161*L524</f>
        <v>0</v>
      </c>
      <c r="O524" s="35">
        <f>0.0007*L524</f>
        <v>0</v>
      </c>
      <c r="P524" s="36"/>
      <c r="Q524" s="29" t="s">
        <v>1540</v>
      </c>
      <c r="R524" s="29" t="s">
        <v>611</v>
      </c>
      <c r="S524" s="26" t="str">
        <f>HYPERLINK("https://miland.ru/api/getInfo/image/242e66b0-eb69-11ee-a25b-00155d82e908")</f>
        <v>https://miland.ru/api/getInfo/image/242e66b0-eb69-11ee-a25b-00155d82e908</v>
      </c>
    </row>
    <row r="525" spans="1:19" s="2" customFormat="1" ht="96.2" customHeight="1" outlineLevel="7">
      <c r="A525" s="25">
        <v>355</v>
      </c>
      <c r="B525" s="26" t="s">
        <v>1541</v>
      </c>
      <c r="C525" s="66" t="s">
        <v>1542</v>
      </c>
      <c r="D525" s="66"/>
      <c r="E525" s="66"/>
      <c r="F525" s="66"/>
      <c r="G525" s="27" t="s">
        <v>1543</v>
      </c>
      <c r="H525" s="28" t="s">
        <v>44</v>
      </c>
      <c r="I525" s="29"/>
      <c r="J525" s="25">
        <v>1</v>
      </c>
      <c r="K525" s="30">
        <v>441.62</v>
      </c>
      <c r="L525" s="17"/>
      <c r="M525" s="29">
        <f t="shared" si="24"/>
        <v>0</v>
      </c>
      <c r="N525" s="31">
        <f>0.166*L525</f>
        <v>0</v>
      </c>
      <c r="O525" s="32">
        <f>0.00066*L525</f>
        <v>0</v>
      </c>
      <c r="P525" s="36"/>
      <c r="Q525" s="29" t="s">
        <v>1544</v>
      </c>
      <c r="R525" s="29" t="s">
        <v>611</v>
      </c>
      <c r="S525" s="26" t="str">
        <f>HYPERLINK("https://miland.ru/api/getInfo/image/b2823a9e-eb69-11ee-a25b-00155d82e908")</f>
        <v>https://miland.ru/api/getInfo/image/b2823a9e-eb69-11ee-a25b-00155d82e908</v>
      </c>
    </row>
    <row r="526" spans="1:19" s="1" customFormat="1" ht="12" customHeight="1" outlineLevel="7">
      <c r="A526" s="64" t="s">
        <v>618</v>
      </c>
      <c r="B526" s="64"/>
      <c r="C526" s="64"/>
      <c r="D526" s="64"/>
      <c r="E526" s="64"/>
      <c r="F526" s="64"/>
      <c r="G526" s="8"/>
      <c r="H526" s="12"/>
      <c r="I526" s="2"/>
      <c r="J526" s="2"/>
      <c r="K526" s="13"/>
      <c r="L526" s="2"/>
      <c r="M526" s="2"/>
      <c r="N526" s="2"/>
      <c r="O526" s="2"/>
      <c r="P526" s="2"/>
      <c r="Q526" s="2"/>
      <c r="R526" s="2"/>
      <c r="S526" s="2"/>
    </row>
    <row r="527" spans="1:19" s="2" customFormat="1" ht="96.2" customHeight="1" outlineLevel="7">
      <c r="A527" s="25">
        <v>356</v>
      </c>
      <c r="B527" s="26" t="s">
        <v>1545</v>
      </c>
      <c r="C527" s="66" t="s">
        <v>1546</v>
      </c>
      <c r="D527" s="66"/>
      <c r="E527" s="66"/>
      <c r="F527" s="66"/>
      <c r="G527" s="27" t="s">
        <v>1547</v>
      </c>
      <c r="H527" s="28" t="s">
        <v>44</v>
      </c>
      <c r="I527" s="29"/>
      <c r="J527" s="25">
        <v>1</v>
      </c>
      <c r="K527" s="30">
        <v>740.11</v>
      </c>
      <c r="L527" s="17"/>
      <c r="M527" s="29">
        <f t="shared" ref="M527:M542" si="25">K527*L527</f>
        <v>0</v>
      </c>
      <c r="N527" s="31">
        <f>0.165*L527</f>
        <v>0</v>
      </c>
      <c r="O527" s="32">
        <f>0.00129*L527</f>
        <v>0</v>
      </c>
      <c r="P527" s="36"/>
      <c r="Q527" s="29" t="s">
        <v>1548</v>
      </c>
      <c r="R527" s="29"/>
      <c r="S527" s="26" t="str">
        <f>HYPERLINK("https://miland.ru/api/getInfo/image/1e9ec11c-0166-11ef-a25d-00155d82e908")</f>
        <v>https://miland.ru/api/getInfo/image/1e9ec11c-0166-11ef-a25d-00155d82e908</v>
      </c>
    </row>
    <row r="528" spans="1:19" s="2" customFormat="1" ht="96.2" customHeight="1" outlineLevel="7">
      <c r="A528" s="25">
        <v>357</v>
      </c>
      <c r="B528" s="26" t="s">
        <v>1549</v>
      </c>
      <c r="C528" s="66" t="s">
        <v>1550</v>
      </c>
      <c r="D528" s="66"/>
      <c r="E528" s="66"/>
      <c r="F528" s="66"/>
      <c r="G528" s="27" t="s">
        <v>1551</v>
      </c>
      <c r="H528" s="28" t="s">
        <v>44</v>
      </c>
      <c r="I528" s="29"/>
      <c r="J528" s="25">
        <v>1</v>
      </c>
      <c r="K528" s="30">
        <v>740.11</v>
      </c>
      <c r="L528" s="17"/>
      <c r="M528" s="29">
        <f t="shared" si="25"/>
        <v>0</v>
      </c>
      <c r="N528" s="31">
        <f>0.163*L528</f>
        <v>0</v>
      </c>
      <c r="O528" s="32">
        <f>0.00125*L528</f>
        <v>0</v>
      </c>
      <c r="P528" s="36"/>
      <c r="Q528" s="29" t="s">
        <v>1552</v>
      </c>
      <c r="R528" s="29"/>
      <c r="S528" s="26" t="str">
        <f>HYPERLINK("https://miland.ru/api/getInfo/image/2d61b67e-0166-11ef-a25d-00155d82e908")</f>
        <v>https://miland.ru/api/getInfo/image/2d61b67e-0166-11ef-a25d-00155d82e908</v>
      </c>
    </row>
    <row r="529" spans="1:19" s="2" customFormat="1" ht="96.2" customHeight="1" outlineLevel="7">
      <c r="A529" s="25">
        <v>358</v>
      </c>
      <c r="B529" s="26" t="s">
        <v>1553</v>
      </c>
      <c r="C529" s="66" t="s">
        <v>1554</v>
      </c>
      <c r="D529" s="66"/>
      <c r="E529" s="66"/>
      <c r="F529" s="66"/>
      <c r="G529" s="27" t="s">
        <v>1555</v>
      </c>
      <c r="H529" s="28" t="s">
        <v>44</v>
      </c>
      <c r="I529" s="29"/>
      <c r="J529" s="25">
        <v>1</v>
      </c>
      <c r="K529" s="30">
        <v>740.11</v>
      </c>
      <c r="L529" s="17"/>
      <c r="M529" s="29">
        <f t="shared" si="25"/>
        <v>0</v>
      </c>
      <c r="N529" s="34">
        <f>0.17*L529</f>
        <v>0</v>
      </c>
      <c r="O529" s="32">
        <f>0.00132*L529</f>
        <v>0</v>
      </c>
      <c r="P529" s="36"/>
      <c r="Q529" s="29" t="s">
        <v>1556</v>
      </c>
      <c r="R529" s="29"/>
      <c r="S529" s="26" t="str">
        <f>HYPERLINK("https://miland.ru/api/getInfo/image/f7c640ad-0165-11ef-a25d-00155d82e908")</f>
        <v>https://miland.ru/api/getInfo/image/f7c640ad-0165-11ef-a25d-00155d82e908</v>
      </c>
    </row>
    <row r="530" spans="1:19" s="2" customFormat="1" ht="96.2" customHeight="1" outlineLevel="7">
      <c r="A530" s="25">
        <v>359</v>
      </c>
      <c r="B530" s="26" t="s">
        <v>1557</v>
      </c>
      <c r="C530" s="66" t="s">
        <v>1558</v>
      </c>
      <c r="D530" s="66"/>
      <c r="E530" s="66"/>
      <c r="F530" s="66"/>
      <c r="G530" s="27" t="s">
        <v>1559</v>
      </c>
      <c r="H530" s="28" t="s">
        <v>44</v>
      </c>
      <c r="I530" s="29"/>
      <c r="J530" s="25">
        <v>1</v>
      </c>
      <c r="K530" s="30">
        <v>740.11</v>
      </c>
      <c r="L530" s="17"/>
      <c r="M530" s="29">
        <f t="shared" si="25"/>
        <v>0</v>
      </c>
      <c r="N530" s="31">
        <f>0.166*L530</f>
        <v>0</v>
      </c>
      <c r="O530" s="32">
        <f>0.00131*L530</f>
        <v>0</v>
      </c>
      <c r="P530" s="36"/>
      <c r="Q530" s="29" t="s">
        <v>1560</v>
      </c>
      <c r="R530" s="29"/>
      <c r="S530" s="26" t="str">
        <f>HYPERLINK("https://miland.ru/api/getInfo/image/0c00bc8e-0166-11ef-a25d-00155d82e908")</f>
        <v>https://miland.ru/api/getInfo/image/0c00bc8e-0166-11ef-a25d-00155d82e908</v>
      </c>
    </row>
    <row r="531" spans="1:19" s="2" customFormat="1" ht="96.2" customHeight="1" outlineLevel="7">
      <c r="A531" s="25">
        <v>360</v>
      </c>
      <c r="B531" s="26" t="s">
        <v>1561</v>
      </c>
      <c r="C531" s="66" t="s">
        <v>1562</v>
      </c>
      <c r="D531" s="66"/>
      <c r="E531" s="66"/>
      <c r="F531" s="66"/>
      <c r="G531" s="27" t="s">
        <v>1563</v>
      </c>
      <c r="H531" s="28" t="s">
        <v>44</v>
      </c>
      <c r="I531" s="29"/>
      <c r="J531" s="25">
        <v>1</v>
      </c>
      <c r="K531" s="30">
        <v>797.04</v>
      </c>
      <c r="L531" s="17"/>
      <c r="M531" s="29">
        <f t="shared" si="25"/>
        <v>0</v>
      </c>
      <c r="N531" s="41">
        <f>0.2*L531</f>
        <v>0</v>
      </c>
      <c r="O531" s="35">
        <f>0.0019*L531</f>
        <v>0</v>
      </c>
      <c r="P531" s="36"/>
      <c r="Q531" s="29" t="s">
        <v>1564</v>
      </c>
      <c r="R531" s="29"/>
      <c r="S531" s="26" t="str">
        <f>HYPERLINK("https://miland.ru/api/getInfo/image/7dcfac59-0166-11ef-a25d-00155d82e908")</f>
        <v>https://miland.ru/api/getInfo/image/7dcfac59-0166-11ef-a25d-00155d82e908</v>
      </c>
    </row>
    <row r="532" spans="1:19" s="2" customFormat="1" ht="96.2" customHeight="1" outlineLevel="7">
      <c r="A532" s="25">
        <v>361</v>
      </c>
      <c r="B532" s="26" t="s">
        <v>1565</v>
      </c>
      <c r="C532" s="66" t="s">
        <v>1566</v>
      </c>
      <c r="D532" s="66"/>
      <c r="E532" s="66"/>
      <c r="F532" s="66"/>
      <c r="G532" s="27" t="s">
        <v>1567</v>
      </c>
      <c r="H532" s="28" t="s">
        <v>44</v>
      </c>
      <c r="I532" s="29"/>
      <c r="J532" s="25">
        <v>1</v>
      </c>
      <c r="K532" s="30">
        <v>797.04</v>
      </c>
      <c r="L532" s="17"/>
      <c r="M532" s="29">
        <f t="shared" si="25"/>
        <v>0</v>
      </c>
      <c r="N532" s="31">
        <f>0.205*L532</f>
        <v>0</v>
      </c>
      <c r="O532" s="32">
        <f>0.00184*L532</f>
        <v>0</v>
      </c>
      <c r="P532" s="36"/>
      <c r="Q532" s="29" t="s">
        <v>1568</v>
      </c>
      <c r="R532" s="29"/>
      <c r="S532" s="26" t="str">
        <f>HYPERLINK("https://miland.ru/api/getInfo/image/9010b516-0166-11ef-a25d-00155d82e908")</f>
        <v>https://miland.ru/api/getInfo/image/9010b516-0166-11ef-a25d-00155d82e908</v>
      </c>
    </row>
    <row r="533" spans="1:19" s="2" customFormat="1" ht="96.2" customHeight="1" outlineLevel="7">
      <c r="A533" s="25">
        <v>362</v>
      </c>
      <c r="B533" s="26" t="s">
        <v>1569</v>
      </c>
      <c r="C533" s="66" t="s">
        <v>1570</v>
      </c>
      <c r="D533" s="66"/>
      <c r="E533" s="66"/>
      <c r="F533" s="66"/>
      <c r="G533" s="27" t="s">
        <v>1571</v>
      </c>
      <c r="H533" s="28" t="s">
        <v>44</v>
      </c>
      <c r="I533" s="29"/>
      <c r="J533" s="25">
        <v>1</v>
      </c>
      <c r="K533" s="30">
        <v>797.04</v>
      </c>
      <c r="L533" s="17"/>
      <c r="M533" s="29">
        <f t="shared" si="25"/>
        <v>0</v>
      </c>
      <c r="N533" s="31">
        <f>0.201*L533</f>
        <v>0</v>
      </c>
      <c r="O533" s="32">
        <f>0.00176*L533</f>
        <v>0</v>
      </c>
      <c r="P533" s="36"/>
      <c r="Q533" s="29" t="s">
        <v>1572</v>
      </c>
      <c r="R533" s="29"/>
      <c r="S533" s="26" t="str">
        <f>HYPERLINK("https://miland.ru/api/getInfo/image/4d289b51-0166-11ef-a25d-00155d82e908")</f>
        <v>https://miland.ru/api/getInfo/image/4d289b51-0166-11ef-a25d-00155d82e908</v>
      </c>
    </row>
    <row r="534" spans="1:19" s="2" customFormat="1" ht="96.2" customHeight="1" outlineLevel="7">
      <c r="A534" s="25">
        <v>363</v>
      </c>
      <c r="B534" s="26" t="s">
        <v>1573</v>
      </c>
      <c r="C534" s="66" t="s">
        <v>1574</v>
      </c>
      <c r="D534" s="66"/>
      <c r="E534" s="66"/>
      <c r="F534" s="66"/>
      <c r="G534" s="27" t="s">
        <v>1575</v>
      </c>
      <c r="H534" s="28" t="s">
        <v>44</v>
      </c>
      <c r="I534" s="29"/>
      <c r="J534" s="25">
        <v>1</v>
      </c>
      <c r="K534" s="30">
        <v>797.04</v>
      </c>
      <c r="L534" s="17"/>
      <c r="M534" s="29">
        <f t="shared" si="25"/>
        <v>0</v>
      </c>
      <c r="N534" s="31">
        <f>0.206*L534</f>
        <v>0</v>
      </c>
      <c r="O534" s="31">
        <f>0.002*L534</f>
        <v>0</v>
      </c>
      <c r="P534" s="36"/>
      <c r="Q534" s="29" t="s">
        <v>1576</v>
      </c>
      <c r="R534" s="29"/>
      <c r="S534" s="26" t="str">
        <f>HYPERLINK("https://miland.ru/api/getInfo/image/68c360e0-0166-11ef-a25d-00155d82e908")</f>
        <v>https://miland.ru/api/getInfo/image/68c360e0-0166-11ef-a25d-00155d82e908</v>
      </c>
    </row>
    <row r="535" spans="1:19" s="2" customFormat="1" ht="96.2" customHeight="1" outlineLevel="7">
      <c r="A535" s="25">
        <v>364</v>
      </c>
      <c r="B535" s="26" t="s">
        <v>1577</v>
      </c>
      <c r="C535" s="66" t="s">
        <v>1578</v>
      </c>
      <c r="D535" s="66"/>
      <c r="E535" s="66"/>
      <c r="F535" s="66"/>
      <c r="G535" s="27" t="s">
        <v>1579</v>
      </c>
      <c r="H535" s="28" t="s">
        <v>44</v>
      </c>
      <c r="I535" s="29"/>
      <c r="J535" s="25">
        <v>1</v>
      </c>
      <c r="K535" s="37">
        <v>1224.02</v>
      </c>
      <c r="L535" s="17"/>
      <c r="M535" s="29">
        <f t="shared" si="25"/>
        <v>0</v>
      </c>
      <c r="N535" s="31">
        <f>0.395*L535</f>
        <v>0</v>
      </c>
      <c r="O535" s="32">
        <f>0.00355*L535</f>
        <v>0</v>
      </c>
      <c r="P535" s="36"/>
      <c r="Q535" s="29" t="s">
        <v>1580</v>
      </c>
      <c r="R535" s="29"/>
      <c r="S535" s="26" t="str">
        <f>HYPERLINK("https://miland.ru/api/getInfo/image/9b81f9b0-0165-11ef-a25d-00155d82e908")</f>
        <v>https://miland.ru/api/getInfo/image/9b81f9b0-0165-11ef-a25d-00155d82e908</v>
      </c>
    </row>
    <row r="536" spans="1:19" s="2" customFormat="1" ht="96.2" customHeight="1" outlineLevel="7">
      <c r="A536" s="25">
        <v>365</v>
      </c>
      <c r="B536" s="26" t="s">
        <v>1581</v>
      </c>
      <c r="C536" s="66" t="s">
        <v>1582</v>
      </c>
      <c r="D536" s="66"/>
      <c r="E536" s="66"/>
      <c r="F536" s="66"/>
      <c r="G536" s="27" t="s">
        <v>1583</v>
      </c>
      <c r="H536" s="33">
        <v>272</v>
      </c>
      <c r="I536" s="29"/>
      <c r="J536" s="25">
        <v>1</v>
      </c>
      <c r="K536" s="37">
        <v>1224.02</v>
      </c>
      <c r="L536" s="17"/>
      <c r="M536" s="29">
        <f t="shared" si="25"/>
        <v>0</v>
      </c>
      <c r="N536" s="31">
        <f>0.384*L536</f>
        <v>0</v>
      </c>
      <c r="O536" s="32">
        <f>0.00337*L536</f>
        <v>0</v>
      </c>
      <c r="P536" s="36"/>
      <c r="Q536" s="29" t="s">
        <v>1584</v>
      </c>
      <c r="R536" s="29"/>
      <c r="S536" s="26" t="str">
        <f>HYPERLINK("https://miland.ru/api/getInfo/image/7664ef64-0165-11ef-a25d-00155d82e908")</f>
        <v>https://miland.ru/api/getInfo/image/7664ef64-0165-11ef-a25d-00155d82e908</v>
      </c>
    </row>
    <row r="537" spans="1:19" s="2" customFormat="1" ht="96.2" customHeight="1" outlineLevel="7">
      <c r="A537" s="25">
        <v>366</v>
      </c>
      <c r="B537" s="26" t="s">
        <v>1585</v>
      </c>
      <c r="C537" s="66" t="s">
        <v>1586</v>
      </c>
      <c r="D537" s="66"/>
      <c r="E537" s="66"/>
      <c r="F537" s="66"/>
      <c r="G537" s="27" t="s">
        <v>1587</v>
      </c>
      <c r="H537" s="33">
        <v>160</v>
      </c>
      <c r="I537" s="29"/>
      <c r="J537" s="25">
        <v>1</v>
      </c>
      <c r="K537" s="37">
        <v>1224.02</v>
      </c>
      <c r="L537" s="17"/>
      <c r="M537" s="29">
        <f t="shared" si="25"/>
        <v>0</v>
      </c>
      <c r="N537" s="31">
        <f>0.118*L537</f>
        <v>0</v>
      </c>
      <c r="O537" s="32">
        <f>0.00067*L537</f>
        <v>0</v>
      </c>
      <c r="P537" s="36"/>
      <c r="Q537" s="29" t="s">
        <v>1588</v>
      </c>
      <c r="R537" s="29"/>
      <c r="S537" s="26" t="str">
        <f>HYPERLINK("https://miland.ru/api/getInfo/image/8bb3fc72-0165-11ef-a25d-00155d82e908")</f>
        <v>https://miland.ru/api/getInfo/image/8bb3fc72-0165-11ef-a25d-00155d82e908</v>
      </c>
    </row>
    <row r="538" spans="1:19" s="2" customFormat="1" ht="96.2" customHeight="1" outlineLevel="7">
      <c r="A538" s="25">
        <v>367</v>
      </c>
      <c r="B538" s="26" t="s">
        <v>1589</v>
      </c>
      <c r="C538" s="66" t="s">
        <v>1590</v>
      </c>
      <c r="D538" s="66"/>
      <c r="E538" s="66"/>
      <c r="F538" s="66"/>
      <c r="G538" s="27" t="s">
        <v>1591</v>
      </c>
      <c r="H538" s="28" t="s">
        <v>44</v>
      </c>
      <c r="I538" s="29"/>
      <c r="J538" s="25">
        <v>1</v>
      </c>
      <c r="K538" s="37">
        <v>1224.02</v>
      </c>
      <c r="L538" s="17"/>
      <c r="M538" s="29">
        <f t="shared" si="25"/>
        <v>0</v>
      </c>
      <c r="N538" s="31">
        <f>0.393*L538</f>
        <v>0</v>
      </c>
      <c r="O538" s="32">
        <f>0.00235*L538</f>
        <v>0</v>
      </c>
      <c r="P538" s="36"/>
      <c r="Q538" s="29" t="s">
        <v>1592</v>
      </c>
      <c r="R538" s="29"/>
      <c r="S538" s="26" t="str">
        <f>HYPERLINK("https://miland.ru/api/getInfo/image/f45a5666-0164-11ef-a25d-00155d82e908")</f>
        <v>https://miland.ru/api/getInfo/image/f45a5666-0164-11ef-a25d-00155d82e908</v>
      </c>
    </row>
    <row r="539" spans="1:19" s="2" customFormat="1" ht="96.2" customHeight="1" outlineLevel="7">
      <c r="A539" s="25">
        <v>368</v>
      </c>
      <c r="B539" s="26" t="s">
        <v>1593</v>
      </c>
      <c r="C539" s="66" t="s">
        <v>1594</v>
      </c>
      <c r="D539" s="66"/>
      <c r="E539" s="66"/>
      <c r="F539" s="66"/>
      <c r="G539" s="27" t="s">
        <v>1595</v>
      </c>
      <c r="H539" s="33">
        <v>370</v>
      </c>
      <c r="I539" s="29"/>
      <c r="J539" s="25">
        <v>1</v>
      </c>
      <c r="K539" s="37">
        <v>1594.08</v>
      </c>
      <c r="L539" s="17"/>
      <c r="M539" s="29">
        <f t="shared" si="25"/>
        <v>0</v>
      </c>
      <c r="N539" s="31">
        <f>0.725*L539</f>
        <v>0</v>
      </c>
      <c r="O539" s="32">
        <f>0.00509*L539</f>
        <v>0</v>
      </c>
      <c r="P539" s="36"/>
      <c r="Q539" s="29" t="s">
        <v>1596</v>
      </c>
      <c r="R539" s="29"/>
      <c r="S539" s="26" t="str">
        <f>HYPERLINK("https://miland.ru/api/getInfo/image/d0613c1f-0165-11ef-a25d-00155d82e908")</f>
        <v>https://miland.ru/api/getInfo/image/d0613c1f-0165-11ef-a25d-00155d82e908</v>
      </c>
    </row>
    <row r="540" spans="1:19" s="2" customFormat="1" ht="96.2" customHeight="1" outlineLevel="7">
      <c r="A540" s="25">
        <v>369</v>
      </c>
      <c r="B540" s="26" t="s">
        <v>1597</v>
      </c>
      <c r="C540" s="66" t="s">
        <v>1598</v>
      </c>
      <c r="D540" s="66"/>
      <c r="E540" s="66"/>
      <c r="F540" s="66"/>
      <c r="G540" s="27" t="s">
        <v>1599</v>
      </c>
      <c r="H540" s="33">
        <v>297</v>
      </c>
      <c r="I540" s="29"/>
      <c r="J540" s="25">
        <v>1</v>
      </c>
      <c r="K540" s="37">
        <v>1594.08</v>
      </c>
      <c r="L540" s="17"/>
      <c r="M540" s="29">
        <f t="shared" si="25"/>
        <v>0</v>
      </c>
      <c r="N540" s="31">
        <f>0.723*L540</f>
        <v>0</v>
      </c>
      <c r="O540" s="32">
        <f>0.00485*L540</f>
        <v>0</v>
      </c>
      <c r="P540" s="36"/>
      <c r="Q540" s="29" t="s">
        <v>1600</v>
      </c>
      <c r="R540" s="29"/>
      <c r="S540" s="26" t="str">
        <f>HYPERLINK("https://miland.ru/api/getInfo/image/e07b5daf-0165-11ef-a25d-00155d82e908")</f>
        <v>https://miland.ru/api/getInfo/image/e07b5daf-0165-11ef-a25d-00155d82e908</v>
      </c>
    </row>
    <row r="541" spans="1:19" s="2" customFormat="1" ht="96.2" customHeight="1" outlineLevel="7">
      <c r="A541" s="25">
        <v>370</v>
      </c>
      <c r="B541" s="26" t="s">
        <v>1601</v>
      </c>
      <c r="C541" s="66" t="s">
        <v>1602</v>
      </c>
      <c r="D541" s="66"/>
      <c r="E541" s="66"/>
      <c r="F541" s="66"/>
      <c r="G541" s="27" t="s">
        <v>1603</v>
      </c>
      <c r="H541" s="33">
        <v>117</v>
      </c>
      <c r="I541" s="29"/>
      <c r="J541" s="25">
        <v>1</v>
      </c>
      <c r="K541" s="37">
        <v>1594.08</v>
      </c>
      <c r="L541" s="17"/>
      <c r="M541" s="29">
        <f t="shared" si="25"/>
        <v>0</v>
      </c>
      <c r="N541" s="34">
        <f>0.58*L541</f>
        <v>0</v>
      </c>
      <c r="O541" s="35">
        <f>0.0046*L541</f>
        <v>0</v>
      </c>
      <c r="P541" s="36"/>
      <c r="Q541" s="29" t="s">
        <v>1604</v>
      </c>
      <c r="R541" s="29"/>
      <c r="S541" s="26" t="str">
        <f>HYPERLINK("https://miland.ru/api/getInfo/image/c107eb6b-0165-11ef-a25d-00155d82e908")</f>
        <v>https://miland.ru/api/getInfo/image/c107eb6b-0165-11ef-a25d-00155d82e908</v>
      </c>
    </row>
    <row r="542" spans="1:19" s="2" customFormat="1" ht="96.2" customHeight="1" outlineLevel="7">
      <c r="A542" s="25">
        <v>371</v>
      </c>
      <c r="B542" s="26" t="s">
        <v>1605</v>
      </c>
      <c r="C542" s="66" t="s">
        <v>1606</v>
      </c>
      <c r="D542" s="66"/>
      <c r="E542" s="66"/>
      <c r="F542" s="66"/>
      <c r="G542" s="27" t="s">
        <v>1607</v>
      </c>
      <c r="H542" s="28" t="s">
        <v>44</v>
      </c>
      <c r="I542" s="29"/>
      <c r="J542" s="25">
        <v>1</v>
      </c>
      <c r="K542" s="37">
        <v>1594.08</v>
      </c>
      <c r="L542" s="17"/>
      <c r="M542" s="29">
        <f t="shared" si="25"/>
        <v>0</v>
      </c>
      <c r="N542" s="31">
        <f>0.575*L542</f>
        <v>0</v>
      </c>
      <c r="O542" s="32">
        <f>0.00527*L542</f>
        <v>0</v>
      </c>
      <c r="P542" s="36"/>
      <c r="Q542" s="29" t="s">
        <v>1608</v>
      </c>
      <c r="R542" s="29"/>
      <c r="S542" s="26" t="str">
        <f>HYPERLINK("https://miland.ru/api/getInfo/image/ac1d0165-0165-11ef-a25d-00155d82e908")</f>
        <v>https://miland.ru/api/getInfo/image/ac1d0165-0165-11ef-a25d-00155d82e908</v>
      </c>
    </row>
    <row r="543" spans="1:19" s="1" customFormat="1" ht="12" customHeight="1" outlineLevel="7">
      <c r="A543" s="64" t="s">
        <v>1376</v>
      </c>
      <c r="B543" s="64"/>
      <c r="C543" s="64"/>
      <c r="D543" s="64"/>
      <c r="E543" s="64"/>
      <c r="F543" s="64"/>
      <c r="G543" s="8"/>
      <c r="H543" s="12"/>
      <c r="I543" s="2"/>
      <c r="J543" s="2"/>
      <c r="K543" s="13"/>
      <c r="L543" s="2"/>
      <c r="M543" s="2"/>
      <c r="N543" s="2"/>
      <c r="O543" s="2"/>
      <c r="P543" s="2"/>
      <c r="Q543" s="2"/>
      <c r="R543" s="2"/>
      <c r="S543" s="2"/>
    </row>
    <row r="544" spans="1:19" s="2" customFormat="1" ht="96.2" customHeight="1" outlineLevel="7">
      <c r="A544" s="25">
        <v>372</v>
      </c>
      <c r="B544" s="26" t="s">
        <v>1609</v>
      </c>
      <c r="C544" s="66" t="s">
        <v>1610</v>
      </c>
      <c r="D544" s="66"/>
      <c r="E544" s="66"/>
      <c r="F544" s="66"/>
      <c r="G544" s="27" t="s">
        <v>1611</v>
      </c>
      <c r="H544" s="28" t="s">
        <v>44</v>
      </c>
      <c r="I544" s="29"/>
      <c r="J544" s="25">
        <v>2</v>
      </c>
      <c r="K544" s="30">
        <v>330.2</v>
      </c>
      <c r="L544" s="17"/>
      <c r="M544" s="29">
        <f t="shared" ref="M544:M552" si="26">K544*L544</f>
        <v>0</v>
      </c>
      <c r="N544" s="31">
        <f>0.057*L544</f>
        <v>0</v>
      </c>
      <c r="O544" s="32">
        <f>0.00024*L544</f>
        <v>0</v>
      </c>
      <c r="P544" s="36"/>
      <c r="Q544" s="29" t="s">
        <v>1612</v>
      </c>
      <c r="R544" s="29"/>
      <c r="S544" s="26" t="str">
        <f>HYPERLINK("https://miland.ru/api/getInfo/image/edf5c416-eb6b-11ee-a25b-00155d82e908")</f>
        <v>https://miland.ru/api/getInfo/image/edf5c416-eb6b-11ee-a25b-00155d82e908</v>
      </c>
    </row>
    <row r="545" spans="1:19" s="2" customFormat="1" ht="96.2" customHeight="1" outlineLevel="7">
      <c r="A545" s="25">
        <v>373</v>
      </c>
      <c r="B545" s="26" t="s">
        <v>1613</v>
      </c>
      <c r="C545" s="66" t="s">
        <v>1614</v>
      </c>
      <c r="D545" s="66"/>
      <c r="E545" s="66"/>
      <c r="F545" s="66"/>
      <c r="G545" s="27" t="s">
        <v>1615</v>
      </c>
      <c r="H545" s="28" t="s">
        <v>44</v>
      </c>
      <c r="I545" s="29"/>
      <c r="J545" s="25">
        <v>2</v>
      </c>
      <c r="K545" s="30">
        <v>330.2</v>
      </c>
      <c r="L545" s="17"/>
      <c r="M545" s="29">
        <f t="shared" si="26"/>
        <v>0</v>
      </c>
      <c r="N545" s="31">
        <f>0.147*L545</f>
        <v>0</v>
      </c>
      <c r="O545" s="32">
        <f>0.00026*L545</f>
        <v>0</v>
      </c>
      <c r="P545" s="36"/>
      <c r="Q545" s="29" t="s">
        <v>1616</v>
      </c>
      <c r="R545" s="29"/>
      <c r="S545" s="26" t="str">
        <f>HYPERLINK("https://miland.ru/api/getInfo/image/b6016535-eb6b-11ee-a25b-00155d82e908")</f>
        <v>https://miland.ru/api/getInfo/image/b6016535-eb6b-11ee-a25b-00155d82e908</v>
      </c>
    </row>
    <row r="546" spans="1:19" s="2" customFormat="1" ht="96.2" customHeight="1" outlineLevel="7">
      <c r="A546" s="25">
        <v>374</v>
      </c>
      <c r="B546" s="26" t="s">
        <v>1617</v>
      </c>
      <c r="C546" s="66" t="s">
        <v>1618</v>
      </c>
      <c r="D546" s="66"/>
      <c r="E546" s="66"/>
      <c r="F546" s="66"/>
      <c r="G546" s="27" t="s">
        <v>1619</v>
      </c>
      <c r="H546" s="28" t="s">
        <v>44</v>
      </c>
      <c r="I546" s="29"/>
      <c r="J546" s="25">
        <v>2</v>
      </c>
      <c r="K546" s="30">
        <v>330.2</v>
      </c>
      <c r="L546" s="17"/>
      <c r="M546" s="29">
        <f t="shared" si="26"/>
        <v>0</v>
      </c>
      <c r="N546" s="31">
        <f>6.153*L546</f>
        <v>0</v>
      </c>
      <c r="O546" s="32">
        <f>0.02954*L546</f>
        <v>0</v>
      </c>
      <c r="P546" s="36"/>
      <c r="Q546" s="29" t="s">
        <v>1620</v>
      </c>
      <c r="R546" s="29"/>
      <c r="S546" s="26" t="str">
        <f>HYPERLINK("https://miland.ru/api/getInfo/image/d6c2af2c-eb6b-11ee-a25b-00155d82e908")</f>
        <v>https://miland.ru/api/getInfo/image/d6c2af2c-eb6b-11ee-a25b-00155d82e908</v>
      </c>
    </row>
    <row r="547" spans="1:19" s="2" customFormat="1" ht="96.2" customHeight="1" outlineLevel="7">
      <c r="A547" s="25">
        <v>375</v>
      </c>
      <c r="B547" s="26" t="s">
        <v>1621</v>
      </c>
      <c r="C547" s="66" t="s">
        <v>1622</v>
      </c>
      <c r="D547" s="66"/>
      <c r="E547" s="66"/>
      <c r="F547" s="66"/>
      <c r="G547" s="27" t="s">
        <v>1623</v>
      </c>
      <c r="H547" s="33">
        <v>19</v>
      </c>
      <c r="I547" s="29"/>
      <c r="J547" s="25">
        <v>1</v>
      </c>
      <c r="K547" s="37">
        <v>1197.27</v>
      </c>
      <c r="L547" s="17"/>
      <c r="M547" s="29">
        <f t="shared" si="26"/>
        <v>0</v>
      </c>
      <c r="N547" s="34">
        <f>0.24*L547</f>
        <v>0</v>
      </c>
      <c r="O547" s="32">
        <f>0.00072*L547</f>
        <v>0</v>
      </c>
      <c r="P547" s="36"/>
      <c r="Q547" s="29" t="s">
        <v>1624</v>
      </c>
      <c r="R547" s="29"/>
      <c r="S547" s="26" t="str">
        <f>HYPERLINK("https://miland.ru/api/getInfo/image/f53cb85f-eb6c-11ee-a25b-00155d82e908")</f>
        <v>https://miland.ru/api/getInfo/image/f53cb85f-eb6c-11ee-a25b-00155d82e908</v>
      </c>
    </row>
    <row r="548" spans="1:19" s="2" customFormat="1" ht="96.2" customHeight="1" outlineLevel="7">
      <c r="A548" s="25">
        <v>376</v>
      </c>
      <c r="B548" s="26" t="s">
        <v>1625</v>
      </c>
      <c r="C548" s="66" t="s">
        <v>1626</v>
      </c>
      <c r="D548" s="66"/>
      <c r="E548" s="66"/>
      <c r="F548" s="66"/>
      <c r="G548" s="27" t="s">
        <v>1627</v>
      </c>
      <c r="H548" s="33">
        <v>5</v>
      </c>
      <c r="I548" s="29"/>
      <c r="J548" s="25">
        <v>1</v>
      </c>
      <c r="K548" s="37">
        <v>1197.27</v>
      </c>
      <c r="L548" s="17"/>
      <c r="M548" s="29">
        <f t="shared" si="26"/>
        <v>0</v>
      </c>
      <c r="N548" s="34">
        <f>0.22*L548</f>
        <v>0</v>
      </c>
      <c r="O548" s="32">
        <f>0.00079*L548</f>
        <v>0</v>
      </c>
      <c r="P548" s="36"/>
      <c r="Q548" s="29" t="s">
        <v>1628</v>
      </c>
      <c r="R548" s="29"/>
      <c r="S548" s="26" t="str">
        <f>HYPERLINK("https://miland.ru/api/getInfo/image/03ccc0dd-eb6c-11ee-a25b-00155d82e908")</f>
        <v>https://miland.ru/api/getInfo/image/03ccc0dd-eb6c-11ee-a25b-00155d82e908</v>
      </c>
    </row>
    <row r="549" spans="1:19" s="2" customFormat="1" ht="96.2" customHeight="1" outlineLevel="7">
      <c r="A549" s="25">
        <v>377</v>
      </c>
      <c r="B549" s="26" t="s">
        <v>1629</v>
      </c>
      <c r="C549" s="66" t="s">
        <v>1630</v>
      </c>
      <c r="D549" s="66"/>
      <c r="E549" s="66"/>
      <c r="F549" s="66"/>
      <c r="G549" s="27" t="s">
        <v>1631</v>
      </c>
      <c r="H549" s="28" t="s">
        <v>44</v>
      </c>
      <c r="I549" s="29"/>
      <c r="J549" s="25">
        <v>1</v>
      </c>
      <c r="K549" s="37">
        <v>1197.27</v>
      </c>
      <c r="L549" s="17"/>
      <c r="M549" s="29">
        <f t="shared" si="26"/>
        <v>0</v>
      </c>
      <c r="N549" s="34">
        <f>0.22*L549</f>
        <v>0</v>
      </c>
      <c r="O549" s="35">
        <f>0.0007*L549</f>
        <v>0</v>
      </c>
      <c r="P549" s="36"/>
      <c r="Q549" s="29" t="s">
        <v>1632</v>
      </c>
      <c r="R549" s="29"/>
      <c r="S549" s="26" t="str">
        <f>HYPERLINK("https://miland.ru/api/getInfo/image/167456c3-eb6c-11ee-a25b-00155d82e908")</f>
        <v>https://miland.ru/api/getInfo/image/167456c3-eb6c-11ee-a25b-00155d82e908</v>
      </c>
    </row>
    <row r="550" spans="1:19" s="2" customFormat="1" ht="96.2" customHeight="1" outlineLevel="7">
      <c r="A550" s="25">
        <v>378</v>
      </c>
      <c r="B550" s="26" t="s">
        <v>1633</v>
      </c>
      <c r="C550" s="66" t="s">
        <v>1634</v>
      </c>
      <c r="D550" s="66"/>
      <c r="E550" s="66"/>
      <c r="F550" s="66"/>
      <c r="G550" s="27" t="s">
        <v>1635</v>
      </c>
      <c r="H550" s="28" t="s">
        <v>44</v>
      </c>
      <c r="I550" s="29"/>
      <c r="J550" s="25">
        <v>1</v>
      </c>
      <c r="K550" s="37">
        <v>1878.73</v>
      </c>
      <c r="L550" s="17"/>
      <c r="M550" s="29">
        <f t="shared" si="26"/>
        <v>0</v>
      </c>
      <c r="N550" s="34">
        <f>26.35*L550</f>
        <v>0</v>
      </c>
      <c r="O550" s="32">
        <f>0.08748*L550</f>
        <v>0</v>
      </c>
      <c r="P550" s="36"/>
      <c r="Q550" s="29" t="s">
        <v>1636</v>
      </c>
      <c r="R550" s="29"/>
      <c r="S550" s="26" t="str">
        <f>HYPERLINK("https://miland.ru/api/getInfo/image/1123bd23-eb6d-11ee-a25b-00155d82e908")</f>
        <v>https://miland.ru/api/getInfo/image/1123bd23-eb6d-11ee-a25b-00155d82e908</v>
      </c>
    </row>
    <row r="551" spans="1:19" s="2" customFormat="1" ht="96.2" customHeight="1" outlineLevel="7">
      <c r="A551" s="25">
        <v>379</v>
      </c>
      <c r="B551" s="26" t="s">
        <v>1637</v>
      </c>
      <c r="C551" s="66" t="s">
        <v>1638</v>
      </c>
      <c r="D551" s="66"/>
      <c r="E551" s="66"/>
      <c r="F551" s="66"/>
      <c r="G551" s="27" t="s">
        <v>1639</v>
      </c>
      <c r="H551" s="28" t="s">
        <v>44</v>
      </c>
      <c r="I551" s="29"/>
      <c r="J551" s="25">
        <v>1</v>
      </c>
      <c r="K551" s="37">
        <v>1878.73</v>
      </c>
      <c r="L551" s="17"/>
      <c r="M551" s="29">
        <f t="shared" si="26"/>
        <v>0</v>
      </c>
      <c r="N551" s="41">
        <f>0.3*L551</f>
        <v>0</v>
      </c>
      <c r="O551" s="32">
        <f>0.00076*L551</f>
        <v>0</v>
      </c>
      <c r="P551" s="36"/>
      <c r="Q551" s="29" t="s">
        <v>1640</v>
      </c>
      <c r="R551" s="29"/>
      <c r="S551" s="26" t="str">
        <f>HYPERLINK("https://miland.ru/api/getInfo/image/3b948911-eb6d-11ee-a25b-00155d82e908")</f>
        <v>https://miland.ru/api/getInfo/image/3b948911-eb6d-11ee-a25b-00155d82e908</v>
      </c>
    </row>
    <row r="552" spans="1:19" s="2" customFormat="1" ht="96.2" customHeight="1" outlineLevel="7">
      <c r="A552" s="25">
        <v>380</v>
      </c>
      <c r="B552" s="26" t="s">
        <v>1641</v>
      </c>
      <c r="C552" s="66" t="s">
        <v>1642</v>
      </c>
      <c r="D552" s="66"/>
      <c r="E552" s="66"/>
      <c r="F552" s="66"/>
      <c r="G552" s="27" t="s">
        <v>1643</v>
      </c>
      <c r="H552" s="28" t="s">
        <v>44</v>
      </c>
      <c r="I552" s="29"/>
      <c r="J552" s="25">
        <v>1</v>
      </c>
      <c r="K552" s="37">
        <v>1878.73</v>
      </c>
      <c r="L552" s="17"/>
      <c r="M552" s="29">
        <f t="shared" si="26"/>
        <v>0</v>
      </c>
      <c r="N552" s="41">
        <f>0.3*L552</f>
        <v>0</v>
      </c>
      <c r="O552" s="32">
        <f>0.00023*L552</f>
        <v>0</v>
      </c>
      <c r="P552" s="36"/>
      <c r="Q552" s="29" t="s">
        <v>1644</v>
      </c>
      <c r="R552" s="29"/>
      <c r="S552" s="26" t="str">
        <f>HYPERLINK("https://miland.ru/api/getInfo/image/23ac49ec-eb6d-11ee-a25b-00155d82e908")</f>
        <v>https://miland.ru/api/getInfo/image/23ac49ec-eb6d-11ee-a25b-00155d82e908</v>
      </c>
    </row>
    <row r="553" spans="1:19" s="1" customFormat="1" ht="12" customHeight="1" outlineLevel="5">
      <c r="A553" s="64" t="s">
        <v>1645</v>
      </c>
      <c r="B553" s="64"/>
      <c r="C553" s="64"/>
      <c r="D553" s="64"/>
      <c r="E553" s="64"/>
      <c r="F553" s="64"/>
      <c r="G553" s="8"/>
      <c r="H553" s="12"/>
      <c r="I553" s="2"/>
      <c r="J553" s="2"/>
      <c r="K553" s="13"/>
      <c r="L553" s="2"/>
      <c r="M553" s="2"/>
      <c r="N553" s="2"/>
      <c r="O553" s="2"/>
      <c r="P553" s="2"/>
      <c r="Q553" s="2"/>
      <c r="R553" s="2"/>
      <c r="S553" s="2"/>
    </row>
    <row r="554" spans="1:19" s="1" customFormat="1" ht="12" customHeight="1" outlineLevel="6">
      <c r="A554" s="64" t="s">
        <v>1646</v>
      </c>
      <c r="B554" s="64"/>
      <c r="C554" s="64"/>
      <c r="D554" s="64"/>
      <c r="E554" s="64"/>
      <c r="F554" s="64"/>
      <c r="G554" s="8"/>
      <c r="H554" s="12"/>
      <c r="I554" s="2"/>
      <c r="J554" s="2"/>
      <c r="K554" s="13"/>
      <c r="L554" s="2"/>
      <c r="M554" s="2"/>
      <c r="N554" s="2"/>
      <c r="O554" s="2"/>
      <c r="P554" s="2"/>
      <c r="Q554" s="2"/>
      <c r="R554" s="2"/>
      <c r="S554" s="2"/>
    </row>
    <row r="555" spans="1:19" s="2" customFormat="1" ht="96.2" customHeight="1" outlineLevel="7">
      <c r="A555" s="25">
        <v>381</v>
      </c>
      <c r="B555" s="26" t="s">
        <v>1647</v>
      </c>
      <c r="C555" s="66" t="s">
        <v>1648</v>
      </c>
      <c r="D555" s="66"/>
      <c r="E555" s="66"/>
      <c r="F555" s="66"/>
      <c r="G555" s="27" t="s">
        <v>1649</v>
      </c>
      <c r="H555" s="33">
        <v>2</v>
      </c>
      <c r="I555" s="29"/>
      <c r="J555" s="25">
        <v>1</v>
      </c>
      <c r="K555" s="30">
        <v>885.38</v>
      </c>
      <c r="L555" s="17"/>
      <c r="M555" s="29">
        <f>K555*L555</f>
        <v>0</v>
      </c>
      <c r="N555" s="31">
        <f>0.182*L555</f>
        <v>0</v>
      </c>
      <c r="O555" s="32">
        <f>0.00076*L555</f>
        <v>0</v>
      </c>
      <c r="P555" s="36"/>
      <c r="Q555" s="29" t="s">
        <v>1650</v>
      </c>
      <c r="R555" s="29" t="s">
        <v>611</v>
      </c>
      <c r="S555" s="26" t="str">
        <f>HYPERLINK("https://miland.ru/api/getInfo/image/29c89028-93b8-11ec-a211-ac1f6b442185")</f>
        <v>https://miland.ru/api/getInfo/image/29c89028-93b8-11ec-a211-ac1f6b442185</v>
      </c>
    </row>
    <row r="556" spans="1:19" s="2" customFormat="1" ht="96.2" customHeight="1" outlineLevel="7">
      <c r="A556" s="25">
        <v>382</v>
      </c>
      <c r="B556" s="26" t="s">
        <v>1651</v>
      </c>
      <c r="C556" s="66" t="s">
        <v>1652</v>
      </c>
      <c r="D556" s="66"/>
      <c r="E556" s="66"/>
      <c r="F556" s="66"/>
      <c r="G556" s="27" t="s">
        <v>1653</v>
      </c>
      <c r="H556" s="33">
        <v>19</v>
      </c>
      <c r="I556" s="29"/>
      <c r="J556" s="25">
        <v>2</v>
      </c>
      <c r="K556" s="30">
        <v>359.18</v>
      </c>
      <c r="L556" s="17"/>
      <c r="M556" s="29">
        <f>K556*L556</f>
        <v>0</v>
      </c>
      <c r="N556" s="31">
        <f>0.158*L556</f>
        <v>0</v>
      </c>
      <c r="O556" s="32">
        <f>0.00071*L556</f>
        <v>0</v>
      </c>
      <c r="P556" s="36"/>
      <c r="Q556" s="29" t="s">
        <v>1654</v>
      </c>
      <c r="R556" s="29" t="s">
        <v>611</v>
      </c>
      <c r="S556" s="26" t="str">
        <f>HYPERLINK("https://miland.ru/api/getInfo/image/d0eb06e7-04fa-11ee-a23b-00155d82e902")</f>
        <v>https://miland.ru/api/getInfo/image/d0eb06e7-04fa-11ee-a23b-00155d82e902</v>
      </c>
    </row>
    <row r="557" spans="1:19" s="2" customFormat="1" ht="96.2" customHeight="1" outlineLevel="7">
      <c r="A557" s="25">
        <v>383</v>
      </c>
      <c r="B557" s="26" t="s">
        <v>1655</v>
      </c>
      <c r="C557" s="66" t="s">
        <v>1656</v>
      </c>
      <c r="D557" s="66"/>
      <c r="E557" s="66"/>
      <c r="F557" s="66"/>
      <c r="G557" s="27" t="s">
        <v>1657</v>
      </c>
      <c r="H557" s="33">
        <v>3</v>
      </c>
      <c r="I557" s="29"/>
      <c r="J557" s="25">
        <v>1</v>
      </c>
      <c r="K557" s="30">
        <v>675.23</v>
      </c>
      <c r="L557" s="17"/>
      <c r="M557" s="29">
        <f>K557*L557</f>
        <v>0</v>
      </c>
      <c r="N557" s="31">
        <f>0.286*L557</f>
        <v>0</v>
      </c>
      <c r="O557" s="32">
        <f>0.00117*L557</f>
        <v>0</v>
      </c>
      <c r="P557" s="36"/>
      <c r="Q557" s="29" t="s">
        <v>1658</v>
      </c>
      <c r="R557" s="29" t="s">
        <v>611</v>
      </c>
      <c r="S557" s="26" t="str">
        <f>HYPERLINK("https://miland.ru/api/getInfo/image/a3b84f6d-0135-11ee-a23a-00155d82e902")</f>
        <v>https://miland.ru/api/getInfo/image/a3b84f6d-0135-11ee-a23a-00155d82e902</v>
      </c>
    </row>
    <row r="558" spans="1:19" s="2" customFormat="1" ht="96.2" customHeight="1" outlineLevel="7">
      <c r="A558" s="25">
        <v>384</v>
      </c>
      <c r="B558" s="26" t="s">
        <v>1659</v>
      </c>
      <c r="C558" s="66" t="s">
        <v>1660</v>
      </c>
      <c r="D558" s="66"/>
      <c r="E558" s="66"/>
      <c r="F558" s="66"/>
      <c r="G558" s="27" t="s">
        <v>1661</v>
      </c>
      <c r="H558" s="33">
        <v>2</v>
      </c>
      <c r="I558" s="29"/>
      <c r="J558" s="25">
        <v>1</v>
      </c>
      <c r="K558" s="37">
        <v>1840.82</v>
      </c>
      <c r="L558" s="17"/>
      <c r="M558" s="29">
        <f>K558*L558</f>
        <v>0</v>
      </c>
      <c r="N558" s="31">
        <f>0.534*L558</f>
        <v>0</v>
      </c>
      <c r="O558" s="35">
        <f>0.0023*L558</f>
        <v>0</v>
      </c>
      <c r="P558" s="36"/>
      <c r="Q558" s="29" t="s">
        <v>1662</v>
      </c>
      <c r="R558" s="29" t="s">
        <v>611</v>
      </c>
      <c r="S558" s="26" t="str">
        <f>HYPERLINK("https://miland.ru/api/getInfo/image/f12abd7f-9e8f-11eb-a201-ac1f6b442185")</f>
        <v>https://miland.ru/api/getInfo/image/f12abd7f-9e8f-11eb-a201-ac1f6b442185</v>
      </c>
    </row>
    <row r="559" spans="1:19" s="1" customFormat="1" ht="12" customHeight="1" outlineLevel="6">
      <c r="A559" s="64" t="s">
        <v>1663</v>
      </c>
      <c r="B559" s="64"/>
      <c r="C559" s="64"/>
      <c r="D559" s="64"/>
      <c r="E559" s="64"/>
      <c r="F559" s="64"/>
      <c r="G559" s="8"/>
      <c r="H559" s="12"/>
      <c r="I559" s="2"/>
      <c r="J559" s="2"/>
      <c r="K559" s="13"/>
      <c r="L559" s="2"/>
      <c r="M559" s="2"/>
      <c r="N559" s="2"/>
      <c r="O559" s="2"/>
      <c r="P559" s="2"/>
      <c r="Q559" s="2"/>
      <c r="R559" s="2"/>
      <c r="S559" s="2"/>
    </row>
    <row r="560" spans="1:19" s="2" customFormat="1" ht="96.2" customHeight="1" outlineLevel="7">
      <c r="A560" s="25">
        <v>385</v>
      </c>
      <c r="B560" s="26" t="s">
        <v>1664</v>
      </c>
      <c r="C560" s="66" t="s">
        <v>1665</v>
      </c>
      <c r="D560" s="66"/>
      <c r="E560" s="66"/>
      <c r="F560" s="66"/>
      <c r="G560" s="27" t="s">
        <v>1666</v>
      </c>
      <c r="H560" s="33">
        <v>2</v>
      </c>
      <c r="I560" s="29"/>
      <c r="J560" s="25">
        <v>1</v>
      </c>
      <c r="K560" s="37">
        <v>1275.1199999999999</v>
      </c>
      <c r="L560" s="17"/>
      <c r="M560" s="29">
        <f>K560*L560</f>
        <v>0</v>
      </c>
      <c r="N560" s="34">
        <f>0.29*L560</f>
        <v>0</v>
      </c>
      <c r="O560" s="32">
        <f>0.00103*L560</f>
        <v>0</v>
      </c>
      <c r="P560" s="36"/>
      <c r="Q560" s="29" t="s">
        <v>1667</v>
      </c>
      <c r="R560" s="29" t="s">
        <v>611</v>
      </c>
      <c r="S560" s="26" t="str">
        <f>HYPERLINK("https://miland.ru/api/getInfo/image/1aec7aa6-9e77-11eb-a201-ac1f6b442185")</f>
        <v>https://miland.ru/api/getInfo/image/1aec7aa6-9e77-11eb-a201-ac1f6b442185</v>
      </c>
    </row>
    <row r="561" spans="1:19" s="2" customFormat="1" ht="96.2" customHeight="1" outlineLevel="7">
      <c r="A561" s="25">
        <v>386</v>
      </c>
      <c r="B561" s="26" t="s">
        <v>1668</v>
      </c>
      <c r="C561" s="66" t="s">
        <v>1669</v>
      </c>
      <c r="D561" s="66"/>
      <c r="E561" s="66"/>
      <c r="F561" s="66"/>
      <c r="G561" s="27" t="s">
        <v>1670</v>
      </c>
      <c r="H561" s="28" t="s">
        <v>44</v>
      </c>
      <c r="I561" s="29"/>
      <c r="J561" s="25">
        <v>1</v>
      </c>
      <c r="K561" s="30">
        <v>718.12</v>
      </c>
      <c r="L561" s="17"/>
      <c r="M561" s="29">
        <f>K561*L561</f>
        <v>0</v>
      </c>
      <c r="N561" s="34">
        <f>0.29*L561</f>
        <v>0</v>
      </c>
      <c r="O561" s="32">
        <f>0.00088*L561</f>
        <v>0</v>
      </c>
      <c r="P561" s="36"/>
      <c r="Q561" s="29" t="s">
        <v>1671</v>
      </c>
      <c r="R561" s="29" t="s">
        <v>611</v>
      </c>
      <c r="S561" s="26" t="str">
        <f>HYPERLINK("https://miland.ru/api/getInfo/image/8438f4d4-fab0-11eb-a20e-ac1f6b442185")</f>
        <v>https://miland.ru/api/getInfo/image/8438f4d4-fab0-11eb-a20e-ac1f6b442185</v>
      </c>
    </row>
    <row r="562" spans="1:19" s="2" customFormat="1" ht="96.2" customHeight="1" outlineLevel="7">
      <c r="A562" s="25">
        <v>387</v>
      </c>
      <c r="B562" s="26" t="s">
        <v>1672</v>
      </c>
      <c r="C562" s="66" t="s">
        <v>1673</v>
      </c>
      <c r="D562" s="66"/>
      <c r="E562" s="66"/>
      <c r="F562" s="66"/>
      <c r="G562" s="27" t="s">
        <v>1674</v>
      </c>
      <c r="H562" s="33">
        <v>7</v>
      </c>
      <c r="I562" s="29"/>
      <c r="J562" s="25">
        <v>1</v>
      </c>
      <c r="K562" s="30">
        <v>718.12</v>
      </c>
      <c r="L562" s="17"/>
      <c r="M562" s="29">
        <f>K562*L562</f>
        <v>0</v>
      </c>
      <c r="N562" s="34">
        <f>0.29*L562</f>
        <v>0</v>
      </c>
      <c r="O562" s="32">
        <f>0.00088*L562</f>
        <v>0</v>
      </c>
      <c r="P562" s="36"/>
      <c r="Q562" s="29" t="s">
        <v>1675</v>
      </c>
      <c r="R562" s="29" t="s">
        <v>611</v>
      </c>
      <c r="S562" s="26" t="str">
        <f>HYPERLINK("https://miland.ru/api/getInfo/image/52f81fef-fab0-11eb-a20e-ac1f6b442185")</f>
        <v>https://miland.ru/api/getInfo/image/52f81fef-fab0-11eb-a20e-ac1f6b442185</v>
      </c>
    </row>
    <row r="563" spans="1:19" s="1" customFormat="1" ht="12" customHeight="1" outlineLevel="6">
      <c r="A563" s="64" t="s">
        <v>1676</v>
      </c>
      <c r="B563" s="64"/>
      <c r="C563" s="64"/>
      <c r="D563" s="64"/>
      <c r="E563" s="64"/>
      <c r="F563" s="64"/>
      <c r="G563" s="8"/>
      <c r="H563" s="12"/>
      <c r="I563" s="2"/>
      <c r="J563" s="2"/>
      <c r="K563" s="13"/>
      <c r="L563" s="2"/>
      <c r="M563" s="2"/>
      <c r="N563" s="2"/>
      <c r="O563" s="2"/>
      <c r="P563" s="2"/>
      <c r="Q563" s="2"/>
      <c r="R563" s="2"/>
      <c r="S563" s="2"/>
    </row>
    <row r="564" spans="1:19" s="2" customFormat="1" ht="96.2" customHeight="1" outlineLevel="7">
      <c r="A564" s="25">
        <v>388</v>
      </c>
      <c r="B564" s="26" t="s">
        <v>1677</v>
      </c>
      <c r="C564" s="66" t="s">
        <v>1678</v>
      </c>
      <c r="D564" s="66"/>
      <c r="E564" s="66"/>
      <c r="F564" s="66"/>
      <c r="G564" s="27" t="s">
        <v>1679</v>
      </c>
      <c r="H564" s="33">
        <v>4</v>
      </c>
      <c r="I564" s="29"/>
      <c r="J564" s="25">
        <v>1</v>
      </c>
      <c r="K564" s="30">
        <v>542.33000000000004</v>
      </c>
      <c r="L564" s="17"/>
      <c r="M564" s="29">
        <f>K564*L564</f>
        <v>0</v>
      </c>
      <c r="N564" s="31">
        <f>0.181*L564</f>
        <v>0</v>
      </c>
      <c r="O564" s="35">
        <f>0.0009*L564</f>
        <v>0</v>
      </c>
      <c r="P564" s="36"/>
      <c r="Q564" s="29" t="s">
        <v>1680</v>
      </c>
      <c r="R564" s="29" t="s">
        <v>611</v>
      </c>
      <c r="S564" s="26" t="str">
        <f>HYPERLINK("https://miland.ru/api/getInfo/image/b003203d-93bf-11ec-a211-ac1f6b442185")</f>
        <v>https://miland.ru/api/getInfo/image/b003203d-93bf-11ec-a211-ac1f6b442185</v>
      </c>
    </row>
    <row r="565" spans="1:19" s="1" customFormat="1" ht="12" customHeight="1" outlineLevel="6">
      <c r="A565" s="64" t="s">
        <v>1681</v>
      </c>
      <c r="B565" s="64"/>
      <c r="C565" s="64"/>
      <c r="D565" s="64"/>
      <c r="E565" s="64"/>
      <c r="F565" s="64"/>
      <c r="G565" s="8"/>
      <c r="H565" s="12"/>
      <c r="I565" s="2"/>
      <c r="J565" s="2"/>
      <c r="K565" s="13"/>
      <c r="L565" s="2"/>
      <c r="M565" s="2"/>
      <c r="N565" s="2"/>
      <c r="O565" s="2"/>
      <c r="P565" s="2"/>
      <c r="Q565" s="2"/>
      <c r="R565" s="2"/>
      <c r="S565" s="2"/>
    </row>
    <row r="566" spans="1:19" s="2" customFormat="1" ht="96.2" customHeight="1" outlineLevel="7">
      <c r="A566" s="38">
        <v>389</v>
      </c>
      <c r="B566" s="39" t="s">
        <v>1682</v>
      </c>
      <c r="C566" s="67" t="s">
        <v>1683</v>
      </c>
      <c r="D566" s="67"/>
      <c r="E566" s="67"/>
      <c r="F566" s="67"/>
      <c r="G566" s="40" t="s">
        <v>1684</v>
      </c>
      <c r="H566" s="42">
        <v>1</v>
      </c>
      <c r="I566" s="43"/>
      <c r="J566" s="38">
        <v>1</v>
      </c>
      <c r="K566" s="44">
        <v>113.38</v>
      </c>
      <c r="L566" s="17"/>
      <c r="M566" s="43">
        <f>K566*L566</f>
        <v>0</v>
      </c>
      <c r="N566" s="45">
        <f>0.16*L566</f>
        <v>0</v>
      </c>
      <c r="O566" s="46">
        <f>0.00058*L566</f>
        <v>0</v>
      </c>
      <c r="P566" s="49"/>
      <c r="Q566" s="43" t="s">
        <v>1685</v>
      </c>
      <c r="R566" s="43" t="s">
        <v>611</v>
      </c>
      <c r="S566" s="39" t="str">
        <f>HYPERLINK("https://miland.ru/api/getInfo/image/90a66769-fab2-11eb-a20e-ac1f6b442185")</f>
        <v>https://miland.ru/api/getInfo/image/90a66769-fab2-11eb-a20e-ac1f6b442185</v>
      </c>
    </row>
    <row r="567" spans="1:19" s="2" customFormat="1" ht="96.2" customHeight="1" outlineLevel="7">
      <c r="A567" s="25">
        <v>390</v>
      </c>
      <c r="B567" s="26" t="s">
        <v>1686</v>
      </c>
      <c r="C567" s="66" t="s">
        <v>1687</v>
      </c>
      <c r="D567" s="66"/>
      <c r="E567" s="66"/>
      <c r="F567" s="66"/>
      <c r="G567" s="27" t="s">
        <v>1688</v>
      </c>
      <c r="H567" s="33">
        <v>5</v>
      </c>
      <c r="I567" s="29"/>
      <c r="J567" s="25">
        <v>3</v>
      </c>
      <c r="K567" s="30">
        <v>187.55</v>
      </c>
      <c r="L567" s="17"/>
      <c r="M567" s="29">
        <f>K567*L567</f>
        <v>0</v>
      </c>
      <c r="N567" s="31">
        <f>0.122*L567</f>
        <v>0</v>
      </c>
      <c r="O567" s="32">
        <f>0.00062*L567</f>
        <v>0</v>
      </c>
      <c r="P567" s="36"/>
      <c r="Q567" s="29" t="s">
        <v>1689</v>
      </c>
      <c r="R567" s="29" t="s">
        <v>611</v>
      </c>
      <c r="S567" s="26" t="str">
        <f>HYPERLINK("https://miland.ru/api/getInfo/image/ac26bdac-011b-11ed-a213-ac1f6b442185")</f>
        <v>https://miland.ru/api/getInfo/image/ac26bdac-011b-11ed-a213-ac1f6b442185</v>
      </c>
    </row>
    <row r="568" spans="1:19" s="1" customFormat="1" ht="12" customHeight="1" outlineLevel="6">
      <c r="A568" s="64" t="s">
        <v>1690</v>
      </c>
      <c r="B568" s="64"/>
      <c r="C568" s="64"/>
      <c r="D568" s="64"/>
      <c r="E568" s="64"/>
      <c r="F568" s="64"/>
      <c r="G568" s="8"/>
      <c r="H568" s="12"/>
      <c r="I568" s="2"/>
      <c r="J568" s="2"/>
      <c r="K568" s="13"/>
      <c r="L568" s="2"/>
      <c r="M568" s="2"/>
      <c r="N568" s="2"/>
      <c r="O568" s="2"/>
      <c r="P568" s="2"/>
      <c r="Q568" s="2"/>
      <c r="R568" s="2"/>
      <c r="S568" s="2"/>
    </row>
    <row r="569" spans="1:19" s="2" customFormat="1" ht="96.2" customHeight="1" outlineLevel="7">
      <c r="A569" s="25">
        <v>391</v>
      </c>
      <c r="B569" s="26" t="s">
        <v>1691</v>
      </c>
      <c r="C569" s="66" t="s">
        <v>1692</v>
      </c>
      <c r="D569" s="66"/>
      <c r="E569" s="66"/>
      <c r="F569" s="66"/>
      <c r="G569" s="27" t="s">
        <v>1693</v>
      </c>
      <c r="H569" s="33">
        <v>4</v>
      </c>
      <c r="I569" s="29"/>
      <c r="J569" s="25">
        <v>2</v>
      </c>
      <c r="K569" s="30">
        <v>360.8</v>
      </c>
      <c r="L569" s="17"/>
      <c r="M569" s="29">
        <f>K569*L569</f>
        <v>0</v>
      </c>
      <c r="N569" s="34">
        <f>0.15*L569</f>
        <v>0</v>
      </c>
      <c r="O569" s="32">
        <f>0.00176*L569</f>
        <v>0</v>
      </c>
      <c r="P569" s="36"/>
      <c r="Q569" s="29" t="s">
        <v>1694</v>
      </c>
      <c r="R569" s="29" t="s">
        <v>611</v>
      </c>
      <c r="S569" s="26" t="str">
        <f>HYPERLINK("https://miland.ru/api/getInfo/image/ce46f54b-da5c-11eb-a209-ac1f6b442185")</f>
        <v>https://miland.ru/api/getInfo/image/ce46f54b-da5c-11eb-a209-ac1f6b442185</v>
      </c>
    </row>
    <row r="570" spans="1:19" s="1" customFormat="1" ht="12" customHeight="1" outlineLevel="6">
      <c r="A570" s="64" t="s">
        <v>1695</v>
      </c>
      <c r="B570" s="64"/>
      <c r="C570" s="64"/>
      <c r="D570" s="64"/>
      <c r="E570" s="64"/>
      <c r="F570" s="64"/>
      <c r="G570" s="8"/>
      <c r="H570" s="12"/>
      <c r="I570" s="2"/>
      <c r="J570" s="2"/>
      <c r="K570" s="13"/>
      <c r="L570" s="2"/>
      <c r="M570" s="2"/>
      <c r="N570" s="2"/>
      <c r="O570" s="2"/>
      <c r="P570" s="2"/>
      <c r="Q570" s="2"/>
      <c r="R570" s="2"/>
      <c r="S570" s="2"/>
    </row>
    <row r="571" spans="1:19" s="2" customFormat="1" ht="96.2" customHeight="1" outlineLevel="7">
      <c r="A571" s="38">
        <v>392</v>
      </c>
      <c r="B571" s="39" t="s">
        <v>1696</v>
      </c>
      <c r="C571" s="67" t="s">
        <v>1697</v>
      </c>
      <c r="D571" s="67"/>
      <c r="E571" s="67"/>
      <c r="F571" s="67"/>
      <c r="G571" s="40" t="s">
        <v>1698</v>
      </c>
      <c r="H571" s="42">
        <v>7</v>
      </c>
      <c r="I571" s="43"/>
      <c r="J571" s="38">
        <v>4</v>
      </c>
      <c r="K571" s="44">
        <v>134.38</v>
      </c>
      <c r="L571" s="17"/>
      <c r="M571" s="43">
        <f t="shared" ref="M571:M576" si="27">K571*L571</f>
        <v>0</v>
      </c>
      <c r="N571" s="47">
        <f>0.047*L571</f>
        <v>0</v>
      </c>
      <c r="O571" s="48">
        <f>0.0001*L571</f>
        <v>0</v>
      </c>
      <c r="P571" s="49"/>
      <c r="Q571" s="43" t="s">
        <v>1699</v>
      </c>
      <c r="R571" s="43" t="s">
        <v>611</v>
      </c>
      <c r="S571" s="39" t="str">
        <f>HYPERLINK("https://miland.ru/api/getInfo/image/7ad50417-04fe-11ee-a23b-00155d82e902")</f>
        <v>https://miland.ru/api/getInfo/image/7ad50417-04fe-11ee-a23b-00155d82e902</v>
      </c>
    </row>
    <row r="572" spans="1:19" s="2" customFormat="1" ht="96.2" customHeight="1" outlineLevel="7">
      <c r="A572" s="25">
        <v>393</v>
      </c>
      <c r="B572" s="26" t="s">
        <v>1700</v>
      </c>
      <c r="C572" s="66" t="s">
        <v>1701</v>
      </c>
      <c r="D572" s="66"/>
      <c r="E572" s="66"/>
      <c r="F572" s="66"/>
      <c r="G572" s="27" t="s">
        <v>1702</v>
      </c>
      <c r="H572" s="33">
        <v>20</v>
      </c>
      <c r="I572" s="29"/>
      <c r="J572" s="25">
        <v>1</v>
      </c>
      <c r="K572" s="37">
        <v>1289.04</v>
      </c>
      <c r="L572" s="17"/>
      <c r="M572" s="29">
        <f t="shared" si="27"/>
        <v>0</v>
      </c>
      <c r="N572" s="34">
        <f>0.21*L572</f>
        <v>0</v>
      </c>
      <c r="O572" s="32">
        <f>0.00078*L572</f>
        <v>0</v>
      </c>
      <c r="P572" s="36"/>
      <c r="Q572" s="29" t="s">
        <v>1703</v>
      </c>
      <c r="R572" s="29" t="s">
        <v>611</v>
      </c>
      <c r="S572" s="26" t="str">
        <f>HYPERLINK("https://miland.ru/api/getInfo/image/5c6423ac-3cfc-11ef-a261-00155d82e908")</f>
        <v>https://miland.ru/api/getInfo/image/5c6423ac-3cfc-11ef-a261-00155d82e908</v>
      </c>
    </row>
    <row r="573" spans="1:19" s="2" customFormat="1" ht="96.2" customHeight="1" outlineLevel="7">
      <c r="A573" s="25">
        <v>394</v>
      </c>
      <c r="B573" s="26" t="s">
        <v>1704</v>
      </c>
      <c r="C573" s="66" t="s">
        <v>1705</v>
      </c>
      <c r="D573" s="66"/>
      <c r="E573" s="66"/>
      <c r="F573" s="66"/>
      <c r="G573" s="27" t="s">
        <v>1706</v>
      </c>
      <c r="H573" s="28" t="s">
        <v>44</v>
      </c>
      <c r="I573" s="29"/>
      <c r="J573" s="25">
        <v>1</v>
      </c>
      <c r="K573" s="37">
        <v>1289.04</v>
      </c>
      <c r="L573" s="17"/>
      <c r="M573" s="29">
        <f t="shared" si="27"/>
        <v>0</v>
      </c>
      <c r="N573" s="34">
        <f>0.19*L573</f>
        <v>0</v>
      </c>
      <c r="O573" s="35">
        <f>0.0008*L573</f>
        <v>0</v>
      </c>
      <c r="P573" s="36"/>
      <c r="Q573" s="29" t="s">
        <v>1707</v>
      </c>
      <c r="R573" s="29" t="s">
        <v>611</v>
      </c>
      <c r="S573" s="26" t="str">
        <f>HYPERLINK("https://miland.ru/api/getInfo/image/1f33f05c-3cfc-11ef-a261-00155d82e908")</f>
        <v>https://miland.ru/api/getInfo/image/1f33f05c-3cfc-11ef-a261-00155d82e908</v>
      </c>
    </row>
    <row r="574" spans="1:19" s="2" customFormat="1" ht="96.2" customHeight="1" outlineLevel="7">
      <c r="A574" s="25">
        <v>395</v>
      </c>
      <c r="B574" s="26" t="s">
        <v>1708</v>
      </c>
      <c r="C574" s="66" t="s">
        <v>1709</v>
      </c>
      <c r="D574" s="66"/>
      <c r="E574" s="66"/>
      <c r="F574" s="66"/>
      <c r="G574" s="27" t="s">
        <v>1710</v>
      </c>
      <c r="H574" s="28" t="s">
        <v>44</v>
      </c>
      <c r="I574" s="29"/>
      <c r="J574" s="25">
        <v>1</v>
      </c>
      <c r="K574" s="37">
        <v>1289.04</v>
      </c>
      <c r="L574" s="17"/>
      <c r="M574" s="29">
        <f t="shared" si="27"/>
        <v>0</v>
      </c>
      <c r="N574" s="31">
        <f>0.198*L574</f>
        <v>0</v>
      </c>
      <c r="O574" s="32">
        <f>0.00075*L574</f>
        <v>0</v>
      </c>
      <c r="P574" s="36"/>
      <c r="Q574" s="29" t="s">
        <v>1711</v>
      </c>
      <c r="R574" s="29" t="s">
        <v>611</v>
      </c>
      <c r="S574" s="26" t="str">
        <f>HYPERLINK("https://miland.ru/api/getInfo/image/3c61a3f3-3cfc-11ef-a261-00155d82e908")</f>
        <v>https://miland.ru/api/getInfo/image/3c61a3f3-3cfc-11ef-a261-00155d82e908</v>
      </c>
    </row>
    <row r="575" spans="1:19" s="2" customFormat="1" ht="96.2" customHeight="1" outlineLevel="7">
      <c r="A575" s="25">
        <v>396</v>
      </c>
      <c r="B575" s="26" t="s">
        <v>1712</v>
      </c>
      <c r="C575" s="66" t="s">
        <v>1713</v>
      </c>
      <c r="D575" s="66"/>
      <c r="E575" s="66"/>
      <c r="F575" s="66"/>
      <c r="G575" s="27" t="s">
        <v>1714</v>
      </c>
      <c r="H575" s="33">
        <v>1</v>
      </c>
      <c r="I575" s="29"/>
      <c r="J575" s="25">
        <v>1</v>
      </c>
      <c r="K575" s="30">
        <v>102.92</v>
      </c>
      <c r="L575" s="17"/>
      <c r="M575" s="29">
        <f t="shared" si="27"/>
        <v>0</v>
      </c>
      <c r="N575" s="31">
        <f>0.011*L575</f>
        <v>0</v>
      </c>
      <c r="O575" s="32">
        <f>0.00002*L575</f>
        <v>0</v>
      </c>
      <c r="P575" s="36"/>
      <c r="Q575" s="29" t="s">
        <v>1715</v>
      </c>
      <c r="R575" s="29" t="s">
        <v>611</v>
      </c>
      <c r="S575" s="26" t="str">
        <f>HYPERLINK("https://miland.ru/api/getInfo/image/2f10af31-9e8d-11eb-a201-ac1f6b442185")</f>
        <v>https://miland.ru/api/getInfo/image/2f10af31-9e8d-11eb-a201-ac1f6b442185</v>
      </c>
    </row>
    <row r="576" spans="1:19" s="2" customFormat="1" ht="96.2" customHeight="1" outlineLevel="7">
      <c r="A576" s="25">
        <v>397</v>
      </c>
      <c r="B576" s="26" t="s">
        <v>1716</v>
      </c>
      <c r="C576" s="66" t="s">
        <v>1717</v>
      </c>
      <c r="D576" s="66"/>
      <c r="E576" s="66"/>
      <c r="F576" s="66"/>
      <c r="G576" s="27" t="s">
        <v>1718</v>
      </c>
      <c r="H576" s="33">
        <v>327</v>
      </c>
      <c r="I576" s="29"/>
      <c r="J576" s="25">
        <v>5</v>
      </c>
      <c r="K576" s="30">
        <v>102.92</v>
      </c>
      <c r="L576" s="17"/>
      <c r="M576" s="29">
        <f t="shared" si="27"/>
        <v>0</v>
      </c>
      <c r="N576" s="31">
        <f>0.013*L576</f>
        <v>0</v>
      </c>
      <c r="O576" s="32">
        <f>0.00004*L576</f>
        <v>0</v>
      </c>
      <c r="P576" s="36"/>
      <c r="Q576" s="29" t="s">
        <v>1719</v>
      </c>
      <c r="R576" s="29" t="s">
        <v>611</v>
      </c>
      <c r="S576" s="26" t="str">
        <f>HYPERLINK("https://miland.ru/api/getInfo/image/0c9b007d-9e8d-11eb-a201-ac1f6b442185")</f>
        <v>https://miland.ru/api/getInfo/image/0c9b007d-9e8d-11eb-a201-ac1f6b442185</v>
      </c>
    </row>
    <row r="577" spans="1:19" s="1" customFormat="1" ht="12" customHeight="1" outlineLevel="6">
      <c r="A577" s="64" t="s">
        <v>1720</v>
      </c>
      <c r="B577" s="64"/>
      <c r="C577" s="64"/>
      <c r="D577" s="64"/>
      <c r="E577" s="64"/>
      <c r="F577" s="64"/>
      <c r="G577" s="8"/>
      <c r="H577" s="12"/>
      <c r="I577" s="2"/>
      <c r="J577" s="2"/>
      <c r="K577" s="13"/>
      <c r="L577" s="2"/>
      <c r="M577" s="2"/>
      <c r="N577" s="2"/>
      <c r="O577" s="2"/>
      <c r="P577" s="2"/>
      <c r="Q577" s="2"/>
      <c r="R577" s="2"/>
      <c r="S577" s="2"/>
    </row>
    <row r="578" spans="1:19" s="2" customFormat="1" ht="96.2" customHeight="1" outlineLevel="7">
      <c r="A578" s="25">
        <v>398</v>
      </c>
      <c r="B578" s="26" t="s">
        <v>1721</v>
      </c>
      <c r="C578" s="66" t="s">
        <v>1722</v>
      </c>
      <c r="D578" s="66"/>
      <c r="E578" s="66"/>
      <c r="F578" s="66"/>
      <c r="G578" s="27" t="s">
        <v>1723</v>
      </c>
      <c r="H578" s="33">
        <v>8</v>
      </c>
      <c r="I578" s="29"/>
      <c r="J578" s="25">
        <v>1</v>
      </c>
      <c r="K578" s="30">
        <v>536.04</v>
      </c>
      <c r="L578" s="17"/>
      <c r="M578" s="29">
        <f>K578*L578</f>
        <v>0</v>
      </c>
      <c r="N578" s="31">
        <f>0.221*L578</f>
        <v>0</v>
      </c>
      <c r="O578" s="32">
        <f>0.00156*L578</f>
        <v>0</v>
      </c>
      <c r="P578" s="36"/>
      <c r="Q578" s="29" t="s">
        <v>1724</v>
      </c>
      <c r="R578" s="29" t="s">
        <v>611</v>
      </c>
      <c r="S578" s="26" t="str">
        <f>HYPERLINK("https://miland.ru/api/getInfo/image/68b92633-1680-11ef-a25d-00155d82e908")</f>
        <v>https://miland.ru/api/getInfo/image/68b92633-1680-11ef-a25d-00155d82e908</v>
      </c>
    </row>
    <row r="579" spans="1:19" s="2" customFormat="1" ht="96.2" customHeight="1" outlineLevel="7">
      <c r="A579" s="25">
        <v>399</v>
      </c>
      <c r="B579" s="26" t="s">
        <v>1725</v>
      </c>
      <c r="C579" s="66" t="s">
        <v>1726</v>
      </c>
      <c r="D579" s="66"/>
      <c r="E579" s="66"/>
      <c r="F579" s="66"/>
      <c r="G579" s="27" t="s">
        <v>1727</v>
      </c>
      <c r="H579" s="33">
        <v>4</v>
      </c>
      <c r="I579" s="29"/>
      <c r="J579" s="25">
        <v>1</v>
      </c>
      <c r="K579" s="37">
        <v>1072.05</v>
      </c>
      <c r="L579" s="17"/>
      <c r="M579" s="29">
        <f>K579*L579</f>
        <v>0</v>
      </c>
      <c r="N579" s="31">
        <f>0.336*L579</f>
        <v>0</v>
      </c>
      <c r="O579" s="32">
        <f>0.00316*L579</f>
        <v>0</v>
      </c>
      <c r="P579" s="36"/>
      <c r="Q579" s="29" t="s">
        <v>1728</v>
      </c>
      <c r="R579" s="29" t="s">
        <v>611</v>
      </c>
      <c r="S579" s="26" t="str">
        <f>HYPERLINK("https://miland.ru/api/getInfo/image/18381d6b-1680-11ef-a25d-00155d82e908")</f>
        <v>https://miland.ru/api/getInfo/image/18381d6b-1680-11ef-a25d-00155d82e908</v>
      </c>
    </row>
    <row r="580" spans="1:19" s="2" customFormat="1" ht="96.2" customHeight="1" outlineLevel="7">
      <c r="A580" s="25">
        <v>400</v>
      </c>
      <c r="B580" s="26" t="s">
        <v>1729</v>
      </c>
      <c r="C580" s="66" t="s">
        <v>1730</v>
      </c>
      <c r="D580" s="66"/>
      <c r="E580" s="66"/>
      <c r="F580" s="66"/>
      <c r="G580" s="27" t="s">
        <v>1731</v>
      </c>
      <c r="H580" s="33">
        <v>3</v>
      </c>
      <c r="I580" s="29"/>
      <c r="J580" s="25">
        <v>1</v>
      </c>
      <c r="K580" s="30">
        <v>755.33</v>
      </c>
      <c r="L580" s="17"/>
      <c r="M580" s="29">
        <f>K580*L580</f>
        <v>0</v>
      </c>
      <c r="N580" s="31">
        <f>0.125*L580</f>
        <v>0</v>
      </c>
      <c r="O580" s="32">
        <f>0.00108*L580</f>
        <v>0</v>
      </c>
      <c r="P580" s="36"/>
      <c r="Q580" s="29" t="s">
        <v>1732</v>
      </c>
      <c r="R580" s="29" t="s">
        <v>611</v>
      </c>
      <c r="S580" s="26" t="str">
        <f>HYPERLINK("https://miland.ru/api/getInfo/image/cae417ee-167f-11ef-a25d-00155d82e908")</f>
        <v>https://miland.ru/api/getInfo/image/cae417ee-167f-11ef-a25d-00155d82e908</v>
      </c>
    </row>
    <row r="581" spans="1:19" s="2" customFormat="1" ht="96.2" customHeight="1" outlineLevel="7">
      <c r="A581" s="25">
        <v>401</v>
      </c>
      <c r="B581" s="26" t="s">
        <v>1733</v>
      </c>
      <c r="C581" s="66" t="s">
        <v>1734</v>
      </c>
      <c r="D581" s="66"/>
      <c r="E581" s="66"/>
      <c r="F581" s="66"/>
      <c r="G581" s="27" t="s">
        <v>1735</v>
      </c>
      <c r="H581" s="33">
        <v>256</v>
      </c>
      <c r="I581" s="29"/>
      <c r="J581" s="25">
        <v>1</v>
      </c>
      <c r="K581" s="30">
        <v>709.2</v>
      </c>
      <c r="L581" s="17"/>
      <c r="M581" s="29">
        <f>K581*L581</f>
        <v>0</v>
      </c>
      <c r="N581" s="31">
        <f>0.265*L581</f>
        <v>0</v>
      </c>
      <c r="O581" s="32">
        <f>0.00192*L581</f>
        <v>0</v>
      </c>
      <c r="P581" s="36"/>
      <c r="Q581" s="29" t="s">
        <v>1736</v>
      </c>
      <c r="R581" s="29"/>
      <c r="S581" s="26" t="str">
        <f>HYPERLINK("https://miland.ru/api/getInfo/image/3ab3f2b3-dfd6-11ef-a273-00155d82e908")</f>
        <v>https://miland.ru/api/getInfo/image/3ab3f2b3-dfd6-11ef-a273-00155d82e908</v>
      </c>
    </row>
    <row r="582" spans="1:19" s="1" customFormat="1" ht="12" customHeight="1" outlineLevel="5">
      <c r="A582" s="64" t="s">
        <v>1737</v>
      </c>
      <c r="B582" s="64"/>
      <c r="C582" s="64"/>
      <c r="D582" s="64"/>
      <c r="E582" s="64"/>
      <c r="F582" s="64"/>
      <c r="G582" s="8"/>
      <c r="H582" s="12"/>
      <c r="I582" s="2"/>
      <c r="J582" s="2"/>
      <c r="K582" s="13"/>
      <c r="L582" s="2"/>
      <c r="M582" s="2"/>
      <c r="N582" s="2"/>
      <c r="O582" s="2"/>
      <c r="P582" s="2"/>
      <c r="Q582" s="2"/>
      <c r="R582" s="2"/>
      <c r="S582" s="2"/>
    </row>
    <row r="583" spans="1:19" s="1" customFormat="1" ht="12" customHeight="1" outlineLevel="6">
      <c r="A583" s="64" t="s">
        <v>1681</v>
      </c>
      <c r="B583" s="64"/>
      <c r="C583" s="64"/>
      <c r="D583" s="64"/>
      <c r="E583" s="64"/>
      <c r="F583" s="64"/>
      <c r="G583" s="8"/>
      <c r="H583" s="12"/>
      <c r="I583" s="2"/>
      <c r="J583" s="2"/>
      <c r="K583" s="13"/>
      <c r="L583" s="2"/>
      <c r="M583" s="2"/>
      <c r="N583" s="2"/>
      <c r="O583" s="2"/>
      <c r="P583" s="2"/>
      <c r="Q583" s="2"/>
      <c r="R583" s="2"/>
      <c r="S583" s="2"/>
    </row>
    <row r="584" spans="1:19" s="2" customFormat="1" ht="96.2" customHeight="1" outlineLevel="7">
      <c r="A584" s="25">
        <v>402</v>
      </c>
      <c r="B584" s="26" t="s">
        <v>1738</v>
      </c>
      <c r="C584" s="66" t="s">
        <v>1739</v>
      </c>
      <c r="D584" s="66"/>
      <c r="E584" s="66"/>
      <c r="F584" s="66"/>
      <c r="G584" s="27" t="s">
        <v>1740</v>
      </c>
      <c r="H584" s="33">
        <v>4</v>
      </c>
      <c r="I584" s="29"/>
      <c r="J584" s="25">
        <v>1</v>
      </c>
      <c r="K584" s="37">
        <v>2981.67</v>
      </c>
      <c r="L584" s="17"/>
      <c r="M584" s="29">
        <f t="shared" ref="M584:M612" si="28">K584*L584</f>
        <v>0</v>
      </c>
      <c r="N584" s="31">
        <f>0.965*L584</f>
        <v>0</v>
      </c>
      <c r="O584" s="32">
        <f>0.00642*L584</f>
        <v>0</v>
      </c>
      <c r="P584" s="36"/>
      <c r="Q584" s="29" t="s">
        <v>1741</v>
      </c>
      <c r="R584" s="29" t="s">
        <v>611</v>
      </c>
      <c r="S584" s="26" t="str">
        <f>HYPERLINK("https://miland.ru/api/getInfo/image/e8e049c4-f634-11ed-a238-00155d82e902")</f>
        <v>https://miland.ru/api/getInfo/image/e8e049c4-f634-11ed-a238-00155d82e902</v>
      </c>
    </row>
    <row r="585" spans="1:19" s="2" customFormat="1" ht="96.2" customHeight="1" outlineLevel="7">
      <c r="A585" s="25">
        <v>403</v>
      </c>
      <c r="B585" s="26" t="s">
        <v>1742</v>
      </c>
      <c r="C585" s="66" t="s">
        <v>1743</v>
      </c>
      <c r="D585" s="66"/>
      <c r="E585" s="66"/>
      <c r="F585" s="66"/>
      <c r="G585" s="27" t="s">
        <v>1744</v>
      </c>
      <c r="H585" s="33">
        <v>8</v>
      </c>
      <c r="I585" s="29"/>
      <c r="J585" s="25">
        <v>1</v>
      </c>
      <c r="K585" s="37">
        <v>3413.24</v>
      </c>
      <c r="L585" s="17"/>
      <c r="M585" s="29">
        <f t="shared" si="28"/>
        <v>0</v>
      </c>
      <c r="N585" s="31">
        <f>1.042*L585</f>
        <v>0</v>
      </c>
      <c r="O585" s="32">
        <f>0.00832*L585</f>
        <v>0</v>
      </c>
      <c r="P585" s="36"/>
      <c r="Q585" s="29" t="s">
        <v>1745</v>
      </c>
      <c r="R585" s="29" t="s">
        <v>611</v>
      </c>
      <c r="S585" s="26" t="str">
        <f>HYPERLINK("https://miland.ru/api/getInfo/image/12e28002-f634-11ed-a238-00155d82e902")</f>
        <v>https://miland.ru/api/getInfo/image/12e28002-f634-11ed-a238-00155d82e902</v>
      </c>
    </row>
    <row r="586" spans="1:19" s="2" customFormat="1" ht="96.2" customHeight="1" outlineLevel="7">
      <c r="A586" s="25">
        <v>404</v>
      </c>
      <c r="B586" s="26" t="s">
        <v>1746</v>
      </c>
      <c r="C586" s="66" t="s">
        <v>1747</v>
      </c>
      <c r="D586" s="66"/>
      <c r="E586" s="66"/>
      <c r="F586" s="66"/>
      <c r="G586" s="27" t="s">
        <v>1748</v>
      </c>
      <c r="H586" s="33">
        <v>5</v>
      </c>
      <c r="I586" s="29"/>
      <c r="J586" s="25">
        <v>1</v>
      </c>
      <c r="K586" s="37">
        <v>3452.47</v>
      </c>
      <c r="L586" s="17"/>
      <c r="M586" s="29">
        <f t="shared" si="28"/>
        <v>0</v>
      </c>
      <c r="N586" s="31">
        <f>1.097*L586</f>
        <v>0</v>
      </c>
      <c r="O586" s="32">
        <f>0.00852*L586</f>
        <v>0</v>
      </c>
      <c r="P586" s="36"/>
      <c r="Q586" s="29" t="s">
        <v>1749</v>
      </c>
      <c r="R586" s="29" t="s">
        <v>611</v>
      </c>
      <c r="S586" s="26" t="str">
        <f>HYPERLINK("https://miland.ru/api/getInfo/image/88ade034-f634-11ed-a238-00155d82e902")</f>
        <v>https://miland.ru/api/getInfo/image/88ade034-f634-11ed-a238-00155d82e902</v>
      </c>
    </row>
    <row r="587" spans="1:19" s="2" customFormat="1" ht="96.2" customHeight="1" outlineLevel="7">
      <c r="A587" s="25">
        <v>405</v>
      </c>
      <c r="B587" s="26" t="s">
        <v>1750</v>
      </c>
      <c r="C587" s="66" t="s">
        <v>1751</v>
      </c>
      <c r="D587" s="66"/>
      <c r="E587" s="66"/>
      <c r="F587" s="66"/>
      <c r="G587" s="27" t="s">
        <v>1752</v>
      </c>
      <c r="H587" s="33">
        <v>5</v>
      </c>
      <c r="I587" s="29"/>
      <c r="J587" s="25">
        <v>1</v>
      </c>
      <c r="K587" s="37">
        <v>2101.31</v>
      </c>
      <c r="L587" s="17"/>
      <c r="M587" s="29">
        <f t="shared" si="28"/>
        <v>0</v>
      </c>
      <c r="N587" s="31">
        <f>1.227*L587</f>
        <v>0</v>
      </c>
      <c r="O587" s="32">
        <f>0.01279*L587</f>
        <v>0</v>
      </c>
      <c r="P587" s="36"/>
      <c r="Q587" s="29" t="s">
        <v>1753</v>
      </c>
      <c r="R587" s="29" t="s">
        <v>611</v>
      </c>
      <c r="S587" s="26" t="str">
        <f>HYPERLINK("https://miland.ru/api/getInfo/image/7f8f0ab4-f637-11ed-a238-00155d82e902")</f>
        <v>https://miland.ru/api/getInfo/image/7f8f0ab4-f637-11ed-a238-00155d82e902</v>
      </c>
    </row>
    <row r="588" spans="1:19" s="2" customFormat="1" ht="96.2" customHeight="1" outlineLevel="7">
      <c r="A588" s="25">
        <v>406</v>
      </c>
      <c r="B588" s="26" t="s">
        <v>1754</v>
      </c>
      <c r="C588" s="66" t="s">
        <v>1755</v>
      </c>
      <c r="D588" s="66"/>
      <c r="E588" s="66"/>
      <c r="F588" s="66"/>
      <c r="G588" s="27" t="s">
        <v>1756</v>
      </c>
      <c r="H588" s="33">
        <v>5</v>
      </c>
      <c r="I588" s="29"/>
      <c r="J588" s="25">
        <v>1</v>
      </c>
      <c r="K588" s="37">
        <v>2183.7199999999998</v>
      </c>
      <c r="L588" s="17"/>
      <c r="M588" s="29">
        <f t="shared" si="28"/>
        <v>0</v>
      </c>
      <c r="N588" s="31">
        <f>1.292*L588</f>
        <v>0</v>
      </c>
      <c r="O588" s="32">
        <f>0.01245*L588</f>
        <v>0</v>
      </c>
      <c r="P588" s="36"/>
      <c r="Q588" s="29" t="s">
        <v>1757</v>
      </c>
      <c r="R588" s="29" t="s">
        <v>611</v>
      </c>
      <c r="S588" s="26" t="str">
        <f>HYPERLINK("https://miland.ru/api/getInfo/image/14c1e594-f636-11ed-a238-00155d82e902")</f>
        <v>https://miland.ru/api/getInfo/image/14c1e594-f636-11ed-a238-00155d82e902</v>
      </c>
    </row>
    <row r="589" spans="1:19" s="2" customFormat="1" ht="96.2" customHeight="1" outlineLevel="7">
      <c r="A589" s="25">
        <v>407</v>
      </c>
      <c r="B589" s="26" t="s">
        <v>1758</v>
      </c>
      <c r="C589" s="66" t="s">
        <v>1759</v>
      </c>
      <c r="D589" s="66"/>
      <c r="E589" s="66"/>
      <c r="F589" s="66"/>
      <c r="G589" s="27" t="s">
        <v>1760</v>
      </c>
      <c r="H589" s="33">
        <v>5</v>
      </c>
      <c r="I589" s="29"/>
      <c r="J589" s="25">
        <v>1</v>
      </c>
      <c r="K589" s="37">
        <v>2060.12</v>
      </c>
      <c r="L589" s="17"/>
      <c r="M589" s="29">
        <f t="shared" si="28"/>
        <v>0</v>
      </c>
      <c r="N589" s="31">
        <f>1.477*L589</f>
        <v>0</v>
      </c>
      <c r="O589" s="32">
        <f>0.00853*L589</f>
        <v>0</v>
      </c>
      <c r="P589" s="36"/>
      <c r="Q589" s="29" t="s">
        <v>1761</v>
      </c>
      <c r="R589" s="29" t="s">
        <v>611</v>
      </c>
      <c r="S589" s="26" t="str">
        <f>HYPERLINK("https://miland.ru/api/getInfo/image/f33721e4-f61d-11ed-a238-00155d82e902")</f>
        <v>https://miland.ru/api/getInfo/image/f33721e4-f61d-11ed-a238-00155d82e902</v>
      </c>
    </row>
    <row r="590" spans="1:19" s="2" customFormat="1" ht="96.2" customHeight="1" outlineLevel="7">
      <c r="A590" s="25">
        <v>408</v>
      </c>
      <c r="B590" s="26" t="s">
        <v>1762</v>
      </c>
      <c r="C590" s="66" t="s">
        <v>1763</v>
      </c>
      <c r="D590" s="66"/>
      <c r="E590" s="66"/>
      <c r="F590" s="66"/>
      <c r="G590" s="27" t="s">
        <v>1764</v>
      </c>
      <c r="H590" s="33">
        <v>22</v>
      </c>
      <c r="I590" s="29"/>
      <c r="J590" s="25">
        <v>1</v>
      </c>
      <c r="K590" s="37">
        <v>2307.33</v>
      </c>
      <c r="L590" s="17"/>
      <c r="M590" s="29">
        <f t="shared" si="28"/>
        <v>0</v>
      </c>
      <c r="N590" s="31">
        <f>1.495*L590</f>
        <v>0</v>
      </c>
      <c r="O590" s="32">
        <f>0.01246*L590</f>
        <v>0</v>
      </c>
      <c r="P590" s="36"/>
      <c r="Q590" s="29" t="s">
        <v>1765</v>
      </c>
      <c r="R590" s="29" t="s">
        <v>611</v>
      </c>
      <c r="S590" s="26" t="str">
        <f>HYPERLINK("https://miland.ru/api/getInfo/image/3f4832e3-f61d-11ed-a238-00155d82e902")</f>
        <v>https://miland.ru/api/getInfo/image/3f4832e3-f61d-11ed-a238-00155d82e902</v>
      </c>
    </row>
    <row r="591" spans="1:19" s="2" customFormat="1" ht="96.2" customHeight="1" outlineLevel="7">
      <c r="A591" s="25">
        <v>409</v>
      </c>
      <c r="B591" s="26" t="s">
        <v>1766</v>
      </c>
      <c r="C591" s="66" t="s">
        <v>1767</v>
      </c>
      <c r="D591" s="66"/>
      <c r="E591" s="66"/>
      <c r="F591" s="66"/>
      <c r="G591" s="27" t="s">
        <v>1768</v>
      </c>
      <c r="H591" s="33">
        <v>6</v>
      </c>
      <c r="I591" s="29"/>
      <c r="J591" s="25">
        <v>1</v>
      </c>
      <c r="K591" s="37">
        <v>2389.73</v>
      </c>
      <c r="L591" s="17"/>
      <c r="M591" s="29">
        <f t="shared" si="28"/>
        <v>0</v>
      </c>
      <c r="N591" s="31">
        <f>1.609*L591</f>
        <v>0</v>
      </c>
      <c r="O591" s="32">
        <f>0.01254*L591</f>
        <v>0</v>
      </c>
      <c r="P591" s="36"/>
      <c r="Q591" s="29" t="s">
        <v>1769</v>
      </c>
      <c r="R591" s="29" t="s">
        <v>611</v>
      </c>
      <c r="S591" s="26" t="str">
        <f>HYPERLINK("https://miland.ru/api/getInfo/image/9b8f054c-f61d-11ed-a238-00155d82e902")</f>
        <v>https://miland.ru/api/getInfo/image/9b8f054c-f61d-11ed-a238-00155d82e902</v>
      </c>
    </row>
    <row r="592" spans="1:19" s="2" customFormat="1" ht="96.2" customHeight="1" outlineLevel="7">
      <c r="A592" s="25">
        <v>410</v>
      </c>
      <c r="B592" s="26" t="s">
        <v>1770</v>
      </c>
      <c r="C592" s="66" t="s">
        <v>1771</v>
      </c>
      <c r="D592" s="66"/>
      <c r="E592" s="66"/>
      <c r="F592" s="66"/>
      <c r="G592" s="27" t="s">
        <v>1772</v>
      </c>
      <c r="H592" s="33">
        <v>4</v>
      </c>
      <c r="I592" s="29"/>
      <c r="J592" s="25">
        <v>1</v>
      </c>
      <c r="K592" s="37">
        <v>2060.12</v>
      </c>
      <c r="L592" s="17"/>
      <c r="M592" s="29">
        <f t="shared" si="28"/>
        <v>0</v>
      </c>
      <c r="N592" s="31">
        <f>1.784*L592</f>
        <v>0</v>
      </c>
      <c r="O592" s="32">
        <f>0.00775*L592</f>
        <v>0</v>
      </c>
      <c r="P592" s="36"/>
      <c r="Q592" s="29" t="s">
        <v>1773</v>
      </c>
      <c r="R592" s="29" t="s">
        <v>611</v>
      </c>
      <c r="S592" s="26" t="str">
        <f>HYPERLINK("https://miland.ru/api/getInfo/image/26227898-f61f-11ed-a238-00155d82e902")</f>
        <v>https://miland.ru/api/getInfo/image/26227898-f61f-11ed-a238-00155d82e902</v>
      </c>
    </row>
    <row r="593" spans="1:19" s="2" customFormat="1" ht="96.2" customHeight="1" outlineLevel="7">
      <c r="A593" s="25">
        <v>411</v>
      </c>
      <c r="B593" s="26" t="s">
        <v>1774</v>
      </c>
      <c r="C593" s="66" t="s">
        <v>1775</v>
      </c>
      <c r="D593" s="66"/>
      <c r="E593" s="66"/>
      <c r="F593" s="66"/>
      <c r="G593" s="27" t="s">
        <v>1776</v>
      </c>
      <c r="H593" s="33">
        <v>6</v>
      </c>
      <c r="I593" s="29"/>
      <c r="J593" s="25">
        <v>1</v>
      </c>
      <c r="K593" s="37">
        <v>2307.33</v>
      </c>
      <c r="L593" s="17"/>
      <c r="M593" s="29">
        <f t="shared" si="28"/>
        <v>0</v>
      </c>
      <c r="N593" s="31">
        <f>1.846*L593</f>
        <v>0</v>
      </c>
      <c r="O593" s="35">
        <f>0.0104*L593</f>
        <v>0</v>
      </c>
      <c r="P593" s="36"/>
      <c r="Q593" s="29" t="s">
        <v>1777</v>
      </c>
      <c r="R593" s="29" t="s">
        <v>611</v>
      </c>
      <c r="S593" s="26" t="str">
        <f>HYPERLINK("https://miland.ru/api/getInfo/image/655e470e-f61e-11ed-a238-00155d82e902")</f>
        <v>https://miland.ru/api/getInfo/image/655e470e-f61e-11ed-a238-00155d82e902</v>
      </c>
    </row>
    <row r="594" spans="1:19" s="2" customFormat="1" ht="96.2" customHeight="1" outlineLevel="7">
      <c r="A594" s="25">
        <v>412</v>
      </c>
      <c r="B594" s="26" t="s">
        <v>1778</v>
      </c>
      <c r="C594" s="66" t="s">
        <v>1779</v>
      </c>
      <c r="D594" s="66"/>
      <c r="E594" s="66"/>
      <c r="F594" s="66"/>
      <c r="G594" s="27" t="s">
        <v>1780</v>
      </c>
      <c r="H594" s="33">
        <v>1</v>
      </c>
      <c r="I594" s="29"/>
      <c r="J594" s="25">
        <v>1</v>
      </c>
      <c r="K594" s="37">
        <v>2389.73</v>
      </c>
      <c r="L594" s="17"/>
      <c r="M594" s="29">
        <f t="shared" si="28"/>
        <v>0</v>
      </c>
      <c r="N594" s="31">
        <f>1.964*L594</f>
        <v>0</v>
      </c>
      <c r="O594" s="32">
        <f>0.01014*L594</f>
        <v>0</v>
      </c>
      <c r="P594" s="36"/>
      <c r="Q594" s="29" t="s">
        <v>1781</v>
      </c>
      <c r="R594" s="29" t="s">
        <v>611</v>
      </c>
      <c r="S594" s="26" t="str">
        <f>HYPERLINK("https://miland.ru/api/getInfo/image/cd7b425c-f61e-11ed-a238-00155d82e902")</f>
        <v>https://miland.ru/api/getInfo/image/cd7b425c-f61e-11ed-a238-00155d82e902</v>
      </c>
    </row>
    <row r="595" spans="1:19" s="2" customFormat="1" ht="96.2" customHeight="1" outlineLevel="7">
      <c r="A595" s="25">
        <v>413</v>
      </c>
      <c r="B595" s="26" t="s">
        <v>1782</v>
      </c>
      <c r="C595" s="66" t="s">
        <v>1783</v>
      </c>
      <c r="D595" s="66"/>
      <c r="E595" s="66"/>
      <c r="F595" s="66"/>
      <c r="G595" s="27" t="s">
        <v>1784</v>
      </c>
      <c r="H595" s="33">
        <v>5</v>
      </c>
      <c r="I595" s="29"/>
      <c r="J595" s="25">
        <v>1</v>
      </c>
      <c r="K595" s="37">
        <v>4177.1899999999996</v>
      </c>
      <c r="L595" s="17"/>
      <c r="M595" s="29">
        <f t="shared" si="28"/>
        <v>0</v>
      </c>
      <c r="N595" s="41">
        <f>2.2*L595</f>
        <v>0</v>
      </c>
      <c r="O595" s="32">
        <f>0.01682*L595</f>
        <v>0</v>
      </c>
      <c r="P595" s="36"/>
      <c r="Q595" s="29" t="s">
        <v>1785</v>
      </c>
      <c r="R595" s="29" t="s">
        <v>611</v>
      </c>
      <c r="S595" s="26" t="str">
        <f>HYPERLINK("https://miland.ru/api/getInfo/image/d362a77b-f63b-11ed-a238-00155d82e902")</f>
        <v>https://miland.ru/api/getInfo/image/d362a77b-f63b-11ed-a238-00155d82e902</v>
      </c>
    </row>
    <row r="596" spans="1:19" s="2" customFormat="1" ht="96.2" customHeight="1" outlineLevel="7">
      <c r="A596" s="25">
        <v>414</v>
      </c>
      <c r="B596" s="26" t="s">
        <v>1786</v>
      </c>
      <c r="C596" s="66" t="s">
        <v>1787</v>
      </c>
      <c r="D596" s="66"/>
      <c r="E596" s="66"/>
      <c r="F596" s="66"/>
      <c r="G596" s="27" t="s">
        <v>1788</v>
      </c>
      <c r="H596" s="33">
        <v>8</v>
      </c>
      <c r="I596" s="29"/>
      <c r="J596" s="25">
        <v>1</v>
      </c>
      <c r="K596" s="37">
        <v>1854.1</v>
      </c>
      <c r="L596" s="17"/>
      <c r="M596" s="29">
        <f t="shared" si="28"/>
        <v>0</v>
      </c>
      <c r="N596" s="31">
        <f>1.107*L596</f>
        <v>0</v>
      </c>
      <c r="O596" s="32">
        <f>0.00984*L596</f>
        <v>0</v>
      </c>
      <c r="P596" s="36"/>
      <c r="Q596" s="29" t="s">
        <v>1789</v>
      </c>
      <c r="R596" s="29" t="s">
        <v>611</v>
      </c>
      <c r="S596" s="26" t="str">
        <f>HYPERLINK("https://miland.ru/api/getInfo/image/b40d047c-f63a-11ed-a238-00155d82e902")</f>
        <v>https://miland.ru/api/getInfo/image/b40d047c-f63a-11ed-a238-00155d82e902</v>
      </c>
    </row>
    <row r="597" spans="1:19" s="2" customFormat="1" ht="96.2" customHeight="1" outlineLevel="7">
      <c r="A597" s="25">
        <v>415</v>
      </c>
      <c r="B597" s="26" t="s">
        <v>1790</v>
      </c>
      <c r="C597" s="66" t="s">
        <v>1791</v>
      </c>
      <c r="D597" s="66"/>
      <c r="E597" s="66"/>
      <c r="F597" s="66"/>
      <c r="G597" s="27" t="s">
        <v>1792</v>
      </c>
      <c r="H597" s="33">
        <v>2</v>
      </c>
      <c r="I597" s="29"/>
      <c r="J597" s="25">
        <v>1</v>
      </c>
      <c r="K597" s="37">
        <v>2307.33</v>
      </c>
      <c r="L597" s="17"/>
      <c r="M597" s="29">
        <f t="shared" si="28"/>
        <v>0</v>
      </c>
      <c r="N597" s="31">
        <f>1.569*L597</f>
        <v>0</v>
      </c>
      <c r="O597" s="32">
        <f>0.00671*L597</f>
        <v>0</v>
      </c>
      <c r="P597" s="36"/>
      <c r="Q597" s="29" t="s">
        <v>1793</v>
      </c>
      <c r="R597" s="29" t="s">
        <v>611</v>
      </c>
      <c r="S597" s="26" t="str">
        <f>HYPERLINK("https://miland.ru/api/getInfo/image/80d8b342-f61f-11ed-a238-00155d82e902")</f>
        <v>https://miland.ru/api/getInfo/image/80d8b342-f61f-11ed-a238-00155d82e902</v>
      </c>
    </row>
    <row r="598" spans="1:19" s="2" customFormat="1" ht="96.2" customHeight="1" outlineLevel="7">
      <c r="A598" s="25">
        <v>416</v>
      </c>
      <c r="B598" s="26" t="s">
        <v>1794</v>
      </c>
      <c r="C598" s="66" t="s">
        <v>1795</v>
      </c>
      <c r="D598" s="66"/>
      <c r="E598" s="66"/>
      <c r="F598" s="66"/>
      <c r="G598" s="27" t="s">
        <v>1796</v>
      </c>
      <c r="H598" s="33">
        <v>5</v>
      </c>
      <c r="I598" s="29"/>
      <c r="J598" s="25">
        <v>1</v>
      </c>
      <c r="K598" s="37">
        <v>2389.73</v>
      </c>
      <c r="L598" s="17"/>
      <c r="M598" s="29">
        <f t="shared" si="28"/>
        <v>0</v>
      </c>
      <c r="N598" s="31">
        <f>1.631*L598</f>
        <v>0</v>
      </c>
      <c r="O598" s="32">
        <f>0.00637*L598</f>
        <v>0</v>
      </c>
      <c r="P598" s="36"/>
      <c r="Q598" s="29" t="s">
        <v>1797</v>
      </c>
      <c r="R598" s="29" t="s">
        <v>611</v>
      </c>
      <c r="S598" s="26" t="str">
        <f>HYPERLINK("https://miland.ru/api/getInfo/image/f799d767-f61f-11ed-a238-00155d82e902")</f>
        <v>https://miland.ru/api/getInfo/image/f799d767-f61f-11ed-a238-00155d82e902</v>
      </c>
    </row>
    <row r="599" spans="1:19" s="2" customFormat="1" ht="96.2" customHeight="1" outlineLevel="7">
      <c r="A599" s="25">
        <v>417</v>
      </c>
      <c r="B599" s="26" t="s">
        <v>1798</v>
      </c>
      <c r="C599" s="66" t="s">
        <v>1799</v>
      </c>
      <c r="D599" s="66"/>
      <c r="E599" s="66"/>
      <c r="F599" s="66"/>
      <c r="G599" s="27" t="s">
        <v>1800</v>
      </c>
      <c r="H599" s="33">
        <v>2</v>
      </c>
      <c r="I599" s="29"/>
      <c r="J599" s="25">
        <v>1</v>
      </c>
      <c r="K599" s="37">
        <v>4655.8599999999997</v>
      </c>
      <c r="L599" s="17"/>
      <c r="M599" s="29">
        <f t="shared" si="28"/>
        <v>0</v>
      </c>
      <c r="N599" s="34">
        <f>4.54*L599</f>
        <v>0</v>
      </c>
      <c r="O599" s="32">
        <f>0.01891*L599</f>
        <v>0</v>
      </c>
      <c r="P599" s="36"/>
      <c r="Q599" s="29" t="s">
        <v>1801</v>
      </c>
      <c r="R599" s="29" t="s">
        <v>611</v>
      </c>
      <c r="S599" s="26" t="str">
        <f>HYPERLINK("https://miland.ru/api/getInfo/image/4d107d4b-f63a-11ed-a238-00155d82e902")</f>
        <v>https://miland.ru/api/getInfo/image/4d107d4b-f63a-11ed-a238-00155d82e902</v>
      </c>
    </row>
    <row r="600" spans="1:19" s="2" customFormat="1" ht="96.2" customHeight="1" outlineLevel="7">
      <c r="A600" s="25">
        <v>418</v>
      </c>
      <c r="B600" s="26" t="s">
        <v>1802</v>
      </c>
      <c r="C600" s="66" t="s">
        <v>1803</v>
      </c>
      <c r="D600" s="66"/>
      <c r="E600" s="66"/>
      <c r="F600" s="66"/>
      <c r="G600" s="27" t="s">
        <v>1804</v>
      </c>
      <c r="H600" s="33">
        <v>3</v>
      </c>
      <c r="I600" s="29"/>
      <c r="J600" s="25">
        <v>1</v>
      </c>
      <c r="K600" s="37">
        <v>2101.31</v>
      </c>
      <c r="L600" s="17"/>
      <c r="M600" s="29">
        <f t="shared" si="28"/>
        <v>0</v>
      </c>
      <c r="N600" s="34">
        <f>2.12*L600</f>
        <v>0</v>
      </c>
      <c r="O600" s="32">
        <f>0.00998*L600</f>
        <v>0</v>
      </c>
      <c r="P600" s="36"/>
      <c r="Q600" s="29" t="s">
        <v>1805</v>
      </c>
      <c r="R600" s="29" t="s">
        <v>611</v>
      </c>
      <c r="S600" s="26" t="str">
        <f>HYPERLINK("https://miland.ru/api/getInfo/image/273d1501-f639-11ed-a238-00155d82e902")</f>
        <v>https://miland.ru/api/getInfo/image/273d1501-f639-11ed-a238-00155d82e902</v>
      </c>
    </row>
    <row r="601" spans="1:19" s="2" customFormat="1" ht="96.2" customHeight="1" outlineLevel="7">
      <c r="A601" s="25">
        <v>419</v>
      </c>
      <c r="B601" s="26" t="s">
        <v>1806</v>
      </c>
      <c r="C601" s="66" t="s">
        <v>1807</v>
      </c>
      <c r="D601" s="66"/>
      <c r="E601" s="66"/>
      <c r="F601" s="66"/>
      <c r="G601" s="27" t="s">
        <v>1808</v>
      </c>
      <c r="H601" s="33">
        <v>3</v>
      </c>
      <c r="I601" s="29"/>
      <c r="J601" s="25">
        <v>1</v>
      </c>
      <c r="K601" s="37">
        <v>2183.7199999999998</v>
      </c>
      <c r="L601" s="17"/>
      <c r="M601" s="29">
        <f t="shared" si="28"/>
        <v>0</v>
      </c>
      <c r="N601" s="34">
        <f>2.32*L601</f>
        <v>0</v>
      </c>
      <c r="O601" s="32">
        <f>0.01005*L601</f>
        <v>0</v>
      </c>
      <c r="P601" s="36"/>
      <c r="Q601" s="29" t="s">
        <v>1809</v>
      </c>
      <c r="R601" s="29" t="s">
        <v>611</v>
      </c>
      <c r="S601" s="26" t="str">
        <f>HYPERLINK("https://miland.ru/api/getInfo/image/9c21310d-f639-11ed-a238-00155d82e902")</f>
        <v>https://miland.ru/api/getInfo/image/9c21310d-f639-11ed-a238-00155d82e902</v>
      </c>
    </row>
    <row r="602" spans="1:19" s="2" customFormat="1" ht="96.2" customHeight="1" outlineLevel="7">
      <c r="A602" s="25">
        <v>420</v>
      </c>
      <c r="B602" s="26" t="s">
        <v>1810</v>
      </c>
      <c r="C602" s="66" t="s">
        <v>1811</v>
      </c>
      <c r="D602" s="66"/>
      <c r="E602" s="66"/>
      <c r="F602" s="66"/>
      <c r="G602" s="27" t="s">
        <v>1812</v>
      </c>
      <c r="H602" s="33">
        <v>6</v>
      </c>
      <c r="I602" s="29"/>
      <c r="J602" s="25">
        <v>1</v>
      </c>
      <c r="K602" s="37">
        <v>2307.33</v>
      </c>
      <c r="L602" s="17"/>
      <c r="M602" s="29">
        <f t="shared" si="28"/>
        <v>0</v>
      </c>
      <c r="N602" s="31">
        <f>1.374*L602</f>
        <v>0</v>
      </c>
      <c r="O602" s="32">
        <f>0.00947*L602</f>
        <v>0</v>
      </c>
      <c r="P602" s="36"/>
      <c r="Q602" s="29" t="s">
        <v>1813</v>
      </c>
      <c r="R602" s="29" t="s">
        <v>611</v>
      </c>
      <c r="S602" s="26" t="str">
        <f>HYPERLINK("https://miland.ru/api/getInfo/image/2cb5e9fb-f615-11ed-a238-00155d82e902")</f>
        <v>https://miland.ru/api/getInfo/image/2cb5e9fb-f615-11ed-a238-00155d82e902</v>
      </c>
    </row>
    <row r="603" spans="1:19" s="2" customFormat="1" ht="96.2" customHeight="1" outlineLevel="7">
      <c r="A603" s="25">
        <v>421</v>
      </c>
      <c r="B603" s="26" t="s">
        <v>1814</v>
      </c>
      <c r="C603" s="66" t="s">
        <v>1815</v>
      </c>
      <c r="D603" s="66"/>
      <c r="E603" s="66"/>
      <c r="F603" s="66"/>
      <c r="G603" s="27" t="s">
        <v>1816</v>
      </c>
      <c r="H603" s="33">
        <v>21</v>
      </c>
      <c r="I603" s="29"/>
      <c r="J603" s="25">
        <v>1</v>
      </c>
      <c r="K603" s="37">
        <v>2389.73</v>
      </c>
      <c r="L603" s="17"/>
      <c r="M603" s="29">
        <f t="shared" si="28"/>
        <v>0</v>
      </c>
      <c r="N603" s="31">
        <f>1.477*L603</f>
        <v>0</v>
      </c>
      <c r="O603" s="32">
        <f>0.00996*L603</f>
        <v>0</v>
      </c>
      <c r="P603" s="36"/>
      <c r="Q603" s="29" t="s">
        <v>1817</v>
      </c>
      <c r="R603" s="29" t="s">
        <v>611</v>
      </c>
      <c r="S603" s="26" t="str">
        <f>HYPERLINK("https://miland.ru/api/getInfo/image/761889e6-f61c-11ed-a238-00155d82e902")</f>
        <v>https://miland.ru/api/getInfo/image/761889e6-f61c-11ed-a238-00155d82e902</v>
      </c>
    </row>
    <row r="604" spans="1:19" s="2" customFormat="1" ht="96.2" customHeight="1" outlineLevel="7">
      <c r="A604" s="25">
        <v>422</v>
      </c>
      <c r="B604" s="26" t="s">
        <v>1818</v>
      </c>
      <c r="C604" s="66" t="s">
        <v>1819</v>
      </c>
      <c r="D604" s="66"/>
      <c r="E604" s="66"/>
      <c r="F604" s="66"/>
      <c r="G604" s="27" t="s">
        <v>1820</v>
      </c>
      <c r="H604" s="33">
        <v>15</v>
      </c>
      <c r="I604" s="29"/>
      <c r="J604" s="25">
        <v>1</v>
      </c>
      <c r="K604" s="37">
        <v>2266.12</v>
      </c>
      <c r="L604" s="17"/>
      <c r="M604" s="29">
        <f t="shared" si="28"/>
        <v>0</v>
      </c>
      <c r="N604" s="34">
        <f>2.12*L604</f>
        <v>0</v>
      </c>
      <c r="O604" s="35">
        <f>0.0098*L604</f>
        <v>0</v>
      </c>
      <c r="P604" s="36"/>
      <c r="Q604" s="29" t="s">
        <v>1821</v>
      </c>
      <c r="R604" s="29" t="s">
        <v>611</v>
      </c>
      <c r="S604" s="26" t="str">
        <f>HYPERLINK("https://miland.ru/api/getInfo/image/8bc984c0-f640-11ed-a238-00155d82e902")</f>
        <v>https://miland.ru/api/getInfo/image/8bc984c0-f640-11ed-a238-00155d82e902</v>
      </c>
    </row>
    <row r="605" spans="1:19" s="2" customFormat="1" ht="96.2" customHeight="1" outlineLevel="7">
      <c r="A605" s="25">
        <v>423</v>
      </c>
      <c r="B605" s="26" t="s">
        <v>1822</v>
      </c>
      <c r="C605" s="66" t="s">
        <v>1823</v>
      </c>
      <c r="D605" s="66"/>
      <c r="E605" s="66"/>
      <c r="F605" s="66"/>
      <c r="G605" s="27" t="s">
        <v>1824</v>
      </c>
      <c r="H605" s="33">
        <v>7</v>
      </c>
      <c r="I605" s="29"/>
      <c r="J605" s="25">
        <v>1</v>
      </c>
      <c r="K605" s="37">
        <v>2430.9299999999998</v>
      </c>
      <c r="L605" s="17"/>
      <c r="M605" s="29">
        <f t="shared" si="28"/>
        <v>0</v>
      </c>
      <c r="N605" s="34">
        <f>2.16*L605</f>
        <v>0</v>
      </c>
      <c r="O605" s="32">
        <f>0.00997*L605</f>
        <v>0</v>
      </c>
      <c r="P605" s="36"/>
      <c r="Q605" s="29" t="s">
        <v>1825</v>
      </c>
      <c r="R605" s="29" t="s">
        <v>611</v>
      </c>
      <c r="S605" s="26" t="str">
        <f>HYPERLINK("https://miland.ru/api/getInfo/image/dfd607d5-f63f-11ed-a238-00155d82e902")</f>
        <v>https://miland.ru/api/getInfo/image/dfd607d5-f63f-11ed-a238-00155d82e902</v>
      </c>
    </row>
    <row r="606" spans="1:19" s="2" customFormat="1" ht="96.2" customHeight="1" outlineLevel="7">
      <c r="A606" s="25">
        <v>424</v>
      </c>
      <c r="B606" s="26" t="s">
        <v>1826</v>
      </c>
      <c r="C606" s="66" t="s">
        <v>1827</v>
      </c>
      <c r="D606" s="66"/>
      <c r="E606" s="66"/>
      <c r="F606" s="66"/>
      <c r="G606" s="27" t="s">
        <v>1828</v>
      </c>
      <c r="H606" s="33">
        <v>8</v>
      </c>
      <c r="I606" s="29"/>
      <c r="J606" s="25">
        <v>1</v>
      </c>
      <c r="K606" s="37">
        <v>2513.34</v>
      </c>
      <c r="L606" s="17"/>
      <c r="M606" s="29">
        <f t="shared" si="28"/>
        <v>0</v>
      </c>
      <c r="N606" s="41">
        <f>2.3*L606</f>
        <v>0</v>
      </c>
      <c r="O606" s="32">
        <f>0.01032*L606</f>
        <v>0</v>
      </c>
      <c r="P606" s="36"/>
      <c r="Q606" s="29" t="s">
        <v>1829</v>
      </c>
      <c r="R606" s="29" t="s">
        <v>611</v>
      </c>
      <c r="S606" s="26" t="str">
        <f>HYPERLINK("https://miland.ru/api/getInfo/image/37401fad-f640-11ed-a238-00155d82e902")</f>
        <v>https://miland.ru/api/getInfo/image/37401fad-f640-11ed-a238-00155d82e902</v>
      </c>
    </row>
    <row r="607" spans="1:19" s="2" customFormat="1" ht="96.2" customHeight="1" outlineLevel="7">
      <c r="A607" s="25">
        <v>425</v>
      </c>
      <c r="B607" s="26" t="s">
        <v>1830</v>
      </c>
      <c r="C607" s="66" t="s">
        <v>1831</v>
      </c>
      <c r="D607" s="66"/>
      <c r="E607" s="66"/>
      <c r="F607" s="66"/>
      <c r="G607" s="27" t="s">
        <v>1832</v>
      </c>
      <c r="H607" s="33">
        <v>7</v>
      </c>
      <c r="I607" s="29"/>
      <c r="J607" s="25">
        <v>1</v>
      </c>
      <c r="K607" s="37">
        <v>5032.0600000000004</v>
      </c>
      <c r="L607" s="17"/>
      <c r="M607" s="29">
        <f t="shared" si="28"/>
        <v>0</v>
      </c>
      <c r="N607" s="41">
        <f>2.1*L607</f>
        <v>0</v>
      </c>
      <c r="O607" s="32">
        <f>0.01648*L607</f>
        <v>0</v>
      </c>
      <c r="P607" s="36"/>
      <c r="Q607" s="29" t="s">
        <v>1833</v>
      </c>
      <c r="R607" s="29" t="s">
        <v>611</v>
      </c>
      <c r="S607" s="26" t="str">
        <f>HYPERLINK("https://miland.ru/api/getInfo/image/92e49997-f633-11ed-a238-00155d82e902")</f>
        <v>https://miland.ru/api/getInfo/image/92e49997-f633-11ed-a238-00155d82e902</v>
      </c>
    </row>
    <row r="608" spans="1:19" s="2" customFormat="1" ht="96.2" customHeight="1" outlineLevel="7">
      <c r="A608" s="25">
        <v>426</v>
      </c>
      <c r="B608" s="26" t="s">
        <v>1834</v>
      </c>
      <c r="C608" s="66" t="s">
        <v>1835</v>
      </c>
      <c r="D608" s="66"/>
      <c r="E608" s="66"/>
      <c r="F608" s="66"/>
      <c r="G608" s="27" t="s">
        <v>1836</v>
      </c>
      <c r="H608" s="33">
        <v>4</v>
      </c>
      <c r="I608" s="29"/>
      <c r="J608" s="25">
        <v>1</v>
      </c>
      <c r="K608" s="37">
        <v>2101.31</v>
      </c>
      <c r="L608" s="17"/>
      <c r="M608" s="29">
        <f t="shared" si="28"/>
        <v>0</v>
      </c>
      <c r="N608" s="31">
        <f>1.088*L608</f>
        <v>0</v>
      </c>
      <c r="O608" s="32">
        <f>0.00888*L608</f>
        <v>0</v>
      </c>
      <c r="P608" s="36"/>
      <c r="Q608" s="29" t="s">
        <v>1837</v>
      </c>
      <c r="R608" s="29" t="s">
        <v>611</v>
      </c>
      <c r="S608" s="26" t="str">
        <f>HYPERLINK("https://miland.ru/api/getInfo/image/42b9cba6-f631-11ed-a238-00155d82e902")</f>
        <v>https://miland.ru/api/getInfo/image/42b9cba6-f631-11ed-a238-00155d82e902</v>
      </c>
    </row>
    <row r="609" spans="1:19" s="2" customFormat="1" ht="96.2" customHeight="1" outlineLevel="7">
      <c r="A609" s="25">
        <v>427</v>
      </c>
      <c r="B609" s="26" t="s">
        <v>1838</v>
      </c>
      <c r="C609" s="66" t="s">
        <v>1839</v>
      </c>
      <c r="D609" s="66"/>
      <c r="E609" s="66"/>
      <c r="F609" s="66"/>
      <c r="G609" s="27" t="s">
        <v>1840</v>
      </c>
      <c r="H609" s="33">
        <v>1</v>
      </c>
      <c r="I609" s="29"/>
      <c r="J609" s="25">
        <v>1</v>
      </c>
      <c r="K609" s="37">
        <v>2183.7199999999998</v>
      </c>
      <c r="L609" s="17"/>
      <c r="M609" s="29">
        <f t="shared" si="28"/>
        <v>0</v>
      </c>
      <c r="N609" s="31">
        <f>1.166*L609</f>
        <v>0</v>
      </c>
      <c r="O609" s="32">
        <f>0.00862*L609</f>
        <v>0</v>
      </c>
      <c r="P609" s="36"/>
      <c r="Q609" s="29" t="s">
        <v>1841</v>
      </c>
      <c r="R609" s="29" t="s">
        <v>611</v>
      </c>
      <c r="S609" s="26" t="str">
        <f>HYPERLINK("https://miland.ru/api/getInfo/image/b1a925ea-f632-11ed-a238-00155d82e902")</f>
        <v>https://miland.ru/api/getInfo/image/b1a925ea-f632-11ed-a238-00155d82e902</v>
      </c>
    </row>
    <row r="610" spans="1:19" s="2" customFormat="1" ht="96.2" customHeight="1" outlineLevel="7">
      <c r="A610" s="25">
        <v>428</v>
      </c>
      <c r="B610" s="26" t="s">
        <v>1842</v>
      </c>
      <c r="C610" s="66" t="s">
        <v>1843</v>
      </c>
      <c r="D610" s="66"/>
      <c r="E610" s="66"/>
      <c r="F610" s="66"/>
      <c r="G610" s="27" t="s">
        <v>1844</v>
      </c>
      <c r="H610" s="33">
        <v>176</v>
      </c>
      <c r="I610" s="29"/>
      <c r="J610" s="25">
        <v>1</v>
      </c>
      <c r="K610" s="37">
        <v>3235</v>
      </c>
      <c r="L610" s="17"/>
      <c r="M610" s="29">
        <f t="shared" si="28"/>
        <v>0</v>
      </c>
      <c r="N610" s="31">
        <f>1.141*L610</f>
        <v>0</v>
      </c>
      <c r="O610" s="32">
        <f>0.01064*L610</f>
        <v>0</v>
      </c>
      <c r="P610" s="36"/>
      <c r="Q610" s="29" t="s">
        <v>1845</v>
      </c>
      <c r="R610" s="29" t="s">
        <v>611</v>
      </c>
      <c r="S610" s="26" t="str">
        <f>HYPERLINK("https://miland.ru/api/getInfo/image/ea040833-0808-11ed-a215-ac1f6b442185")</f>
        <v>https://miland.ru/api/getInfo/image/ea040833-0808-11ed-a215-ac1f6b442185</v>
      </c>
    </row>
    <row r="611" spans="1:19" s="2" customFormat="1" ht="96.2" customHeight="1" outlineLevel="7">
      <c r="A611" s="25">
        <v>429</v>
      </c>
      <c r="B611" s="26" t="s">
        <v>1846</v>
      </c>
      <c r="C611" s="66" t="s">
        <v>1847</v>
      </c>
      <c r="D611" s="66"/>
      <c r="E611" s="66"/>
      <c r="F611" s="66"/>
      <c r="G611" s="27" t="s">
        <v>1848</v>
      </c>
      <c r="H611" s="33">
        <v>1</v>
      </c>
      <c r="I611" s="29"/>
      <c r="J611" s="25">
        <v>1</v>
      </c>
      <c r="K611" s="37">
        <v>1556</v>
      </c>
      <c r="L611" s="17"/>
      <c r="M611" s="29">
        <f t="shared" si="28"/>
        <v>0</v>
      </c>
      <c r="N611" s="31">
        <f>0.543*L611</f>
        <v>0</v>
      </c>
      <c r="O611" s="32">
        <f>0.00508*L611</f>
        <v>0</v>
      </c>
      <c r="P611" s="36"/>
      <c r="Q611" s="29" t="s">
        <v>1849</v>
      </c>
      <c r="R611" s="29" t="s">
        <v>611</v>
      </c>
      <c r="S611" s="26" t="str">
        <f>HYPERLINK("https://miland.ru/api/getInfo/image/17375292-0807-11ed-a215-ac1f6b442185")</f>
        <v>https://miland.ru/api/getInfo/image/17375292-0807-11ed-a215-ac1f6b442185</v>
      </c>
    </row>
    <row r="612" spans="1:19" s="2" customFormat="1" ht="96.2" customHeight="1" outlineLevel="7">
      <c r="A612" s="25">
        <v>430</v>
      </c>
      <c r="B612" s="26" t="s">
        <v>1850</v>
      </c>
      <c r="C612" s="66" t="s">
        <v>1851</v>
      </c>
      <c r="D612" s="66"/>
      <c r="E612" s="66"/>
      <c r="F612" s="66"/>
      <c r="G612" s="27" t="s">
        <v>1852</v>
      </c>
      <c r="H612" s="33">
        <v>17</v>
      </c>
      <c r="I612" s="29"/>
      <c r="J612" s="25">
        <v>1</v>
      </c>
      <c r="K612" s="37">
        <v>1845.93</v>
      </c>
      <c r="L612" s="17"/>
      <c r="M612" s="29">
        <f t="shared" si="28"/>
        <v>0</v>
      </c>
      <c r="N612" s="31">
        <f>0.596*L612</f>
        <v>0</v>
      </c>
      <c r="O612" s="32">
        <f>0.00516*L612</f>
        <v>0</v>
      </c>
      <c r="P612" s="36"/>
      <c r="Q612" s="29" t="s">
        <v>1853</v>
      </c>
      <c r="R612" s="29" t="s">
        <v>611</v>
      </c>
      <c r="S612" s="26" t="str">
        <f>HYPERLINK("https://miland.ru/api/getInfo/image/5c273e86-0807-11ed-a215-ac1f6b442185")</f>
        <v>https://miland.ru/api/getInfo/image/5c273e86-0807-11ed-a215-ac1f6b442185</v>
      </c>
    </row>
    <row r="613" spans="1:19" s="1" customFormat="1" ht="12" customHeight="1" outlineLevel="6">
      <c r="A613" s="64" t="s">
        <v>1720</v>
      </c>
      <c r="B613" s="64"/>
      <c r="C613" s="64"/>
      <c r="D613" s="64"/>
      <c r="E613" s="64"/>
      <c r="F613" s="64"/>
      <c r="G613" s="8"/>
      <c r="H613" s="12"/>
      <c r="I613" s="2"/>
      <c r="J613" s="2"/>
      <c r="K613" s="13"/>
      <c r="L613" s="2"/>
      <c r="M613" s="2"/>
      <c r="N613" s="2"/>
      <c r="O613" s="2"/>
      <c r="P613" s="2"/>
      <c r="Q613" s="2"/>
      <c r="R613" s="2"/>
      <c r="S613" s="2"/>
    </row>
    <row r="614" spans="1:19" s="2" customFormat="1" ht="96.2" customHeight="1" outlineLevel="7">
      <c r="A614" s="25">
        <v>431</v>
      </c>
      <c r="B614" s="26" t="s">
        <v>1854</v>
      </c>
      <c r="C614" s="66" t="s">
        <v>1855</v>
      </c>
      <c r="D614" s="66"/>
      <c r="E614" s="66"/>
      <c r="F614" s="66"/>
      <c r="G614" s="27" t="s">
        <v>1856</v>
      </c>
      <c r="H614" s="33">
        <v>5</v>
      </c>
      <c r="I614" s="29"/>
      <c r="J614" s="25">
        <v>1</v>
      </c>
      <c r="K614" s="37">
        <v>1281.98</v>
      </c>
      <c r="L614" s="17"/>
      <c r="M614" s="29">
        <f t="shared" ref="M614:M620" si="29">K614*L614</f>
        <v>0</v>
      </c>
      <c r="N614" s="31">
        <f>0.203*L614</f>
        <v>0</v>
      </c>
      <c r="O614" s="31">
        <f>0.001*L614</f>
        <v>0</v>
      </c>
      <c r="P614" s="36"/>
      <c r="Q614" s="29" t="s">
        <v>1857</v>
      </c>
      <c r="R614" s="29" t="s">
        <v>611</v>
      </c>
      <c r="S614" s="26" t="str">
        <f>HYPERLINK("https://miland.ru/api/getInfo/image/a758d2fa-9cf6-11eb-a201-ac1f6b442185")</f>
        <v>https://miland.ru/api/getInfo/image/a758d2fa-9cf6-11eb-a201-ac1f6b442185</v>
      </c>
    </row>
    <row r="615" spans="1:19" s="2" customFormat="1" ht="96.2" customHeight="1" outlineLevel="7">
      <c r="A615" s="25">
        <v>432</v>
      </c>
      <c r="B615" s="26" t="s">
        <v>1858</v>
      </c>
      <c r="C615" s="66" t="s">
        <v>1859</v>
      </c>
      <c r="D615" s="66"/>
      <c r="E615" s="66"/>
      <c r="F615" s="66"/>
      <c r="G615" s="27" t="s">
        <v>1860</v>
      </c>
      <c r="H615" s="33">
        <v>3</v>
      </c>
      <c r="I615" s="29"/>
      <c r="J615" s="25">
        <v>1</v>
      </c>
      <c r="K615" s="37">
        <v>1062.5999999999999</v>
      </c>
      <c r="L615" s="17"/>
      <c r="M615" s="29">
        <f t="shared" si="29"/>
        <v>0</v>
      </c>
      <c r="N615" s="34">
        <f>0.14*L615</f>
        <v>0</v>
      </c>
      <c r="O615" s="32">
        <f>0.00076*L615</f>
        <v>0</v>
      </c>
      <c r="P615" s="36"/>
      <c r="Q615" s="29" t="s">
        <v>1861</v>
      </c>
      <c r="R615" s="29" t="s">
        <v>611</v>
      </c>
      <c r="S615" s="26" t="str">
        <f>HYPERLINK("https://miland.ru/api/getInfo/image/b98b205f-9e90-11eb-a201-ac1f6b442185")</f>
        <v>https://miland.ru/api/getInfo/image/b98b205f-9e90-11eb-a201-ac1f6b442185</v>
      </c>
    </row>
    <row r="616" spans="1:19" s="2" customFormat="1" ht="96.2" customHeight="1" outlineLevel="7">
      <c r="A616" s="25">
        <v>433</v>
      </c>
      <c r="B616" s="26" t="s">
        <v>1862</v>
      </c>
      <c r="C616" s="66" t="s">
        <v>1863</v>
      </c>
      <c r="D616" s="66"/>
      <c r="E616" s="66"/>
      <c r="F616" s="66"/>
      <c r="G616" s="27" t="s">
        <v>1864</v>
      </c>
      <c r="H616" s="33">
        <v>7</v>
      </c>
      <c r="I616" s="29"/>
      <c r="J616" s="25">
        <v>1</v>
      </c>
      <c r="K616" s="37">
        <v>1748.15</v>
      </c>
      <c r="L616" s="17"/>
      <c r="M616" s="29">
        <f t="shared" si="29"/>
        <v>0</v>
      </c>
      <c r="N616" s="34">
        <f>0.18*L616</f>
        <v>0</v>
      </c>
      <c r="O616" s="32">
        <f>0.00076*L616</f>
        <v>0</v>
      </c>
      <c r="P616" s="36"/>
      <c r="Q616" s="29" t="s">
        <v>1865</v>
      </c>
      <c r="R616" s="29" t="s">
        <v>611</v>
      </c>
      <c r="S616" s="26" t="str">
        <f>HYPERLINK("https://miland.ru/api/getInfo/image/1a17d65a-9e94-11eb-a201-ac1f6b442185")</f>
        <v>https://miland.ru/api/getInfo/image/1a17d65a-9e94-11eb-a201-ac1f6b442185</v>
      </c>
    </row>
    <row r="617" spans="1:19" s="2" customFormat="1" ht="96.2" customHeight="1" outlineLevel="7">
      <c r="A617" s="25">
        <v>434</v>
      </c>
      <c r="B617" s="26" t="s">
        <v>1866</v>
      </c>
      <c r="C617" s="66" t="s">
        <v>1867</v>
      </c>
      <c r="D617" s="66"/>
      <c r="E617" s="66"/>
      <c r="F617" s="66"/>
      <c r="G617" s="27" t="s">
        <v>1868</v>
      </c>
      <c r="H617" s="33">
        <v>2</v>
      </c>
      <c r="I617" s="29"/>
      <c r="J617" s="25">
        <v>1</v>
      </c>
      <c r="K617" s="37">
        <v>1388.24</v>
      </c>
      <c r="L617" s="17"/>
      <c r="M617" s="29">
        <f t="shared" si="29"/>
        <v>0</v>
      </c>
      <c r="N617" s="34">
        <f>0.18*L617</f>
        <v>0</v>
      </c>
      <c r="O617" s="32">
        <f>0.00076*L617</f>
        <v>0</v>
      </c>
      <c r="P617" s="36"/>
      <c r="Q617" s="29" t="s">
        <v>1869</v>
      </c>
      <c r="R617" s="29" t="s">
        <v>611</v>
      </c>
      <c r="S617" s="26" t="str">
        <f>HYPERLINK("https://miland.ru/api/getInfo/image/4680e459-9e93-11eb-a201-ac1f6b442185")</f>
        <v>https://miland.ru/api/getInfo/image/4680e459-9e93-11eb-a201-ac1f6b442185</v>
      </c>
    </row>
    <row r="618" spans="1:19" s="2" customFormat="1" ht="96.2" customHeight="1" outlineLevel="7">
      <c r="A618" s="25">
        <v>435</v>
      </c>
      <c r="B618" s="26" t="s">
        <v>1870</v>
      </c>
      <c r="C618" s="66" t="s">
        <v>1871</v>
      </c>
      <c r="D618" s="66"/>
      <c r="E618" s="66"/>
      <c r="F618" s="66"/>
      <c r="G618" s="27" t="s">
        <v>1872</v>
      </c>
      <c r="H618" s="33">
        <v>13</v>
      </c>
      <c r="I618" s="29"/>
      <c r="J618" s="25">
        <v>1</v>
      </c>
      <c r="K618" s="30">
        <v>439.17</v>
      </c>
      <c r="L618" s="17"/>
      <c r="M618" s="29">
        <f t="shared" si="29"/>
        <v>0</v>
      </c>
      <c r="N618" s="34">
        <f>0.18*L618</f>
        <v>0</v>
      </c>
      <c r="O618" s="32">
        <f>0.00077*L618</f>
        <v>0</v>
      </c>
      <c r="P618" s="36"/>
      <c r="Q618" s="29" t="s">
        <v>1873</v>
      </c>
      <c r="R618" s="29" t="s">
        <v>611</v>
      </c>
      <c r="S618" s="26" t="str">
        <f>HYPERLINK("https://miland.ru/api/getInfo/image/236096de-04fb-11ee-a23b-00155d82e902")</f>
        <v>https://miland.ru/api/getInfo/image/236096de-04fb-11ee-a23b-00155d82e902</v>
      </c>
    </row>
    <row r="619" spans="1:19" s="2" customFormat="1" ht="96.2" customHeight="1" outlineLevel="7">
      <c r="A619" s="25">
        <v>436</v>
      </c>
      <c r="B619" s="26" t="s">
        <v>1874</v>
      </c>
      <c r="C619" s="66" t="s">
        <v>1875</v>
      </c>
      <c r="D619" s="66"/>
      <c r="E619" s="66"/>
      <c r="F619" s="66"/>
      <c r="G619" s="27" t="s">
        <v>1876</v>
      </c>
      <c r="H619" s="33">
        <v>10</v>
      </c>
      <c r="I619" s="29"/>
      <c r="J619" s="25">
        <v>2</v>
      </c>
      <c r="K619" s="30">
        <v>439.17</v>
      </c>
      <c r="L619" s="17"/>
      <c r="M619" s="29">
        <f t="shared" si="29"/>
        <v>0</v>
      </c>
      <c r="N619" s="31">
        <f>0.176*L619</f>
        <v>0</v>
      </c>
      <c r="O619" s="32">
        <f>0.00064*L619</f>
        <v>0</v>
      </c>
      <c r="P619" s="36"/>
      <c r="Q619" s="29" t="s">
        <v>1877</v>
      </c>
      <c r="R619" s="29" t="s">
        <v>611</v>
      </c>
      <c r="S619" s="26" t="str">
        <f>HYPERLINK("https://miland.ru/api/getInfo/image/48e1c042-04fb-11ee-a23b-00155d82e902")</f>
        <v>https://miland.ru/api/getInfo/image/48e1c042-04fb-11ee-a23b-00155d82e902</v>
      </c>
    </row>
    <row r="620" spans="1:19" s="2" customFormat="1" ht="96.2" customHeight="1" outlineLevel="7">
      <c r="A620" s="25">
        <v>437</v>
      </c>
      <c r="B620" s="26" t="s">
        <v>1878</v>
      </c>
      <c r="C620" s="66" t="s">
        <v>1879</v>
      </c>
      <c r="D620" s="66"/>
      <c r="E620" s="66"/>
      <c r="F620" s="66"/>
      <c r="G620" s="27" t="s">
        <v>1880</v>
      </c>
      <c r="H620" s="33">
        <v>20</v>
      </c>
      <c r="I620" s="29"/>
      <c r="J620" s="25">
        <v>1</v>
      </c>
      <c r="K620" s="37">
        <v>1004.78</v>
      </c>
      <c r="L620" s="17"/>
      <c r="M620" s="29">
        <f t="shared" si="29"/>
        <v>0</v>
      </c>
      <c r="N620" s="31">
        <f>0.191*L620</f>
        <v>0</v>
      </c>
      <c r="O620" s="32">
        <f>0.00103*L620</f>
        <v>0</v>
      </c>
      <c r="P620" s="36"/>
      <c r="Q620" s="29" t="s">
        <v>1881</v>
      </c>
      <c r="R620" s="29" t="s">
        <v>611</v>
      </c>
      <c r="S620" s="26" t="str">
        <f>HYPERLINK("https://miland.ru/api/getInfo/image/6f72cc6b-9cf6-11eb-a201-ac1f6b442185")</f>
        <v>https://miland.ru/api/getInfo/image/6f72cc6b-9cf6-11eb-a201-ac1f6b442185</v>
      </c>
    </row>
    <row r="621" spans="1:19" s="1" customFormat="1" ht="12" customHeight="1" outlineLevel="5">
      <c r="A621" s="64" t="s">
        <v>1882</v>
      </c>
      <c r="B621" s="64"/>
      <c r="C621" s="64"/>
      <c r="D621" s="64"/>
      <c r="E621" s="64"/>
      <c r="F621" s="64"/>
      <c r="G621" s="8"/>
      <c r="H621" s="12"/>
      <c r="I621" s="2"/>
      <c r="J621" s="2"/>
      <c r="K621" s="13"/>
      <c r="L621" s="2"/>
      <c r="M621" s="2"/>
      <c r="N621" s="2"/>
      <c r="O621" s="2"/>
      <c r="P621" s="2"/>
      <c r="Q621" s="2"/>
      <c r="R621" s="2"/>
      <c r="S621" s="2"/>
    </row>
    <row r="622" spans="1:19" s="1" customFormat="1" ht="12" customHeight="1" outlineLevel="6">
      <c r="A622" s="64" t="s">
        <v>1882</v>
      </c>
      <c r="B622" s="64"/>
      <c r="C622" s="64"/>
      <c r="D622" s="64"/>
      <c r="E622" s="64"/>
      <c r="F622" s="64"/>
      <c r="G622" s="8"/>
      <c r="H622" s="12"/>
      <c r="I622" s="2"/>
      <c r="J622" s="2"/>
      <c r="K622" s="13"/>
      <c r="L622" s="2"/>
      <c r="M622" s="2"/>
      <c r="N622" s="2"/>
      <c r="O622" s="2"/>
      <c r="P622" s="2"/>
      <c r="Q622" s="2"/>
      <c r="R622" s="2"/>
      <c r="S622" s="2"/>
    </row>
    <row r="623" spans="1:19" s="2" customFormat="1" ht="96.2" customHeight="1" outlineLevel="7">
      <c r="A623" s="25">
        <v>438</v>
      </c>
      <c r="B623" s="26" t="s">
        <v>1883</v>
      </c>
      <c r="C623" s="66" t="s">
        <v>1884</v>
      </c>
      <c r="D623" s="66"/>
      <c r="E623" s="66"/>
      <c r="F623" s="66"/>
      <c r="G623" s="27" t="s">
        <v>1885</v>
      </c>
      <c r="H623" s="28" t="s">
        <v>44</v>
      </c>
      <c r="I623" s="29"/>
      <c r="J623" s="25">
        <v>9</v>
      </c>
      <c r="K623" s="30">
        <v>54.85</v>
      </c>
      <c r="L623" s="17"/>
      <c r="M623" s="29">
        <f t="shared" ref="M623:M628" si="30">K623*L623</f>
        <v>0</v>
      </c>
      <c r="N623" s="31">
        <f>0.013*L623</f>
        <v>0</v>
      </c>
      <c r="O623" s="32">
        <f>0.00015*L623</f>
        <v>0</v>
      </c>
      <c r="P623" s="36"/>
      <c r="Q623" s="29" t="s">
        <v>1886</v>
      </c>
      <c r="R623" s="29" t="s">
        <v>611</v>
      </c>
      <c r="S623" s="26" t="str">
        <f>HYPERLINK("https://miland.ru/api/getInfo/image/998aebbf-8b48-11ec-a211-ac1f6b442185")</f>
        <v>https://miland.ru/api/getInfo/image/998aebbf-8b48-11ec-a211-ac1f6b442185</v>
      </c>
    </row>
    <row r="624" spans="1:19" s="2" customFormat="1" ht="96.2" customHeight="1" outlineLevel="7">
      <c r="A624" s="25">
        <v>439</v>
      </c>
      <c r="B624" s="26" t="s">
        <v>1887</v>
      </c>
      <c r="C624" s="66" t="s">
        <v>1888</v>
      </c>
      <c r="D624" s="66"/>
      <c r="E624" s="66"/>
      <c r="F624" s="66"/>
      <c r="G624" s="27" t="s">
        <v>1889</v>
      </c>
      <c r="H624" s="33">
        <v>15</v>
      </c>
      <c r="I624" s="29"/>
      <c r="J624" s="25">
        <v>3</v>
      </c>
      <c r="K624" s="30">
        <v>179.6</v>
      </c>
      <c r="L624" s="17"/>
      <c r="M624" s="29">
        <f t="shared" si="30"/>
        <v>0</v>
      </c>
      <c r="N624" s="31">
        <f>0.056*L624</f>
        <v>0</v>
      </c>
      <c r="O624" s="32">
        <f>0.00044*L624</f>
        <v>0</v>
      </c>
      <c r="P624" s="36"/>
      <c r="Q624" s="29" t="s">
        <v>1890</v>
      </c>
      <c r="R624" s="29" t="s">
        <v>611</v>
      </c>
      <c r="S624" s="26" t="str">
        <f>HYPERLINK("https://miland.ru/api/getInfo/image/e0c3fbd5-971e-11ed-a22d-00155d82e902")</f>
        <v>https://miland.ru/api/getInfo/image/e0c3fbd5-971e-11ed-a22d-00155d82e902</v>
      </c>
    </row>
    <row r="625" spans="1:19" s="2" customFormat="1" ht="96.2" customHeight="1" outlineLevel="7">
      <c r="A625" s="25">
        <v>440</v>
      </c>
      <c r="B625" s="26" t="s">
        <v>1891</v>
      </c>
      <c r="C625" s="66" t="s">
        <v>1892</v>
      </c>
      <c r="D625" s="66"/>
      <c r="E625" s="66"/>
      <c r="F625" s="66"/>
      <c r="G625" s="27" t="s">
        <v>1893</v>
      </c>
      <c r="H625" s="33">
        <v>180</v>
      </c>
      <c r="I625" s="29"/>
      <c r="J625" s="25">
        <v>2</v>
      </c>
      <c r="K625" s="30">
        <v>230.57</v>
      </c>
      <c r="L625" s="17"/>
      <c r="M625" s="29">
        <f t="shared" si="30"/>
        <v>0</v>
      </c>
      <c r="N625" s="31">
        <f>0.068*L625</f>
        <v>0</v>
      </c>
      <c r="O625" s="32">
        <f>0.00062*L625</f>
        <v>0</v>
      </c>
      <c r="P625" s="36"/>
      <c r="Q625" s="29" t="s">
        <v>1894</v>
      </c>
      <c r="R625" s="29" t="s">
        <v>611</v>
      </c>
      <c r="S625" s="26" t="str">
        <f>HYPERLINK("https://miland.ru/api/getInfo/image/101d2dd0-971f-11ed-a22d-00155d82e902")</f>
        <v>https://miland.ru/api/getInfo/image/101d2dd0-971f-11ed-a22d-00155d82e902</v>
      </c>
    </row>
    <row r="626" spans="1:19" s="2" customFormat="1" ht="96.2" customHeight="1" outlineLevel="7">
      <c r="A626" s="25">
        <v>441</v>
      </c>
      <c r="B626" s="26" t="s">
        <v>1895</v>
      </c>
      <c r="C626" s="66" t="s">
        <v>1896</v>
      </c>
      <c r="D626" s="66"/>
      <c r="E626" s="66"/>
      <c r="F626" s="66"/>
      <c r="G626" s="27" t="s">
        <v>1897</v>
      </c>
      <c r="H626" s="33">
        <v>3</v>
      </c>
      <c r="I626" s="29"/>
      <c r="J626" s="25">
        <v>2</v>
      </c>
      <c r="K626" s="30">
        <v>291.24</v>
      </c>
      <c r="L626" s="17"/>
      <c r="M626" s="29">
        <f t="shared" si="30"/>
        <v>0</v>
      </c>
      <c r="N626" s="31">
        <f>0.108*L626</f>
        <v>0</v>
      </c>
      <c r="O626" s="32">
        <f>0.00078*L626</f>
        <v>0</v>
      </c>
      <c r="P626" s="36"/>
      <c r="Q626" s="29" t="s">
        <v>1898</v>
      </c>
      <c r="R626" s="29" t="s">
        <v>611</v>
      </c>
      <c r="S626" s="26" t="str">
        <f>HYPERLINK("https://miland.ru/api/getInfo/image/3cb2408f-971f-11ed-a22d-00155d82e902")</f>
        <v>https://miland.ru/api/getInfo/image/3cb2408f-971f-11ed-a22d-00155d82e902</v>
      </c>
    </row>
    <row r="627" spans="1:19" s="2" customFormat="1" ht="96.2" customHeight="1" outlineLevel="7">
      <c r="A627" s="25">
        <v>442</v>
      </c>
      <c r="B627" s="26" t="s">
        <v>1899</v>
      </c>
      <c r="C627" s="66" t="s">
        <v>1900</v>
      </c>
      <c r="D627" s="66"/>
      <c r="E627" s="66"/>
      <c r="F627" s="66"/>
      <c r="G627" s="27" t="s">
        <v>1901</v>
      </c>
      <c r="H627" s="33">
        <v>460</v>
      </c>
      <c r="I627" s="29"/>
      <c r="J627" s="25">
        <v>7</v>
      </c>
      <c r="K627" s="30">
        <v>68.48</v>
      </c>
      <c r="L627" s="17"/>
      <c r="M627" s="29">
        <f t="shared" si="30"/>
        <v>0</v>
      </c>
      <c r="N627" s="31">
        <f>0.043*L627</f>
        <v>0</v>
      </c>
      <c r="O627" s="35">
        <f>0.0005*L627</f>
        <v>0</v>
      </c>
      <c r="P627" s="36"/>
      <c r="Q627" s="29" t="s">
        <v>1902</v>
      </c>
      <c r="R627" s="29" t="s">
        <v>611</v>
      </c>
      <c r="S627" s="26" t="str">
        <f>HYPERLINK("https://miland.ru/api/getInfo/image/0b1c2d83-9e87-11eb-a201-ac1f6b442185")</f>
        <v>https://miland.ru/api/getInfo/image/0b1c2d83-9e87-11eb-a201-ac1f6b442185</v>
      </c>
    </row>
    <row r="628" spans="1:19" s="2" customFormat="1" ht="96.2" customHeight="1" outlineLevel="7">
      <c r="A628" s="25">
        <v>443</v>
      </c>
      <c r="B628" s="26" t="s">
        <v>1903</v>
      </c>
      <c r="C628" s="66" t="s">
        <v>1904</v>
      </c>
      <c r="D628" s="66"/>
      <c r="E628" s="66"/>
      <c r="F628" s="66"/>
      <c r="G628" s="27" t="s">
        <v>1905</v>
      </c>
      <c r="H628" s="28" t="s">
        <v>44</v>
      </c>
      <c r="I628" s="29"/>
      <c r="J628" s="25">
        <v>6</v>
      </c>
      <c r="K628" s="30">
        <v>85.49</v>
      </c>
      <c r="L628" s="17"/>
      <c r="M628" s="29">
        <f t="shared" si="30"/>
        <v>0</v>
      </c>
      <c r="N628" s="31">
        <f>0.058*L628</f>
        <v>0</v>
      </c>
      <c r="O628" s="32">
        <f>0.00032*L628</f>
        <v>0</v>
      </c>
      <c r="P628" s="36"/>
      <c r="Q628" s="29" t="s">
        <v>1906</v>
      </c>
      <c r="R628" s="29" t="s">
        <v>611</v>
      </c>
      <c r="S628" s="26" t="str">
        <f>HYPERLINK("https://miland.ru/api/getInfo/image/309fbafd-9e87-11eb-a201-ac1f6b442185")</f>
        <v>https://miland.ru/api/getInfo/image/309fbafd-9e87-11eb-a201-ac1f6b442185</v>
      </c>
    </row>
    <row r="629" spans="1:19" s="1" customFormat="1" ht="12" customHeight="1" outlineLevel="6">
      <c r="A629" s="64" t="s">
        <v>1907</v>
      </c>
      <c r="B629" s="64"/>
      <c r="C629" s="64"/>
      <c r="D629" s="64"/>
      <c r="E629" s="64"/>
      <c r="F629" s="64"/>
      <c r="G629" s="8"/>
      <c r="H629" s="12"/>
      <c r="I629" s="2"/>
      <c r="J629" s="2"/>
      <c r="K629" s="13"/>
      <c r="L629" s="2"/>
      <c r="M629" s="2"/>
      <c r="N629" s="2"/>
      <c r="O629" s="2"/>
      <c r="P629" s="2"/>
      <c r="Q629" s="2"/>
      <c r="R629" s="2"/>
      <c r="S629" s="2"/>
    </row>
    <row r="630" spans="1:19" s="2" customFormat="1" ht="96.2" customHeight="1" outlineLevel="7">
      <c r="A630" s="25">
        <v>444</v>
      </c>
      <c r="B630" s="26" t="s">
        <v>1908</v>
      </c>
      <c r="C630" s="66" t="s">
        <v>1909</v>
      </c>
      <c r="D630" s="66"/>
      <c r="E630" s="66"/>
      <c r="F630" s="66"/>
      <c r="G630" s="27" t="s">
        <v>1910</v>
      </c>
      <c r="H630" s="28" t="s">
        <v>44</v>
      </c>
      <c r="I630" s="29"/>
      <c r="J630" s="25">
        <v>2</v>
      </c>
      <c r="K630" s="30">
        <v>367.39</v>
      </c>
      <c r="L630" s="17"/>
      <c r="M630" s="29">
        <f t="shared" ref="M630:M636" si="31">K630*L630</f>
        <v>0</v>
      </c>
      <c r="N630" s="31">
        <f>0.111*L630</f>
        <v>0</v>
      </c>
      <c r="O630" s="32">
        <f>0.00128*L630</f>
        <v>0</v>
      </c>
      <c r="P630" s="36"/>
      <c r="Q630" s="29" t="s">
        <v>1911</v>
      </c>
      <c r="R630" s="29"/>
      <c r="S630" s="26" t="str">
        <f>HYPERLINK("https://miland.ru/api/getInfo/image/f648d28f-5fc4-11ef-a262-00155d82e908")</f>
        <v>https://miland.ru/api/getInfo/image/f648d28f-5fc4-11ef-a262-00155d82e908</v>
      </c>
    </row>
    <row r="631" spans="1:19" s="2" customFormat="1" ht="96.2" customHeight="1" outlineLevel="7">
      <c r="A631" s="9">
        <v>445</v>
      </c>
      <c r="B631" s="10" t="s">
        <v>1912</v>
      </c>
      <c r="C631" s="65" t="s">
        <v>1913</v>
      </c>
      <c r="D631" s="65"/>
      <c r="E631" s="65"/>
      <c r="F631" s="65"/>
      <c r="G631" s="11" t="s">
        <v>1914</v>
      </c>
      <c r="H631" s="21" t="s">
        <v>44</v>
      </c>
      <c r="I631" s="15"/>
      <c r="J631" s="9">
        <v>1</v>
      </c>
      <c r="K631" s="16">
        <v>488.11</v>
      </c>
      <c r="L631" s="17"/>
      <c r="M631" s="15">
        <f t="shared" si="31"/>
        <v>0</v>
      </c>
      <c r="N631" s="18">
        <f>0.154*L631</f>
        <v>0</v>
      </c>
      <c r="O631" s="20">
        <f>0.0006*L631</f>
        <v>0</v>
      </c>
      <c r="P631" s="24" t="s">
        <v>26</v>
      </c>
      <c r="Q631" s="15" t="s">
        <v>1915</v>
      </c>
      <c r="R631" s="15"/>
      <c r="S631" s="10" t="str">
        <f>HYPERLINK("https://miland.ru/api/getInfo/image/025df271-4ad7-11f1-a297-00155d82e908")</f>
        <v>https://miland.ru/api/getInfo/image/025df271-4ad7-11f1-a297-00155d82e908</v>
      </c>
    </row>
    <row r="632" spans="1:19" s="2" customFormat="1" ht="96.2" customHeight="1" outlineLevel="7">
      <c r="A632" s="9">
        <v>446</v>
      </c>
      <c r="B632" s="10" t="s">
        <v>1916</v>
      </c>
      <c r="C632" s="65" t="s">
        <v>1917</v>
      </c>
      <c r="D632" s="65"/>
      <c r="E632" s="65"/>
      <c r="F632" s="65"/>
      <c r="G632" s="11" t="s">
        <v>1918</v>
      </c>
      <c r="H632" s="21" t="s">
        <v>44</v>
      </c>
      <c r="I632" s="15"/>
      <c r="J632" s="9">
        <v>1</v>
      </c>
      <c r="K632" s="16">
        <v>620.62</v>
      </c>
      <c r="L632" s="17"/>
      <c r="M632" s="15">
        <f t="shared" si="31"/>
        <v>0</v>
      </c>
      <c r="N632" s="18">
        <f>0.193*L632</f>
        <v>0</v>
      </c>
      <c r="O632" s="19">
        <f>0.00104*L632</f>
        <v>0</v>
      </c>
      <c r="P632" s="24" t="s">
        <v>26</v>
      </c>
      <c r="Q632" s="15" t="s">
        <v>1919</v>
      </c>
      <c r="R632" s="15"/>
      <c r="S632" s="10" t="str">
        <f>HYPERLINK("https://miland.ru/api/getInfo/image/16311e61-4ad9-11f1-a297-00155d82e908")</f>
        <v>https://miland.ru/api/getInfo/image/16311e61-4ad9-11f1-a297-00155d82e908</v>
      </c>
    </row>
    <row r="633" spans="1:19" s="2" customFormat="1" ht="96.2" customHeight="1" outlineLevel="7">
      <c r="A633" s="25">
        <v>447</v>
      </c>
      <c r="B633" s="26" t="s">
        <v>1920</v>
      </c>
      <c r="C633" s="66" t="s">
        <v>1921</v>
      </c>
      <c r="D633" s="66"/>
      <c r="E633" s="66"/>
      <c r="F633" s="66"/>
      <c r="G633" s="27" t="s">
        <v>1922</v>
      </c>
      <c r="H633" s="28" t="s">
        <v>44</v>
      </c>
      <c r="I633" s="29"/>
      <c r="J633" s="25">
        <v>5</v>
      </c>
      <c r="K633" s="30">
        <v>94.24</v>
      </c>
      <c r="L633" s="17"/>
      <c r="M633" s="29">
        <f t="shared" si="31"/>
        <v>0</v>
      </c>
      <c r="N633" s="31">
        <f>0.024*L633</f>
        <v>0</v>
      </c>
      <c r="O633" s="32">
        <f>0.00044*L633</f>
        <v>0</v>
      </c>
      <c r="P633" s="36"/>
      <c r="Q633" s="29" t="s">
        <v>1923</v>
      </c>
      <c r="R633" s="29"/>
      <c r="S633" s="26" t="str">
        <f>HYPERLINK("https://miland.ru/api/getInfo/image/aaa69ade-5fc4-11ef-a262-00155d82e908")</f>
        <v>https://miland.ru/api/getInfo/image/aaa69ade-5fc4-11ef-a262-00155d82e908</v>
      </c>
    </row>
    <row r="634" spans="1:19" s="2" customFormat="1" ht="96.2" customHeight="1" outlineLevel="7">
      <c r="A634" s="25">
        <v>448</v>
      </c>
      <c r="B634" s="26" t="s">
        <v>1924</v>
      </c>
      <c r="C634" s="66" t="s">
        <v>1925</v>
      </c>
      <c r="D634" s="66"/>
      <c r="E634" s="66"/>
      <c r="F634" s="66"/>
      <c r="G634" s="27" t="s">
        <v>1926</v>
      </c>
      <c r="H634" s="28" t="s">
        <v>44</v>
      </c>
      <c r="I634" s="29"/>
      <c r="J634" s="25">
        <v>4</v>
      </c>
      <c r="K634" s="30">
        <v>145.5</v>
      </c>
      <c r="L634" s="17"/>
      <c r="M634" s="29">
        <f t="shared" si="31"/>
        <v>0</v>
      </c>
      <c r="N634" s="31">
        <f>0.032*L634</f>
        <v>0</v>
      </c>
      <c r="O634" s="32">
        <f>0.00017*L634</f>
        <v>0</v>
      </c>
      <c r="P634" s="36"/>
      <c r="Q634" s="29" t="s">
        <v>1927</v>
      </c>
      <c r="R634" s="29"/>
      <c r="S634" s="26" t="str">
        <f>HYPERLINK("https://miland.ru/api/getInfo/image/cb03c115-5fc4-11ef-a262-00155d82e908")</f>
        <v>https://miland.ru/api/getInfo/image/cb03c115-5fc4-11ef-a262-00155d82e908</v>
      </c>
    </row>
    <row r="635" spans="1:19" s="2" customFormat="1" ht="96.2" customHeight="1" outlineLevel="7">
      <c r="A635" s="25">
        <v>449</v>
      </c>
      <c r="B635" s="26" t="s">
        <v>1928</v>
      </c>
      <c r="C635" s="66" t="s">
        <v>1929</v>
      </c>
      <c r="D635" s="66"/>
      <c r="E635" s="66"/>
      <c r="F635" s="66"/>
      <c r="G635" s="27" t="s">
        <v>1930</v>
      </c>
      <c r="H635" s="28" t="s">
        <v>44</v>
      </c>
      <c r="I635" s="29"/>
      <c r="J635" s="25">
        <v>2</v>
      </c>
      <c r="K635" s="30">
        <v>230.2</v>
      </c>
      <c r="L635" s="17"/>
      <c r="M635" s="29">
        <f t="shared" si="31"/>
        <v>0</v>
      </c>
      <c r="N635" s="31">
        <f>0.058*L635</f>
        <v>0</v>
      </c>
      <c r="O635" s="32">
        <f>0.00083*L635</f>
        <v>0</v>
      </c>
      <c r="P635" s="36"/>
      <c r="Q635" s="29" t="s">
        <v>1931</v>
      </c>
      <c r="R635" s="29"/>
      <c r="S635" s="26" t="str">
        <f>HYPERLINK("https://miland.ru/api/getInfo/image/d9d50abf-5fc4-11ef-a262-00155d82e908")</f>
        <v>https://miland.ru/api/getInfo/image/d9d50abf-5fc4-11ef-a262-00155d82e908</v>
      </c>
    </row>
    <row r="636" spans="1:19" s="2" customFormat="1" ht="96.2" customHeight="1" outlineLevel="7">
      <c r="A636" s="25">
        <v>450</v>
      </c>
      <c r="B636" s="26" t="s">
        <v>1932</v>
      </c>
      <c r="C636" s="66" t="s">
        <v>1933</v>
      </c>
      <c r="D636" s="66"/>
      <c r="E636" s="66"/>
      <c r="F636" s="66"/>
      <c r="G636" s="27" t="s">
        <v>1934</v>
      </c>
      <c r="H636" s="33">
        <v>2</v>
      </c>
      <c r="I636" s="29"/>
      <c r="J636" s="25">
        <v>2</v>
      </c>
      <c r="K636" s="30">
        <v>282.05</v>
      </c>
      <c r="L636" s="17"/>
      <c r="M636" s="29">
        <f t="shared" si="31"/>
        <v>0</v>
      </c>
      <c r="N636" s="31">
        <f>0.065*L636</f>
        <v>0</v>
      </c>
      <c r="O636" s="32">
        <f>0.00041*L636</f>
        <v>0</v>
      </c>
      <c r="P636" s="36"/>
      <c r="Q636" s="29" t="s">
        <v>1935</v>
      </c>
      <c r="R636" s="29"/>
      <c r="S636" s="26" t="str">
        <f>HYPERLINK("https://miland.ru/api/getInfo/image/e47a33b0-5fc4-11ef-a262-00155d82e908")</f>
        <v>https://miland.ru/api/getInfo/image/e47a33b0-5fc4-11ef-a262-00155d82e908</v>
      </c>
    </row>
    <row r="637" spans="1:19" s="1" customFormat="1" ht="12" customHeight="1" outlineLevel="3">
      <c r="A637" s="64" t="s">
        <v>1936</v>
      </c>
      <c r="B637" s="64"/>
      <c r="C637" s="64"/>
      <c r="D637" s="64"/>
      <c r="E637" s="64"/>
      <c r="F637" s="64"/>
      <c r="G637" s="8"/>
      <c r="H637" s="12"/>
      <c r="I637" s="2"/>
      <c r="J637" s="2"/>
      <c r="K637" s="13"/>
      <c r="L637" s="2"/>
      <c r="M637" s="2"/>
      <c r="N637" s="2"/>
      <c r="O637" s="2"/>
      <c r="P637" s="2"/>
      <c r="Q637" s="2"/>
      <c r="R637" s="2"/>
      <c r="S637" s="2"/>
    </row>
    <row r="638" spans="1:19" s="1" customFormat="1" ht="12" customHeight="1" outlineLevel="4">
      <c r="A638" s="64" t="s">
        <v>1937</v>
      </c>
      <c r="B638" s="64"/>
      <c r="C638" s="64"/>
      <c r="D638" s="64"/>
      <c r="E638" s="64"/>
      <c r="F638" s="64"/>
      <c r="G638" s="8"/>
      <c r="H638" s="12"/>
      <c r="I638" s="2"/>
      <c r="J638" s="2"/>
      <c r="K638" s="13"/>
      <c r="L638" s="2"/>
      <c r="M638" s="2"/>
      <c r="N638" s="2"/>
      <c r="O638" s="2"/>
      <c r="P638" s="2"/>
      <c r="Q638" s="2"/>
      <c r="R638" s="2"/>
      <c r="S638" s="2"/>
    </row>
    <row r="639" spans="1:19" s="2" customFormat="1" ht="96.2" customHeight="1" outlineLevel="5">
      <c r="A639" s="9">
        <v>451</v>
      </c>
      <c r="B639" s="10" t="s">
        <v>1938</v>
      </c>
      <c r="C639" s="65" t="s">
        <v>1939</v>
      </c>
      <c r="D639" s="65"/>
      <c r="E639" s="65"/>
      <c r="F639" s="65"/>
      <c r="G639" s="11" t="s">
        <v>1940</v>
      </c>
      <c r="H639" s="21" t="s">
        <v>44</v>
      </c>
      <c r="I639" s="15"/>
      <c r="J639" s="9">
        <v>1</v>
      </c>
      <c r="K639" s="16">
        <v>597.53</v>
      </c>
      <c r="L639" s="17"/>
      <c r="M639" s="15">
        <f>K639*L639</f>
        <v>0</v>
      </c>
      <c r="N639" s="18">
        <f>0.089*L639</f>
        <v>0</v>
      </c>
      <c r="O639" s="19">
        <f>0.00036*L639</f>
        <v>0</v>
      </c>
      <c r="P639" s="24" t="s">
        <v>26</v>
      </c>
      <c r="Q639" s="15" t="s">
        <v>1941</v>
      </c>
      <c r="R639" s="15"/>
      <c r="S639" s="10" t="str">
        <f>HYPERLINK("https://miland.ru/api/getInfo/image/2ea06efa-f20e-11f0-a28d-00155d82e908")</f>
        <v>https://miland.ru/api/getInfo/image/2ea06efa-f20e-11f0-a28d-00155d82e908</v>
      </c>
    </row>
    <row r="640" spans="1:19" s="1" customFormat="1" ht="12" customHeight="1" outlineLevel="4">
      <c r="A640" s="64" t="s">
        <v>1942</v>
      </c>
      <c r="B640" s="64"/>
      <c r="C640" s="64"/>
      <c r="D640" s="64"/>
      <c r="E640" s="64"/>
      <c r="F640" s="64"/>
      <c r="G640" s="8"/>
      <c r="H640" s="12"/>
      <c r="I640" s="2"/>
      <c r="J640" s="2"/>
      <c r="K640" s="13"/>
      <c r="L640" s="2"/>
      <c r="M640" s="2"/>
      <c r="N640" s="2"/>
      <c r="O640" s="2"/>
      <c r="P640" s="2"/>
      <c r="Q640" s="2"/>
      <c r="R640" s="2"/>
      <c r="S640" s="2"/>
    </row>
    <row r="641" spans="1:19" s="2" customFormat="1" ht="96.2" customHeight="1" outlineLevel="5">
      <c r="A641" s="25">
        <v>452</v>
      </c>
      <c r="B641" s="26" t="s">
        <v>1943</v>
      </c>
      <c r="C641" s="66" t="s">
        <v>1944</v>
      </c>
      <c r="D641" s="66"/>
      <c r="E641" s="66"/>
      <c r="F641" s="66"/>
      <c r="G641" s="27" t="s">
        <v>1945</v>
      </c>
      <c r="H641" s="28" t="s">
        <v>44</v>
      </c>
      <c r="I641" s="29"/>
      <c r="J641" s="25">
        <v>6</v>
      </c>
      <c r="K641" s="30">
        <v>121.19</v>
      </c>
      <c r="L641" s="17"/>
      <c r="M641" s="29">
        <f>K641*L641</f>
        <v>0</v>
      </c>
      <c r="N641" s="31">
        <f>0.015*L641</f>
        <v>0</v>
      </c>
      <c r="O641" s="32">
        <f>0.00017*L641</f>
        <v>0</v>
      </c>
      <c r="P641" s="36"/>
      <c r="Q641" s="29" t="s">
        <v>1946</v>
      </c>
      <c r="R641" s="29"/>
      <c r="S641" s="26" t="str">
        <f>HYPERLINK("https://miland.ru/api/getInfo/image/939a7f30-b9c0-11ee-a25a-00155d82e908")</f>
        <v>https://miland.ru/api/getInfo/image/939a7f30-b9c0-11ee-a25a-00155d82e908</v>
      </c>
    </row>
    <row r="642" spans="1:19" s="2" customFormat="1" ht="96.2" customHeight="1" outlineLevel="5">
      <c r="A642" s="25">
        <v>453</v>
      </c>
      <c r="B642" s="26" t="s">
        <v>1947</v>
      </c>
      <c r="C642" s="66" t="s">
        <v>1948</v>
      </c>
      <c r="D642" s="66"/>
      <c r="E642" s="66"/>
      <c r="F642" s="66"/>
      <c r="G642" s="27" t="s">
        <v>1949</v>
      </c>
      <c r="H642" s="28" t="s">
        <v>44</v>
      </c>
      <c r="I642" s="29"/>
      <c r="J642" s="25">
        <v>6</v>
      </c>
      <c r="K642" s="30">
        <v>121.19</v>
      </c>
      <c r="L642" s="17"/>
      <c r="M642" s="29">
        <f>K642*L642</f>
        <v>0</v>
      </c>
      <c r="N642" s="31">
        <f>0.012*L642</f>
        <v>0</v>
      </c>
      <c r="O642" s="32">
        <f>0.00014*L642</f>
        <v>0</v>
      </c>
      <c r="P642" s="36"/>
      <c r="Q642" s="29" t="s">
        <v>1950</v>
      </c>
      <c r="R642" s="29"/>
      <c r="S642" s="26" t="str">
        <f>HYPERLINK("https://miland.ru/api/getInfo/image/6f1f864a-b9c0-11ee-a25a-00155d82e908")</f>
        <v>https://miland.ru/api/getInfo/image/6f1f864a-b9c0-11ee-a25a-00155d82e908</v>
      </c>
    </row>
    <row r="643" spans="1:19" s="2" customFormat="1" ht="96.2" customHeight="1" outlineLevel="5">
      <c r="A643" s="25">
        <v>454</v>
      </c>
      <c r="B643" s="26" t="s">
        <v>1951</v>
      </c>
      <c r="C643" s="66" t="s">
        <v>1952</v>
      </c>
      <c r="D643" s="66"/>
      <c r="E643" s="66"/>
      <c r="F643" s="66"/>
      <c r="G643" s="27" t="s">
        <v>1953</v>
      </c>
      <c r="H643" s="28" t="s">
        <v>44</v>
      </c>
      <c r="I643" s="29"/>
      <c r="J643" s="25">
        <v>6</v>
      </c>
      <c r="K643" s="30">
        <v>121.19</v>
      </c>
      <c r="L643" s="17"/>
      <c r="M643" s="29">
        <f>K643*L643</f>
        <v>0</v>
      </c>
      <c r="N643" s="31">
        <f>0.015*L643</f>
        <v>0</v>
      </c>
      <c r="O643" s="32">
        <f>0.00016*L643</f>
        <v>0</v>
      </c>
      <c r="P643" s="36"/>
      <c r="Q643" s="29" t="s">
        <v>1954</v>
      </c>
      <c r="R643" s="29"/>
      <c r="S643" s="26" t="str">
        <f>HYPERLINK("https://miland.ru/api/getInfo/image/4a5129d2-b9c0-11ee-a25a-00155d82e908")</f>
        <v>https://miland.ru/api/getInfo/image/4a5129d2-b9c0-11ee-a25a-00155d82e908</v>
      </c>
    </row>
    <row r="644" spans="1:19" s="2" customFormat="1" ht="96.2" customHeight="1" outlineLevel="5">
      <c r="A644" s="25">
        <v>455</v>
      </c>
      <c r="B644" s="26" t="s">
        <v>1955</v>
      </c>
      <c r="C644" s="66" t="s">
        <v>1956</v>
      </c>
      <c r="D644" s="66"/>
      <c r="E644" s="66"/>
      <c r="F644" s="66"/>
      <c r="G644" s="27" t="s">
        <v>1957</v>
      </c>
      <c r="H644" s="28" t="s">
        <v>44</v>
      </c>
      <c r="I644" s="29"/>
      <c r="J644" s="25">
        <v>6</v>
      </c>
      <c r="K644" s="30">
        <v>121.19</v>
      </c>
      <c r="L644" s="17"/>
      <c r="M644" s="29">
        <f>K644*L644</f>
        <v>0</v>
      </c>
      <c r="N644" s="31">
        <f>0.012*L644</f>
        <v>0</v>
      </c>
      <c r="O644" s="32">
        <f>0.00013*L644</f>
        <v>0</v>
      </c>
      <c r="P644" s="36"/>
      <c r="Q644" s="29" t="s">
        <v>1958</v>
      </c>
      <c r="R644" s="29"/>
      <c r="S644" s="26" t="str">
        <f>HYPERLINK("https://miland.ru/api/getInfo/image/30f03611-b9c0-11ee-a25a-00155d82e908")</f>
        <v>https://miland.ru/api/getInfo/image/30f03611-b9c0-11ee-a25a-00155d82e908</v>
      </c>
    </row>
    <row r="645" spans="1:19" s="1" customFormat="1" ht="12" customHeight="1" outlineLevel="4">
      <c r="A645" s="64" t="s">
        <v>1959</v>
      </c>
      <c r="B645" s="64"/>
      <c r="C645" s="64"/>
      <c r="D645" s="64"/>
      <c r="E645" s="64"/>
      <c r="F645" s="64"/>
      <c r="G645" s="8"/>
      <c r="H645" s="12"/>
      <c r="I645" s="2"/>
      <c r="J645" s="2"/>
      <c r="K645" s="13"/>
      <c r="L645" s="2"/>
      <c r="M645" s="2"/>
      <c r="N645" s="2"/>
      <c r="O645" s="2"/>
      <c r="P645" s="2"/>
      <c r="Q645" s="2"/>
      <c r="R645" s="2"/>
      <c r="S645" s="2"/>
    </row>
    <row r="646" spans="1:19" s="2" customFormat="1" ht="96.2" customHeight="1" outlineLevel="5">
      <c r="A646" s="9">
        <v>456</v>
      </c>
      <c r="B646" s="10" t="s">
        <v>1960</v>
      </c>
      <c r="C646" s="65" t="s">
        <v>1961</v>
      </c>
      <c r="D646" s="65"/>
      <c r="E646" s="65"/>
      <c r="F646" s="65"/>
      <c r="G646" s="11" t="s">
        <v>1962</v>
      </c>
      <c r="H646" s="21" t="s">
        <v>44</v>
      </c>
      <c r="I646" s="15"/>
      <c r="J646" s="9">
        <v>18</v>
      </c>
      <c r="K646" s="16">
        <v>69.37</v>
      </c>
      <c r="L646" s="17"/>
      <c r="M646" s="15">
        <f t="shared" ref="M646:M651" si="32">K646*L646</f>
        <v>0</v>
      </c>
      <c r="N646" s="18">
        <f>0.158*L646</f>
        <v>0</v>
      </c>
      <c r="O646" s="19">
        <f>0.00097*L646</f>
        <v>0</v>
      </c>
      <c r="P646" s="24" t="s">
        <v>26</v>
      </c>
      <c r="Q646" s="15" t="s">
        <v>1963</v>
      </c>
      <c r="R646" s="15"/>
      <c r="S646" s="10" t="str">
        <f>HYPERLINK("https://miland.ru/api/getInfo/image/3088a08a-43c7-11f1-a294-00155d82e908")</f>
        <v>https://miland.ru/api/getInfo/image/3088a08a-43c7-11f1-a294-00155d82e908</v>
      </c>
    </row>
    <row r="647" spans="1:19" s="2" customFormat="1" ht="96.2" customHeight="1" outlineLevel="5">
      <c r="A647" s="25">
        <v>457</v>
      </c>
      <c r="B647" s="26" t="s">
        <v>1964</v>
      </c>
      <c r="C647" s="66" t="s">
        <v>1965</v>
      </c>
      <c r="D647" s="66"/>
      <c r="E647" s="66"/>
      <c r="F647" s="66"/>
      <c r="G647" s="27" t="s">
        <v>1966</v>
      </c>
      <c r="H647" s="28" t="s">
        <v>44</v>
      </c>
      <c r="I647" s="29"/>
      <c r="J647" s="25">
        <v>18</v>
      </c>
      <c r="K647" s="30">
        <v>69.37</v>
      </c>
      <c r="L647" s="17"/>
      <c r="M647" s="29">
        <f t="shared" si="32"/>
        <v>0</v>
      </c>
      <c r="N647" s="31">
        <f>0.196*L647</f>
        <v>0</v>
      </c>
      <c r="O647" s="32">
        <f>0.00094*L647</f>
        <v>0</v>
      </c>
      <c r="P647" s="36"/>
      <c r="Q647" s="29" t="s">
        <v>1967</v>
      </c>
      <c r="R647" s="29"/>
      <c r="S647" s="26" t="str">
        <f>HYPERLINK("https://miland.ru/api/getInfo/image/e52ac062-a3bf-11ee-a258-00155d82e908")</f>
        <v>https://miland.ru/api/getInfo/image/e52ac062-a3bf-11ee-a258-00155d82e908</v>
      </c>
    </row>
    <row r="648" spans="1:19" s="2" customFormat="1" ht="96.2" customHeight="1" outlineLevel="5">
      <c r="A648" s="9">
        <v>458</v>
      </c>
      <c r="B648" s="10" t="s">
        <v>1968</v>
      </c>
      <c r="C648" s="65" t="s">
        <v>1969</v>
      </c>
      <c r="D648" s="65"/>
      <c r="E648" s="65"/>
      <c r="F648" s="65"/>
      <c r="G648" s="11" t="s">
        <v>1970</v>
      </c>
      <c r="H648" s="21" t="s">
        <v>44</v>
      </c>
      <c r="I648" s="15"/>
      <c r="J648" s="9">
        <v>18</v>
      </c>
      <c r="K648" s="16">
        <v>69.37</v>
      </c>
      <c r="L648" s="17"/>
      <c r="M648" s="15">
        <f t="shared" si="32"/>
        <v>0</v>
      </c>
      <c r="N648" s="18">
        <f>0.196*L648</f>
        <v>0</v>
      </c>
      <c r="O648" s="19">
        <f>0.00094*L648</f>
        <v>0</v>
      </c>
      <c r="P648" s="24" t="s">
        <v>26</v>
      </c>
      <c r="Q648" s="15" t="s">
        <v>1971</v>
      </c>
      <c r="R648" s="15"/>
      <c r="S648" s="10" t="str">
        <f>HYPERLINK("https://miland.ru/api/getInfo/image/6b2f8cf5-01b9-11f1-a28e-00155d82e908")</f>
        <v>https://miland.ru/api/getInfo/image/6b2f8cf5-01b9-11f1-a28e-00155d82e908</v>
      </c>
    </row>
    <row r="649" spans="1:19" s="2" customFormat="1" ht="96.2" customHeight="1" outlineLevel="5">
      <c r="A649" s="25">
        <v>459</v>
      </c>
      <c r="B649" s="26" t="s">
        <v>1972</v>
      </c>
      <c r="C649" s="66" t="s">
        <v>1973</v>
      </c>
      <c r="D649" s="66"/>
      <c r="E649" s="66"/>
      <c r="F649" s="66"/>
      <c r="G649" s="27" t="s">
        <v>1974</v>
      </c>
      <c r="H649" s="28" t="s">
        <v>44</v>
      </c>
      <c r="I649" s="29"/>
      <c r="J649" s="25">
        <v>15</v>
      </c>
      <c r="K649" s="30">
        <v>69.37</v>
      </c>
      <c r="L649" s="17"/>
      <c r="M649" s="29">
        <f t="shared" si="32"/>
        <v>0</v>
      </c>
      <c r="N649" s="31">
        <f>0.016*L649</f>
        <v>0</v>
      </c>
      <c r="O649" s="32">
        <f>0.00004*L649</f>
        <v>0</v>
      </c>
      <c r="P649" s="36"/>
      <c r="Q649" s="29" t="s">
        <v>1975</v>
      </c>
      <c r="R649" s="29"/>
      <c r="S649" s="26" t="str">
        <f>HYPERLINK("https://miland.ru/api/getInfo/image/431b3340-a3bf-11ee-a258-00155d82e908")</f>
        <v>https://miland.ru/api/getInfo/image/431b3340-a3bf-11ee-a258-00155d82e908</v>
      </c>
    </row>
    <row r="650" spans="1:19" s="2" customFormat="1" ht="96.2" customHeight="1" outlineLevel="5">
      <c r="A650" s="25">
        <v>460</v>
      </c>
      <c r="B650" s="26" t="s">
        <v>1976</v>
      </c>
      <c r="C650" s="66" t="s">
        <v>1977</v>
      </c>
      <c r="D650" s="66"/>
      <c r="E650" s="66"/>
      <c r="F650" s="66"/>
      <c r="G650" s="27" t="s">
        <v>1978</v>
      </c>
      <c r="H650" s="28" t="s">
        <v>44</v>
      </c>
      <c r="I650" s="29"/>
      <c r="J650" s="25">
        <v>20</v>
      </c>
      <c r="K650" s="30">
        <v>69.37</v>
      </c>
      <c r="L650" s="17"/>
      <c r="M650" s="29">
        <f t="shared" si="32"/>
        <v>0</v>
      </c>
      <c r="N650" s="31">
        <f>0.012*L650</f>
        <v>0</v>
      </c>
      <c r="O650" s="32">
        <f>0.00002*L650</f>
        <v>0</v>
      </c>
      <c r="P650" s="36"/>
      <c r="Q650" s="29" t="s">
        <v>1979</v>
      </c>
      <c r="R650" s="29"/>
      <c r="S650" s="26" t="str">
        <f>HYPERLINK("https://miland.ru/api/getInfo/image/5dbf656e-a3c0-11ee-a258-00155d82e908")</f>
        <v>https://miland.ru/api/getInfo/image/5dbf656e-a3c0-11ee-a258-00155d82e908</v>
      </c>
    </row>
    <row r="651" spans="1:19" s="2" customFormat="1" ht="96.2" customHeight="1" outlineLevel="5">
      <c r="A651" s="25">
        <v>461</v>
      </c>
      <c r="B651" s="26" t="s">
        <v>1980</v>
      </c>
      <c r="C651" s="66" t="s">
        <v>1981</v>
      </c>
      <c r="D651" s="66"/>
      <c r="E651" s="66"/>
      <c r="F651" s="66"/>
      <c r="G651" s="27" t="s">
        <v>1982</v>
      </c>
      <c r="H651" s="28" t="s">
        <v>44</v>
      </c>
      <c r="I651" s="29"/>
      <c r="J651" s="25">
        <v>15</v>
      </c>
      <c r="K651" s="30">
        <v>69.37</v>
      </c>
      <c r="L651" s="17"/>
      <c r="M651" s="29">
        <f t="shared" si="32"/>
        <v>0</v>
      </c>
      <c r="N651" s="31">
        <f>0.016*L651</f>
        <v>0</v>
      </c>
      <c r="O651" s="32">
        <f>0.00004*L651</f>
        <v>0</v>
      </c>
      <c r="P651" s="36"/>
      <c r="Q651" s="29" t="s">
        <v>1983</v>
      </c>
      <c r="R651" s="29"/>
      <c r="S651" s="26" t="str">
        <f>HYPERLINK("https://miland.ru/api/getInfo/image/4ed7329b-e043-11ed-a233-00155d82e902")</f>
        <v>https://miland.ru/api/getInfo/image/4ed7329b-e043-11ed-a233-00155d82e902</v>
      </c>
    </row>
    <row r="652" spans="1:19" s="1" customFormat="1" ht="12" customHeight="1" outlineLevel="4">
      <c r="A652" s="64" t="s">
        <v>1984</v>
      </c>
      <c r="B652" s="64"/>
      <c r="C652" s="64"/>
      <c r="D652" s="64"/>
      <c r="E652" s="64"/>
      <c r="F652" s="64"/>
      <c r="G652" s="8"/>
      <c r="H652" s="12"/>
      <c r="I652" s="2"/>
      <c r="J652" s="2"/>
      <c r="K652" s="13"/>
      <c r="L652" s="2"/>
      <c r="M652" s="2"/>
      <c r="N652" s="2"/>
      <c r="O652" s="2"/>
      <c r="P652" s="2"/>
      <c r="Q652" s="2"/>
      <c r="R652" s="2"/>
      <c r="S652" s="2"/>
    </row>
    <row r="653" spans="1:19" s="2" customFormat="1" ht="96.2" customHeight="1" outlineLevel="5">
      <c r="A653" s="25">
        <v>462</v>
      </c>
      <c r="B653" s="26" t="s">
        <v>1985</v>
      </c>
      <c r="C653" s="66" t="s">
        <v>1986</v>
      </c>
      <c r="D653" s="66"/>
      <c r="E653" s="66"/>
      <c r="F653" s="66"/>
      <c r="G653" s="27" t="s">
        <v>1987</v>
      </c>
      <c r="H653" s="33">
        <v>1</v>
      </c>
      <c r="I653" s="29"/>
      <c r="J653" s="25">
        <v>1</v>
      </c>
      <c r="K653" s="30">
        <v>52.4</v>
      </c>
      <c r="L653" s="17"/>
      <c r="M653" s="29">
        <f>K653*L653</f>
        <v>0</v>
      </c>
      <c r="N653" s="31">
        <f>0.039*L653</f>
        <v>0</v>
      </c>
      <c r="O653" s="32">
        <f>0.00014*L653</f>
        <v>0</v>
      </c>
      <c r="P653" s="36"/>
      <c r="Q653" s="29" t="s">
        <v>1988</v>
      </c>
      <c r="R653" s="29"/>
      <c r="S653" s="26" t="str">
        <f>HYPERLINK("https://miland.ru/api/getInfo/image/282fc05b-bbce-11ec-a211-ac1f6b442185")</f>
        <v>https://miland.ru/api/getInfo/image/282fc05b-bbce-11ec-a211-ac1f6b442185</v>
      </c>
    </row>
    <row r="654" spans="1:19" s="2" customFormat="1" ht="96.2" customHeight="1" outlineLevel="5">
      <c r="A654" s="9">
        <v>463</v>
      </c>
      <c r="B654" s="10" t="s">
        <v>1989</v>
      </c>
      <c r="C654" s="65" t="s">
        <v>1990</v>
      </c>
      <c r="D654" s="65"/>
      <c r="E654" s="65"/>
      <c r="F654" s="65"/>
      <c r="G654" s="11" t="s">
        <v>1991</v>
      </c>
      <c r="H654" s="21" t="s">
        <v>44</v>
      </c>
      <c r="I654" s="15"/>
      <c r="J654" s="9">
        <v>10</v>
      </c>
      <c r="K654" s="16">
        <v>61.14</v>
      </c>
      <c r="L654" s="17"/>
      <c r="M654" s="15">
        <f>K654*L654</f>
        <v>0</v>
      </c>
      <c r="N654" s="18">
        <f>0.405*L654</f>
        <v>0</v>
      </c>
      <c r="O654" s="19">
        <f>0.00601*L654</f>
        <v>0</v>
      </c>
      <c r="P654" s="24" t="s">
        <v>26</v>
      </c>
      <c r="Q654" s="15" t="s">
        <v>1992</v>
      </c>
      <c r="R654" s="15"/>
      <c r="S654" s="10" t="str">
        <f>HYPERLINK("https://miland.ru/api/getInfo/image/f4124179-f20d-11f0-a28d-00155d82e908")</f>
        <v>https://miland.ru/api/getInfo/image/f4124179-f20d-11f0-a28d-00155d82e908</v>
      </c>
    </row>
    <row r="655" spans="1:19" s="2" customFormat="1" ht="96.2" customHeight="1" outlineLevel="5">
      <c r="A655" s="25">
        <v>464</v>
      </c>
      <c r="B655" s="26" t="s">
        <v>1993</v>
      </c>
      <c r="C655" s="66" t="s">
        <v>1994</v>
      </c>
      <c r="D655" s="66"/>
      <c r="E655" s="66"/>
      <c r="F655" s="66"/>
      <c r="G655" s="27" t="s">
        <v>1995</v>
      </c>
      <c r="H655" s="33">
        <v>140</v>
      </c>
      <c r="I655" s="29"/>
      <c r="J655" s="25">
        <v>10</v>
      </c>
      <c r="K655" s="30">
        <v>52.4</v>
      </c>
      <c r="L655" s="17"/>
      <c r="M655" s="29">
        <f>K655*L655</f>
        <v>0</v>
      </c>
      <c r="N655" s="31">
        <f>0.003*L655</f>
        <v>0</v>
      </c>
      <c r="O655" s="32">
        <f>0.00019*L655</f>
        <v>0</v>
      </c>
      <c r="P655" s="36"/>
      <c r="Q655" s="29" t="s">
        <v>1996</v>
      </c>
      <c r="R655" s="29" t="s">
        <v>611</v>
      </c>
      <c r="S655" s="26" t="str">
        <f>HYPERLINK("https://miland.ru/api/getInfo/image/2e3719b8-bfeb-11ec-a211-ac1f6b442185")</f>
        <v>https://miland.ru/api/getInfo/image/2e3719b8-bfeb-11ec-a211-ac1f6b442185</v>
      </c>
    </row>
    <row r="656" spans="1:19" s="1" customFormat="1" ht="24" customHeight="1" outlineLevel="4">
      <c r="A656" s="64" t="s">
        <v>1997</v>
      </c>
      <c r="B656" s="64"/>
      <c r="C656" s="64"/>
      <c r="D656" s="64"/>
      <c r="E656" s="64"/>
      <c r="F656" s="64"/>
      <c r="G656" s="8"/>
      <c r="H656" s="12"/>
      <c r="I656" s="2"/>
      <c r="J656" s="2"/>
      <c r="K656" s="13"/>
      <c r="L656" s="2"/>
      <c r="M656" s="2"/>
      <c r="N656" s="2"/>
      <c r="O656" s="2"/>
      <c r="P656" s="2"/>
      <c r="Q656" s="2"/>
      <c r="R656" s="2"/>
      <c r="S656" s="2"/>
    </row>
    <row r="657" spans="1:19" s="2" customFormat="1" ht="96.2" customHeight="1" outlineLevel="5">
      <c r="A657" s="25">
        <v>465</v>
      </c>
      <c r="B657" s="26" t="s">
        <v>1998</v>
      </c>
      <c r="C657" s="66" t="s">
        <v>1999</v>
      </c>
      <c r="D657" s="66"/>
      <c r="E657" s="66"/>
      <c r="F657" s="66"/>
      <c r="G657" s="27" t="s">
        <v>2000</v>
      </c>
      <c r="H657" s="28" t="s">
        <v>44</v>
      </c>
      <c r="I657" s="29"/>
      <c r="J657" s="25">
        <v>3</v>
      </c>
      <c r="K657" s="30">
        <v>212.18</v>
      </c>
      <c r="L657" s="17"/>
      <c r="M657" s="29">
        <f>K657*L657</f>
        <v>0</v>
      </c>
      <c r="N657" s="31">
        <f>0.025*L657</f>
        <v>0</v>
      </c>
      <c r="O657" s="32">
        <f>0.00054*L657</f>
        <v>0</v>
      </c>
      <c r="P657" s="36"/>
      <c r="Q657" s="29" t="s">
        <v>2001</v>
      </c>
      <c r="R657" s="29"/>
      <c r="S657" s="26" t="str">
        <f>HYPERLINK("https://miland.ru/api/getInfo/image/65620889-bbd2-11ec-a211-ac1f6b442185")</f>
        <v>https://miland.ru/api/getInfo/image/65620889-bbd2-11ec-a211-ac1f6b442185</v>
      </c>
    </row>
    <row r="658" spans="1:19" s="2" customFormat="1" ht="96.2" customHeight="1" outlineLevel="5">
      <c r="A658" s="25">
        <v>466</v>
      </c>
      <c r="B658" s="26" t="s">
        <v>2002</v>
      </c>
      <c r="C658" s="66" t="s">
        <v>2003</v>
      </c>
      <c r="D658" s="66"/>
      <c r="E658" s="66"/>
      <c r="F658" s="66"/>
      <c r="G658" s="27" t="s">
        <v>2004</v>
      </c>
      <c r="H658" s="28" t="s">
        <v>44</v>
      </c>
      <c r="I658" s="29"/>
      <c r="J658" s="25">
        <v>3</v>
      </c>
      <c r="K658" s="30">
        <v>212.18</v>
      </c>
      <c r="L658" s="17"/>
      <c r="M658" s="29">
        <f>K658*L658</f>
        <v>0</v>
      </c>
      <c r="N658" s="31">
        <f>0.026*L658</f>
        <v>0</v>
      </c>
      <c r="O658" s="31">
        <f>0.001*L658</f>
        <v>0</v>
      </c>
      <c r="P658" s="36"/>
      <c r="Q658" s="29" t="s">
        <v>2005</v>
      </c>
      <c r="R658" s="29"/>
      <c r="S658" s="26" t="str">
        <f>HYPERLINK("https://miland.ru/api/getInfo/image/3ca6ffea-bbd2-11ec-a211-ac1f6b442185")</f>
        <v>https://miland.ru/api/getInfo/image/3ca6ffea-bbd2-11ec-a211-ac1f6b442185</v>
      </c>
    </row>
    <row r="659" spans="1:19" s="2" customFormat="1" ht="96.2" customHeight="1" outlineLevel="5">
      <c r="A659" s="25">
        <v>467</v>
      </c>
      <c r="B659" s="26" t="s">
        <v>2006</v>
      </c>
      <c r="C659" s="66" t="s">
        <v>2007</v>
      </c>
      <c r="D659" s="66"/>
      <c r="E659" s="66"/>
      <c r="F659" s="66"/>
      <c r="G659" s="27" t="s">
        <v>2008</v>
      </c>
      <c r="H659" s="28" t="s">
        <v>44</v>
      </c>
      <c r="I659" s="29"/>
      <c r="J659" s="25">
        <v>3</v>
      </c>
      <c r="K659" s="30">
        <v>212.18</v>
      </c>
      <c r="L659" s="17"/>
      <c r="M659" s="29">
        <f>K659*L659</f>
        <v>0</v>
      </c>
      <c r="N659" s="31">
        <f>0.025*L659</f>
        <v>0</v>
      </c>
      <c r="O659" s="32">
        <f>0.00051*L659</f>
        <v>0</v>
      </c>
      <c r="P659" s="36"/>
      <c r="Q659" s="29" t="s">
        <v>2009</v>
      </c>
      <c r="R659" s="29"/>
      <c r="S659" s="26" t="str">
        <f>HYPERLINK("https://miland.ru/api/getInfo/image/8cc0f08c-bbd2-11ec-a211-ac1f6b442185")</f>
        <v>https://miland.ru/api/getInfo/image/8cc0f08c-bbd2-11ec-a211-ac1f6b442185</v>
      </c>
    </row>
    <row r="660" spans="1:19" s="2" customFormat="1" ht="96.2" customHeight="1" outlineLevel="5">
      <c r="A660" s="25">
        <v>468</v>
      </c>
      <c r="B660" s="26" t="s">
        <v>2010</v>
      </c>
      <c r="C660" s="66" t="s">
        <v>2011</v>
      </c>
      <c r="D660" s="66"/>
      <c r="E660" s="66"/>
      <c r="F660" s="66"/>
      <c r="G660" s="27" t="s">
        <v>2012</v>
      </c>
      <c r="H660" s="28" t="s">
        <v>44</v>
      </c>
      <c r="I660" s="29"/>
      <c r="J660" s="25">
        <v>3</v>
      </c>
      <c r="K660" s="30">
        <v>212.18</v>
      </c>
      <c r="L660" s="17"/>
      <c r="M660" s="29">
        <f>K660*L660</f>
        <v>0</v>
      </c>
      <c r="N660" s="31">
        <f>0.029*L660</f>
        <v>0</v>
      </c>
      <c r="O660" s="32">
        <f>0.00027*L660</f>
        <v>0</v>
      </c>
      <c r="P660" s="36"/>
      <c r="Q660" s="29" t="s">
        <v>2013</v>
      </c>
      <c r="R660" s="29"/>
      <c r="S660" s="26" t="str">
        <f>HYPERLINK("https://miland.ru/api/getInfo/image/b9e3cbec-bbd2-11ec-a211-ac1f6b442185")</f>
        <v>https://miland.ru/api/getInfo/image/b9e3cbec-bbd2-11ec-a211-ac1f6b442185</v>
      </c>
    </row>
    <row r="661" spans="1:19" s="1" customFormat="1" ht="12" customHeight="1" outlineLevel="4">
      <c r="A661" s="64" t="s">
        <v>2014</v>
      </c>
      <c r="B661" s="64"/>
      <c r="C661" s="64"/>
      <c r="D661" s="64"/>
      <c r="E661" s="64"/>
      <c r="F661" s="64"/>
      <c r="G661" s="8"/>
      <c r="H661" s="12"/>
      <c r="I661" s="2"/>
      <c r="J661" s="2"/>
      <c r="K661" s="13"/>
      <c r="L661" s="2"/>
      <c r="M661" s="2"/>
      <c r="N661" s="2"/>
      <c r="O661" s="2"/>
      <c r="P661" s="2"/>
      <c r="Q661" s="2"/>
      <c r="R661" s="2"/>
      <c r="S661" s="2"/>
    </row>
    <row r="662" spans="1:19" s="2" customFormat="1" ht="96.2" customHeight="1" outlineLevel="5">
      <c r="A662" s="25">
        <v>469</v>
      </c>
      <c r="B662" s="26" t="s">
        <v>2015</v>
      </c>
      <c r="C662" s="66" t="s">
        <v>2016</v>
      </c>
      <c r="D662" s="66"/>
      <c r="E662" s="66"/>
      <c r="F662" s="66"/>
      <c r="G662" s="27" t="s">
        <v>2017</v>
      </c>
      <c r="H662" s="33">
        <v>179</v>
      </c>
      <c r="I662" s="29"/>
      <c r="J662" s="25">
        <v>2</v>
      </c>
      <c r="K662" s="30">
        <v>355.47</v>
      </c>
      <c r="L662" s="17"/>
      <c r="M662" s="29">
        <f>K662*L662</f>
        <v>0</v>
      </c>
      <c r="N662" s="31">
        <f>0.049*L662</f>
        <v>0</v>
      </c>
      <c r="O662" s="35">
        <f>0.0007*L662</f>
        <v>0</v>
      </c>
      <c r="P662" s="36"/>
      <c r="Q662" s="29" t="s">
        <v>2018</v>
      </c>
      <c r="R662" s="29" t="s">
        <v>611</v>
      </c>
      <c r="S662" s="26" t="str">
        <f>HYPERLINK("https://miland.ru/api/getInfo/image/eca76fdf-ba95-11ee-a25a-00155d82e908")</f>
        <v>https://miland.ru/api/getInfo/image/eca76fdf-ba95-11ee-a25a-00155d82e908</v>
      </c>
    </row>
    <row r="663" spans="1:19" s="2" customFormat="1" ht="96.2" customHeight="1" outlineLevel="5">
      <c r="A663" s="25">
        <v>470</v>
      </c>
      <c r="B663" s="26" t="s">
        <v>2019</v>
      </c>
      <c r="C663" s="66" t="s">
        <v>2020</v>
      </c>
      <c r="D663" s="66"/>
      <c r="E663" s="66"/>
      <c r="F663" s="66"/>
      <c r="G663" s="27" t="s">
        <v>2021</v>
      </c>
      <c r="H663" s="33">
        <v>294</v>
      </c>
      <c r="I663" s="29"/>
      <c r="J663" s="25">
        <v>2</v>
      </c>
      <c r="K663" s="30">
        <v>355.47</v>
      </c>
      <c r="L663" s="17"/>
      <c r="M663" s="29">
        <f>K663*L663</f>
        <v>0</v>
      </c>
      <c r="N663" s="31">
        <f>0.038*L663</f>
        <v>0</v>
      </c>
      <c r="O663" s="32">
        <f>0.00001*L663</f>
        <v>0</v>
      </c>
      <c r="P663" s="36"/>
      <c r="Q663" s="29" t="s">
        <v>2022</v>
      </c>
      <c r="R663" s="29" t="s">
        <v>611</v>
      </c>
      <c r="S663" s="26" t="str">
        <f>HYPERLINK("https://miland.ru/api/getInfo/image/0cf17661-ba96-11ee-a25a-00155d82e908")</f>
        <v>https://miland.ru/api/getInfo/image/0cf17661-ba96-11ee-a25a-00155d82e908</v>
      </c>
    </row>
    <row r="664" spans="1:19" s="2" customFormat="1" ht="96.2" customHeight="1" outlineLevel="5">
      <c r="A664" s="25">
        <v>471</v>
      </c>
      <c r="B664" s="26" t="s">
        <v>2023</v>
      </c>
      <c r="C664" s="66" t="s">
        <v>2024</v>
      </c>
      <c r="D664" s="66"/>
      <c r="E664" s="66"/>
      <c r="F664" s="66"/>
      <c r="G664" s="27" t="s">
        <v>2025</v>
      </c>
      <c r="H664" s="33">
        <v>3</v>
      </c>
      <c r="I664" s="29"/>
      <c r="J664" s="25">
        <v>2</v>
      </c>
      <c r="K664" s="30">
        <v>355.47</v>
      </c>
      <c r="L664" s="17"/>
      <c r="M664" s="29">
        <f>K664*L664</f>
        <v>0</v>
      </c>
      <c r="N664" s="31">
        <f>0.063*L664</f>
        <v>0</v>
      </c>
      <c r="O664" s="35">
        <f>0.0007*L664</f>
        <v>0</v>
      </c>
      <c r="P664" s="36"/>
      <c r="Q664" s="29" t="s">
        <v>2026</v>
      </c>
      <c r="R664" s="29" t="s">
        <v>611</v>
      </c>
      <c r="S664" s="26" t="str">
        <f>HYPERLINK("https://miland.ru/api/getInfo/image/2658a91c-ba95-11ee-a25a-00155d82e908")</f>
        <v>https://miland.ru/api/getInfo/image/2658a91c-ba95-11ee-a25a-00155d82e908</v>
      </c>
    </row>
    <row r="665" spans="1:19" s="2" customFormat="1" ht="96.2" customHeight="1" outlineLevel="5">
      <c r="A665" s="25">
        <v>472</v>
      </c>
      <c r="B665" s="26" t="s">
        <v>2027</v>
      </c>
      <c r="C665" s="66" t="s">
        <v>2028</v>
      </c>
      <c r="D665" s="66"/>
      <c r="E665" s="66"/>
      <c r="F665" s="66"/>
      <c r="G665" s="27" t="s">
        <v>2029</v>
      </c>
      <c r="H665" s="33">
        <v>309</v>
      </c>
      <c r="I665" s="29"/>
      <c r="J665" s="25">
        <v>2</v>
      </c>
      <c r="K665" s="30">
        <v>355.47</v>
      </c>
      <c r="L665" s="17"/>
      <c r="M665" s="29">
        <f>K665*L665</f>
        <v>0</v>
      </c>
      <c r="N665" s="31">
        <f>0.046*L665</f>
        <v>0</v>
      </c>
      <c r="O665" s="32">
        <f>0.00027*L665</f>
        <v>0</v>
      </c>
      <c r="P665" s="36"/>
      <c r="Q665" s="29" t="s">
        <v>2030</v>
      </c>
      <c r="R665" s="29" t="s">
        <v>611</v>
      </c>
      <c r="S665" s="26" t="str">
        <f>HYPERLINK("https://miland.ru/api/getInfo/image/4994febc-ba96-11ee-a25a-00155d82e908")</f>
        <v>https://miland.ru/api/getInfo/image/4994febc-ba96-11ee-a25a-00155d82e908</v>
      </c>
    </row>
    <row r="666" spans="1:19" s="1" customFormat="1" ht="12" customHeight="1" outlineLevel="4">
      <c r="A666" s="64" t="s">
        <v>2031</v>
      </c>
      <c r="B666" s="64"/>
      <c r="C666" s="64"/>
      <c r="D666" s="64"/>
      <c r="E666" s="64"/>
      <c r="F666" s="64"/>
      <c r="G666" s="8"/>
      <c r="H666" s="12"/>
      <c r="I666" s="2"/>
      <c r="J666" s="2"/>
      <c r="K666" s="13"/>
      <c r="L666" s="2"/>
      <c r="M666" s="2"/>
      <c r="N666" s="2"/>
      <c r="O666" s="2"/>
      <c r="P666" s="2"/>
      <c r="Q666" s="2"/>
      <c r="R666" s="2"/>
      <c r="S666" s="2"/>
    </row>
    <row r="667" spans="1:19" s="1" customFormat="1" ht="12" customHeight="1" outlineLevel="5">
      <c r="A667" s="64" t="s">
        <v>2032</v>
      </c>
      <c r="B667" s="64"/>
      <c r="C667" s="64"/>
      <c r="D667" s="64"/>
      <c r="E667" s="64"/>
      <c r="F667" s="64"/>
      <c r="G667" s="8"/>
      <c r="H667" s="12"/>
      <c r="I667" s="2"/>
      <c r="J667" s="2"/>
      <c r="K667" s="13"/>
      <c r="L667" s="2"/>
      <c r="M667" s="2"/>
      <c r="N667" s="2"/>
      <c r="O667" s="2"/>
      <c r="P667" s="2"/>
      <c r="Q667" s="2"/>
      <c r="R667" s="2"/>
      <c r="S667" s="2"/>
    </row>
    <row r="668" spans="1:19" s="2" customFormat="1" ht="96.2" customHeight="1" outlineLevel="6">
      <c r="A668" s="25">
        <v>473</v>
      </c>
      <c r="B668" s="26" t="s">
        <v>2033</v>
      </c>
      <c r="C668" s="66" t="s">
        <v>2034</v>
      </c>
      <c r="D668" s="66"/>
      <c r="E668" s="66"/>
      <c r="F668" s="66"/>
      <c r="G668" s="27" t="s">
        <v>2035</v>
      </c>
      <c r="H668" s="33">
        <v>5</v>
      </c>
      <c r="I668" s="29"/>
      <c r="J668" s="25">
        <v>3</v>
      </c>
      <c r="K668" s="30">
        <v>214.32</v>
      </c>
      <c r="L668" s="17"/>
      <c r="M668" s="29">
        <f>K668*L668</f>
        <v>0</v>
      </c>
      <c r="N668" s="31">
        <f>0.037*L668</f>
        <v>0</v>
      </c>
      <c r="O668" s="32">
        <f>0.00052*L668</f>
        <v>0</v>
      </c>
      <c r="P668" s="36"/>
      <c r="Q668" s="29" t="s">
        <v>2036</v>
      </c>
      <c r="R668" s="29" t="s">
        <v>611</v>
      </c>
      <c r="S668" s="26" t="str">
        <f>HYPERLINK("https://miland.ru/api/getInfo/image/b69a0b8c-b9ba-11ee-a25a-00155d82e908")</f>
        <v>https://miland.ru/api/getInfo/image/b69a0b8c-b9ba-11ee-a25a-00155d82e908</v>
      </c>
    </row>
    <row r="669" spans="1:19" s="2" customFormat="1" ht="96.2" customHeight="1" outlineLevel="6">
      <c r="A669" s="25">
        <v>474</v>
      </c>
      <c r="B669" s="26" t="s">
        <v>2037</v>
      </c>
      <c r="C669" s="66" t="s">
        <v>2038</v>
      </c>
      <c r="D669" s="66"/>
      <c r="E669" s="66"/>
      <c r="F669" s="66"/>
      <c r="G669" s="27" t="s">
        <v>2039</v>
      </c>
      <c r="H669" s="33">
        <v>170</v>
      </c>
      <c r="I669" s="29"/>
      <c r="J669" s="25">
        <v>3</v>
      </c>
      <c r="K669" s="30">
        <v>214.32</v>
      </c>
      <c r="L669" s="17"/>
      <c r="M669" s="29">
        <f>K669*L669</f>
        <v>0</v>
      </c>
      <c r="N669" s="31">
        <f>0.038*L669</f>
        <v>0</v>
      </c>
      <c r="O669" s="32">
        <f>0.00052*L669</f>
        <v>0</v>
      </c>
      <c r="P669" s="36"/>
      <c r="Q669" s="29" t="s">
        <v>2040</v>
      </c>
      <c r="R669" s="29" t="s">
        <v>611</v>
      </c>
      <c r="S669" s="26" t="str">
        <f>HYPERLINK("https://miland.ru/api/getInfo/image/e4c6ea0b-b9ba-11ee-a25a-00155d82e908")</f>
        <v>https://miland.ru/api/getInfo/image/e4c6ea0b-b9ba-11ee-a25a-00155d82e908</v>
      </c>
    </row>
    <row r="670" spans="1:19" s="2" customFormat="1" ht="96.2" customHeight="1" outlineLevel="6">
      <c r="A670" s="25">
        <v>475</v>
      </c>
      <c r="B670" s="26" t="s">
        <v>2041</v>
      </c>
      <c r="C670" s="66" t="s">
        <v>2042</v>
      </c>
      <c r="D670" s="66"/>
      <c r="E670" s="66"/>
      <c r="F670" s="66"/>
      <c r="G670" s="27" t="s">
        <v>2043</v>
      </c>
      <c r="H670" s="33">
        <v>4</v>
      </c>
      <c r="I670" s="29"/>
      <c r="J670" s="25">
        <v>3</v>
      </c>
      <c r="K670" s="30">
        <v>184.5</v>
      </c>
      <c r="L670" s="17"/>
      <c r="M670" s="29">
        <f>K670*L670</f>
        <v>0</v>
      </c>
      <c r="N670" s="31">
        <f>0.049*L670</f>
        <v>0</v>
      </c>
      <c r="O670" s="32">
        <f>0.00046*L670</f>
        <v>0</v>
      </c>
      <c r="P670" s="36"/>
      <c r="Q670" s="29" t="s">
        <v>2044</v>
      </c>
      <c r="R670" s="29"/>
      <c r="S670" s="26" t="str">
        <f>HYPERLINK("https://miland.ru/api/getInfo/image/b3e9e05d-e86a-11ef-a274-00155d82e908")</f>
        <v>https://miland.ru/api/getInfo/image/b3e9e05d-e86a-11ef-a274-00155d82e908</v>
      </c>
    </row>
    <row r="671" spans="1:19" s="1" customFormat="1" ht="12" customHeight="1" outlineLevel="4">
      <c r="A671" s="64" t="s">
        <v>2045</v>
      </c>
      <c r="B671" s="64"/>
      <c r="C671" s="64"/>
      <c r="D671" s="64"/>
      <c r="E671" s="64"/>
      <c r="F671" s="64"/>
      <c r="G671" s="8"/>
      <c r="H671" s="12"/>
      <c r="I671" s="2"/>
      <c r="J671" s="2"/>
      <c r="K671" s="13"/>
      <c r="L671" s="2"/>
      <c r="M671" s="2"/>
      <c r="N671" s="2"/>
      <c r="O671" s="2"/>
      <c r="P671" s="2"/>
      <c r="Q671" s="2"/>
      <c r="R671" s="2"/>
      <c r="S671" s="2"/>
    </row>
    <row r="672" spans="1:19" s="2" customFormat="1" ht="96.2" customHeight="1" outlineLevel="5">
      <c r="A672" s="25">
        <v>476</v>
      </c>
      <c r="B672" s="26" t="s">
        <v>2046</v>
      </c>
      <c r="C672" s="66" t="s">
        <v>2047</v>
      </c>
      <c r="D672" s="66"/>
      <c r="E672" s="66"/>
      <c r="F672" s="66"/>
      <c r="G672" s="27" t="s">
        <v>2048</v>
      </c>
      <c r="H672" s="28" t="s">
        <v>44</v>
      </c>
      <c r="I672" s="29"/>
      <c r="J672" s="25">
        <v>12</v>
      </c>
      <c r="K672" s="30">
        <v>53.21</v>
      </c>
      <c r="L672" s="17"/>
      <c r="M672" s="29">
        <f>K672*L672</f>
        <v>0</v>
      </c>
      <c r="N672" s="31">
        <f>0.032*L672</f>
        <v>0</v>
      </c>
      <c r="O672" s="32">
        <f>0.00019*L672</f>
        <v>0</v>
      </c>
      <c r="P672" s="36"/>
      <c r="Q672" s="29" t="s">
        <v>2049</v>
      </c>
      <c r="R672" s="29"/>
      <c r="S672" s="26" t="str">
        <f>HYPERLINK("https://miland.ru/api/getInfo/image/f56a5432-8f54-11ee-a250-00155d82e908")</f>
        <v>https://miland.ru/api/getInfo/image/f56a5432-8f54-11ee-a250-00155d82e908</v>
      </c>
    </row>
    <row r="673" spans="1:19" s="1" customFormat="1" ht="12" customHeight="1" outlineLevel="4">
      <c r="A673" s="64" t="s">
        <v>2050</v>
      </c>
      <c r="B673" s="64"/>
      <c r="C673" s="64"/>
      <c r="D673" s="64"/>
      <c r="E673" s="64"/>
      <c r="F673" s="64"/>
      <c r="G673" s="8"/>
      <c r="H673" s="12"/>
      <c r="I673" s="2"/>
      <c r="J673" s="2"/>
      <c r="K673" s="13"/>
      <c r="L673" s="2"/>
      <c r="M673" s="2"/>
      <c r="N673" s="2"/>
      <c r="O673" s="2"/>
      <c r="P673" s="2"/>
      <c r="Q673" s="2"/>
      <c r="R673" s="2"/>
      <c r="S673" s="2"/>
    </row>
    <row r="674" spans="1:19" s="2" customFormat="1" ht="96.2" customHeight="1" outlineLevel="5">
      <c r="A674" s="25">
        <v>477</v>
      </c>
      <c r="B674" s="26" t="s">
        <v>2051</v>
      </c>
      <c r="C674" s="66" t="s">
        <v>2052</v>
      </c>
      <c r="D674" s="66"/>
      <c r="E674" s="66"/>
      <c r="F674" s="66"/>
      <c r="G674" s="27" t="s">
        <v>2053</v>
      </c>
      <c r="H674" s="33">
        <v>474</v>
      </c>
      <c r="I674" s="29"/>
      <c r="J674" s="25">
        <v>1</v>
      </c>
      <c r="K674" s="30">
        <v>593.1</v>
      </c>
      <c r="L674" s="17"/>
      <c r="M674" s="29">
        <f>K674*L674</f>
        <v>0</v>
      </c>
      <c r="N674" s="31">
        <f>0.091*L674</f>
        <v>0</v>
      </c>
      <c r="O674" s="32">
        <f>0.00012*L674</f>
        <v>0</v>
      </c>
      <c r="P674" s="36"/>
      <c r="Q674" s="29" t="s">
        <v>2054</v>
      </c>
      <c r="R674" s="29"/>
      <c r="S674" s="26" t="str">
        <f>HYPERLINK("https://miland.ru/api/getInfo/image/f5282fb7-d32d-11ef-a26a-00155d82e908")</f>
        <v>https://miland.ru/api/getInfo/image/f5282fb7-d32d-11ef-a26a-00155d82e908</v>
      </c>
    </row>
    <row r="675" spans="1:19" s="2" customFormat="1" ht="96.2" customHeight="1" outlineLevel="5">
      <c r="A675" s="25">
        <v>478</v>
      </c>
      <c r="B675" s="26" t="s">
        <v>2055</v>
      </c>
      <c r="C675" s="66" t="s">
        <v>2056</v>
      </c>
      <c r="D675" s="66"/>
      <c r="E675" s="66"/>
      <c r="F675" s="66"/>
      <c r="G675" s="27" t="s">
        <v>2057</v>
      </c>
      <c r="H675" s="33">
        <v>278</v>
      </c>
      <c r="I675" s="29"/>
      <c r="J675" s="25">
        <v>1</v>
      </c>
      <c r="K675" s="30">
        <v>593.1</v>
      </c>
      <c r="L675" s="17"/>
      <c r="M675" s="29">
        <f>K675*L675</f>
        <v>0</v>
      </c>
      <c r="N675" s="31">
        <f>0.092*L675</f>
        <v>0</v>
      </c>
      <c r="O675" s="32">
        <f>0.00012*L675</f>
        <v>0</v>
      </c>
      <c r="P675" s="36"/>
      <c r="Q675" s="29" t="s">
        <v>2058</v>
      </c>
      <c r="R675" s="29"/>
      <c r="S675" s="26" t="str">
        <f>HYPERLINK("https://miland.ru/api/getInfo/image/3b6a8fd0-d32e-11ef-a26a-00155d82e908")</f>
        <v>https://miland.ru/api/getInfo/image/3b6a8fd0-d32e-11ef-a26a-00155d82e908</v>
      </c>
    </row>
    <row r="676" spans="1:19" s="1" customFormat="1" ht="12" customHeight="1" outlineLevel="4">
      <c r="A676" s="64" t="s">
        <v>2059</v>
      </c>
      <c r="B676" s="64"/>
      <c r="C676" s="64"/>
      <c r="D676" s="64"/>
      <c r="E676" s="64"/>
      <c r="F676" s="64"/>
      <c r="G676" s="8"/>
      <c r="H676" s="12"/>
      <c r="I676" s="2"/>
      <c r="J676" s="2"/>
      <c r="K676" s="13"/>
      <c r="L676" s="2"/>
      <c r="M676" s="2"/>
      <c r="N676" s="2"/>
      <c r="O676" s="2"/>
      <c r="P676" s="2"/>
      <c r="Q676" s="2"/>
      <c r="R676" s="2"/>
      <c r="S676" s="2"/>
    </row>
    <row r="677" spans="1:19" s="2" customFormat="1" ht="96.2" customHeight="1" outlineLevel="5">
      <c r="A677" s="25">
        <v>479</v>
      </c>
      <c r="B677" s="26" t="s">
        <v>2060</v>
      </c>
      <c r="C677" s="66" t="s">
        <v>2061</v>
      </c>
      <c r="D677" s="66"/>
      <c r="E677" s="66"/>
      <c r="F677" s="66"/>
      <c r="G677" s="27" t="s">
        <v>2062</v>
      </c>
      <c r="H677" s="33">
        <v>423</v>
      </c>
      <c r="I677" s="29"/>
      <c r="J677" s="25">
        <v>1</v>
      </c>
      <c r="K677" s="30">
        <v>459.25</v>
      </c>
      <c r="L677" s="17"/>
      <c r="M677" s="29">
        <f t="shared" ref="M677:M684" si="33">K677*L677</f>
        <v>0</v>
      </c>
      <c r="N677" s="31">
        <f>0.232*L677</f>
        <v>0</v>
      </c>
      <c r="O677" s="32">
        <f>0.00031*L677</f>
        <v>0</v>
      </c>
      <c r="P677" s="36"/>
      <c r="Q677" s="29" t="s">
        <v>2063</v>
      </c>
      <c r="R677" s="29" t="s">
        <v>611</v>
      </c>
      <c r="S677" s="26" t="str">
        <f>HYPERLINK("https://miland.ru/api/getInfo/image/24d99f18-9713-11ed-a22d-00155d82e902")</f>
        <v>https://miland.ru/api/getInfo/image/24d99f18-9713-11ed-a22d-00155d82e902</v>
      </c>
    </row>
    <row r="678" spans="1:19" s="2" customFormat="1" ht="96.2" customHeight="1" outlineLevel="5">
      <c r="A678" s="25">
        <v>480</v>
      </c>
      <c r="B678" s="26" t="s">
        <v>2064</v>
      </c>
      <c r="C678" s="66" t="s">
        <v>2065</v>
      </c>
      <c r="D678" s="66"/>
      <c r="E678" s="66"/>
      <c r="F678" s="66"/>
      <c r="G678" s="27" t="s">
        <v>2066</v>
      </c>
      <c r="H678" s="33">
        <v>364</v>
      </c>
      <c r="I678" s="29"/>
      <c r="J678" s="25">
        <v>1</v>
      </c>
      <c r="K678" s="30">
        <v>459.25</v>
      </c>
      <c r="L678" s="17"/>
      <c r="M678" s="29">
        <f t="shared" si="33"/>
        <v>0</v>
      </c>
      <c r="N678" s="31">
        <f>0.234*L678</f>
        <v>0</v>
      </c>
      <c r="O678" s="32">
        <f>0.00032*L678</f>
        <v>0</v>
      </c>
      <c r="P678" s="36"/>
      <c r="Q678" s="29" t="s">
        <v>2067</v>
      </c>
      <c r="R678" s="29" t="s">
        <v>611</v>
      </c>
      <c r="S678" s="26" t="str">
        <f>HYPERLINK("https://miland.ru/api/getInfo/image/77888e63-9713-11ed-a22d-00155d82e902")</f>
        <v>https://miland.ru/api/getInfo/image/77888e63-9713-11ed-a22d-00155d82e902</v>
      </c>
    </row>
    <row r="679" spans="1:19" s="2" customFormat="1" ht="96.2" customHeight="1" outlineLevel="5">
      <c r="A679" s="25">
        <v>481</v>
      </c>
      <c r="B679" s="26" t="s">
        <v>2068</v>
      </c>
      <c r="C679" s="66" t="s">
        <v>2069</v>
      </c>
      <c r="D679" s="66"/>
      <c r="E679" s="66"/>
      <c r="F679" s="66"/>
      <c r="G679" s="27" t="s">
        <v>2070</v>
      </c>
      <c r="H679" s="33">
        <v>411</v>
      </c>
      <c r="I679" s="29"/>
      <c r="J679" s="25">
        <v>1</v>
      </c>
      <c r="K679" s="30">
        <v>459.25</v>
      </c>
      <c r="L679" s="17"/>
      <c r="M679" s="29">
        <f t="shared" si="33"/>
        <v>0</v>
      </c>
      <c r="N679" s="31">
        <f>0.226*L679</f>
        <v>0</v>
      </c>
      <c r="O679" s="32">
        <f>0.00031*L679</f>
        <v>0</v>
      </c>
      <c r="P679" s="36"/>
      <c r="Q679" s="29" t="s">
        <v>2071</v>
      </c>
      <c r="R679" s="29" t="s">
        <v>611</v>
      </c>
      <c r="S679" s="26" t="str">
        <f>HYPERLINK("https://miland.ru/api/getInfo/image/d7baf870-9713-11ed-a22d-00155d82e902")</f>
        <v>https://miland.ru/api/getInfo/image/d7baf870-9713-11ed-a22d-00155d82e902</v>
      </c>
    </row>
    <row r="680" spans="1:19" s="2" customFormat="1" ht="96.2" customHeight="1" outlineLevel="5">
      <c r="A680" s="25">
        <v>482</v>
      </c>
      <c r="B680" s="26" t="s">
        <v>2072</v>
      </c>
      <c r="C680" s="66" t="s">
        <v>2073</v>
      </c>
      <c r="D680" s="66"/>
      <c r="E680" s="66"/>
      <c r="F680" s="66"/>
      <c r="G680" s="27" t="s">
        <v>2074</v>
      </c>
      <c r="H680" s="33">
        <v>253</v>
      </c>
      <c r="I680" s="29"/>
      <c r="J680" s="25">
        <v>1</v>
      </c>
      <c r="K680" s="30">
        <v>459.25</v>
      </c>
      <c r="L680" s="17"/>
      <c r="M680" s="29">
        <f t="shared" si="33"/>
        <v>0</v>
      </c>
      <c r="N680" s="34">
        <f>0.23*L680</f>
        <v>0</v>
      </c>
      <c r="O680" s="32">
        <f>0.00033*L680</f>
        <v>0</v>
      </c>
      <c r="P680" s="36"/>
      <c r="Q680" s="29" t="s">
        <v>2075</v>
      </c>
      <c r="R680" s="29" t="s">
        <v>611</v>
      </c>
      <c r="S680" s="26" t="str">
        <f>HYPERLINK("https://miland.ru/api/getInfo/image/b910bd86-9714-11ed-a22d-00155d82e902")</f>
        <v>https://miland.ru/api/getInfo/image/b910bd86-9714-11ed-a22d-00155d82e902</v>
      </c>
    </row>
    <row r="681" spans="1:19" s="2" customFormat="1" ht="96.2" customHeight="1" outlineLevel="5">
      <c r="A681" s="25">
        <v>483</v>
      </c>
      <c r="B681" s="26" t="s">
        <v>2076</v>
      </c>
      <c r="C681" s="66" t="s">
        <v>2077</v>
      </c>
      <c r="D681" s="66"/>
      <c r="E681" s="66"/>
      <c r="F681" s="66"/>
      <c r="G681" s="27" t="s">
        <v>2078</v>
      </c>
      <c r="H681" s="33">
        <v>435</v>
      </c>
      <c r="I681" s="29"/>
      <c r="J681" s="25">
        <v>1</v>
      </c>
      <c r="K681" s="30">
        <v>459.25</v>
      </c>
      <c r="L681" s="17"/>
      <c r="M681" s="29">
        <f t="shared" si="33"/>
        <v>0</v>
      </c>
      <c r="N681" s="31">
        <f>0.235*L681</f>
        <v>0</v>
      </c>
      <c r="O681" s="32">
        <f>0.00032*L681</f>
        <v>0</v>
      </c>
      <c r="P681" s="36"/>
      <c r="Q681" s="29" t="s">
        <v>2079</v>
      </c>
      <c r="R681" s="29" t="s">
        <v>611</v>
      </c>
      <c r="S681" s="26" t="str">
        <f>HYPERLINK("https://miland.ru/api/getInfo/image/5015ffcb-9714-11ed-a22d-00155d82e902")</f>
        <v>https://miland.ru/api/getInfo/image/5015ffcb-9714-11ed-a22d-00155d82e902</v>
      </c>
    </row>
    <row r="682" spans="1:19" s="2" customFormat="1" ht="96.2" customHeight="1" outlineLevel="5">
      <c r="A682" s="25">
        <v>484</v>
      </c>
      <c r="B682" s="26" t="s">
        <v>2080</v>
      </c>
      <c r="C682" s="66" t="s">
        <v>2081</v>
      </c>
      <c r="D682" s="66"/>
      <c r="E682" s="66"/>
      <c r="F682" s="66"/>
      <c r="G682" s="27" t="s">
        <v>2082</v>
      </c>
      <c r="H682" s="28" t="s">
        <v>44</v>
      </c>
      <c r="I682" s="29"/>
      <c r="J682" s="25">
        <v>1</v>
      </c>
      <c r="K682" s="30">
        <v>459.25</v>
      </c>
      <c r="L682" s="17"/>
      <c r="M682" s="29">
        <f t="shared" si="33"/>
        <v>0</v>
      </c>
      <c r="N682" s="34">
        <f>0.23*L682</f>
        <v>0</v>
      </c>
      <c r="O682" s="32">
        <f>0.00033*L682</f>
        <v>0</v>
      </c>
      <c r="P682" s="36"/>
      <c r="Q682" s="29" t="s">
        <v>2083</v>
      </c>
      <c r="R682" s="29" t="s">
        <v>611</v>
      </c>
      <c r="S682" s="26" t="str">
        <f>HYPERLINK("https://miland.ru/api/getInfo/image/28d23bd8-9714-11ed-a22d-00155d82e902")</f>
        <v>https://miland.ru/api/getInfo/image/28d23bd8-9714-11ed-a22d-00155d82e902</v>
      </c>
    </row>
    <row r="683" spans="1:19" s="2" customFormat="1" ht="96.2" customHeight="1" outlineLevel="5">
      <c r="A683" s="25">
        <v>485</v>
      </c>
      <c r="B683" s="26" t="s">
        <v>2084</v>
      </c>
      <c r="C683" s="66" t="s">
        <v>2085</v>
      </c>
      <c r="D683" s="66"/>
      <c r="E683" s="66"/>
      <c r="F683" s="66"/>
      <c r="G683" s="27" t="s">
        <v>2086</v>
      </c>
      <c r="H683" s="33">
        <v>479</v>
      </c>
      <c r="I683" s="29"/>
      <c r="J683" s="25">
        <v>1</v>
      </c>
      <c r="K683" s="30">
        <v>459.25</v>
      </c>
      <c r="L683" s="17"/>
      <c r="M683" s="29">
        <f t="shared" si="33"/>
        <v>0</v>
      </c>
      <c r="N683" s="31">
        <f>0.225*L683</f>
        <v>0</v>
      </c>
      <c r="O683" s="32">
        <f>0.00032*L683</f>
        <v>0</v>
      </c>
      <c r="P683" s="36"/>
      <c r="Q683" s="29" t="s">
        <v>2087</v>
      </c>
      <c r="R683" s="29" t="s">
        <v>611</v>
      </c>
      <c r="S683" s="26" t="str">
        <f>HYPERLINK("https://miland.ru/api/getInfo/image/fb4514bc-9713-11ed-a22d-00155d82e902")</f>
        <v>https://miland.ru/api/getInfo/image/fb4514bc-9713-11ed-a22d-00155d82e902</v>
      </c>
    </row>
    <row r="684" spans="1:19" s="2" customFormat="1" ht="96.2" customHeight="1" outlineLevel="5">
      <c r="A684" s="25">
        <v>486</v>
      </c>
      <c r="B684" s="26" t="s">
        <v>2088</v>
      </c>
      <c r="C684" s="66" t="s">
        <v>2089</v>
      </c>
      <c r="D684" s="66"/>
      <c r="E684" s="66"/>
      <c r="F684" s="66"/>
      <c r="G684" s="27" t="s">
        <v>2090</v>
      </c>
      <c r="H684" s="33">
        <v>385</v>
      </c>
      <c r="I684" s="29"/>
      <c r="J684" s="25">
        <v>1</v>
      </c>
      <c r="K684" s="30">
        <v>459.25</v>
      </c>
      <c r="L684" s="17"/>
      <c r="M684" s="29">
        <f t="shared" si="33"/>
        <v>0</v>
      </c>
      <c r="N684" s="31">
        <f>0.228*L684</f>
        <v>0</v>
      </c>
      <c r="O684" s="32">
        <f>0.00031*L684</f>
        <v>0</v>
      </c>
      <c r="P684" s="36"/>
      <c r="Q684" s="29" t="s">
        <v>2091</v>
      </c>
      <c r="R684" s="29" t="s">
        <v>611</v>
      </c>
      <c r="S684" s="26" t="str">
        <f>HYPERLINK("https://miland.ru/api/getInfo/image/7e3e1a60-9714-11ed-a22d-00155d82e902")</f>
        <v>https://miland.ru/api/getInfo/image/7e3e1a60-9714-11ed-a22d-00155d82e902</v>
      </c>
    </row>
    <row r="685" spans="1:19" s="1" customFormat="1" ht="12" customHeight="1" outlineLevel="3">
      <c r="A685" s="64" t="s">
        <v>2092</v>
      </c>
      <c r="B685" s="64"/>
      <c r="C685" s="64"/>
      <c r="D685" s="64"/>
      <c r="E685" s="64"/>
      <c r="F685" s="64"/>
      <c r="G685" s="8"/>
      <c r="H685" s="12"/>
      <c r="I685" s="2"/>
      <c r="J685" s="2"/>
      <c r="K685" s="13"/>
      <c r="L685" s="2"/>
      <c r="M685" s="2"/>
      <c r="N685" s="2"/>
      <c r="O685" s="2"/>
      <c r="P685" s="2"/>
      <c r="Q685" s="2"/>
      <c r="R685" s="2"/>
      <c r="S685" s="2"/>
    </row>
    <row r="686" spans="1:19" s="1" customFormat="1" ht="12" customHeight="1" outlineLevel="4">
      <c r="A686" s="64" t="s">
        <v>2093</v>
      </c>
      <c r="B686" s="64"/>
      <c r="C686" s="64"/>
      <c r="D686" s="64"/>
      <c r="E686" s="64"/>
      <c r="F686" s="64"/>
      <c r="G686" s="8"/>
      <c r="H686" s="12"/>
      <c r="I686" s="2"/>
      <c r="J686" s="2"/>
      <c r="K686" s="13"/>
      <c r="L686" s="2"/>
      <c r="M686" s="2"/>
      <c r="N686" s="2"/>
      <c r="O686" s="2"/>
      <c r="P686" s="2"/>
      <c r="Q686" s="2"/>
      <c r="R686" s="2"/>
      <c r="S686" s="2"/>
    </row>
    <row r="687" spans="1:19" s="2" customFormat="1" ht="96.2" customHeight="1" outlineLevel="5">
      <c r="A687" s="25">
        <v>487</v>
      </c>
      <c r="B687" s="26" t="s">
        <v>2094</v>
      </c>
      <c r="C687" s="66" t="s">
        <v>2095</v>
      </c>
      <c r="D687" s="66"/>
      <c r="E687" s="66"/>
      <c r="F687" s="66"/>
      <c r="G687" s="27" t="s">
        <v>2096</v>
      </c>
      <c r="H687" s="33">
        <v>268</v>
      </c>
      <c r="I687" s="29"/>
      <c r="J687" s="25">
        <v>2</v>
      </c>
      <c r="K687" s="30">
        <v>311.57</v>
      </c>
      <c r="L687" s="17"/>
      <c r="M687" s="29">
        <f>K687*L687</f>
        <v>0</v>
      </c>
      <c r="N687" s="34">
        <f>0.12*L687</f>
        <v>0</v>
      </c>
      <c r="O687" s="32">
        <f>0.00183*L687</f>
        <v>0</v>
      </c>
      <c r="P687" s="36"/>
      <c r="Q687" s="29" t="s">
        <v>2097</v>
      </c>
      <c r="R687" s="29"/>
      <c r="S687" s="26" t="str">
        <f>HYPERLINK("https://miland.ru/api/getInfo/image/defb1d75-c238-11ec-a211-ac1f6b442185")</f>
        <v>https://miland.ru/api/getInfo/image/defb1d75-c238-11ec-a211-ac1f6b442185</v>
      </c>
    </row>
    <row r="688" spans="1:19" s="1" customFormat="1" ht="12" customHeight="1" outlineLevel="4">
      <c r="A688" s="64" t="s">
        <v>2098</v>
      </c>
      <c r="B688" s="64"/>
      <c r="C688" s="64"/>
      <c r="D688" s="64"/>
      <c r="E688" s="64"/>
      <c r="F688" s="64"/>
      <c r="G688" s="8"/>
      <c r="H688" s="12"/>
      <c r="I688" s="2"/>
      <c r="J688" s="2"/>
      <c r="K688" s="13"/>
      <c r="L688" s="2"/>
      <c r="M688" s="2"/>
      <c r="N688" s="2"/>
      <c r="O688" s="2"/>
      <c r="P688" s="2"/>
      <c r="Q688" s="2"/>
      <c r="R688" s="2"/>
      <c r="S688" s="2"/>
    </row>
    <row r="689" spans="1:19" s="2" customFormat="1" ht="96.2" customHeight="1" outlineLevel="5">
      <c r="A689" s="25">
        <v>488</v>
      </c>
      <c r="B689" s="26" t="s">
        <v>2099</v>
      </c>
      <c r="C689" s="66" t="s">
        <v>2100</v>
      </c>
      <c r="D689" s="66"/>
      <c r="E689" s="66"/>
      <c r="F689" s="66"/>
      <c r="G689" s="27" t="s">
        <v>2101</v>
      </c>
      <c r="H689" s="28" t="s">
        <v>44</v>
      </c>
      <c r="I689" s="29"/>
      <c r="J689" s="25">
        <v>20</v>
      </c>
      <c r="K689" s="30">
        <v>33.43</v>
      </c>
      <c r="L689" s="17"/>
      <c r="M689" s="29">
        <f>K689*L689</f>
        <v>0</v>
      </c>
      <c r="N689" s="31">
        <f>0.161*L689</f>
        <v>0</v>
      </c>
      <c r="O689" s="32">
        <f>0.00023*L689</f>
        <v>0</v>
      </c>
      <c r="P689" s="36"/>
      <c r="Q689" s="29" t="s">
        <v>2102</v>
      </c>
      <c r="R689" s="29"/>
      <c r="S689" s="26" t="str">
        <f>HYPERLINK("https://miland.ru/api/getInfo/image/6907a8ce-2ee4-11ef-a261-00155d82e908")</f>
        <v>https://miland.ru/api/getInfo/image/6907a8ce-2ee4-11ef-a261-00155d82e908</v>
      </c>
    </row>
    <row r="690" spans="1:19" s="1" customFormat="1" ht="12" customHeight="1" outlineLevel="4">
      <c r="A690" s="64" t="s">
        <v>2103</v>
      </c>
      <c r="B690" s="64"/>
      <c r="C690" s="64"/>
      <c r="D690" s="64"/>
      <c r="E690" s="64"/>
      <c r="F690" s="64"/>
      <c r="G690" s="8"/>
      <c r="H690" s="12"/>
      <c r="I690" s="2"/>
      <c r="J690" s="2"/>
      <c r="K690" s="13"/>
      <c r="L690" s="2"/>
      <c r="M690" s="2"/>
      <c r="N690" s="2"/>
      <c r="O690" s="2"/>
      <c r="P690" s="2"/>
      <c r="Q690" s="2"/>
      <c r="R690" s="2"/>
      <c r="S690" s="2"/>
    </row>
    <row r="691" spans="1:19" s="2" customFormat="1" ht="96.2" customHeight="1" outlineLevel="5">
      <c r="A691" s="9">
        <v>489</v>
      </c>
      <c r="B691" s="10" t="s">
        <v>2104</v>
      </c>
      <c r="C691" s="65" t="s">
        <v>2105</v>
      </c>
      <c r="D691" s="65"/>
      <c r="E691" s="65"/>
      <c r="F691" s="65"/>
      <c r="G691" s="11" t="s">
        <v>2106</v>
      </c>
      <c r="H691" s="21" t="s">
        <v>44</v>
      </c>
      <c r="I691" s="15"/>
      <c r="J691" s="9">
        <v>2</v>
      </c>
      <c r="K691" s="16">
        <v>261.37</v>
      </c>
      <c r="L691" s="17"/>
      <c r="M691" s="15">
        <f>K691*L691</f>
        <v>0</v>
      </c>
      <c r="N691" s="18">
        <f>0.088*L691</f>
        <v>0</v>
      </c>
      <c r="O691" s="19">
        <f>0.00024*L691</f>
        <v>0</v>
      </c>
      <c r="P691" s="24" t="s">
        <v>26</v>
      </c>
      <c r="Q691" s="15" t="s">
        <v>2107</v>
      </c>
      <c r="R691" s="15"/>
      <c r="S691" s="10" t="str">
        <f>HYPERLINK("https://miland.ru/api/getInfo/image/4aeef1e5-e24c-11f0-a28c-00155d82e908")</f>
        <v>https://miland.ru/api/getInfo/image/4aeef1e5-e24c-11f0-a28c-00155d82e908</v>
      </c>
    </row>
    <row r="692" spans="1:19" s="1" customFormat="1" ht="12" customHeight="1" outlineLevel="4">
      <c r="A692" s="64" t="s">
        <v>2108</v>
      </c>
      <c r="B692" s="64"/>
      <c r="C692" s="64"/>
      <c r="D692" s="64"/>
      <c r="E692" s="64"/>
      <c r="F692" s="64"/>
      <c r="G692" s="8"/>
      <c r="H692" s="12"/>
      <c r="I692" s="2"/>
      <c r="J692" s="2"/>
      <c r="K692" s="13"/>
      <c r="L692" s="2"/>
      <c r="M692" s="2"/>
      <c r="N692" s="2"/>
      <c r="O692" s="2"/>
      <c r="P692" s="2"/>
      <c r="Q692" s="2"/>
      <c r="R692" s="2"/>
      <c r="S692" s="2"/>
    </row>
    <row r="693" spans="1:19" s="2" customFormat="1" ht="96.2" customHeight="1" outlineLevel="5">
      <c r="A693" s="25">
        <v>490</v>
      </c>
      <c r="B693" s="26" t="s">
        <v>2109</v>
      </c>
      <c r="C693" s="66" t="s">
        <v>2110</v>
      </c>
      <c r="D693" s="66"/>
      <c r="E693" s="66"/>
      <c r="F693" s="66"/>
      <c r="G693" s="27" t="s">
        <v>2111</v>
      </c>
      <c r="H693" s="28" t="s">
        <v>44</v>
      </c>
      <c r="I693" s="29"/>
      <c r="J693" s="25">
        <v>60</v>
      </c>
      <c r="K693" s="30">
        <v>7.09</v>
      </c>
      <c r="L693" s="17"/>
      <c r="M693" s="29">
        <f>K693*L693</f>
        <v>0</v>
      </c>
      <c r="N693" s="31">
        <f>0.002*L693</f>
        <v>0</v>
      </c>
      <c r="O693" s="32">
        <f>0.00001*L693</f>
        <v>0</v>
      </c>
      <c r="P693" s="36"/>
      <c r="Q693" s="29" t="s">
        <v>2112</v>
      </c>
      <c r="R693" s="29"/>
      <c r="S693" s="26" t="str">
        <f>HYPERLINK("https://miland.ru/api/getInfo/image/5ef29e78-d6f6-11ef-a26a-00155d82e908")</f>
        <v>https://miland.ru/api/getInfo/image/5ef29e78-d6f6-11ef-a26a-00155d82e908</v>
      </c>
    </row>
    <row r="694" spans="1:19" s="1" customFormat="1" ht="12" customHeight="1" outlineLevel="4">
      <c r="A694" s="64" t="s">
        <v>2113</v>
      </c>
      <c r="B694" s="64"/>
      <c r="C694" s="64"/>
      <c r="D694" s="64"/>
      <c r="E694" s="64"/>
      <c r="F694" s="64"/>
      <c r="G694" s="8"/>
      <c r="H694" s="12"/>
      <c r="I694" s="2"/>
      <c r="J694" s="2"/>
      <c r="K694" s="13"/>
      <c r="L694" s="2"/>
      <c r="M694" s="2"/>
      <c r="N694" s="2"/>
      <c r="O694" s="2"/>
      <c r="P694" s="2"/>
      <c r="Q694" s="2"/>
      <c r="R694" s="2"/>
      <c r="S694" s="2"/>
    </row>
    <row r="695" spans="1:19" s="1" customFormat="1" ht="12" customHeight="1" outlineLevel="5">
      <c r="A695" s="64" t="s">
        <v>2114</v>
      </c>
      <c r="B695" s="64"/>
      <c r="C695" s="64"/>
      <c r="D695" s="64"/>
      <c r="E695" s="64"/>
      <c r="F695" s="64"/>
      <c r="G695" s="8"/>
      <c r="H695" s="12"/>
      <c r="I695" s="2"/>
      <c r="J695" s="2"/>
      <c r="K695" s="13"/>
      <c r="L695" s="2"/>
      <c r="M695" s="2"/>
      <c r="N695" s="2"/>
      <c r="O695" s="2"/>
      <c r="P695" s="2"/>
      <c r="Q695" s="2"/>
      <c r="R695" s="2"/>
      <c r="S695" s="2"/>
    </row>
    <row r="696" spans="1:19" s="2" customFormat="1" ht="96.2" customHeight="1" outlineLevel="6">
      <c r="A696" s="9">
        <v>491</v>
      </c>
      <c r="B696" s="10" t="s">
        <v>2115</v>
      </c>
      <c r="C696" s="65" t="s">
        <v>2116</v>
      </c>
      <c r="D696" s="65"/>
      <c r="E696" s="65"/>
      <c r="F696" s="65"/>
      <c r="G696" s="11" t="s">
        <v>2117</v>
      </c>
      <c r="H696" s="14">
        <v>270</v>
      </c>
      <c r="I696" s="15"/>
      <c r="J696" s="9">
        <v>40</v>
      </c>
      <c r="K696" s="16">
        <v>10.47</v>
      </c>
      <c r="L696" s="17"/>
      <c r="M696" s="15">
        <f>K696*L696</f>
        <v>0</v>
      </c>
      <c r="N696" s="18">
        <f>0.005*L696</f>
        <v>0</v>
      </c>
      <c r="O696" s="19">
        <f>0.00001*L696</f>
        <v>0</v>
      </c>
      <c r="P696" s="24" t="s">
        <v>26</v>
      </c>
      <c r="Q696" s="15" t="s">
        <v>2118</v>
      </c>
      <c r="R696" s="15"/>
      <c r="S696" s="10" t="str">
        <f>HYPERLINK("https://miland.ru/api/getInfo/image/eb377ce1-f057-11f0-a28d-00155d82e908")</f>
        <v>https://miland.ru/api/getInfo/image/eb377ce1-f057-11f0-a28d-00155d82e908</v>
      </c>
    </row>
    <row r="697" spans="1:19" s="1" customFormat="1" ht="12" customHeight="1" outlineLevel="5">
      <c r="A697" s="64" t="s">
        <v>2119</v>
      </c>
      <c r="B697" s="64"/>
      <c r="C697" s="64"/>
      <c r="D697" s="64"/>
      <c r="E697" s="64"/>
      <c r="F697" s="64"/>
      <c r="G697" s="8"/>
      <c r="H697" s="12"/>
      <c r="I697" s="2"/>
      <c r="J697" s="2"/>
      <c r="K697" s="13"/>
      <c r="L697" s="2"/>
      <c r="M697" s="2"/>
      <c r="N697" s="2"/>
      <c r="O697" s="2"/>
      <c r="P697" s="2"/>
      <c r="Q697" s="2"/>
      <c r="R697" s="2"/>
      <c r="S697" s="2"/>
    </row>
    <row r="698" spans="1:19" s="2" customFormat="1" ht="96.2" customHeight="1" outlineLevel="6">
      <c r="A698" s="9">
        <v>492</v>
      </c>
      <c r="B698" s="10" t="s">
        <v>2120</v>
      </c>
      <c r="C698" s="65" t="s">
        <v>2121</v>
      </c>
      <c r="D698" s="65"/>
      <c r="E698" s="65"/>
      <c r="F698" s="65"/>
      <c r="G698" s="11" t="s">
        <v>2122</v>
      </c>
      <c r="H698" s="21" t="s">
        <v>44</v>
      </c>
      <c r="I698" s="15"/>
      <c r="J698" s="9">
        <v>40</v>
      </c>
      <c r="K698" s="16">
        <v>13.23</v>
      </c>
      <c r="L698" s="17"/>
      <c r="M698" s="15">
        <f>K698*L698</f>
        <v>0</v>
      </c>
      <c r="N698" s="18">
        <f>0.005*L698</f>
        <v>0</v>
      </c>
      <c r="O698" s="19">
        <f>0.00001*L698</f>
        <v>0</v>
      </c>
      <c r="P698" s="24" t="s">
        <v>26</v>
      </c>
      <c r="Q698" s="15" t="s">
        <v>2123</v>
      </c>
      <c r="R698" s="15"/>
      <c r="S698" s="10" t="str">
        <f>HYPERLINK("https://miland.ru/api/getInfo/image/24cb7a8e-f04c-11f0-a28d-00155d82e908")</f>
        <v>https://miland.ru/api/getInfo/image/24cb7a8e-f04c-11f0-a28d-00155d82e908</v>
      </c>
    </row>
    <row r="699" spans="1:19" s="2" customFormat="1" ht="96.2" customHeight="1" outlineLevel="6">
      <c r="A699" s="9">
        <v>493</v>
      </c>
      <c r="B699" s="10" t="s">
        <v>2124</v>
      </c>
      <c r="C699" s="65" t="s">
        <v>2125</v>
      </c>
      <c r="D699" s="65"/>
      <c r="E699" s="65"/>
      <c r="F699" s="65"/>
      <c r="G699" s="11" t="s">
        <v>2126</v>
      </c>
      <c r="H699" s="14">
        <v>140</v>
      </c>
      <c r="I699" s="15"/>
      <c r="J699" s="9">
        <v>40</v>
      </c>
      <c r="K699" s="16">
        <v>13.23</v>
      </c>
      <c r="L699" s="17"/>
      <c r="M699" s="15">
        <f>K699*L699</f>
        <v>0</v>
      </c>
      <c r="N699" s="18">
        <f>0.005*L699</f>
        <v>0</v>
      </c>
      <c r="O699" s="19">
        <f>0.00001*L699</f>
        <v>0</v>
      </c>
      <c r="P699" s="24" t="s">
        <v>26</v>
      </c>
      <c r="Q699" s="15" t="s">
        <v>2127</v>
      </c>
      <c r="R699" s="15"/>
      <c r="S699" s="10" t="str">
        <f>HYPERLINK("https://miland.ru/api/getInfo/image/8796fe63-f04a-11f0-a28d-00155d82e908")</f>
        <v>https://miland.ru/api/getInfo/image/8796fe63-f04a-11f0-a28d-00155d82e908</v>
      </c>
    </row>
    <row r="700" spans="1:19" s="2" customFormat="1" ht="96.2" customHeight="1" outlineLevel="6">
      <c r="A700" s="9">
        <v>494</v>
      </c>
      <c r="B700" s="10" t="s">
        <v>2128</v>
      </c>
      <c r="C700" s="65" t="s">
        <v>2129</v>
      </c>
      <c r="D700" s="65"/>
      <c r="E700" s="65"/>
      <c r="F700" s="65"/>
      <c r="G700" s="11" t="s">
        <v>2130</v>
      </c>
      <c r="H700" s="14">
        <v>450</v>
      </c>
      <c r="I700" s="15"/>
      <c r="J700" s="9">
        <v>40</v>
      </c>
      <c r="K700" s="16">
        <v>13.23</v>
      </c>
      <c r="L700" s="17"/>
      <c r="M700" s="15">
        <f>K700*L700</f>
        <v>0</v>
      </c>
      <c r="N700" s="18">
        <f>0.005*L700</f>
        <v>0</v>
      </c>
      <c r="O700" s="19">
        <f>0.00001*L700</f>
        <v>0</v>
      </c>
      <c r="P700" s="24" t="s">
        <v>26</v>
      </c>
      <c r="Q700" s="15" t="s">
        <v>2131</v>
      </c>
      <c r="R700" s="15"/>
      <c r="S700" s="10" t="str">
        <f>HYPERLINK("https://miland.ru/api/getInfo/image/58a50262-f04b-11f0-a28d-00155d82e908")</f>
        <v>https://miland.ru/api/getInfo/image/58a50262-f04b-11f0-a28d-00155d82e908</v>
      </c>
    </row>
    <row r="701" spans="1:19" s="1" customFormat="1" ht="12" customHeight="1" outlineLevel="5">
      <c r="A701" s="64" t="s">
        <v>2132</v>
      </c>
      <c r="B701" s="64"/>
      <c r="C701" s="64"/>
      <c r="D701" s="64"/>
      <c r="E701" s="64"/>
      <c r="F701" s="64"/>
      <c r="G701" s="8"/>
      <c r="H701" s="12"/>
      <c r="I701" s="2"/>
      <c r="J701" s="2"/>
      <c r="K701" s="13"/>
      <c r="L701" s="2"/>
      <c r="M701" s="2"/>
      <c r="N701" s="2"/>
      <c r="O701" s="2"/>
      <c r="P701" s="2"/>
      <c r="Q701" s="2"/>
      <c r="R701" s="2"/>
      <c r="S701" s="2"/>
    </row>
    <row r="702" spans="1:19" s="2" customFormat="1" ht="96.2" customHeight="1" outlineLevel="6">
      <c r="A702" s="9">
        <v>495</v>
      </c>
      <c r="B702" s="10" t="s">
        <v>2133</v>
      </c>
      <c r="C702" s="65" t="s">
        <v>2134</v>
      </c>
      <c r="D702" s="65"/>
      <c r="E702" s="65"/>
      <c r="F702" s="65"/>
      <c r="G702" s="11" t="s">
        <v>2135</v>
      </c>
      <c r="H702" s="21" t="s">
        <v>44</v>
      </c>
      <c r="I702" s="15"/>
      <c r="J702" s="9">
        <v>40</v>
      </c>
      <c r="K702" s="16">
        <v>13.39</v>
      </c>
      <c r="L702" s="17"/>
      <c r="M702" s="15">
        <f t="shared" ref="M702:M708" si="34">K702*L702</f>
        <v>0</v>
      </c>
      <c r="N702" s="18">
        <f>0.008*L702</f>
        <v>0</v>
      </c>
      <c r="O702" s="19">
        <f t="shared" ref="O702:O708" si="35">0.00001*L702</f>
        <v>0</v>
      </c>
      <c r="P702" s="24" t="s">
        <v>26</v>
      </c>
      <c r="Q702" s="15" t="s">
        <v>2136</v>
      </c>
      <c r="R702" s="15"/>
      <c r="S702" s="10" t="str">
        <f>HYPERLINK("https://miland.ru/api/getInfo/image/56d5a123-f052-11f0-a28d-00155d82e908")</f>
        <v>https://miland.ru/api/getInfo/image/56d5a123-f052-11f0-a28d-00155d82e908</v>
      </c>
    </row>
    <row r="703" spans="1:19" s="2" customFormat="1" ht="96.2" customHeight="1" outlineLevel="6">
      <c r="A703" s="9">
        <v>496</v>
      </c>
      <c r="B703" s="10" t="s">
        <v>2137</v>
      </c>
      <c r="C703" s="65" t="s">
        <v>2138</v>
      </c>
      <c r="D703" s="65"/>
      <c r="E703" s="65"/>
      <c r="F703" s="65"/>
      <c r="G703" s="11" t="s">
        <v>2139</v>
      </c>
      <c r="H703" s="14">
        <v>100</v>
      </c>
      <c r="I703" s="15"/>
      <c r="J703" s="9">
        <v>40</v>
      </c>
      <c r="K703" s="16">
        <v>13.39</v>
      </c>
      <c r="L703" s="17"/>
      <c r="M703" s="15">
        <f t="shared" si="34"/>
        <v>0</v>
      </c>
      <c r="N703" s="18">
        <f>0.008*L703</f>
        <v>0</v>
      </c>
      <c r="O703" s="19">
        <f t="shared" si="35"/>
        <v>0</v>
      </c>
      <c r="P703" s="24" t="s">
        <v>26</v>
      </c>
      <c r="Q703" s="15" t="s">
        <v>2140</v>
      </c>
      <c r="R703" s="15"/>
      <c r="S703" s="10" t="str">
        <f>HYPERLINK("https://miland.ru/api/getInfo/image/23f333cc-f052-11f0-a28d-00155d82e908")</f>
        <v>https://miland.ru/api/getInfo/image/23f333cc-f052-11f0-a28d-00155d82e908</v>
      </c>
    </row>
    <row r="704" spans="1:19" s="2" customFormat="1" ht="96.2" customHeight="1" outlineLevel="6">
      <c r="A704" s="9">
        <v>497</v>
      </c>
      <c r="B704" s="10" t="s">
        <v>2141</v>
      </c>
      <c r="C704" s="65" t="s">
        <v>2142</v>
      </c>
      <c r="D704" s="65"/>
      <c r="E704" s="65"/>
      <c r="F704" s="65"/>
      <c r="G704" s="11" t="s">
        <v>2143</v>
      </c>
      <c r="H704" s="21" t="s">
        <v>44</v>
      </c>
      <c r="I704" s="15"/>
      <c r="J704" s="9">
        <v>40</v>
      </c>
      <c r="K704" s="16">
        <v>13.39</v>
      </c>
      <c r="L704" s="17"/>
      <c r="M704" s="15">
        <f t="shared" si="34"/>
        <v>0</v>
      </c>
      <c r="N704" s="18">
        <f>0.008*L704</f>
        <v>0</v>
      </c>
      <c r="O704" s="19">
        <f t="shared" si="35"/>
        <v>0</v>
      </c>
      <c r="P704" s="24" t="s">
        <v>26</v>
      </c>
      <c r="Q704" s="15" t="s">
        <v>2144</v>
      </c>
      <c r="R704" s="15"/>
      <c r="S704" s="10" t="str">
        <f>HYPERLINK("https://miland.ru/api/getInfo/image/dd46dadc-f051-11f0-a28d-00155d82e908")</f>
        <v>https://miland.ru/api/getInfo/image/dd46dadc-f051-11f0-a28d-00155d82e908</v>
      </c>
    </row>
    <row r="705" spans="1:19" s="2" customFormat="1" ht="96.2" customHeight="1" outlineLevel="6">
      <c r="A705" s="9">
        <v>498</v>
      </c>
      <c r="B705" s="10" t="s">
        <v>2145</v>
      </c>
      <c r="C705" s="65" t="s">
        <v>2146</v>
      </c>
      <c r="D705" s="65"/>
      <c r="E705" s="65"/>
      <c r="F705" s="65"/>
      <c r="G705" s="11" t="s">
        <v>2147</v>
      </c>
      <c r="H705" s="21" t="s">
        <v>44</v>
      </c>
      <c r="I705" s="15"/>
      <c r="J705" s="9">
        <v>40</v>
      </c>
      <c r="K705" s="16">
        <v>13.39</v>
      </c>
      <c r="L705" s="17"/>
      <c r="M705" s="15">
        <f t="shared" si="34"/>
        <v>0</v>
      </c>
      <c r="N705" s="18">
        <f>0.008*L705</f>
        <v>0</v>
      </c>
      <c r="O705" s="19">
        <f t="shared" si="35"/>
        <v>0</v>
      </c>
      <c r="P705" s="24" t="s">
        <v>26</v>
      </c>
      <c r="Q705" s="15" t="s">
        <v>2148</v>
      </c>
      <c r="R705" s="15"/>
      <c r="S705" s="10" t="str">
        <f>HYPERLINK("https://miland.ru/api/getInfo/image/d6531c99-f052-11f0-a28d-00155d82e908")</f>
        <v>https://miland.ru/api/getInfo/image/d6531c99-f052-11f0-a28d-00155d82e908</v>
      </c>
    </row>
    <row r="706" spans="1:19" s="2" customFormat="1" ht="96.2" customHeight="1" outlineLevel="6">
      <c r="A706" s="9">
        <v>499</v>
      </c>
      <c r="B706" s="10" t="s">
        <v>2149</v>
      </c>
      <c r="C706" s="65" t="s">
        <v>2150</v>
      </c>
      <c r="D706" s="65"/>
      <c r="E706" s="65"/>
      <c r="F706" s="65"/>
      <c r="G706" s="11" t="s">
        <v>2151</v>
      </c>
      <c r="H706" s="21" t="s">
        <v>44</v>
      </c>
      <c r="I706" s="15"/>
      <c r="J706" s="9">
        <v>40</v>
      </c>
      <c r="K706" s="16">
        <v>13.39</v>
      </c>
      <c r="L706" s="17"/>
      <c r="M706" s="15">
        <f t="shared" si="34"/>
        <v>0</v>
      </c>
      <c r="N706" s="18">
        <f>0.008*L706</f>
        <v>0</v>
      </c>
      <c r="O706" s="19">
        <f t="shared" si="35"/>
        <v>0</v>
      </c>
      <c r="P706" s="24" t="s">
        <v>26</v>
      </c>
      <c r="Q706" s="15" t="s">
        <v>2152</v>
      </c>
      <c r="R706" s="15"/>
      <c r="S706" s="10" t="str">
        <f>HYPERLINK("https://miland.ru/api/getInfo/image/85699c78-f052-11f0-a28d-00155d82e908")</f>
        <v>https://miland.ru/api/getInfo/image/85699c78-f052-11f0-a28d-00155d82e908</v>
      </c>
    </row>
    <row r="707" spans="1:19" s="2" customFormat="1" ht="96.2" customHeight="1" outlineLevel="6">
      <c r="A707" s="9">
        <v>500</v>
      </c>
      <c r="B707" s="10" t="s">
        <v>2153</v>
      </c>
      <c r="C707" s="65" t="s">
        <v>2154</v>
      </c>
      <c r="D707" s="65"/>
      <c r="E707" s="65"/>
      <c r="F707" s="65"/>
      <c r="G707" s="11" t="s">
        <v>2155</v>
      </c>
      <c r="H707" s="21" t="s">
        <v>44</v>
      </c>
      <c r="I707" s="15"/>
      <c r="J707" s="9">
        <v>40</v>
      </c>
      <c r="K707" s="16">
        <v>13.39</v>
      </c>
      <c r="L707" s="17"/>
      <c r="M707" s="15">
        <f t="shared" si="34"/>
        <v>0</v>
      </c>
      <c r="N707" s="18">
        <f>0.009*L707</f>
        <v>0</v>
      </c>
      <c r="O707" s="19">
        <f t="shared" si="35"/>
        <v>0</v>
      </c>
      <c r="P707" s="24" t="s">
        <v>26</v>
      </c>
      <c r="Q707" s="15" t="s">
        <v>2156</v>
      </c>
      <c r="R707" s="15"/>
      <c r="S707" s="10" t="str">
        <f>HYPERLINK("https://miland.ru/api/getInfo/image/be21dfad-f052-11f0-a28d-00155d82e908")</f>
        <v>https://miland.ru/api/getInfo/image/be21dfad-f052-11f0-a28d-00155d82e908</v>
      </c>
    </row>
    <row r="708" spans="1:19" s="2" customFormat="1" ht="96.2" customHeight="1" outlineLevel="6">
      <c r="A708" s="9">
        <v>501</v>
      </c>
      <c r="B708" s="10" t="s">
        <v>2157</v>
      </c>
      <c r="C708" s="65" t="s">
        <v>2158</v>
      </c>
      <c r="D708" s="65"/>
      <c r="E708" s="65"/>
      <c r="F708" s="65"/>
      <c r="G708" s="11" t="s">
        <v>2159</v>
      </c>
      <c r="H708" s="14">
        <v>120</v>
      </c>
      <c r="I708" s="15"/>
      <c r="J708" s="9">
        <v>40</v>
      </c>
      <c r="K708" s="16">
        <v>13.39</v>
      </c>
      <c r="L708" s="17"/>
      <c r="M708" s="15">
        <f t="shared" si="34"/>
        <v>0</v>
      </c>
      <c r="N708" s="18">
        <f>0.008*L708</f>
        <v>0</v>
      </c>
      <c r="O708" s="19">
        <f t="shared" si="35"/>
        <v>0</v>
      </c>
      <c r="P708" s="24" t="s">
        <v>26</v>
      </c>
      <c r="Q708" s="15" t="s">
        <v>2160</v>
      </c>
      <c r="R708" s="15"/>
      <c r="S708" s="10" t="str">
        <f>HYPERLINK("https://miland.ru/api/getInfo/image/a4bae1fa-f052-11f0-a28d-00155d82e908")</f>
        <v>https://miland.ru/api/getInfo/image/a4bae1fa-f052-11f0-a28d-00155d82e908</v>
      </c>
    </row>
    <row r="709" spans="1:19" s="1" customFormat="1" ht="12" customHeight="1" outlineLevel="5">
      <c r="A709" s="64" t="s">
        <v>2161</v>
      </c>
      <c r="B709" s="64"/>
      <c r="C709" s="64"/>
      <c r="D709" s="64"/>
      <c r="E709" s="64"/>
      <c r="F709" s="64"/>
      <c r="G709" s="8"/>
      <c r="H709" s="12"/>
      <c r="I709" s="2"/>
      <c r="J709" s="2"/>
      <c r="K709" s="13"/>
      <c r="L709" s="2"/>
      <c r="M709" s="2"/>
      <c r="N709" s="2"/>
      <c r="O709" s="2"/>
      <c r="P709" s="2"/>
      <c r="Q709" s="2"/>
      <c r="R709" s="2"/>
      <c r="S709" s="2"/>
    </row>
    <row r="710" spans="1:19" s="1" customFormat="1" ht="12" customHeight="1" outlineLevel="6">
      <c r="A710" s="64" t="s">
        <v>2162</v>
      </c>
      <c r="B710" s="64"/>
      <c r="C710" s="64"/>
      <c r="D710" s="64"/>
      <c r="E710" s="64"/>
      <c r="F710" s="64"/>
      <c r="G710" s="8"/>
      <c r="H710" s="12"/>
      <c r="I710" s="2"/>
      <c r="J710" s="2"/>
      <c r="K710" s="13"/>
      <c r="L710" s="2"/>
      <c r="M710" s="2"/>
      <c r="N710" s="2"/>
      <c r="O710" s="2"/>
      <c r="P710" s="2"/>
      <c r="Q710" s="2"/>
      <c r="R710" s="2"/>
      <c r="S710" s="2"/>
    </row>
    <row r="711" spans="1:19" s="2" customFormat="1" ht="96.2" customHeight="1" outlineLevel="7">
      <c r="A711" s="25">
        <v>502</v>
      </c>
      <c r="B711" s="26" t="s">
        <v>2163</v>
      </c>
      <c r="C711" s="66" t="s">
        <v>2164</v>
      </c>
      <c r="D711" s="66"/>
      <c r="E711" s="66"/>
      <c r="F711" s="66"/>
      <c r="G711" s="27" t="s">
        <v>2165</v>
      </c>
      <c r="H711" s="28" t="s">
        <v>44</v>
      </c>
      <c r="I711" s="29"/>
      <c r="J711" s="25">
        <v>20</v>
      </c>
      <c r="K711" s="30">
        <v>26.12</v>
      </c>
      <c r="L711" s="17"/>
      <c r="M711" s="29">
        <f>K711*L711</f>
        <v>0</v>
      </c>
      <c r="N711" s="31">
        <f>0.007*L711</f>
        <v>0</v>
      </c>
      <c r="O711" s="32">
        <f>0.00003*L711</f>
        <v>0</v>
      </c>
      <c r="P711" s="36"/>
      <c r="Q711" s="29" t="s">
        <v>2166</v>
      </c>
      <c r="R711" s="29" t="s">
        <v>611</v>
      </c>
      <c r="S711" s="26" t="str">
        <f>HYPERLINK("https://miland.ru/api/getInfo/image/b2098940-b806-11ed-a230-00155d82e902")</f>
        <v>https://miland.ru/api/getInfo/image/b2098940-b806-11ed-a230-00155d82e902</v>
      </c>
    </row>
    <row r="712" spans="1:19" s="1" customFormat="1" ht="12" customHeight="1" outlineLevel="6">
      <c r="A712" s="64" t="s">
        <v>2167</v>
      </c>
      <c r="B712" s="64"/>
      <c r="C712" s="64"/>
      <c r="D712" s="64"/>
      <c r="E712" s="64"/>
      <c r="F712" s="64"/>
      <c r="G712" s="8"/>
      <c r="H712" s="12"/>
      <c r="I712" s="2"/>
      <c r="J712" s="2"/>
      <c r="K712" s="13"/>
      <c r="L712" s="2"/>
      <c r="M712" s="2"/>
      <c r="N712" s="2"/>
      <c r="O712" s="2"/>
      <c r="P712" s="2"/>
      <c r="Q712" s="2"/>
      <c r="R712" s="2"/>
      <c r="S712" s="2"/>
    </row>
    <row r="713" spans="1:19" s="2" customFormat="1" ht="96.2" customHeight="1" outlineLevel="7">
      <c r="A713" s="9">
        <v>503</v>
      </c>
      <c r="B713" s="10" t="s">
        <v>2168</v>
      </c>
      <c r="C713" s="65" t="s">
        <v>2169</v>
      </c>
      <c r="D713" s="65"/>
      <c r="E713" s="65"/>
      <c r="F713" s="65"/>
      <c r="G713" s="11" t="s">
        <v>2170</v>
      </c>
      <c r="H713" s="21" t="s">
        <v>44</v>
      </c>
      <c r="I713" s="15"/>
      <c r="J713" s="9">
        <v>20</v>
      </c>
      <c r="K713" s="16">
        <v>32.520000000000003</v>
      </c>
      <c r="L713" s="17"/>
      <c r="M713" s="15">
        <f t="shared" ref="M713:M727" si="36">K713*L713</f>
        <v>0</v>
      </c>
      <c r="N713" s="23">
        <f>0.01*L713</f>
        <v>0</v>
      </c>
      <c r="O713" s="19">
        <f t="shared" ref="O713:O722" si="37">0.00001*L713</f>
        <v>0</v>
      </c>
      <c r="P713" s="24" t="s">
        <v>26</v>
      </c>
      <c r="Q713" s="15" t="s">
        <v>2171</v>
      </c>
      <c r="R713" s="15"/>
      <c r="S713" s="10" t="str">
        <f>HYPERLINK("https://miland.ru/api/getInfo/image/ab679ac2-79c8-11f0-a284-00155d82e908")</f>
        <v>https://miland.ru/api/getInfo/image/ab679ac2-79c8-11f0-a284-00155d82e908</v>
      </c>
    </row>
    <row r="714" spans="1:19" s="2" customFormat="1" ht="96.2" customHeight="1" outlineLevel="7">
      <c r="A714" s="9">
        <v>504</v>
      </c>
      <c r="B714" s="10" t="s">
        <v>2172</v>
      </c>
      <c r="C714" s="65" t="s">
        <v>2173</v>
      </c>
      <c r="D714" s="65"/>
      <c r="E714" s="65"/>
      <c r="F714" s="65"/>
      <c r="G714" s="11" t="s">
        <v>2174</v>
      </c>
      <c r="H714" s="21" t="s">
        <v>44</v>
      </c>
      <c r="I714" s="15"/>
      <c r="J714" s="9">
        <v>20</v>
      </c>
      <c r="K714" s="16">
        <v>32.520000000000003</v>
      </c>
      <c r="L714" s="17"/>
      <c r="M714" s="15">
        <f t="shared" si="36"/>
        <v>0</v>
      </c>
      <c r="N714" s="18">
        <f>0.012*L714</f>
        <v>0</v>
      </c>
      <c r="O714" s="19">
        <f t="shared" si="37"/>
        <v>0</v>
      </c>
      <c r="P714" s="24" t="s">
        <v>26</v>
      </c>
      <c r="Q714" s="15" t="s">
        <v>2175</v>
      </c>
      <c r="R714" s="15"/>
      <c r="S714" s="10" t="str">
        <f>HYPERLINK("https://miland.ru/api/getInfo/image/e66b236c-79c7-11f0-a284-00155d82e908")</f>
        <v>https://miland.ru/api/getInfo/image/e66b236c-79c7-11f0-a284-00155d82e908</v>
      </c>
    </row>
    <row r="715" spans="1:19" s="2" customFormat="1" ht="96.2" customHeight="1" outlineLevel="7">
      <c r="A715" s="9">
        <v>505</v>
      </c>
      <c r="B715" s="10" t="s">
        <v>2176</v>
      </c>
      <c r="C715" s="65" t="s">
        <v>2177</v>
      </c>
      <c r="D715" s="65"/>
      <c r="E715" s="65"/>
      <c r="F715" s="65"/>
      <c r="G715" s="11" t="s">
        <v>2178</v>
      </c>
      <c r="H715" s="21" t="s">
        <v>44</v>
      </c>
      <c r="I715" s="15"/>
      <c r="J715" s="9">
        <v>20</v>
      </c>
      <c r="K715" s="16">
        <v>32.520000000000003</v>
      </c>
      <c r="L715" s="17"/>
      <c r="M715" s="15">
        <f t="shared" si="36"/>
        <v>0</v>
      </c>
      <c r="N715" s="18">
        <f>0.009*L715</f>
        <v>0</v>
      </c>
      <c r="O715" s="19">
        <f t="shared" si="37"/>
        <v>0</v>
      </c>
      <c r="P715" s="24" t="s">
        <v>26</v>
      </c>
      <c r="Q715" s="15" t="s">
        <v>2179</v>
      </c>
      <c r="R715" s="15"/>
      <c r="S715" s="10" t="str">
        <f>HYPERLINK("https://miland.ru/api/getInfo/image/23fca1b7-79c9-11f0-a284-00155d82e908")</f>
        <v>https://miland.ru/api/getInfo/image/23fca1b7-79c9-11f0-a284-00155d82e908</v>
      </c>
    </row>
    <row r="716" spans="1:19" s="2" customFormat="1" ht="96.2" customHeight="1" outlineLevel="7">
      <c r="A716" s="9">
        <v>506</v>
      </c>
      <c r="B716" s="10" t="s">
        <v>2180</v>
      </c>
      <c r="C716" s="65" t="s">
        <v>2181</v>
      </c>
      <c r="D716" s="65"/>
      <c r="E716" s="65"/>
      <c r="F716" s="65"/>
      <c r="G716" s="11" t="s">
        <v>2182</v>
      </c>
      <c r="H716" s="21" t="s">
        <v>44</v>
      </c>
      <c r="I716" s="15"/>
      <c r="J716" s="9">
        <v>20</v>
      </c>
      <c r="K716" s="16">
        <v>32.520000000000003</v>
      </c>
      <c r="L716" s="17"/>
      <c r="M716" s="15">
        <f t="shared" si="36"/>
        <v>0</v>
      </c>
      <c r="N716" s="23">
        <f t="shared" ref="N716:N722" si="38">0.01*L716</f>
        <v>0</v>
      </c>
      <c r="O716" s="19">
        <f t="shared" si="37"/>
        <v>0</v>
      </c>
      <c r="P716" s="24" t="s">
        <v>26</v>
      </c>
      <c r="Q716" s="15" t="s">
        <v>2183</v>
      </c>
      <c r="R716" s="15"/>
      <c r="S716" s="10" t="str">
        <f>HYPERLINK("https://miland.ru/api/getInfo/image/6a237428-79bc-11f0-a284-00155d82e908")</f>
        <v>https://miland.ru/api/getInfo/image/6a237428-79bc-11f0-a284-00155d82e908</v>
      </c>
    </row>
    <row r="717" spans="1:19" s="2" customFormat="1" ht="96.2" customHeight="1" outlineLevel="7">
      <c r="A717" s="9">
        <v>507</v>
      </c>
      <c r="B717" s="10" t="s">
        <v>2184</v>
      </c>
      <c r="C717" s="65" t="s">
        <v>2185</v>
      </c>
      <c r="D717" s="65"/>
      <c r="E717" s="65"/>
      <c r="F717" s="65"/>
      <c r="G717" s="11" t="s">
        <v>2186</v>
      </c>
      <c r="H717" s="21" t="s">
        <v>44</v>
      </c>
      <c r="I717" s="15"/>
      <c r="J717" s="9">
        <v>20</v>
      </c>
      <c r="K717" s="16">
        <v>32.520000000000003</v>
      </c>
      <c r="L717" s="17"/>
      <c r="M717" s="15">
        <f t="shared" si="36"/>
        <v>0</v>
      </c>
      <c r="N717" s="23">
        <f t="shared" si="38"/>
        <v>0</v>
      </c>
      <c r="O717" s="19">
        <f t="shared" si="37"/>
        <v>0</v>
      </c>
      <c r="P717" s="24" t="s">
        <v>26</v>
      </c>
      <c r="Q717" s="15" t="s">
        <v>2187</v>
      </c>
      <c r="R717" s="15"/>
      <c r="S717" s="10" t="str">
        <f>HYPERLINK("https://miland.ru/api/getInfo/image/d8ce24a6-79c8-11f0-a284-00155d82e908")</f>
        <v>https://miland.ru/api/getInfo/image/d8ce24a6-79c8-11f0-a284-00155d82e908</v>
      </c>
    </row>
    <row r="718" spans="1:19" s="2" customFormat="1" ht="96.2" customHeight="1" outlineLevel="7">
      <c r="A718" s="9">
        <v>508</v>
      </c>
      <c r="B718" s="10" t="s">
        <v>2188</v>
      </c>
      <c r="C718" s="65" t="s">
        <v>2189</v>
      </c>
      <c r="D718" s="65"/>
      <c r="E718" s="65"/>
      <c r="F718" s="65"/>
      <c r="G718" s="11" t="s">
        <v>2190</v>
      </c>
      <c r="H718" s="21" t="s">
        <v>44</v>
      </c>
      <c r="I718" s="15"/>
      <c r="J718" s="9">
        <v>20</v>
      </c>
      <c r="K718" s="16">
        <v>32.520000000000003</v>
      </c>
      <c r="L718" s="17"/>
      <c r="M718" s="15">
        <f t="shared" si="36"/>
        <v>0</v>
      </c>
      <c r="N718" s="23">
        <f t="shared" si="38"/>
        <v>0</v>
      </c>
      <c r="O718" s="19">
        <f t="shared" si="37"/>
        <v>0</v>
      </c>
      <c r="P718" s="24" t="s">
        <v>26</v>
      </c>
      <c r="Q718" s="15" t="s">
        <v>2191</v>
      </c>
      <c r="R718" s="15"/>
      <c r="S718" s="10" t="str">
        <f>HYPERLINK("https://miland.ru/api/getInfo/image/c9aef76e-79ba-11f0-a284-00155d82e908")</f>
        <v>https://miland.ru/api/getInfo/image/c9aef76e-79ba-11f0-a284-00155d82e908</v>
      </c>
    </row>
    <row r="719" spans="1:19" s="2" customFormat="1" ht="96.2" customHeight="1" outlineLevel="7">
      <c r="A719" s="9">
        <v>509</v>
      </c>
      <c r="B719" s="10" t="s">
        <v>2192</v>
      </c>
      <c r="C719" s="65" t="s">
        <v>2193</v>
      </c>
      <c r="D719" s="65"/>
      <c r="E719" s="65"/>
      <c r="F719" s="65"/>
      <c r="G719" s="11" t="s">
        <v>2194</v>
      </c>
      <c r="H719" s="21" t="s">
        <v>44</v>
      </c>
      <c r="I719" s="15"/>
      <c r="J719" s="9">
        <v>20</v>
      </c>
      <c r="K719" s="16">
        <v>32.520000000000003</v>
      </c>
      <c r="L719" s="17"/>
      <c r="M719" s="15">
        <f t="shared" si="36"/>
        <v>0</v>
      </c>
      <c r="N719" s="23">
        <f t="shared" si="38"/>
        <v>0</v>
      </c>
      <c r="O719" s="19">
        <f t="shared" si="37"/>
        <v>0</v>
      </c>
      <c r="P719" s="24" t="s">
        <v>26</v>
      </c>
      <c r="Q719" s="15" t="s">
        <v>2195</v>
      </c>
      <c r="R719" s="15"/>
      <c r="S719" s="10" t="str">
        <f>HYPERLINK("https://miland.ru/api/getInfo/image/6e294254-79c8-11f0-a284-00155d82e908")</f>
        <v>https://miland.ru/api/getInfo/image/6e294254-79c8-11f0-a284-00155d82e908</v>
      </c>
    </row>
    <row r="720" spans="1:19" s="2" customFormat="1" ht="96.2" customHeight="1" outlineLevel="7">
      <c r="A720" s="9">
        <v>510</v>
      </c>
      <c r="B720" s="10" t="s">
        <v>2196</v>
      </c>
      <c r="C720" s="65" t="s">
        <v>2197</v>
      </c>
      <c r="D720" s="65"/>
      <c r="E720" s="65"/>
      <c r="F720" s="65"/>
      <c r="G720" s="11" t="s">
        <v>2198</v>
      </c>
      <c r="H720" s="21" t="s">
        <v>44</v>
      </c>
      <c r="I720" s="15"/>
      <c r="J720" s="9">
        <v>20</v>
      </c>
      <c r="K720" s="16">
        <v>32.520000000000003</v>
      </c>
      <c r="L720" s="17"/>
      <c r="M720" s="15">
        <f t="shared" si="36"/>
        <v>0</v>
      </c>
      <c r="N720" s="23">
        <f t="shared" si="38"/>
        <v>0</v>
      </c>
      <c r="O720" s="19">
        <f t="shared" si="37"/>
        <v>0</v>
      </c>
      <c r="P720" s="24" t="s">
        <v>26</v>
      </c>
      <c r="Q720" s="15" t="s">
        <v>2199</v>
      </c>
      <c r="R720" s="15"/>
      <c r="S720" s="10" t="str">
        <f>HYPERLINK("https://miland.ru/api/getInfo/image/9210bfdf-79c8-11f0-a284-00155d82e908")</f>
        <v>https://miland.ru/api/getInfo/image/9210bfdf-79c8-11f0-a284-00155d82e908</v>
      </c>
    </row>
    <row r="721" spans="1:19" s="2" customFormat="1" ht="96.2" customHeight="1" outlineLevel="7">
      <c r="A721" s="9">
        <v>511</v>
      </c>
      <c r="B721" s="10" t="s">
        <v>2200</v>
      </c>
      <c r="C721" s="65" t="s">
        <v>2201</v>
      </c>
      <c r="D721" s="65"/>
      <c r="E721" s="65"/>
      <c r="F721" s="65"/>
      <c r="G721" s="11" t="s">
        <v>2202</v>
      </c>
      <c r="H721" s="21" t="s">
        <v>44</v>
      </c>
      <c r="I721" s="15"/>
      <c r="J721" s="9">
        <v>20</v>
      </c>
      <c r="K721" s="16">
        <v>32.520000000000003</v>
      </c>
      <c r="L721" s="17"/>
      <c r="M721" s="15">
        <f t="shared" si="36"/>
        <v>0</v>
      </c>
      <c r="N721" s="23">
        <f t="shared" si="38"/>
        <v>0</v>
      </c>
      <c r="O721" s="19">
        <f t="shared" si="37"/>
        <v>0</v>
      </c>
      <c r="P721" s="24" t="s">
        <v>26</v>
      </c>
      <c r="Q721" s="15" t="s">
        <v>2203</v>
      </c>
      <c r="R721" s="15"/>
      <c r="S721" s="10" t="str">
        <f>HYPERLINK("https://miland.ru/api/getInfo/image/f17314fb-79c8-11f0-a284-00155d82e908")</f>
        <v>https://miland.ru/api/getInfo/image/f17314fb-79c8-11f0-a284-00155d82e908</v>
      </c>
    </row>
    <row r="722" spans="1:19" s="2" customFormat="1" ht="96.2" customHeight="1" outlineLevel="7">
      <c r="A722" s="9">
        <v>512</v>
      </c>
      <c r="B722" s="10" t="s">
        <v>2204</v>
      </c>
      <c r="C722" s="65" t="s">
        <v>2205</v>
      </c>
      <c r="D722" s="65"/>
      <c r="E722" s="65"/>
      <c r="F722" s="65"/>
      <c r="G722" s="11" t="s">
        <v>2206</v>
      </c>
      <c r="H722" s="21" t="s">
        <v>44</v>
      </c>
      <c r="I722" s="15"/>
      <c r="J722" s="9">
        <v>20</v>
      </c>
      <c r="K722" s="16">
        <v>32.520000000000003</v>
      </c>
      <c r="L722" s="17"/>
      <c r="M722" s="15">
        <f t="shared" si="36"/>
        <v>0</v>
      </c>
      <c r="N722" s="23">
        <f t="shared" si="38"/>
        <v>0</v>
      </c>
      <c r="O722" s="19">
        <f t="shared" si="37"/>
        <v>0</v>
      </c>
      <c r="P722" s="24" t="s">
        <v>26</v>
      </c>
      <c r="Q722" s="15" t="s">
        <v>2207</v>
      </c>
      <c r="R722" s="15"/>
      <c r="S722" s="10" t="str">
        <f>HYPERLINK("https://miland.ru/api/getInfo/image/c1b887ce-79c8-11f0-a284-00155d82e908")</f>
        <v>https://miland.ru/api/getInfo/image/c1b887ce-79c8-11f0-a284-00155d82e908</v>
      </c>
    </row>
    <row r="723" spans="1:19" s="2" customFormat="1" ht="96.2" customHeight="1" outlineLevel="7">
      <c r="A723" s="9">
        <v>513</v>
      </c>
      <c r="B723" s="10" t="s">
        <v>2208</v>
      </c>
      <c r="C723" s="65" t="s">
        <v>2209</v>
      </c>
      <c r="D723" s="65"/>
      <c r="E723" s="65"/>
      <c r="F723" s="65"/>
      <c r="G723" s="11" t="s">
        <v>2210</v>
      </c>
      <c r="H723" s="21" t="s">
        <v>44</v>
      </c>
      <c r="I723" s="15"/>
      <c r="J723" s="9">
        <v>20</v>
      </c>
      <c r="K723" s="16">
        <v>32.520000000000003</v>
      </c>
      <c r="L723" s="17"/>
      <c r="M723" s="15">
        <f t="shared" si="36"/>
        <v>0</v>
      </c>
      <c r="N723" s="18">
        <f>0.009*L723</f>
        <v>0</v>
      </c>
      <c r="O723" s="19">
        <f>0.00102*L723</f>
        <v>0</v>
      </c>
      <c r="P723" s="24" t="s">
        <v>26</v>
      </c>
      <c r="Q723" s="15" t="s">
        <v>2211</v>
      </c>
      <c r="R723" s="15"/>
      <c r="S723" s="10" t="str">
        <f>HYPERLINK("https://miland.ru/api/getInfo/image/153a52c8-79c8-11f0-a284-00155d82e908")</f>
        <v>https://miland.ru/api/getInfo/image/153a52c8-79c8-11f0-a284-00155d82e908</v>
      </c>
    </row>
    <row r="724" spans="1:19" s="2" customFormat="1" ht="96.2" customHeight="1" outlineLevel="7">
      <c r="A724" s="9">
        <v>514</v>
      </c>
      <c r="B724" s="10" t="s">
        <v>2212</v>
      </c>
      <c r="C724" s="65" t="s">
        <v>2213</v>
      </c>
      <c r="D724" s="65"/>
      <c r="E724" s="65"/>
      <c r="F724" s="65"/>
      <c r="G724" s="11" t="s">
        <v>2214</v>
      </c>
      <c r="H724" s="21" t="s">
        <v>44</v>
      </c>
      <c r="I724" s="15"/>
      <c r="J724" s="9">
        <v>20</v>
      </c>
      <c r="K724" s="16">
        <v>32.520000000000003</v>
      </c>
      <c r="L724" s="17"/>
      <c r="M724" s="15">
        <f t="shared" si="36"/>
        <v>0</v>
      </c>
      <c r="N724" s="23">
        <f>0.01*L724</f>
        <v>0</v>
      </c>
      <c r="O724" s="19">
        <f>0.00001*L724</f>
        <v>0</v>
      </c>
      <c r="P724" s="24" t="s">
        <v>26</v>
      </c>
      <c r="Q724" s="15" t="s">
        <v>2215</v>
      </c>
      <c r="R724" s="15"/>
      <c r="S724" s="10" t="str">
        <f>HYPERLINK("https://miland.ru/api/getInfo/image/5bdc5f6e-79c8-11f0-a284-00155d82e908")</f>
        <v>https://miland.ru/api/getInfo/image/5bdc5f6e-79c8-11f0-a284-00155d82e908</v>
      </c>
    </row>
    <row r="725" spans="1:19" s="2" customFormat="1" ht="96.2" customHeight="1" outlineLevel="7">
      <c r="A725" s="9">
        <v>515</v>
      </c>
      <c r="B725" s="10" t="s">
        <v>2216</v>
      </c>
      <c r="C725" s="65" t="s">
        <v>2217</v>
      </c>
      <c r="D725" s="65"/>
      <c r="E725" s="65"/>
      <c r="F725" s="65"/>
      <c r="G725" s="11" t="s">
        <v>2218</v>
      </c>
      <c r="H725" s="21" t="s">
        <v>44</v>
      </c>
      <c r="I725" s="15"/>
      <c r="J725" s="9">
        <v>20</v>
      </c>
      <c r="K725" s="16">
        <v>32.520000000000003</v>
      </c>
      <c r="L725" s="17"/>
      <c r="M725" s="15">
        <f t="shared" si="36"/>
        <v>0</v>
      </c>
      <c r="N725" s="23">
        <f>0.01*L725</f>
        <v>0</v>
      </c>
      <c r="O725" s="19">
        <f>0.00001*L725</f>
        <v>0</v>
      </c>
      <c r="P725" s="24" t="s">
        <v>26</v>
      </c>
      <c r="Q725" s="15" t="s">
        <v>2219</v>
      </c>
      <c r="R725" s="15"/>
      <c r="S725" s="10" t="str">
        <f>HYPERLINK("https://miland.ru/api/getInfo/image/0912f0b7-79c9-11f0-a284-00155d82e908")</f>
        <v>https://miland.ru/api/getInfo/image/0912f0b7-79c9-11f0-a284-00155d82e908</v>
      </c>
    </row>
    <row r="726" spans="1:19" s="2" customFormat="1" ht="96.2" customHeight="1" outlineLevel="7">
      <c r="A726" s="9">
        <v>516</v>
      </c>
      <c r="B726" s="10" t="s">
        <v>2220</v>
      </c>
      <c r="C726" s="65" t="s">
        <v>2221</v>
      </c>
      <c r="D726" s="65"/>
      <c r="E726" s="65"/>
      <c r="F726" s="65"/>
      <c r="G726" s="11" t="s">
        <v>2222</v>
      </c>
      <c r="H726" s="21" t="s">
        <v>44</v>
      </c>
      <c r="I726" s="15"/>
      <c r="J726" s="9">
        <v>20</v>
      </c>
      <c r="K726" s="16">
        <v>32.520000000000003</v>
      </c>
      <c r="L726" s="17"/>
      <c r="M726" s="15">
        <f t="shared" si="36"/>
        <v>0</v>
      </c>
      <c r="N726" s="23">
        <f>0.01*L726</f>
        <v>0</v>
      </c>
      <c r="O726" s="19">
        <f>0.00001*L726</f>
        <v>0</v>
      </c>
      <c r="P726" s="24" t="s">
        <v>26</v>
      </c>
      <c r="Q726" s="15" t="s">
        <v>2223</v>
      </c>
      <c r="R726" s="15"/>
      <c r="S726" s="10" t="str">
        <f>HYPERLINK("https://miland.ru/api/getInfo/image/31185b2b-79c8-11f0-a284-00155d82e908")</f>
        <v>https://miland.ru/api/getInfo/image/31185b2b-79c8-11f0-a284-00155d82e908</v>
      </c>
    </row>
    <row r="727" spans="1:19" s="2" customFormat="1" ht="96.2" customHeight="1" outlineLevel="7">
      <c r="A727" s="9">
        <v>517</v>
      </c>
      <c r="B727" s="10" t="s">
        <v>2224</v>
      </c>
      <c r="C727" s="65" t="s">
        <v>2225</v>
      </c>
      <c r="D727" s="65"/>
      <c r="E727" s="65"/>
      <c r="F727" s="65"/>
      <c r="G727" s="11" t="s">
        <v>2226</v>
      </c>
      <c r="H727" s="21" t="s">
        <v>44</v>
      </c>
      <c r="I727" s="15"/>
      <c r="J727" s="9">
        <v>20</v>
      </c>
      <c r="K727" s="16">
        <v>32.520000000000003</v>
      </c>
      <c r="L727" s="17"/>
      <c r="M727" s="15">
        <f t="shared" si="36"/>
        <v>0</v>
      </c>
      <c r="N727" s="23">
        <f>0.01*L727</f>
        <v>0</v>
      </c>
      <c r="O727" s="19">
        <f>0.00001*L727</f>
        <v>0</v>
      </c>
      <c r="P727" s="24" t="s">
        <v>26</v>
      </c>
      <c r="Q727" s="15" t="s">
        <v>2227</v>
      </c>
      <c r="R727" s="15"/>
      <c r="S727" s="10" t="str">
        <f>HYPERLINK("https://miland.ru/api/getInfo/image/460c0ac6-79c8-11f0-a284-00155d82e908")</f>
        <v>https://miland.ru/api/getInfo/image/460c0ac6-79c8-11f0-a284-00155d82e908</v>
      </c>
    </row>
    <row r="728" spans="1:19" s="1" customFormat="1" ht="12" customHeight="1" outlineLevel="5">
      <c r="A728" s="64" t="s">
        <v>2228</v>
      </c>
      <c r="B728" s="64"/>
      <c r="C728" s="64"/>
      <c r="D728" s="64"/>
      <c r="E728" s="64"/>
      <c r="F728" s="64"/>
      <c r="G728" s="8"/>
      <c r="H728" s="12"/>
      <c r="I728" s="2"/>
      <c r="J728" s="2"/>
      <c r="K728" s="13"/>
      <c r="L728" s="2"/>
      <c r="M728" s="2"/>
      <c r="N728" s="2"/>
      <c r="O728" s="2"/>
      <c r="P728" s="2"/>
      <c r="Q728" s="2"/>
      <c r="R728" s="2"/>
      <c r="S728" s="2"/>
    </row>
    <row r="729" spans="1:19" s="2" customFormat="1" ht="96.2" customHeight="1" outlineLevel="6">
      <c r="A729" s="25">
        <v>518</v>
      </c>
      <c r="B729" s="26" t="s">
        <v>2229</v>
      </c>
      <c r="C729" s="66" t="s">
        <v>2230</v>
      </c>
      <c r="D729" s="66"/>
      <c r="E729" s="66"/>
      <c r="F729" s="66"/>
      <c r="G729" s="27" t="s">
        <v>2231</v>
      </c>
      <c r="H729" s="28" t="s">
        <v>44</v>
      </c>
      <c r="I729" s="29"/>
      <c r="J729" s="25">
        <v>20</v>
      </c>
      <c r="K729" s="30">
        <v>31.63</v>
      </c>
      <c r="L729" s="17"/>
      <c r="M729" s="29">
        <f>K729*L729</f>
        <v>0</v>
      </c>
      <c r="N729" s="31">
        <f>0.011*L729</f>
        <v>0</v>
      </c>
      <c r="O729" s="32">
        <f>0.00003*L729</f>
        <v>0</v>
      </c>
      <c r="P729" s="36"/>
      <c r="Q729" s="29" t="s">
        <v>2232</v>
      </c>
      <c r="R729" s="29" t="s">
        <v>611</v>
      </c>
      <c r="S729" s="26" t="str">
        <f>HYPERLINK("https://miland.ru/api/getInfo/image/94e644db-b812-11ed-a230-00155d82e902")</f>
        <v>https://miland.ru/api/getInfo/image/94e644db-b812-11ed-a230-00155d82e902</v>
      </c>
    </row>
    <row r="730" spans="1:19" s="1" customFormat="1" ht="12" customHeight="1" outlineLevel="5">
      <c r="A730" s="64" t="s">
        <v>2233</v>
      </c>
      <c r="B730" s="64"/>
      <c r="C730" s="64"/>
      <c r="D730" s="64"/>
      <c r="E730" s="64"/>
      <c r="F730" s="64"/>
      <c r="G730" s="8"/>
      <c r="H730" s="12"/>
      <c r="I730" s="2"/>
      <c r="J730" s="2"/>
      <c r="K730" s="13"/>
      <c r="L730" s="2"/>
      <c r="M730" s="2"/>
      <c r="N730" s="2"/>
      <c r="O730" s="2"/>
      <c r="P730" s="2"/>
      <c r="Q730" s="2"/>
      <c r="R730" s="2"/>
      <c r="S730" s="2"/>
    </row>
    <row r="731" spans="1:19" s="2" customFormat="1" ht="96.2" customHeight="1" outlineLevel="6">
      <c r="A731" s="9">
        <v>519</v>
      </c>
      <c r="B731" s="10" t="s">
        <v>2234</v>
      </c>
      <c r="C731" s="65" t="s">
        <v>2235</v>
      </c>
      <c r="D731" s="65"/>
      <c r="E731" s="65"/>
      <c r="F731" s="65"/>
      <c r="G731" s="11" t="s">
        <v>2236</v>
      </c>
      <c r="H731" s="21" t="s">
        <v>44</v>
      </c>
      <c r="I731" s="15"/>
      <c r="J731" s="9">
        <v>20</v>
      </c>
      <c r="K731" s="16">
        <v>29.03</v>
      </c>
      <c r="L731" s="17"/>
      <c r="M731" s="15">
        <f>K731*L731</f>
        <v>0</v>
      </c>
      <c r="N731" s="18">
        <f>0.008*L731</f>
        <v>0</v>
      </c>
      <c r="O731" s="19">
        <f>0.00001*L731</f>
        <v>0</v>
      </c>
      <c r="P731" s="24" t="s">
        <v>26</v>
      </c>
      <c r="Q731" s="15" t="s">
        <v>2237</v>
      </c>
      <c r="R731" s="15"/>
      <c r="S731" s="10" t="str">
        <f>HYPERLINK("https://miland.ru/api/getInfo/image/20ae39c5-bb14-11f0-a288-00155d82e908")</f>
        <v>https://miland.ru/api/getInfo/image/20ae39c5-bb14-11f0-a288-00155d82e908</v>
      </c>
    </row>
    <row r="732" spans="1:19" s="2" customFormat="1" ht="96.2" customHeight="1" outlineLevel="6">
      <c r="A732" s="9">
        <v>520</v>
      </c>
      <c r="B732" s="10" t="s">
        <v>2238</v>
      </c>
      <c r="C732" s="65" t="s">
        <v>2239</v>
      </c>
      <c r="D732" s="65"/>
      <c r="E732" s="65"/>
      <c r="F732" s="65"/>
      <c r="G732" s="11" t="s">
        <v>2240</v>
      </c>
      <c r="H732" s="21" t="s">
        <v>44</v>
      </c>
      <c r="I732" s="15"/>
      <c r="J732" s="9">
        <v>20</v>
      </c>
      <c r="K732" s="16">
        <v>29.03</v>
      </c>
      <c r="L732" s="17"/>
      <c r="M732" s="15">
        <f>K732*L732</f>
        <v>0</v>
      </c>
      <c r="N732" s="18">
        <f>0.008*L732</f>
        <v>0</v>
      </c>
      <c r="O732" s="19">
        <f>0.00001*L732</f>
        <v>0</v>
      </c>
      <c r="P732" s="24" t="s">
        <v>26</v>
      </c>
      <c r="Q732" s="15" t="s">
        <v>2241</v>
      </c>
      <c r="R732" s="15"/>
      <c r="S732" s="10" t="str">
        <f>HYPERLINK("https://miland.ru/api/getInfo/image/046028be-bb13-11f0-a288-00155d82e908")</f>
        <v>https://miland.ru/api/getInfo/image/046028be-bb13-11f0-a288-00155d82e908</v>
      </c>
    </row>
    <row r="733" spans="1:19" s="2" customFormat="1" ht="96.2" customHeight="1" outlineLevel="6">
      <c r="A733" s="9">
        <v>521</v>
      </c>
      <c r="B733" s="10" t="s">
        <v>2242</v>
      </c>
      <c r="C733" s="65" t="s">
        <v>2243</v>
      </c>
      <c r="D733" s="65"/>
      <c r="E733" s="65"/>
      <c r="F733" s="65"/>
      <c r="G733" s="11" t="s">
        <v>2244</v>
      </c>
      <c r="H733" s="21" t="s">
        <v>44</v>
      </c>
      <c r="I733" s="15"/>
      <c r="J733" s="9">
        <v>20</v>
      </c>
      <c r="K733" s="16">
        <v>29.03</v>
      </c>
      <c r="L733" s="17"/>
      <c r="M733" s="15">
        <f>K733*L733</f>
        <v>0</v>
      </c>
      <c r="N733" s="23">
        <f>0.01*L733</f>
        <v>0</v>
      </c>
      <c r="O733" s="19">
        <f>0.00003*L733</f>
        <v>0</v>
      </c>
      <c r="P733" s="24" t="s">
        <v>26</v>
      </c>
      <c r="Q733" s="15" t="s">
        <v>2245</v>
      </c>
      <c r="R733" s="15"/>
      <c r="S733" s="10" t="str">
        <f>HYPERLINK("https://miland.ru/api/getInfo/image/59747d93-bb13-11f0-a288-00155d82e908")</f>
        <v>https://miland.ru/api/getInfo/image/59747d93-bb13-11f0-a288-00155d82e908</v>
      </c>
    </row>
    <row r="734" spans="1:19" s="2" customFormat="1" ht="96.2" customHeight="1" outlineLevel="6">
      <c r="A734" s="9">
        <v>522</v>
      </c>
      <c r="B734" s="10" t="s">
        <v>2246</v>
      </c>
      <c r="C734" s="65" t="s">
        <v>2247</v>
      </c>
      <c r="D734" s="65"/>
      <c r="E734" s="65"/>
      <c r="F734" s="65"/>
      <c r="G734" s="11" t="s">
        <v>2248</v>
      </c>
      <c r="H734" s="21" t="s">
        <v>44</v>
      </c>
      <c r="I734" s="15"/>
      <c r="J734" s="9">
        <v>20</v>
      </c>
      <c r="K734" s="16">
        <v>29.03</v>
      </c>
      <c r="L734" s="17"/>
      <c r="M734" s="15">
        <f>K734*L734</f>
        <v>0</v>
      </c>
      <c r="N734" s="18">
        <f>0.008*L734</f>
        <v>0</v>
      </c>
      <c r="O734" s="19">
        <f>0.00001*L734</f>
        <v>0</v>
      </c>
      <c r="P734" s="24" t="s">
        <v>26</v>
      </c>
      <c r="Q734" s="15" t="s">
        <v>2249</v>
      </c>
      <c r="R734" s="15"/>
      <c r="S734" s="10" t="str">
        <f>HYPERLINK("https://miland.ru/api/getInfo/image/a6ff65c5-bb13-11f0-a288-00155d82e908")</f>
        <v>https://miland.ru/api/getInfo/image/a6ff65c5-bb13-11f0-a288-00155d82e908</v>
      </c>
    </row>
    <row r="735" spans="1:19" s="2" customFormat="1" ht="96.2" customHeight="1" outlineLevel="6">
      <c r="A735" s="9">
        <v>523</v>
      </c>
      <c r="B735" s="10" t="s">
        <v>2250</v>
      </c>
      <c r="C735" s="65" t="s">
        <v>2251</v>
      </c>
      <c r="D735" s="65"/>
      <c r="E735" s="65"/>
      <c r="F735" s="65"/>
      <c r="G735" s="11" t="s">
        <v>2252</v>
      </c>
      <c r="H735" s="14">
        <v>100</v>
      </c>
      <c r="I735" s="15"/>
      <c r="J735" s="9">
        <v>20</v>
      </c>
      <c r="K735" s="16">
        <v>29.03</v>
      </c>
      <c r="L735" s="17"/>
      <c r="M735" s="15">
        <f>K735*L735</f>
        <v>0</v>
      </c>
      <c r="N735" s="23">
        <f>0.01*L735</f>
        <v>0</v>
      </c>
      <c r="O735" s="19">
        <f>0.00003*L735</f>
        <v>0</v>
      </c>
      <c r="P735" s="24" t="s">
        <v>26</v>
      </c>
      <c r="Q735" s="15" t="s">
        <v>2253</v>
      </c>
      <c r="R735" s="15"/>
      <c r="S735" s="10" t="str">
        <f>HYPERLINK("https://miland.ru/api/getInfo/image/f89295b7-bb13-11f0-a288-00155d82e908")</f>
        <v>https://miland.ru/api/getInfo/image/f89295b7-bb13-11f0-a288-00155d82e908</v>
      </c>
    </row>
    <row r="736" spans="1:19" s="1" customFormat="1" ht="12" customHeight="1" outlineLevel="4">
      <c r="A736" s="64" t="s">
        <v>2254</v>
      </c>
      <c r="B736" s="64"/>
      <c r="C736" s="64"/>
      <c r="D736" s="64"/>
      <c r="E736" s="64"/>
      <c r="F736" s="64"/>
      <c r="G736" s="8"/>
      <c r="H736" s="12"/>
      <c r="I736" s="2"/>
      <c r="J736" s="2"/>
      <c r="K736" s="13"/>
      <c r="L736" s="2"/>
      <c r="M736" s="2"/>
      <c r="N736" s="2"/>
      <c r="O736" s="2"/>
      <c r="P736" s="2"/>
      <c r="Q736" s="2"/>
      <c r="R736" s="2"/>
      <c r="S736" s="2"/>
    </row>
    <row r="737" spans="1:19" s="2" customFormat="1" ht="96.2" customHeight="1" outlineLevel="5">
      <c r="A737" s="25">
        <v>524</v>
      </c>
      <c r="B737" s="26" t="s">
        <v>2255</v>
      </c>
      <c r="C737" s="66" t="s">
        <v>2256</v>
      </c>
      <c r="D737" s="66"/>
      <c r="E737" s="66"/>
      <c r="F737" s="66"/>
      <c r="G737" s="27" t="s">
        <v>2257</v>
      </c>
      <c r="H737" s="28" t="s">
        <v>44</v>
      </c>
      <c r="I737" s="29"/>
      <c r="J737" s="25">
        <v>4</v>
      </c>
      <c r="K737" s="30">
        <v>155.43</v>
      </c>
      <c r="L737" s="17"/>
      <c r="M737" s="29">
        <f>K737*L737</f>
        <v>0</v>
      </c>
      <c r="N737" s="31">
        <f>0.082*L737</f>
        <v>0</v>
      </c>
      <c r="O737" s="32">
        <f>0.00004*L737</f>
        <v>0</v>
      </c>
      <c r="P737" s="36"/>
      <c r="Q737" s="29" t="s">
        <v>2258</v>
      </c>
      <c r="R737" s="29" t="s">
        <v>611</v>
      </c>
      <c r="S737" s="26" t="str">
        <f>HYPERLINK("https://miland.ru/api/getInfo/image/539273db-92b1-11ef-a265-00155d82e908")</f>
        <v>https://miland.ru/api/getInfo/image/539273db-92b1-11ef-a265-00155d82e908</v>
      </c>
    </row>
    <row r="738" spans="1:19" s="2" customFormat="1" ht="96.2" customHeight="1" outlineLevel="5">
      <c r="A738" s="9">
        <v>525</v>
      </c>
      <c r="B738" s="10" t="s">
        <v>2259</v>
      </c>
      <c r="C738" s="65" t="s">
        <v>2260</v>
      </c>
      <c r="D738" s="65"/>
      <c r="E738" s="65"/>
      <c r="F738" s="65"/>
      <c r="G738" s="11" t="s">
        <v>2261</v>
      </c>
      <c r="H738" s="21" t="s">
        <v>44</v>
      </c>
      <c r="I738" s="15"/>
      <c r="J738" s="9">
        <v>4</v>
      </c>
      <c r="K738" s="16">
        <v>155.43</v>
      </c>
      <c r="L738" s="17"/>
      <c r="M738" s="15">
        <f>K738*L738</f>
        <v>0</v>
      </c>
      <c r="N738" s="18">
        <f>0.088*L738</f>
        <v>0</v>
      </c>
      <c r="O738" s="19">
        <f>0.00012*L738</f>
        <v>0</v>
      </c>
      <c r="P738" s="24" t="s">
        <v>26</v>
      </c>
      <c r="Q738" s="15" t="s">
        <v>2262</v>
      </c>
      <c r="R738" s="15"/>
      <c r="S738" s="10" t="str">
        <f>HYPERLINK("https://miland.ru/api/getInfo/image/a7997915-df0e-11f0-a28c-00155d82e908")</f>
        <v>https://miland.ru/api/getInfo/image/a7997915-df0e-11f0-a28c-00155d82e908</v>
      </c>
    </row>
    <row r="739" spans="1:19" s="2" customFormat="1" ht="96.2" customHeight="1" outlineLevel="5">
      <c r="A739" s="25">
        <v>526</v>
      </c>
      <c r="B739" s="26" t="s">
        <v>2263</v>
      </c>
      <c r="C739" s="66" t="s">
        <v>2264</v>
      </c>
      <c r="D739" s="66"/>
      <c r="E739" s="66"/>
      <c r="F739" s="66"/>
      <c r="G739" s="27" t="s">
        <v>2265</v>
      </c>
      <c r="H739" s="28" t="s">
        <v>44</v>
      </c>
      <c r="I739" s="29"/>
      <c r="J739" s="25">
        <v>5</v>
      </c>
      <c r="K739" s="30">
        <v>123.37</v>
      </c>
      <c r="L739" s="17"/>
      <c r="M739" s="29">
        <f>K739*L739</f>
        <v>0</v>
      </c>
      <c r="N739" s="34">
        <f>0.06*L739</f>
        <v>0</v>
      </c>
      <c r="O739" s="32">
        <f>0.00008*L739</f>
        <v>0</v>
      </c>
      <c r="P739" s="36"/>
      <c r="Q739" s="29" t="s">
        <v>2266</v>
      </c>
      <c r="R739" s="29"/>
      <c r="S739" s="26" t="str">
        <f>HYPERLINK("https://miland.ru/api/getInfo/image/da31a9b6-ba0e-11ee-a25a-00155d82e908")</f>
        <v>https://miland.ru/api/getInfo/image/da31a9b6-ba0e-11ee-a25a-00155d82e908</v>
      </c>
    </row>
    <row r="740" spans="1:19" s="1" customFormat="1" ht="12" customHeight="1" outlineLevel="4">
      <c r="A740" s="64" t="s">
        <v>2267</v>
      </c>
      <c r="B740" s="64"/>
      <c r="C740" s="64"/>
      <c r="D740" s="64"/>
      <c r="E740" s="64"/>
      <c r="F740" s="64"/>
      <c r="G740" s="8"/>
      <c r="H740" s="12"/>
      <c r="I740" s="2"/>
      <c r="J740" s="2"/>
      <c r="K740" s="13"/>
      <c r="L740" s="2"/>
      <c r="M740" s="2"/>
      <c r="N740" s="2"/>
      <c r="O740" s="2"/>
      <c r="P740" s="2"/>
      <c r="Q740" s="2"/>
      <c r="R740" s="2"/>
      <c r="S740" s="2"/>
    </row>
    <row r="741" spans="1:19" s="2" customFormat="1" ht="96.2" customHeight="1" outlineLevel="5">
      <c r="A741" s="25">
        <v>527</v>
      </c>
      <c r="B741" s="26" t="s">
        <v>2268</v>
      </c>
      <c r="C741" s="66" t="s">
        <v>2269</v>
      </c>
      <c r="D741" s="66"/>
      <c r="E741" s="66"/>
      <c r="F741" s="66"/>
      <c r="G741" s="27" t="s">
        <v>2270</v>
      </c>
      <c r="H741" s="33">
        <v>3</v>
      </c>
      <c r="I741" s="29"/>
      <c r="J741" s="25">
        <v>3</v>
      </c>
      <c r="K741" s="30">
        <v>144.32</v>
      </c>
      <c r="L741" s="17"/>
      <c r="M741" s="29">
        <f t="shared" ref="M741:M755" si="39">K741*L741</f>
        <v>0</v>
      </c>
      <c r="N741" s="34">
        <f>0.05*L741</f>
        <v>0</v>
      </c>
      <c r="O741" s="32">
        <f>0.00017*L741</f>
        <v>0</v>
      </c>
      <c r="P741" s="36"/>
      <c r="Q741" s="29" t="s">
        <v>2271</v>
      </c>
      <c r="R741" s="29" t="s">
        <v>611</v>
      </c>
      <c r="S741" s="26" t="str">
        <f>HYPERLINK("https://miland.ru/api/getInfo/image/25186194-f9d7-11eb-a20e-ac1f6b442185")</f>
        <v>https://miland.ru/api/getInfo/image/25186194-f9d7-11eb-a20e-ac1f6b442185</v>
      </c>
    </row>
    <row r="742" spans="1:19" s="2" customFormat="1" ht="96.2" customHeight="1" outlineLevel="5">
      <c r="A742" s="25">
        <v>528</v>
      </c>
      <c r="B742" s="26" t="s">
        <v>2272</v>
      </c>
      <c r="C742" s="66" t="s">
        <v>2273</v>
      </c>
      <c r="D742" s="66"/>
      <c r="E742" s="66"/>
      <c r="F742" s="66"/>
      <c r="G742" s="27" t="s">
        <v>2274</v>
      </c>
      <c r="H742" s="33">
        <v>1</v>
      </c>
      <c r="I742" s="29"/>
      <c r="J742" s="25">
        <v>1</v>
      </c>
      <c r="K742" s="30">
        <v>144.32</v>
      </c>
      <c r="L742" s="17"/>
      <c r="M742" s="29">
        <f t="shared" si="39"/>
        <v>0</v>
      </c>
      <c r="N742" s="31">
        <f>0.056*L742</f>
        <v>0</v>
      </c>
      <c r="O742" s="32">
        <f>0.00025*L742</f>
        <v>0</v>
      </c>
      <c r="P742" s="36"/>
      <c r="Q742" s="29" t="s">
        <v>2275</v>
      </c>
      <c r="R742" s="29" t="s">
        <v>611</v>
      </c>
      <c r="S742" s="26" t="str">
        <f>HYPERLINK("https://miland.ru/api/getInfo/image/f394b5fa-f9d6-11eb-a20e-ac1f6b442185")</f>
        <v>https://miland.ru/api/getInfo/image/f394b5fa-f9d6-11eb-a20e-ac1f6b442185</v>
      </c>
    </row>
    <row r="743" spans="1:19" s="2" customFormat="1" ht="96.2" customHeight="1" outlineLevel="5">
      <c r="A743" s="25">
        <v>529</v>
      </c>
      <c r="B743" s="26" t="s">
        <v>2276</v>
      </c>
      <c r="C743" s="66" t="s">
        <v>2277</v>
      </c>
      <c r="D743" s="66"/>
      <c r="E743" s="66"/>
      <c r="F743" s="66"/>
      <c r="G743" s="27" t="s">
        <v>2278</v>
      </c>
      <c r="H743" s="33">
        <v>3</v>
      </c>
      <c r="I743" s="29"/>
      <c r="J743" s="25">
        <v>3</v>
      </c>
      <c r="K743" s="30">
        <v>144.32</v>
      </c>
      <c r="L743" s="17"/>
      <c r="M743" s="29">
        <f t="shared" si="39"/>
        <v>0</v>
      </c>
      <c r="N743" s="31">
        <f>0.028*L743</f>
        <v>0</v>
      </c>
      <c r="O743" s="32">
        <f>0.00019*L743</f>
        <v>0</v>
      </c>
      <c r="P743" s="36"/>
      <c r="Q743" s="29" t="s">
        <v>2279</v>
      </c>
      <c r="R743" s="29" t="s">
        <v>611</v>
      </c>
      <c r="S743" s="26" t="str">
        <f>HYPERLINK("https://miland.ru/api/getInfo/image/2edc0f2c-c239-11ec-a211-ac1f6b442185")</f>
        <v>https://miland.ru/api/getInfo/image/2edc0f2c-c239-11ec-a211-ac1f6b442185</v>
      </c>
    </row>
    <row r="744" spans="1:19" s="2" customFormat="1" ht="96.2" customHeight="1" outlineLevel="5">
      <c r="A744" s="25">
        <v>530</v>
      </c>
      <c r="B744" s="26" t="s">
        <v>2280</v>
      </c>
      <c r="C744" s="66" t="s">
        <v>2281</v>
      </c>
      <c r="D744" s="66"/>
      <c r="E744" s="66"/>
      <c r="F744" s="66"/>
      <c r="G744" s="27" t="s">
        <v>2282</v>
      </c>
      <c r="H744" s="28" t="s">
        <v>44</v>
      </c>
      <c r="I744" s="29"/>
      <c r="J744" s="25">
        <v>3</v>
      </c>
      <c r="K744" s="30">
        <v>227.54</v>
      </c>
      <c r="L744" s="17"/>
      <c r="M744" s="29">
        <f t="shared" si="39"/>
        <v>0</v>
      </c>
      <c r="N744" s="31">
        <f>0.083*L744</f>
        <v>0</v>
      </c>
      <c r="O744" s="32">
        <f>0.00014*L744</f>
        <v>0</v>
      </c>
      <c r="P744" s="36"/>
      <c r="Q744" s="29" t="s">
        <v>2283</v>
      </c>
      <c r="R744" s="29"/>
      <c r="S744" s="26" t="str">
        <f>HYPERLINK("https://miland.ru/api/getInfo/image/1e2d174e-c0df-11ee-a25a-00155d82e908")</f>
        <v>https://miland.ru/api/getInfo/image/1e2d174e-c0df-11ee-a25a-00155d82e908</v>
      </c>
    </row>
    <row r="745" spans="1:19" s="2" customFormat="1" ht="96.2" customHeight="1" outlineLevel="5">
      <c r="A745" s="9">
        <v>531</v>
      </c>
      <c r="B745" s="10" t="s">
        <v>2284</v>
      </c>
      <c r="C745" s="65" t="s">
        <v>2285</v>
      </c>
      <c r="D745" s="65"/>
      <c r="E745" s="65"/>
      <c r="F745" s="65"/>
      <c r="G745" s="11" t="s">
        <v>2286</v>
      </c>
      <c r="H745" s="21" t="s">
        <v>44</v>
      </c>
      <c r="I745" s="15"/>
      <c r="J745" s="9">
        <v>4</v>
      </c>
      <c r="K745" s="16">
        <v>147.93</v>
      </c>
      <c r="L745" s="17"/>
      <c r="M745" s="15">
        <f t="shared" si="39"/>
        <v>0</v>
      </c>
      <c r="N745" s="18">
        <f>0.237*L745</f>
        <v>0</v>
      </c>
      <c r="O745" s="19">
        <f>0.00054*L745</f>
        <v>0</v>
      </c>
      <c r="P745" s="24" t="s">
        <v>26</v>
      </c>
      <c r="Q745" s="15" t="s">
        <v>2287</v>
      </c>
      <c r="R745" s="15"/>
      <c r="S745" s="10" t="str">
        <f>HYPERLINK("https://miland.ru/api/getInfo/image/9151b0a9-f208-11f0-a28d-00155d82e908")</f>
        <v>https://miland.ru/api/getInfo/image/9151b0a9-f208-11f0-a28d-00155d82e908</v>
      </c>
    </row>
    <row r="746" spans="1:19" s="2" customFormat="1" ht="96.2" customHeight="1" outlineLevel="5">
      <c r="A746" s="9">
        <v>532</v>
      </c>
      <c r="B746" s="10" t="s">
        <v>2288</v>
      </c>
      <c r="C746" s="65" t="s">
        <v>2289</v>
      </c>
      <c r="D746" s="65"/>
      <c r="E746" s="65"/>
      <c r="F746" s="65"/>
      <c r="G746" s="11" t="s">
        <v>2290</v>
      </c>
      <c r="H746" s="21" t="s">
        <v>44</v>
      </c>
      <c r="I746" s="15"/>
      <c r="J746" s="9">
        <v>4</v>
      </c>
      <c r="K746" s="16">
        <v>147.93</v>
      </c>
      <c r="L746" s="17"/>
      <c r="M746" s="15">
        <f t="shared" si="39"/>
        <v>0</v>
      </c>
      <c r="N746" s="18">
        <f>0.054*L746</f>
        <v>0</v>
      </c>
      <c r="O746" s="19">
        <f>0.00019*L746</f>
        <v>0</v>
      </c>
      <c r="P746" s="24" t="s">
        <v>26</v>
      </c>
      <c r="Q746" s="15" t="s">
        <v>2291</v>
      </c>
      <c r="R746" s="15"/>
      <c r="S746" s="10" t="str">
        <f>HYPERLINK("https://miland.ru/api/getInfo/image/5a75251f-f20d-11f0-a28d-00155d82e908")</f>
        <v>https://miland.ru/api/getInfo/image/5a75251f-f20d-11f0-a28d-00155d82e908</v>
      </c>
    </row>
    <row r="747" spans="1:19" s="2" customFormat="1" ht="96.2" customHeight="1" outlineLevel="5">
      <c r="A747" s="9">
        <v>533</v>
      </c>
      <c r="B747" s="10" t="s">
        <v>2292</v>
      </c>
      <c r="C747" s="65" t="s">
        <v>2293</v>
      </c>
      <c r="D747" s="65"/>
      <c r="E747" s="65"/>
      <c r="F747" s="65"/>
      <c r="G747" s="11" t="s">
        <v>2294</v>
      </c>
      <c r="H747" s="21" t="s">
        <v>44</v>
      </c>
      <c r="I747" s="15"/>
      <c r="J747" s="9">
        <v>4</v>
      </c>
      <c r="K747" s="16">
        <v>147.93</v>
      </c>
      <c r="L747" s="17"/>
      <c r="M747" s="15">
        <f t="shared" si="39"/>
        <v>0</v>
      </c>
      <c r="N747" s="18">
        <f>0.053*L747</f>
        <v>0</v>
      </c>
      <c r="O747" s="19">
        <f>0.00033*L747</f>
        <v>0</v>
      </c>
      <c r="P747" s="24" t="s">
        <v>26</v>
      </c>
      <c r="Q747" s="15" t="s">
        <v>2295</v>
      </c>
      <c r="R747" s="15"/>
      <c r="S747" s="10" t="str">
        <f>HYPERLINK("https://miland.ru/api/getInfo/image/135659a7-f20d-11f0-a28d-00155d82e908")</f>
        <v>https://miland.ru/api/getInfo/image/135659a7-f20d-11f0-a28d-00155d82e908</v>
      </c>
    </row>
    <row r="748" spans="1:19" s="2" customFormat="1" ht="96.2" customHeight="1" outlineLevel="5">
      <c r="A748" s="9">
        <v>534</v>
      </c>
      <c r="B748" s="10" t="s">
        <v>2296</v>
      </c>
      <c r="C748" s="65" t="s">
        <v>2297</v>
      </c>
      <c r="D748" s="65"/>
      <c r="E748" s="65"/>
      <c r="F748" s="65"/>
      <c r="G748" s="11" t="s">
        <v>2298</v>
      </c>
      <c r="H748" s="21" t="s">
        <v>44</v>
      </c>
      <c r="I748" s="15"/>
      <c r="J748" s="9">
        <v>4</v>
      </c>
      <c r="K748" s="16">
        <v>147.93</v>
      </c>
      <c r="L748" s="17"/>
      <c r="M748" s="15">
        <f t="shared" si="39"/>
        <v>0</v>
      </c>
      <c r="N748" s="18">
        <f>0.237*L748</f>
        <v>0</v>
      </c>
      <c r="O748" s="19">
        <f>0.00054*L748</f>
        <v>0</v>
      </c>
      <c r="P748" s="24" t="s">
        <v>26</v>
      </c>
      <c r="Q748" s="15" t="s">
        <v>2299</v>
      </c>
      <c r="R748" s="15"/>
      <c r="S748" s="10" t="str">
        <f>HYPERLINK("https://miland.ru/api/getInfo/image/82b5e3b7-f061-11f0-a28d-00155d82e908")</f>
        <v>https://miland.ru/api/getInfo/image/82b5e3b7-f061-11f0-a28d-00155d82e908</v>
      </c>
    </row>
    <row r="749" spans="1:19" s="2" customFormat="1" ht="96.2" customHeight="1" outlineLevel="5">
      <c r="A749" s="25">
        <v>535</v>
      </c>
      <c r="B749" s="26" t="s">
        <v>2300</v>
      </c>
      <c r="C749" s="66" t="s">
        <v>2301</v>
      </c>
      <c r="D749" s="66"/>
      <c r="E749" s="66"/>
      <c r="F749" s="66"/>
      <c r="G749" s="27" t="s">
        <v>2302</v>
      </c>
      <c r="H749" s="33">
        <v>7</v>
      </c>
      <c r="I749" s="29"/>
      <c r="J749" s="25">
        <v>4</v>
      </c>
      <c r="K749" s="30">
        <v>147.93</v>
      </c>
      <c r="L749" s="17"/>
      <c r="M749" s="29">
        <f t="shared" si="39"/>
        <v>0</v>
      </c>
      <c r="N749" s="31">
        <f>0.052*L749</f>
        <v>0</v>
      </c>
      <c r="O749" s="32">
        <f>0.00036*L749</f>
        <v>0</v>
      </c>
      <c r="P749" s="36"/>
      <c r="Q749" s="29" t="s">
        <v>2303</v>
      </c>
      <c r="R749" s="29" t="s">
        <v>611</v>
      </c>
      <c r="S749" s="26" t="str">
        <f>HYPERLINK("https://miland.ru/api/getInfo/image/ad525f5d-c027-11ee-a25a-00155d82e908")</f>
        <v>https://miland.ru/api/getInfo/image/ad525f5d-c027-11ee-a25a-00155d82e908</v>
      </c>
    </row>
    <row r="750" spans="1:19" s="2" customFormat="1" ht="96.2" customHeight="1" outlineLevel="5">
      <c r="A750" s="25">
        <v>536</v>
      </c>
      <c r="B750" s="26" t="s">
        <v>2304</v>
      </c>
      <c r="C750" s="66" t="s">
        <v>2305</v>
      </c>
      <c r="D750" s="66"/>
      <c r="E750" s="66"/>
      <c r="F750" s="66"/>
      <c r="G750" s="27" t="s">
        <v>2306</v>
      </c>
      <c r="H750" s="33">
        <v>3</v>
      </c>
      <c r="I750" s="29"/>
      <c r="J750" s="25">
        <v>3</v>
      </c>
      <c r="K750" s="30">
        <v>144.32</v>
      </c>
      <c r="L750" s="17"/>
      <c r="M750" s="29">
        <f t="shared" si="39"/>
        <v>0</v>
      </c>
      <c r="N750" s="31">
        <f>0.064*L750</f>
        <v>0</v>
      </c>
      <c r="O750" s="32">
        <f>0.00011*L750</f>
        <v>0</v>
      </c>
      <c r="P750" s="36"/>
      <c r="Q750" s="29" t="s">
        <v>2307</v>
      </c>
      <c r="R750" s="29" t="s">
        <v>611</v>
      </c>
      <c r="S750" s="26" t="str">
        <f>HYPERLINK("https://miland.ru/api/getInfo/image/33705593-c027-11ee-a25a-00155d82e908")</f>
        <v>https://miland.ru/api/getInfo/image/33705593-c027-11ee-a25a-00155d82e908</v>
      </c>
    </row>
    <row r="751" spans="1:19" s="2" customFormat="1" ht="96.2" customHeight="1" outlineLevel="5">
      <c r="A751" s="25">
        <v>537</v>
      </c>
      <c r="B751" s="26" t="s">
        <v>2308</v>
      </c>
      <c r="C751" s="66" t="s">
        <v>2309</v>
      </c>
      <c r="D751" s="66"/>
      <c r="E751" s="66"/>
      <c r="F751" s="66"/>
      <c r="G751" s="27" t="s">
        <v>2310</v>
      </c>
      <c r="H751" s="33">
        <v>12</v>
      </c>
      <c r="I751" s="29"/>
      <c r="J751" s="25">
        <v>4</v>
      </c>
      <c r="K751" s="30">
        <v>147.93</v>
      </c>
      <c r="L751" s="17"/>
      <c r="M751" s="29">
        <f t="shared" si="39"/>
        <v>0</v>
      </c>
      <c r="N751" s="31">
        <f>0.058*L751</f>
        <v>0</v>
      </c>
      <c r="O751" s="32">
        <f>0.00016*L751</f>
        <v>0</v>
      </c>
      <c r="P751" s="36"/>
      <c r="Q751" s="29" t="s">
        <v>2311</v>
      </c>
      <c r="R751" s="29" t="s">
        <v>611</v>
      </c>
      <c r="S751" s="26" t="str">
        <f>HYPERLINK("https://miland.ru/api/getInfo/image/928706dc-c027-11ee-a25a-00155d82e908")</f>
        <v>https://miland.ru/api/getInfo/image/928706dc-c027-11ee-a25a-00155d82e908</v>
      </c>
    </row>
    <row r="752" spans="1:19" s="2" customFormat="1" ht="96.2" customHeight="1" outlineLevel="5">
      <c r="A752" s="9">
        <v>538</v>
      </c>
      <c r="B752" s="10" t="s">
        <v>2312</v>
      </c>
      <c r="C752" s="65" t="s">
        <v>2313</v>
      </c>
      <c r="D752" s="65"/>
      <c r="E752" s="65"/>
      <c r="F752" s="65"/>
      <c r="G752" s="11" t="s">
        <v>2314</v>
      </c>
      <c r="H752" s="21" t="s">
        <v>44</v>
      </c>
      <c r="I752" s="15"/>
      <c r="J752" s="9">
        <v>4</v>
      </c>
      <c r="K752" s="16">
        <v>147.93</v>
      </c>
      <c r="L752" s="17"/>
      <c r="M752" s="15">
        <f t="shared" si="39"/>
        <v>0</v>
      </c>
      <c r="N752" s="18">
        <f>0.237*L752</f>
        <v>0</v>
      </c>
      <c r="O752" s="19">
        <f>0.00054*L752</f>
        <v>0</v>
      </c>
      <c r="P752" s="24" t="s">
        <v>26</v>
      </c>
      <c r="Q752" s="15" t="s">
        <v>2315</v>
      </c>
      <c r="R752" s="15"/>
      <c r="S752" s="10" t="str">
        <f>HYPERLINK("https://miland.ru/api/getInfo/image/4c36b12c-1e03-11f1-a28f-00155d82e908")</f>
        <v>https://miland.ru/api/getInfo/image/4c36b12c-1e03-11f1-a28f-00155d82e908</v>
      </c>
    </row>
    <row r="753" spans="1:19" s="2" customFormat="1" ht="96.2" customHeight="1" outlineLevel="5">
      <c r="A753" s="9">
        <v>539</v>
      </c>
      <c r="B753" s="10" t="s">
        <v>2316</v>
      </c>
      <c r="C753" s="65" t="s">
        <v>2317</v>
      </c>
      <c r="D753" s="65"/>
      <c r="E753" s="65"/>
      <c r="F753" s="65"/>
      <c r="G753" s="11" t="s">
        <v>2318</v>
      </c>
      <c r="H753" s="21" t="s">
        <v>44</v>
      </c>
      <c r="I753" s="15"/>
      <c r="J753" s="9">
        <v>4</v>
      </c>
      <c r="K753" s="16">
        <v>147.93</v>
      </c>
      <c r="L753" s="17"/>
      <c r="M753" s="15">
        <f t="shared" si="39"/>
        <v>0</v>
      </c>
      <c r="N753" s="18">
        <f>0.237*L753</f>
        <v>0</v>
      </c>
      <c r="O753" s="19">
        <f>0.00054*L753</f>
        <v>0</v>
      </c>
      <c r="P753" s="24" t="s">
        <v>26</v>
      </c>
      <c r="Q753" s="15" t="s">
        <v>2319</v>
      </c>
      <c r="R753" s="15"/>
      <c r="S753" s="10" t="str">
        <f>HYPERLINK("https://miland.ru/api/getInfo/image/7bfa647f-1e03-11f1-a28f-00155d82e908")</f>
        <v>https://miland.ru/api/getInfo/image/7bfa647f-1e03-11f1-a28f-00155d82e908</v>
      </c>
    </row>
    <row r="754" spans="1:19" s="2" customFormat="1" ht="96.2" customHeight="1" outlineLevel="5">
      <c r="A754" s="9">
        <v>540</v>
      </c>
      <c r="B754" s="10" t="s">
        <v>2320</v>
      </c>
      <c r="C754" s="65" t="s">
        <v>2321</v>
      </c>
      <c r="D754" s="65"/>
      <c r="E754" s="65"/>
      <c r="F754" s="65"/>
      <c r="G754" s="11" t="s">
        <v>2322</v>
      </c>
      <c r="H754" s="21" t="s">
        <v>44</v>
      </c>
      <c r="I754" s="15"/>
      <c r="J754" s="9">
        <v>4</v>
      </c>
      <c r="K754" s="16">
        <v>147.93</v>
      </c>
      <c r="L754" s="17"/>
      <c r="M754" s="15">
        <f t="shared" si="39"/>
        <v>0</v>
      </c>
      <c r="N754" s="18">
        <f>0.237*L754</f>
        <v>0</v>
      </c>
      <c r="O754" s="19">
        <f>0.00054*L754</f>
        <v>0</v>
      </c>
      <c r="P754" s="24" t="s">
        <v>26</v>
      </c>
      <c r="Q754" s="15" t="s">
        <v>2323</v>
      </c>
      <c r="R754" s="15"/>
      <c r="S754" s="10" t="str">
        <f>HYPERLINK("https://miland.ru/api/getInfo/image/eade90eb-1e02-11f1-a28f-00155d82e908")</f>
        <v>https://miland.ru/api/getInfo/image/eade90eb-1e02-11f1-a28f-00155d82e908</v>
      </c>
    </row>
    <row r="755" spans="1:19" s="2" customFormat="1" ht="96.2" customHeight="1" outlineLevel="5">
      <c r="A755" s="9">
        <v>541</v>
      </c>
      <c r="B755" s="10" t="s">
        <v>2324</v>
      </c>
      <c r="C755" s="65" t="s">
        <v>2325</v>
      </c>
      <c r="D755" s="65"/>
      <c r="E755" s="65"/>
      <c r="F755" s="65"/>
      <c r="G755" s="11" t="s">
        <v>2326</v>
      </c>
      <c r="H755" s="21" t="s">
        <v>44</v>
      </c>
      <c r="I755" s="15"/>
      <c r="J755" s="9">
        <v>4</v>
      </c>
      <c r="K755" s="16">
        <v>147.93</v>
      </c>
      <c r="L755" s="17"/>
      <c r="M755" s="15">
        <f t="shared" si="39"/>
        <v>0</v>
      </c>
      <c r="N755" s="18">
        <f>0.055*L755</f>
        <v>0</v>
      </c>
      <c r="O755" s="19">
        <f>0.00017*L755</f>
        <v>0</v>
      </c>
      <c r="P755" s="24" t="s">
        <v>26</v>
      </c>
      <c r="Q755" s="15" t="s">
        <v>2327</v>
      </c>
      <c r="R755" s="15"/>
      <c r="S755" s="10" t="str">
        <f>HYPERLINK("https://miland.ru/api/getInfo/image/1c4ca128-1e03-11f1-a28f-00155d82e908")</f>
        <v>https://miland.ru/api/getInfo/image/1c4ca128-1e03-11f1-a28f-00155d82e908</v>
      </c>
    </row>
    <row r="756" spans="1:19" s="1" customFormat="1" ht="12" customHeight="1" outlineLevel="4">
      <c r="A756" s="64" t="s">
        <v>2328</v>
      </c>
      <c r="B756" s="64"/>
      <c r="C756" s="64"/>
      <c r="D756" s="64"/>
      <c r="E756" s="64"/>
      <c r="F756" s="64"/>
      <c r="G756" s="8"/>
      <c r="H756" s="12"/>
      <c r="I756" s="2"/>
      <c r="J756" s="2"/>
      <c r="K756" s="13"/>
      <c r="L756" s="2"/>
      <c r="M756" s="2"/>
      <c r="N756" s="2"/>
      <c r="O756" s="2"/>
      <c r="P756" s="2"/>
      <c r="Q756" s="2"/>
      <c r="R756" s="2"/>
      <c r="S756" s="2"/>
    </row>
    <row r="757" spans="1:19" s="2" customFormat="1" ht="96.2" customHeight="1" outlineLevel="5">
      <c r="A757" s="9">
        <v>542</v>
      </c>
      <c r="B757" s="10" t="s">
        <v>2329</v>
      </c>
      <c r="C757" s="65" t="s">
        <v>2330</v>
      </c>
      <c r="D757" s="65"/>
      <c r="E757" s="65"/>
      <c r="F757" s="65"/>
      <c r="G757" s="11" t="s">
        <v>2331</v>
      </c>
      <c r="H757" s="21" t="s">
        <v>44</v>
      </c>
      <c r="I757" s="15"/>
      <c r="J757" s="9">
        <v>30</v>
      </c>
      <c r="K757" s="16">
        <v>18.760000000000002</v>
      </c>
      <c r="L757" s="17"/>
      <c r="M757" s="15">
        <f t="shared" ref="M757:M771" si="40">K757*L757</f>
        <v>0</v>
      </c>
      <c r="N757" s="23">
        <f>0.01*L757</f>
        <v>0</v>
      </c>
      <c r="O757" s="19">
        <f>0.00006*L757</f>
        <v>0</v>
      </c>
      <c r="P757" s="24" t="s">
        <v>26</v>
      </c>
      <c r="Q757" s="15" t="s">
        <v>2332</v>
      </c>
      <c r="R757" s="15"/>
      <c r="S757" s="10" t="str">
        <f>HYPERLINK("https://miland.ru/api/getInfo/image/49c68115-bb08-11f0-a288-00155d82e908")</f>
        <v>https://miland.ru/api/getInfo/image/49c68115-bb08-11f0-a288-00155d82e908</v>
      </c>
    </row>
    <row r="758" spans="1:19" s="2" customFormat="1" ht="96.2" customHeight="1" outlineLevel="5">
      <c r="A758" s="9">
        <v>543</v>
      </c>
      <c r="B758" s="10" t="s">
        <v>2333</v>
      </c>
      <c r="C758" s="65" t="s">
        <v>2334</v>
      </c>
      <c r="D758" s="65"/>
      <c r="E758" s="65"/>
      <c r="F758" s="65"/>
      <c r="G758" s="11" t="s">
        <v>2335</v>
      </c>
      <c r="H758" s="21" t="s">
        <v>44</v>
      </c>
      <c r="I758" s="15"/>
      <c r="J758" s="9">
        <v>30</v>
      </c>
      <c r="K758" s="16">
        <v>18.760000000000002</v>
      </c>
      <c r="L758" s="17"/>
      <c r="M758" s="15">
        <f t="shared" si="40"/>
        <v>0</v>
      </c>
      <c r="N758" s="23">
        <f>0.01*L758</f>
        <v>0</v>
      </c>
      <c r="O758" s="19">
        <f>0.00006*L758</f>
        <v>0</v>
      </c>
      <c r="P758" s="24" t="s">
        <v>26</v>
      </c>
      <c r="Q758" s="15" t="s">
        <v>2336</v>
      </c>
      <c r="R758" s="15"/>
      <c r="S758" s="10" t="str">
        <f>HYPERLINK("https://miland.ru/api/getInfo/image/86158068-bb08-11f0-a288-00155d82e908")</f>
        <v>https://miland.ru/api/getInfo/image/86158068-bb08-11f0-a288-00155d82e908</v>
      </c>
    </row>
    <row r="759" spans="1:19" s="2" customFormat="1" ht="96.2" customHeight="1" outlineLevel="5">
      <c r="A759" s="25">
        <v>544</v>
      </c>
      <c r="B759" s="26" t="s">
        <v>2337</v>
      </c>
      <c r="C759" s="66" t="s">
        <v>2338</v>
      </c>
      <c r="D759" s="66"/>
      <c r="E759" s="66"/>
      <c r="F759" s="66"/>
      <c r="G759" s="27" t="s">
        <v>2339</v>
      </c>
      <c r="H759" s="33">
        <v>7</v>
      </c>
      <c r="I759" s="29"/>
      <c r="J759" s="25">
        <v>7</v>
      </c>
      <c r="K759" s="30">
        <v>18.760000000000002</v>
      </c>
      <c r="L759" s="17"/>
      <c r="M759" s="29">
        <f t="shared" si="40"/>
        <v>0</v>
      </c>
      <c r="N759" s="31">
        <f>0.011*L759</f>
        <v>0</v>
      </c>
      <c r="O759" s="32">
        <f>0.00006*L759</f>
        <v>0</v>
      </c>
      <c r="P759" s="36"/>
      <c r="Q759" s="29" t="s">
        <v>2340</v>
      </c>
      <c r="R759" s="29" t="s">
        <v>611</v>
      </c>
      <c r="S759" s="26" t="str">
        <f>HYPERLINK("https://miland.ru/api/getInfo/image/ec50b349-d4ae-11ef-a26a-00155d82e908")</f>
        <v>https://miland.ru/api/getInfo/image/ec50b349-d4ae-11ef-a26a-00155d82e908</v>
      </c>
    </row>
    <row r="760" spans="1:19" s="2" customFormat="1" ht="96.2" customHeight="1" outlineLevel="5">
      <c r="A760" s="25">
        <v>545</v>
      </c>
      <c r="B760" s="26" t="s">
        <v>2341</v>
      </c>
      <c r="C760" s="66" t="s">
        <v>2342</v>
      </c>
      <c r="D760" s="66"/>
      <c r="E760" s="66"/>
      <c r="F760" s="66"/>
      <c r="G760" s="27" t="s">
        <v>2343</v>
      </c>
      <c r="H760" s="33">
        <v>2</v>
      </c>
      <c r="I760" s="29"/>
      <c r="J760" s="25">
        <v>2</v>
      </c>
      <c r="K760" s="30">
        <v>18.760000000000002</v>
      </c>
      <c r="L760" s="17"/>
      <c r="M760" s="29">
        <f t="shared" si="40"/>
        <v>0</v>
      </c>
      <c r="N760" s="31">
        <f>0.011*L760</f>
        <v>0</v>
      </c>
      <c r="O760" s="32">
        <f>0.00006*L760</f>
        <v>0</v>
      </c>
      <c r="P760" s="36"/>
      <c r="Q760" s="29" t="s">
        <v>2344</v>
      </c>
      <c r="R760" s="29" t="s">
        <v>611</v>
      </c>
      <c r="S760" s="26" t="str">
        <f>HYPERLINK("https://miland.ru/api/getInfo/image/cb6d44f8-d4ac-11ef-a26a-00155d82e908")</f>
        <v>https://miland.ru/api/getInfo/image/cb6d44f8-d4ac-11ef-a26a-00155d82e908</v>
      </c>
    </row>
    <row r="761" spans="1:19" s="2" customFormat="1" ht="96.2" customHeight="1" outlineLevel="5">
      <c r="A761" s="25">
        <v>546</v>
      </c>
      <c r="B761" s="26" t="s">
        <v>2345</v>
      </c>
      <c r="C761" s="66" t="s">
        <v>2346</v>
      </c>
      <c r="D761" s="66"/>
      <c r="E761" s="66"/>
      <c r="F761" s="66"/>
      <c r="G761" s="27" t="s">
        <v>2347</v>
      </c>
      <c r="H761" s="33">
        <v>20</v>
      </c>
      <c r="I761" s="29"/>
      <c r="J761" s="25">
        <v>20</v>
      </c>
      <c r="K761" s="30">
        <v>18.760000000000002</v>
      </c>
      <c r="L761" s="17"/>
      <c r="M761" s="29">
        <f t="shared" si="40"/>
        <v>0</v>
      </c>
      <c r="N761" s="31">
        <f>0.013*L761</f>
        <v>0</v>
      </c>
      <c r="O761" s="32">
        <f>0.00002*L761</f>
        <v>0</v>
      </c>
      <c r="P761" s="36"/>
      <c r="Q761" s="29" t="s">
        <v>2348</v>
      </c>
      <c r="R761" s="29" t="s">
        <v>611</v>
      </c>
      <c r="S761" s="26" t="str">
        <f>HYPERLINK("https://miland.ru/api/getInfo/image/29f266f8-a574-11ee-a258-00155d82e908")</f>
        <v>https://miland.ru/api/getInfo/image/29f266f8-a574-11ee-a258-00155d82e908</v>
      </c>
    </row>
    <row r="762" spans="1:19" s="2" customFormat="1" ht="96.2" customHeight="1" outlineLevel="5">
      <c r="A762" s="9">
        <v>547</v>
      </c>
      <c r="B762" s="10" t="s">
        <v>2349</v>
      </c>
      <c r="C762" s="65" t="s">
        <v>2350</v>
      </c>
      <c r="D762" s="65"/>
      <c r="E762" s="65"/>
      <c r="F762" s="65"/>
      <c r="G762" s="11" t="s">
        <v>2351</v>
      </c>
      <c r="H762" s="14">
        <v>260</v>
      </c>
      <c r="I762" s="15"/>
      <c r="J762" s="9">
        <v>30</v>
      </c>
      <c r="K762" s="16">
        <v>18.760000000000002</v>
      </c>
      <c r="L762" s="17"/>
      <c r="M762" s="15">
        <f t="shared" si="40"/>
        <v>0</v>
      </c>
      <c r="N762" s="18">
        <f>0.007*L762</f>
        <v>0</v>
      </c>
      <c r="O762" s="19">
        <f>0.00006*L762</f>
        <v>0</v>
      </c>
      <c r="P762" s="24" t="s">
        <v>26</v>
      </c>
      <c r="Q762" s="15" t="s">
        <v>2352</v>
      </c>
      <c r="R762" s="15"/>
      <c r="S762" s="10" t="str">
        <f>HYPERLINK("https://miland.ru/api/getInfo/image/e222ddff-bb08-11f0-a288-00155d82e908")</f>
        <v>https://miland.ru/api/getInfo/image/e222ddff-bb08-11f0-a288-00155d82e908</v>
      </c>
    </row>
    <row r="763" spans="1:19" s="2" customFormat="1" ht="96.2" customHeight="1" outlineLevel="5">
      <c r="A763" s="9">
        <v>548</v>
      </c>
      <c r="B763" s="10" t="s">
        <v>2353</v>
      </c>
      <c r="C763" s="65" t="s">
        <v>2354</v>
      </c>
      <c r="D763" s="65"/>
      <c r="E763" s="65"/>
      <c r="F763" s="65"/>
      <c r="G763" s="11" t="s">
        <v>2355</v>
      </c>
      <c r="H763" s="21" t="s">
        <v>44</v>
      </c>
      <c r="I763" s="15"/>
      <c r="J763" s="9">
        <v>30</v>
      </c>
      <c r="K763" s="16">
        <v>18.760000000000002</v>
      </c>
      <c r="L763" s="17"/>
      <c r="M763" s="15">
        <f t="shared" si="40"/>
        <v>0</v>
      </c>
      <c r="N763" s="23">
        <f>0.01*L763</f>
        <v>0</v>
      </c>
      <c r="O763" s="19">
        <f>0.00011*L763</f>
        <v>0</v>
      </c>
      <c r="P763" s="24" t="s">
        <v>26</v>
      </c>
      <c r="Q763" s="15" t="s">
        <v>2356</v>
      </c>
      <c r="R763" s="15"/>
      <c r="S763" s="10" t="str">
        <f>HYPERLINK("https://miland.ru/api/getInfo/image/9d21714a-bb07-11f0-a288-00155d82e908")</f>
        <v>https://miland.ru/api/getInfo/image/9d21714a-bb07-11f0-a288-00155d82e908</v>
      </c>
    </row>
    <row r="764" spans="1:19" s="2" customFormat="1" ht="96.2" customHeight="1" outlineLevel="5">
      <c r="A764" s="9">
        <v>549</v>
      </c>
      <c r="B764" s="10" t="s">
        <v>2357</v>
      </c>
      <c r="C764" s="65" t="s">
        <v>2358</v>
      </c>
      <c r="D764" s="65"/>
      <c r="E764" s="65"/>
      <c r="F764" s="65"/>
      <c r="G764" s="11" t="s">
        <v>2359</v>
      </c>
      <c r="H764" s="21" t="s">
        <v>44</v>
      </c>
      <c r="I764" s="15"/>
      <c r="J764" s="9">
        <v>30</v>
      </c>
      <c r="K764" s="16">
        <v>18.760000000000002</v>
      </c>
      <c r="L764" s="17"/>
      <c r="M764" s="15">
        <f t="shared" si="40"/>
        <v>0</v>
      </c>
      <c r="N764" s="18">
        <f>0.007*L764</f>
        <v>0</v>
      </c>
      <c r="O764" s="19">
        <f>0.00006*L764</f>
        <v>0</v>
      </c>
      <c r="P764" s="24" t="s">
        <v>26</v>
      </c>
      <c r="Q764" s="15" t="s">
        <v>2360</v>
      </c>
      <c r="R764" s="15"/>
      <c r="S764" s="10" t="str">
        <f>HYPERLINK("https://miland.ru/api/getInfo/image/bf17f844-bb05-11f0-a288-00155d82e908")</f>
        <v>https://miland.ru/api/getInfo/image/bf17f844-bb05-11f0-a288-00155d82e908</v>
      </c>
    </row>
    <row r="765" spans="1:19" s="2" customFormat="1" ht="96.2" customHeight="1" outlineLevel="5">
      <c r="A765" s="9">
        <v>550</v>
      </c>
      <c r="B765" s="10" t="s">
        <v>2361</v>
      </c>
      <c r="C765" s="65" t="s">
        <v>2362</v>
      </c>
      <c r="D765" s="65"/>
      <c r="E765" s="65"/>
      <c r="F765" s="65"/>
      <c r="G765" s="11" t="s">
        <v>2363</v>
      </c>
      <c r="H765" s="21" t="s">
        <v>44</v>
      </c>
      <c r="I765" s="15"/>
      <c r="J765" s="9">
        <v>30</v>
      </c>
      <c r="K765" s="16">
        <v>18.760000000000002</v>
      </c>
      <c r="L765" s="17"/>
      <c r="M765" s="15">
        <f t="shared" si="40"/>
        <v>0</v>
      </c>
      <c r="N765" s="18">
        <f>0.007*L765</f>
        <v>0</v>
      </c>
      <c r="O765" s="19">
        <f>0.00006*L765</f>
        <v>0</v>
      </c>
      <c r="P765" s="24" t="s">
        <v>26</v>
      </c>
      <c r="Q765" s="15" t="s">
        <v>2364</v>
      </c>
      <c r="R765" s="15"/>
      <c r="S765" s="10" t="str">
        <f>HYPERLINK("https://miland.ru/api/getInfo/image/0ab26f3f-bb06-11f0-a288-00155d82e908")</f>
        <v>https://miland.ru/api/getInfo/image/0ab26f3f-bb06-11f0-a288-00155d82e908</v>
      </c>
    </row>
    <row r="766" spans="1:19" s="2" customFormat="1" ht="96.2" customHeight="1" outlineLevel="5">
      <c r="A766" s="9">
        <v>551</v>
      </c>
      <c r="B766" s="10" t="s">
        <v>2365</v>
      </c>
      <c r="C766" s="65" t="s">
        <v>2366</v>
      </c>
      <c r="D766" s="65"/>
      <c r="E766" s="65"/>
      <c r="F766" s="65"/>
      <c r="G766" s="11" t="s">
        <v>2367</v>
      </c>
      <c r="H766" s="21" t="s">
        <v>44</v>
      </c>
      <c r="I766" s="15"/>
      <c r="J766" s="9">
        <v>30</v>
      </c>
      <c r="K766" s="16">
        <v>18.760000000000002</v>
      </c>
      <c r="L766" s="17"/>
      <c r="M766" s="15">
        <f t="shared" si="40"/>
        <v>0</v>
      </c>
      <c r="N766" s="23">
        <f>0.01*L766</f>
        <v>0</v>
      </c>
      <c r="O766" s="19">
        <f>0.00007*L766</f>
        <v>0</v>
      </c>
      <c r="P766" s="24" t="s">
        <v>26</v>
      </c>
      <c r="Q766" s="15" t="s">
        <v>2368</v>
      </c>
      <c r="R766" s="15"/>
      <c r="S766" s="10" t="str">
        <f>HYPERLINK("https://miland.ru/api/getInfo/image/33ccb339-bb07-11f0-a288-00155d82e908")</f>
        <v>https://miland.ru/api/getInfo/image/33ccb339-bb07-11f0-a288-00155d82e908</v>
      </c>
    </row>
    <row r="767" spans="1:19" s="2" customFormat="1" ht="96.2" customHeight="1" outlineLevel="5">
      <c r="A767" s="9">
        <v>552</v>
      </c>
      <c r="B767" s="10" t="s">
        <v>2369</v>
      </c>
      <c r="C767" s="65" t="s">
        <v>2370</v>
      </c>
      <c r="D767" s="65"/>
      <c r="E767" s="65"/>
      <c r="F767" s="65"/>
      <c r="G767" s="11" t="s">
        <v>2371</v>
      </c>
      <c r="H767" s="21" t="s">
        <v>44</v>
      </c>
      <c r="I767" s="15"/>
      <c r="J767" s="9">
        <v>30</v>
      </c>
      <c r="K767" s="16">
        <v>18.760000000000002</v>
      </c>
      <c r="L767" s="17"/>
      <c r="M767" s="15">
        <f t="shared" si="40"/>
        <v>0</v>
      </c>
      <c r="N767" s="18">
        <f>0.007*L767</f>
        <v>0</v>
      </c>
      <c r="O767" s="19">
        <f>0.00006*L767</f>
        <v>0</v>
      </c>
      <c r="P767" s="24" t="s">
        <v>26</v>
      </c>
      <c r="Q767" s="15" t="s">
        <v>2372</v>
      </c>
      <c r="R767" s="15"/>
      <c r="S767" s="10" t="str">
        <f>HYPERLINK("https://miland.ru/api/getInfo/image/dceb874a-bb06-11f0-a288-00155d82e908")</f>
        <v>https://miland.ru/api/getInfo/image/dceb874a-bb06-11f0-a288-00155d82e908</v>
      </c>
    </row>
    <row r="768" spans="1:19" s="2" customFormat="1" ht="96.2" customHeight="1" outlineLevel="5">
      <c r="A768" s="9">
        <v>553</v>
      </c>
      <c r="B768" s="10" t="s">
        <v>2373</v>
      </c>
      <c r="C768" s="65" t="s">
        <v>2374</v>
      </c>
      <c r="D768" s="65"/>
      <c r="E768" s="65"/>
      <c r="F768" s="65"/>
      <c r="G768" s="11" t="s">
        <v>2375</v>
      </c>
      <c r="H768" s="21" t="s">
        <v>44</v>
      </c>
      <c r="I768" s="15"/>
      <c r="J768" s="9">
        <v>30</v>
      </c>
      <c r="K768" s="16">
        <v>18.760000000000002</v>
      </c>
      <c r="L768" s="17"/>
      <c r="M768" s="15">
        <f t="shared" si="40"/>
        <v>0</v>
      </c>
      <c r="N768" s="18">
        <f>0.007*L768</f>
        <v>0</v>
      </c>
      <c r="O768" s="19">
        <f>0.00006*L768</f>
        <v>0</v>
      </c>
      <c r="P768" s="24" t="s">
        <v>26</v>
      </c>
      <c r="Q768" s="15" t="s">
        <v>2376</v>
      </c>
      <c r="R768" s="15"/>
      <c r="S768" s="10" t="str">
        <f>HYPERLINK("https://miland.ru/api/getInfo/image/bb7fabba-bb04-11f0-a288-00155d82e908")</f>
        <v>https://miland.ru/api/getInfo/image/bb7fabba-bb04-11f0-a288-00155d82e908</v>
      </c>
    </row>
    <row r="769" spans="1:19" s="2" customFormat="1" ht="96.2" customHeight="1" outlineLevel="5">
      <c r="A769" s="9">
        <v>554</v>
      </c>
      <c r="B769" s="10" t="s">
        <v>2377</v>
      </c>
      <c r="C769" s="65" t="s">
        <v>2378</v>
      </c>
      <c r="D769" s="65"/>
      <c r="E769" s="65"/>
      <c r="F769" s="65"/>
      <c r="G769" s="11" t="s">
        <v>2379</v>
      </c>
      <c r="H769" s="21" t="s">
        <v>44</v>
      </c>
      <c r="I769" s="15"/>
      <c r="J769" s="9">
        <v>30</v>
      </c>
      <c r="K769" s="16">
        <v>18.760000000000002</v>
      </c>
      <c r="L769" s="17"/>
      <c r="M769" s="15">
        <f t="shared" si="40"/>
        <v>0</v>
      </c>
      <c r="N769" s="23">
        <f>0.01*L769</f>
        <v>0</v>
      </c>
      <c r="O769" s="19">
        <f>0.00006*L769</f>
        <v>0</v>
      </c>
      <c r="P769" s="24" t="s">
        <v>26</v>
      </c>
      <c r="Q769" s="15" t="s">
        <v>2380</v>
      </c>
      <c r="R769" s="15"/>
      <c r="S769" s="10" t="str">
        <f>HYPERLINK("https://miland.ru/api/getInfo/image/432f4c1e-bb06-11f0-a288-00155d82e908")</f>
        <v>https://miland.ru/api/getInfo/image/432f4c1e-bb06-11f0-a288-00155d82e908</v>
      </c>
    </row>
    <row r="770" spans="1:19" s="2" customFormat="1" ht="96.2" customHeight="1" outlineLevel="5">
      <c r="A770" s="9">
        <v>555</v>
      </c>
      <c r="B770" s="10" t="s">
        <v>2381</v>
      </c>
      <c r="C770" s="65" t="s">
        <v>2382</v>
      </c>
      <c r="D770" s="65"/>
      <c r="E770" s="65"/>
      <c r="F770" s="65"/>
      <c r="G770" s="11" t="s">
        <v>2383</v>
      </c>
      <c r="H770" s="21" t="s">
        <v>44</v>
      </c>
      <c r="I770" s="15"/>
      <c r="J770" s="9">
        <v>30</v>
      </c>
      <c r="K770" s="16">
        <v>18.760000000000002</v>
      </c>
      <c r="L770" s="17"/>
      <c r="M770" s="15">
        <f t="shared" si="40"/>
        <v>0</v>
      </c>
      <c r="N770" s="18">
        <f>0.007*L770</f>
        <v>0</v>
      </c>
      <c r="O770" s="19">
        <f>0.00006*L770</f>
        <v>0</v>
      </c>
      <c r="P770" s="24" t="s">
        <v>26</v>
      </c>
      <c r="Q770" s="15" t="s">
        <v>2384</v>
      </c>
      <c r="R770" s="15"/>
      <c r="S770" s="10" t="str">
        <f>HYPERLINK("https://miland.ru/api/getInfo/image/3c83c4ee-bb09-11f0-a288-00155d82e908")</f>
        <v>https://miland.ru/api/getInfo/image/3c83c4ee-bb09-11f0-a288-00155d82e908</v>
      </c>
    </row>
    <row r="771" spans="1:19" s="2" customFormat="1" ht="96.2" customHeight="1" outlineLevel="5">
      <c r="A771" s="9">
        <v>556</v>
      </c>
      <c r="B771" s="10" t="s">
        <v>2385</v>
      </c>
      <c r="C771" s="65" t="s">
        <v>2386</v>
      </c>
      <c r="D771" s="65"/>
      <c r="E771" s="65"/>
      <c r="F771" s="65"/>
      <c r="G771" s="11" t="s">
        <v>2387</v>
      </c>
      <c r="H771" s="14">
        <v>200</v>
      </c>
      <c r="I771" s="15"/>
      <c r="J771" s="9">
        <v>30</v>
      </c>
      <c r="K771" s="16">
        <v>18.760000000000002</v>
      </c>
      <c r="L771" s="17"/>
      <c r="M771" s="15">
        <f t="shared" si="40"/>
        <v>0</v>
      </c>
      <c r="N771" s="23">
        <f>0.01*L771</f>
        <v>0</v>
      </c>
      <c r="O771" s="19">
        <f>0.00043*L771</f>
        <v>0</v>
      </c>
      <c r="P771" s="24" t="s">
        <v>26</v>
      </c>
      <c r="Q771" s="15" t="s">
        <v>2388</v>
      </c>
      <c r="R771" s="15"/>
      <c r="S771" s="10" t="str">
        <f>HYPERLINK("https://miland.ru/api/getInfo/image/754f53c6-bb06-11f0-a288-00155d82e908")</f>
        <v>https://miland.ru/api/getInfo/image/754f53c6-bb06-11f0-a288-00155d82e908</v>
      </c>
    </row>
    <row r="772" spans="1:19" s="1" customFormat="1" ht="12" customHeight="1" outlineLevel="4">
      <c r="A772" s="64" t="s">
        <v>2389</v>
      </c>
      <c r="B772" s="64"/>
      <c r="C772" s="64"/>
      <c r="D772" s="64"/>
      <c r="E772" s="64"/>
      <c r="F772" s="64"/>
      <c r="G772" s="8"/>
      <c r="H772" s="12"/>
      <c r="I772" s="2"/>
      <c r="J772" s="2"/>
      <c r="K772" s="13"/>
      <c r="L772" s="2"/>
      <c r="M772" s="2"/>
      <c r="N772" s="2"/>
      <c r="O772" s="2"/>
      <c r="P772" s="2"/>
      <c r="Q772" s="2"/>
      <c r="R772" s="2"/>
      <c r="S772" s="2"/>
    </row>
    <row r="773" spans="1:19" s="2" customFormat="1" ht="96.2" customHeight="1" outlineLevel="5">
      <c r="A773" s="9">
        <v>557</v>
      </c>
      <c r="B773" s="10" t="s">
        <v>2390</v>
      </c>
      <c r="C773" s="65" t="s">
        <v>2391</v>
      </c>
      <c r="D773" s="65"/>
      <c r="E773" s="65"/>
      <c r="F773" s="65"/>
      <c r="G773" s="11" t="s">
        <v>2392</v>
      </c>
      <c r="H773" s="21" t="s">
        <v>44</v>
      </c>
      <c r="I773" s="15"/>
      <c r="J773" s="9">
        <v>6</v>
      </c>
      <c r="K773" s="16">
        <v>105.66</v>
      </c>
      <c r="L773" s="17"/>
      <c r="M773" s="15">
        <f t="shared" ref="M773:M781" si="41">K773*L773</f>
        <v>0</v>
      </c>
      <c r="N773" s="18">
        <f>0.058*L773</f>
        <v>0</v>
      </c>
      <c r="O773" s="19">
        <f>0.00035*L773</f>
        <v>0</v>
      </c>
      <c r="P773" s="24" t="s">
        <v>26</v>
      </c>
      <c r="Q773" s="15" t="s">
        <v>2393</v>
      </c>
      <c r="R773" s="15"/>
      <c r="S773" s="10" t="str">
        <f>HYPERLINK("https://miland.ru/api/getInfo/image/10c565b6-018a-11f1-a28e-00155d82e908")</f>
        <v>https://miland.ru/api/getInfo/image/10c565b6-018a-11f1-a28e-00155d82e908</v>
      </c>
    </row>
    <row r="774" spans="1:19" s="2" customFormat="1" ht="96.2" customHeight="1" outlineLevel="5">
      <c r="A774" s="25">
        <v>558</v>
      </c>
      <c r="B774" s="26" t="s">
        <v>2394</v>
      </c>
      <c r="C774" s="66" t="s">
        <v>2395</v>
      </c>
      <c r="D774" s="66"/>
      <c r="E774" s="66"/>
      <c r="F774" s="66"/>
      <c r="G774" s="27" t="s">
        <v>2396</v>
      </c>
      <c r="H774" s="33">
        <v>7</v>
      </c>
      <c r="I774" s="29"/>
      <c r="J774" s="25">
        <v>6</v>
      </c>
      <c r="K774" s="30">
        <v>105.66</v>
      </c>
      <c r="L774" s="17"/>
      <c r="M774" s="29">
        <f t="shared" si="41"/>
        <v>0</v>
      </c>
      <c r="N774" s="31">
        <f>0.063*L774</f>
        <v>0</v>
      </c>
      <c r="O774" s="32">
        <f>0.00053*L774</f>
        <v>0</v>
      </c>
      <c r="P774" s="36"/>
      <c r="Q774" s="29" t="s">
        <v>2397</v>
      </c>
      <c r="R774" s="29" t="s">
        <v>611</v>
      </c>
      <c r="S774" s="26" t="str">
        <f>HYPERLINK("https://miland.ru/api/getInfo/image/2a2b6e09-e487-11ef-a274-00155d82e908")</f>
        <v>https://miland.ru/api/getInfo/image/2a2b6e09-e487-11ef-a274-00155d82e908</v>
      </c>
    </row>
    <row r="775" spans="1:19" s="2" customFormat="1" ht="96.2" customHeight="1" outlineLevel="5">
      <c r="A775" s="9">
        <v>559</v>
      </c>
      <c r="B775" s="10" t="s">
        <v>2398</v>
      </c>
      <c r="C775" s="65" t="s">
        <v>2399</v>
      </c>
      <c r="D775" s="65"/>
      <c r="E775" s="65"/>
      <c r="F775" s="65"/>
      <c r="G775" s="11" t="s">
        <v>2400</v>
      </c>
      <c r="H775" s="14">
        <v>131</v>
      </c>
      <c r="I775" s="15"/>
      <c r="J775" s="9">
        <v>6</v>
      </c>
      <c r="K775" s="16">
        <v>105.66</v>
      </c>
      <c r="L775" s="17"/>
      <c r="M775" s="15">
        <f t="shared" si="41"/>
        <v>0</v>
      </c>
      <c r="N775" s="18">
        <f>0.167*L775</f>
        <v>0</v>
      </c>
      <c r="O775" s="19">
        <f>0.00032*L775</f>
        <v>0</v>
      </c>
      <c r="P775" s="24" t="s">
        <v>26</v>
      </c>
      <c r="Q775" s="15" t="s">
        <v>2401</v>
      </c>
      <c r="R775" s="15"/>
      <c r="S775" s="10" t="str">
        <f>HYPERLINK("https://miland.ru/api/getInfo/image/e6b8dcf1-0189-11f1-a28e-00155d82e908")</f>
        <v>https://miland.ru/api/getInfo/image/e6b8dcf1-0189-11f1-a28e-00155d82e908</v>
      </c>
    </row>
    <row r="776" spans="1:19" s="2" customFormat="1" ht="96.2" customHeight="1" outlineLevel="5">
      <c r="A776" s="9">
        <v>560</v>
      </c>
      <c r="B776" s="10" t="s">
        <v>2402</v>
      </c>
      <c r="C776" s="65" t="s">
        <v>2403</v>
      </c>
      <c r="D776" s="65"/>
      <c r="E776" s="65"/>
      <c r="F776" s="65"/>
      <c r="G776" s="11" t="s">
        <v>2404</v>
      </c>
      <c r="H776" s="21" t="s">
        <v>44</v>
      </c>
      <c r="I776" s="15"/>
      <c r="J776" s="9">
        <v>6</v>
      </c>
      <c r="K776" s="16">
        <v>105.66</v>
      </c>
      <c r="L776" s="17"/>
      <c r="M776" s="15">
        <f t="shared" si="41"/>
        <v>0</v>
      </c>
      <c r="N776" s="18">
        <f>0.007*L776</f>
        <v>0</v>
      </c>
      <c r="O776" s="19">
        <f>0.00006*L776</f>
        <v>0</v>
      </c>
      <c r="P776" s="24" t="s">
        <v>26</v>
      </c>
      <c r="Q776" s="15" t="s">
        <v>2405</v>
      </c>
      <c r="R776" s="15"/>
      <c r="S776" s="10" t="str">
        <f>HYPERLINK("https://miland.ru/api/getInfo/image/0f848052-0189-11f1-a28e-00155d82e908")</f>
        <v>https://miland.ru/api/getInfo/image/0f848052-0189-11f1-a28e-00155d82e908</v>
      </c>
    </row>
    <row r="777" spans="1:19" s="2" customFormat="1" ht="96.2" customHeight="1" outlineLevel="5">
      <c r="A777" s="25">
        <v>561</v>
      </c>
      <c r="B777" s="26" t="s">
        <v>2406</v>
      </c>
      <c r="C777" s="66" t="s">
        <v>2407</v>
      </c>
      <c r="D777" s="66"/>
      <c r="E777" s="66"/>
      <c r="F777" s="66"/>
      <c r="G777" s="27" t="s">
        <v>2408</v>
      </c>
      <c r="H777" s="33">
        <v>116</v>
      </c>
      <c r="I777" s="29"/>
      <c r="J777" s="25">
        <v>6</v>
      </c>
      <c r="K777" s="30">
        <v>105.66</v>
      </c>
      <c r="L777" s="17"/>
      <c r="M777" s="29">
        <f t="shared" si="41"/>
        <v>0</v>
      </c>
      <c r="N777" s="31">
        <f>0.063*L777</f>
        <v>0</v>
      </c>
      <c r="O777" s="32">
        <f>0.00035*L777</f>
        <v>0</v>
      </c>
      <c r="P777" s="36"/>
      <c r="Q777" s="29" t="s">
        <v>2409</v>
      </c>
      <c r="R777" s="29" t="s">
        <v>611</v>
      </c>
      <c r="S777" s="26" t="str">
        <f>HYPERLINK("https://miland.ru/api/getInfo/image/533098ad-e487-11ef-a274-00155d82e908")</f>
        <v>https://miland.ru/api/getInfo/image/533098ad-e487-11ef-a274-00155d82e908</v>
      </c>
    </row>
    <row r="778" spans="1:19" s="2" customFormat="1" ht="96.2" customHeight="1" outlineLevel="5">
      <c r="A778" s="25">
        <v>562</v>
      </c>
      <c r="B778" s="26" t="s">
        <v>2410</v>
      </c>
      <c r="C778" s="66" t="s">
        <v>2411</v>
      </c>
      <c r="D778" s="66"/>
      <c r="E778" s="66"/>
      <c r="F778" s="66"/>
      <c r="G778" s="27" t="s">
        <v>2412</v>
      </c>
      <c r="H778" s="33">
        <v>5</v>
      </c>
      <c r="I778" s="29"/>
      <c r="J778" s="25">
        <v>5</v>
      </c>
      <c r="K778" s="30">
        <v>105.66</v>
      </c>
      <c r="L778" s="17"/>
      <c r="M778" s="29">
        <f t="shared" si="41"/>
        <v>0</v>
      </c>
      <c r="N778" s="31">
        <f>0.065*L778</f>
        <v>0</v>
      </c>
      <c r="O778" s="32">
        <f>0.00036*L778</f>
        <v>0</v>
      </c>
      <c r="P778" s="36"/>
      <c r="Q778" s="29" t="s">
        <v>2413</v>
      </c>
      <c r="R778" s="29" t="s">
        <v>611</v>
      </c>
      <c r="S778" s="26" t="str">
        <f>HYPERLINK("https://miland.ru/api/getInfo/image/7011fbec-e487-11ef-a274-00155d82e908")</f>
        <v>https://miland.ru/api/getInfo/image/7011fbec-e487-11ef-a274-00155d82e908</v>
      </c>
    </row>
    <row r="779" spans="1:19" s="2" customFormat="1" ht="96.2" customHeight="1" outlineLevel="5">
      <c r="A779" s="25">
        <v>563</v>
      </c>
      <c r="B779" s="26" t="s">
        <v>2414</v>
      </c>
      <c r="C779" s="66" t="s">
        <v>2415</v>
      </c>
      <c r="D779" s="66"/>
      <c r="E779" s="66"/>
      <c r="F779" s="66"/>
      <c r="G779" s="27" t="s">
        <v>2416</v>
      </c>
      <c r="H779" s="33">
        <v>403</v>
      </c>
      <c r="I779" s="29"/>
      <c r="J779" s="25">
        <v>6</v>
      </c>
      <c r="K779" s="30">
        <v>105.66</v>
      </c>
      <c r="L779" s="17"/>
      <c r="M779" s="29">
        <f t="shared" si="41"/>
        <v>0</v>
      </c>
      <c r="N779" s="31">
        <f>0.064*L779</f>
        <v>0</v>
      </c>
      <c r="O779" s="32">
        <f>0.00031*L779</f>
        <v>0</v>
      </c>
      <c r="P779" s="36"/>
      <c r="Q779" s="29" t="s">
        <v>2417</v>
      </c>
      <c r="R779" s="29" t="s">
        <v>611</v>
      </c>
      <c r="S779" s="26" t="str">
        <f>HYPERLINK("https://miland.ru/api/getInfo/image/881c0d52-e487-11ef-a274-00155d82e908")</f>
        <v>https://miland.ru/api/getInfo/image/881c0d52-e487-11ef-a274-00155d82e908</v>
      </c>
    </row>
    <row r="780" spans="1:19" s="2" customFormat="1" ht="96.2" customHeight="1" outlineLevel="5">
      <c r="A780" s="9">
        <v>564</v>
      </c>
      <c r="B780" s="10" t="s">
        <v>2418</v>
      </c>
      <c r="C780" s="65" t="s">
        <v>2419</v>
      </c>
      <c r="D780" s="65"/>
      <c r="E780" s="65"/>
      <c r="F780" s="65"/>
      <c r="G780" s="11" t="s">
        <v>2420</v>
      </c>
      <c r="H780" s="21" t="s">
        <v>44</v>
      </c>
      <c r="I780" s="15"/>
      <c r="J780" s="9">
        <v>6</v>
      </c>
      <c r="K780" s="16">
        <v>105.66</v>
      </c>
      <c r="L780" s="17"/>
      <c r="M780" s="15">
        <f t="shared" si="41"/>
        <v>0</v>
      </c>
      <c r="N780" s="18">
        <f>0.035*L780</f>
        <v>0</v>
      </c>
      <c r="O780" s="19">
        <f>0.00023*L780</f>
        <v>0</v>
      </c>
      <c r="P780" s="24" t="s">
        <v>26</v>
      </c>
      <c r="Q780" s="15" t="s">
        <v>2421</v>
      </c>
      <c r="R780" s="15"/>
      <c r="S780" s="10" t="str">
        <f>HYPERLINK("https://miland.ru/api/getInfo/image/29dfad7d-018a-11f1-a28e-00155d82e908")</f>
        <v>https://miland.ru/api/getInfo/image/29dfad7d-018a-11f1-a28e-00155d82e908</v>
      </c>
    </row>
    <row r="781" spans="1:19" s="2" customFormat="1" ht="96.2" customHeight="1" outlineLevel="5">
      <c r="A781" s="25">
        <v>565</v>
      </c>
      <c r="B781" s="26" t="s">
        <v>2422</v>
      </c>
      <c r="C781" s="66" t="s">
        <v>2423</v>
      </c>
      <c r="D781" s="66"/>
      <c r="E781" s="66"/>
      <c r="F781" s="66"/>
      <c r="G781" s="27" t="s">
        <v>2424</v>
      </c>
      <c r="H781" s="33">
        <v>1</v>
      </c>
      <c r="I781" s="29"/>
      <c r="J781" s="25">
        <v>1</v>
      </c>
      <c r="K781" s="30">
        <v>105.68</v>
      </c>
      <c r="L781" s="17"/>
      <c r="M781" s="29">
        <f t="shared" si="41"/>
        <v>0</v>
      </c>
      <c r="N781" s="31">
        <f>0.073*L781</f>
        <v>0</v>
      </c>
      <c r="O781" s="32">
        <f>0.00027*L781</f>
        <v>0</v>
      </c>
      <c r="P781" s="36"/>
      <c r="Q781" s="29" t="s">
        <v>2425</v>
      </c>
      <c r="R781" s="29" t="s">
        <v>611</v>
      </c>
      <c r="S781" s="26" t="str">
        <f>HYPERLINK("https://miland.ru/api/getInfo/image/99ce1de2-dadd-11ee-a25a-00155d82e908")</f>
        <v>https://miland.ru/api/getInfo/image/99ce1de2-dadd-11ee-a25a-00155d82e908</v>
      </c>
    </row>
    <row r="782" spans="1:19" s="1" customFormat="1" ht="12" customHeight="1" outlineLevel="3">
      <c r="A782" s="64" t="s">
        <v>2426</v>
      </c>
      <c r="B782" s="64"/>
      <c r="C782" s="64"/>
      <c r="D782" s="64"/>
      <c r="E782" s="64"/>
      <c r="F782" s="64"/>
      <c r="G782" s="8"/>
      <c r="H782" s="12"/>
      <c r="I782" s="2"/>
      <c r="J782" s="2"/>
      <c r="K782" s="13"/>
      <c r="L782" s="2"/>
      <c r="M782" s="2"/>
      <c r="N782" s="2"/>
      <c r="O782" s="2"/>
      <c r="P782" s="2"/>
      <c r="Q782" s="2"/>
      <c r="R782" s="2"/>
      <c r="S782" s="2"/>
    </row>
    <row r="783" spans="1:19" s="1" customFormat="1" ht="12" customHeight="1" outlineLevel="4">
      <c r="A783" s="64" t="s">
        <v>2427</v>
      </c>
      <c r="B783" s="64"/>
      <c r="C783" s="64"/>
      <c r="D783" s="64"/>
      <c r="E783" s="64"/>
      <c r="F783" s="64"/>
      <c r="G783" s="8"/>
      <c r="H783" s="12"/>
      <c r="I783" s="2"/>
      <c r="J783" s="2"/>
      <c r="K783" s="13"/>
      <c r="L783" s="2"/>
      <c r="M783" s="2"/>
      <c r="N783" s="2"/>
      <c r="O783" s="2"/>
      <c r="P783" s="2"/>
      <c r="Q783" s="2"/>
      <c r="R783" s="2"/>
      <c r="S783" s="2"/>
    </row>
    <row r="784" spans="1:19" s="1" customFormat="1" ht="12" customHeight="1" outlineLevel="5">
      <c r="A784" s="64" t="s">
        <v>2428</v>
      </c>
      <c r="B784" s="64"/>
      <c r="C784" s="64"/>
      <c r="D784" s="64"/>
      <c r="E784" s="64"/>
      <c r="F784" s="64"/>
      <c r="G784" s="8"/>
      <c r="H784" s="12"/>
      <c r="I784" s="2"/>
      <c r="J784" s="2"/>
      <c r="K784" s="13"/>
      <c r="L784" s="2"/>
      <c r="M784" s="2"/>
      <c r="N784" s="2"/>
      <c r="O784" s="2"/>
      <c r="P784" s="2"/>
      <c r="Q784" s="2"/>
      <c r="R784" s="2"/>
      <c r="S784" s="2"/>
    </row>
    <row r="785" spans="1:19" s="2" customFormat="1" ht="96.2" customHeight="1" outlineLevel="6">
      <c r="A785" s="25">
        <v>566</v>
      </c>
      <c r="B785" s="26" t="s">
        <v>2429</v>
      </c>
      <c r="C785" s="66" t="s">
        <v>2430</v>
      </c>
      <c r="D785" s="66"/>
      <c r="E785" s="66"/>
      <c r="F785" s="66"/>
      <c r="G785" s="27" t="s">
        <v>2431</v>
      </c>
      <c r="H785" s="33">
        <v>12</v>
      </c>
      <c r="I785" s="29"/>
      <c r="J785" s="25">
        <v>1</v>
      </c>
      <c r="K785" s="30">
        <v>872.33</v>
      </c>
      <c r="L785" s="17"/>
      <c r="M785" s="29">
        <f t="shared" ref="M785:M797" si="42">K785*L785</f>
        <v>0</v>
      </c>
      <c r="N785" s="31">
        <f>0.288*L785</f>
        <v>0</v>
      </c>
      <c r="O785" s="32">
        <f>0.00233*L785</f>
        <v>0</v>
      </c>
      <c r="P785" s="36"/>
      <c r="Q785" s="29" t="s">
        <v>2432</v>
      </c>
      <c r="R785" s="29" t="s">
        <v>611</v>
      </c>
      <c r="S785" s="26" t="str">
        <f>HYPERLINK("https://miland.ru/api/getInfo/image/cf03025b-d8bd-11ef-a273-00155d82e908")</f>
        <v>https://miland.ru/api/getInfo/image/cf03025b-d8bd-11ef-a273-00155d82e908</v>
      </c>
    </row>
    <row r="786" spans="1:19" s="2" customFormat="1" ht="96.2" customHeight="1" outlineLevel="6">
      <c r="A786" s="25">
        <v>567</v>
      </c>
      <c r="B786" s="26" t="s">
        <v>2433</v>
      </c>
      <c r="C786" s="66" t="s">
        <v>2434</v>
      </c>
      <c r="D786" s="66"/>
      <c r="E786" s="66"/>
      <c r="F786" s="66"/>
      <c r="G786" s="27" t="s">
        <v>2435</v>
      </c>
      <c r="H786" s="33">
        <v>168</v>
      </c>
      <c r="I786" s="29"/>
      <c r="J786" s="25">
        <v>1</v>
      </c>
      <c r="K786" s="37">
        <v>1755.58</v>
      </c>
      <c r="L786" s="17"/>
      <c r="M786" s="29">
        <f t="shared" si="42"/>
        <v>0</v>
      </c>
      <c r="N786" s="31">
        <f>0.171*L786</f>
        <v>0</v>
      </c>
      <c r="O786" s="32">
        <f>0.00139*L786</f>
        <v>0</v>
      </c>
      <c r="P786" s="36"/>
      <c r="Q786" s="29" t="s">
        <v>2436</v>
      </c>
      <c r="R786" s="29"/>
      <c r="S786" s="26" t="str">
        <f>HYPERLINK("https://miland.ru/api/getInfo/image/e4395854-d8be-11ef-a273-00155d82e908")</f>
        <v>https://miland.ru/api/getInfo/image/e4395854-d8be-11ef-a273-00155d82e908</v>
      </c>
    </row>
    <row r="787" spans="1:19" s="2" customFormat="1" ht="96.2" customHeight="1" outlineLevel="6">
      <c r="A787" s="25">
        <v>568</v>
      </c>
      <c r="B787" s="26" t="s">
        <v>2437</v>
      </c>
      <c r="C787" s="66" t="s">
        <v>2438</v>
      </c>
      <c r="D787" s="66"/>
      <c r="E787" s="66"/>
      <c r="F787" s="66"/>
      <c r="G787" s="27" t="s">
        <v>2439</v>
      </c>
      <c r="H787" s="33">
        <v>211</v>
      </c>
      <c r="I787" s="29"/>
      <c r="J787" s="25">
        <v>1</v>
      </c>
      <c r="K787" s="37">
        <v>1645.72</v>
      </c>
      <c r="L787" s="17"/>
      <c r="M787" s="29">
        <f t="shared" si="42"/>
        <v>0</v>
      </c>
      <c r="N787" s="31">
        <f>0.126*L787</f>
        <v>0</v>
      </c>
      <c r="O787" s="32">
        <f>0.00094*L787</f>
        <v>0</v>
      </c>
      <c r="P787" s="36"/>
      <c r="Q787" s="29" t="s">
        <v>2440</v>
      </c>
      <c r="R787" s="29" t="s">
        <v>611</v>
      </c>
      <c r="S787" s="26" t="str">
        <f>HYPERLINK("https://miland.ru/api/getInfo/image/0289b641-d8bf-11ef-a273-00155d82e908")</f>
        <v>https://miland.ru/api/getInfo/image/0289b641-d8bf-11ef-a273-00155d82e908</v>
      </c>
    </row>
    <row r="788" spans="1:19" s="2" customFormat="1" ht="96.2" customHeight="1" outlineLevel="6">
      <c r="A788" s="25">
        <v>569</v>
      </c>
      <c r="B788" s="26" t="s">
        <v>2441</v>
      </c>
      <c r="C788" s="66" t="s">
        <v>2442</v>
      </c>
      <c r="D788" s="66"/>
      <c r="E788" s="66"/>
      <c r="F788" s="66"/>
      <c r="G788" s="27" t="s">
        <v>2443</v>
      </c>
      <c r="H788" s="33">
        <v>155</v>
      </c>
      <c r="I788" s="29"/>
      <c r="J788" s="25">
        <v>1</v>
      </c>
      <c r="K788" s="37">
        <v>1903.51</v>
      </c>
      <c r="L788" s="17"/>
      <c r="M788" s="29">
        <f t="shared" si="42"/>
        <v>0</v>
      </c>
      <c r="N788" s="34">
        <f>0.18*L788</f>
        <v>0</v>
      </c>
      <c r="O788" s="32">
        <f>0.00211*L788</f>
        <v>0</v>
      </c>
      <c r="P788" s="36"/>
      <c r="Q788" s="29" t="s">
        <v>2444</v>
      </c>
      <c r="R788" s="29" t="s">
        <v>611</v>
      </c>
      <c r="S788" s="26" t="str">
        <f>HYPERLINK("https://miland.ru/api/getInfo/image/d2f0b9bc-d8be-11ef-a273-00155d82e908")</f>
        <v>https://miland.ru/api/getInfo/image/d2f0b9bc-d8be-11ef-a273-00155d82e908</v>
      </c>
    </row>
    <row r="789" spans="1:19" s="2" customFormat="1" ht="96.2" customHeight="1" outlineLevel="6">
      <c r="A789" s="9">
        <v>570</v>
      </c>
      <c r="B789" s="10" t="s">
        <v>2445</v>
      </c>
      <c r="C789" s="65" t="s">
        <v>2446</v>
      </c>
      <c r="D789" s="65"/>
      <c r="E789" s="65"/>
      <c r="F789" s="65"/>
      <c r="G789" s="11" t="s">
        <v>2447</v>
      </c>
      <c r="H789" s="14">
        <v>248</v>
      </c>
      <c r="I789" s="15"/>
      <c r="J789" s="9">
        <v>1</v>
      </c>
      <c r="K789" s="22">
        <v>1360.18</v>
      </c>
      <c r="L789" s="17"/>
      <c r="M789" s="15">
        <f t="shared" si="42"/>
        <v>0</v>
      </c>
      <c r="N789" s="18">
        <f>0.148*L789</f>
        <v>0</v>
      </c>
      <c r="O789" s="19">
        <f>0.00122*L789</f>
        <v>0</v>
      </c>
      <c r="P789" s="24" t="s">
        <v>26</v>
      </c>
      <c r="Q789" s="15" t="s">
        <v>2448</v>
      </c>
      <c r="R789" s="15"/>
      <c r="S789" s="10" t="str">
        <f>HYPERLINK("https://miland.ru/api/getInfo/image/7fbbfbbc-33d6-11f1-a292-00155d82e908")</f>
        <v>https://miland.ru/api/getInfo/image/7fbbfbbc-33d6-11f1-a292-00155d82e908</v>
      </c>
    </row>
    <row r="790" spans="1:19" s="2" customFormat="1" ht="96.2" customHeight="1" outlineLevel="6">
      <c r="A790" s="9">
        <v>571</v>
      </c>
      <c r="B790" s="10" t="s">
        <v>2449</v>
      </c>
      <c r="C790" s="65" t="s">
        <v>2450</v>
      </c>
      <c r="D790" s="65"/>
      <c r="E790" s="65"/>
      <c r="F790" s="65"/>
      <c r="G790" s="11" t="s">
        <v>2451</v>
      </c>
      <c r="H790" s="14">
        <v>276</v>
      </c>
      <c r="I790" s="15"/>
      <c r="J790" s="9">
        <v>1</v>
      </c>
      <c r="K790" s="22">
        <v>1372.11</v>
      </c>
      <c r="L790" s="17"/>
      <c r="M790" s="15">
        <f t="shared" si="42"/>
        <v>0</v>
      </c>
      <c r="N790" s="18">
        <f>0.191*L790</f>
        <v>0</v>
      </c>
      <c r="O790" s="19">
        <f>0.00249*L790</f>
        <v>0</v>
      </c>
      <c r="P790" s="24" t="s">
        <v>26</v>
      </c>
      <c r="Q790" s="15" t="s">
        <v>2452</v>
      </c>
      <c r="R790" s="15"/>
      <c r="S790" s="10" t="str">
        <f>HYPERLINK("https://miland.ru/api/getInfo/image/baa0fb67-33d6-11f1-a292-00155d82e908")</f>
        <v>https://miland.ru/api/getInfo/image/baa0fb67-33d6-11f1-a292-00155d82e908</v>
      </c>
    </row>
    <row r="791" spans="1:19" s="2" customFormat="1" ht="96.2" customHeight="1" outlineLevel="6">
      <c r="A791" s="9">
        <v>572</v>
      </c>
      <c r="B791" s="10" t="s">
        <v>2453</v>
      </c>
      <c r="C791" s="65" t="s">
        <v>2454</v>
      </c>
      <c r="D791" s="65"/>
      <c r="E791" s="65"/>
      <c r="F791" s="65"/>
      <c r="G791" s="11" t="s">
        <v>2455</v>
      </c>
      <c r="H791" s="14">
        <v>124</v>
      </c>
      <c r="I791" s="15"/>
      <c r="J791" s="9">
        <v>1</v>
      </c>
      <c r="K791" s="22">
        <v>1336.32</v>
      </c>
      <c r="L791" s="17"/>
      <c r="M791" s="15">
        <f t="shared" si="42"/>
        <v>0</v>
      </c>
      <c r="N791" s="18">
        <f>0.191*L791</f>
        <v>0</v>
      </c>
      <c r="O791" s="19">
        <f>0.00246*L791</f>
        <v>0</v>
      </c>
      <c r="P791" s="24" t="s">
        <v>26</v>
      </c>
      <c r="Q791" s="15" t="s">
        <v>2456</v>
      </c>
      <c r="R791" s="15"/>
      <c r="S791" s="10" t="str">
        <f>HYPERLINK("https://miland.ru/api/getInfo/image/900d687d-33d6-11f1-a292-00155d82e908")</f>
        <v>https://miland.ru/api/getInfo/image/900d687d-33d6-11f1-a292-00155d82e908</v>
      </c>
    </row>
    <row r="792" spans="1:19" s="2" customFormat="1" ht="96.2" customHeight="1" outlineLevel="6">
      <c r="A792" s="25">
        <v>573</v>
      </c>
      <c r="B792" s="26" t="s">
        <v>2457</v>
      </c>
      <c r="C792" s="66" t="s">
        <v>2458</v>
      </c>
      <c r="D792" s="66"/>
      <c r="E792" s="66"/>
      <c r="F792" s="66"/>
      <c r="G792" s="27" t="s">
        <v>2459</v>
      </c>
      <c r="H792" s="33">
        <v>354</v>
      </c>
      <c r="I792" s="29"/>
      <c r="J792" s="25">
        <v>1</v>
      </c>
      <c r="K792" s="37">
        <v>2058.19</v>
      </c>
      <c r="L792" s="17"/>
      <c r="M792" s="29">
        <f t="shared" si="42"/>
        <v>0</v>
      </c>
      <c r="N792" s="31">
        <f>0.253*L792</f>
        <v>0</v>
      </c>
      <c r="O792" s="32">
        <f>0.00227*L792</f>
        <v>0</v>
      </c>
      <c r="P792" s="36"/>
      <c r="Q792" s="29" t="s">
        <v>2460</v>
      </c>
      <c r="R792" s="29" t="s">
        <v>611</v>
      </c>
      <c r="S792" s="26" t="str">
        <f>HYPERLINK("https://miland.ru/api/getInfo/image/b5d1b082-d8bd-11ef-a273-00155d82e908")</f>
        <v>https://miland.ru/api/getInfo/image/b5d1b082-d8bd-11ef-a273-00155d82e908</v>
      </c>
    </row>
    <row r="793" spans="1:19" s="2" customFormat="1" ht="96.2" customHeight="1" outlineLevel="6">
      <c r="A793" s="25">
        <v>574</v>
      </c>
      <c r="B793" s="26" t="s">
        <v>2461</v>
      </c>
      <c r="C793" s="66" t="s">
        <v>2462</v>
      </c>
      <c r="D793" s="66"/>
      <c r="E793" s="66"/>
      <c r="F793" s="66"/>
      <c r="G793" s="27" t="s">
        <v>2463</v>
      </c>
      <c r="H793" s="33">
        <v>20</v>
      </c>
      <c r="I793" s="29"/>
      <c r="J793" s="25">
        <v>1</v>
      </c>
      <c r="K793" s="37">
        <v>1846.55</v>
      </c>
      <c r="L793" s="17"/>
      <c r="M793" s="29">
        <f t="shared" si="42"/>
        <v>0</v>
      </c>
      <c r="N793" s="31">
        <f>0.345*L793</f>
        <v>0</v>
      </c>
      <c r="O793" s="35">
        <f>0.0023*L793</f>
        <v>0</v>
      </c>
      <c r="P793" s="36"/>
      <c r="Q793" s="29" t="s">
        <v>2464</v>
      </c>
      <c r="R793" s="29"/>
      <c r="S793" s="26" t="str">
        <f>HYPERLINK("https://miland.ru/api/getInfo/image/876d7041-d8b8-11ef-a273-00155d82e908")</f>
        <v>https://miland.ru/api/getInfo/image/876d7041-d8b8-11ef-a273-00155d82e908</v>
      </c>
    </row>
    <row r="794" spans="1:19" s="2" customFormat="1" ht="96.2" customHeight="1" outlineLevel="6">
      <c r="A794" s="9">
        <v>575</v>
      </c>
      <c r="B794" s="10" t="s">
        <v>2465</v>
      </c>
      <c r="C794" s="65" t="s">
        <v>2466</v>
      </c>
      <c r="D794" s="65"/>
      <c r="E794" s="65"/>
      <c r="F794" s="65"/>
      <c r="G794" s="11" t="s">
        <v>2467</v>
      </c>
      <c r="H794" s="14">
        <v>324</v>
      </c>
      <c r="I794" s="15"/>
      <c r="J794" s="9">
        <v>1</v>
      </c>
      <c r="K794" s="22">
        <v>1721.04</v>
      </c>
      <c r="L794" s="17"/>
      <c r="M794" s="15">
        <f t="shared" si="42"/>
        <v>0</v>
      </c>
      <c r="N794" s="18">
        <f>0.294*L794</f>
        <v>0</v>
      </c>
      <c r="O794" s="19">
        <f>0.00224*L794</f>
        <v>0</v>
      </c>
      <c r="P794" s="24" t="s">
        <v>26</v>
      </c>
      <c r="Q794" s="15" t="s">
        <v>2468</v>
      </c>
      <c r="R794" s="15"/>
      <c r="S794" s="10" t="str">
        <f>HYPERLINK("https://miland.ru/api/getInfo/image/343119e9-3350-11f1-a292-00155d82e908")</f>
        <v>https://miland.ru/api/getInfo/image/343119e9-3350-11f1-a292-00155d82e908</v>
      </c>
    </row>
    <row r="795" spans="1:19" s="2" customFormat="1" ht="96.2" customHeight="1" outlineLevel="6">
      <c r="A795" s="25">
        <v>576</v>
      </c>
      <c r="B795" s="26" t="s">
        <v>2469</v>
      </c>
      <c r="C795" s="66" t="s">
        <v>2470</v>
      </c>
      <c r="D795" s="66"/>
      <c r="E795" s="66"/>
      <c r="F795" s="66"/>
      <c r="G795" s="27" t="s">
        <v>2471</v>
      </c>
      <c r="H795" s="33">
        <v>227</v>
      </c>
      <c r="I795" s="29"/>
      <c r="J795" s="25">
        <v>1</v>
      </c>
      <c r="K795" s="37">
        <v>1790.13</v>
      </c>
      <c r="L795" s="17"/>
      <c r="M795" s="29">
        <f t="shared" si="42"/>
        <v>0</v>
      </c>
      <c r="N795" s="31">
        <f>0.285*L795</f>
        <v>0</v>
      </c>
      <c r="O795" s="32">
        <f>0.00261*L795</f>
        <v>0</v>
      </c>
      <c r="P795" s="36"/>
      <c r="Q795" s="29" t="s">
        <v>2472</v>
      </c>
      <c r="R795" s="29"/>
      <c r="S795" s="26" t="str">
        <f>HYPERLINK("https://miland.ru/api/getInfo/image/bb7862cc-d8be-11ef-a273-00155d82e908")</f>
        <v>https://miland.ru/api/getInfo/image/bb7862cc-d8be-11ef-a273-00155d82e908</v>
      </c>
    </row>
    <row r="796" spans="1:19" s="2" customFormat="1" ht="96.2" customHeight="1" outlineLevel="6">
      <c r="A796" s="25">
        <v>577</v>
      </c>
      <c r="B796" s="26" t="s">
        <v>2473</v>
      </c>
      <c r="C796" s="66" t="s">
        <v>2474</v>
      </c>
      <c r="D796" s="66"/>
      <c r="E796" s="66"/>
      <c r="F796" s="66"/>
      <c r="G796" s="27" t="s">
        <v>2475</v>
      </c>
      <c r="H796" s="33">
        <v>21</v>
      </c>
      <c r="I796" s="29"/>
      <c r="J796" s="25">
        <v>1</v>
      </c>
      <c r="K796" s="37">
        <v>1737.11</v>
      </c>
      <c r="L796" s="17"/>
      <c r="M796" s="29">
        <f t="shared" si="42"/>
        <v>0</v>
      </c>
      <c r="N796" s="31">
        <f>0.287*L796</f>
        <v>0</v>
      </c>
      <c r="O796" s="32">
        <f>0.00228*L796</f>
        <v>0</v>
      </c>
      <c r="P796" s="36"/>
      <c r="Q796" s="29" t="s">
        <v>2476</v>
      </c>
      <c r="R796" s="29" t="s">
        <v>611</v>
      </c>
      <c r="S796" s="26" t="str">
        <f>HYPERLINK("https://miland.ru/api/getInfo/image/eee3f0ab-d8be-11ef-a273-00155d82e908")</f>
        <v>https://miland.ru/api/getInfo/image/eee3f0ab-d8be-11ef-a273-00155d82e908</v>
      </c>
    </row>
    <row r="797" spans="1:19" s="2" customFormat="1" ht="96.2" customHeight="1" outlineLevel="6">
      <c r="A797" s="9">
        <v>578</v>
      </c>
      <c r="B797" s="10" t="s">
        <v>2477</v>
      </c>
      <c r="C797" s="65" t="s">
        <v>2478</v>
      </c>
      <c r="D797" s="65"/>
      <c r="E797" s="65"/>
      <c r="F797" s="65"/>
      <c r="G797" s="11" t="s">
        <v>2479</v>
      </c>
      <c r="H797" s="14">
        <v>99</v>
      </c>
      <c r="I797" s="15"/>
      <c r="J797" s="9">
        <v>1</v>
      </c>
      <c r="K797" s="22">
        <v>1574.95</v>
      </c>
      <c r="L797" s="17"/>
      <c r="M797" s="15">
        <f t="shared" si="42"/>
        <v>0</v>
      </c>
      <c r="N797" s="18">
        <f>0.278*L797</f>
        <v>0</v>
      </c>
      <c r="O797" s="19">
        <f>0.00312*L797</f>
        <v>0</v>
      </c>
      <c r="P797" s="24" t="s">
        <v>26</v>
      </c>
      <c r="Q797" s="15" t="s">
        <v>2480</v>
      </c>
      <c r="R797" s="15"/>
      <c r="S797" s="10" t="str">
        <f>HYPERLINK("https://miland.ru/api/getInfo/image/ca40cbc8-33d6-11f1-a292-00155d82e908")</f>
        <v>https://miland.ru/api/getInfo/image/ca40cbc8-33d6-11f1-a292-00155d82e908</v>
      </c>
    </row>
    <row r="798" spans="1:19" s="1" customFormat="1" ht="12" customHeight="1" outlineLevel="5">
      <c r="A798" s="64" t="s">
        <v>2481</v>
      </c>
      <c r="B798" s="64"/>
      <c r="C798" s="64"/>
      <c r="D798" s="64"/>
      <c r="E798" s="64"/>
      <c r="F798" s="64"/>
      <c r="G798" s="8"/>
      <c r="H798" s="12"/>
      <c r="I798" s="2"/>
      <c r="J798" s="2"/>
      <c r="K798" s="13"/>
      <c r="L798" s="2"/>
      <c r="M798" s="2"/>
      <c r="N798" s="2"/>
      <c r="O798" s="2"/>
      <c r="P798" s="2"/>
      <c r="Q798" s="2"/>
      <c r="R798" s="2"/>
      <c r="S798" s="2"/>
    </row>
    <row r="799" spans="1:19" s="1" customFormat="1" ht="12" customHeight="1" outlineLevel="6">
      <c r="A799" s="64" t="s">
        <v>2482</v>
      </c>
      <c r="B799" s="64"/>
      <c r="C799" s="64"/>
      <c r="D799" s="64"/>
      <c r="E799" s="64"/>
      <c r="F799" s="64"/>
      <c r="G799" s="8"/>
      <c r="H799" s="12"/>
      <c r="I799" s="2"/>
      <c r="J799" s="2"/>
      <c r="K799" s="13"/>
      <c r="L799" s="2"/>
      <c r="M799" s="2"/>
      <c r="N799" s="2"/>
      <c r="O799" s="2"/>
      <c r="P799" s="2"/>
      <c r="Q799" s="2"/>
      <c r="R799" s="2"/>
      <c r="S799" s="2"/>
    </row>
    <row r="800" spans="1:19" s="2" customFormat="1" ht="96.2" customHeight="1" outlineLevel="7">
      <c r="A800" s="9">
        <v>579</v>
      </c>
      <c r="B800" s="10" t="s">
        <v>2483</v>
      </c>
      <c r="C800" s="65" t="s">
        <v>2484</v>
      </c>
      <c r="D800" s="65"/>
      <c r="E800" s="65"/>
      <c r="F800" s="65"/>
      <c r="G800" s="11" t="s">
        <v>2485</v>
      </c>
      <c r="H800" s="14">
        <v>437</v>
      </c>
      <c r="I800" s="15"/>
      <c r="J800" s="9">
        <v>1</v>
      </c>
      <c r="K800" s="16">
        <v>412.53</v>
      </c>
      <c r="L800" s="17"/>
      <c r="M800" s="15">
        <f t="shared" ref="M800:M805" si="43">K800*L800</f>
        <v>0</v>
      </c>
      <c r="N800" s="23">
        <f>0.04*L800</f>
        <v>0</v>
      </c>
      <c r="O800" s="19">
        <f>0.00029*L800</f>
        <v>0</v>
      </c>
      <c r="P800" s="24" t="s">
        <v>26</v>
      </c>
      <c r="Q800" s="15" t="s">
        <v>2486</v>
      </c>
      <c r="R800" s="15"/>
      <c r="S800" s="10" t="str">
        <f>HYPERLINK("https://miland.ru/api/getInfo/image/8328617a-08d6-11f1-a28f-00155d82e908")</f>
        <v>https://miland.ru/api/getInfo/image/8328617a-08d6-11f1-a28f-00155d82e908</v>
      </c>
    </row>
    <row r="801" spans="1:19" s="2" customFormat="1" ht="96.2" customHeight="1" outlineLevel="7">
      <c r="A801" s="9">
        <v>580</v>
      </c>
      <c r="B801" s="10" t="s">
        <v>2487</v>
      </c>
      <c r="C801" s="65" t="s">
        <v>2488</v>
      </c>
      <c r="D801" s="65"/>
      <c r="E801" s="65"/>
      <c r="F801" s="65"/>
      <c r="G801" s="11" t="s">
        <v>2489</v>
      </c>
      <c r="H801" s="14">
        <v>429</v>
      </c>
      <c r="I801" s="15"/>
      <c r="J801" s="9">
        <v>1</v>
      </c>
      <c r="K801" s="16">
        <v>412.53</v>
      </c>
      <c r="L801" s="17"/>
      <c r="M801" s="15">
        <f t="shared" si="43"/>
        <v>0</v>
      </c>
      <c r="N801" s="18">
        <f>0.092*L801</f>
        <v>0</v>
      </c>
      <c r="O801" s="19">
        <f>0.00044*L801</f>
        <v>0</v>
      </c>
      <c r="P801" s="24" t="s">
        <v>26</v>
      </c>
      <c r="Q801" s="15" t="s">
        <v>2490</v>
      </c>
      <c r="R801" s="15"/>
      <c r="S801" s="10" t="str">
        <f>HYPERLINK("https://miland.ru/api/getInfo/image/5a75fc4e-08d6-11f1-a28f-00155d82e908")</f>
        <v>https://miland.ru/api/getInfo/image/5a75fc4e-08d6-11f1-a28f-00155d82e908</v>
      </c>
    </row>
    <row r="802" spans="1:19" s="2" customFormat="1" ht="96.2" customHeight="1" outlineLevel="7">
      <c r="A802" s="9">
        <v>581</v>
      </c>
      <c r="B802" s="10" t="s">
        <v>2491</v>
      </c>
      <c r="C802" s="65" t="s">
        <v>2492</v>
      </c>
      <c r="D802" s="65"/>
      <c r="E802" s="65"/>
      <c r="F802" s="65"/>
      <c r="G802" s="11" t="s">
        <v>2493</v>
      </c>
      <c r="H802" s="14">
        <v>296</v>
      </c>
      <c r="I802" s="15"/>
      <c r="J802" s="9">
        <v>1</v>
      </c>
      <c r="K802" s="16">
        <v>412.53</v>
      </c>
      <c r="L802" s="17"/>
      <c r="M802" s="15">
        <f t="shared" si="43"/>
        <v>0</v>
      </c>
      <c r="N802" s="23">
        <f>0.05*L802</f>
        <v>0</v>
      </c>
      <c r="O802" s="19">
        <f>0.00035*L802</f>
        <v>0</v>
      </c>
      <c r="P802" s="24" t="s">
        <v>26</v>
      </c>
      <c r="Q802" s="15" t="s">
        <v>2494</v>
      </c>
      <c r="R802" s="15"/>
      <c r="S802" s="10" t="str">
        <f>HYPERLINK("https://miland.ru/api/getInfo/image/3ec66f82-08d6-11f1-a28f-00155d82e908")</f>
        <v>https://miland.ru/api/getInfo/image/3ec66f82-08d6-11f1-a28f-00155d82e908</v>
      </c>
    </row>
    <row r="803" spans="1:19" s="2" customFormat="1" ht="96.2" customHeight="1" outlineLevel="7">
      <c r="A803" s="25">
        <v>582</v>
      </c>
      <c r="B803" s="26" t="s">
        <v>2495</v>
      </c>
      <c r="C803" s="66" t="s">
        <v>2496</v>
      </c>
      <c r="D803" s="66"/>
      <c r="E803" s="66"/>
      <c r="F803" s="66"/>
      <c r="G803" s="27" t="s">
        <v>2497</v>
      </c>
      <c r="H803" s="33">
        <v>2</v>
      </c>
      <c r="I803" s="29"/>
      <c r="J803" s="25">
        <v>2</v>
      </c>
      <c r="K803" s="30">
        <v>308.67</v>
      </c>
      <c r="L803" s="17"/>
      <c r="M803" s="29">
        <f t="shared" si="43"/>
        <v>0</v>
      </c>
      <c r="N803" s="31">
        <f>0.041*L803</f>
        <v>0</v>
      </c>
      <c r="O803" s="32">
        <f>0.00014*L803</f>
        <v>0</v>
      </c>
      <c r="P803" s="36"/>
      <c r="Q803" s="29" t="s">
        <v>2498</v>
      </c>
      <c r="R803" s="29" t="s">
        <v>611</v>
      </c>
      <c r="S803" s="26" t="str">
        <f>HYPERLINK("https://miland.ru/api/getInfo/image/e4331109-7ab9-11ed-a22a-00155d82e902")</f>
        <v>https://miland.ru/api/getInfo/image/e4331109-7ab9-11ed-a22a-00155d82e902</v>
      </c>
    </row>
    <row r="804" spans="1:19" s="2" customFormat="1" ht="96.2" customHeight="1" outlineLevel="7">
      <c r="A804" s="25">
        <v>583</v>
      </c>
      <c r="B804" s="26" t="s">
        <v>2499</v>
      </c>
      <c r="C804" s="66" t="s">
        <v>2500</v>
      </c>
      <c r="D804" s="66"/>
      <c r="E804" s="66"/>
      <c r="F804" s="66"/>
      <c r="G804" s="27" t="s">
        <v>2501</v>
      </c>
      <c r="H804" s="33">
        <v>7</v>
      </c>
      <c r="I804" s="29"/>
      <c r="J804" s="25">
        <v>3</v>
      </c>
      <c r="K804" s="30">
        <v>229.65</v>
      </c>
      <c r="L804" s="17"/>
      <c r="M804" s="29">
        <f t="shared" si="43"/>
        <v>0</v>
      </c>
      <c r="N804" s="31">
        <f>0.055*L804</f>
        <v>0</v>
      </c>
      <c r="O804" s="32">
        <f>0.00026*L804</f>
        <v>0</v>
      </c>
      <c r="P804" s="36"/>
      <c r="Q804" s="29" t="s">
        <v>2502</v>
      </c>
      <c r="R804" s="29" t="s">
        <v>611</v>
      </c>
      <c r="S804" s="26" t="str">
        <f>HYPERLINK("https://miland.ru/api/getInfo/image/a0afe3bf-7ab9-11ed-a22a-00155d82e902")</f>
        <v>https://miland.ru/api/getInfo/image/a0afe3bf-7ab9-11ed-a22a-00155d82e902</v>
      </c>
    </row>
    <row r="805" spans="1:19" s="2" customFormat="1" ht="96.2" customHeight="1" outlineLevel="7">
      <c r="A805" s="25">
        <v>584</v>
      </c>
      <c r="B805" s="26" t="s">
        <v>2503</v>
      </c>
      <c r="C805" s="66" t="s">
        <v>2504</v>
      </c>
      <c r="D805" s="66"/>
      <c r="E805" s="66"/>
      <c r="F805" s="66"/>
      <c r="G805" s="27" t="s">
        <v>2505</v>
      </c>
      <c r="H805" s="28" t="s">
        <v>44</v>
      </c>
      <c r="I805" s="29"/>
      <c r="J805" s="25">
        <v>1</v>
      </c>
      <c r="K805" s="30">
        <v>304.98</v>
      </c>
      <c r="L805" s="17"/>
      <c r="M805" s="29">
        <f t="shared" si="43"/>
        <v>0</v>
      </c>
      <c r="N805" s="31">
        <f>0.028*L805</f>
        <v>0</v>
      </c>
      <c r="O805" s="32">
        <f>0.00024*L805</f>
        <v>0</v>
      </c>
      <c r="P805" s="36"/>
      <c r="Q805" s="29" t="s">
        <v>2506</v>
      </c>
      <c r="R805" s="29"/>
      <c r="S805" s="26" t="str">
        <f>HYPERLINK("https://miland.ru/api/getInfo/image/5c8f6ef6-7ab9-11ed-a22a-00155d82e902")</f>
        <v>https://miland.ru/api/getInfo/image/5c8f6ef6-7ab9-11ed-a22a-00155d82e902</v>
      </c>
    </row>
    <row r="806" spans="1:19" s="1" customFormat="1" ht="12" customHeight="1" outlineLevel="6">
      <c r="A806" s="64" t="s">
        <v>2507</v>
      </c>
      <c r="B806" s="64"/>
      <c r="C806" s="64"/>
      <c r="D806" s="64"/>
      <c r="E806" s="64"/>
      <c r="F806" s="64"/>
      <c r="G806" s="8"/>
      <c r="H806" s="12"/>
      <c r="I806" s="2"/>
      <c r="J806" s="2"/>
      <c r="K806" s="13"/>
      <c r="L806" s="2"/>
      <c r="M806" s="2"/>
      <c r="N806" s="2"/>
      <c r="O806" s="2"/>
      <c r="P806" s="2"/>
      <c r="Q806" s="2"/>
      <c r="R806" s="2"/>
      <c r="S806" s="2"/>
    </row>
    <row r="807" spans="1:19" s="2" customFormat="1" ht="96.2" customHeight="1" outlineLevel="7">
      <c r="A807" s="9">
        <v>585</v>
      </c>
      <c r="B807" s="10" t="s">
        <v>2508</v>
      </c>
      <c r="C807" s="65" t="s">
        <v>2509</v>
      </c>
      <c r="D807" s="65"/>
      <c r="E807" s="65"/>
      <c r="F807" s="65"/>
      <c r="G807" s="11" t="s">
        <v>2510</v>
      </c>
      <c r="H807" s="21" t="s">
        <v>44</v>
      </c>
      <c r="I807" s="15"/>
      <c r="J807" s="9">
        <v>2</v>
      </c>
      <c r="K807" s="16">
        <v>368.64</v>
      </c>
      <c r="L807" s="17"/>
      <c r="M807" s="15">
        <f>K807*L807</f>
        <v>0</v>
      </c>
      <c r="N807" s="18">
        <f>0.053*L807</f>
        <v>0</v>
      </c>
      <c r="O807" s="19">
        <f>0.00044*L807</f>
        <v>0</v>
      </c>
      <c r="P807" s="24" t="s">
        <v>26</v>
      </c>
      <c r="Q807" s="15" t="s">
        <v>2511</v>
      </c>
      <c r="R807" s="15"/>
      <c r="S807" s="10" t="str">
        <f>HYPERLINK("https://miland.ru/api/getInfo/image/fdb8e525-08ce-11f1-a28f-00155d82e908")</f>
        <v>https://miland.ru/api/getInfo/image/fdb8e525-08ce-11f1-a28f-00155d82e908</v>
      </c>
    </row>
    <row r="808" spans="1:19" s="2" customFormat="1" ht="96.2" customHeight="1" outlineLevel="7">
      <c r="A808" s="25">
        <v>586</v>
      </c>
      <c r="B808" s="26" t="s">
        <v>2512</v>
      </c>
      <c r="C808" s="66" t="s">
        <v>2513</v>
      </c>
      <c r="D808" s="66"/>
      <c r="E808" s="66"/>
      <c r="F808" s="66"/>
      <c r="G808" s="27" t="s">
        <v>2514</v>
      </c>
      <c r="H808" s="28" t="s">
        <v>44</v>
      </c>
      <c r="I808" s="29"/>
      <c r="J808" s="25">
        <v>2</v>
      </c>
      <c r="K808" s="30">
        <v>290.06</v>
      </c>
      <c r="L808" s="17"/>
      <c r="M808" s="29">
        <f>K808*L808</f>
        <v>0</v>
      </c>
      <c r="N808" s="31">
        <f>0.197*L808</f>
        <v>0</v>
      </c>
      <c r="O808" s="32">
        <f>0.00035*L808</f>
        <v>0</v>
      </c>
      <c r="P808" s="36"/>
      <c r="Q808" s="29" t="s">
        <v>2515</v>
      </c>
      <c r="R808" s="29"/>
      <c r="S808" s="26" t="str">
        <f>HYPERLINK("https://miland.ru/api/getInfo/image/86330229-dfd6-11ef-a273-00155d82e908")</f>
        <v>https://miland.ru/api/getInfo/image/86330229-dfd6-11ef-a273-00155d82e908</v>
      </c>
    </row>
    <row r="809" spans="1:19" s="2" customFormat="1" ht="96.2" customHeight="1" outlineLevel="7">
      <c r="A809" s="25">
        <v>587</v>
      </c>
      <c r="B809" s="26" t="s">
        <v>2516</v>
      </c>
      <c r="C809" s="66" t="s">
        <v>2517</v>
      </c>
      <c r="D809" s="66"/>
      <c r="E809" s="66"/>
      <c r="F809" s="66"/>
      <c r="G809" s="27" t="s">
        <v>2518</v>
      </c>
      <c r="H809" s="28" t="s">
        <v>44</v>
      </c>
      <c r="I809" s="29"/>
      <c r="J809" s="25">
        <v>2</v>
      </c>
      <c r="K809" s="30">
        <v>290.06</v>
      </c>
      <c r="L809" s="17"/>
      <c r="M809" s="29">
        <f>K809*L809</f>
        <v>0</v>
      </c>
      <c r="N809" s="34">
        <f>0.04*L809</f>
        <v>0</v>
      </c>
      <c r="O809" s="32">
        <f>0.00028*L809</f>
        <v>0</v>
      </c>
      <c r="P809" s="36"/>
      <c r="Q809" s="29" t="s">
        <v>2519</v>
      </c>
      <c r="R809" s="29"/>
      <c r="S809" s="26" t="str">
        <f>HYPERLINK("https://miland.ru/api/getInfo/image/9ecf4018-dfd6-11ef-a273-00155d82e908")</f>
        <v>https://miland.ru/api/getInfo/image/9ecf4018-dfd6-11ef-a273-00155d82e908</v>
      </c>
    </row>
    <row r="810" spans="1:19" s="2" customFormat="1" ht="96.2" customHeight="1" outlineLevel="7">
      <c r="A810" s="25">
        <v>588</v>
      </c>
      <c r="B810" s="26" t="s">
        <v>2520</v>
      </c>
      <c r="C810" s="66" t="s">
        <v>2521</v>
      </c>
      <c r="D810" s="66"/>
      <c r="E810" s="66"/>
      <c r="F810" s="66"/>
      <c r="G810" s="27" t="s">
        <v>2522</v>
      </c>
      <c r="H810" s="28" t="s">
        <v>44</v>
      </c>
      <c r="I810" s="29"/>
      <c r="J810" s="25">
        <v>2</v>
      </c>
      <c r="K810" s="30">
        <v>290.06</v>
      </c>
      <c r="L810" s="17"/>
      <c r="M810" s="29">
        <f>K810*L810</f>
        <v>0</v>
      </c>
      <c r="N810" s="31">
        <f>0.067*L810</f>
        <v>0</v>
      </c>
      <c r="O810" s="32">
        <f>0.00038*L810</f>
        <v>0</v>
      </c>
      <c r="P810" s="36"/>
      <c r="Q810" s="29" t="s">
        <v>2523</v>
      </c>
      <c r="R810" s="29"/>
      <c r="S810" s="26" t="str">
        <f>HYPERLINK("https://miland.ru/api/getInfo/image/67b55306-dfd6-11ef-a273-00155d82e908")</f>
        <v>https://miland.ru/api/getInfo/image/67b55306-dfd6-11ef-a273-00155d82e908</v>
      </c>
    </row>
    <row r="811" spans="1:19" s="2" customFormat="1" ht="96.2" customHeight="1" outlineLevel="7">
      <c r="A811" s="25">
        <v>589</v>
      </c>
      <c r="B811" s="26" t="s">
        <v>2524</v>
      </c>
      <c r="C811" s="66" t="s">
        <v>2525</v>
      </c>
      <c r="D811" s="66"/>
      <c r="E811" s="66"/>
      <c r="F811" s="66"/>
      <c r="G811" s="27" t="s">
        <v>2526</v>
      </c>
      <c r="H811" s="33">
        <v>54</v>
      </c>
      <c r="I811" s="29"/>
      <c r="J811" s="25">
        <v>2</v>
      </c>
      <c r="K811" s="30">
        <v>290.06</v>
      </c>
      <c r="L811" s="17"/>
      <c r="M811" s="29">
        <f>K811*L811</f>
        <v>0</v>
      </c>
      <c r="N811" s="31">
        <f>0.177*L811</f>
        <v>0</v>
      </c>
      <c r="O811" s="32">
        <f>0.00038*L811</f>
        <v>0</v>
      </c>
      <c r="P811" s="36"/>
      <c r="Q811" s="29" t="s">
        <v>2527</v>
      </c>
      <c r="R811" s="29"/>
      <c r="S811" s="26" t="str">
        <f>HYPERLINK("https://miland.ru/api/getInfo/image/36b4d6e9-dfd6-11ef-a273-00155d82e908")</f>
        <v>https://miland.ru/api/getInfo/image/36b4d6e9-dfd6-11ef-a273-00155d82e908</v>
      </c>
    </row>
    <row r="812" spans="1:19" s="1" customFormat="1" ht="12" customHeight="1" outlineLevel="6">
      <c r="A812" s="64" t="s">
        <v>2528</v>
      </c>
      <c r="B812" s="64"/>
      <c r="C812" s="64"/>
      <c r="D812" s="64"/>
      <c r="E812" s="64"/>
      <c r="F812" s="64"/>
      <c r="G812" s="8"/>
      <c r="H812" s="12"/>
      <c r="I812" s="2"/>
      <c r="J812" s="2"/>
      <c r="K812" s="13"/>
      <c r="L812" s="2"/>
      <c r="M812" s="2"/>
      <c r="N812" s="2"/>
      <c r="O812" s="2"/>
      <c r="P812" s="2"/>
      <c r="Q812" s="2"/>
      <c r="R812" s="2"/>
      <c r="S812" s="2"/>
    </row>
    <row r="813" spans="1:19" s="2" customFormat="1" ht="96.2" customHeight="1" outlineLevel="7">
      <c r="A813" s="9">
        <v>590</v>
      </c>
      <c r="B813" s="10" t="s">
        <v>2529</v>
      </c>
      <c r="C813" s="65" t="s">
        <v>2530</v>
      </c>
      <c r="D813" s="65"/>
      <c r="E813" s="65"/>
      <c r="F813" s="65"/>
      <c r="G813" s="11" t="s">
        <v>2531</v>
      </c>
      <c r="H813" s="21" t="s">
        <v>44</v>
      </c>
      <c r="I813" s="15"/>
      <c r="J813" s="9">
        <v>2</v>
      </c>
      <c r="K813" s="16">
        <v>386.19</v>
      </c>
      <c r="L813" s="17"/>
      <c r="M813" s="15">
        <f>K813*L813</f>
        <v>0</v>
      </c>
      <c r="N813" s="15">
        <v>0</v>
      </c>
      <c r="O813" s="15">
        <v>0</v>
      </c>
      <c r="P813" s="24" t="s">
        <v>26</v>
      </c>
      <c r="Q813" s="15" t="s">
        <v>2532</v>
      </c>
      <c r="R813" s="15"/>
      <c r="S813" s="10" t="str">
        <f>HYPERLINK("https://miland.ru/api/getInfo/image/6a2709c4-08ce-11f1-a28f-00155d82e908")</f>
        <v>https://miland.ru/api/getInfo/image/6a2709c4-08ce-11f1-a28f-00155d82e908</v>
      </c>
    </row>
    <row r="814" spans="1:19" s="2" customFormat="1" ht="96.2" customHeight="1" outlineLevel="7">
      <c r="A814" s="9">
        <v>591</v>
      </c>
      <c r="B814" s="10" t="s">
        <v>2533</v>
      </c>
      <c r="C814" s="65" t="s">
        <v>2534</v>
      </c>
      <c r="D814" s="65"/>
      <c r="E814" s="65"/>
      <c r="F814" s="65"/>
      <c r="G814" s="11" t="s">
        <v>2535</v>
      </c>
      <c r="H814" s="14">
        <v>6</v>
      </c>
      <c r="I814" s="15"/>
      <c r="J814" s="9">
        <v>2</v>
      </c>
      <c r="K814" s="16">
        <v>368.64</v>
      </c>
      <c r="L814" s="17"/>
      <c r="M814" s="15">
        <f>K814*L814</f>
        <v>0</v>
      </c>
      <c r="N814" s="18">
        <f>0.074*L814</f>
        <v>0</v>
      </c>
      <c r="O814" s="19">
        <f>0.00029*L814</f>
        <v>0</v>
      </c>
      <c r="P814" s="24" t="s">
        <v>26</v>
      </c>
      <c r="Q814" s="15" t="s">
        <v>2536</v>
      </c>
      <c r="R814" s="15"/>
      <c r="S814" s="10" t="str">
        <f>HYPERLINK("https://miland.ru/api/getInfo/image/b0e58885-08dd-11f1-a28f-00155d82e908")</f>
        <v>https://miland.ru/api/getInfo/image/b0e58885-08dd-11f1-a28f-00155d82e908</v>
      </c>
    </row>
    <row r="815" spans="1:19" s="2" customFormat="1" ht="96.2" customHeight="1" outlineLevel="7">
      <c r="A815" s="25">
        <v>592</v>
      </c>
      <c r="B815" s="26" t="s">
        <v>2537</v>
      </c>
      <c r="C815" s="66" t="s">
        <v>2538</v>
      </c>
      <c r="D815" s="66"/>
      <c r="E815" s="66"/>
      <c r="F815" s="66"/>
      <c r="G815" s="27" t="s">
        <v>2539</v>
      </c>
      <c r="H815" s="28" t="s">
        <v>44</v>
      </c>
      <c r="I815" s="29"/>
      <c r="J815" s="25">
        <v>2</v>
      </c>
      <c r="K815" s="30">
        <v>372.34</v>
      </c>
      <c r="L815" s="17"/>
      <c r="M815" s="29">
        <f>K815*L815</f>
        <v>0</v>
      </c>
      <c r="N815" s="31">
        <f>0.056*L815</f>
        <v>0</v>
      </c>
      <c r="O815" s="32">
        <f>0.00029*L815</f>
        <v>0</v>
      </c>
      <c r="P815" s="36"/>
      <c r="Q815" s="29" t="s">
        <v>2540</v>
      </c>
      <c r="R815" s="29"/>
      <c r="S815" s="26" t="str">
        <f>HYPERLINK("https://miland.ru/api/getInfo/image/1c75e4f9-dfd6-11ef-a273-00155d82e908")</f>
        <v>https://miland.ru/api/getInfo/image/1c75e4f9-dfd6-11ef-a273-00155d82e908</v>
      </c>
    </row>
    <row r="816" spans="1:19" s="2" customFormat="1" ht="96.2" customHeight="1" outlineLevel="7">
      <c r="A816" s="25">
        <v>593</v>
      </c>
      <c r="B816" s="26" t="s">
        <v>2541</v>
      </c>
      <c r="C816" s="66" t="s">
        <v>2542</v>
      </c>
      <c r="D816" s="66"/>
      <c r="E816" s="66"/>
      <c r="F816" s="66"/>
      <c r="G816" s="27" t="s">
        <v>2543</v>
      </c>
      <c r="H816" s="28" t="s">
        <v>44</v>
      </c>
      <c r="I816" s="29"/>
      <c r="J816" s="25">
        <v>2</v>
      </c>
      <c r="K816" s="30">
        <v>372.34</v>
      </c>
      <c r="L816" s="17"/>
      <c r="M816" s="29">
        <f>K816*L816</f>
        <v>0</v>
      </c>
      <c r="N816" s="31">
        <f>0.076*L816</f>
        <v>0</v>
      </c>
      <c r="O816" s="32">
        <f>0.00036*L816</f>
        <v>0</v>
      </c>
      <c r="P816" s="36"/>
      <c r="Q816" s="29" t="s">
        <v>2544</v>
      </c>
      <c r="R816" s="29"/>
      <c r="S816" s="26" t="str">
        <f>HYPERLINK("https://miland.ru/api/getInfo/image/04179a85-dfd6-11ef-a273-00155d82e908")</f>
        <v>https://miland.ru/api/getInfo/image/04179a85-dfd6-11ef-a273-00155d82e908</v>
      </c>
    </row>
    <row r="817" spans="1:19" s="1" customFormat="1" ht="12" customHeight="1" outlineLevel="6">
      <c r="A817" s="64" t="s">
        <v>2545</v>
      </c>
      <c r="B817" s="64"/>
      <c r="C817" s="64"/>
      <c r="D817" s="64"/>
      <c r="E817" s="64"/>
      <c r="F817" s="64"/>
      <c r="G817" s="8"/>
      <c r="H817" s="12"/>
      <c r="I817" s="2"/>
      <c r="J817" s="2"/>
      <c r="K817" s="13"/>
      <c r="L817" s="2"/>
      <c r="M817" s="2"/>
      <c r="N817" s="2"/>
      <c r="O817" s="2"/>
      <c r="P817" s="2"/>
      <c r="Q817" s="2"/>
      <c r="R817" s="2"/>
      <c r="S817" s="2"/>
    </row>
    <row r="818" spans="1:19" s="2" customFormat="1" ht="96.2" customHeight="1" outlineLevel="7">
      <c r="A818" s="9">
        <v>594</v>
      </c>
      <c r="B818" s="10" t="s">
        <v>2546</v>
      </c>
      <c r="C818" s="65" t="s">
        <v>2547</v>
      </c>
      <c r="D818" s="65"/>
      <c r="E818" s="65"/>
      <c r="F818" s="65"/>
      <c r="G818" s="11" t="s">
        <v>2548</v>
      </c>
      <c r="H818" s="14">
        <v>6</v>
      </c>
      <c r="I818" s="15"/>
      <c r="J818" s="9">
        <v>2</v>
      </c>
      <c r="K818" s="16">
        <v>306.12</v>
      </c>
      <c r="L818" s="17"/>
      <c r="M818" s="15">
        <f t="shared" ref="M818:M831" si="44">K818*L818</f>
        <v>0</v>
      </c>
      <c r="N818" s="23">
        <f>0.08*L818</f>
        <v>0</v>
      </c>
      <c r="O818" s="19">
        <f>0.00035*L818</f>
        <v>0</v>
      </c>
      <c r="P818" s="24" t="s">
        <v>26</v>
      </c>
      <c r="Q818" s="15" t="s">
        <v>2549</v>
      </c>
      <c r="R818" s="15"/>
      <c r="S818" s="10" t="str">
        <f>HYPERLINK("https://miland.ru/api/getInfo/image/911a3889-08da-11f1-a28f-00155d82e908")</f>
        <v>https://miland.ru/api/getInfo/image/911a3889-08da-11f1-a28f-00155d82e908</v>
      </c>
    </row>
    <row r="819" spans="1:19" s="2" customFormat="1" ht="96.2" customHeight="1" outlineLevel="7">
      <c r="A819" s="9">
        <v>595</v>
      </c>
      <c r="B819" s="10" t="s">
        <v>2550</v>
      </c>
      <c r="C819" s="65" t="s">
        <v>2551</v>
      </c>
      <c r="D819" s="65"/>
      <c r="E819" s="65"/>
      <c r="F819" s="65"/>
      <c r="G819" s="11" t="s">
        <v>2552</v>
      </c>
      <c r="H819" s="14">
        <v>95</v>
      </c>
      <c r="I819" s="15"/>
      <c r="J819" s="9">
        <v>2</v>
      </c>
      <c r="K819" s="16">
        <v>340.11</v>
      </c>
      <c r="L819" s="17"/>
      <c r="M819" s="15">
        <f t="shared" si="44"/>
        <v>0</v>
      </c>
      <c r="N819" s="18">
        <f>0.097*L819</f>
        <v>0</v>
      </c>
      <c r="O819" s="19">
        <f>0.00032*L819</f>
        <v>0</v>
      </c>
      <c r="P819" s="24" t="s">
        <v>26</v>
      </c>
      <c r="Q819" s="15" t="s">
        <v>2553</v>
      </c>
      <c r="R819" s="15"/>
      <c r="S819" s="10" t="str">
        <f>HYPERLINK("https://miland.ru/api/getInfo/image/e67eb943-08da-11f1-a28f-00155d82e908")</f>
        <v>https://miland.ru/api/getInfo/image/e67eb943-08da-11f1-a28f-00155d82e908</v>
      </c>
    </row>
    <row r="820" spans="1:19" s="2" customFormat="1" ht="96.2" customHeight="1" outlineLevel="7">
      <c r="A820" s="9">
        <v>596</v>
      </c>
      <c r="B820" s="10" t="s">
        <v>2554</v>
      </c>
      <c r="C820" s="65" t="s">
        <v>2555</v>
      </c>
      <c r="D820" s="65"/>
      <c r="E820" s="65"/>
      <c r="F820" s="65"/>
      <c r="G820" s="11" t="s">
        <v>2556</v>
      </c>
      <c r="H820" s="14">
        <v>183</v>
      </c>
      <c r="I820" s="15"/>
      <c r="J820" s="9">
        <v>2</v>
      </c>
      <c r="K820" s="16">
        <v>306.12</v>
      </c>
      <c r="L820" s="17"/>
      <c r="M820" s="15">
        <f t="shared" si="44"/>
        <v>0</v>
      </c>
      <c r="N820" s="18">
        <f>0.051*L820</f>
        <v>0</v>
      </c>
      <c r="O820" s="19">
        <f>0.00034*L820</f>
        <v>0</v>
      </c>
      <c r="P820" s="24" t="s">
        <v>26</v>
      </c>
      <c r="Q820" s="15" t="s">
        <v>2557</v>
      </c>
      <c r="R820" s="15"/>
      <c r="S820" s="10" t="str">
        <f>HYPERLINK("https://miland.ru/api/getInfo/image/b09d1570-08da-11f1-a28f-00155d82e908")</f>
        <v>https://miland.ru/api/getInfo/image/b09d1570-08da-11f1-a28f-00155d82e908</v>
      </c>
    </row>
    <row r="821" spans="1:19" s="2" customFormat="1" ht="96.2" customHeight="1" outlineLevel="7">
      <c r="A821" s="9">
        <v>597</v>
      </c>
      <c r="B821" s="10" t="s">
        <v>2558</v>
      </c>
      <c r="C821" s="65" t="s">
        <v>2559</v>
      </c>
      <c r="D821" s="65"/>
      <c r="E821" s="65"/>
      <c r="F821" s="65"/>
      <c r="G821" s="11" t="s">
        <v>2560</v>
      </c>
      <c r="H821" s="14">
        <v>372</v>
      </c>
      <c r="I821" s="15"/>
      <c r="J821" s="9">
        <v>2</v>
      </c>
      <c r="K821" s="16">
        <v>306.12</v>
      </c>
      <c r="L821" s="17"/>
      <c r="M821" s="15">
        <f t="shared" si="44"/>
        <v>0</v>
      </c>
      <c r="N821" s="18">
        <f>0.072*L821</f>
        <v>0</v>
      </c>
      <c r="O821" s="19">
        <f>0.00039*L821</f>
        <v>0</v>
      </c>
      <c r="P821" s="24" t="s">
        <v>26</v>
      </c>
      <c r="Q821" s="15" t="s">
        <v>2561</v>
      </c>
      <c r="R821" s="15"/>
      <c r="S821" s="10" t="str">
        <f>HYPERLINK("https://miland.ru/api/getInfo/image/5db86cbc-08db-11f1-a28f-00155d82e908")</f>
        <v>https://miland.ru/api/getInfo/image/5db86cbc-08db-11f1-a28f-00155d82e908</v>
      </c>
    </row>
    <row r="822" spans="1:19" s="2" customFormat="1" ht="96.2" customHeight="1" outlineLevel="7">
      <c r="A822" s="9">
        <v>598</v>
      </c>
      <c r="B822" s="10" t="s">
        <v>2562</v>
      </c>
      <c r="C822" s="65" t="s">
        <v>2563</v>
      </c>
      <c r="D822" s="65"/>
      <c r="E822" s="65"/>
      <c r="F822" s="65"/>
      <c r="G822" s="11" t="s">
        <v>2564</v>
      </c>
      <c r="H822" s="14">
        <v>87</v>
      </c>
      <c r="I822" s="15"/>
      <c r="J822" s="9">
        <v>2</v>
      </c>
      <c r="K822" s="16">
        <v>306.12</v>
      </c>
      <c r="L822" s="17"/>
      <c r="M822" s="15">
        <f t="shared" si="44"/>
        <v>0</v>
      </c>
      <c r="N822" s="18">
        <f>0.027*L822</f>
        <v>0</v>
      </c>
      <c r="O822" s="19">
        <f>0.00026*L822</f>
        <v>0</v>
      </c>
      <c r="P822" s="24" t="s">
        <v>26</v>
      </c>
      <c r="Q822" s="15" t="s">
        <v>2565</v>
      </c>
      <c r="R822" s="15"/>
      <c r="S822" s="10" t="str">
        <f>HYPERLINK("https://miland.ru/api/getInfo/image/7a2fb704-08db-11f1-a28f-00155d82e908")</f>
        <v>https://miland.ru/api/getInfo/image/7a2fb704-08db-11f1-a28f-00155d82e908</v>
      </c>
    </row>
    <row r="823" spans="1:19" s="2" customFormat="1" ht="96.2" customHeight="1" outlineLevel="7">
      <c r="A823" s="9">
        <v>599</v>
      </c>
      <c r="B823" s="10" t="s">
        <v>2566</v>
      </c>
      <c r="C823" s="65" t="s">
        <v>2567</v>
      </c>
      <c r="D823" s="65"/>
      <c r="E823" s="65"/>
      <c r="F823" s="65"/>
      <c r="G823" s="11" t="s">
        <v>2568</v>
      </c>
      <c r="H823" s="14">
        <v>80</v>
      </c>
      <c r="I823" s="15"/>
      <c r="J823" s="9">
        <v>2</v>
      </c>
      <c r="K823" s="16">
        <v>306.12</v>
      </c>
      <c r="L823" s="17"/>
      <c r="M823" s="15">
        <f t="shared" si="44"/>
        <v>0</v>
      </c>
      <c r="N823" s="18">
        <f>0.077*L823</f>
        <v>0</v>
      </c>
      <c r="O823" s="19">
        <f>0.00028*L823</f>
        <v>0</v>
      </c>
      <c r="P823" s="24" t="s">
        <v>26</v>
      </c>
      <c r="Q823" s="15" t="s">
        <v>2569</v>
      </c>
      <c r="R823" s="15"/>
      <c r="S823" s="10" t="str">
        <f>HYPERLINK("https://miland.ru/api/getInfo/image/1ea8c69e-08db-11f1-a28f-00155d82e908")</f>
        <v>https://miland.ru/api/getInfo/image/1ea8c69e-08db-11f1-a28f-00155d82e908</v>
      </c>
    </row>
    <row r="824" spans="1:19" s="2" customFormat="1" ht="96.2" customHeight="1" outlineLevel="7">
      <c r="A824" s="9">
        <v>600</v>
      </c>
      <c r="B824" s="10" t="s">
        <v>2570</v>
      </c>
      <c r="C824" s="65" t="s">
        <v>2571</v>
      </c>
      <c r="D824" s="65"/>
      <c r="E824" s="65"/>
      <c r="F824" s="65"/>
      <c r="G824" s="11" t="s">
        <v>2572</v>
      </c>
      <c r="H824" s="14">
        <v>415</v>
      </c>
      <c r="I824" s="15"/>
      <c r="J824" s="9">
        <v>2</v>
      </c>
      <c r="K824" s="16">
        <v>306.12</v>
      </c>
      <c r="L824" s="17"/>
      <c r="M824" s="15">
        <f t="shared" si="44"/>
        <v>0</v>
      </c>
      <c r="N824" s="18">
        <f>0.042*L824</f>
        <v>0</v>
      </c>
      <c r="O824" s="20">
        <f>0.0003*L824</f>
        <v>0</v>
      </c>
      <c r="P824" s="24" t="s">
        <v>26</v>
      </c>
      <c r="Q824" s="15" t="s">
        <v>2573</v>
      </c>
      <c r="R824" s="15"/>
      <c r="S824" s="10" t="str">
        <f>HYPERLINK("https://miland.ru/api/getInfo/image/46dedf18-08da-11f1-a28f-00155d82e908")</f>
        <v>https://miland.ru/api/getInfo/image/46dedf18-08da-11f1-a28f-00155d82e908</v>
      </c>
    </row>
    <row r="825" spans="1:19" s="2" customFormat="1" ht="96.2" customHeight="1" outlineLevel="7">
      <c r="A825" s="25">
        <v>601</v>
      </c>
      <c r="B825" s="26" t="s">
        <v>2574</v>
      </c>
      <c r="C825" s="66" t="s">
        <v>2575</v>
      </c>
      <c r="D825" s="66"/>
      <c r="E825" s="66"/>
      <c r="F825" s="66"/>
      <c r="G825" s="27" t="s">
        <v>2576</v>
      </c>
      <c r="H825" s="28" t="s">
        <v>44</v>
      </c>
      <c r="I825" s="29"/>
      <c r="J825" s="25">
        <v>2</v>
      </c>
      <c r="K825" s="30">
        <v>318.86</v>
      </c>
      <c r="L825" s="17"/>
      <c r="M825" s="29">
        <f t="shared" si="44"/>
        <v>0</v>
      </c>
      <c r="N825" s="31">
        <f>0.096*L825</f>
        <v>0</v>
      </c>
      <c r="O825" s="32">
        <f>0.00051*L825</f>
        <v>0</v>
      </c>
      <c r="P825" s="36"/>
      <c r="Q825" s="29" t="s">
        <v>2577</v>
      </c>
      <c r="R825" s="29"/>
      <c r="S825" s="26" t="str">
        <f>HYPERLINK("https://miland.ru/api/getInfo/image/31f39c8c-beac-11ee-a25a-00155d82e908")</f>
        <v>https://miland.ru/api/getInfo/image/31f39c8c-beac-11ee-a25a-00155d82e908</v>
      </c>
    </row>
    <row r="826" spans="1:19" s="2" customFormat="1" ht="96.2" customHeight="1" outlineLevel="7">
      <c r="A826" s="25">
        <v>602</v>
      </c>
      <c r="B826" s="26" t="s">
        <v>2578</v>
      </c>
      <c r="C826" s="66" t="s">
        <v>2579</v>
      </c>
      <c r="D826" s="66"/>
      <c r="E826" s="66"/>
      <c r="F826" s="66"/>
      <c r="G826" s="27" t="s">
        <v>2580</v>
      </c>
      <c r="H826" s="28" t="s">
        <v>44</v>
      </c>
      <c r="I826" s="29"/>
      <c r="J826" s="25">
        <v>2</v>
      </c>
      <c r="K826" s="30">
        <v>318.86</v>
      </c>
      <c r="L826" s="17"/>
      <c r="M826" s="29">
        <f t="shared" si="44"/>
        <v>0</v>
      </c>
      <c r="N826" s="31">
        <f>0.134*L826</f>
        <v>0</v>
      </c>
      <c r="O826" s="32">
        <f>0.00037*L826</f>
        <v>0</v>
      </c>
      <c r="P826" s="36"/>
      <c r="Q826" s="29" t="s">
        <v>2581</v>
      </c>
      <c r="R826" s="29"/>
      <c r="S826" s="26" t="str">
        <f>HYPERLINK("https://miland.ru/api/getInfo/image/f3dddff4-dfd9-11ef-a273-00155d82e908")</f>
        <v>https://miland.ru/api/getInfo/image/f3dddff4-dfd9-11ef-a273-00155d82e908</v>
      </c>
    </row>
    <row r="827" spans="1:19" s="2" customFormat="1" ht="96.2" customHeight="1" outlineLevel="7">
      <c r="A827" s="25">
        <v>603</v>
      </c>
      <c r="B827" s="26" t="s">
        <v>2582</v>
      </c>
      <c r="C827" s="66" t="s">
        <v>2583</v>
      </c>
      <c r="D827" s="66"/>
      <c r="E827" s="66"/>
      <c r="F827" s="66"/>
      <c r="G827" s="27" t="s">
        <v>2584</v>
      </c>
      <c r="H827" s="28" t="s">
        <v>44</v>
      </c>
      <c r="I827" s="29"/>
      <c r="J827" s="25">
        <v>2</v>
      </c>
      <c r="K827" s="30">
        <v>318.86</v>
      </c>
      <c r="L827" s="17"/>
      <c r="M827" s="29">
        <f t="shared" si="44"/>
        <v>0</v>
      </c>
      <c r="N827" s="31">
        <f>0.068*L827</f>
        <v>0</v>
      </c>
      <c r="O827" s="32">
        <f>0.00032*L827</f>
        <v>0</v>
      </c>
      <c r="P827" s="36"/>
      <c r="Q827" s="29" t="s">
        <v>2585</v>
      </c>
      <c r="R827" s="29"/>
      <c r="S827" s="26" t="str">
        <f>HYPERLINK("https://miland.ru/api/getInfo/image/d070fc9e-bea9-11ee-a25a-00155d82e908")</f>
        <v>https://miland.ru/api/getInfo/image/d070fc9e-bea9-11ee-a25a-00155d82e908</v>
      </c>
    </row>
    <row r="828" spans="1:19" s="2" customFormat="1" ht="96.2" customHeight="1" outlineLevel="7">
      <c r="A828" s="25">
        <v>604</v>
      </c>
      <c r="B828" s="26" t="s">
        <v>2586</v>
      </c>
      <c r="C828" s="66" t="s">
        <v>2587</v>
      </c>
      <c r="D828" s="66"/>
      <c r="E828" s="66"/>
      <c r="F828" s="66"/>
      <c r="G828" s="27" t="s">
        <v>2588</v>
      </c>
      <c r="H828" s="28" t="s">
        <v>44</v>
      </c>
      <c r="I828" s="29"/>
      <c r="J828" s="25">
        <v>2</v>
      </c>
      <c r="K828" s="30">
        <v>318.86</v>
      </c>
      <c r="L828" s="17"/>
      <c r="M828" s="29">
        <f t="shared" si="44"/>
        <v>0</v>
      </c>
      <c r="N828" s="31">
        <f>0.084*L828</f>
        <v>0</v>
      </c>
      <c r="O828" s="32">
        <f>0.00029*L828</f>
        <v>0</v>
      </c>
      <c r="P828" s="36"/>
      <c r="Q828" s="29" t="s">
        <v>2589</v>
      </c>
      <c r="R828" s="29"/>
      <c r="S828" s="26" t="str">
        <f>HYPERLINK("https://miland.ru/api/getInfo/image/e1547a8f-dfd7-11ef-a273-00155d82e908")</f>
        <v>https://miland.ru/api/getInfo/image/e1547a8f-dfd7-11ef-a273-00155d82e908</v>
      </c>
    </row>
    <row r="829" spans="1:19" s="2" customFormat="1" ht="96.2" customHeight="1" outlineLevel="7">
      <c r="A829" s="25">
        <v>605</v>
      </c>
      <c r="B829" s="26" t="s">
        <v>2590</v>
      </c>
      <c r="C829" s="66" t="s">
        <v>2591</v>
      </c>
      <c r="D829" s="66"/>
      <c r="E829" s="66"/>
      <c r="F829" s="66"/>
      <c r="G829" s="27" t="s">
        <v>2592</v>
      </c>
      <c r="H829" s="28" t="s">
        <v>44</v>
      </c>
      <c r="I829" s="29"/>
      <c r="J829" s="25">
        <v>2</v>
      </c>
      <c r="K829" s="30">
        <v>318.86</v>
      </c>
      <c r="L829" s="17"/>
      <c r="M829" s="29">
        <f t="shared" si="44"/>
        <v>0</v>
      </c>
      <c r="N829" s="31">
        <f>0.095*L829</f>
        <v>0</v>
      </c>
      <c r="O829" s="32">
        <f>0.00029*L829</f>
        <v>0</v>
      </c>
      <c r="P829" s="36"/>
      <c r="Q829" s="29" t="s">
        <v>2593</v>
      </c>
      <c r="R829" s="29"/>
      <c r="S829" s="26" t="str">
        <f>HYPERLINK("https://miland.ru/api/getInfo/image/332f62cb-dfda-11ef-a273-00155d82e908")</f>
        <v>https://miland.ru/api/getInfo/image/332f62cb-dfda-11ef-a273-00155d82e908</v>
      </c>
    </row>
    <row r="830" spans="1:19" s="2" customFormat="1" ht="96.2" customHeight="1" outlineLevel="7">
      <c r="A830" s="25">
        <v>606</v>
      </c>
      <c r="B830" s="26" t="s">
        <v>2594</v>
      </c>
      <c r="C830" s="66" t="s">
        <v>2595</v>
      </c>
      <c r="D830" s="66"/>
      <c r="E830" s="66"/>
      <c r="F830" s="66"/>
      <c r="G830" s="27" t="s">
        <v>2596</v>
      </c>
      <c r="H830" s="28" t="s">
        <v>44</v>
      </c>
      <c r="I830" s="29"/>
      <c r="J830" s="25">
        <v>2</v>
      </c>
      <c r="K830" s="30">
        <v>318.86</v>
      </c>
      <c r="L830" s="17"/>
      <c r="M830" s="29">
        <f t="shared" si="44"/>
        <v>0</v>
      </c>
      <c r="N830" s="31">
        <f>0.029*L830</f>
        <v>0</v>
      </c>
      <c r="O830" s="32">
        <f>0.00029*L830</f>
        <v>0</v>
      </c>
      <c r="P830" s="36"/>
      <c r="Q830" s="29" t="s">
        <v>2597</v>
      </c>
      <c r="R830" s="29"/>
      <c r="S830" s="26" t="str">
        <f>HYPERLINK("https://miland.ru/api/getInfo/image/d499cd60-dfd9-11ef-a273-00155d82e908")</f>
        <v>https://miland.ru/api/getInfo/image/d499cd60-dfd9-11ef-a273-00155d82e908</v>
      </c>
    </row>
    <row r="831" spans="1:19" s="2" customFormat="1" ht="96.2" customHeight="1" outlineLevel="7">
      <c r="A831" s="25">
        <v>607</v>
      </c>
      <c r="B831" s="26" t="s">
        <v>2598</v>
      </c>
      <c r="C831" s="66" t="s">
        <v>2599</v>
      </c>
      <c r="D831" s="66"/>
      <c r="E831" s="66"/>
      <c r="F831" s="66"/>
      <c r="G831" s="27" t="s">
        <v>2600</v>
      </c>
      <c r="H831" s="33">
        <v>4</v>
      </c>
      <c r="I831" s="29"/>
      <c r="J831" s="25">
        <v>2</v>
      </c>
      <c r="K831" s="30">
        <v>318.86</v>
      </c>
      <c r="L831" s="17"/>
      <c r="M831" s="29">
        <f t="shared" si="44"/>
        <v>0</v>
      </c>
      <c r="N831" s="31">
        <f>0.102*L831</f>
        <v>0</v>
      </c>
      <c r="O831" s="32">
        <f>0.00026*L831</f>
        <v>0</v>
      </c>
      <c r="P831" s="36"/>
      <c r="Q831" s="29" t="s">
        <v>2601</v>
      </c>
      <c r="R831" s="29"/>
      <c r="S831" s="26" t="str">
        <f>HYPERLINK("https://miland.ru/api/getInfo/image/0d6cc67f-beac-11ee-a25a-00155d82e908")</f>
        <v>https://miland.ru/api/getInfo/image/0d6cc67f-beac-11ee-a25a-00155d82e908</v>
      </c>
    </row>
    <row r="832" spans="1:19" s="1" customFormat="1" ht="12" customHeight="1" outlineLevel="6">
      <c r="A832" s="64" t="s">
        <v>2602</v>
      </c>
      <c r="B832" s="64"/>
      <c r="C832" s="64"/>
      <c r="D832" s="64"/>
      <c r="E832" s="64"/>
      <c r="F832" s="64"/>
      <c r="G832" s="8"/>
      <c r="H832" s="12"/>
      <c r="I832" s="2"/>
      <c r="J832" s="2"/>
      <c r="K832" s="13"/>
      <c r="L832" s="2"/>
      <c r="M832" s="2"/>
      <c r="N832" s="2"/>
      <c r="O832" s="2"/>
      <c r="P832" s="2"/>
      <c r="Q832" s="2"/>
      <c r="R832" s="2"/>
      <c r="S832" s="2"/>
    </row>
    <row r="833" spans="1:19" s="2" customFormat="1" ht="96.2" customHeight="1" outlineLevel="7">
      <c r="A833" s="25">
        <v>608</v>
      </c>
      <c r="B833" s="26" t="s">
        <v>2603</v>
      </c>
      <c r="C833" s="66" t="s">
        <v>2604</v>
      </c>
      <c r="D833" s="66"/>
      <c r="E833" s="66"/>
      <c r="F833" s="66"/>
      <c r="G833" s="27" t="s">
        <v>2605</v>
      </c>
      <c r="H833" s="33">
        <v>301</v>
      </c>
      <c r="I833" s="29"/>
      <c r="J833" s="25">
        <v>3</v>
      </c>
      <c r="K833" s="30">
        <v>240.69</v>
      </c>
      <c r="L833" s="17"/>
      <c r="M833" s="29">
        <f>K833*L833</f>
        <v>0</v>
      </c>
      <c r="N833" s="31">
        <f>0.025*L833</f>
        <v>0</v>
      </c>
      <c r="O833" s="32">
        <f>0.00027*L833</f>
        <v>0</v>
      </c>
      <c r="P833" s="36"/>
      <c r="Q833" s="29" t="s">
        <v>2606</v>
      </c>
      <c r="R833" s="29"/>
      <c r="S833" s="26" t="str">
        <f>HYPERLINK("https://miland.ru/api/getInfo/image/1ce9ae40-7aad-11ed-a22a-00155d82e902")</f>
        <v>https://miland.ru/api/getInfo/image/1ce9ae40-7aad-11ed-a22a-00155d82e902</v>
      </c>
    </row>
    <row r="834" spans="1:19" s="2" customFormat="1" ht="96.2" customHeight="1" outlineLevel="7">
      <c r="A834" s="25">
        <v>609</v>
      </c>
      <c r="B834" s="26" t="s">
        <v>2607</v>
      </c>
      <c r="C834" s="66" t="s">
        <v>2608</v>
      </c>
      <c r="D834" s="66"/>
      <c r="E834" s="66"/>
      <c r="F834" s="66"/>
      <c r="G834" s="27" t="s">
        <v>2609</v>
      </c>
      <c r="H834" s="28" t="s">
        <v>44</v>
      </c>
      <c r="I834" s="29"/>
      <c r="J834" s="25">
        <v>3</v>
      </c>
      <c r="K834" s="30">
        <v>240.69</v>
      </c>
      <c r="L834" s="17"/>
      <c r="M834" s="29">
        <f>K834*L834</f>
        <v>0</v>
      </c>
      <c r="N834" s="31">
        <f>0.025*L834</f>
        <v>0</v>
      </c>
      <c r="O834" s="32">
        <f>0.00028*L834</f>
        <v>0</v>
      </c>
      <c r="P834" s="36"/>
      <c r="Q834" s="29" t="s">
        <v>2610</v>
      </c>
      <c r="R834" s="29"/>
      <c r="S834" s="26" t="str">
        <f>HYPERLINK("https://miland.ru/api/getInfo/image/c1e61e99-7aae-11ed-a22a-00155d82e902")</f>
        <v>https://miland.ru/api/getInfo/image/c1e61e99-7aae-11ed-a22a-00155d82e902</v>
      </c>
    </row>
    <row r="835" spans="1:19" s="2" customFormat="1" ht="96.2" customHeight="1" outlineLevel="7">
      <c r="A835" s="25">
        <v>610</v>
      </c>
      <c r="B835" s="26" t="s">
        <v>2611</v>
      </c>
      <c r="C835" s="66" t="s">
        <v>2612</v>
      </c>
      <c r="D835" s="66"/>
      <c r="E835" s="66"/>
      <c r="F835" s="66"/>
      <c r="G835" s="27" t="s">
        <v>2613</v>
      </c>
      <c r="H835" s="33">
        <v>338</v>
      </c>
      <c r="I835" s="29"/>
      <c r="J835" s="25">
        <v>3</v>
      </c>
      <c r="K835" s="30">
        <v>240.69</v>
      </c>
      <c r="L835" s="17"/>
      <c r="M835" s="29">
        <f>K835*L835</f>
        <v>0</v>
      </c>
      <c r="N835" s="31">
        <f>0.019*L835</f>
        <v>0</v>
      </c>
      <c r="O835" s="32">
        <f>0.00026*L835</f>
        <v>0</v>
      </c>
      <c r="P835" s="36"/>
      <c r="Q835" s="29" t="s">
        <v>2614</v>
      </c>
      <c r="R835" s="29"/>
      <c r="S835" s="26" t="str">
        <f>HYPERLINK("https://miland.ru/api/getInfo/image/08c83d1e-7aaf-11ed-a22a-00155d82e902")</f>
        <v>https://miland.ru/api/getInfo/image/08c83d1e-7aaf-11ed-a22a-00155d82e902</v>
      </c>
    </row>
    <row r="836" spans="1:19" s="2" customFormat="1" ht="96.2" customHeight="1" outlineLevel="7">
      <c r="A836" s="25">
        <v>611</v>
      </c>
      <c r="B836" s="26" t="s">
        <v>2615</v>
      </c>
      <c r="C836" s="66" t="s">
        <v>2616</v>
      </c>
      <c r="D836" s="66"/>
      <c r="E836" s="66"/>
      <c r="F836" s="66"/>
      <c r="G836" s="27" t="s">
        <v>2617</v>
      </c>
      <c r="H836" s="28" t="s">
        <v>44</v>
      </c>
      <c r="I836" s="29"/>
      <c r="J836" s="25">
        <v>3</v>
      </c>
      <c r="K836" s="30">
        <v>240.69</v>
      </c>
      <c r="L836" s="17"/>
      <c r="M836" s="29">
        <f>K836*L836</f>
        <v>0</v>
      </c>
      <c r="N836" s="31">
        <f>0.023*L836</f>
        <v>0</v>
      </c>
      <c r="O836" s="32">
        <f>0.00028*L836</f>
        <v>0</v>
      </c>
      <c r="P836" s="36"/>
      <c r="Q836" s="29" t="s">
        <v>2618</v>
      </c>
      <c r="R836" s="29"/>
      <c r="S836" s="26" t="str">
        <f>HYPERLINK("https://miland.ru/api/getInfo/image/49040b9e-7aaf-11ed-a22a-00155d82e902")</f>
        <v>https://miland.ru/api/getInfo/image/49040b9e-7aaf-11ed-a22a-00155d82e902</v>
      </c>
    </row>
    <row r="837" spans="1:19" s="2" customFormat="1" ht="96.2" customHeight="1" outlineLevel="7">
      <c r="A837" s="25">
        <v>612</v>
      </c>
      <c r="B837" s="26" t="s">
        <v>2619</v>
      </c>
      <c r="C837" s="66" t="s">
        <v>2620</v>
      </c>
      <c r="D837" s="66"/>
      <c r="E837" s="66"/>
      <c r="F837" s="66"/>
      <c r="G837" s="27" t="s">
        <v>2621</v>
      </c>
      <c r="H837" s="28" t="s">
        <v>44</v>
      </c>
      <c r="I837" s="29"/>
      <c r="J837" s="25">
        <v>3</v>
      </c>
      <c r="K837" s="30">
        <v>240.69</v>
      </c>
      <c r="L837" s="17"/>
      <c r="M837" s="29">
        <f>K837*L837</f>
        <v>0</v>
      </c>
      <c r="N837" s="31">
        <f>0.018*L837</f>
        <v>0</v>
      </c>
      <c r="O837" s="35">
        <f>0.0003*L837</f>
        <v>0</v>
      </c>
      <c r="P837" s="36"/>
      <c r="Q837" s="29" t="s">
        <v>2622</v>
      </c>
      <c r="R837" s="29"/>
      <c r="S837" s="26" t="str">
        <f>HYPERLINK("https://miland.ru/api/getInfo/image/0a921908-dfd7-11ef-a273-00155d82e908")</f>
        <v>https://miland.ru/api/getInfo/image/0a921908-dfd7-11ef-a273-00155d82e908</v>
      </c>
    </row>
    <row r="838" spans="1:19" s="1" customFormat="1" ht="12" customHeight="1" outlineLevel="6">
      <c r="A838" s="64" t="s">
        <v>2623</v>
      </c>
      <c r="B838" s="64"/>
      <c r="C838" s="64"/>
      <c r="D838" s="64"/>
      <c r="E838" s="64"/>
      <c r="F838" s="64"/>
      <c r="G838" s="8"/>
      <c r="H838" s="12"/>
      <c r="I838" s="2"/>
      <c r="J838" s="2"/>
      <c r="K838" s="13"/>
      <c r="L838" s="2"/>
      <c r="M838" s="2"/>
      <c r="N838" s="2"/>
      <c r="O838" s="2"/>
      <c r="P838" s="2"/>
      <c r="Q838" s="2"/>
      <c r="R838" s="2"/>
      <c r="S838" s="2"/>
    </row>
    <row r="839" spans="1:19" s="2" customFormat="1" ht="96.2" customHeight="1" outlineLevel="7">
      <c r="A839" s="25">
        <v>613</v>
      </c>
      <c r="B839" s="26" t="s">
        <v>2624</v>
      </c>
      <c r="C839" s="66" t="s">
        <v>2625</v>
      </c>
      <c r="D839" s="66"/>
      <c r="E839" s="66"/>
      <c r="F839" s="66"/>
      <c r="G839" s="27" t="s">
        <v>2626</v>
      </c>
      <c r="H839" s="28" t="s">
        <v>44</v>
      </c>
      <c r="I839" s="29"/>
      <c r="J839" s="25">
        <v>2</v>
      </c>
      <c r="K839" s="30">
        <v>345.6</v>
      </c>
      <c r="L839" s="17"/>
      <c r="M839" s="29">
        <f t="shared" ref="M839:M846" si="45">K839*L839</f>
        <v>0</v>
      </c>
      <c r="N839" s="31">
        <f>0.053*L839</f>
        <v>0</v>
      </c>
      <c r="O839" s="32">
        <f>0.00049*L839</f>
        <v>0</v>
      </c>
      <c r="P839" s="36"/>
      <c r="Q839" s="29" t="s">
        <v>2627</v>
      </c>
      <c r="R839" s="29"/>
      <c r="S839" s="26" t="str">
        <f>HYPERLINK("https://miland.ru/api/getInfo/image/1bfc5d0c-d4a1-11ee-a25a-00155d82e908")</f>
        <v>https://miland.ru/api/getInfo/image/1bfc5d0c-d4a1-11ee-a25a-00155d82e908</v>
      </c>
    </row>
    <row r="840" spans="1:19" s="2" customFormat="1" ht="96.2" customHeight="1" outlineLevel="7">
      <c r="A840" s="25">
        <v>614</v>
      </c>
      <c r="B840" s="26" t="s">
        <v>2628</v>
      </c>
      <c r="C840" s="66" t="s">
        <v>2629</v>
      </c>
      <c r="D840" s="66"/>
      <c r="E840" s="66"/>
      <c r="F840" s="66"/>
      <c r="G840" s="27" t="s">
        <v>2630</v>
      </c>
      <c r="H840" s="28" t="s">
        <v>44</v>
      </c>
      <c r="I840" s="29"/>
      <c r="J840" s="25">
        <v>2</v>
      </c>
      <c r="K840" s="30">
        <v>345.6</v>
      </c>
      <c r="L840" s="17"/>
      <c r="M840" s="29">
        <f t="shared" si="45"/>
        <v>0</v>
      </c>
      <c r="N840" s="31">
        <f>0.094*L840</f>
        <v>0</v>
      </c>
      <c r="O840" s="32">
        <f>0.00027*L840</f>
        <v>0</v>
      </c>
      <c r="P840" s="36"/>
      <c r="Q840" s="29" t="s">
        <v>2631</v>
      </c>
      <c r="R840" s="29"/>
      <c r="S840" s="26" t="str">
        <f>HYPERLINK("https://miland.ru/api/getInfo/image/da8ebc25-d4a0-11ee-a25a-00155d82e908")</f>
        <v>https://miland.ru/api/getInfo/image/da8ebc25-d4a0-11ee-a25a-00155d82e908</v>
      </c>
    </row>
    <row r="841" spans="1:19" s="2" customFormat="1" ht="96.2" customHeight="1" outlineLevel="7">
      <c r="A841" s="25">
        <v>615</v>
      </c>
      <c r="B841" s="26" t="s">
        <v>2632</v>
      </c>
      <c r="C841" s="66" t="s">
        <v>2633</v>
      </c>
      <c r="D841" s="66"/>
      <c r="E841" s="66"/>
      <c r="F841" s="66"/>
      <c r="G841" s="27" t="s">
        <v>2634</v>
      </c>
      <c r="H841" s="28" t="s">
        <v>44</v>
      </c>
      <c r="I841" s="29"/>
      <c r="J841" s="25">
        <v>2</v>
      </c>
      <c r="K841" s="30">
        <v>345.6</v>
      </c>
      <c r="L841" s="17"/>
      <c r="M841" s="29">
        <f t="shared" si="45"/>
        <v>0</v>
      </c>
      <c r="N841" s="31">
        <f>0.077*L841</f>
        <v>0</v>
      </c>
      <c r="O841" s="32">
        <f>0.00022*L841</f>
        <v>0</v>
      </c>
      <c r="P841" s="36"/>
      <c r="Q841" s="29" t="s">
        <v>2635</v>
      </c>
      <c r="R841" s="29"/>
      <c r="S841" s="26" t="str">
        <f>HYPERLINK("https://miland.ru/api/getInfo/image/83fdc0f7-d4a0-11ee-a25a-00155d82e908")</f>
        <v>https://miland.ru/api/getInfo/image/83fdc0f7-d4a0-11ee-a25a-00155d82e908</v>
      </c>
    </row>
    <row r="842" spans="1:19" s="2" customFormat="1" ht="96.2" customHeight="1" outlineLevel="7">
      <c r="A842" s="25">
        <v>616</v>
      </c>
      <c r="B842" s="26" t="s">
        <v>2636</v>
      </c>
      <c r="C842" s="66" t="s">
        <v>2637</v>
      </c>
      <c r="D842" s="66"/>
      <c r="E842" s="66"/>
      <c r="F842" s="66"/>
      <c r="G842" s="27" t="s">
        <v>2638</v>
      </c>
      <c r="H842" s="28" t="s">
        <v>44</v>
      </c>
      <c r="I842" s="29"/>
      <c r="J842" s="25">
        <v>2</v>
      </c>
      <c r="K842" s="30">
        <v>345.6</v>
      </c>
      <c r="L842" s="17"/>
      <c r="M842" s="29">
        <f t="shared" si="45"/>
        <v>0</v>
      </c>
      <c r="N842" s="31">
        <f>0.085*L842</f>
        <v>0</v>
      </c>
      <c r="O842" s="32">
        <f>0.00038*L842</f>
        <v>0</v>
      </c>
      <c r="P842" s="36"/>
      <c r="Q842" s="29" t="s">
        <v>2639</v>
      </c>
      <c r="R842" s="29"/>
      <c r="S842" s="26" t="str">
        <f>HYPERLINK("https://miland.ru/api/getInfo/image/9ab490dd-dfd7-11ef-a273-00155d82e908")</f>
        <v>https://miland.ru/api/getInfo/image/9ab490dd-dfd7-11ef-a273-00155d82e908</v>
      </c>
    </row>
    <row r="843" spans="1:19" s="2" customFormat="1" ht="96.2" customHeight="1" outlineLevel="7">
      <c r="A843" s="25">
        <v>617</v>
      </c>
      <c r="B843" s="26" t="s">
        <v>2640</v>
      </c>
      <c r="C843" s="66" t="s">
        <v>2641</v>
      </c>
      <c r="D843" s="66"/>
      <c r="E843" s="66"/>
      <c r="F843" s="66"/>
      <c r="G843" s="27" t="s">
        <v>2642</v>
      </c>
      <c r="H843" s="28" t="s">
        <v>44</v>
      </c>
      <c r="I843" s="29"/>
      <c r="J843" s="25">
        <v>2</v>
      </c>
      <c r="K843" s="30">
        <v>345.6</v>
      </c>
      <c r="L843" s="17"/>
      <c r="M843" s="29">
        <f t="shared" si="45"/>
        <v>0</v>
      </c>
      <c r="N843" s="31">
        <f>0.065*L843</f>
        <v>0</v>
      </c>
      <c r="O843" s="32">
        <f>0.00021*L843</f>
        <v>0</v>
      </c>
      <c r="P843" s="36"/>
      <c r="Q843" s="29" t="s">
        <v>2643</v>
      </c>
      <c r="R843" s="29"/>
      <c r="S843" s="26" t="str">
        <f>HYPERLINK("https://miland.ru/api/getInfo/image/27ee3a1f-d4a0-11ee-a25a-00155d82e908")</f>
        <v>https://miland.ru/api/getInfo/image/27ee3a1f-d4a0-11ee-a25a-00155d82e908</v>
      </c>
    </row>
    <row r="844" spans="1:19" s="2" customFormat="1" ht="96.2" customHeight="1" outlineLevel="7">
      <c r="A844" s="25">
        <v>618</v>
      </c>
      <c r="B844" s="26" t="s">
        <v>2644</v>
      </c>
      <c r="C844" s="66" t="s">
        <v>2645</v>
      </c>
      <c r="D844" s="66"/>
      <c r="E844" s="66"/>
      <c r="F844" s="66"/>
      <c r="G844" s="27" t="s">
        <v>2646</v>
      </c>
      <c r="H844" s="28" t="s">
        <v>44</v>
      </c>
      <c r="I844" s="29"/>
      <c r="J844" s="25">
        <v>2</v>
      </c>
      <c r="K844" s="30">
        <v>345.6</v>
      </c>
      <c r="L844" s="17"/>
      <c r="M844" s="29">
        <f t="shared" si="45"/>
        <v>0</v>
      </c>
      <c r="N844" s="34">
        <f>0.07*L844</f>
        <v>0</v>
      </c>
      <c r="O844" s="32">
        <f>0.00036*L844</f>
        <v>0</v>
      </c>
      <c r="P844" s="36"/>
      <c r="Q844" s="29" t="s">
        <v>2647</v>
      </c>
      <c r="R844" s="29"/>
      <c r="S844" s="26" t="str">
        <f>HYPERLINK("https://miland.ru/api/getInfo/image/b7c48aaa-dfd7-11ef-a273-00155d82e908")</f>
        <v>https://miland.ru/api/getInfo/image/b7c48aaa-dfd7-11ef-a273-00155d82e908</v>
      </c>
    </row>
    <row r="845" spans="1:19" s="2" customFormat="1" ht="96.2" customHeight="1" outlineLevel="7">
      <c r="A845" s="25">
        <v>619</v>
      </c>
      <c r="B845" s="26" t="s">
        <v>2648</v>
      </c>
      <c r="C845" s="66" t="s">
        <v>2649</v>
      </c>
      <c r="D845" s="66"/>
      <c r="E845" s="66"/>
      <c r="F845" s="66"/>
      <c r="G845" s="27" t="s">
        <v>2650</v>
      </c>
      <c r="H845" s="28" t="s">
        <v>44</v>
      </c>
      <c r="I845" s="29"/>
      <c r="J845" s="25">
        <v>2</v>
      </c>
      <c r="K845" s="30">
        <v>345.6</v>
      </c>
      <c r="L845" s="17"/>
      <c r="M845" s="29">
        <f t="shared" si="45"/>
        <v>0</v>
      </c>
      <c r="N845" s="31">
        <f>0.089*L845</f>
        <v>0</v>
      </c>
      <c r="O845" s="32">
        <f>0.00037*L845</f>
        <v>0</v>
      </c>
      <c r="P845" s="36"/>
      <c r="Q845" s="29" t="s">
        <v>2651</v>
      </c>
      <c r="R845" s="29"/>
      <c r="S845" s="26" t="str">
        <f>HYPERLINK("https://miland.ru/api/getInfo/image/37c648dd-dfd7-11ef-a273-00155d82e908")</f>
        <v>https://miland.ru/api/getInfo/image/37c648dd-dfd7-11ef-a273-00155d82e908</v>
      </c>
    </row>
    <row r="846" spans="1:19" s="2" customFormat="1" ht="96.2" customHeight="1" outlineLevel="7">
      <c r="A846" s="25">
        <v>620</v>
      </c>
      <c r="B846" s="26" t="s">
        <v>2652</v>
      </c>
      <c r="C846" s="66" t="s">
        <v>2653</v>
      </c>
      <c r="D846" s="66"/>
      <c r="E846" s="66"/>
      <c r="F846" s="66"/>
      <c r="G846" s="27" t="s">
        <v>2654</v>
      </c>
      <c r="H846" s="28" t="s">
        <v>44</v>
      </c>
      <c r="I846" s="29"/>
      <c r="J846" s="25">
        <v>2</v>
      </c>
      <c r="K846" s="30">
        <v>345.6</v>
      </c>
      <c r="L846" s="17"/>
      <c r="M846" s="29">
        <f t="shared" si="45"/>
        <v>0</v>
      </c>
      <c r="N846" s="31">
        <f>0.074*L846</f>
        <v>0</v>
      </c>
      <c r="O846" s="32">
        <f>0.00036*L846</f>
        <v>0</v>
      </c>
      <c r="P846" s="36"/>
      <c r="Q846" s="29" t="s">
        <v>2655</v>
      </c>
      <c r="R846" s="29"/>
      <c r="S846" s="26" t="str">
        <f>HYPERLINK("https://miland.ru/api/getInfo/image/7c714953-dfd7-11ef-a273-00155d82e908")</f>
        <v>https://miland.ru/api/getInfo/image/7c714953-dfd7-11ef-a273-00155d82e908</v>
      </c>
    </row>
    <row r="847" spans="1:19" s="1" customFormat="1" ht="12" customHeight="1" outlineLevel="6">
      <c r="A847" s="64" t="s">
        <v>2656</v>
      </c>
      <c r="B847" s="64"/>
      <c r="C847" s="64"/>
      <c r="D847" s="64"/>
      <c r="E847" s="64"/>
      <c r="F847" s="64"/>
      <c r="G847" s="8"/>
      <c r="H847" s="12"/>
      <c r="I847" s="2"/>
      <c r="J847" s="2"/>
      <c r="K847" s="13"/>
      <c r="L847" s="2"/>
      <c r="M847" s="2"/>
      <c r="N847" s="2"/>
      <c r="O847" s="2"/>
      <c r="P847" s="2"/>
      <c r="Q847" s="2"/>
      <c r="R847" s="2"/>
      <c r="S847" s="2"/>
    </row>
    <row r="848" spans="1:19" s="2" customFormat="1" ht="96.2" customHeight="1" outlineLevel="7">
      <c r="A848" s="9">
        <v>621</v>
      </c>
      <c r="B848" s="10" t="s">
        <v>2657</v>
      </c>
      <c r="C848" s="65" t="s">
        <v>2658</v>
      </c>
      <c r="D848" s="65"/>
      <c r="E848" s="65"/>
      <c r="F848" s="65"/>
      <c r="G848" s="11" t="s">
        <v>2659</v>
      </c>
      <c r="H848" s="21" t="s">
        <v>44</v>
      </c>
      <c r="I848" s="15"/>
      <c r="J848" s="9">
        <v>2</v>
      </c>
      <c r="K848" s="16">
        <v>368.64</v>
      </c>
      <c r="L848" s="17"/>
      <c r="M848" s="15">
        <f t="shared" ref="M848:M853" si="46">K848*L848</f>
        <v>0</v>
      </c>
      <c r="N848" s="18">
        <f>0.098*L848</f>
        <v>0</v>
      </c>
      <c r="O848" s="19">
        <f>0.00026*L848</f>
        <v>0</v>
      </c>
      <c r="P848" s="24" t="s">
        <v>26</v>
      </c>
      <c r="Q848" s="15" t="s">
        <v>2660</v>
      </c>
      <c r="R848" s="15"/>
      <c r="S848" s="10" t="str">
        <f>HYPERLINK("https://miland.ru/api/getInfo/image/274f1699-08cf-11f1-a28f-00155d82e908")</f>
        <v>https://miland.ru/api/getInfo/image/274f1699-08cf-11f1-a28f-00155d82e908</v>
      </c>
    </row>
    <row r="849" spans="1:19" s="2" customFormat="1" ht="96.2" customHeight="1" outlineLevel="7">
      <c r="A849" s="9">
        <v>622</v>
      </c>
      <c r="B849" s="10" t="s">
        <v>2661</v>
      </c>
      <c r="C849" s="65" t="s">
        <v>2662</v>
      </c>
      <c r="D849" s="65"/>
      <c r="E849" s="65"/>
      <c r="F849" s="65"/>
      <c r="G849" s="11" t="s">
        <v>2663</v>
      </c>
      <c r="H849" s="21" t="s">
        <v>44</v>
      </c>
      <c r="I849" s="15"/>
      <c r="J849" s="9">
        <v>2</v>
      </c>
      <c r="K849" s="16">
        <v>368.64</v>
      </c>
      <c r="L849" s="17"/>
      <c r="M849" s="15">
        <f t="shared" si="46"/>
        <v>0</v>
      </c>
      <c r="N849" s="23">
        <f>0.11*L849</f>
        <v>0</v>
      </c>
      <c r="O849" s="19">
        <f>0.00035*L849</f>
        <v>0</v>
      </c>
      <c r="P849" s="24" t="s">
        <v>26</v>
      </c>
      <c r="Q849" s="15" t="s">
        <v>2664</v>
      </c>
      <c r="R849" s="15"/>
      <c r="S849" s="10" t="str">
        <f>HYPERLINK("https://miland.ru/api/getInfo/image/4a338b6b-08cf-11f1-a28f-00155d82e908")</f>
        <v>https://miland.ru/api/getInfo/image/4a338b6b-08cf-11f1-a28f-00155d82e908</v>
      </c>
    </row>
    <row r="850" spans="1:19" s="2" customFormat="1" ht="96.2" customHeight="1" outlineLevel="7">
      <c r="A850" s="9">
        <v>623</v>
      </c>
      <c r="B850" s="10" t="s">
        <v>2665</v>
      </c>
      <c r="C850" s="65" t="s">
        <v>2666</v>
      </c>
      <c r="D850" s="65"/>
      <c r="E850" s="65"/>
      <c r="F850" s="65"/>
      <c r="G850" s="11" t="s">
        <v>2667</v>
      </c>
      <c r="H850" s="21" t="s">
        <v>44</v>
      </c>
      <c r="I850" s="15"/>
      <c r="J850" s="9">
        <v>2</v>
      </c>
      <c r="K850" s="16">
        <v>368.64</v>
      </c>
      <c r="L850" s="17"/>
      <c r="M850" s="15">
        <f t="shared" si="46"/>
        <v>0</v>
      </c>
      <c r="N850" s="18">
        <f>0.088*L850</f>
        <v>0</v>
      </c>
      <c r="O850" s="19">
        <f>0.00033*L850</f>
        <v>0</v>
      </c>
      <c r="P850" s="24" t="s">
        <v>26</v>
      </c>
      <c r="Q850" s="15" t="s">
        <v>2668</v>
      </c>
      <c r="R850" s="15"/>
      <c r="S850" s="10" t="str">
        <f>HYPERLINK("https://miland.ru/api/getInfo/image/6dc90ead-08cf-11f1-a28f-00155d82e908")</f>
        <v>https://miland.ru/api/getInfo/image/6dc90ead-08cf-11f1-a28f-00155d82e908</v>
      </c>
    </row>
    <row r="851" spans="1:19" s="2" customFormat="1" ht="96.2" customHeight="1" outlineLevel="7">
      <c r="A851" s="9">
        <v>624</v>
      </c>
      <c r="B851" s="10" t="s">
        <v>2669</v>
      </c>
      <c r="C851" s="65" t="s">
        <v>2670</v>
      </c>
      <c r="D851" s="65"/>
      <c r="E851" s="65"/>
      <c r="F851" s="65"/>
      <c r="G851" s="11" t="s">
        <v>2671</v>
      </c>
      <c r="H851" s="21" t="s">
        <v>44</v>
      </c>
      <c r="I851" s="15"/>
      <c r="J851" s="9">
        <v>2</v>
      </c>
      <c r="K851" s="16">
        <v>368.64</v>
      </c>
      <c r="L851" s="17"/>
      <c r="M851" s="15">
        <f t="shared" si="46"/>
        <v>0</v>
      </c>
      <c r="N851" s="18">
        <f>0.096*L851</f>
        <v>0</v>
      </c>
      <c r="O851" s="19">
        <f>0.00032*L851</f>
        <v>0</v>
      </c>
      <c r="P851" s="24" t="s">
        <v>26</v>
      </c>
      <c r="Q851" s="15" t="s">
        <v>2672</v>
      </c>
      <c r="R851" s="15"/>
      <c r="S851" s="10" t="str">
        <f>HYPERLINK("https://miland.ru/api/getInfo/image/98af2e47-08cf-11f1-a28f-00155d82e908")</f>
        <v>https://miland.ru/api/getInfo/image/98af2e47-08cf-11f1-a28f-00155d82e908</v>
      </c>
    </row>
    <row r="852" spans="1:19" s="2" customFormat="1" ht="96.2" customHeight="1" outlineLevel="7">
      <c r="A852" s="25">
        <v>625</v>
      </c>
      <c r="B852" s="26" t="s">
        <v>2673</v>
      </c>
      <c r="C852" s="66" t="s">
        <v>2674</v>
      </c>
      <c r="D852" s="66"/>
      <c r="E852" s="66"/>
      <c r="F852" s="66"/>
      <c r="G852" s="27" t="s">
        <v>2675</v>
      </c>
      <c r="H852" s="33">
        <v>430</v>
      </c>
      <c r="I852" s="29"/>
      <c r="J852" s="25">
        <v>2</v>
      </c>
      <c r="K852" s="30">
        <v>287</v>
      </c>
      <c r="L852" s="17"/>
      <c r="M852" s="29">
        <f t="shared" si="46"/>
        <v>0</v>
      </c>
      <c r="N852" s="31">
        <f>0.046*L852</f>
        <v>0</v>
      </c>
      <c r="O852" s="32">
        <f>0.00029*L852</f>
        <v>0</v>
      </c>
      <c r="P852" s="36"/>
      <c r="Q852" s="29" t="s">
        <v>2676</v>
      </c>
      <c r="R852" s="29"/>
      <c r="S852" s="26" t="str">
        <f>HYPERLINK("https://miland.ru/api/getInfo/image/e725cc29-7ab8-11ed-a22a-00155d82e902")</f>
        <v>https://miland.ru/api/getInfo/image/e725cc29-7ab8-11ed-a22a-00155d82e902</v>
      </c>
    </row>
    <row r="853" spans="1:19" s="2" customFormat="1" ht="96.2" customHeight="1" outlineLevel="7">
      <c r="A853" s="25">
        <v>626</v>
      </c>
      <c r="B853" s="26" t="s">
        <v>2677</v>
      </c>
      <c r="C853" s="66" t="s">
        <v>2678</v>
      </c>
      <c r="D853" s="66"/>
      <c r="E853" s="66"/>
      <c r="F853" s="66"/>
      <c r="G853" s="27" t="s">
        <v>2679</v>
      </c>
      <c r="H853" s="33">
        <v>4</v>
      </c>
      <c r="I853" s="29"/>
      <c r="J853" s="25">
        <v>2</v>
      </c>
      <c r="K853" s="30">
        <v>287</v>
      </c>
      <c r="L853" s="17"/>
      <c r="M853" s="29">
        <f t="shared" si="46"/>
        <v>0</v>
      </c>
      <c r="N853" s="31">
        <f>0.119*L853</f>
        <v>0</v>
      </c>
      <c r="O853" s="32">
        <f>0.00032*L853</f>
        <v>0</v>
      </c>
      <c r="P853" s="36"/>
      <c r="Q853" s="29" t="s">
        <v>2680</v>
      </c>
      <c r="R853" s="29" t="s">
        <v>611</v>
      </c>
      <c r="S853" s="26" t="str">
        <f>HYPERLINK("https://miland.ru/api/getInfo/image/2369f84d-7ab9-11ed-a22a-00155d82e902")</f>
        <v>https://miland.ru/api/getInfo/image/2369f84d-7ab9-11ed-a22a-00155d82e902</v>
      </c>
    </row>
    <row r="854" spans="1:19" s="1" customFormat="1" ht="12" customHeight="1" outlineLevel="6">
      <c r="A854" s="64" t="s">
        <v>2681</v>
      </c>
      <c r="B854" s="64"/>
      <c r="C854" s="64"/>
      <c r="D854" s="64"/>
      <c r="E854" s="64"/>
      <c r="F854" s="64"/>
      <c r="G854" s="8"/>
      <c r="H854" s="12"/>
      <c r="I854" s="2"/>
      <c r="J854" s="2"/>
      <c r="K854" s="13"/>
      <c r="L854" s="2"/>
      <c r="M854" s="2"/>
      <c r="N854" s="2"/>
      <c r="O854" s="2"/>
      <c r="P854" s="2"/>
      <c r="Q854" s="2"/>
      <c r="R854" s="2"/>
      <c r="S854" s="2"/>
    </row>
    <row r="855" spans="1:19" s="2" customFormat="1" ht="96.2" customHeight="1" outlineLevel="7">
      <c r="A855" s="9">
        <v>627</v>
      </c>
      <c r="B855" s="10" t="s">
        <v>2682</v>
      </c>
      <c r="C855" s="65" t="s">
        <v>2683</v>
      </c>
      <c r="D855" s="65"/>
      <c r="E855" s="65"/>
      <c r="F855" s="65"/>
      <c r="G855" s="11" t="s">
        <v>2684</v>
      </c>
      <c r="H855" s="21" t="s">
        <v>44</v>
      </c>
      <c r="I855" s="15"/>
      <c r="J855" s="9">
        <v>1</v>
      </c>
      <c r="K855" s="16">
        <v>412.53</v>
      </c>
      <c r="L855" s="17"/>
      <c r="M855" s="15">
        <f>K855*L855</f>
        <v>0</v>
      </c>
      <c r="N855" s="18">
        <f>0.043*L855</f>
        <v>0</v>
      </c>
      <c r="O855" s="19">
        <f>0.00027*L855</f>
        <v>0</v>
      </c>
      <c r="P855" s="24" t="s">
        <v>26</v>
      </c>
      <c r="Q855" s="15" t="s">
        <v>2685</v>
      </c>
      <c r="R855" s="15"/>
      <c r="S855" s="10" t="str">
        <f>HYPERLINK("https://miland.ru/api/getInfo/image/9b4cbc79-08db-11f1-a28f-00155d82e908")</f>
        <v>https://miland.ru/api/getInfo/image/9b4cbc79-08db-11f1-a28f-00155d82e908</v>
      </c>
    </row>
    <row r="856" spans="1:19" s="2" customFormat="1" ht="96.2" customHeight="1" outlineLevel="7">
      <c r="A856" s="9">
        <v>628</v>
      </c>
      <c r="B856" s="10" t="s">
        <v>2686</v>
      </c>
      <c r="C856" s="65" t="s">
        <v>2687</v>
      </c>
      <c r="D856" s="65"/>
      <c r="E856" s="65"/>
      <c r="F856" s="65"/>
      <c r="G856" s="11" t="s">
        <v>2688</v>
      </c>
      <c r="H856" s="21" t="s">
        <v>44</v>
      </c>
      <c r="I856" s="15"/>
      <c r="J856" s="9">
        <v>1</v>
      </c>
      <c r="K856" s="16">
        <v>412.53</v>
      </c>
      <c r="L856" s="17"/>
      <c r="M856" s="15">
        <f>K856*L856</f>
        <v>0</v>
      </c>
      <c r="N856" s="18">
        <f>0.044*L856</f>
        <v>0</v>
      </c>
      <c r="O856" s="19">
        <f>0.00026*L856</f>
        <v>0</v>
      </c>
      <c r="P856" s="24" t="s">
        <v>26</v>
      </c>
      <c r="Q856" s="15" t="s">
        <v>2689</v>
      </c>
      <c r="R856" s="15"/>
      <c r="S856" s="10" t="str">
        <f>HYPERLINK("https://miland.ru/api/getInfo/image/cd7a589e-08db-11f1-a28f-00155d82e908")</f>
        <v>https://miland.ru/api/getInfo/image/cd7a589e-08db-11f1-a28f-00155d82e908</v>
      </c>
    </row>
    <row r="857" spans="1:19" s="2" customFormat="1" ht="96.2" customHeight="1" outlineLevel="7">
      <c r="A857" s="9">
        <v>629</v>
      </c>
      <c r="B857" s="10" t="s">
        <v>2690</v>
      </c>
      <c r="C857" s="65" t="s">
        <v>2691</v>
      </c>
      <c r="D857" s="65"/>
      <c r="E857" s="65"/>
      <c r="F857" s="65"/>
      <c r="G857" s="11" t="s">
        <v>2692</v>
      </c>
      <c r="H857" s="21" t="s">
        <v>44</v>
      </c>
      <c r="I857" s="15"/>
      <c r="J857" s="9">
        <v>1</v>
      </c>
      <c r="K857" s="16">
        <v>412.53</v>
      </c>
      <c r="L857" s="17"/>
      <c r="M857" s="15">
        <f>K857*L857</f>
        <v>0</v>
      </c>
      <c r="N857" s="18">
        <f>0.042*L857</f>
        <v>0</v>
      </c>
      <c r="O857" s="19">
        <f>0.00027*L857</f>
        <v>0</v>
      </c>
      <c r="P857" s="24" t="s">
        <v>26</v>
      </c>
      <c r="Q857" s="15" t="s">
        <v>2693</v>
      </c>
      <c r="R857" s="15"/>
      <c r="S857" s="10" t="str">
        <f>HYPERLINK("https://miland.ru/api/getInfo/image/1615ccff-08dc-11f1-a28f-00155d82e908")</f>
        <v>https://miland.ru/api/getInfo/image/1615ccff-08dc-11f1-a28f-00155d82e908</v>
      </c>
    </row>
    <row r="858" spans="1:19" s="2" customFormat="1" ht="96.2" customHeight="1" outlineLevel="7">
      <c r="A858" s="9">
        <v>630</v>
      </c>
      <c r="B858" s="10" t="s">
        <v>2694</v>
      </c>
      <c r="C858" s="65" t="s">
        <v>2695</v>
      </c>
      <c r="D858" s="65"/>
      <c r="E858" s="65"/>
      <c r="F858" s="65"/>
      <c r="G858" s="11" t="s">
        <v>2696</v>
      </c>
      <c r="H858" s="21" t="s">
        <v>44</v>
      </c>
      <c r="I858" s="15"/>
      <c r="J858" s="9">
        <v>1</v>
      </c>
      <c r="K858" s="16">
        <v>412.53</v>
      </c>
      <c r="L858" s="17"/>
      <c r="M858" s="15">
        <f>K858*L858</f>
        <v>0</v>
      </c>
      <c r="N858" s="18">
        <f>0.045*L858</f>
        <v>0</v>
      </c>
      <c r="O858" s="19">
        <f>0.00027*L858</f>
        <v>0</v>
      </c>
      <c r="P858" s="24" t="s">
        <v>26</v>
      </c>
      <c r="Q858" s="15" t="s">
        <v>2697</v>
      </c>
      <c r="R858" s="15"/>
      <c r="S858" s="10" t="str">
        <f>HYPERLINK("https://miland.ru/api/getInfo/image/f2d0a786-08db-11f1-a28f-00155d82e908")</f>
        <v>https://miland.ru/api/getInfo/image/f2d0a786-08db-11f1-a28f-00155d82e908</v>
      </c>
    </row>
    <row r="859" spans="1:19" s="1" customFormat="1" ht="12" customHeight="1" outlineLevel="6">
      <c r="A859" s="64" t="s">
        <v>2698</v>
      </c>
      <c r="B859" s="64"/>
      <c r="C859" s="64"/>
      <c r="D859" s="64"/>
      <c r="E859" s="64"/>
      <c r="F859" s="64"/>
      <c r="G859" s="8"/>
      <c r="H859" s="12"/>
      <c r="I859" s="2"/>
      <c r="J859" s="2"/>
      <c r="K859" s="13"/>
      <c r="L859" s="2"/>
      <c r="M859" s="2"/>
      <c r="N859" s="2"/>
      <c r="O859" s="2"/>
      <c r="P859" s="2"/>
      <c r="Q859" s="2"/>
      <c r="R859" s="2"/>
      <c r="S859" s="2"/>
    </row>
    <row r="860" spans="1:19" s="2" customFormat="1" ht="96.2" customHeight="1" outlineLevel="7">
      <c r="A860" s="9">
        <v>631</v>
      </c>
      <c r="B860" s="10" t="s">
        <v>2699</v>
      </c>
      <c r="C860" s="65" t="s">
        <v>2700</v>
      </c>
      <c r="D860" s="65"/>
      <c r="E860" s="65"/>
      <c r="F860" s="65"/>
      <c r="G860" s="11" t="s">
        <v>2701</v>
      </c>
      <c r="H860" s="14">
        <v>226</v>
      </c>
      <c r="I860" s="15"/>
      <c r="J860" s="9">
        <v>1</v>
      </c>
      <c r="K860" s="16">
        <v>412.53</v>
      </c>
      <c r="L860" s="17"/>
      <c r="M860" s="15">
        <f>K860*L860</f>
        <v>0</v>
      </c>
      <c r="N860" s="18">
        <f>0.067*L860</f>
        <v>0</v>
      </c>
      <c r="O860" s="19">
        <f>0.00036*L860</f>
        <v>0</v>
      </c>
      <c r="P860" s="24" t="s">
        <v>26</v>
      </c>
      <c r="Q860" s="15" t="s">
        <v>2702</v>
      </c>
      <c r="R860" s="15"/>
      <c r="S860" s="10" t="str">
        <f>HYPERLINK("https://miland.ru/api/getInfo/image/8a9a2d71-08dc-11f1-a28f-00155d82e908")</f>
        <v>https://miland.ru/api/getInfo/image/8a9a2d71-08dc-11f1-a28f-00155d82e908</v>
      </c>
    </row>
    <row r="861" spans="1:19" s="2" customFormat="1" ht="96.2" customHeight="1" outlineLevel="7">
      <c r="A861" s="9">
        <v>632</v>
      </c>
      <c r="B861" s="10" t="s">
        <v>2703</v>
      </c>
      <c r="C861" s="65" t="s">
        <v>2704</v>
      </c>
      <c r="D861" s="65"/>
      <c r="E861" s="65"/>
      <c r="F861" s="65"/>
      <c r="G861" s="11" t="s">
        <v>2705</v>
      </c>
      <c r="H861" s="21" t="s">
        <v>44</v>
      </c>
      <c r="I861" s="15"/>
      <c r="J861" s="9">
        <v>1</v>
      </c>
      <c r="K861" s="16">
        <v>412.53</v>
      </c>
      <c r="L861" s="17"/>
      <c r="M861" s="15">
        <f>K861*L861</f>
        <v>0</v>
      </c>
      <c r="N861" s="18">
        <f>0.045*L861</f>
        <v>0</v>
      </c>
      <c r="O861" s="19">
        <f>0.00028*L861</f>
        <v>0</v>
      </c>
      <c r="P861" s="24" t="s">
        <v>26</v>
      </c>
      <c r="Q861" s="15" t="s">
        <v>2706</v>
      </c>
      <c r="R861" s="15"/>
      <c r="S861" s="10" t="str">
        <f>HYPERLINK("https://miland.ru/api/getInfo/image/6c8c573f-08dc-11f1-a28f-00155d82e908")</f>
        <v>https://miland.ru/api/getInfo/image/6c8c573f-08dc-11f1-a28f-00155d82e908</v>
      </c>
    </row>
    <row r="862" spans="1:19" s="2" customFormat="1" ht="96.2" customHeight="1" outlineLevel="7">
      <c r="A862" s="9">
        <v>633</v>
      </c>
      <c r="B862" s="10" t="s">
        <v>2707</v>
      </c>
      <c r="C862" s="65" t="s">
        <v>2708</v>
      </c>
      <c r="D862" s="65"/>
      <c r="E862" s="65"/>
      <c r="F862" s="65"/>
      <c r="G862" s="11" t="s">
        <v>2709</v>
      </c>
      <c r="H862" s="21" t="s">
        <v>44</v>
      </c>
      <c r="I862" s="15"/>
      <c r="J862" s="9">
        <v>1</v>
      </c>
      <c r="K862" s="16">
        <v>412.53</v>
      </c>
      <c r="L862" s="17"/>
      <c r="M862" s="15">
        <f>K862*L862</f>
        <v>0</v>
      </c>
      <c r="N862" s="18">
        <f>0.044*L862</f>
        <v>0</v>
      </c>
      <c r="O862" s="19">
        <f>0.00028*L862</f>
        <v>0</v>
      </c>
      <c r="P862" s="24" t="s">
        <v>26</v>
      </c>
      <c r="Q862" s="15" t="s">
        <v>2710</v>
      </c>
      <c r="R862" s="15"/>
      <c r="S862" s="10" t="str">
        <f>HYPERLINK("https://miland.ru/api/getInfo/image/35b4ca8c-08dc-11f1-a28f-00155d82e908")</f>
        <v>https://miland.ru/api/getInfo/image/35b4ca8c-08dc-11f1-a28f-00155d82e908</v>
      </c>
    </row>
    <row r="863" spans="1:19" s="2" customFormat="1" ht="96.2" customHeight="1" outlineLevel="7">
      <c r="A863" s="9">
        <v>634</v>
      </c>
      <c r="B863" s="10" t="s">
        <v>2711</v>
      </c>
      <c r="C863" s="65" t="s">
        <v>2712</v>
      </c>
      <c r="D863" s="65"/>
      <c r="E863" s="65"/>
      <c r="F863" s="65"/>
      <c r="G863" s="11" t="s">
        <v>2713</v>
      </c>
      <c r="H863" s="21" t="s">
        <v>44</v>
      </c>
      <c r="I863" s="15"/>
      <c r="J863" s="9">
        <v>1</v>
      </c>
      <c r="K863" s="16">
        <v>412.53</v>
      </c>
      <c r="L863" s="17"/>
      <c r="M863" s="15">
        <f>K863*L863</f>
        <v>0</v>
      </c>
      <c r="N863" s="18">
        <f>0.045*L863</f>
        <v>0</v>
      </c>
      <c r="O863" s="19">
        <f>0.00027*L863</f>
        <v>0</v>
      </c>
      <c r="P863" s="24" t="s">
        <v>26</v>
      </c>
      <c r="Q863" s="15" t="s">
        <v>2714</v>
      </c>
      <c r="R863" s="15"/>
      <c r="S863" s="10" t="str">
        <f>HYPERLINK("https://miland.ru/api/getInfo/image/529b36dd-08dc-11f1-a28f-00155d82e908")</f>
        <v>https://miland.ru/api/getInfo/image/529b36dd-08dc-11f1-a28f-00155d82e908</v>
      </c>
    </row>
    <row r="864" spans="1:19" s="1" customFormat="1" ht="12" customHeight="1" outlineLevel="6">
      <c r="A864" s="64" t="s">
        <v>2715</v>
      </c>
      <c r="B864" s="64"/>
      <c r="C864" s="64"/>
      <c r="D864" s="64"/>
      <c r="E864" s="64"/>
      <c r="F864" s="64"/>
      <c r="G864" s="8"/>
      <c r="H864" s="12"/>
      <c r="I864" s="2"/>
      <c r="J864" s="2"/>
      <c r="K864" s="13"/>
      <c r="L864" s="2"/>
      <c r="M864" s="2"/>
      <c r="N864" s="2"/>
      <c r="O864" s="2"/>
      <c r="P864" s="2"/>
      <c r="Q864" s="2"/>
      <c r="R864" s="2"/>
      <c r="S864" s="2"/>
    </row>
    <row r="865" spans="1:19" s="2" customFormat="1" ht="96.2" customHeight="1" outlineLevel="7">
      <c r="A865" s="9">
        <v>635</v>
      </c>
      <c r="B865" s="10" t="s">
        <v>2716</v>
      </c>
      <c r="C865" s="65" t="s">
        <v>2717</v>
      </c>
      <c r="D865" s="65"/>
      <c r="E865" s="65"/>
      <c r="F865" s="65"/>
      <c r="G865" s="11" t="s">
        <v>2718</v>
      </c>
      <c r="H865" s="21" t="s">
        <v>44</v>
      </c>
      <c r="I865" s="15"/>
      <c r="J865" s="9">
        <v>1</v>
      </c>
      <c r="K865" s="16">
        <v>412.53</v>
      </c>
      <c r="L865" s="17"/>
      <c r="M865" s="15">
        <f>K865*L865</f>
        <v>0</v>
      </c>
      <c r="N865" s="18">
        <f>0.046*L865</f>
        <v>0</v>
      </c>
      <c r="O865" s="19">
        <f>0.00029*L865</f>
        <v>0</v>
      </c>
      <c r="P865" s="24" t="s">
        <v>26</v>
      </c>
      <c r="Q865" s="15" t="s">
        <v>2719</v>
      </c>
      <c r="R865" s="15"/>
      <c r="S865" s="10" t="str">
        <f>HYPERLINK("https://miland.ru/api/getInfo/image/ab6db414-08dc-11f1-a28f-00155d82e908")</f>
        <v>https://miland.ru/api/getInfo/image/ab6db414-08dc-11f1-a28f-00155d82e908</v>
      </c>
    </row>
    <row r="866" spans="1:19" s="2" customFormat="1" ht="96.2" customHeight="1" outlineLevel="7">
      <c r="A866" s="9">
        <v>636</v>
      </c>
      <c r="B866" s="10" t="s">
        <v>2720</v>
      </c>
      <c r="C866" s="65" t="s">
        <v>2721</v>
      </c>
      <c r="D866" s="65"/>
      <c r="E866" s="65"/>
      <c r="F866" s="65"/>
      <c r="G866" s="11" t="s">
        <v>2722</v>
      </c>
      <c r="H866" s="21" t="s">
        <v>44</v>
      </c>
      <c r="I866" s="15"/>
      <c r="J866" s="9">
        <v>1</v>
      </c>
      <c r="K866" s="16">
        <v>412.53</v>
      </c>
      <c r="L866" s="17"/>
      <c r="M866" s="15">
        <f>K866*L866</f>
        <v>0</v>
      </c>
      <c r="N866" s="18">
        <f>0.049*L866</f>
        <v>0</v>
      </c>
      <c r="O866" s="19">
        <f>0.00035*L866</f>
        <v>0</v>
      </c>
      <c r="P866" s="24" t="s">
        <v>26</v>
      </c>
      <c r="Q866" s="15" t="s">
        <v>2723</v>
      </c>
      <c r="R866" s="15"/>
      <c r="S866" s="10" t="str">
        <f>HYPERLINK("https://miland.ru/api/getInfo/image/ced9253d-08dc-11f1-a28f-00155d82e908")</f>
        <v>https://miland.ru/api/getInfo/image/ced9253d-08dc-11f1-a28f-00155d82e908</v>
      </c>
    </row>
    <row r="867" spans="1:19" s="2" customFormat="1" ht="96.2" customHeight="1" outlineLevel="7">
      <c r="A867" s="9">
        <v>637</v>
      </c>
      <c r="B867" s="10" t="s">
        <v>2724</v>
      </c>
      <c r="C867" s="65" t="s">
        <v>2725</v>
      </c>
      <c r="D867" s="65"/>
      <c r="E867" s="65"/>
      <c r="F867" s="65"/>
      <c r="G867" s="11" t="s">
        <v>2726</v>
      </c>
      <c r="H867" s="21" t="s">
        <v>44</v>
      </c>
      <c r="I867" s="15"/>
      <c r="J867" s="9">
        <v>1</v>
      </c>
      <c r="K867" s="16">
        <v>412.53</v>
      </c>
      <c r="L867" s="17"/>
      <c r="M867" s="15">
        <f>K867*L867</f>
        <v>0</v>
      </c>
      <c r="N867" s="18">
        <f>0.033*L867</f>
        <v>0</v>
      </c>
      <c r="O867" s="19">
        <f>0.00029*L867</f>
        <v>0</v>
      </c>
      <c r="P867" s="24" t="s">
        <v>26</v>
      </c>
      <c r="Q867" s="15" t="s">
        <v>2727</v>
      </c>
      <c r="R867" s="15"/>
      <c r="S867" s="10" t="str">
        <f>HYPERLINK("https://miland.ru/api/getInfo/image/26d166dc-08dd-11f1-a28f-00155d82e908")</f>
        <v>https://miland.ru/api/getInfo/image/26d166dc-08dd-11f1-a28f-00155d82e908</v>
      </c>
    </row>
    <row r="868" spans="1:19" s="2" customFormat="1" ht="96.2" customHeight="1" outlineLevel="7">
      <c r="A868" s="9">
        <v>638</v>
      </c>
      <c r="B868" s="10" t="s">
        <v>2728</v>
      </c>
      <c r="C868" s="65" t="s">
        <v>2729</v>
      </c>
      <c r="D868" s="65"/>
      <c r="E868" s="65"/>
      <c r="F868" s="65"/>
      <c r="G868" s="11" t="s">
        <v>2730</v>
      </c>
      <c r="H868" s="14">
        <v>445</v>
      </c>
      <c r="I868" s="15"/>
      <c r="J868" s="9">
        <v>1</v>
      </c>
      <c r="K868" s="16">
        <v>412.53</v>
      </c>
      <c r="L868" s="17"/>
      <c r="M868" s="15">
        <f>K868*L868</f>
        <v>0</v>
      </c>
      <c r="N868" s="18">
        <f>0.035*L868</f>
        <v>0</v>
      </c>
      <c r="O868" s="19">
        <f>0.00026*L868</f>
        <v>0</v>
      </c>
      <c r="P868" s="24" t="s">
        <v>26</v>
      </c>
      <c r="Q868" s="15" t="s">
        <v>2731</v>
      </c>
      <c r="R868" s="15"/>
      <c r="S868" s="10" t="str">
        <f>HYPERLINK("https://miland.ru/api/getInfo/image/46f7bb2f-08dd-11f1-a28f-00155d82e908")</f>
        <v>https://miland.ru/api/getInfo/image/46f7bb2f-08dd-11f1-a28f-00155d82e908</v>
      </c>
    </row>
    <row r="869" spans="1:19" s="1" customFormat="1" ht="12" customHeight="1" outlineLevel="6">
      <c r="A869" s="64" t="s">
        <v>2732</v>
      </c>
      <c r="B869" s="64"/>
      <c r="C869" s="64"/>
      <c r="D869" s="64"/>
      <c r="E869" s="64"/>
      <c r="F869" s="64"/>
      <c r="G869" s="8"/>
      <c r="H869" s="12"/>
      <c r="I869" s="2"/>
      <c r="J869" s="2"/>
      <c r="K869" s="13"/>
      <c r="L869" s="2"/>
      <c r="M869" s="2"/>
      <c r="N869" s="2"/>
      <c r="O869" s="2"/>
      <c r="P869" s="2"/>
      <c r="Q869" s="2"/>
      <c r="R869" s="2"/>
      <c r="S869" s="2"/>
    </row>
    <row r="870" spans="1:19" s="2" customFormat="1" ht="96.2" customHeight="1" outlineLevel="7">
      <c r="A870" s="25">
        <v>639</v>
      </c>
      <c r="B870" s="26" t="s">
        <v>2733</v>
      </c>
      <c r="C870" s="66" t="s">
        <v>2734</v>
      </c>
      <c r="D870" s="66"/>
      <c r="E870" s="66"/>
      <c r="F870" s="66"/>
      <c r="G870" s="27" t="s">
        <v>2735</v>
      </c>
      <c r="H870" s="33">
        <v>5</v>
      </c>
      <c r="I870" s="29"/>
      <c r="J870" s="25">
        <v>2</v>
      </c>
      <c r="K870" s="30">
        <v>303.81</v>
      </c>
      <c r="L870" s="17"/>
      <c r="M870" s="29">
        <f>K870*L870</f>
        <v>0</v>
      </c>
      <c r="N870" s="31">
        <f>0.085*L870</f>
        <v>0</v>
      </c>
      <c r="O870" s="35">
        <f>0.0007*L870</f>
        <v>0</v>
      </c>
      <c r="P870" s="36"/>
      <c r="Q870" s="29" t="s">
        <v>2736</v>
      </c>
      <c r="R870" s="29" t="s">
        <v>611</v>
      </c>
      <c r="S870" s="26" t="str">
        <f>HYPERLINK("https://miland.ru/api/getInfo/image/3dd25dc7-e4ee-11ee-a25a-00155d82e908")</f>
        <v>https://miland.ru/api/getInfo/image/3dd25dc7-e4ee-11ee-a25a-00155d82e908</v>
      </c>
    </row>
    <row r="871" spans="1:19" s="1" customFormat="1" ht="12" customHeight="1" outlineLevel="6">
      <c r="A871" s="64" t="s">
        <v>2737</v>
      </c>
      <c r="B871" s="64"/>
      <c r="C871" s="64"/>
      <c r="D871" s="64"/>
      <c r="E871" s="64"/>
      <c r="F871" s="64"/>
      <c r="G871" s="8"/>
      <c r="H871" s="12"/>
      <c r="I871" s="2"/>
      <c r="J871" s="2"/>
      <c r="K871" s="13"/>
      <c r="L871" s="2"/>
      <c r="M871" s="2"/>
      <c r="N871" s="2"/>
      <c r="O871" s="2"/>
      <c r="P871" s="2"/>
      <c r="Q871" s="2"/>
      <c r="R871" s="2"/>
      <c r="S871" s="2"/>
    </row>
    <row r="872" spans="1:19" s="2" customFormat="1" ht="96.2" customHeight="1" outlineLevel="7">
      <c r="A872" s="38">
        <v>640</v>
      </c>
      <c r="B872" s="39" t="s">
        <v>2738</v>
      </c>
      <c r="C872" s="67" t="s">
        <v>2739</v>
      </c>
      <c r="D872" s="67"/>
      <c r="E872" s="67"/>
      <c r="F872" s="67"/>
      <c r="G872" s="40" t="s">
        <v>2740</v>
      </c>
      <c r="H872" s="42">
        <v>5</v>
      </c>
      <c r="I872" s="43"/>
      <c r="J872" s="38">
        <v>1</v>
      </c>
      <c r="K872" s="44">
        <v>174.45</v>
      </c>
      <c r="L872" s="17"/>
      <c r="M872" s="43">
        <f>K872*L872</f>
        <v>0</v>
      </c>
      <c r="N872" s="47">
        <f>0.118*L872</f>
        <v>0</v>
      </c>
      <c r="O872" s="46">
        <f>0.00024*L872</f>
        <v>0</v>
      </c>
      <c r="P872" s="49"/>
      <c r="Q872" s="43" t="s">
        <v>2741</v>
      </c>
      <c r="R872" s="43" t="s">
        <v>611</v>
      </c>
      <c r="S872" s="39" t="str">
        <f>HYPERLINK("https://miland.ru/api/getInfo/image/131f0f93-7ab8-11ed-a22a-00155d82e902")</f>
        <v>https://miland.ru/api/getInfo/image/131f0f93-7ab8-11ed-a22a-00155d82e902</v>
      </c>
    </row>
    <row r="873" spans="1:19" s="2" customFormat="1" ht="96.2" customHeight="1" outlineLevel="7">
      <c r="A873" s="38">
        <v>641</v>
      </c>
      <c r="B873" s="39" t="s">
        <v>2742</v>
      </c>
      <c r="C873" s="67" t="s">
        <v>2743</v>
      </c>
      <c r="D873" s="67"/>
      <c r="E873" s="67"/>
      <c r="F873" s="67"/>
      <c r="G873" s="40" t="s">
        <v>2744</v>
      </c>
      <c r="H873" s="42">
        <v>2</v>
      </c>
      <c r="I873" s="43"/>
      <c r="J873" s="38">
        <v>1</v>
      </c>
      <c r="K873" s="44">
        <v>136.66</v>
      </c>
      <c r="L873" s="17"/>
      <c r="M873" s="43">
        <f>K873*L873</f>
        <v>0</v>
      </c>
      <c r="N873" s="47">
        <f>0.072*L873</f>
        <v>0</v>
      </c>
      <c r="O873" s="46">
        <f>0.00026*L873</f>
        <v>0</v>
      </c>
      <c r="P873" s="49"/>
      <c r="Q873" s="43" t="s">
        <v>2745</v>
      </c>
      <c r="R873" s="43" t="s">
        <v>611</v>
      </c>
      <c r="S873" s="39" t="str">
        <f>HYPERLINK("https://miland.ru/api/getInfo/image/1c9dfd0f-7ab7-11ed-a22a-00155d82e902")</f>
        <v>https://miland.ru/api/getInfo/image/1c9dfd0f-7ab7-11ed-a22a-00155d82e902</v>
      </c>
    </row>
    <row r="874" spans="1:19" s="1" customFormat="1" ht="12" customHeight="1" outlineLevel="6">
      <c r="A874" s="64" t="s">
        <v>2746</v>
      </c>
      <c r="B874" s="64"/>
      <c r="C874" s="64"/>
      <c r="D874" s="64"/>
      <c r="E874" s="64"/>
      <c r="F874" s="64"/>
      <c r="G874" s="8"/>
      <c r="H874" s="12"/>
      <c r="I874" s="2"/>
      <c r="J874" s="2"/>
      <c r="K874" s="13"/>
      <c r="L874" s="2"/>
      <c r="M874" s="2"/>
      <c r="N874" s="2"/>
      <c r="O874" s="2"/>
      <c r="P874" s="2"/>
      <c r="Q874" s="2"/>
      <c r="R874" s="2"/>
      <c r="S874" s="2"/>
    </row>
    <row r="875" spans="1:19" s="2" customFormat="1" ht="96.2" customHeight="1" outlineLevel="7">
      <c r="A875" s="25">
        <v>642</v>
      </c>
      <c r="B875" s="26" t="s">
        <v>2747</v>
      </c>
      <c r="C875" s="66" t="s">
        <v>2748</v>
      </c>
      <c r="D875" s="66"/>
      <c r="E875" s="66"/>
      <c r="F875" s="66"/>
      <c r="G875" s="27" t="s">
        <v>2749</v>
      </c>
      <c r="H875" s="28" t="s">
        <v>44</v>
      </c>
      <c r="I875" s="29"/>
      <c r="J875" s="25">
        <v>10</v>
      </c>
      <c r="K875" s="30">
        <v>60.98</v>
      </c>
      <c r="L875" s="17"/>
      <c r="M875" s="29">
        <f>K875*L875</f>
        <v>0</v>
      </c>
      <c r="N875" s="31">
        <f>0.043*L875</f>
        <v>0</v>
      </c>
      <c r="O875" s="32">
        <f>0.00008*L875</f>
        <v>0</v>
      </c>
      <c r="P875" s="36"/>
      <c r="Q875" s="29" t="s">
        <v>2750</v>
      </c>
      <c r="R875" s="29" t="s">
        <v>611</v>
      </c>
      <c r="S875" s="26" t="str">
        <f>HYPERLINK("https://miland.ru/api/getInfo/image/603bbe99-0956-11ef-a25d-00155d82e908")</f>
        <v>https://miland.ru/api/getInfo/image/603bbe99-0956-11ef-a25d-00155d82e908</v>
      </c>
    </row>
    <row r="876" spans="1:19" s="2" customFormat="1" ht="96.2" customHeight="1" outlineLevel="7">
      <c r="A876" s="25">
        <v>643</v>
      </c>
      <c r="B876" s="26" t="s">
        <v>2751</v>
      </c>
      <c r="C876" s="66" t="s">
        <v>2752</v>
      </c>
      <c r="D876" s="66"/>
      <c r="E876" s="66"/>
      <c r="F876" s="66"/>
      <c r="G876" s="27" t="s">
        <v>2753</v>
      </c>
      <c r="H876" s="28" t="s">
        <v>44</v>
      </c>
      <c r="I876" s="29"/>
      <c r="J876" s="25">
        <v>12</v>
      </c>
      <c r="K876" s="30">
        <v>115.59</v>
      </c>
      <c r="L876" s="17"/>
      <c r="M876" s="29">
        <f>K876*L876</f>
        <v>0</v>
      </c>
      <c r="N876" s="31">
        <f>0.041*L876</f>
        <v>0</v>
      </c>
      <c r="O876" s="32">
        <f>0.00006*L876</f>
        <v>0</v>
      </c>
      <c r="P876" s="36"/>
      <c r="Q876" s="29" t="s">
        <v>2754</v>
      </c>
      <c r="R876" s="29" t="s">
        <v>611</v>
      </c>
      <c r="S876" s="26" t="str">
        <f>HYPERLINK("https://miland.ru/api/getInfo/image/720a55fc-0956-11ef-a25d-00155d82e908")</f>
        <v>https://miland.ru/api/getInfo/image/720a55fc-0956-11ef-a25d-00155d82e908</v>
      </c>
    </row>
    <row r="877" spans="1:19" s="2" customFormat="1" ht="96.2" customHeight="1" outlineLevel="7">
      <c r="A877" s="25">
        <v>644</v>
      </c>
      <c r="B877" s="26" t="s">
        <v>2755</v>
      </c>
      <c r="C877" s="66" t="s">
        <v>2756</v>
      </c>
      <c r="D877" s="66"/>
      <c r="E877" s="66"/>
      <c r="F877" s="66"/>
      <c r="G877" s="27" t="s">
        <v>2757</v>
      </c>
      <c r="H877" s="28" t="s">
        <v>44</v>
      </c>
      <c r="I877" s="29"/>
      <c r="J877" s="25">
        <v>12</v>
      </c>
      <c r="K877" s="30">
        <v>60.98</v>
      </c>
      <c r="L877" s="17"/>
      <c r="M877" s="29">
        <f>K877*L877</f>
        <v>0</v>
      </c>
      <c r="N877" s="31">
        <f>0.043*L877</f>
        <v>0</v>
      </c>
      <c r="O877" s="32">
        <f>0.00005*L877</f>
        <v>0</v>
      </c>
      <c r="P877" s="36"/>
      <c r="Q877" s="29" t="s">
        <v>2758</v>
      </c>
      <c r="R877" s="29" t="s">
        <v>611</v>
      </c>
      <c r="S877" s="26" t="str">
        <f>HYPERLINK("https://miland.ru/api/getInfo/image/50e032bf-0956-11ef-a25d-00155d82e908")</f>
        <v>https://miland.ru/api/getInfo/image/50e032bf-0956-11ef-a25d-00155d82e908</v>
      </c>
    </row>
    <row r="878" spans="1:19" s="2" customFormat="1" ht="96.2" customHeight="1" outlineLevel="7">
      <c r="A878" s="25">
        <v>645</v>
      </c>
      <c r="B878" s="26" t="s">
        <v>2759</v>
      </c>
      <c r="C878" s="66" t="s">
        <v>2760</v>
      </c>
      <c r="D878" s="66"/>
      <c r="E878" s="66"/>
      <c r="F878" s="66"/>
      <c r="G878" s="27" t="s">
        <v>2761</v>
      </c>
      <c r="H878" s="33">
        <v>149</v>
      </c>
      <c r="I878" s="29"/>
      <c r="J878" s="25">
        <v>12</v>
      </c>
      <c r="K878" s="30">
        <v>115.59</v>
      </c>
      <c r="L878" s="17"/>
      <c r="M878" s="29">
        <f>K878*L878</f>
        <v>0</v>
      </c>
      <c r="N878" s="31">
        <f>0.046*L878</f>
        <v>0</v>
      </c>
      <c r="O878" s="32">
        <f>0.00008*L878</f>
        <v>0</v>
      </c>
      <c r="P878" s="36"/>
      <c r="Q878" s="29" t="s">
        <v>2762</v>
      </c>
      <c r="R878" s="29" t="s">
        <v>611</v>
      </c>
      <c r="S878" s="26" t="str">
        <f>HYPERLINK("https://miland.ru/api/getInfo/image/a66c271e-0955-11ef-a25d-00155d82e908")</f>
        <v>https://miland.ru/api/getInfo/image/a66c271e-0955-11ef-a25d-00155d82e908</v>
      </c>
    </row>
    <row r="879" spans="1:19" s="1" customFormat="1" ht="12" customHeight="1" outlineLevel="6">
      <c r="A879" s="64" t="s">
        <v>2763</v>
      </c>
      <c r="B879" s="64"/>
      <c r="C879" s="64"/>
      <c r="D879" s="64"/>
      <c r="E879" s="64"/>
      <c r="F879" s="64"/>
      <c r="G879" s="8"/>
      <c r="H879" s="12"/>
      <c r="I879" s="2"/>
      <c r="J879" s="2"/>
      <c r="K879" s="13"/>
      <c r="L879" s="2"/>
      <c r="M879" s="2"/>
      <c r="N879" s="2"/>
      <c r="O879" s="2"/>
      <c r="P879" s="2"/>
      <c r="Q879" s="2"/>
      <c r="R879" s="2"/>
      <c r="S879" s="2"/>
    </row>
    <row r="880" spans="1:19" s="2" customFormat="1" ht="96.2" customHeight="1" outlineLevel="7">
      <c r="A880" s="25">
        <v>646</v>
      </c>
      <c r="B880" s="26" t="s">
        <v>2764</v>
      </c>
      <c r="C880" s="66" t="s">
        <v>2765</v>
      </c>
      <c r="D880" s="66"/>
      <c r="E880" s="66"/>
      <c r="F880" s="66"/>
      <c r="G880" s="27" t="s">
        <v>2766</v>
      </c>
      <c r="H880" s="33">
        <v>5</v>
      </c>
      <c r="I880" s="29"/>
      <c r="J880" s="25">
        <v>3</v>
      </c>
      <c r="K880" s="30">
        <v>249.6</v>
      </c>
      <c r="L880" s="17"/>
      <c r="M880" s="29">
        <f>K880*L880</f>
        <v>0</v>
      </c>
      <c r="N880" s="31">
        <f>0.137*L880</f>
        <v>0</v>
      </c>
      <c r="O880" s="32">
        <f>0.00071*L880</f>
        <v>0</v>
      </c>
      <c r="P880" s="36"/>
      <c r="Q880" s="29" t="s">
        <v>2767</v>
      </c>
      <c r="R880" s="29" t="s">
        <v>611</v>
      </c>
      <c r="S880" s="26" t="str">
        <f>HYPERLINK("https://miland.ru/api/getInfo/image/51ace4ab-be9f-11ee-a25a-00155d82e908")</f>
        <v>https://miland.ru/api/getInfo/image/51ace4ab-be9f-11ee-a25a-00155d82e908</v>
      </c>
    </row>
    <row r="881" spans="1:19" s="2" customFormat="1" ht="96.2" customHeight="1" outlineLevel="7">
      <c r="A881" s="25">
        <v>647</v>
      </c>
      <c r="B881" s="26" t="s">
        <v>2768</v>
      </c>
      <c r="C881" s="66" t="s">
        <v>2769</v>
      </c>
      <c r="D881" s="66"/>
      <c r="E881" s="66"/>
      <c r="F881" s="66"/>
      <c r="G881" s="27" t="s">
        <v>2770</v>
      </c>
      <c r="H881" s="28" t="s">
        <v>44</v>
      </c>
      <c r="I881" s="29"/>
      <c r="J881" s="25">
        <v>3</v>
      </c>
      <c r="K881" s="30">
        <v>249.6</v>
      </c>
      <c r="L881" s="17"/>
      <c r="M881" s="29">
        <f>K881*L881</f>
        <v>0</v>
      </c>
      <c r="N881" s="31">
        <f>0.134*L881</f>
        <v>0</v>
      </c>
      <c r="O881" s="32">
        <f>0.00131*L881</f>
        <v>0</v>
      </c>
      <c r="P881" s="36"/>
      <c r="Q881" s="29" t="s">
        <v>2771</v>
      </c>
      <c r="R881" s="29" t="s">
        <v>611</v>
      </c>
      <c r="S881" s="26" t="str">
        <f>HYPERLINK("https://miland.ru/api/getInfo/image/fcc87891-bea0-11ee-a25a-00155d82e908")</f>
        <v>https://miland.ru/api/getInfo/image/fcc87891-bea0-11ee-a25a-00155d82e908</v>
      </c>
    </row>
    <row r="882" spans="1:19" s="2" customFormat="1" ht="96.2" customHeight="1" outlineLevel="7">
      <c r="A882" s="25">
        <v>648</v>
      </c>
      <c r="B882" s="26" t="s">
        <v>2772</v>
      </c>
      <c r="C882" s="66" t="s">
        <v>2773</v>
      </c>
      <c r="D882" s="66"/>
      <c r="E882" s="66"/>
      <c r="F882" s="66"/>
      <c r="G882" s="27" t="s">
        <v>2774</v>
      </c>
      <c r="H882" s="28" t="s">
        <v>44</v>
      </c>
      <c r="I882" s="29"/>
      <c r="J882" s="25">
        <v>3</v>
      </c>
      <c r="K882" s="30">
        <v>249.6</v>
      </c>
      <c r="L882" s="17"/>
      <c r="M882" s="29">
        <f>K882*L882</f>
        <v>0</v>
      </c>
      <c r="N882" s="31">
        <f>0.099*L882</f>
        <v>0</v>
      </c>
      <c r="O882" s="32">
        <f>0.00056*L882</f>
        <v>0</v>
      </c>
      <c r="P882" s="36"/>
      <c r="Q882" s="29" t="s">
        <v>2775</v>
      </c>
      <c r="R882" s="29" t="s">
        <v>611</v>
      </c>
      <c r="S882" s="26" t="str">
        <f>HYPERLINK("https://miland.ru/api/getInfo/image/e0eaf115-bea0-11ee-a25a-00155d82e908")</f>
        <v>https://miland.ru/api/getInfo/image/e0eaf115-bea0-11ee-a25a-00155d82e908</v>
      </c>
    </row>
    <row r="883" spans="1:19" s="2" customFormat="1" ht="96.2" customHeight="1" outlineLevel="7">
      <c r="A883" s="25">
        <v>649</v>
      </c>
      <c r="B883" s="26" t="s">
        <v>2776</v>
      </c>
      <c r="C883" s="66" t="s">
        <v>2777</v>
      </c>
      <c r="D883" s="66"/>
      <c r="E883" s="66"/>
      <c r="F883" s="66"/>
      <c r="G883" s="27" t="s">
        <v>2778</v>
      </c>
      <c r="H883" s="28" t="s">
        <v>44</v>
      </c>
      <c r="I883" s="29"/>
      <c r="J883" s="25">
        <v>3</v>
      </c>
      <c r="K883" s="30">
        <v>249.6</v>
      </c>
      <c r="L883" s="17"/>
      <c r="M883" s="29">
        <f>K883*L883</f>
        <v>0</v>
      </c>
      <c r="N883" s="31">
        <f>0.092*L883</f>
        <v>0</v>
      </c>
      <c r="O883" s="35">
        <f>0.0003*L883</f>
        <v>0</v>
      </c>
      <c r="P883" s="36"/>
      <c r="Q883" s="29" t="s">
        <v>2779</v>
      </c>
      <c r="R883" s="29" t="s">
        <v>611</v>
      </c>
      <c r="S883" s="26" t="str">
        <f>HYPERLINK("https://miland.ru/api/getInfo/image/ed97d6cf-bea0-11ee-a25a-00155d82e908")</f>
        <v>https://miland.ru/api/getInfo/image/ed97d6cf-bea0-11ee-a25a-00155d82e908</v>
      </c>
    </row>
    <row r="884" spans="1:19" s="1" customFormat="1" ht="12" customHeight="1" outlineLevel="6">
      <c r="A884" s="64" t="s">
        <v>2780</v>
      </c>
      <c r="B884" s="64"/>
      <c r="C884" s="64"/>
      <c r="D884" s="64"/>
      <c r="E884" s="64"/>
      <c r="F884" s="64"/>
      <c r="G884" s="8"/>
      <c r="H884" s="12"/>
      <c r="I884" s="2"/>
      <c r="J884" s="2"/>
      <c r="K884" s="13"/>
      <c r="L884" s="2"/>
      <c r="M884" s="2"/>
      <c r="N884" s="2"/>
      <c r="O884" s="2"/>
      <c r="P884" s="2"/>
      <c r="Q884" s="2"/>
      <c r="R884" s="2"/>
      <c r="S884" s="2"/>
    </row>
    <row r="885" spans="1:19" s="2" customFormat="1" ht="96.2" customHeight="1" outlineLevel="7">
      <c r="A885" s="38">
        <v>650</v>
      </c>
      <c r="B885" s="39" t="s">
        <v>2781</v>
      </c>
      <c r="C885" s="67" t="s">
        <v>2782</v>
      </c>
      <c r="D885" s="67"/>
      <c r="E885" s="67"/>
      <c r="F885" s="67"/>
      <c r="G885" s="40" t="s">
        <v>2783</v>
      </c>
      <c r="H885" s="42">
        <v>1</v>
      </c>
      <c r="I885" s="43"/>
      <c r="J885" s="38">
        <v>1</v>
      </c>
      <c r="K885" s="44">
        <v>67.27</v>
      </c>
      <c r="L885" s="17"/>
      <c r="M885" s="43">
        <f>K885*L885</f>
        <v>0</v>
      </c>
      <c r="N885" s="47">
        <f>0.056*L885</f>
        <v>0</v>
      </c>
      <c r="O885" s="46">
        <f>0.00031*L885</f>
        <v>0</v>
      </c>
      <c r="P885" s="49"/>
      <c r="Q885" s="43" t="s">
        <v>2784</v>
      </c>
      <c r="R885" s="43" t="s">
        <v>611</v>
      </c>
      <c r="S885" s="39" t="str">
        <f>HYPERLINK("https://miland.ru/api/getInfo/image/4e75346a-887e-11eb-a277-ac1f6b442184")</f>
        <v>https://miland.ru/api/getInfo/image/4e75346a-887e-11eb-a277-ac1f6b442184</v>
      </c>
    </row>
    <row r="886" spans="1:19" s="2" customFormat="1" ht="96.2" customHeight="1" outlineLevel="7">
      <c r="A886" s="25">
        <v>651</v>
      </c>
      <c r="B886" s="26" t="s">
        <v>2785</v>
      </c>
      <c r="C886" s="66" t="s">
        <v>2786</v>
      </c>
      <c r="D886" s="66"/>
      <c r="E886" s="66"/>
      <c r="F886" s="66"/>
      <c r="G886" s="27" t="s">
        <v>2787</v>
      </c>
      <c r="H886" s="28" t="s">
        <v>44</v>
      </c>
      <c r="I886" s="29"/>
      <c r="J886" s="25">
        <v>1</v>
      </c>
      <c r="K886" s="30">
        <v>434.93</v>
      </c>
      <c r="L886" s="17"/>
      <c r="M886" s="29">
        <f>K886*L886</f>
        <v>0</v>
      </c>
      <c r="N886" s="34">
        <f>0.09*L886</f>
        <v>0</v>
      </c>
      <c r="O886" s="32">
        <f>0.00038*L886</f>
        <v>0</v>
      </c>
      <c r="P886" s="36"/>
      <c r="Q886" s="29" t="s">
        <v>2788</v>
      </c>
      <c r="R886" s="29" t="s">
        <v>611</v>
      </c>
      <c r="S886" s="26" t="str">
        <f>HYPERLINK("https://miland.ru/api/getInfo/image/af77f47f-dfd5-11ef-a273-00155d82e908")</f>
        <v>https://miland.ru/api/getInfo/image/af77f47f-dfd5-11ef-a273-00155d82e908</v>
      </c>
    </row>
    <row r="887" spans="1:19" s="2" customFormat="1" ht="96.2" customHeight="1" outlineLevel="7">
      <c r="A887" s="25">
        <v>652</v>
      </c>
      <c r="B887" s="26" t="s">
        <v>2789</v>
      </c>
      <c r="C887" s="66" t="s">
        <v>2790</v>
      </c>
      <c r="D887" s="66"/>
      <c r="E887" s="66"/>
      <c r="F887" s="66"/>
      <c r="G887" s="27" t="s">
        <v>2791</v>
      </c>
      <c r="H887" s="28" t="s">
        <v>44</v>
      </c>
      <c r="I887" s="29"/>
      <c r="J887" s="25">
        <v>1</v>
      </c>
      <c r="K887" s="30">
        <v>434.93</v>
      </c>
      <c r="L887" s="17"/>
      <c r="M887" s="29">
        <f>K887*L887</f>
        <v>0</v>
      </c>
      <c r="N887" s="31">
        <f>0.078*L887</f>
        <v>0</v>
      </c>
      <c r="O887" s="32">
        <f>0.00037*L887</f>
        <v>0</v>
      </c>
      <c r="P887" s="36"/>
      <c r="Q887" s="29" t="s">
        <v>2792</v>
      </c>
      <c r="R887" s="29" t="s">
        <v>611</v>
      </c>
      <c r="S887" s="26" t="str">
        <f>HYPERLINK("https://miland.ru/api/getInfo/image/ce14c379-dfd5-11ef-a273-00155d82e908")</f>
        <v>https://miland.ru/api/getInfo/image/ce14c379-dfd5-11ef-a273-00155d82e908</v>
      </c>
    </row>
    <row r="888" spans="1:19" s="2" customFormat="1" ht="96.2" customHeight="1" outlineLevel="7">
      <c r="A888" s="25">
        <v>653</v>
      </c>
      <c r="B888" s="26" t="s">
        <v>2793</v>
      </c>
      <c r="C888" s="66" t="s">
        <v>2794</v>
      </c>
      <c r="D888" s="66"/>
      <c r="E888" s="66"/>
      <c r="F888" s="66"/>
      <c r="G888" s="27" t="s">
        <v>2795</v>
      </c>
      <c r="H888" s="28" t="s">
        <v>44</v>
      </c>
      <c r="I888" s="29"/>
      <c r="J888" s="25">
        <v>1</v>
      </c>
      <c r="K888" s="30">
        <v>434.93</v>
      </c>
      <c r="L888" s="17"/>
      <c r="M888" s="29">
        <f>K888*L888</f>
        <v>0</v>
      </c>
      <c r="N888" s="31">
        <f>8.443*L888</f>
        <v>0</v>
      </c>
      <c r="O888" s="32">
        <f>0.03924*L888</f>
        <v>0</v>
      </c>
      <c r="P888" s="36"/>
      <c r="Q888" s="29" t="s">
        <v>2796</v>
      </c>
      <c r="R888" s="29" t="s">
        <v>611</v>
      </c>
      <c r="S888" s="26" t="str">
        <f>HYPERLINK("https://miland.ru/api/getInfo/image/eb274911-dfd5-11ef-a273-00155d82e908")</f>
        <v>https://miland.ru/api/getInfo/image/eb274911-dfd5-11ef-a273-00155d82e908</v>
      </c>
    </row>
    <row r="889" spans="1:19" s="1" customFormat="1" ht="12" customHeight="1" outlineLevel="5">
      <c r="A889" s="64" t="s">
        <v>2797</v>
      </c>
      <c r="B889" s="64"/>
      <c r="C889" s="64"/>
      <c r="D889" s="64"/>
      <c r="E889" s="64"/>
      <c r="F889" s="64"/>
      <c r="G889" s="8"/>
      <c r="H889" s="12"/>
      <c r="I889" s="2"/>
      <c r="J889" s="2"/>
      <c r="K889" s="13"/>
      <c r="L889" s="2"/>
      <c r="M889" s="2"/>
      <c r="N889" s="2"/>
      <c r="O889" s="2"/>
      <c r="P889" s="2"/>
      <c r="Q889" s="2"/>
      <c r="R889" s="2"/>
      <c r="S889" s="2"/>
    </row>
    <row r="890" spans="1:19" s="1" customFormat="1" ht="12" customHeight="1" outlineLevel="6">
      <c r="A890" s="64" t="s">
        <v>2798</v>
      </c>
      <c r="B890" s="64"/>
      <c r="C890" s="64"/>
      <c r="D890" s="64"/>
      <c r="E890" s="64"/>
      <c r="F890" s="64"/>
      <c r="G890" s="8"/>
      <c r="H890" s="12"/>
      <c r="I890" s="2"/>
      <c r="J890" s="2"/>
      <c r="K890" s="13"/>
      <c r="L890" s="2"/>
      <c r="M890" s="2"/>
      <c r="N890" s="2"/>
      <c r="O890" s="2"/>
      <c r="P890" s="2"/>
      <c r="Q890" s="2"/>
      <c r="R890" s="2"/>
      <c r="S890" s="2"/>
    </row>
    <row r="891" spans="1:19" s="1" customFormat="1" ht="12" customHeight="1" outlineLevel="7">
      <c r="A891" s="64" t="s">
        <v>2799</v>
      </c>
      <c r="B891" s="64"/>
      <c r="C891" s="64"/>
      <c r="D891" s="64"/>
      <c r="E891" s="64"/>
      <c r="F891" s="64"/>
      <c r="G891" s="8"/>
      <c r="H891" s="12"/>
      <c r="I891" s="2"/>
      <c r="J891" s="2"/>
      <c r="K891" s="13"/>
      <c r="L891" s="2"/>
      <c r="M891" s="2"/>
      <c r="N891" s="2"/>
      <c r="O891" s="2"/>
      <c r="P891" s="2"/>
      <c r="Q891" s="2"/>
      <c r="R891" s="2"/>
      <c r="S891" s="2"/>
    </row>
    <row r="892" spans="1:19" s="2" customFormat="1" ht="96.2" customHeight="1" outlineLevel="7">
      <c r="A892" s="25">
        <v>654</v>
      </c>
      <c r="B892" s="26" t="s">
        <v>2800</v>
      </c>
      <c r="C892" s="66" t="s">
        <v>2801</v>
      </c>
      <c r="D892" s="66"/>
      <c r="E892" s="66"/>
      <c r="F892" s="66"/>
      <c r="G892" s="27" t="s">
        <v>2802</v>
      </c>
      <c r="H892" s="33">
        <v>174</v>
      </c>
      <c r="I892" s="29"/>
      <c r="J892" s="25">
        <v>2</v>
      </c>
      <c r="K892" s="30">
        <v>365.98</v>
      </c>
      <c r="L892" s="17"/>
      <c r="M892" s="29">
        <f>K892*L892</f>
        <v>0</v>
      </c>
      <c r="N892" s="31">
        <f>0.044*L892</f>
        <v>0</v>
      </c>
      <c r="O892" s="32">
        <f>0.00036*L892</f>
        <v>0</v>
      </c>
      <c r="P892" s="36"/>
      <c r="Q892" s="29" t="s">
        <v>2803</v>
      </c>
      <c r="R892" s="29" t="s">
        <v>611</v>
      </c>
      <c r="S892" s="26" t="str">
        <f>HYPERLINK("https://miland.ru/api/getInfo/image/bcfad71b-9d78-11ed-a22e-00155d82e902")</f>
        <v>https://miland.ru/api/getInfo/image/bcfad71b-9d78-11ed-a22e-00155d82e902</v>
      </c>
    </row>
    <row r="893" spans="1:19" s="2" customFormat="1" ht="96.2" customHeight="1" outlineLevel="7">
      <c r="A893" s="25">
        <v>655</v>
      </c>
      <c r="B893" s="26" t="s">
        <v>2804</v>
      </c>
      <c r="C893" s="66" t="s">
        <v>2805</v>
      </c>
      <c r="D893" s="66"/>
      <c r="E893" s="66"/>
      <c r="F893" s="66"/>
      <c r="G893" s="27" t="s">
        <v>2806</v>
      </c>
      <c r="H893" s="33">
        <v>312</v>
      </c>
      <c r="I893" s="29"/>
      <c r="J893" s="25">
        <v>2</v>
      </c>
      <c r="K893" s="30">
        <v>365.98</v>
      </c>
      <c r="L893" s="17"/>
      <c r="M893" s="29">
        <f>K893*L893</f>
        <v>0</v>
      </c>
      <c r="N893" s="31">
        <f>0.037*L893</f>
        <v>0</v>
      </c>
      <c r="O893" s="32">
        <f>0.00043*L893</f>
        <v>0</v>
      </c>
      <c r="P893" s="36"/>
      <c r="Q893" s="29" t="s">
        <v>2807</v>
      </c>
      <c r="R893" s="29" t="s">
        <v>611</v>
      </c>
      <c r="S893" s="26" t="str">
        <f>HYPERLINK("https://miland.ru/api/getInfo/image/8c61f377-9d78-11ed-a22e-00155d82e902")</f>
        <v>https://miland.ru/api/getInfo/image/8c61f377-9d78-11ed-a22e-00155d82e902</v>
      </c>
    </row>
    <row r="894" spans="1:19" s="2" customFormat="1" ht="96.2" customHeight="1" outlineLevel="7">
      <c r="A894" s="25">
        <v>656</v>
      </c>
      <c r="B894" s="26" t="s">
        <v>2808</v>
      </c>
      <c r="C894" s="66" t="s">
        <v>2809</v>
      </c>
      <c r="D894" s="66"/>
      <c r="E894" s="66"/>
      <c r="F894" s="66"/>
      <c r="G894" s="27" t="s">
        <v>2810</v>
      </c>
      <c r="H894" s="33">
        <v>291</v>
      </c>
      <c r="I894" s="29"/>
      <c r="J894" s="25">
        <v>2</v>
      </c>
      <c r="K894" s="30">
        <v>365.98</v>
      </c>
      <c r="L894" s="17"/>
      <c r="M894" s="29">
        <f>K894*L894</f>
        <v>0</v>
      </c>
      <c r="N894" s="34">
        <f>0.04*L894</f>
        <v>0</v>
      </c>
      <c r="O894" s="32">
        <f>0.00036*L894</f>
        <v>0</v>
      </c>
      <c r="P894" s="36"/>
      <c r="Q894" s="29" t="s">
        <v>2811</v>
      </c>
      <c r="R894" s="29" t="s">
        <v>611</v>
      </c>
      <c r="S894" s="26" t="str">
        <f>HYPERLINK("https://miland.ru/api/getInfo/image/8eaddb04-9d79-11ed-a22e-00155d82e902")</f>
        <v>https://miland.ru/api/getInfo/image/8eaddb04-9d79-11ed-a22e-00155d82e902</v>
      </c>
    </row>
    <row r="895" spans="1:19" s="2" customFormat="1" ht="96.2" customHeight="1" outlineLevel="7">
      <c r="A895" s="25">
        <v>657</v>
      </c>
      <c r="B895" s="26" t="s">
        <v>2812</v>
      </c>
      <c r="C895" s="66" t="s">
        <v>2813</v>
      </c>
      <c r="D895" s="66"/>
      <c r="E895" s="66"/>
      <c r="F895" s="66"/>
      <c r="G895" s="27" t="s">
        <v>2814</v>
      </c>
      <c r="H895" s="33">
        <v>330</v>
      </c>
      <c r="I895" s="29"/>
      <c r="J895" s="25">
        <v>2</v>
      </c>
      <c r="K895" s="30">
        <v>365.98</v>
      </c>
      <c r="L895" s="17"/>
      <c r="M895" s="29">
        <f>K895*L895</f>
        <v>0</v>
      </c>
      <c r="N895" s="31">
        <f>0.041*L895</f>
        <v>0</v>
      </c>
      <c r="O895" s="32">
        <f>0.00035*L895</f>
        <v>0</v>
      </c>
      <c r="P895" s="36"/>
      <c r="Q895" s="29" t="s">
        <v>2815</v>
      </c>
      <c r="R895" s="29" t="s">
        <v>611</v>
      </c>
      <c r="S895" s="26" t="str">
        <f>HYPERLINK("https://miland.ru/api/getInfo/image/59e4351c-9d79-11ed-a22e-00155d82e902")</f>
        <v>https://miland.ru/api/getInfo/image/59e4351c-9d79-11ed-a22e-00155d82e902</v>
      </c>
    </row>
    <row r="896" spans="1:19" s="1" customFormat="1" ht="12" customHeight="1" outlineLevel="7">
      <c r="A896" s="64" t="s">
        <v>2816</v>
      </c>
      <c r="B896" s="64"/>
      <c r="C896" s="64"/>
      <c r="D896" s="64"/>
      <c r="E896" s="64"/>
      <c r="F896" s="64"/>
      <c r="G896" s="8"/>
      <c r="H896" s="12"/>
      <c r="I896" s="2"/>
      <c r="J896" s="2"/>
      <c r="K896" s="13"/>
      <c r="L896" s="2"/>
      <c r="M896" s="2"/>
      <c r="N896" s="2"/>
      <c r="O896" s="2"/>
      <c r="P896" s="2"/>
      <c r="Q896" s="2"/>
      <c r="R896" s="2"/>
      <c r="S896" s="2"/>
    </row>
    <row r="897" spans="1:19" s="2" customFormat="1" ht="96.2" customHeight="1" outlineLevel="7">
      <c r="A897" s="25">
        <v>658</v>
      </c>
      <c r="B897" s="26" t="s">
        <v>2817</v>
      </c>
      <c r="C897" s="66" t="s">
        <v>2818</v>
      </c>
      <c r="D897" s="66"/>
      <c r="E897" s="66"/>
      <c r="F897" s="66"/>
      <c r="G897" s="27" t="s">
        <v>2819</v>
      </c>
      <c r="H897" s="33">
        <v>214</v>
      </c>
      <c r="I897" s="29"/>
      <c r="J897" s="25">
        <v>2</v>
      </c>
      <c r="K897" s="30">
        <v>365.98</v>
      </c>
      <c r="L897" s="17"/>
      <c r="M897" s="29">
        <f>K897*L897</f>
        <v>0</v>
      </c>
      <c r="N897" s="31">
        <f>0.033*L897</f>
        <v>0</v>
      </c>
      <c r="O897" s="32">
        <f>0.00041*L897</f>
        <v>0</v>
      </c>
      <c r="P897" s="36"/>
      <c r="Q897" s="29" t="s">
        <v>2820</v>
      </c>
      <c r="R897" s="29" t="s">
        <v>611</v>
      </c>
      <c r="S897" s="26" t="str">
        <f>HYPERLINK("https://miland.ru/api/getInfo/image/059024c2-9d78-11ed-a22e-00155d82e902")</f>
        <v>https://miland.ru/api/getInfo/image/059024c2-9d78-11ed-a22e-00155d82e902</v>
      </c>
    </row>
    <row r="898" spans="1:19" s="2" customFormat="1" ht="96.2" customHeight="1" outlineLevel="7">
      <c r="A898" s="25">
        <v>659</v>
      </c>
      <c r="B898" s="26" t="s">
        <v>2821</v>
      </c>
      <c r="C898" s="66" t="s">
        <v>2822</v>
      </c>
      <c r="D898" s="66"/>
      <c r="E898" s="66"/>
      <c r="F898" s="66"/>
      <c r="G898" s="27" t="s">
        <v>2823</v>
      </c>
      <c r="H898" s="33">
        <v>225</v>
      </c>
      <c r="I898" s="29"/>
      <c r="J898" s="25">
        <v>2</v>
      </c>
      <c r="K898" s="30">
        <v>365.98</v>
      </c>
      <c r="L898" s="17"/>
      <c r="M898" s="29">
        <f>K898*L898</f>
        <v>0</v>
      </c>
      <c r="N898" s="31">
        <f>0.039*L898</f>
        <v>0</v>
      </c>
      <c r="O898" s="32">
        <f>0.00037*L898</f>
        <v>0</v>
      </c>
      <c r="P898" s="36"/>
      <c r="Q898" s="29" t="s">
        <v>2824</v>
      </c>
      <c r="R898" s="29" t="s">
        <v>611</v>
      </c>
      <c r="S898" s="26" t="str">
        <f>HYPERLINK("https://miland.ru/api/getInfo/image/2a3ac0e5-9d78-11ed-a22e-00155d82e902")</f>
        <v>https://miland.ru/api/getInfo/image/2a3ac0e5-9d78-11ed-a22e-00155d82e902</v>
      </c>
    </row>
    <row r="899" spans="1:19" s="2" customFormat="1" ht="96.2" customHeight="1" outlineLevel="7">
      <c r="A899" s="25">
        <v>660</v>
      </c>
      <c r="B899" s="26" t="s">
        <v>2825</v>
      </c>
      <c r="C899" s="66" t="s">
        <v>2826</v>
      </c>
      <c r="D899" s="66"/>
      <c r="E899" s="66"/>
      <c r="F899" s="66"/>
      <c r="G899" s="27" t="s">
        <v>2827</v>
      </c>
      <c r="H899" s="33">
        <v>150</v>
      </c>
      <c r="I899" s="29"/>
      <c r="J899" s="25">
        <v>2</v>
      </c>
      <c r="K899" s="30">
        <v>365.98</v>
      </c>
      <c r="L899" s="17"/>
      <c r="M899" s="29">
        <f>K899*L899</f>
        <v>0</v>
      </c>
      <c r="N899" s="34">
        <f>0.04*L899</f>
        <v>0</v>
      </c>
      <c r="O899" s="32">
        <f>0.00036*L899</f>
        <v>0</v>
      </c>
      <c r="P899" s="36"/>
      <c r="Q899" s="29" t="s">
        <v>2828</v>
      </c>
      <c r="R899" s="29" t="s">
        <v>611</v>
      </c>
      <c r="S899" s="26" t="str">
        <f>HYPERLINK("https://miland.ru/api/getInfo/image/61a4c4e7-9d78-11ed-a22e-00155d82e902")</f>
        <v>https://miland.ru/api/getInfo/image/61a4c4e7-9d78-11ed-a22e-00155d82e902</v>
      </c>
    </row>
    <row r="900" spans="1:19" s="1" customFormat="1" ht="12" customHeight="1" outlineLevel="5">
      <c r="A900" s="64" t="s">
        <v>2829</v>
      </c>
      <c r="B900" s="64"/>
      <c r="C900" s="64"/>
      <c r="D900" s="64"/>
      <c r="E900" s="64"/>
      <c r="F900" s="64"/>
      <c r="G900" s="8"/>
      <c r="H900" s="12"/>
      <c r="I900" s="2"/>
      <c r="J900" s="2"/>
      <c r="K900" s="13"/>
      <c r="L900" s="2"/>
      <c r="M900" s="2"/>
      <c r="N900" s="2"/>
      <c r="O900" s="2"/>
      <c r="P900" s="2"/>
      <c r="Q900" s="2"/>
      <c r="R900" s="2"/>
      <c r="S900" s="2"/>
    </row>
    <row r="901" spans="1:19" s="1" customFormat="1" ht="12" customHeight="1" outlineLevel="6">
      <c r="A901" s="64" t="s">
        <v>2830</v>
      </c>
      <c r="B901" s="64"/>
      <c r="C901" s="64"/>
      <c r="D901" s="64"/>
      <c r="E901" s="64"/>
      <c r="F901" s="64"/>
      <c r="G901" s="8"/>
      <c r="H901" s="12"/>
      <c r="I901" s="2"/>
      <c r="J901" s="2"/>
      <c r="K901" s="13"/>
      <c r="L901" s="2"/>
      <c r="M901" s="2"/>
      <c r="N901" s="2"/>
      <c r="O901" s="2"/>
      <c r="P901" s="2"/>
      <c r="Q901" s="2"/>
      <c r="R901" s="2"/>
      <c r="S901" s="2"/>
    </row>
    <row r="902" spans="1:19" s="1" customFormat="1" ht="12" customHeight="1" outlineLevel="7">
      <c r="A902" s="64" t="s">
        <v>2831</v>
      </c>
      <c r="B902" s="64"/>
      <c r="C902" s="64"/>
      <c r="D902" s="64"/>
      <c r="E902" s="64"/>
      <c r="F902" s="64"/>
      <c r="G902" s="8"/>
      <c r="H902" s="12"/>
      <c r="I902" s="2"/>
      <c r="J902" s="2"/>
      <c r="K902" s="13"/>
      <c r="L902" s="2"/>
      <c r="M902" s="2"/>
      <c r="N902" s="2"/>
      <c r="O902" s="2"/>
      <c r="P902" s="2"/>
      <c r="Q902" s="2"/>
      <c r="R902" s="2"/>
      <c r="S902" s="2"/>
    </row>
    <row r="903" spans="1:19" s="1" customFormat="1" ht="12" customHeight="1" outlineLevel="7">
      <c r="A903" s="64" t="s">
        <v>2832</v>
      </c>
      <c r="B903" s="64"/>
      <c r="C903" s="64"/>
      <c r="D903" s="64"/>
      <c r="E903" s="64"/>
      <c r="F903" s="64"/>
      <c r="G903" s="8"/>
      <c r="H903" s="12"/>
      <c r="I903" s="2"/>
      <c r="J903" s="2"/>
      <c r="K903" s="13"/>
      <c r="L903" s="2"/>
      <c r="M903" s="2"/>
      <c r="N903" s="2"/>
      <c r="O903" s="2"/>
      <c r="P903" s="2"/>
      <c r="Q903" s="2"/>
      <c r="R903" s="2"/>
      <c r="S903" s="2"/>
    </row>
    <row r="904" spans="1:19" s="2" customFormat="1" ht="96.2" customHeight="1" outlineLevel="7">
      <c r="A904" s="25">
        <v>661</v>
      </c>
      <c r="B904" s="26" t="s">
        <v>2833</v>
      </c>
      <c r="C904" s="66" t="s">
        <v>2834</v>
      </c>
      <c r="D904" s="66"/>
      <c r="E904" s="66"/>
      <c r="F904" s="66"/>
      <c r="G904" s="27" t="s">
        <v>2835</v>
      </c>
      <c r="H904" s="33">
        <v>152</v>
      </c>
      <c r="I904" s="29"/>
      <c r="J904" s="25">
        <v>1</v>
      </c>
      <c r="K904" s="30">
        <v>454.18</v>
      </c>
      <c r="L904" s="17"/>
      <c r="M904" s="29">
        <f>K904*L904</f>
        <v>0</v>
      </c>
      <c r="N904" s="34">
        <f>0.11*L904</f>
        <v>0</v>
      </c>
      <c r="O904" s="32">
        <f>0.00096*L904</f>
        <v>0</v>
      </c>
      <c r="P904" s="36"/>
      <c r="Q904" s="29" t="s">
        <v>2836</v>
      </c>
      <c r="R904" s="29" t="s">
        <v>611</v>
      </c>
      <c r="S904" s="26" t="str">
        <f>HYPERLINK("https://miland.ru/api/getInfo/image/499fe04c-02ef-11ef-a25d-00155d82e908")</f>
        <v>https://miland.ru/api/getInfo/image/499fe04c-02ef-11ef-a25d-00155d82e908</v>
      </c>
    </row>
    <row r="905" spans="1:19" s="2" customFormat="1" ht="96.2" customHeight="1" outlineLevel="7">
      <c r="A905" s="25">
        <v>662</v>
      </c>
      <c r="B905" s="26" t="s">
        <v>2837</v>
      </c>
      <c r="C905" s="66" t="s">
        <v>2838</v>
      </c>
      <c r="D905" s="66"/>
      <c r="E905" s="66"/>
      <c r="F905" s="66"/>
      <c r="G905" s="27" t="s">
        <v>2839</v>
      </c>
      <c r="H905" s="33">
        <v>495</v>
      </c>
      <c r="I905" s="29"/>
      <c r="J905" s="25">
        <v>1</v>
      </c>
      <c r="K905" s="30">
        <v>647.5</v>
      </c>
      <c r="L905" s="17"/>
      <c r="M905" s="29">
        <f>K905*L905</f>
        <v>0</v>
      </c>
      <c r="N905" s="31">
        <f>0.022*L905</f>
        <v>0</v>
      </c>
      <c r="O905" s="32">
        <f>0.00008*L905</f>
        <v>0</v>
      </c>
      <c r="P905" s="36"/>
      <c r="Q905" s="29" t="s">
        <v>2840</v>
      </c>
      <c r="R905" s="29" t="s">
        <v>611</v>
      </c>
      <c r="S905" s="26" t="str">
        <f>HYPERLINK("https://miland.ru/api/getInfo/image/31e53d57-f8bb-11ef-a274-00155d82e908")</f>
        <v>https://miland.ru/api/getInfo/image/31e53d57-f8bb-11ef-a274-00155d82e908</v>
      </c>
    </row>
    <row r="906" spans="1:19" s="2" customFormat="1" ht="96.2" customHeight="1" outlineLevel="7">
      <c r="A906" s="25">
        <v>663</v>
      </c>
      <c r="B906" s="26" t="s">
        <v>2841</v>
      </c>
      <c r="C906" s="66" t="s">
        <v>2842</v>
      </c>
      <c r="D906" s="66"/>
      <c r="E906" s="66"/>
      <c r="F906" s="66"/>
      <c r="G906" s="27" t="s">
        <v>2843</v>
      </c>
      <c r="H906" s="33">
        <v>2</v>
      </c>
      <c r="I906" s="29"/>
      <c r="J906" s="25">
        <v>1</v>
      </c>
      <c r="K906" s="30">
        <v>519.16999999999996</v>
      </c>
      <c r="L906" s="17"/>
      <c r="M906" s="29">
        <f>K906*L906</f>
        <v>0</v>
      </c>
      <c r="N906" s="31">
        <f>0.011*L906</f>
        <v>0</v>
      </c>
      <c r="O906" s="32">
        <f>0.00003*L906</f>
        <v>0</v>
      </c>
      <c r="P906" s="36"/>
      <c r="Q906" s="29" t="s">
        <v>2844</v>
      </c>
      <c r="R906" s="29" t="s">
        <v>611</v>
      </c>
      <c r="S906" s="26" t="str">
        <f>HYPERLINK("https://miland.ru/api/getInfo/image/ad7e20f2-0096-11f0-a277-00155d82e908")</f>
        <v>https://miland.ru/api/getInfo/image/ad7e20f2-0096-11f0-a277-00155d82e908</v>
      </c>
    </row>
    <row r="907" spans="1:19" s="2" customFormat="1" ht="96.2" customHeight="1" outlineLevel="7">
      <c r="A907" s="9">
        <v>664</v>
      </c>
      <c r="B907" s="10" t="s">
        <v>2845</v>
      </c>
      <c r="C907" s="65" t="s">
        <v>2846</v>
      </c>
      <c r="D907" s="65"/>
      <c r="E907" s="65"/>
      <c r="F907" s="65"/>
      <c r="G907" s="11" t="s">
        <v>2847</v>
      </c>
      <c r="H907" s="14">
        <v>438</v>
      </c>
      <c r="I907" s="15"/>
      <c r="J907" s="9">
        <v>1</v>
      </c>
      <c r="K907" s="16">
        <v>496.32</v>
      </c>
      <c r="L907" s="17"/>
      <c r="M907" s="15">
        <f>K907*L907</f>
        <v>0</v>
      </c>
      <c r="N907" s="15">
        <v>0</v>
      </c>
      <c r="O907" s="15">
        <v>0</v>
      </c>
      <c r="P907" s="24" t="s">
        <v>26</v>
      </c>
      <c r="Q907" s="15" t="s">
        <v>2848</v>
      </c>
      <c r="R907" s="15"/>
      <c r="S907" s="10" t="str">
        <f>HYPERLINK("https://miland.ru/api/getInfo/image/9c07d1e8-0683-11f1-a28f-00155d82e908")</f>
        <v>https://miland.ru/api/getInfo/image/9c07d1e8-0683-11f1-a28f-00155d82e908</v>
      </c>
    </row>
    <row r="908" spans="1:19" s="1" customFormat="1" ht="12" customHeight="1" outlineLevel="7">
      <c r="A908" s="64" t="s">
        <v>2849</v>
      </c>
      <c r="B908" s="64"/>
      <c r="C908" s="64"/>
      <c r="D908" s="64"/>
      <c r="E908" s="64"/>
      <c r="F908" s="64"/>
      <c r="G908" s="8"/>
      <c r="H908" s="12"/>
      <c r="I908" s="2"/>
      <c r="J908" s="2"/>
      <c r="K908" s="13"/>
      <c r="L908" s="2"/>
      <c r="M908" s="2"/>
      <c r="N908" s="2"/>
      <c r="O908" s="2"/>
      <c r="P908" s="2"/>
      <c r="Q908" s="2"/>
      <c r="R908" s="2"/>
      <c r="S908" s="2"/>
    </row>
    <row r="909" spans="1:19" s="1" customFormat="1" ht="12" customHeight="1" outlineLevel="7">
      <c r="A909" s="64" t="s">
        <v>2850</v>
      </c>
      <c r="B909" s="64"/>
      <c r="C909" s="64"/>
      <c r="D909" s="64"/>
      <c r="E909" s="64"/>
      <c r="F909" s="64"/>
      <c r="G909" s="8"/>
      <c r="H909" s="12"/>
      <c r="I909" s="2"/>
      <c r="J909" s="2"/>
      <c r="K909" s="13"/>
      <c r="L909" s="2"/>
      <c r="M909" s="2"/>
      <c r="N909" s="2"/>
      <c r="O909" s="2"/>
      <c r="P909" s="2"/>
      <c r="Q909" s="2"/>
      <c r="R909" s="2"/>
      <c r="S909" s="2"/>
    </row>
    <row r="910" spans="1:19" s="2" customFormat="1" ht="96.2" customHeight="1" outlineLevel="7">
      <c r="A910" s="9">
        <v>665</v>
      </c>
      <c r="B910" s="10" t="s">
        <v>2851</v>
      </c>
      <c r="C910" s="65" t="s">
        <v>2852</v>
      </c>
      <c r="D910" s="65"/>
      <c r="E910" s="65"/>
      <c r="F910" s="65"/>
      <c r="G910" s="11" t="s">
        <v>2853</v>
      </c>
      <c r="H910" s="14">
        <v>372</v>
      </c>
      <c r="I910" s="15"/>
      <c r="J910" s="9">
        <v>10</v>
      </c>
      <c r="K910" s="16">
        <v>57.83</v>
      </c>
      <c r="L910" s="17"/>
      <c r="M910" s="15">
        <f>K910*L910</f>
        <v>0</v>
      </c>
      <c r="N910" s="18">
        <f>0.015*L910</f>
        <v>0</v>
      </c>
      <c r="O910" s="19">
        <f>0.00007*L910</f>
        <v>0</v>
      </c>
      <c r="P910" s="24" t="s">
        <v>26</v>
      </c>
      <c r="Q910" s="15" t="s">
        <v>2854</v>
      </c>
      <c r="R910" s="15"/>
      <c r="S910" s="10" t="str">
        <f>HYPERLINK("https://miland.ru/api/getInfo/image/ac45c101-318f-11f1-a292-00155d82e908")</f>
        <v>https://miland.ru/api/getInfo/image/ac45c101-318f-11f1-a292-00155d82e908</v>
      </c>
    </row>
    <row r="911" spans="1:19" s="1" customFormat="1" ht="12" customHeight="1" outlineLevel="7">
      <c r="A911" s="64" t="s">
        <v>2855</v>
      </c>
      <c r="B911" s="64"/>
      <c r="C911" s="64"/>
      <c r="D911" s="64"/>
      <c r="E911" s="64"/>
      <c r="F911" s="64"/>
      <c r="G911" s="8"/>
      <c r="H911" s="12"/>
      <c r="I911" s="2"/>
      <c r="J911" s="2"/>
      <c r="K911" s="13"/>
      <c r="L911" s="2"/>
      <c r="M911" s="2"/>
      <c r="N911" s="2"/>
      <c r="O911" s="2"/>
      <c r="P911" s="2"/>
      <c r="Q911" s="2"/>
      <c r="R911" s="2"/>
      <c r="S911" s="2"/>
    </row>
    <row r="912" spans="1:19" s="2" customFormat="1" ht="96.2" customHeight="1" outlineLevel="7">
      <c r="A912" s="25">
        <v>666</v>
      </c>
      <c r="B912" s="26" t="s">
        <v>2856</v>
      </c>
      <c r="C912" s="66" t="s">
        <v>2857</v>
      </c>
      <c r="D912" s="66"/>
      <c r="E912" s="66"/>
      <c r="F912" s="66"/>
      <c r="G912" s="27" t="s">
        <v>2858</v>
      </c>
      <c r="H912" s="33">
        <v>19</v>
      </c>
      <c r="I912" s="29"/>
      <c r="J912" s="25">
        <v>10</v>
      </c>
      <c r="K912" s="30">
        <v>83.03</v>
      </c>
      <c r="L912" s="17"/>
      <c r="M912" s="29">
        <f>K912*L912</f>
        <v>0</v>
      </c>
      <c r="N912" s="31">
        <f>0.022*L912</f>
        <v>0</v>
      </c>
      <c r="O912" s="32">
        <f>0.00008*L912</f>
        <v>0</v>
      </c>
      <c r="P912" s="36"/>
      <c r="Q912" s="29" t="s">
        <v>2859</v>
      </c>
      <c r="R912" s="29" t="s">
        <v>611</v>
      </c>
      <c r="S912" s="26" t="str">
        <f>HYPERLINK("https://miland.ru/api/getInfo/image/a563ed54-0568-11f0-a277-00155d82e908")</f>
        <v>https://miland.ru/api/getInfo/image/a563ed54-0568-11f0-a277-00155d82e908</v>
      </c>
    </row>
    <row r="913" spans="1:19" s="2" customFormat="1" ht="96.2" customHeight="1" outlineLevel="7">
      <c r="A913" s="25">
        <v>667</v>
      </c>
      <c r="B913" s="26" t="s">
        <v>2860</v>
      </c>
      <c r="C913" s="66" t="s">
        <v>2861</v>
      </c>
      <c r="D913" s="66"/>
      <c r="E913" s="66"/>
      <c r="F913" s="66"/>
      <c r="G913" s="27" t="s">
        <v>2862</v>
      </c>
      <c r="H913" s="33">
        <v>3</v>
      </c>
      <c r="I913" s="29"/>
      <c r="J913" s="25">
        <v>3</v>
      </c>
      <c r="K913" s="30">
        <v>83.03</v>
      </c>
      <c r="L913" s="17"/>
      <c r="M913" s="29">
        <f>K913*L913</f>
        <v>0</v>
      </c>
      <c r="N913" s="31">
        <f>0.022*L913</f>
        <v>0</v>
      </c>
      <c r="O913" s="32">
        <f>0.00008*L913</f>
        <v>0</v>
      </c>
      <c r="P913" s="36"/>
      <c r="Q913" s="29" t="s">
        <v>2863</v>
      </c>
      <c r="R913" s="29" t="s">
        <v>611</v>
      </c>
      <c r="S913" s="26" t="str">
        <f>HYPERLINK("https://miland.ru/api/getInfo/image/046782bb-0569-11f0-a277-00155d82e908")</f>
        <v>https://miland.ru/api/getInfo/image/046782bb-0569-11f0-a277-00155d82e908</v>
      </c>
    </row>
    <row r="914" spans="1:19" s="2" customFormat="1" ht="96.2" customHeight="1" outlineLevel="7">
      <c r="A914" s="25">
        <v>668</v>
      </c>
      <c r="B914" s="26" t="s">
        <v>2864</v>
      </c>
      <c r="C914" s="66" t="s">
        <v>2865</v>
      </c>
      <c r="D914" s="66"/>
      <c r="E914" s="66"/>
      <c r="F914" s="66"/>
      <c r="G914" s="27" t="s">
        <v>2866</v>
      </c>
      <c r="H914" s="33">
        <v>3</v>
      </c>
      <c r="I914" s="29"/>
      <c r="J914" s="25">
        <v>3</v>
      </c>
      <c r="K914" s="30">
        <v>83.03</v>
      </c>
      <c r="L914" s="17"/>
      <c r="M914" s="29">
        <f>K914*L914</f>
        <v>0</v>
      </c>
      <c r="N914" s="31">
        <f>0.022*L914</f>
        <v>0</v>
      </c>
      <c r="O914" s="32">
        <f>0.00008*L914</f>
        <v>0</v>
      </c>
      <c r="P914" s="36"/>
      <c r="Q914" s="29" t="s">
        <v>2867</v>
      </c>
      <c r="R914" s="29" t="s">
        <v>611</v>
      </c>
      <c r="S914" s="26" t="str">
        <f>HYPERLINK("https://miland.ru/api/getInfo/image/cfc6a06f-0567-11f0-a277-00155d82e908")</f>
        <v>https://miland.ru/api/getInfo/image/cfc6a06f-0567-11f0-a277-00155d82e908</v>
      </c>
    </row>
    <row r="915" spans="1:19" s="2" customFormat="1" ht="96.2" customHeight="1" outlineLevel="7">
      <c r="A915" s="9">
        <v>669</v>
      </c>
      <c r="B915" s="10" t="s">
        <v>2868</v>
      </c>
      <c r="C915" s="65" t="s">
        <v>2869</v>
      </c>
      <c r="D915" s="65"/>
      <c r="E915" s="65"/>
      <c r="F915" s="65"/>
      <c r="G915" s="11" t="s">
        <v>2870</v>
      </c>
      <c r="H915" s="14">
        <v>30</v>
      </c>
      <c r="I915" s="15"/>
      <c r="J915" s="9">
        <v>10</v>
      </c>
      <c r="K915" s="16">
        <v>83.03</v>
      </c>
      <c r="L915" s="17"/>
      <c r="M915" s="15">
        <f>K915*L915</f>
        <v>0</v>
      </c>
      <c r="N915" s="18">
        <f>0.007*L915</f>
        <v>0</v>
      </c>
      <c r="O915" s="19">
        <f>0.00002*L915</f>
        <v>0</v>
      </c>
      <c r="P915" s="24" t="s">
        <v>26</v>
      </c>
      <c r="Q915" s="15" t="s">
        <v>2871</v>
      </c>
      <c r="R915" s="15"/>
      <c r="S915" s="10" t="str">
        <f>HYPERLINK("https://miland.ru/api/getInfo/image/041ecc37-318f-11f1-a292-00155d82e908")</f>
        <v>https://miland.ru/api/getInfo/image/041ecc37-318f-11f1-a292-00155d82e908</v>
      </c>
    </row>
    <row r="916" spans="1:19" s="2" customFormat="1" ht="96.2" customHeight="1" outlineLevel="7">
      <c r="A916" s="9">
        <v>670</v>
      </c>
      <c r="B916" s="10" t="s">
        <v>2872</v>
      </c>
      <c r="C916" s="65" t="s">
        <v>2873</v>
      </c>
      <c r="D916" s="65"/>
      <c r="E916" s="65"/>
      <c r="F916" s="65"/>
      <c r="G916" s="11" t="s">
        <v>2874</v>
      </c>
      <c r="H916" s="14">
        <v>35</v>
      </c>
      <c r="I916" s="15"/>
      <c r="J916" s="9">
        <v>10</v>
      </c>
      <c r="K916" s="16">
        <v>83.03</v>
      </c>
      <c r="L916" s="17"/>
      <c r="M916" s="15">
        <f>K916*L916</f>
        <v>0</v>
      </c>
      <c r="N916" s="18">
        <f>0.011*L916</f>
        <v>0</v>
      </c>
      <c r="O916" s="19">
        <f>0.00029*L916</f>
        <v>0</v>
      </c>
      <c r="P916" s="24" t="s">
        <v>26</v>
      </c>
      <c r="Q916" s="15" t="s">
        <v>2875</v>
      </c>
      <c r="R916" s="15"/>
      <c r="S916" s="10" t="str">
        <f>HYPERLINK("https://miland.ru/api/getInfo/image/473c7fca-318f-11f1-a292-00155d82e908")</f>
        <v>https://miland.ru/api/getInfo/image/473c7fca-318f-11f1-a292-00155d82e908</v>
      </c>
    </row>
    <row r="917" spans="1:19" s="1" customFormat="1" ht="12" customHeight="1" outlineLevel="7">
      <c r="A917" s="64" t="s">
        <v>2876</v>
      </c>
      <c r="B917" s="64"/>
      <c r="C917" s="64"/>
      <c r="D917" s="64"/>
      <c r="E917" s="64"/>
      <c r="F917" s="64"/>
      <c r="G917" s="8"/>
      <c r="H917" s="12"/>
      <c r="I917" s="2"/>
      <c r="J917" s="2"/>
      <c r="K917" s="13"/>
      <c r="L917" s="2"/>
      <c r="M917" s="2"/>
      <c r="N917" s="2"/>
      <c r="O917" s="2"/>
      <c r="P917" s="2"/>
      <c r="Q917" s="2"/>
      <c r="R917" s="2"/>
      <c r="S917" s="2"/>
    </row>
    <row r="918" spans="1:19" s="2" customFormat="1" ht="96.2" customHeight="1" outlineLevel="7">
      <c r="A918" s="25">
        <v>671</v>
      </c>
      <c r="B918" s="26" t="s">
        <v>2877</v>
      </c>
      <c r="C918" s="66" t="s">
        <v>2878</v>
      </c>
      <c r="D918" s="66"/>
      <c r="E918" s="66"/>
      <c r="F918" s="66"/>
      <c r="G918" s="27" t="s">
        <v>2879</v>
      </c>
      <c r="H918" s="33">
        <v>326</v>
      </c>
      <c r="I918" s="29"/>
      <c r="J918" s="25">
        <v>1</v>
      </c>
      <c r="K918" s="30">
        <v>768.05</v>
      </c>
      <c r="L918" s="17"/>
      <c r="M918" s="29">
        <f>K918*L918</f>
        <v>0</v>
      </c>
      <c r="N918" s="31">
        <f>0.237*L918</f>
        <v>0</v>
      </c>
      <c r="O918" s="32">
        <f>0.00079*L918</f>
        <v>0</v>
      </c>
      <c r="P918" s="36"/>
      <c r="Q918" s="29" t="s">
        <v>2880</v>
      </c>
      <c r="R918" s="29"/>
      <c r="S918" s="26" t="str">
        <f>HYPERLINK("https://miland.ru/api/getInfo/image/4d9e0015-3471-11ef-a261-00155d82e908")</f>
        <v>https://miland.ru/api/getInfo/image/4d9e0015-3471-11ef-a261-00155d82e908</v>
      </c>
    </row>
    <row r="919" spans="1:19" s="1" customFormat="1" ht="12" customHeight="1" outlineLevel="7">
      <c r="A919" s="64" t="s">
        <v>2881</v>
      </c>
      <c r="B919" s="64"/>
      <c r="C919" s="64"/>
      <c r="D919" s="64"/>
      <c r="E919" s="64"/>
      <c r="F919" s="64"/>
      <c r="G919" s="8"/>
      <c r="H919" s="12"/>
      <c r="I919" s="2"/>
      <c r="J919" s="2"/>
      <c r="K919" s="13"/>
      <c r="L919" s="2"/>
      <c r="M919" s="2"/>
      <c r="N919" s="2"/>
      <c r="O919" s="2"/>
      <c r="P919" s="2"/>
      <c r="Q919" s="2"/>
      <c r="R919" s="2"/>
      <c r="S919" s="2"/>
    </row>
    <row r="920" spans="1:19" s="2" customFormat="1" ht="96.2" customHeight="1" outlineLevel="7">
      <c r="A920" s="9">
        <v>672</v>
      </c>
      <c r="B920" s="10" t="s">
        <v>2882</v>
      </c>
      <c r="C920" s="65" t="s">
        <v>2883</v>
      </c>
      <c r="D920" s="65"/>
      <c r="E920" s="65"/>
      <c r="F920" s="65"/>
      <c r="G920" s="11" t="s">
        <v>2884</v>
      </c>
      <c r="H920" s="14">
        <v>434</v>
      </c>
      <c r="I920" s="15"/>
      <c r="J920" s="9">
        <v>1</v>
      </c>
      <c r="K920" s="16">
        <v>447.47</v>
      </c>
      <c r="L920" s="17"/>
      <c r="M920" s="15">
        <f>K920*L920</f>
        <v>0</v>
      </c>
      <c r="N920" s="18">
        <f>0.175*L920</f>
        <v>0</v>
      </c>
      <c r="O920" s="19">
        <f>0.00323*L920</f>
        <v>0</v>
      </c>
      <c r="P920" s="24" t="s">
        <v>26</v>
      </c>
      <c r="Q920" s="15" t="s">
        <v>2885</v>
      </c>
      <c r="R920" s="15"/>
      <c r="S920" s="10" t="str">
        <f>HYPERLINK("https://miland.ru/api/getInfo/image/d9222d89-0647-11f1-a28f-00155d82e908")</f>
        <v>https://miland.ru/api/getInfo/image/d9222d89-0647-11f1-a28f-00155d82e908</v>
      </c>
    </row>
    <row r="921" spans="1:19" s="1" customFormat="1" ht="12" customHeight="1" outlineLevel="6">
      <c r="A921" s="64" t="s">
        <v>613</v>
      </c>
      <c r="B921" s="64"/>
      <c r="C921" s="64"/>
      <c r="D921" s="64"/>
      <c r="E921" s="64"/>
      <c r="F921" s="64"/>
      <c r="G921" s="8"/>
      <c r="H921" s="12"/>
      <c r="I921" s="2"/>
      <c r="J921" s="2"/>
      <c r="K921" s="13"/>
      <c r="L921" s="2"/>
      <c r="M921" s="2"/>
      <c r="N921" s="2"/>
      <c r="O921" s="2"/>
      <c r="P921" s="2"/>
      <c r="Q921" s="2"/>
      <c r="R921" s="2"/>
      <c r="S921" s="2"/>
    </row>
    <row r="922" spans="1:19" s="2" customFormat="1" ht="96.2" customHeight="1" outlineLevel="7">
      <c r="A922" s="25">
        <v>673</v>
      </c>
      <c r="B922" s="26" t="s">
        <v>2886</v>
      </c>
      <c r="C922" s="66" t="s">
        <v>2887</v>
      </c>
      <c r="D922" s="66"/>
      <c r="E922" s="66"/>
      <c r="F922" s="66"/>
      <c r="G922" s="27" t="s">
        <v>2888</v>
      </c>
      <c r="H922" s="28" t="s">
        <v>44</v>
      </c>
      <c r="I922" s="29"/>
      <c r="J922" s="25">
        <v>5</v>
      </c>
      <c r="K922" s="30">
        <v>90.74</v>
      </c>
      <c r="L922" s="17"/>
      <c r="M922" s="29">
        <f t="shared" ref="M922:M943" si="47">K922*L922</f>
        <v>0</v>
      </c>
      <c r="N922" s="31">
        <f>0.016*L922</f>
        <v>0</v>
      </c>
      <c r="O922" s="32">
        <f>0.00021*L922</f>
        <v>0</v>
      </c>
      <c r="P922" s="36"/>
      <c r="Q922" s="29" t="s">
        <v>2889</v>
      </c>
      <c r="R922" s="29"/>
      <c r="S922" s="26" t="str">
        <f>HYPERLINK("https://miland.ru/api/getInfo/image/75429ae7-966f-11ed-a22d-00155d82e902")</f>
        <v>https://miland.ru/api/getInfo/image/75429ae7-966f-11ed-a22d-00155d82e902</v>
      </c>
    </row>
    <row r="923" spans="1:19" s="2" customFormat="1" ht="96.2" customHeight="1" outlineLevel="7">
      <c r="A923" s="25">
        <v>674</v>
      </c>
      <c r="B923" s="26" t="s">
        <v>2890</v>
      </c>
      <c r="C923" s="66" t="s">
        <v>2891</v>
      </c>
      <c r="D923" s="66"/>
      <c r="E923" s="66"/>
      <c r="F923" s="66"/>
      <c r="G923" s="27" t="s">
        <v>2892</v>
      </c>
      <c r="H923" s="28" t="s">
        <v>44</v>
      </c>
      <c r="I923" s="29"/>
      <c r="J923" s="25">
        <v>4</v>
      </c>
      <c r="K923" s="30">
        <v>173.85</v>
      </c>
      <c r="L923" s="17"/>
      <c r="M923" s="29">
        <f t="shared" si="47"/>
        <v>0</v>
      </c>
      <c r="N923" s="34">
        <f>0.05*L923</f>
        <v>0</v>
      </c>
      <c r="O923" s="32">
        <f>0.00032*L923</f>
        <v>0</v>
      </c>
      <c r="P923" s="36"/>
      <c r="Q923" s="29" t="s">
        <v>2893</v>
      </c>
      <c r="R923" s="29" t="s">
        <v>611</v>
      </c>
      <c r="S923" s="26" t="str">
        <f>HYPERLINK("https://miland.ru/api/getInfo/image/01d3c1d6-966d-11ed-a22d-00155d82e902")</f>
        <v>https://miland.ru/api/getInfo/image/01d3c1d6-966d-11ed-a22d-00155d82e902</v>
      </c>
    </row>
    <row r="924" spans="1:19" s="2" customFormat="1" ht="96.2" customHeight="1" outlineLevel="7">
      <c r="A924" s="25">
        <v>675</v>
      </c>
      <c r="B924" s="26" t="s">
        <v>2894</v>
      </c>
      <c r="C924" s="66" t="s">
        <v>2895</v>
      </c>
      <c r="D924" s="66"/>
      <c r="E924" s="66"/>
      <c r="F924" s="66"/>
      <c r="G924" s="27" t="s">
        <v>2896</v>
      </c>
      <c r="H924" s="33">
        <v>252</v>
      </c>
      <c r="I924" s="29"/>
      <c r="J924" s="25">
        <v>5</v>
      </c>
      <c r="K924" s="30">
        <v>109.22</v>
      </c>
      <c r="L924" s="17"/>
      <c r="M924" s="29">
        <f t="shared" si="47"/>
        <v>0</v>
      </c>
      <c r="N924" s="31">
        <f>0.042*L924</f>
        <v>0</v>
      </c>
      <c r="O924" s="32">
        <f>0.00005*L924</f>
        <v>0</v>
      </c>
      <c r="P924" s="36"/>
      <c r="Q924" s="29" t="s">
        <v>2897</v>
      </c>
      <c r="R924" s="29" t="s">
        <v>611</v>
      </c>
      <c r="S924" s="26" t="str">
        <f>HYPERLINK("https://miland.ru/api/getInfo/image/017e486f-24cc-11f0-a279-00155d82e908")</f>
        <v>https://miland.ru/api/getInfo/image/017e486f-24cc-11f0-a279-00155d82e908</v>
      </c>
    </row>
    <row r="925" spans="1:19" s="2" customFormat="1" ht="96.2" customHeight="1" outlineLevel="7">
      <c r="A925" s="25">
        <v>676</v>
      </c>
      <c r="B925" s="26" t="s">
        <v>2898</v>
      </c>
      <c r="C925" s="66" t="s">
        <v>2899</v>
      </c>
      <c r="D925" s="66"/>
      <c r="E925" s="66"/>
      <c r="F925" s="66"/>
      <c r="G925" s="27" t="s">
        <v>2900</v>
      </c>
      <c r="H925" s="33">
        <v>212</v>
      </c>
      <c r="I925" s="29"/>
      <c r="J925" s="25">
        <v>5</v>
      </c>
      <c r="K925" s="30">
        <v>109.22</v>
      </c>
      <c r="L925" s="17"/>
      <c r="M925" s="29">
        <f t="shared" si="47"/>
        <v>0</v>
      </c>
      <c r="N925" s="31">
        <f>0.044*L925</f>
        <v>0</v>
      </c>
      <c r="O925" s="32">
        <f>0.00005*L925</f>
        <v>0</v>
      </c>
      <c r="P925" s="36"/>
      <c r="Q925" s="29" t="s">
        <v>2901</v>
      </c>
      <c r="R925" s="29" t="s">
        <v>611</v>
      </c>
      <c r="S925" s="26" t="str">
        <f>HYPERLINK("https://miland.ru/api/getInfo/image/5d3df0c4-24cb-11f0-a279-00155d82e908")</f>
        <v>https://miland.ru/api/getInfo/image/5d3df0c4-24cb-11f0-a279-00155d82e908</v>
      </c>
    </row>
    <row r="926" spans="1:19" s="2" customFormat="1" ht="96.2" customHeight="1" outlineLevel="7">
      <c r="A926" s="25">
        <v>677</v>
      </c>
      <c r="B926" s="26" t="s">
        <v>2902</v>
      </c>
      <c r="C926" s="66" t="s">
        <v>2903</v>
      </c>
      <c r="D926" s="66"/>
      <c r="E926" s="66"/>
      <c r="F926" s="66"/>
      <c r="G926" s="27" t="s">
        <v>2904</v>
      </c>
      <c r="H926" s="33">
        <v>63</v>
      </c>
      <c r="I926" s="29"/>
      <c r="J926" s="25">
        <v>2</v>
      </c>
      <c r="K926" s="30">
        <v>361.29</v>
      </c>
      <c r="L926" s="17"/>
      <c r="M926" s="29">
        <f t="shared" si="47"/>
        <v>0</v>
      </c>
      <c r="N926" s="31">
        <f>0.046*L926</f>
        <v>0</v>
      </c>
      <c r="O926" s="32">
        <f>0.00063*L926</f>
        <v>0</v>
      </c>
      <c r="P926" s="36"/>
      <c r="Q926" s="29" t="s">
        <v>2905</v>
      </c>
      <c r="R926" s="29" t="s">
        <v>611</v>
      </c>
      <c r="S926" s="26" t="str">
        <f>HYPERLINK("https://miland.ru/api/getInfo/image/4763927e-beb5-11ee-a25a-00155d82e908")</f>
        <v>https://miland.ru/api/getInfo/image/4763927e-beb5-11ee-a25a-00155d82e908</v>
      </c>
    </row>
    <row r="927" spans="1:19" s="2" customFormat="1" ht="96.2" customHeight="1" outlineLevel="7">
      <c r="A927" s="25">
        <v>678</v>
      </c>
      <c r="B927" s="26" t="s">
        <v>2906</v>
      </c>
      <c r="C927" s="66" t="s">
        <v>2907</v>
      </c>
      <c r="D927" s="66"/>
      <c r="E927" s="66"/>
      <c r="F927" s="66"/>
      <c r="G927" s="27" t="s">
        <v>2908</v>
      </c>
      <c r="H927" s="33">
        <v>30</v>
      </c>
      <c r="I927" s="29"/>
      <c r="J927" s="25">
        <v>2</v>
      </c>
      <c r="K927" s="30">
        <v>361.29</v>
      </c>
      <c r="L927" s="17"/>
      <c r="M927" s="29">
        <f t="shared" si="47"/>
        <v>0</v>
      </c>
      <c r="N927" s="31">
        <f>0.049*L927</f>
        <v>0</v>
      </c>
      <c r="O927" s="32">
        <f>0.00095*L927</f>
        <v>0</v>
      </c>
      <c r="P927" s="36"/>
      <c r="Q927" s="29" t="s">
        <v>2909</v>
      </c>
      <c r="R927" s="29"/>
      <c r="S927" s="26" t="str">
        <f>HYPERLINK("https://miland.ru/api/getInfo/image/98c9115a-beb5-11ee-a25a-00155d82e908")</f>
        <v>https://miland.ru/api/getInfo/image/98c9115a-beb5-11ee-a25a-00155d82e908</v>
      </c>
    </row>
    <row r="928" spans="1:19" s="2" customFormat="1" ht="96.2" customHeight="1" outlineLevel="7">
      <c r="A928" s="25">
        <v>679</v>
      </c>
      <c r="B928" s="26" t="s">
        <v>2910</v>
      </c>
      <c r="C928" s="66" t="s">
        <v>2911</v>
      </c>
      <c r="D928" s="66"/>
      <c r="E928" s="66"/>
      <c r="F928" s="66"/>
      <c r="G928" s="27" t="s">
        <v>2912</v>
      </c>
      <c r="H928" s="33">
        <v>150</v>
      </c>
      <c r="I928" s="29"/>
      <c r="J928" s="25">
        <v>5</v>
      </c>
      <c r="K928" s="30">
        <v>132.9</v>
      </c>
      <c r="L928" s="17"/>
      <c r="M928" s="29">
        <f t="shared" si="47"/>
        <v>0</v>
      </c>
      <c r="N928" s="31">
        <f>0.027*L928</f>
        <v>0</v>
      </c>
      <c r="O928" s="32">
        <f>0.00023*L928</f>
        <v>0</v>
      </c>
      <c r="P928" s="36"/>
      <c r="Q928" s="29" t="s">
        <v>2913</v>
      </c>
      <c r="R928" s="29" t="s">
        <v>611</v>
      </c>
      <c r="S928" s="26" t="str">
        <f>HYPERLINK("https://miland.ru/api/getInfo/image/beba2db2-beb5-11ee-a25a-00155d82e908")</f>
        <v>https://miland.ru/api/getInfo/image/beba2db2-beb5-11ee-a25a-00155d82e908</v>
      </c>
    </row>
    <row r="929" spans="1:19" s="2" customFormat="1" ht="96.2" customHeight="1" outlineLevel="7">
      <c r="A929" s="25">
        <v>680</v>
      </c>
      <c r="B929" s="26" t="s">
        <v>2914</v>
      </c>
      <c r="C929" s="66" t="s">
        <v>2915</v>
      </c>
      <c r="D929" s="66"/>
      <c r="E929" s="66"/>
      <c r="F929" s="66"/>
      <c r="G929" s="27" t="s">
        <v>2916</v>
      </c>
      <c r="H929" s="33">
        <v>13</v>
      </c>
      <c r="I929" s="29"/>
      <c r="J929" s="25">
        <v>6</v>
      </c>
      <c r="K929" s="30">
        <v>106.12</v>
      </c>
      <c r="L929" s="17"/>
      <c r="M929" s="29">
        <f t="shared" si="47"/>
        <v>0</v>
      </c>
      <c r="N929" s="31">
        <f>0.021*L929</f>
        <v>0</v>
      </c>
      <c r="O929" s="32">
        <f>0.00014*L929</f>
        <v>0</v>
      </c>
      <c r="P929" s="36"/>
      <c r="Q929" s="29" t="s">
        <v>2917</v>
      </c>
      <c r="R929" s="29" t="s">
        <v>611</v>
      </c>
      <c r="S929" s="26" t="str">
        <f>HYPERLINK("https://miland.ru/api/getInfo/image/4a3de8ff-9669-11ed-a22d-00155d82e902")</f>
        <v>https://miland.ru/api/getInfo/image/4a3de8ff-9669-11ed-a22d-00155d82e902</v>
      </c>
    </row>
    <row r="930" spans="1:19" s="2" customFormat="1" ht="96.2" customHeight="1" outlineLevel="7">
      <c r="A930" s="25">
        <v>681</v>
      </c>
      <c r="B930" s="26" t="s">
        <v>2918</v>
      </c>
      <c r="C930" s="66" t="s">
        <v>2919</v>
      </c>
      <c r="D930" s="66"/>
      <c r="E930" s="66"/>
      <c r="F930" s="66"/>
      <c r="G930" s="27" t="s">
        <v>2920</v>
      </c>
      <c r="H930" s="28" t="s">
        <v>44</v>
      </c>
      <c r="I930" s="29"/>
      <c r="J930" s="25">
        <v>6</v>
      </c>
      <c r="K930" s="30">
        <v>90.66</v>
      </c>
      <c r="L930" s="17"/>
      <c r="M930" s="29">
        <f t="shared" si="47"/>
        <v>0</v>
      </c>
      <c r="N930" s="31">
        <f>0.018*L930</f>
        <v>0</v>
      </c>
      <c r="O930" s="35">
        <f>0.0002*L930</f>
        <v>0</v>
      </c>
      <c r="P930" s="36"/>
      <c r="Q930" s="29" t="s">
        <v>2921</v>
      </c>
      <c r="R930" s="29"/>
      <c r="S930" s="26" t="str">
        <f>HYPERLINK("https://miland.ru/api/getInfo/image/3c908c3e-9668-11ed-a22d-00155d82e902")</f>
        <v>https://miland.ru/api/getInfo/image/3c908c3e-9668-11ed-a22d-00155d82e902</v>
      </c>
    </row>
    <row r="931" spans="1:19" s="2" customFormat="1" ht="96.2" customHeight="1" outlineLevel="7">
      <c r="A931" s="25">
        <v>682</v>
      </c>
      <c r="B931" s="26" t="s">
        <v>2922</v>
      </c>
      <c r="C931" s="66" t="s">
        <v>2923</v>
      </c>
      <c r="D931" s="66"/>
      <c r="E931" s="66"/>
      <c r="F931" s="66"/>
      <c r="G931" s="27" t="s">
        <v>2924</v>
      </c>
      <c r="H931" s="33">
        <v>74</v>
      </c>
      <c r="I931" s="29"/>
      <c r="J931" s="25">
        <v>3</v>
      </c>
      <c r="K931" s="30">
        <v>265.20999999999998</v>
      </c>
      <c r="L931" s="17"/>
      <c r="M931" s="29">
        <f t="shared" si="47"/>
        <v>0</v>
      </c>
      <c r="N931" s="31">
        <f>0.043*L931</f>
        <v>0</v>
      </c>
      <c r="O931" s="32">
        <f>0.00015*L931</f>
        <v>0</v>
      </c>
      <c r="P931" s="36"/>
      <c r="Q931" s="29" t="s">
        <v>2925</v>
      </c>
      <c r="R931" s="29" t="s">
        <v>611</v>
      </c>
      <c r="S931" s="26" t="str">
        <f>HYPERLINK("https://miland.ru/api/getInfo/image/90e181cf-beb6-11ee-a25a-00155d82e908")</f>
        <v>https://miland.ru/api/getInfo/image/90e181cf-beb6-11ee-a25a-00155d82e908</v>
      </c>
    </row>
    <row r="932" spans="1:19" s="2" customFormat="1" ht="96.2" customHeight="1" outlineLevel="7">
      <c r="A932" s="25">
        <v>683</v>
      </c>
      <c r="B932" s="26" t="s">
        <v>2926</v>
      </c>
      <c r="C932" s="66" t="s">
        <v>2927</v>
      </c>
      <c r="D932" s="66"/>
      <c r="E932" s="66"/>
      <c r="F932" s="66"/>
      <c r="G932" s="27" t="s">
        <v>2928</v>
      </c>
      <c r="H932" s="28" t="s">
        <v>44</v>
      </c>
      <c r="I932" s="29"/>
      <c r="J932" s="25">
        <v>4</v>
      </c>
      <c r="K932" s="30">
        <v>179.36</v>
      </c>
      <c r="L932" s="17"/>
      <c r="M932" s="29">
        <f t="shared" si="47"/>
        <v>0</v>
      </c>
      <c r="N932" s="31">
        <f>0.044*L932</f>
        <v>0</v>
      </c>
      <c r="O932" s="32">
        <f>0.00069*L932</f>
        <v>0</v>
      </c>
      <c r="P932" s="36"/>
      <c r="Q932" s="29" t="s">
        <v>2929</v>
      </c>
      <c r="R932" s="29"/>
      <c r="S932" s="26" t="str">
        <f>HYPERLINK("https://miland.ru/api/getInfo/image/d3d63510-dcae-11ef-a273-00155d82e908")</f>
        <v>https://miland.ru/api/getInfo/image/d3d63510-dcae-11ef-a273-00155d82e908</v>
      </c>
    </row>
    <row r="933" spans="1:19" s="2" customFormat="1" ht="96.2" customHeight="1" outlineLevel="7">
      <c r="A933" s="25">
        <v>684</v>
      </c>
      <c r="B933" s="26" t="s">
        <v>2930</v>
      </c>
      <c r="C933" s="66" t="s">
        <v>2931</v>
      </c>
      <c r="D933" s="66"/>
      <c r="E933" s="66"/>
      <c r="F933" s="66"/>
      <c r="G933" s="27" t="s">
        <v>2932</v>
      </c>
      <c r="H933" s="28" t="s">
        <v>44</v>
      </c>
      <c r="I933" s="29"/>
      <c r="J933" s="25">
        <v>2</v>
      </c>
      <c r="K933" s="30">
        <v>277.54000000000002</v>
      </c>
      <c r="L933" s="17"/>
      <c r="M933" s="29">
        <f t="shared" si="47"/>
        <v>0</v>
      </c>
      <c r="N933" s="31">
        <f>0.054*L933</f>
        <v>0</v>
      </c>
      <c r="O933" s="32">
        <f>0.00068*L933</f>
        <v>0</v>
      </c>
      <c r="P933" s="36"/>
      <c r="Q933" s="29" t="s">
        <v>2933</v>
      </c>
      <c r="R933" s="29" t="s">
        <v>611</v>
      </c>
      <c r="S933" s="26" t="str">
        <f>HYPERLINK("https://miland.ru/api/getInfo/image/de47c82c-beb5-11ee-a25a-00155d82e908")</f>
        <v>https://miland.ru/api/getInfo/image/de47c82c-beb5-11ee-a25a-00155d82e908</v>
      </c>
    </row>
    <row r="934" spans="1:19" s="2" customFormat="1" ht="96.2" customHeight="1" outlineLevel="7">
      <c r="A934" s="25">
        <v>685</v>
      </c>
      <c r="B934" s="26" t="s">
        <v>2934</v>
      </c>
      <c r="C934" s="66" t="s">
        <v>2935</v>
      </c>
      <c r="D934" s="66"/>
      <c r="E934" s="66"/>
      <c r="F934" s="66"/>
      <c r="G934" s="27" t="s">
        <v>2936</v>
      </c>
      <c r="H934" s="28" t="s">
        <v>44</v>
      </c>
      <c r="I934" s="29"/>
      <c r="J934" s="25">
        <v>5</v>
      </c>
      <c r="K934" s="30">
        <v>125.33</v>
      </c>
      <c r="L934" s="17"/>
      <c r="M934" s="29">
        <f t="shared" si="47"/>
        <v>0</v>
      </c>
      <c r="N934" s="31">
        <f>0.013*L934</f>
        <v>0</v>
      </c>
      <c r="O934" s="32">
        <f>0.00011*L934</f>
        <v>0</v>
      </c>
      <c r="P934" s="36"/>
      <c r="Q934" s="29" t="s">
        <v>2937</v>
      </c>
      <c r="R934" s="29"/>
      <c r="S934" s="26" t="str">
        <f>HYPERLINK("https://miland.ru/api/getInfo/image/aaf77cbe-e2c0-11ee-a25a-00155d82e908")</f>
        <v>https://miland.ru/api/getInfo/image/aaf77cbe-e2c0-11ee-a25a-00155d82e908</v>
      </c>
    </row>
    <row r="935" spans="1:19" s="2" customFormat="1" ht="96.2" customHeight="1" outlineLevel="7">
      <c r="A935" s="25">
        <v>686</v>
      </c>
      <c r="B935" s="26" t="s">
        <v>2938</v>
      </c>
      <c r="C935" s="66" t="s">
        <v>2939</v>
      </c>
      <c r="D935" s="66"/>
      <c r="E935" s="66"/>
      <c r="F935" s="66"/>
      <c r="G935" s="27" t="s">
        <v>2940</v>
      </c>
      <c r="H935" s="33">
        <v>2</v>
      </c>
      <c r="I935" s="29"/>
      <c r="J935" s="25">
        <v>2</v>
      </c>
      <c r="K935" s="30">
        <v>184.6</v>
      </c>
      <c r="L935" s="17"/>
      <c r="M935" s="29">
        <f t="shared" si="47"/>
        <v>0</v>
      </c>
      <c r="N935" s="31">
        <f>0.024*L935</f>
        <v>0</v>
      </c>
      <c r="O935" s="32">
        <f>0.00015*L935</f>
        <v>0</v>
      </c>
      <c r="P935" s="36"/>
      <c r="Q935" s="29" t="s">
        <v>2941</v>
      </c>
      <c r="R935" s="29" t="s">
        <v>611</v>
      </c>
      <c r="S935" s="26" t="str">
        <f>HYPERLINK("https://miland.ru/api/getInfo/image/979131fd-e2c0-11ee-a25a-00155d82e908")</f>
        <v>https://miland.ru/api/getInfo/image/979131fd-e2c0-11ee-a25a-00155d82e908</v>
      </c>
    </row>
    <row r="936" spans="1:19" s="2" customFormat="1" ht="96.2" customHeight="1" outlineLevel="7">
      <c r="A936" s="25">
        <v>687</v>
      </c>
      <c r="B936" s="26" t="s">
        <v>2942</v>
      </c>
      <c r="C936" s="66" t="s">
        <v>2943</v>
      </c>
      <c r="D936" s="66"/>
      <c r="E936" s="66"/>
      <c r="F936" s="66"/>
      <c r="G936" s="27" t="s">
        <v>2944</v>
      </c>
      <c r="H936" s="28" t="s">
        <v>44</v>
      </c>
      <c r="I936" s="29"/>
      <c r="J936" s="25">
        <v>5</v>
      </c>
      <c r="K936" s="30">
        <v>160.80000000000001</v>
      </c>
      <c r="L936" s="17"/>
      <c r="M936" s="29">
        <f t="shared" si="47"/>
        <v>0</v>
      </c>
      <c r="N936" s="31">
        <f>0.017*L936</f>
        <v>0</v>
      </c>
      <c r="O936" s="32">
        <f>0.00009*L936</f>
        <v>0</v>
      </c>
      <c r="P936" s="36"/>
      <c r="Q936" s="29" t="s">
        <v>2945</v>
      </c>
      <c r="R936" s="29"/>
      <c r="S936" s="26" t="str">
        <f>HYPERLINK("https://miland.ru/api/getInfo/image/e9a9641f-966a-11ed-a22d-00155d82e902")</f>
        <v>https://miland.ru/api/getInfo/image/e9a9641f-966a-11ed-a22d-00155d82e902</v>
      </c>
    </row>
    <row r="937" spans="1:19" s="2" customFormat="1" ht="96.2" customHeight="1" outlineLevel="7">
      <c r="A937" s="25">
        <v>688</v>
      </c>
      <c r="B937" s="26" t="s">
        <v>2946</v>
      </c>
      <c r="C937" s="66" t="s">
        <v>2947</v>
      </c>
      <c r="D937" s="66"/>
      <c r="E937" s="66"/>
      <c r="F937" s="66"/>
      <c r="G937" s="27" t="s">
        <v>2948</v>
      </c>
      <c r="H937" s="28" t="s">
        <v>44</v>
      </c>
      <c r="I937" s="29"/>
      <c r="J937" s="25">
        <v>6</v>
      </c>
      <c r="K937" s="30">
        <v>146.80000000000001</v>
      </c>
      <c r="L937" s="17"/>
      <c r="M937" s="29">
        <f t="shared" si="47"/>
        <v>0</v>
      </c>
      <c r="N937" s="31">
        <f>0.019*L937</f>
        <v>0</v>
      </c>
      <c r="O937" s="32">
        <f>0.00021*L937</f>
        <v>0</v>
      </c>
      <c r="P937" s="36"/>
      <c r="Q937" s="29" t="s">
        <v>2949</v>
      </c>
      <c r="R937" s="29"/>
      <c r="S937" s="26" t="str">
        <f>HYPERLINK("https://miland.ru/api/getInfo/image/24774637-966b-11ed-a22d-00155d82e902")</f>
        <v>https://miland.ru/api/getInfo/image/24774637-966b-11ed-a22d-00155d82e902</v>
      </c>
    </row>
    <row r="938" spans="1:19" s="2" customFormat="1" ht="96.2" customHeight="1" outlineLevel="7">
      <c r="A938" s="25">
        <v>689</v>
      </c>
      <c r="B938" s="26" t="s">
        <v>2950</v>
      </c>
      <c r="C938" s="66" t="s">
        <v>2951</v>
      </c>
      <c r="D938" s="66"/>
      <c r="E938" s="66"/>
      <c r="F938" s="66"/>
      <c r="G938" s="27" t="s">
        <v>2952</v>
      </c>
      <c r="H938" s="28" t="s">
        <v>44</v>
      </c>
      <c r="I938" s="29"/>
      <c r="J938" s="25">
        <v>7</v>
      </c>
      <c r="K938" s="30">
        <v>82.39</v>
      </c>
      <c r="L938" s="17"/>
      <c r="M938" s="29">
        <f t="shared" si="47"/>
        <v>0</v>
      </c>
      <c r="N938" s="31">
        <f>0.014*L938</f>
        <v>0</v>
      </c>
      <c r="O938" s="32">
        <f>0.00019*L938</f>
        <v>0</v>
      </c>
      <c r="P938" s="36"/>
      <c r="Q938" s="29" t="s">
        <v>2953</v>
      </c>
      <c r="R938" s="29"/>
      <c r="S938" s="26" t="str">
        <f>HYPERLINK("https://miland.ru/api/getInfo/image/64f85b5c-966b-11ed-a22d-00155d82e902")</f>
        <v>https://miland.ru/api/getInfo/image/64f85b5c-966b-11ed-a22d-00155d82e902</v>
      </c>
    </row>
    <row r="939" spans="1:19" s="2" customFormat="1" ht="96.2" customHeight="1" outlineLevel="7">
      <c r="A939" s="25">
        <v>690</v>
      </c>
      <c r="B939" s="26" t="s">
        <v>2954</v>
      </c>
      <c r="C939" s="66" t="s">
        <v>2955</v>
      </c>
      <c r="D939" s="66"/>
      <c r="E939" s="66"/>
      <c r="F939" s="66"/>
      <c r="G939" s="27" t="s">
        <v>2956</v>
      </c>
      <c r="H939" s="33">
        <v>241</v>
      </c>
      <c r="I939" s="29"/>
      <c r="J939" s="25">
        <v>2</v>
      </c>
      <c r="K939" s="30">
        <v>312.31</v>
      </c>
      <c r="L939" s="17"/>
      <c r="M939" s="29">
        <f t="shared" si="47"/>
        <v>0</v>
      </c>
      <c r="N939" s="31">
        <f>0.067*L939</f>
        <v>0</v>
      </c>
      <c r="O939" s="35">
        <f>0.0003*L939</f>
        <v>0</v>
      </c>
      <c r="P939" s="36"/>
      <c r="Q939" s="29" t="s">
        <v>2957</v>
      </c>
      <c r="R939" s="29" t="s">
        <v>611</v>
      </c>
      <c r="S939" s="26" t="str">
        <f>HYPERLINK("https://miland.ru/api/getInfo/image/4990d360-f02b-11ee-a25b-00155d82e908")</f>
        <v>https://miland.ru/api/getInfo/image/4990d360-f02b-11ee-a25b-00155d82e908</v>
      </c>
    </row>
    <row r="940" spans="1:19" s="2" customFormat="1" ht="96.2" customHeight="1" outlineLevel="7">
      <c r="A940" s="38">
        <v>691</v>
      </c>
      <c r="B940" s="39" t="s">
        <v>2958</v>
      </c>
      <c r="C940" s="67" t="s">
        <v>2959</v>
      </c>
      <c r="D940" s="67"/>
      <c r="E940" s="67"/>
      <c r="F940" s="67"/>
      <c r="G940" s="40" t="s">
        <v>2960</v>
      </c>
      <c r="H940" s="42">
        <v>5</v>
      </c>
      <c r="I940" s="43"/>
      <c r="J940" s="38">
        <v>2</v>
      </c>
      <c r="K940" s="44">
        <v>20.98</v>
      </c>
      <c r="L940" s="17"/>
      <c r="M940" s="43">
        <f t="shared" si="47"/>
        <v>0</v>
      </c>
      <c r="N940" s="47">
        <f>0.015*L940</f>
        <v>0</v>
      </c>
      <c r="O940" s="46">
        <f>0.00051*L940</f>
        <v>0</v>
      </c>
      <c r="P940" s="49"/>
      <c r="Q940" s="43" t="s">
        <v>2961</v>
      </c>
      <c r="R940" s="43" t="s">
        <v>611</v>
      </c>
      <c r="S940" s="39" t="str">
        <f>HYPERLINK("https://miland.ru/api/getInfo/image/23b1846d-87b5-11eb-a277-ac1f6b442184")</f>
        <v>https://miland.ru/api/getInfo/image/23b1846d-87b5-11eb-a277-ac1f6b442184</v>
      </c>
    </row>
    <row r="941" spans="1:19" s="2" customFormat="1" ht="96.2" customHeight="1" outlineLevel="7">
      <c r="A941" s="25">
        <v>692</v>
      </c>
      <c r="B941" s="26" t="s">
        <v>2962</v>
      </c>
      <c r="C941" s="66" t="s">
        <v>2963</v>
      </c>
      <c r="D941" s="66"/>
      <c r="E941" s="66"/>
      <c r="F941" s="66"/>
      <c r="G941" s="27" t="s">
        <v>2964</v>
      </c>
      <c r="H941" s="33">
        <v>8</v>
      </c>
      <c r="I941" s="29"/>
      <c r="J941" s="25">
        <v>8</v>
      </c>
      <c r="K941" s="30">
        <v>70.209999999999994</v>
      </c>
      <c r="L941" s="17"/>
      <c r="M941" s="29">
        <f t="shared" si="47"/>
        <v>0</v>
      </c>
      <c r="N941" s="31">
        <f>0.015*L941</f>
        <v>0</v>
      </c>
      <c r="O941" s="32">
        <f>0.00051*L941</f>
        <v>0</v>
      </c>
      <c r="P941" s="36"/>
      <c r="Q941" s="29" t="s">
        <v>2965</v>
      </c>
      <c r="R941" s="29" t="s">
        <v>611</v>
      </c>
      <c r="S941" s="26" t="str">
        <f>HYPERLINK("https://miland.ru/api/getInfo/image/6f069edd-a55c-11ee-a258-00155d82e908")</f>
        <v>https://miland.ru/api/getInfo/image/6f069edd-a55c-11ee-a258-00155d82e908</v>
      </c>
    </row>
    <row r="942" spans="1:19" s="2" customFormat="1" ht="96.2" customHeight="1" outlineLevel="7">
      <c r="A942" s="25">
        <v>693</v>
      </c>
      <c r="B942" s="26" t="s">
        <v>2966</v>
      </c>
      <c r="C942" s="66" t="s">
        <v>2967</v>
      </c>
      <c r="D942" s="66"/>
      <c r="E942" s="66"/>
      <c r="F942" s="66"/>
      <c r="G942" s="27" t="s">
        <v>2968</v>
      </c>
      <c r="H942" s="33">
        <v>82</v>
      </c>
      <c r="I942" s="29"/>
      <c r="J942" s="25">
        <v>1</v>
      </c>
      <c r="K942" s="30">
        <v>485.6</v>
      </c>
      <c r="L942" s="17"/>
      <c r="M942" s="29">
        <f t="shared" si="47"/>
        <v>0</v>
      </c>
      <c r="N942" s="31">
        <f>0.144*L942</f>
        <v>0</v>
      </c>
      <c r="O942" s="32">
        <f>0.00251*L942</f>
        <v>0</v>
      </c>
      <c r="P942" s="36"/>
      <c r="Q942" s="29" t="s">
        <v>2969</v>
      </c>
      <c r="R942" s="29"/>
      <c r="S942" s="26" t="str">
        <f>HYPERLINK("https://miland.ru/api/getInfo/image/5bc4786c-dcae-11ef-a273-00155d82e908")</f>
        <v>https://miland.ru/api/getInfo/image/5bc4786c-dcae-11ef-a273-00155d82e908</v>
      </c>
    </row>
    <row r="943" spans="1:19" s="2" customFormat="1" ht="96.2" customHeight="1" outlineLevel="7">
      <c r="A943" s="25">
        <v>694</v>
      </c>
      <c r="B943" s="26" t="s">
        <v>2970</v>
      </c>
      <c r="C943" s="66" t="s">
        <v>2971</v>
      </c>
      <c r="D943" s="66"/>
      <c r="E943" s="66"/>
      <c r="F943" s="66"/>
      <c r="G943" s="27" t="s">
        <v>2972</v>
      </c>
      <c r="H943" s="28" t="s">
        <v>44</v>
      </c>
      <c r="I943" s="29"/>
      <c r="J943" s="25">
        <v>3</v>
      </c>
      <c r="K943" s="30">
        <v>216.83</v>
      </c>
      <c r="L943" s="17"/>
      <c r="M943" s="29">
        <f t="shared" si="47"/>
        <v>0</v>
      </c>
      <c r="N943" s="31">
        <f>0.036*L943</f>
        <v>0</v>
      </c>
      <c r="O943" s="32">
        <f>0.00001*L943</f>
        <v>0</v>
      </c>
      <c r="P943" s="36"/>
      <c r="Q943" s="29" t="s">
        <v>2973</v>
      </c>
      <c r="R943" s="29" t="s">
        <v>611</v>
      </c>
      <c r="S943" s="26" t="str">
        <f>HYPERLINK("https://miland.ru/api/getInfo/image/dcec578f-e2c0-11ee-a25a-00155d82e908")</f>
        <v>https://miland.ru/api/getInfo/image/dcec578f-e2c0-11ee-a25a-00155d82e908</v>
      </c>
    </row>
    <row r="944" spans="1:19" s="1" customFormat="1" ht="12" customHeight="1" outlineLevel="5">
      <c r="A944" s="64" t="s">
        <v>2974</v>
      </c>
      <c r="B944" s="64"/>
      <c r="C944" s="64"/>
      <c r="D944" s="64"/>
      <c r="E944" s="64"/>
      <c r="F944" s="64"/>
      <c r="G944" s="8"/>
      <c r="H944" s="12"/>
      <c r="I944" s="2"/>
      <c r="J944" s="2"/>
      <c r="K944" s="13"/>
      <c r="L944" s="2"/>
      <c r="M944" s="2"/>
      <c r="N944" s="2"/>
      <c r="O944" s="2"/>
      <c r="P944" s="2"/>
      <c r="Q944" s="2"/>
      <c r="R944" s="2"/>
      <c r="S944" s="2"/>
    </row>
    <row r="945" spans="1:19" s="1" customFormat="1" ht="12" customHeight="1" outlineLevel="6">
      <c r="A945" s="64" t="s">
        <v>2975</v>
      </c>
      <c r="B945" s="64"/>
      <c r="C945" s="64"/>
      <c r="D945" s="64"/>
      <c r="E945" s="64"/>
      <c r="F945" s="64"/>
      <c r="G945" s="8"/>
      <c r="H945" s="12"/>
      <c r="I945" s="2"/>
      <c r="J945" s="2"/>
      <c r="K945" s="13"/>
      <c r="L945" s="2"/>
      <c r="M945" s="2"/>
      <c r="N945" s="2"/>
      <c r="O945" s="2"/>
      <c r="P945" s="2"/>
      <c r="Q945" s="2"/>
      <c r="R945" s="2"/>
      <c r="S945" s="2"/>
    </row>
    <row r="946" spans="1:19" s="1" customFormat="1" ht="12" customHeight="1" outlineLevel="7">
      <c r="A946" s="64" t="s">
        <v>2976</v>
      </c>
      <c r="B946" s="64"/>
      <c r="C946" s="64"/>
      <c r="D946" s="64"/>
      <c r="E946" s="64"/>
      <c r="F946" s="64"/>
      <c r="G946" s="8"/>
      <c r="H946" s="12"/>
      <c r="I946" s="2"/>
      <c r="J946" s="2"/>
      <c r="K946" s="13"/>
      <c r="L946" s="2"/>
      <c r="M946" s="2"/>
      <c r="N946" s="2"/>
      <c r="O946" s="2"/>
      <c r="P946" s="2"/>
      <c r="Q946" s="2"/>
      <c r="R946" s="2"/>
      <c r="S946" s="2"/>
    </row>
    <row r="947" spans="1:19" s="2" customFormat="1" ht="96.2" customHeight="1" outlineLevel="7">
      <c r="A947" s="25">
        <v>695</v>
      </c>
      <c r="B947" s="26" t="s">
        <v>2977</v>
      </c>
      <c r="C947" s="66" t="s">
        <v>2978</v>
      </c>
      <c r="D947" s="66"/>
      <c r="E947" s="66"/>
      <c r="F947" s="66"/>
      <c r="G947" s="27" t="s">
        <v>2979</v>
      </c>
      <c r="H947" s="33">
        <v>219</v>
      </c>
      <c r="I947" s="29"/>
      <c r="J947" s="25">
        <v>2</v>
      </c>
      <c r="K947" s="30">
        <v>358.4</v>
      </c>
      <c r="L947" s="17"/>
      <c r="M947" s="29">
        <f t="shared" ref="M947:M955" si="48">K947*L947</f>
        <v>0</v>
      </c>
      <c r="N947" s="31">
        <f>0.017*L947</f>
        <v>0</v>
      </c>
      <c r="O947" s="32">
        <f>0.00038*L947</f>
        <v>0</v>
      </c>
      <c r="P947" s="36"/>
      <c r="Q947" s="29" t="s">
        <v>2980</v>
      </c>
      <c r="R947" s="29" t="s">
        <v>611</v>
      </c>
      <c r="S947" s="26" t="str">
        <f>HYPERLINK("https://miland.ru/api/getInfo/image/39c474f8-bf7c-11ee-a25a-00155d82e908")</f>
        <v>https://miland.ru/api/getInfo/image/39c474f8-bf7c-11ee-a25a-00155d82e908</v>
      </c>
    </row>
    <row r="948" spans="1:19" s="2" customFormat="1" ht="96.2" customHeight="1" outlineLevel="7">
      <c r="A948" s="25">
        <v>696</v>
      </c>
      <c r="B948" s="26" t="s">
        <v>2981</v>
      </c>
      <c r="C948" s="66" t="s">
        <v>2982</v>
      </c>
      <c r="D948" s="66"/>
      <c r="E948" s="66"/>
      <c r="F948" s="66"/>
      <c r="G948" s="27" t="s">
        <v>2983</v>
      </c>
      <c r="H948" s="28" t="s">
        <v>44</v>
      </c>
      <c r="I948" s="29"/>
      <c r="J948" s="25">
        <v>1</v>
      </c>
      <c r="K948" s="30">
        <v>374.41</v>
      </c>
      <c r="L948" s="17"/>
      <c r="M948" s="29">
        <f t="shared" si="48"/>
        <v>0</v>
      </c>
      <c r="N948" s="31">
        <f>0.053*L948</f>
        <v>0</v>
      </c>
      <c r="O948" s="32">
        <f>0.00051*L948</f>
        <v>0</v>
      </c>
      <c r="P948" s="36"/>
      <c r="Q948" s="29" t="s">
        <v>2984</v>
      </c>
      <c r="R948" s="29"/>
      <c r="S948" s="26" t="str">
        <f>HYPERLINK("https://miland.ru/api/getInfo/image/164644c9-bf7c-11ee-a25a-00155d82e908")</f>
        <v>https://miland.ru/api/getInfo/image/164644c9-bf7c-11ee-a25a-00155d82e908</v>
      </c>
    </row>
    <row r="949" spans="1:19" s="2" customFormat="1" ht="96.2" customHeight="1" outlineLevel="7">
      <c r="A949" s="9">
        <v>697</v>
      </c>
      <c r="B949" s="10" t="s">
        <v>2985</v>
      </c>
      <c r="C949" s="65" t="s">
        <v>2986</v>
      </c>
      <c r="D949" s="65"/>
      <c r="E949" s="65"/>
      <c r="F949" s="65"/>
      <c r="G949" s="11" t="s">
        <v>2987</v>
      </c>
      <c r="H949" s="21" t="s">
        <v>44</v>
      </c>
      <c r="I949" s="15"/>
      <c r="J949" s="9">
        <v>1</v>
      </c>
      <c r="K949" s="16">
        <v>855.84</v>
      </c>
      <c r="L949" s="17"/>
      <c r="M949" s="15">
        <f t="shared" si="48"/>
        <v>0</v>
      </c>
      <c r="N949" s="18">
        <f>0.038*L949</f>
        <v>0</v>
      </c>
      <c r="O949" s="19">
        <f>0.00012*L949</f>
        <v>0</v>
      </c>
      <c r="P949" s="24" t="s">
        <v>26</v>
      </c>
      <c r="Q949" s="15" t="s">
        <v>2988</v>
      </c>
      <c r="R949" s="15"/>
      <c r="S949" s="10" t="str">
        <f>HYPERLINK("https://miland.ru/api/getInfo/image/42ca78e0-283e-11f1-a291-00155d82e908")</f>
        <v>https://miland.ru/api/getInfo/image/42ca78e0-283e-11f1-a291-00155d82e908</v>
      </c>
    </row>
    <row r="950" spans="1:19" s="2" customFormat="1" ht="96.2" customHeight="1" outlineLevel="7">
      <c r="A950" s="25">
        <v>698</v>
      </c>
      <c r="B950" s="26" t="s">
        <v>2989</v>
      </c>
      <c r="C950" s="66" t="s">
        <v>2990</v>
      </c>
      <c r="D950" s="66"/>
      <c r="E950" s="66"/>
      <c r="F950" s="66"/>
      <c r="G950" s="27" t="s">
        <v>2991</v>
      </c>
      <c r="H950" s="28" t="s">
        <v>44</v>
      </c>
      <c r="I950" s="29"/>
      <c r="J950" s="25">
        <v>2</v>
      </c>
      <c r="K950" s="30">
        <v>359.17</v>
      </c>
      <c r="L950" s="17"/>
      <c r="M950" s="29">
        <f t="shared" si="48"/>
        <v>0</v>
      </c>
      <c r="N950" s="34">
        <f>0.04*L950</f>
        <v>0</v>
      </c>
      <c r="O950" s="32">
        <f>0.00018*L950</f>
        <v>0</v>
      </c>
      <c r="P950" s="36"/>
      <c r="Q950" s="29" t="s">
        <v>2992</v>
      </c>
      <c r="R950" s="29"/>
      <c r="S950" s="26" t="str">
        <f>HYPERLINK("https://miland.ru/api/getInfo/image/c55eb67d-bf7b-11ee-a25a-00155d82e908")</f>
        <v>https://miland.ru/api/getInfo/image/c55eb67d-bf7b-11ee-a25a-00155d82e908</v>
      </c>
    </row>
    <row r="951" spans="1:19" s="2" customFormat="1" ht="96.2" customHeight="1" outlineLevel="7">
      <c r="A951" s="25">
        <v>699</v>
      </c>
      <c r="B951" s="26" t="s">
        <v>2993</v>
      </c>
      <c r="C951" s="66" t="s">
        <v>2994</v>
      </c>
      <c r="D951" s="66"/>
      <c r="E951" s="66"/>
      <c r="F951" s="66"/>
      <c r="G951" s="27" t="s">
        <v>2995</v>
      </c>
      <c r="H951" s="33">
        <v>345</v>
      </c>
      <c r="I951" s="29"/>
      <c r="J951" s="25">
        <v>1</v>
      </c>
      <c r="K951" s="30">
        <v>590.74</v>
      </c>
      <c r="L951" s="17"/>
      <c r="M951" s="29">
        <f t="shared" si="48"/>
        <v>0</v>
      </c>
      <c r="N951" s="31">
        <f>0.019*L951</f>
        <v>0</v>
      </c>
      <c r="O951" s="35">
        <f>0.0006*L951</f>
        <v>0</v>
      </c>
      <c r="P951" s="36"/>
      <c r="Q951" s="29" t="s">
        <v>2996</v>
      </c>
      <c r="R951" s="29" t="s">
        <v>611</v>
      </c>
      <c r="S951" s="26" t="str">
        <f>HYPERLINK("https://miland.ru/api/getInfo/image/a9ae7b47-bf7b-11ee-a25a-00155d82e908")</f>
        <v>https://miland.ru/api/getInfo/image/a9ae7b47-bf7b-11ee-a25a-00155d82e908</v>
      </c>
    </row>
    <row r="952" spans="1:19" s="2" customFormat="1" ht="96.2" customHeight="1" outlineLevel="7">
      <c r="A952" s="9">
        <v>700</v>
      </c>
      <c r="B952" s="10" t="s">
        <v>2997</v>
      </c>
      <c r="C952" s="65" t="s">
        <v>2998</v>
      </c>
      <c r="D952" s="65"/>
      <c r="E952" s="65"/>
      <c r="F952" s="65"/>
      <c r="G952" s="11" t="s">
        <v>2999</v>
      </c>
      <c r="H952" s="21" t="s">
        <v>44</v>
      </c>
      <c r="I952" s="15"/>
      <c r="J952" s="9">
        <v>1</v>
      </c>
      <c r="K952" s="16">
        <v>731.5</v>
      </c>
      <c r="L952" s="17"/>
      <c r="M952" s="15">
        <f t="shared" si="48"/>
        <v>0</v>
      </c>
      <c r="N952" s="18">
        <f>0.055*L952</f>
        <v>0</v>
      </c>
      <c r="O952" s="19">
        <f>0.00045*L952</f>
        <v>0</v>
      </c>
      <c r="P952" s="24" t="s">
        <v>26</v>
      </c>
      <c r="Q952" s="15" t="s">
        <v>3000</v>
      </c>
      <c r="R952" s="15"/>
      <c r="S952" s="10" t="str">
        <f>HYPERLINK("https://miland.ru/api/getInfo/image/91277f6c-283e-11f1-a291-00155d82e908")</f>
        <v>https://miland.ru/api/getInfo/image/91277f6c-283e-11f1-a291-00155d82e908</v>
      </c>
    </row>
    <row r="953" spans="1:19" s="2" customFormat="1" ht="96.2" customHeight="1" outlineLevel="7">
      <c r="A953" s="9">
        <v>701</v>
      </c>
      <c r="B953" s="10" t="s">
        <v>3001</v>
      </c>
      <c r="C953" s="65" t="s">
        <v>3002</v>
      </c>
      <c r="D953" s="65"/>
      <c r="E953" s="65"/>
      <c r="F953" s="65"/>
      <c r="G953" s="11" t="s">
        <v>3003</v>
      </c>
      <c r="H953" s="21" t="s">
        <v>44</v>
      </c>
      <c r="I953" s="15"/>
      <c r="J953" s="9">
        <v>1</v>
      </c>
      <c r="K953" s="16">
        <v>876.56</v>
      </c>
      <c r="L953" s="17"/>
      <c r="M953" s="15">
        <f t="shared" si="48"/>
        <v>0</v>
      </c>
      <c r="N953" s="18">
        <f>0.047*L953</f>
        <v>0</v>
      </c>
      <c r="O953" s="19">
        <f>0.00033*L953</f>
        <v>0</v>
      </c>
      <c r="P953" s="24" t="s">
        <v>26</v>
      </c>
      <c r="Q953" s="15" t="s">
        <v>3004</v>
      </c>
      <c r="R953" s="15"/>
      <c r="S953" s="10" t="str">
        <f>HYPERLINK("https://miland.ru/api/getInfo/image/aaa894e9-283e-11f1-a291-00155d82e908")</f>
        <v>https://miland.ru/api/getInfo/image/aaa894e9-283e-11f1-a291-00155d82e908</v>
      </c>
    </row>
    <row r="954" spans="1:19" s="2" customFormat="1" ht="96.2" customHeight="1" outlineLevel="7">
      <c r="A954" s="9">
        <v>702</v>
      </c>
      <c r="B954" s="10" t="s">
        <v>3005</v>
      </c>
      <c r="C954" s="65" t="s">
        <v>3006</v>
      </c>
      <c r="D954" s="65"/>
      <c r="E954" s="65"/>
      <c r="F954" s="65"/>
      <c r="G954" s="11" t="s">
        <v>3007</v>
      </c>
      <c r="H954" s="21" t="s">
        <v>44</v>
      </c>
      <c r="I954" s="15"/>
      <c r="J954" s="9">
        <v>1</v>
      </c>
      <c r="K954" s="16">
        <v>876.56</v>
      </c>
      <c r="L954" s="17"/>
      <c r="M954" s="15">
        <f t="shared" si="48"/>
        <v>0</v>
      </c>
      <c r="N954" s="18">
        <f>0.038*L954</f>
        <v>0</v>
      </c>
      <c r="O954" s="19">
        <f>0.00022*L954</f>
        <v>0</v>
      </c>
      <c r="P954" s="24" t="s">
        <v>26</v>
      </c>
      <c r="Q954" s="15" t="s">
        <v>3008</v>
      </c>
      <c r="R954" s="15"/>
      <c r="S954" s="10" t="str">
        <f>HYPERLINK("https://miland.ru/api/getInfo/image/d7937776-283e-11f1-a291-00155d82e908")</f>
        <v>https://miland.ru/api/getInfo/image/d7937776-283e-11f1-a291-00155d82e908</v>
      </c>
    </row>
    <row r="955" spans="1:19" s="2" customFormat="1" ht="96.2" customHeight="1" outlineLevel="7">
      <c r="A955" s="9">
        <v>703</v>
      </c>
      <c r="B955" s="10" t="s">
        <v>3009</v>
      </c>
      <c r="C955" s="65" t="s">
        <v>3010</v>
      </c>
      <c r="D955" s="65"/>
      <c r="E955" s="65"/>
      <c r="F955" s="65"/>
      <c r="G955" s="11" t="s">
        <v>3011</v>
      </c>
      <c r="H955" s="14">
        <v>26</v>
      </c>
      <c r="I955" s="15"/>
      <c r="J955" s="9">
        <v>1</v>
      </c>
      <c r="K955" s="16">
        <v>381.29</v>
      </c>
      <c r="L955" s="17"/>
      <c r="M955" s="15">
        <f t="shared" si="48"/>
        <v>0</v>
      </c>
      <c r="N955" s="18">
        <f>0.025*L955</f>
        <v>0</v>
      </c>
      <c r="O955" s="19">
        <f>0.00017*L955</f>
        <v>0</v>
      </c>
      <c r="P955" s="24" t="s">
        <v>26</v>
      </c>
      <c r="Q955" s="15" t="s">
        <v>3012</v>
      </c>
      <c r="R955" s="15"/>
      <c r="S955" s="10" t="str">
        <f>HYPERLINK("https://miland.ru/api/getInfo/image/e687f104-559f-11f1-a295-00155d82e908")</f>
        <v>https://miland.ru/api/getInfo/image/e687f104-559f-11f1-a295-00155d82e908</v>
      </c>
    </row>
    <row r="956" spans="1:19" s="1" customFormat="1" ht="12" customHeight="1" outlineLevel="7">
      <c r="A956" s="64" t="s">
        <v>3013</v>
      </c>
      <c r="B956" s="64"/>
      <c r="C956" s="64"/>
      <c r="D956" s="64"/>
      <c r="E956" s="64"/>
      <c r="F956" s="64"/>
      <c r="G956" s="8"/>
      <c r="H956" s="12"/>
      <c r="I956" s="2"/>
      <c r="J956" s="2"/>
      <c r="K956" s="13"/>
      <c r="L956" s="2"/>
      <c r="M956" s="2"/>
      <c r="N956" s="2"/>
      <c r="O956" s="2"/>
      <c r="P956" s="2"/>
      <c r="Q956" s="2"/>
      <c r="R956" s="2"/>
      <c r="S956" s="2"/>
    </row>
    <row r="957" spans="1:19" s="2" customFormat="1" ht="96.2" customHeight="1" outlineLevel="7">
      <c r="A957" s="9">
        <v>704</v>
      </c>
      <c r="B957" s="10" t="s">
        <v>3014</v>
      </c>
      <c r="C957" s="65" t="s">
        <v>3015</v>
      </c>
      <c r="D957" s="65"/>
      <c r="E957" s="65"/>
      <c r="F957" s="65"/>
      <c r="G957" s="11" t="s">
        <v>3016</v>
      </c>
      <c r="H957" s="21" t="s">
        <v>44</v>
      </c>
      <c r="I957" s="15"/>
      <c r="J957" s="9">
        <v>1</v>
      </c>
      <c r="K957" s="16">
        <v>400.77</v>
      </c>
      <c r="L957" s="17"/>
      <c r="M957" s="15">
        <f>K957*L957</f>
        <v>0</v>
      </c>
      <c r="N957" s="23">
        <f>0.03*L957</f>
        <v>0</v>
      </c>
      <c r="O957" s="19">
        <f>0.00034*L957</f>
        <v>0</v>
      </c>
      <c r="P957" s="24" t="s">
        <v>26</v>
      </c>
      <c r="Q957" s="15" t="s">
        <v>3017</v>
      </c>
      <c r="R957" s="15"/>
      <c r="S957" s="10" t="str">
        <f>HYPERLINK("https://miland.ru/api/getInfo/image/7e606ae8-47ac-11f1-a294-00155d82e908")</f>
        <v>https://miland.ru/api/getInfo/image/7e606ae8-47ac-11f1-a294-00155d82e908</v>
      </c>
    </row>
    <row r="958" spans="1:19" s="2" customFormat="1" ht="96.2" customHeight="1" outlineLevel="7">
      <c r="A958" s="9">
        <v>705</v>
      </c>
      <c r="B958" s="10" t="s">
        <v>3018</v>
      </c>
      <c r="C958" s="65" t="s">
        <v>3019</v>
      </c>
      <c r="D958" s="65"/>
      <c r="E958" s="65"/>
      <c r="F958" s="65"/>
      <c r="G958" s="11" t="s">
        <v>3020</v>
      </c>
      <c r="H958" s="21" t="s">
        <v>44</v>
      </c>
      <c r="I958" s="15"/>
      <c r="J958" s="9">
        <v>1</v>
      </c>
      <c r="K958" s="16">
        <v>400.77</v>
      </c>
      <c r="L958" s="17"/>
      <c r="M958" s="15">
        <f>K958*L958</f>
        <v>0</v>
      </c>
      <c r="N958" s="18">
        <f>0.033*L958</f>
        <v>0</v>
      </c>
      <c r="O958" s="19">
        <f>0.00035*L958</f>
        <v>0</v>
      </c>
      <c r="P958" s="24" t="s">
        <v>26</v>
      </c>
      <c r="Q958" s="15" t="s">
        <v>3021</v>
      </c>
      <c r="R958" s="15"/>
      <c r="S958" s="10" t="str">
        <f>HYPERLINK("https://miland.ru/api/getInfo/image/c970afd7-47ab-11f1-a294-00155d82e908")</f>
        <v>https://miland.ru/api/getInfo/image/c970afd7-47ab-11f1-a294-00155d82e908</v>
      </c>
    </row>
    <row r="959" spans="1:19" s="2" customFormat="1" ht="96.2" customHeight="1" outlineLevel="7">
      <c r="A959" s="9">
        <v>706</v>
      </c>
      <c r="B959" s="10" t="s">
        <v>3022</v>
      </c>
      <c r="C959" s="65" t="s">
        <v>3023</v>
      </c>
      <c r="D959" s="65"/>
      <c r="E959" s="65"/>
      <c r="F959" s="65"/>
      <c r="G959" s="11" t="s">
        <v>3024</v>
      </c>
      <c r="H959" s="21" t="s">
        <v>44</v>
      </c>
      <c r="I959" s="15"/>
      <c r="J959" s="9">
        <v>1</v>
      </c>
      <c r="K959" s="16">
        <v>400.77</v>
      </c>
      <c r="L959" s="17"/>
      <c r="M959" s="15">
        <f>K959*L959</f>
        <v>0</v>
      </c>
      <c r="N959" s="18">
        <f>0.035*L959</f>
        <v>0</v>
      </c>
      <c r="O959" s="19">
        <f>0.00038*L959</f>
        <v>0</v>
      </c>
      <c r="P959" s="24" t="s">
        <v>26</v>
      </c>
      <c r="Q959" s="15" t="s">
        <v>3025</v>
      </c>
      <c r="R959" s="15"/>
      <c r="S959" s="10" t="str">
        <f>HYPERLINK("https://miland.ru/api/getInfo/image/b1c31afd-47ad-11f1-a294-00155d82e908")</f>
        <v>https://miland.ru/api/getInfo/image/b1c31afd-47ad-11f1-a294-00155d82e908</v>
      </c>
    </row>
    <row r="960" spans="1:19" s="2" customFormat="1" ht="96.2" customHeight="1" outlineLevel="7">
      <c r="A960" s="9">
        <v>707</v>
      </c>
      <c r="B960" s="10" t="s">
        <v>3026</v>
      </c>
      <c r="C960" s="65" t="s">
        <v>3027</v>
      </c>
      <c r="D960" s="65"/>
      <c r="E960" s="65"/>
      <c r="F960" s="65"/>
      <c r="G960" s="11" t="s">
        <v>3028</v>
      </c>
      <c r="H960" s="21" t="s">
        <v>44</v>
      </c>
      <c r="I960" s="15"/>
      <c r="J960" s="9">
        <v>1</v>
      </c>
      <c r="K960" s="16">
        <v>400.77</v>
      </c>
      <c r="L960" s="17"/>
      <c r="M960" s="15">
        <f>K960*L960</f>
        <v>0</v>
      </c>
      <c r="N960" s="18">
        <f>0.032*L960</f>
        <v>0</v>
      </c>
      <c r="O960" s="19">
        <f>0.00034*L960</f>
        <v>0</v>
      </c>
      <c r="P960" s="24" t="s">
        <v>26</v>
      </c>
      <c r="Q960" s="15" t="s">
        <v>3029</v>
      </c>
      <c r="R960" s="15"/>
      <c r="S960" s="10" t="str">
        <f>HYPERLINK("https://miland.ru/api/getInfo/image/ea24a2ed-47ac-11f1-a294-00155d82e908")</f>
        <v>https://miland.ru/api/getInfo/image/ea24a2ed-47ac-11f1-a294-00155d82e908</v>
      </c>
    </row>
    <row r="961" spans="1:19" s="1" customFormat="1" ht="12" customHeight="1" outlineLevel="7">
      <c r="A961" s="64" t="s">
        <v>3030</v>
      </c>
      <c r="B961" s="64"/>
      <c r="C961" s="64"/>
      <c r="D961" s="64"/>
      <c r="E961" s="64"/>
      <c r="F961" s="64"/>
      <c r="G961" s="8"/>
      <c r="H961" s="12"/>
      <c r="I961" s="2"/>
      <c r="J961" s="2"/>
      <c r="K961" s="13"/>
      <c r="L961" s="2"/>
      <c r="M961" s="2"/>
      <c r="N961" s="2"/>
      <c r="O961" s="2"/>
      <c r="P961" s="2"/>
      <c r="Q961" s="2"/>
      <c r="R961" s="2"/>
      <c r="S961" s="2"/>
    </row>
    <row r="962" spans="1:19" s="2" customFormat="1" ht="96.2" customHeight="1" outlineLevel="7">
      <c r="A962" s="25">
        <v>708</v>
      </c>
      <c r="B962" s="26" t="s">
        <v>3031</v>
      </c>
      <c r="C962" s="66" t="s">
        <v>3032</v>
      </c>
      <c r="D962" s="66"/>
      <c r="E962" s="66"/>
      <c r="F962" s="66"/>
      <c r="G962" s="27" t="s">
        <v>3033</v>
      </c>
      <c r="H962" s="33">
        <v>343</v>
      </c>
      <c r="I962" s="29"/>
      <c r="J962" s="25">
        <v>2</v>
      </c>
      <c r="K962" s="30">
        <v>380.64</v>
      </c>
      <c r="L962" s="17"/>
      <c r="M962" s="29">
        <f>K962*L962</f>
        <v>0</v>
      </c>
      <c r="N962" s="31">
        <f>0.023*L962</f>
        <v>0</v>
      </c>
      <c r="O962" s="32">
        <f>0.00163*L962</f>
        <v>0</v>
      </c>
      <c r="P962" s="36"/>
      <c r="Q962" s="29" t="s">
        <v>3034</v>
      </c>
      <c r="R962" s="29" t="s">
        <v>611</v>
      </c>
      <c r="S962" s="26" t="str">
        <f>HYPERLINK("https://miland.ru/api/getInfo/image/fb453a50-bf7a-11ee-a25a-00155d82e908")</f>
        <v>https://miland.ru/api/getInfo/image/fb453a50-bf7a-11ee-a25a-00155d82e908</v>
      </c>
    </row>
    <row r="963" spans="1:19" s="2" customFormat="1" ht="96.2" customHeight="1" outlineLevel="7">
      <c r="A963" s="25">
        <v>709</v>
      </c>
      <c r="B963" s="26" t="s">
        <v>3035</v>
      </c>
      <c r="C963" s="66" t="s">
        <v>3036</v>
      </c>
      <c r="D963" s="66"/>
      <c r="E963" s="66"/>
      <c r="F963" s="66"/>
      <c r="G963" s="27" t="s">
        <v>3037</v>
      </c>
      <c r="H963" s="28" t="s">
        <v>44</v>
      </c>
      <c r="I963" s="29"/>
      <c r="J963" s="25">
        <v>2</v>
      </c>
      <c r="K963" s="30">
        <v>301.51</v>
      </c>
      <c r="L963" s="17"/>
      <c r="M963" s="29">
        <f>K963*L963</f>
        <v>0</v>
      </c>
      <c r="N963" s="31">
        <f>0.027*L963</f>
        <v>0</v>
      </c>
      <c r="O963" s="32">
        <f>0.00036*L963</f>
        <v>0</v>
      </c>
      <c r="P963" s="36"/>
      <c r="Q963" s="29" t="s">
        <v>3038</v>
      </c>
      <c r="R963" s="29"/>
      <c r="S963" s="26" t="str">
        <f>HYPERLINK("https://miland.ru/api/getInfo/image/85cab00c-bf7c-11ee-a25a-00155d82e908")</f>
        <v>https://miland.ru/api/getInfo/image/85cab00c-bf7c-11ee-a25a-00155d82e908</v>
      </c>
    </row>
    <row r="964" spans="1:19" s="1" customFormat="1" ht="12" customHeight="1" outlineLevel="7">
      <c r="A964" s="64" t="s">
        <v>3039</v>
      </c>
      <c r="B964" s="64"/>
      <c r="C964" s="64"/>
      <c r="D964" s="64"/>
      <c r="E964" s="64"/>
      <c r="F964" s="64"/>
      <c r="G964" s="8"/>
      <c r="H964" s="12"/>
      <c r="I964" s="2"/>
      <c r="J964" s="2"/>
      <c r="K964" s="13"/>
      <c r="L964" s="2"/>
      <c r="M964" s="2"/>
      <c r="N964" s="2"/>
      <c r="O964" s="2"/>
      <c r="P964" s="2"/>
      <c r="Q964" s="2"/>
      <c r="R964" s="2"/>
      <c r="S964" s="2"/>
    </row>
    <row r="965" spans="1:19" s="2" customFormat="1" ht="96.2" customHeight="1" outlineLevel="7">
      <c r="A965" s="25">
        <v>710</v>
      </c>
      <c r="B965" s="26" t="s">
        <v>3040</v>
      </c>
      <c r="C965" s="66" t="s">
        <v>3041</v>
      </c>
      <c r="D965" s="66"/>
      <c r="E965" s="66"/>
      <c r="F965" s="66"/>
      <c r="G965" s="27" t="s">
        <v>3042</v>
      </c>
      <c r="H965" s="28" t="s">
        <v>44</v>
      </c>
      <c r="I965" s="29"/>
      <c r="J965" s="25">
        <v>1</v>
      </c>
      <c r="K965" s="30">
        <v>469.18</v>
      </c>
      <c r="L965" s="17"/>
      <c r="M965" s="29">
        <f>K965*L965</f>
        <v>0</v>
      </c>
      <c r="N965" s="34">
        <f>0.07*L965</f>
        <v>0</v>
      </c>
      <c r="O965" s="35">
        <f>0.0003*L965</f>
        <v>0</v>
      </c>
      <c r="P965" s="36"/>
      <c r="Q965" s="29" t="s">
        <v>3043</v>
      </c>
      <c r="R965" s="29"/>
      <c r="S965" s="26" t="str">
        <f>HYPERLINK("https://miland.ru/api/getInfo/image/ecc3ad00-0882-11f0-a277-00155d82e908")</f>
        <v>https://miland.ru/api/getInfo/image/ecc3ad00-0882-11f0-a277-00155d82e908</v>
      </c>
    </row>
    <row r="966" spans="1:19" s="2" customFormat="1" ht="96.2" customHeight="1" outlineLevel="7">
      <c r="A966" s="25">
        <v>711</v>
      </c>
      <c r="B966" s="26" t="s">
        <v>3044</v>
      </c>
      <c r="C966" s="66" t="s">
        <v>3045</v>
      </c>
      <c r="D966" s="66"/>
      <c r="E966" s="66"/>
      <c r="F966" s="66"/>
      <c r="G966" s="27" t="s">
        <v>3046</v>
      </c>
      <c r="H966" s="33">
        <v>398</v>
      </c>
      <c r="I966" s="29"/>
      <c r="J966" s="25">
        <v>1</v>
      </c>
      <c r="K966" s="30">
        <v>469.36</v>
      </c>
      <c r="L966" s="17"/>
      <c r="M966" s="29">
        <f>K966*L966</f>
        <v>0</v>
      </c>
      <c r="N966" s="34">
        <f>0.07*L966</f>
        <v>0</v>
      </c>
      <c r="O966" s="32">
        <f>0.00032*L966</f>
        <v>0</v>
      </c>
      <c r="P966" s="36"/>
      <c r="Q966" s="29" t="s">
        <v>3047</v>
      </c>
      <c r="R966" s="29"/>
      <c r="S966" s="26" t="str">
        <f>HYPERLINK("https://miland.ru/api/getInfo/image/661e0d16-0882-11f0-a277-00155d82e908")</f>
        <v>https://miland.ru/api/getInfo/image/661e0d16-0882-11f0-a277-00155d82e908</v>
      </c>
    </row>
    <row r="967" spans="1:19" s="1" customFormat="1" ht="12" customHeight="1" outlineLevel="7">
      <c r="A967" s="64" t="s">
        <v>3048</v>
      </c>
      <c r="B967" s="64"/>
      <c r="C967" s="64"/>
      <c r="D967" s="64"/>
      <c r="E967" s="64"/>
      <c r="F967" s="64"/>
      <c r="G967" s="8"/>
      <c r="H967" s="12"/>
      <c r="I967" s="2"/>
      <c r="J967" s="2"/>
      <c r="K967" s="13"/>
      <c r="L967" s="2"/>
      <c r="M967" s="2"/>
      <c r="N967" s="2"/>
      <c r="O967" s="2"/>
      <c r="P967" s="2"/>
      <c r="Q967" s="2"/>
      <c r="R967" s="2"/>
      <c r="S967" s="2"/>
    </row>
    <row r="968" spans="1:19" s="2" customFormat="1" ht="96.2" customHeight="1" outlineLevel="7">
      <c r="A968" s="25">
        <v>712</v>
      </c>
      <c r="B968" s="26" t="s">
        <v>3049</v>
      </c>
      <c r="C968" s="66" t="s">
        <v>3050</v>
      </c>
      <c r="D968" s="66"/>
      <c r="E968" s="66"/>
      <c r="F968" s="66"/>
      <c r="G968" s="27" t="s">
        <v>3051</v>
      </c>
      <c r="H968" s="28" t="s">
        <v>44</v>
      </c>
      <c r="I968" s="29"/>
      <c r="J968" s="25">
        <v>2</v>
      </c>
      <c r="K968" s="30">
        <v>328.74</v>
      </c>
      <c r="L968" s="17"/>
      <c r="M968" s="29">
        <f>K968*L968</f>
        <v>0</v>
      </c>
      <c r="N968" s="31">
        <f>0.018*L968</f>
        <v>0</v>
      </c>
      <c r="O968" s="32">
        <f>0.00042*L968</f>
        <v>0</v>
      </c>
      <c r="P968" s="36"/>
      <c r="Q968" s="29" t="s">
        <v>3052</v>
      </c>
      <c r="R968" s="29" t="s">
        <v>611</v>
      </c>
      <c r="S968" s="26" t="str">
        <f>HYPERLINK("https://miland.ru/api/getInfo/image/5fe7c240-bf7c-11ee-a25a-00155d82e908")</f>
        <v>https://miland.ru/api/getInfo/image/5fe7c240-bf7c-11ee-a25a-00155d82e908</v>
      </c>
    </row>
    <row r="969" spans="1:19" s="2" customFormat="1" ht="96.2" customHeight="1" outlineLevel="7">
      <c r="A969" s="25">
        <v>713</v>
      </c>
      <c r="B969" s="26" t="s">
        <v>3053</v>
      </c>
      <c r="C969" s="66" t="s">
        <v>3054</v>
      </c>
      <c r="D969" s="66"/>
      <c r="E969" s="66"/>
      <c r="F969" s="66"/>
      <c r="G969" s="27" t="s">
        <v>3055</v>
      </c>
      <c r="H969" s="28" t="s">
        <v>44</v>
      </c>
      <c r="I969" s="29"/>
      <c r="J969" s="25">
        <v>2</v>
      </c>
      <c r="K969" s="30">
        <v>312.52</v>
      </c>
      <c r="L969" s="17"/>
      <c r="M969" s="29">
        <f>K969*L969</f>
        <v>0</v>
      </c>
      <c r="N969" s="31">
        <f>0.093*L969</f>
        <v>0</v>
      </c>
      <c r="O969" s="32">
        <f>0.00033*L969</f>
        <v>0</v>
      </c>
      <c r="P969" s="36"/>
      <c r="Q969" s="29" t="s">
        <v>3056</v>
      </c>
      <c r="R969" s="29"/>
      <c r="S969" s="26" t="str">
        <f>HYPERLINK("https://miland.ru/api/getInfo/image/4917ea13-bf7b-11ee-a25a-00155d82e908")</f>
        <v>https://miland.ru/api/getInfo/image/4917ea13-bf7b-11ee-a25a-00155d82e908</v>
      </c>
    </row>
    <row r="970" spans="1:19" s="2" customFormat="1" ht="96.2" customHeight="1" outlineLevel="7">
      <c r="A970" s="25">
        <v>714</v>
      </c>
      <c r="B970" s="26" t="s">
        <v>3057</v>
      </c>
      <c r="C970" s="66" t="s">
        <v>3058</v>
      </c>
      <c r="D970" s="66"/>
      <c r="E970" s="66"/>
      <c r="F970" s="66"/>
      <c r="G970" s="27" t="s">
        <v>3059</v>
      </c>
      <c r="H970" s="33">
        <v>8</v>
      </c>
      <c r="I970" s="29"/>
      <c r="J970" s="25">
        <v>1</v>
      </c>
      <c r="K970" s="30">
        <v>555.69000000000005</v>
      </c>
      <c r="L970" s="17"/>
      <c r="M970" s="29">
        <f>K970*L970</f>
        <v>0</v>
      </c>
      <c r="N970" s="31">
        <f>0.053*L970</f>
        <v>0</v>
      </c>
      <c r="O970" s="32">
        <f>0.00062*L970</f>
        <v>0</v>
      </c>
      <c r="P970" s="36"/>
      <c r="Q970" s="29" t="s">
        <v>3060</v>
      </c>
      <c r="R970" s="29" t="s">
        <v>611</v>
      </c>
      <c r="S970" s="26" t="str">
        <f>HYPERLINK("https://miland.ru/api/getInfo/image/23a031e3-112d-11ef-a25d-00155d82e908")</f>
        <v>https://miland.ru/api/getInfo/image/23a031e3-112d-11ef-a25d-00155d82e908</v>
      </c>
    </row>
    <row r="971" spans="1:19" s="1" customFormat="1" ht="12" customHeight="1" outlineLevel="6">
      <c r="A971" s="64" t="s">
        <v>3061</v>
      </c>
      <c r="B971" s="64"/>
      <c r="C971" s="64"/>
      <c r="D971" s="64"/>
      <c r="E971" s="64"/>
      <c r="F971" s="64"/>
      <c r="G971" s="8"/>
      <c r="H971" s="12"/>
      <c r="I971" s="2"/>
      <c r="J971" s="2"/>
      <c r="K971" s="13"/>
      <c r="L971" s="2"/>
      <c r="M971" s="2"/>
      <c r="N971" s="2"/>
      <c r="O971" s="2"/>
      <c r="P971" s="2"/>
      <c r="Q971" s="2"/>
      <c r="R971" s="2"/>
      <c r="S971" s="2"/>
    </row>
    <row r="972" spans="1:19" s="1" customFormat="1" ht="12" customHeight="1" outlineLevel="7">
      <c r="A972" s="64" t="s">
        <v>2832</v>
      </c>
      <c r="B972" s="64"/>
      <c r="C972" s="64"/>
      <c r="D972" s="64"/>
      <c r="E972" s="64"/>
      <c r="F972" s="64"/>
      <c r="G972" s="8"/>
      <c r="H972" s="12"/>
      <c r="I972" s="2"/>
      <c r="J972" s="2"/>
      <c r="K972" s="13"/>
      <c r="L972" s="2"/>
      <c r="M972" s="2"/>
      <c r="N972" s="2"/>
      <c r="O972" s="2"/>
      <c r="P972" s="2"/>
      <c r="Q972" s="2"/>
      <c r="R972" s="2"/>
      <c r="S972" s="2"/>
    </row>
    <row r="973" spans="1:19" s="2" customFormat="1" ht="96.2" customHeight="1" outlineLevel="7">
      <c r="A973" s="25">
        <v>715</v>
      </c>
      <c r="B973" s="26" t="s">
        <v>3062</v>
      </c>
      <c r="C973" s="66" t="s">
        <v>3063</v>
      </c>
      <c r="D973" s="66"/>
      <c r="E973" s="66"/>
      <c r="F973" s="66"/>
      <c r="G973" s="27" t="s">
        <v>3064</v>
      </c>
      <c r="H973" s="28" t="s">
        <v>44</v>
      </c>
      <c r="I973" s="29"/>
      <c r="J973" s="25">
        <v>4</v>
      </c>
      <c r="K973" s="30">
        <v>171.39</v>
      </c>
      <c r="L973" s="17"/>
      <c r="M973" s="29">
        <f t="shared" ref="M973:M997" si="49">K973*L973</f>
        <v>0</v>
      </c>
      <c r="N973" s="41">
        <f>8.5*L973</f>
        <v>0</v>
      </c>
      <c r="O973" s="32">
        <f>0.00006*L973</f>
        <v>0</v>
      </c>
      <c r="P973" s="36"/>
      <c r="Q973" s="29" t="s">
        <v>3065</v>
      </c>
      <c r="R973" s="29"/>
      <c r="S973" s="26" t="str">
        <f>HYPERLINK("https://miland.ru/api/getInfo/image/c107d275-e413-11ed-a233-00155d82e902")</f>
        <v>https://miland.ru/api/getInfo/image/c107d275-e413-11ed-a233-00155d82e902</v>
      </c>
    </row>
    <row r="974" spans="1:19" s="2" customFormat="1" ht="96.2" customHeight="1" outlineLevel="7">
      <c r="A974" s="25">
        <v>716</v>
      </c>
      <c r="B974" s="26" t="s">
        <v>3066</v>
      </c>
      <c r="C974" s="66" t="s">
        <v>3067</v>
      </c>
      <c r="D974" s="66"/>
      <c r="E974" s="66"/>
      <c r="F974" s="66"/>
      <c r="G974" s="27" t="s">
        <v>3068</v>
      </c>
      <c r="H974" s="33">
        <v>213</v>
      </c>
      <c r="I974" s="29"/>
      <c r="J974" s="25">
        <v>4</v>
      </c>
      <c r="K974" s="30">
        <v>147.26</v>
      </c>
      <c r="L974" s="17"/>
      <c r="M974" s="29">
        <f t="shared" si="49"/>
        <v>0</v>
      </c>
      <c r="N974" s="31">
        <f>0.022*L974</f>
        <v>0</v>
      </c>
      <c r="O974" s="32">
        <f>0.00034*L974</f>
        <v>0</v>
      </c>
      <c r="P974" s="36"/>
      <c r="Q974" s="29" t="s">
        <v>3069</v>
      </c>
      <c r="R974" s="29"/>
      <c r="S974" s="26" t="str">
        <f>HYPERLINK("https://miland.ru/api/getInfo/image/9762513f-d8a2-11ef-a273-00155d82e908")</f>
        <v>https://miland.ru/api/getInfo/image/9762513f-d8a2-11ef-a273-00155d82e908</v>
      </c>
    </row>
    <row r="975" spans="1:19" s="2" customFormat="1" ht="96.2" customHeight="1" outlineLevel="7">
      <c r="A975" s="25">
        <v>717</v>
      </c>
      <c r="B975" s="26" t="s">
        <v>3070</v>
      </c>
      <c r="C975" s="66" t="s">
        <v>3071</v>
      </c>
      <c r="D975" s="66"/>
      <c r="E975" s="66"/>
      <c r="F975" s="66"/>
      <c r="G975" s="27" t="s">
        <v>3072</v>
      </c>
      <c r="H975" s="33">
        <v>35</v>
      </c>
      <c r="I975" s="29"/>
      <c r="J975" s="25">
        <v>3</v>
      </c>
      <c r="K975" s="30">
        <v>203.12</v>
      </c>
      <c r="L975" s="17"/>
      <c r="M975" s="29">
        <f t="shared" si="49"/>
        <v>0</v>
      </c>
      <c r="N975" s="31">
        <f>0.176*L975</f>
        <v>0</v>
      </c>
      <c r="O975" s="32">
        <f>0.00138*L975</f>
        <v>0</v>
      </c>
      <c r="P975" s="36"/>
      <c r="Q975" s="29" t="s">
        <v>3073</v>
      </c>
      <c r="R975" s="29"/>
      <c r="S975" s="26" t="str">
        <f>HYPERLINK("https://miland.ru/api/getInfo/image/dd589453-d89f-11ef-a273-00155d82e908")</f>
        <v>https://miland.ru/api/getInfo/image/dd589453-d89f-11ef-a273-00155d82e908</v>
      </c>
    </row>
    <row r="976" spans="1:19" s="2" customFormat="1" ht="96.2" customHeight="1" outlineLevel="7">
      <c r="A976" s="25">
        <v>718</v>
      </c>
      <c r="B976" s="26" t="s">
        <v>3074</v>
      </c>
      <c r="C976" s="66" t="s">
        <v>3075</v>
      </c>
      <c r="D976" s="66"/>
      <c r="E976" s="66"/>
      <c r="F976" s="66"/>
      <c r="G976" s="27" t="s">
        <v>3076</v>
      </c>
      <c r="H976" s="33">
        <v>40</v>
      </c>
      <c r="I976" s="29"/>
      <c r="J976" s="25">
        <v>4</v>
      </c>
      <c r="K976" s="30">
        <v>179.23</v>
      </c>
      <c r="L976" s="17"/>
      <c r="M976" s="29">
        <f t="shared" si="49"/>
        <v>0</v>
      </c>
      <c r="N976" s="34">
        <f>0.03*L976</f>
        <v>0</v>
      </c>
      <c r="O976" s="32">
        <f>0.00145*L976</f>
        <v>0</v>
      </c>
      <c r="P976" s="36"/>
      <c r="Q976" s="29" t="s">
        <v>3077</v>
      </c>
      <c r="R976" s="29"/>
      <c r="S976" s="26" t="str">
        <f>HYPERLINK("https://miland.ru/api/getInfo/image/d1e60b57-d89e-11ef-a273-00155d82e908")</f>
        <v>https://miland.ru/api/getInfo/image/d1e60b57-d89e-11ef-a273-00155d82e908</v>
      </c>
    </row>
    <row r="977" spans="1:19" s="2" customFormat="1" ht="96.2" customHeight="1" outlineLevel="7">
      <c r="A977" s="25">
        <v>719</v>
      </c>
      <c r="B977" s="26" t="s">
        <v>3078</v>
      </c>
      <c r="C977" s="66" t="s">
        <v>3079</v>
      </c>
      <c r="D977" s="66"/>
      <c r="E977" s="66"/>
      <c r="F977" s="66"/>
      <c r="G977" s="27" t="s">
        <v>3080</v>
      </c>
      <c r="H977" s="33">
        <v>131</v>
      </c>
      <c r="I977" s="29"/>
      <c r="J977" s="25">
        <v>3</v>
      </c>
      <c r="K977" s="30">
        <v>203.12</v>
      </c>
      <c r="L977" s="17"/>
      <c r="M977" s="29">
        <f t="shared" si="49"/>
        <v>0</v>
      </c>
      <c r="N977" s="31">
        <f>0.036*L977</f>
        <v>0</v>
      </c>
      <c r="O977" s="31">
        <f>0.001*L977</f>
        <v>0</v>
      </c>
      <c r="P977" s="36"/>
      <c r="Q977" s="29" t="s">
        <v>3081</v>
      </c>
      <c r="R977" s="29"/>
      <c r="S977" s="26" t="str">
        <f>HYPERLINK("https://miland.ru/api/getInfo/image/115b920c-d89f-11ef-a273-00155d82e908")</f>
        <v>https://miland.ru/api/getInfo/image/115b920c-d89f-11ef-a273-00155d82e908</v>
      </c>
    </row>
    <row r="978" spans="1:19" s="2" customFormat="1" ht="96.2" customHeight="1" outlineLevel="7">
      <c r="A978" s="25">
        <v>720</v>
      </c>
      <c r="B978" s="26" t="s">
        <v>3082</v>
      </c>
      <c r="C978" s="66" t="s">
        <v>3083</v>
      </c>
      <c r="D978" s="66"/>
      <c r="E978" s="66"/>
      <c r="F978" s="66"/>
      <c r="G978" s="27" t="s">
        <v>3084</v>
      </c>
      <c r="H978" s="33">
        <v>5</v>
      </c>
      <c r="I978" s="29"/>
      <c r="J978" s="25">
        <v>3</v>
      </c>
      <c r="K978" s="30">
        <v>235.99</v>
      </c>
      <c r="L978" s="17"/>
      <c r="M978" s="29">
        <f t="shared" si="49"/>
        <v>0</v>
      </c>
      <c r="N978" s="31">
        <f>0.051*L978</f>
        <v>0</v>
      </c>
      <c r="O978" s="32">
        <f>0.00127*L978</f>
        <v>0</v>
      </c>
      <c r="P978" s="36"/>
      <c r="Q978" s="29" t="s">
        <v>3085</v>
      </c>
      <c r="R978" s="29"/>
      <c r="S978" s="26" t="str">
        <f>HYPERLINK("https://miland.ru/api/getInfo/image/fed9af93-d89e-11ef-a273-00155d82e908")</f>
        <v>https://miland.ru/api/getInfo/image/fed9af93-d89e-11ef-a273-00155d82e908</v>
      </c>
    </row>
    <row r="979" spans="1:19" s="2" customFormat="1" ht="96.2" customHeight="1" outlineLevel="7">
      <c r="A979" s="9">
        <v>721</v>
      </c>
      <c r="B979" s="10" t="s">
        <v>3086</v>
      </c>
      <c r="C979" s="65" t="s">
        <v>3087</v>
      </c>
      <c r="D979" s="65"/>
      <c r="E979" s="65"/>
      <c r="F979" s="65"/>
      <c r="G979" s="11" t="s">
        <v>3088</v>
      </c>
      <c r="H979" s="14">
        <v>202</v>
      </c>
      <c r="I979" s="15"/>
      <c r="J979" s="9">
        <v>1</v>
      </c>
      <c r="K979" s="16">
        <v>794.85</v>
      </c>
      <c r="L979" s="17"/>
      <c r="M979" s="15">
        <f t="shared" si="49"/>
        <v>0</v>
      </c>
      <c r="N979" s="18">
        <f>0.282*L979</f>
        <v>0</v>
      </c>
      <c r="O979" s="19">
        <f>0.00388*L979</f>
        <v>0</v>
      </c>
      <c r="P979" s="24" t="s">
        <v>26</v>
      </c>
      <c r="Q979" s="15" t="s">
        <v>3089</v>
      </c>
      <c r="R979" s="15"/>
      <c r="S979" s="10" t="str">
        <f>HYPERLINK("https://miland.ru/api/getInfo/image/428e6f64-2ce4-11f1-a292-00155d82e908")</f>
        <v>https://miland.ru/api/getInfo/image/428e6f64-2ce4-11f1-a292-00155d82e908</v>
      </c>
    </row>
    <row r="980" spans="1:19" s="2" customFormat="1" ht="96.2" customHeight="1" outlineLevel="7">
      <c r="A980" s="25">
        <v>722</v>
      </c>
      <c r="B980" s="26" t="s">
        <v>3090</v>
      </c>
      <c r="C980" s="66" t="s">
        <v>3091</v>
      </c>
      <c r="D980" s="66"/>
      <c r="E980" s="66"/>
      <c r="F980" s="66"/>
      <c r="G980" s="27" t="s">
        <v>3092</v>
      </c>
      <c r="H980" s="28" t="s">
        <v>44</v>
      </c>
      <c r="I980" s="29"/>
      <c r="J980" s="25">
        <v>4</v>
      </c>
      <c r="K980" s="30">
        <v>170.26</v>
      </c>
      <c r="L980" s="17"/>
      <c r="M980" s="29">
        <f t="shared" si="49"/>
        <v>0</v>
      </c>
      <c r="N980" s="31">
        <f>0.023*L980</f>
        <v>0</v>
      </c>
      <c r="O980" s="32">
        <f>0.00067*L980</f>
        <v>0</v>
      </c>
      <c r="P980" s="36"/>
      <c r="Q980" s="29" t="s">
        <v>3093</v>
      </c>
      <c r="R980" s="29"/>
      <c r="S980" s="26" t="str">
        <f>HYPERLINK("https://miland.ru/api/getInfo/image/07f995f5-d8a1-11ef-a273-00155d82e908")</f>
        <v>https://miland.ru/api/getInfo/image/07f995f5-d8a1-11ef-a273-00155d82e908</v>
      </c>
    </row>
    <row r="981" spans="1:19" s="2" customFormat="1" ht="96.2" customHeight="1" outlineLevel="7">
      <c r="A981" s="25">
        <v>723</v>
      </c>
      <c r="B981" s="26" t="s">
        <v>3094</v>
      </c>
      <c r="C981" s="66" t="s">
        <v>3095</v>
      </c>
      <c r="D981" s="66"/>
      <c r="E981" s="66"/>
      <c r="F981" s="66"/>
      <c r="G981" s="27" t="s">
        <v>3096</v>
      </c>
      <c r="H981" s="33">
        <v>29</v>
      </c>
      <c r="I981" s="29"/>
      <c r="J981" s="25">
        <v>5</v>
      </c>
      <c r="K981" s="30">
        <v>113.51</v>
      </c>
      <c r="L981" s="17"/>
      <c r="M981" s="29">
        <f t="shared" si="49"/>
        <v>0</v>
      </c>
      <c r="N981" s="34">
        <f>0.02*L981</f>
        <v>0</v>
      </c>
      <c r="O981" s="32">
        <f>0.00118*L981</f>
        <v>0</v>
      </c>
      <c r="P981" s="36"/>
      <c r="Q981" s="29" t="s">
        <v>3097</v>
      </c>
      <c r="R981" s="29"/>
      <c r="S981" s="26" t="str">
        <f>HYPERLINK("https://miland.ru/api/getInfo/image/cc69ff06-d8a2-11ef-a273-00155d82e908")</f>
        <v>https://miland.ru/api/getInfo/image/cc69ff06-d8a2-11ef-a273-00155d82e908</v>
      </c>
    </row>
    <row r="982" spans="1:19" s="2" customFormat="1" ht="96.2" customHeight="1" outlineLevel="7">
      <c r="A982" s="25">
        <v>724</v>
      </c>
      <c r="B982" s="26" t="s">
        <v>3098</v>
      </c>
      <c r="C982" s="66" t="s">
        <v>3099</v>
      </c>
      <c r="D982" s="66"/>
      <c r="E982" s="66"/>
      <c r="F982" s="66"/>
      <c r="G982" s="27" t="s">
        <v>3100</v>
      </c>
      <c r="H982" s="33">
        <v>106</v>
      </c>
      <c r="I982" s="29"/>
      <c r="J982" s="25">
        <v>4</v>
      </c>
      <c r="K982" s="30">
        <v>158.32</v>
      </c>
      <c r="L982" s="17"/>
      <c r="M982" s="29">
        <f t="shared" si="49"/>
        <v>0</v>
      </c>
      <c r="N982" s="31">
        <f>0.025*L982</f>
        <v>0</v>
      </c>
      <c r="O982" s="32">
        <f>0.00126*L982</f>
        <v>0</v>
      </c>
      <c r="P982" s="36"/>
      <c r="Q982" s="29" t="s">
        <v>3101</v>
      </c>
      <c r="R982" s="29"/>
      <c r="S982" s="26" t="str">
        <f>HYPERLINK("https://miland.ru/api/getInfo/image/f3ba2453-d8a0-11ef-a273-00155d82e908")</f>
        <v>https://miland.ru/api/getInfo/image/f3ba2453-d8a0-11ef-a273-00155d82e908</v>
      </c>
    </row>
    <row r="983" spans="1:19" s="2" customFormat="1" ht="96.2" customHeight="1" outlineLevel="7">
      <c r="A983" s="25">
        <v>725</v>
      </c>
      <c r="B983" s="26" t="s">
        <v>3102</v>
      </c>
      <c r="C983" s="66" t="s">
        <v>3103</v>
      </c>
      <c r="D983" s="66"/>
      <c r="E983" s="66"/>
      <c r="F983" s="66"/>
      <c r="G983" s="27" t="s">
        <v>3104</v>
      </c>
      <c r="H983" s="33">
        <v>253</v>
      </c>
      <c r="I983" s="29"/>
      <c r="J983" s="25">
        <v>4</v>
      </c>
      <c r="K983" s="30">
        <v>153.02000000000001</v>
      </c>
      <c r="L983" s="17"/>
      <c r="M983" s="29">
        <f t="shared" si="49"/>
        <v>0</v>
      </c>
      <c r="N983" s="31">
        <f>0.057*L983</f>
        <v>0</v>
      </c>
      <c r="O983" s="32">
        <f>0.00154*L983</f>
        <v>0</v>
      </c>
      <c r="P983" s="36"/>
      <c r="Q983" s="29" t="s">
        <v>3105</v>
      </c>
      <c r="R983" s="29"/>
      <c r="S983" s="26" t="str">
        <f>HYPERLINK("https://miland.ru/api/getInfo/image/f84db71a-d89f-11ef-a273-00155d82e908")</f>
        <v>https://miland.ru/api/getInfo/image/f84db71a-d89f-11ef-a273-00155d82e908</v>
      </c>
    </row>
    <row r="984" spans="1:19" s="2" customFormat="1" ht="96.2" customHeight="1" outlineLevel="7">
      <c r="A984" s="25">
        <v>726</v>
      </c>
      <c r="B984" s="26" t="s">
        <v>3106</v>
      </c>
      <c r="C984" s="66" t="s">
        <v>3107</v>
      </c>
      <c r="D984" s="66"/>
      <c r="E984" s="66"/>
      <c r="F984" s="66"/>
      <c r="G984" s="27" t="s">
        <v>3108</v>
      </c>
      <c r="H984" s="33">
        <v>178</v>
      </c>
      <c r="I984" s="29"/>
      <c r="J984" s="25">
        <v>4</v>
      </c>
      <c r="K984" s="30">
        <v>170.26</v>
      </c>
      <c r="L984" s="17"/>
      <c r="M984" s="29">
        <f t="shared" si="49"/>
        <v>0</v>
      </c>
      <c r="N984" s="34">
        <f>0.03*L984</f>
        <v>0</v>
      </c>
      <c r="O984" s="32">
        <f>0.00142*L984</f>
        <v>0</v>
      </c>
      <c r="P984" s="36"/>
      <c r="Q984" s="29" t="s">
        <v>3109</v>
      </c>
      <c r="R984" s="29"/>
      <c r="S984" s="26" t="str">
        <f>HYPERLINK("https://miland.ru/api/getInfo/image/d67e9317-d8a0-11ef-a273-00155d82e908")</f>
        <v>https://miland.ru/api/getInfo/image/d67e9317-d8a0-11ef-a273-00155d82e908</v>
      </c>
    </row>
    <row r="985" spans="1:19" s="2" customFormat="1" ht="96.2" customHeight="1" outlineLevel="7">
      <c r="A985" s="25">
        <v>727</v>
      </c>
      <c r="B985" s="26" t="s">
        <v>3110</v>
      </c>
      <c r="C985" s="66" t="s">
        <v>3111</v>
      </c>
      <c r="D985" s="66"/>
      <c r="E985" s="66"/>
      <c r="F985" s="66"/>
      <c r="G985" s="27" t="s">
        <v>3112</v>
      </c>
      <c r="H985" s="33">
        <v>142</v>
      </c>
      <c r="I985" s="29"/>
      <c r="J985" s="25">
        <v>7</v>
      </c>
      <c r="K985" s="30">
        <v>98.17</v>
      </c>
      <c r="L985" s="17"/>
      <c r="M985" s="29">
        <f t="shared" si="49"/>
        <v>0</v>
      </c>
      <c r="N985" s="31">
        <f>0.024*L985</f>
        <v>0</v>
      </c>
      <c r="O985" s="35">
        <f>0.0014*L985</f>
        <v>0</v>
      </c>
      <c r="P985" s="36"/>
      <c r="Q985" s="29" t="s">
        <v>3113</v>
      </c>
      <c r="R985" s="29"/>
      <c r="S985" s="26" t="str">
        <f>HYPERLINK("https://miland.ru/api/getInfo/image/b15daa9b-d8a2-11ef-a273-00155d82e908")</f>
        <v>https://miland.ru/api/getInfo/image/b15daa9b-d8a2-11ef-a273-00155d82e908</v>
      </c>
    </row>
    <row r="986" spans="1:19" s="2" customFormat="1" ht="96.2" customHeight="1" outlineLevel="7">
      <c r="A986" s="25">
        <v>728</v>
      </c>
      <c r="B986" s="26" t="s">
        <v>3114</v>
      </c>
      <c r="C986" s="66" t="s">
        <v>3115</v>
      </c>
      <c r="D986" s="66"/>
      <c r="E986" s="66"/>
      <c r="F986" s="66"/>
      <c r="G986" s="27" t="s">
        <v>3116</v>
      </c>
      <c r="H986" s="28" t="s">
        <v>44</v>
      </c>
      <c r="I986" s="29"/>
      <c r="J986" s="25">
        <v>5</v>
      </c>
      <c r="K986" s="30">
        <v>105.73</v>
      </c>
      <c r="L986" s="17"/>
      <c r="M986" s="29">
        <f t="shared" si="49"/>
        <v>0</v>
      </c>
      <c r="N986" s="31">
        <f>0.021*L986</f>
        <v>0</v>
      </c>
      <c r="O986" s="32">
        <f>0.00111*L986</f>
        <v>0</v>
      </c>
      <c r="P986" s="36"/>
      <c r="Q986" s="29" t="s">
        <v>3117</v>
      </c>
      <c r="R986" s="29"/>
      <c r="S986" s="26" t="str">
        <f>HYPERLINK("https://miland.ru/api/getInfo/image/dedfd2b3-d8a1-11ef-a273-00155d82e908")</f>
        <v>https://miland.ru/api/getInfo/image/dedfd2b3-d8a1-11ef-a273-00155d82e908</v>
      </c>
    </row>
    <row r="987" spans="1:19" s="2" customFormat="1" ht="96.2" customHeight="1" outlineLevel="7">
      <c r="A987" s="25">
        <v>729</v>
      </c>
      <c r="B987" s="26" t="s">
        <v>3118</v>
      </c>
      <c r="C987" s="66" t="s">
        <v>3119</v>
      </c>
      <c r="D987" s="66"/>
      <c r="E987" s="66"/>
      <c r="F987" s="66"/>
      <c r="G987" s="27" t="s">
        <v>3120</v>
      </c>
      <c r="H987" s="28" t="s">
        <v>44</v>
      </c>
      <c r="I987" s="29"/>
      <c r="J987" s="25">
        <v>5</v>
      </c>
      <c r="K987" s="30">
        <v>95.69</v>
      </c>
      <c r="L987" s="17"/>
      <c r="M987" s="29">
        <f t="shared" si="49"/>
        <v>0</v>
      </c>
      <c r="N987" s="31">
        <f>0.027*L987</f>
        <v>0</v>
      </c>
      <c r="O987" s="32">
        <f>0.00178*L987</f>
        <v>0</v>
      </c>
      <c r="P987" s="36"/>
      <c r="Q987" s="29" t="s">
        <v>3121</v>
      </c>
      <c r="R987" s="29"/>
      <c r="S987" s="26" t="str">
        <f>HYPERLINK("https://miland.ru/api/getInfo/image/0335cbb0-d8a3-11ef-a273-00155d82e908")</f>
        <v>https://miland.ru/api/getInfo/image/0335cbb0-d8a3-11ef-a273-00155d82e908</v>
      </c>
    </row>
    <row r="988" spans="1:19" s="2" customFormat="1" ht="96.2" customHeight="1" outlineLevel="7">
      <c r="A988" s="25">
        <v>730</v>
      </c>
      <c r="B988" s="26" t="s">
        <v>3122</v>
      </c>
      <c r="C988" s="66" t="s">
        <v>3123</v>
      </c>
      <c r="D988" s="66"/>
      <c r="E988" s="66"/>
      <c r="F988" s="66"/>
      <c r="G988" s="27" t="s">
        <v>3124</v>
      </c>
      <c r="H988" s="28" t="s">
        <v>44</v>
      </c>
      <c r="I988" s="29"/>
      <c r="J988" s="25">
        <v>4</v>
      </c>
      <c r="K988" s="30">
        <v>158.32</v>
      </c>
      <c r="L988" s="17"/>
      <c r="M988" s="29">
        <f t="shared" si="49"/>
        <v>0</v>
      </c>
      <c r="N988" s="31">
        <f>0.018*L988</f>
        <v>0</v>
      </c>
      <c r="O988" s="32">
        <f>0.00074*L988</f>
        <v>0</v>
      </c>
      <c r="P988" s="36"/>
      <c r="Q988" s="29" t="s">
        <v>3125</v>
      </c>
      <c r="R988" s="29"/>
      <c r="S988" s="26" t="str">
        <f>HYPERLINK("https://miland.ru/api/getInfo/image/61037921-d8a2-11ef-a273-00155d82e908")</f>
        <v>https://miland.ru/api/getInfo/image/61037921-d8a2-11ef-a273-00155d82e908</v>
      </c>
    </row>
    <row r="989" spans="1:19" s="2" customFormat="1" ht="96.2" customHeight="1" outlineLevel="7">
      <c r="A989" s="25">
        <v>731</v>
      </c>
      <c r="B989" s="26" t="s">
        <v>3126</v>
      </c>
      <c r="C989" s="66" t="s">
        <v>3127</v>
      </c>
      <c r="D989" s="66"/>
      <c r="E989" s="66"/>
      <c r="F989" s="66"/>
      <c r="G989" s="27" t="s">
        <v>3128</v>
      </c>
      <c r="H989" s="33">
        <v>339</v>
      </c>
      <c r="I989" s="29"/>
      <c r="J989" s="25">
        <v>3</v>
      </c>
      <c r="K989" s="30">
        <v>185.21</v>
      </c>
      <c r="L989" s="17"/>
      <c r="M989" s="29">
        <f t="shared" si="49"/>
        <v>0</v>
      </c>
      <c r="N989" s="31">
        <f>0.034*L989</f>
        <v>0</v>
      </c>
      <c r="O989" s="32">
        <f>0.00086*L989</f>
        <v>0</v>
      </c>
      <c r="P989" s="36"/>
      <c r="Q989" s="29" t="s">
        <v>3129</v>
      </c>
      <c r="R989" s="29"/>
      <c r="S989" s="26" t="str">
        <f>HYPERLINK("https://miland.ru/api/getInfo/image/f65c218a-d8a1-11ef-a273-00155d82e908")</f>
        <v>https://miland.ru/api/getInfo/image/f65c218a-d8a1-11ef-a273-00155d82e908</v>
      </c>
    </row>
    <row r="990" spans="1:19" s="2" customFormat="1" ht="96.2" customHeight="1" outlineLevel="7">
      <c r="A990" s="25">
        <v>732</v>
      </c>
      <c r="B990" s="26" t="s">
        <v>3130</v>
      </c>
      <c r="C990" s="66" t="s">
        <v>3131</v>
      </c>
      <c r="D990" s="66"/>
      <c r="E990" s="66"/>
      <c r="F990" s="66"/>
      <c r="G990" s="27" t="s">
        <v>3132</v>
      </c>
      <c r="H990" s="28" t="s">
        <v>44</v>
      </c>
      <c r="I990" s="29"/>
      <c r="J990" s="25">
        <v>4</v>
      </c>
      <c r="K990" s="30">
        <v>170.26</v>
      </c>
      <c r="L990" s="17"/>
      <c r="M990" s="29">
        <f t="shared" si="49"/>
        <v>0</v>
      </c>
      <c r="N990" s="31">
        <f>0.028*L990</f>
        <v>0</v>
      </c>
      <c r="O990" s="32">
        <f>0.00153*L990</f>
        <v>0</v>
      </c>
      <c r="P990" s="36"/>
      <c r="Q990" s="29" t="s">
        <v>3133</v>
      </c>
      <c r="R990" s="29"/>
      <c r="S990" s="26" t="str">
        <f>HYPERLINK("https://miland.ru/api/getInfo/image/38e89334-d89f-11ef-a273-00155d82e908")</f>
        <v>https://miland.ru/api/getInfo/image/38e89334-d89f-11ef-a273-00155d82e908</v>
      </c>
    </row>
    <row r="991" spans="1:19" s="2" customFormat="1" ht="96.2" customHeight="1" outlineLevel="7">
      <c r="A991" s="25">
        <v>733</v>
      </c>
      <c r="B991" s="26" t="s">
        <v>3134</v>
      </c>
      <c r="C991" s="66" t="s">
        <v>3135</v>
      </c>
      <c r="D991" s="66"/>
      <c r="E991" s="66"/>
      <c r="F991" s="66"/>
      <c r="G991" s="27" t="s">
        <v>3136</v>
      </c>
      <c r="H991" s="33">
        <v>57</v>
      </c>
      <c r="I991" s="29"/>
      <c r="J991" s="25">
        <v>5</v>
      </c>
      <c r="K991" s="30">
        <v>113.51</v>
      </c>
      <c r="L991" s="17"/>
      <c r="M991" s="29">
        <f t="shared" si="49"/>
        <v>0</v>
      </c>
      <c r="N991" s="31">
        <f>0.022*L991</f>
        <v>0</v>
      </c>
      <c r="O991" s="32">
        <f>0.00145*L991</f>
        <v>0</v>
      </c>
      <c r="P991" s="36"/>
      <c r="Q991" s="29" t="s">
        <v>3137</v>
      </c>
      <c r="R991" s="29"/>
      <c r="S991" s="26" t="str">
        <f>HYPERLINK("https://miland.ru/api/getInfo/image/e3b8adb9-d8a2-11ef-a273-00155d82e908")</f>
        <v>https://miland.ru/api/getInfo/image/e3b8adb9-d8a2-11ef-a273-00155d82e908</v>
      </c>
    </row>
    <row r="992" spans="1:19" s="2" customFormat="1" ht="96.2" customHeight="1" outlineLevel="7">
      <c r="A992" s="25">
        <v>734</v>
      </c>
      <c r="B992" s="26" t="s">
        <v>3138</v>
      </c>
      <c r="C992" s="66" t="s">
        <v>3139</v>
      </c>
      <c r="D992" s="66"/>
      <c r="E992" s="66"/>
      <c r="F992" s="66"/>
      <c r="G992" s="27" t="s">
        <v>3140</v>
      </c>
      <c r="H992" s="33">
        <v>15</v>
      </c>
      <c r="I992" s="29"/>
      <c r="J992" s="25">
        <v>4</v>
      </c>
      <c r="K992" s="30">
        <v>170.26</v>
      </c>
      <c r="L992" s="17"/>
      <c r="M992" s="29">
        <f t="shared" si="49"/>
        <v>0</v>
      </c>
      <c r="N992" s="31">
        <f>0.043*L992</f>
        <v>0</v>
      </c>
      <c r="O992" s="35">
        <f>0.0015*L992</f>
        <v>0</v>
      </c>
      <c r="P992" s="36"/>
      <c r="Q992" s="29" t="s">
        <v>3141</v>
      </c>
      <c r="R992" s="29"/>
      <c r="S992" s="26" t="str">
        <f>HYPERLINK("https://miland.ru/api/getInfo/image/c194148a-d8a1-11ef-a273-00155d82e908")</f>
        <v>https://miland.ru/api/getInfo/image/c194148a-d8a1-11ef-a273-00155d82e908</v>
      </c>
    </row>
    <row r="993" spans="1:19" s="2" customFormat="1" ht="96.2" customHeight="1" outlineLevel="7">
      <c r="A993" s="25">
        <v>735</v>
      </c>
      <c r="B993" s="26" t="s">
        <v>3142</v>
      </c>
      <c r="C993" s="66" t="s">
        <v>3143</v>
      </c>
      <c r="D993" s="66"/>
      <c r="E993" s="66"/>
      <c r="F993" s="66"/>
      <c r="G993" s="27" t="s">
        <v>3144</v>
      </c>
      <c r="H993" s="28" t="s">
        <v>44</v>
      </c>
      <c r="I993" s="29"/>
      <c r="J993" s="25">
        <v>4</v>
      </c>
      <c r="K993" s="30">
        <v>158.32</v>
      </c>
      <c r="L993" s="17"/>
      <c r="M993" s="29">
        <f t="shared" si="49"/>
        <v>0</v>
      </c>
      <c r="N993" s="31">
        <f>0.026*L993</f>
        <v>0</v>
      </c>
      <c r="O993" s="32">
        <f>0.00086*L993</f>
        <v>0</v>
      </c>
      <c r="P993" s="36"/>
      <c r="Q993" s="29" t="s">
        <v>3145</v>
      </c>
      <c r="R993" s="29"/>
      <c r="S993" s="26" t="str">
        <f>HYPERLINK("https://miland.ru/api/getInfo/image/6d3b12ec-d8a0-11ef-a273-00155d82e908")</f>
        <v>https://miland.ru/api/getInfo/image/6d3b12ec-d8a0-11ef-a273-00155d82e908</v>
      </c>
    </row>
    <row r="994" spans="1:19" s="2" customFormat="1" ht="96.2" customHeight="1" outlineLevel="7">
      <c r="A994" s="25">
        <v>736</v>
      </c>
      <c r="B994" s="26" t="s">
        <v>3146</v>
      </c>
      <c r="C994" s="66" t="s">
        <v>3147</v>
      </c>
      <c r="D994" s="66"/>
      <c r="E994" s="66"/>
      <c r="F994" s="66"/>
      <c r="G994" s="27" t="s">
        <v>3148</v>
      </c>
      <c r="H994" s="33">
        <v>48</v>
      </c>
      <c r="I994" s="29"/>
      <c r="J994" s="25">
        <v>4</v>
      </c>
      <c r="K994" s="30">
        <v>158.32</v>
      </c>
      <c r="L994" s="17"/>
      <c r="M994" s="29">
        <f t="shared" si="49"/>
        <v>0</v>
      </c>
      <c r="N994" s="50">
        <f>9*L994</f>
        <v>0</v>
      </c>
      <c r="O994" s="32">
        <f>0.10791*L994</f>
        <v>0</v>
      </c>
      <c r="P994" s="36"/>
      <c r="Q994" s="29" t="s">
        <v>3149</v>
      </c>
      <c r="R994" s="29"/>
      <c r="S994" s="26" t="str">
        <f>HYPERLINK("https://miland.ru/api/getInfo/image/a21c0040-d8a1-11ef-a273-00155d82e908")</f>
        <v>https://miland.ru/api/getInfo/image/a21c0040-d8a1-11ef-a273-00155d82e908</v>
      </c>
    </row>
    <row r="995" spans="1:19" s="2" customFormat="1" ht="96.2" customHeight="1" outlineLevel="7">
      <c r="A995" s="25">
        <v>737</v>
      </c>
      <c r="B995" s="26" t="s">
        <v>3150</v>
      </c>
      <c r="C995" s="66" t="s">
        <v>3151</v>
      </c>
      <c r="D995" s="66"/>
      <c r="E995" s="66"/>
      <c r="F995" s="66"/>
      <c r="G995" s="27" t="s">
        <v>3152</v>
      </c>
      <c r="H995" s="28" t="s">
        <v>44</v>
      </c>
      <c r="I995" s="29"/>
      <c r="J995" s="25">
        <v>5</v>
      </c>
      <c r="K995" s="30">
        <v>90.65</v>
      </c>
      <c r="L995" s="17"/>
      <c r="M995" s="29">
        <f t="shared" si="49"/>
        <v>0</v>
      </c>
      <c r="N995" s="31">
        <f>0.014*L995</f>
        <v>0</v>
      </c>
      <c r="O995" s="32">
        <f>0.00059*L995</f>
        <v>0</v>
      </c>
      <c r="P995" s="36"/>
      <c r="Q995" s="29" t="s">
        <v>3153</v>
      </c>
      <c r="R995" s="29"/>
      <c r="S995" s="26" t="str">
        <f>HYPERLINK("https://miland.ru/api/getInfo/image/f15a6f98-5f77-11e9-a224-ac1f6b442184")</f>
        <v>https://miland.ru/api/getInfo/image/f15a6f98-5f77-11e9-a224-ac1f6b442184</v>
      </c>
    </row>
    <row r="996" spans="1:19" s="2" customFormat="1" ht="96.2" customHeight="1" outlineLevel="7">
      <c r="A996" s="25">
        <v>738</v>
      </c>
      <c r="B996" s="26" t="s">
        <v>3154</v>
      </c>
      <c r="C996" s="66" t="s">
        <v>3155</v>
      </c>
      <c r="D996" s="66"/>
      <c r="E996" s="66"/>
      <c r="F996" s="66"/>
      <c r="G996" s="27" t="s">
        <v>3156</v>
      </c>
      <c r="H996" s="33">
        <v>385</v>
      </c>
      <c r="I996" s="29"/>
      <c r="J996" s="25">
        <v>3</v>
      </c>
      <c r="K996" s="30">
        <v>211.54</v>
      </c>
      <c r="L996" s="17"/>
      <c r="M996" s="29">
        <f t="shared" si="49"/>
        <v>0</v>
      </c>
      <c r="N996" s="31">
        <f>0.082*L996</f>
        <v>0</v>
      </c>
      <c r="O996" s="32">
        <f>0.00114*L996</f>
        <v>0</v>
      </c>
      <c r="P996" s="36"/>
      <c r="Q996" s="29" t="s">
        <v>3157</v>
      </c>
      <c r="R996" s="29"/>
      <c r="S996" s="26" t="str">
        <f>HYPERLINK("https://miland.ru/api/getInfo/image/53f5c101-dca2-11ef-a273-00155d82e908")</f>
        <v>https://miland.ru/api/getInfo/image/53f5c101-dca2-11ef-a273-00155d82e908</v>
      </c>
    </row>
    <row r="997" spans="1:19" s="2" customFormat="1" ht="96.2" customHeight="1" outlineLevel="7">
      <c r="A997" s="25">
        <v>739</v>
      </c>
      <c r="B997" s="26" t="s">
        <v>3158</v>
      </c>
      <c r="C997" s="66" t="s">
        <v>3159</v>
      </c>
      <c r="D997" s="66"/>
      <c r="E997" s="66"/>
      <c r="F997" s="66"/>
      <c r="G997" s="27" t="s">
        <v>3160</v>
      </c>
      <c r="H997" s="33">
        <v>10</v>
      </c>
      <c r="I997" s="29"/>
      <c r="J997" s="25">
        <v>3</v>
      </c>
      <c r="K997" s="30">
        <v>185.73</v>
      </c>
      <c r="L997" s="17"/>
      <c r="M997" s="29">
        <f t="shared" si="49"/>
        <v>0</v>
      </c>
      <c r="N997" s="31">
        <f>0.069*L997</f>
        <v>0</v>
      </c>
      <c r="O997" s="32">
        <f>0.00082*L997</f>
        <v>0</v>
      </c>
      <c r="P997" s="36"/>
      <c r="Q997" s="29" t="s">
        <v>3161</v>
      </c>
      <c r="R997" s="29" t="s">
        <v>611</v>
      </c>
      <c r="S997" s="26" t="str">
        <f>HYPERLINK("https://miland.ru/api/getInfo/image/4aa61cc7-f046-11eb-a20d-ac1f6b442185")</f>
        <v>https://miland.ru/api/getInfo/image/4aa61cc7-f046-11eb-a20d-ac1f6b442185</v>
      </c>
    </row>
    <row r="998" spans="1:19" s="1" customFormat="1" ht="12" customHeight="1" outlineLevel="7">
      <c r="A998" s="64" t="s">
        <v>2849</v>
      </c>
      <c r="B998" s="64"/>
      <c r="C998" s="64"/>
      <c r="D998" s="64"/>
      <c r="E998" s="64"/>
      <c r="F998" s="64"/>
      <c r="G998" s="8"/>
      <c r="H998" s="12"/>
      <c r="I998" s="2"/>
      <c r="J998" s="2"/>
      <c r="K998" s="13"/>
      <c r="L998" s="2"/>
      <c r="M998" s="2"/>
      <c r="N998" s="2"/>
      <c r="O998" s="2"/>
      <c r="P998" s="2"/>
      <c r="Q998" s="2"/>
      <c r="R998" s="2"/>
      <c r="S998" s="2"/>
    </row>
    <row r="999" spans="1:19" s="1" customFormat="1" ht="12" customHeight="1" outlineLevel="7">
      <c r="A999" s="64" t="s">
        <v>3162</v>
      </c>
      <c r="B999" s="64"/>
      <c r="C999" s="64"/>
      <c r="D999" s="64"/>
      <c r="E999" s="64"/>
      <c r="F999" s="64"/>
      <c r="G999" s="8"/>
      <c r="H999" s="12"/>
      <c r="I999" s="2"/>
      <c r="J999" s="2"/>
      <c r="K999" s="13"/>
      <c r="L999" s="2"/>
      <c r="M999" s="2"/>
      <c r="N999" s="2"/>
      <c r="O999" s="2"/>
      <c r="P999" s="2"/>
      <c r="Q999" s="2"/>
      <c r="R999" s="2"/>
      <c r="S999" s="2"/>
    </row>
    <row r="1000" spans="1:19" s="2" customFormat="1" ht="96.2" customHeight="1" outlineLevel="7">
      <c r="A1000" s="25">
        <v>740</v>
      </c>
      <c r="B1000" s="26" t="s">
        <v>3163</v>
      </c>
      <c r="C1000" s="66" t="s">
        <v>3164</v>
      </c>
      <c r="D1000" s="66"/>
      <c r="E1000" s="66"/>
      <c r="F1000" s="66"/>
      <c r="G1000" s="27" t="s">
        <v>3165</v>
      </c>
      <c r="H1000" s="33">
        <v>323</v>
      </c>
      <c r="I1000" s="29"/>
      <c r="J1000" s="25">
        <v>3</v>
      </c>
      <c r="K1000" s="30">
        <v>240.52</v>
      </c>
      <c r="L1000" s="17"/>
      <c r="M1000" s="29">
        <f>K1000*L1000</f>
        <v>0</v>
      </c>
      <c r="N1000" s="31">
        <f>0.858*L1000</f>
        <v>0</v>
      </c>
      <c r="O1000" s="32">
        <f>0.00507*L1000</f>
        <v>0</v>
      </c>
      <c r="P1000" s="36"/>
      <c r="Q1000" s="29" t="s">
        <v>3166</v>
      </c>
      <c r="R1000" s="29" t="s">
        <v>611</v>
      </c>
      <c r="S1000" s="26" t="str">
        <f>HYPERLINK("https://miland.ru/api/getInfo/image/4cd11048-90dc-11ed-a22c-00155d82e902")</f>
        <v>https://miland.ru/api/getInfo/image/4cd11048-90dc-11ed-a22c-00155d82e902</v>
      </c>
    </row>
    <row r="1001" spans="1:19" s="2" customFormat="1" ht="96.2" customHeight="1" outlineLevel="7">
      <c r="A1001" s="25">
        <v>741</v>
      </c>
      <c r="B1001" s="26" t="s">
        <v>3167</v>
      </c>
      <c r="C1001" s="66" t="s">
        <v>3168</v>
      </c>
      <c r="D1001" s="66"/>
      <c r="E1001" s="66"/>
      <c r="F1001" s="66"/>
      <c r="G1001" s="27" t="s">
        <v>3169</v>
      </c>
      <c r="H1001" s="33">
        <v>5</v>
      </c>
      <c r="I1001" s="29"/>
      <c r="J1001" s="25">
        <v>3</v>
      </c>
      <c r="K1001" s="30">
        <v>182.02</v>
      </c>
      <c r="L1001" s="17"/>
      <c r="M1001" s="29">
        <f>K1001*L1001</f>
        <v>0</v>
      </c>
      <c r="N1001" s="31">
        <f>0.027*L1001</f>
        <v>0</v>
      </c>
      <c r="O1001" s="32">
        <f>0.00068*L1001</f>
        <v>0</v>
      </c>
      <c r="P1001" s="36"/>
      <c r="Q1001" s="29" t="s">
        <v>3170</v>
      </c>
      <c r="R1001" s="29" t="s">
        <v>611</v>
      </c>
      <c r="S1001" s="26" t="str">
        <f>HYPERLINK("https://miland.ru/api/getInfo/image/f1f56df6-90de-11ed-a22c-00155d82e902")</f>
        <v>https://miland.ru/api/getInfo/image/f1f56df6-90de-11ed-a22c-00155d82e902</v>
      </c>
    </row>
    <row r="1002" spans="1:19" s="1" customFormat="1" ht="12" customHeight="1" outlineLevel="7">
      <c r="A1002" s="64" t="s">
        <v>3171</v>
      </c>
      <c r="B1002" s="64"/>
      <c r="C1002" s="64"/>
      <c r="D1002" s="64"/>
      <c r="E1002" s="64"/>
      <c r="F1002" s="64"/>
      <c r="G1002" s="8"/>
      <c r="H1002" s="12"/>
      <c r="I1002" s="2"/>
      <c r="J1002" s="2"/>
      <c r="K1002" s="13"/>
      <c r="L1002" s="2"/>
      <c r="M1002" s="2"/>
      <c r="N1002" s="2"/>
      <c r="O1002" s="2"/>
      <c r="P1002" s="2"/>
      <c r="Q1002" s="2"/>
      <c r="R1002" s="2"/>
      <c r="S1002" s="2"/>
    </row>
    <row r="1003" spans="1:19" s="2" customFormat="1" ht="96.2" customHeight="1" outlineLevel="7">
      <c r="A1003" s="25">
        <v>742</v>
      </c>
      <c r="B1003" s="26" t="s">
        <v>3172</v>
      </c>
      <c r="C1003" s="66" t="s">
        <v>3173</v>
      </c>
      <c r="D1003" s="66"/>
      <c r="E1003" s="66"/>
      <c r="F1003" s="66"/>
      <c r="G1003" s="27" t="s">
        <v>3174</v>
      </c>
      <c r="H1003" s="33">
        <v>126</v>
      </c>
      <c r="I1003" s="29"/>
      <c r="J1003" s="25">
        <v>2</v>
      </c>
      <c r="K1003" s="30">
        <v>292.73</v>
      </c>
      <c r="L1003" s="17"/>
      <c r="M1003" s="29">
        <f>K1003*L1003</f>
        <v>0</v>
      </c>
      <c r="N1003" s="34">
        <f>0.02*L1003</f>
        <v>0</v>
      </c>
      <c r="O1003" s="32">
        <f>0.00031*L1003</f>
        <v>0</v>
      </c>
      <c r="P1003" s="36"/>
      <c r="Q1003" s="29" t="s">
        <v>3175</v>
      </c>
      <c r="R1003" s="29" t="s">
        <v>611</v>
      </c>
      <c r="S1003" s="26" t="str">
        <f>HYPERLINK("https://miland.ru/api/getInfo/image/223fb3c5-90dd-11ed-a22c-00155d82e902")</f>
        <v>https://miland.ru/api/getInfo/image/223fb3c5-90dd-11ed-a22c-00155d82e902</v>
      </c>
    </row>
    <row r="1004" spans="1:19" s="2" customFormat="1" ht="96.2" customHeight="1" outlineLevel="7">
      <c r="A1004" s="25">
        <v>743</v>
      </c>
      <c r="B1004" s="26" t="s">
        <v>3176</v>
      </c>
      <c r="C1004" s="66" t="s">
        <v>3177</v>
      </c>
      <c r="D1004" s="66"/>
      <c r="E1004" s="66"/>
      <c r="F1004" s="66"/>
      <c r="G1004" s="27" t="s">
        <v>3178</v>
      </c>
      <c r="H1004" s="33">
        <v>3</v>
      </c>
      <c r="I1004" s="29"/>
      <c r="J1004" s="25">
        <v>2</v>
      </c>
      <c r="K1004" s="30">
        <v>308.66000000000003</v>
      </c>
      <c r="L1004" s="17"/>
      <c r="M1004" s="29">
        <f>K1004*L1004</f>
        <v>0</v>
      </c>
      <c r="N1004" s="31">
        <f>0.034*L1004</f>
        <v>0</v>
      </c>
      <c r="O1004" s="32">
        <f>0.00052*L1004</f>
        <v>0</v>
      </c>
      <c r="P1004" s="36"/>
      <c r="Q1004" s="29" t="s">
        <v>3179</v>
      </c>
      <c r="R1004" s="29" t="s">
        <v>611</v>
      </c>
      <c r="S1004" s="26" t="str">
        <f>HYPERLINK("https://miland.ru/api/getInfo/image/8d223fb3-90dc-11ed-a22c-00155d82e902")</f>
        <v>https://miland.ru/api/getInfo/image/8d223fb3-90dc-11ed-a22c-00155d82e902</v>
      </c>
    </row>
    <row r="1005" spans="1:19" s="2" customFormat="1" ht="96.2" customHeight="1" outlineLevel="7">
      <c r="A1005" s="25">
        <v>744</v>
      </c>
      <c r="B1005" s="26" t="s">
        <v>3180</v>
      </c>
      <c r="C1005" s="66" t="s">
        <v>3181</v>
      </c>
      <c r="D1005" s="66"/>
      <c r="E1005" s="66"/>
      <c r="F1005" s="66"/>
      <c r="G1005" s="27" t="s">
        <v>3182</v>
      </c>
      <c r="H1005" s="28" t="s">
        <v>44</v>
      </c>
      <c r="I1005" s="29"/>
      <c r="J1005" s="25">
        <v>3</v>
      </c>
      <c r="K1005" s="30">
        <v>165.99</v>
      </c>
      <c r="L1005" s="17"/>
      <c r="M1005" s="29">
        <f>K1005*L1005</f>
        <v>0</v>
      </c>
      <c r="N1005" s="31">
        <f>0.561*L1005</f>
        <v>0</v>
      </c>
      <c r="O1005" s="32">
        <f>0.00048*L1005</f>
        <v>0</v>
      </c>
      <c r="P1005" s="36"/>
      <c r="Q1005" s="29" t="s">
        <v>3183</v>
      </c>
      <c r="R1005" s="29"/>
      <c r="S1005" s="26" t="str">
        <f>HYPERLINK("https://miland.ru/api/getInfo/image/5f31e1f7-90dd-11ed-a22c-00155d82e902")</f>
        <v>https://miland.ru/api/getInfo/image/5f31e1f7-90dd-11ed-a22c-00155d82e902</v>
      </c>
    </row>
    <row r="1006" spans="1:19" s="2" customFormat="1" ht="96.2" customHeight="1" outlineLevel="7">
      <c r="A1006" s="25">
        <v>745</v>
      </c>
      <c r="B1006" s="26" t="s">
        <v>3184</v>
      </c>
      <c r="C1006" s="66" t="s">
        <v>3185</v>
      </c>
      <c r="D1006" s="66"/>
      <c r="E1006" s="66"/>
      <c r="F1006" s="66"/>
      <c r="G1006" s="27" t="s">
        <v>3186</v>
      </c>
      <c r="H1006" s="28" t="s">
        <v>44</v>
      </c>
      <c r="I1006" s="29"/>
      <c r="J1006" s="25">
        <v>3</v>
      </c>
      <c r="K1006" s="30">
        <v>165.99</v>
      </c>
      <c r="L1006" s="17"/>
      <c r="M1006" s="29">
        <f>K1006*L1006</f>
        <v>0</v>
      </c>
      <c r="N1006" s="31">
        <f>0.018*L1006</f>
        <v>0</v>
      </c>
      <c r="O1006" s="32">
        <f>0.00034*L1006</f>
        <v>0</v>
      </c>
      <c r="P1006" s="36"/>
      <c r="Q1006" s="29" t="s">
        <v>3187</v>
      </c>
      <c r="R1006" s="29"/>
      <c r="S1006" s="26" t="str">
        <f>HYPERLINK("https://miland.ru/api/getInfo/image/a8909e70-90dd-11ed-a22c-00155d82e902")</f>
        <v>https://miland.ru/api/getInfo/image/a8909e70-90dd-11ed-a22c-00155d82e902</v>
      </c>
    </row>
    <row r="1007" spans="1:19" s="2" customFormat="1" ht="96.2" customHeight="1" outlineLevel="7">
      <c r="A1007" s="25">
        <v>746</v>
      </c>
      <c r="B1007" s="26" t="s">
        <v>3188</v>
      </c>
      <c r="C1007" s="66" t="s">
        <v>3189</v>
      </c>
      <c r="D1007" s="66"/>
      <c r="E1007" s="66"/>
      <c r="F1007" s="66"/>
      <c r="G1007" s="27" t="s">
        <v>3190</v>
      </c>
      <c r="H1007" s="28" t="s">
        <v>44</v>
      </c>
      <c r="I1007" s="29"/>
      <c r="J1007" s="25">
        <v>2</v>
      </c>
      <c r="K1007" s="30">
        <v>337.87</v>
      </c>
      <c r="L1007" s="17"/>
      <c r="M1007" s="29">
        <f>K1007*L1007</f>
        <v>0</v>
      </c>
      <c r="N1007" s="31">
        <f>0.017*L1007</f>
        <v>0</v>
      </c>
      <c r="O1007" s="32">
        <f>0.00101*L1007</f>
        <v>0</v>
      </c>
      <c r="P1007" s="36"/>
      <c r="Q1007" s="29" t="s">
        <v>3191</v>
      </c>
      <c r="R1007" s="29" t="s">
        <v>611</v>
      </c>
      <c r="S1007" s="26" t="str">
        <f>HYPERLINK("https://miland.ru/api/getInfo/image/c636fdc6-90dc-11ed-a22c-00155d82e902")</f>
        <v>https://miland.ru/api/getInfo/image/c636fdc6-90dc-11ed-a22c-00155d82e902</v>
      </c>
    </row>
    <row r="1008" spans="1:19" s="1" customFormat="1" ht="12" customHeight="1" outlineLevel="7">
      <c r="A1008" s="64" t="s">
        <v>3192</v>
      </c>
      <c r="B1008" s="64"/>
      <c r="C1008" s="64"/>
      <c r="D1008" s="64"/>
      <c r="E1008" s="64"/>
      <c r="F1008" s="64"/>
      <c r="G1008" s="8"/>
      <c r="H1008" s="12"/>
      <c r="I1008" s="2"/>
      <c r="J1008" s="2"/>
      <c r="K1008" s="13"/>
      <c r="L1008" s="2"/>
      <c r="M1008" s="2"/>
      <c r="N1008" s="2"/>
      <c r="O1008" s="2"/>
      <c r="P1008" s="2"/>
      <c r="Q1008" s="2"/>
      <c r="R1008" s="2"/>
      <c r="S1008" s="2"/>
    </row>
    <row r="1009" spans="1:19" s="2" customFormat="1" ht="96.2" customHeight="1" outlineLevel="7">
      <c r="A1009" s="25">
        <v>747</v>
      </c>
      <c r="B1009" s="26" t="s">
        <v>3193</v>
      </c>
      <c r="C1009" s="66" t="s">
        <v>3194</v>
      </c>
      <c r="D1009" s="66"/>
      <c r="E1009" s="66"/>
      <c r="F1009" s="66"/>
      <c r="G1009" s="27" t="s">
        <v>3195</v>
      </c>
      <c r="H1009" s="33">
        <v>6</v>
      </c>
      <c r="I1009" s="29"/>
      <c r="J1009" s="25">
        <v>2</v>
      </c>
      <c r="K1009" s="30">
        <v>279.55</v>
      </c>
      <c r="L1009" s="17"/>
      <c r="M1009" s="29">
        <f t="shared" ref="M1009:M1038" si="50">K1009*L1009</f>
        <v>0</v>
      </c>
      <c r="N1009" s="31">
        <f>0.023*L1009</f>
        <v>0</v>
      </c>
      <c r="O1009" s="32">
        <f>0.00089*L1009</f>
        <v>0</v>
      </c>
      <c r="P1009" s="36"/>
      <c r="Q1009" s="29" t="s">
        <v>3196</v>
      </c>
      <c r="R1009" s="29" t="s">
        <v>611</v>
      </c>
      <c r="S1009" s="26" t="str">
        <f>HYPERLINK("https://miland.ru/api/getInfo/image/12a81d93-90af-11ed-a22c-00155d82e902")</f>
        <v>https://miland.ru/api/getInfo/image/12a81d93-90af-11ed-a22c-00155d82e902</v>
      </c>
    </row>
    <row r="1010" spans="1:19" s="2" customFormat="1" ht="96.2" customHeight="1" outlineLevel="7">
      <c r="A1010" s="25">
        <v>748</v>
      </c>
      <c r="B1010" s="26" t="s">
        <v>3197</v>
      </c>
      <c r="C1010" s="66" t="s">
        <v>3198</v>
      </c>
      <c r="D1010" s="66"/>
      <c r="E1010" s="66"/>
      <c r="F1010" s="66"/>
      <c r="G1010" s="27" t="s">
        <v>3199</v>
      </c>
      <c r="H1010" s="33">
        <v>132</v>
      </c>
      <c r="I1010" s="29"/>
      <c r="J1010" s="25">
        <v>1</v>
      </c>
      <c r="K1010" s="30">
        <v>404.91</v>
      </c>
      <c r="L1010" s="17"/>
      <c r="M1010" s="29">
        <f t="shared" si="50"/>
        <v>0</v>
      </c>
      <c r="N1010" s="31">
        <f>0.048*L1010</f>
        <v>0</v>
      </c>
      <c r="O1010" s="32">
        <f>0.00058*L1010</f>
        <v>0</v>
      </c>
      <c r="P1010" s="36"/>
      <c r="Q1010" s="29" t="s">
        <v>3200</v>
      </c>
      <c r="R1010" s="29" t="s">
        <v>611</v>
      </c>
      <c r="S1010" s="26" t="str">
        <f>HYPERLINK("https://miland.ru/api/getInfo/image/dea46617-90b1-11ed-a22c-00155d82e902")</f>
        <v>https://miland.ru/api/getInfo/image/dea46617-90b1-11ed-a22c-00155d82e902</v>
      </c>
    </row>
    <row r="1011" spans="1:19" s="2" customFormat="1" ht="96.2" customHeight="1" outlineLevel="7">
      <c r="A1011" s="25">
        <v>749</v>
      </c>
      <c r="B1011" s="26" t="s">
        <v>3201</v>
      </c>
      <c r="C1011" s="66" t="s">
        <v>3202</v>
      </c>
      <c r="D1011" s="66"/>
      <c r="E1011" s="66"/>
      <c r="F1011" s="66"/>
      <c r="G1011" s="27" t="s">
        <v>3203</v>
      </c>
      <c r="H1011" s="33">
        <v>19</v>
      </c>
      <c r="I1011" s="29"/>
      <c r="J1011" s="25">
        <v>1</v>
      </c>
      <c r="K1011" s="30">
        <v>484.56</v>
      </c>
      <c r="L1011" s="17"/>
      <c r="M1011" s="29">
        <f t="shared" si="50"/>
        <v>0</v>
      </c>
      <c r="N1011" s="31">
        <f>0.056*L1011</f>
        <v>0</v>
      </c>
      <c r="O1011" s="32">
        <f>0.00071*L1011</f>
        <v>0</v>
      </c>
      <c r="P1011" s="36"/>
      <c r="Q1011" s="29" t="s">
        <v>3204</v>
      </c>
      <c r="R1011" s="29" t="s">
        <v>611</v>
      </c>
      <c r="S1011" s="26" t="str">
        <f>HYPERLINK("https://miland.ru/api/getInfo/image/801bf64f-901b-11ed-a22b-00155d82e902")</f>
        <v>https://miland.ru/api/getInfo/image/801bf64f-901b-11ed-a22b-00155d82e902</v>
      </c>
    </row>
    <row r="1012" spans="1:19" s="2" customFormat="1" ht="96.2" customHeight="1" outlineLevel="7">
      <c r="A1012" s="25">
        <v>750</v>
      </c>
      <c r="B1012" s="26" t="s">
        <v>3205</v>
      </c>
      <c r="C1012" s="66" t="s">
        <v>3206</v>
      </c>
      <c r="D1012" s="66"/>
      <c r="E1012" s="66"/>
      <c r="F1012" s="66"/>
      <c r="G1012" s="27" t="s">
        <v>3207</v>
      </c>
      <c r="H1012" s="33">
        <v>102</v>
      </c>
      <c r="I1012" s="29"/>
      <c r="J1012" s="25">
        <v>2</v>
      </c>
      <c r="K1012" s="30">
        <v>315.91000000000003</v>
      </c>
      <c r="L1012" s="17"/>
      <c r="M1012" s="29">
        <f t="shared" si="50"/>
        <v>0</v>
      </c>
      <c r="N1012" s="31">
        <f>0.022*L1012</f>
        <v>0</v>
      </c>
      <c r="O1012" s="32">
        <f>0.00066*L1012</f>
        <v>0</v>
      </c>
      <c r="P1012" s="36"/>
      <c r="Q1012" s="29" t="s">
        <v>3208</v>
      </c>
      <c r="R1012" s="29" t="s">
        <v>611</v>
      </c>
      <c r="S1012" s="26" t="str">
        <f>HYPERLINK("https://miland.ru/api/getInfo/image/b6ba7c74-90d5-11ed-a22c-00155d82e902")</f>
        <v>https://miland.ru/api/getInfo/image/b6ba7c74-90d5-11ed-a22c-00155d82e902</v>
      </c>
    </row>
    <row r="1013" spans="1:19" s="2" customFormat="1" ht="96.2" customHeight="1" outlineLevel="7">
      <c r="A1013" s="25">
        <v>751</v>
      </c>
      <c r="B1013" s="26" t="s">
        <v>3209</v>
      </c>
      <c r="C1013" s="66" t="s">
        <v>3210</v>
      </c>
      <c r="D1013" s="66"/>
      <c r="E1013" s="66"/>
      <c r="F1013" s="66"/>
      <c r="G1013" s="27" t="s">
        <v>3211</v>
      </c>
      <c r="H1013" s="33">
        <v>19</v>
      </c>
      <c r="I1013" s="29"/>
      <c r="J1013" s="25">
        <v>2</v>
      </c>
      <c r="K1013" s="30">
        <v>315.3</v>
      </c>
      <c r="L1013" s="17"/>
      <c r="M1013" s="29">
        <f t="shared" si="50"/>
        <v>0</v>
      </c>
      <c r="N1013" s="34">
        <f>0.03*L1013</f>
        <v>0</v>
      </c>
      <c r="O1013" s="35">
        <f>0.0007*L1013</f>
        <v>0</v>
      </c>
      <c r="P1013" s="36"/>
      <c r="Q1013" s="29" t="s">
        <v>3212</v>
      </c>
      <c r="R1013" s="29" t="s">
        <v>611</v>
      </c>
      <c r="S1013" s="26" t="str">
        <f>HYPERLINK("https://miland.ru/api/getInfo/image/83d1048a-90d8-11ed-a22c-00155d82e902")</f>
        <v>https://miland.ru/api/getInfo/image/83d1048a-90d8-11ed-a22c-00155d82e902</v>
      </c>
    </row>
    <row r="1014" spans="1:19" s="2" customFormat="1" ht="96.2" customHeight="1" outlineLevel="7">
      <c r="A1014" s="25">
        <v>752</v>
      </c>
      <c r="B1014" s="26" t="s">
        <v>3213</v>
      </c>
      <c r="C1014" s="66" t="s">
        <v>3214</v>
      </c>
      <c r="D1014" s="66"/>
      <c r="E1014" s="66"/>
      <c r="F1014" s="66"/>
      <c r="G1014" s="27" t="s">
        <v>3215</v>
      </c>
      <c r="H1014" s="33">
        <v>3</v>
      </c>
      <c r="I1014" s="29"/>
      <c r="J1014" s="25">
        <v>2</v>
      </c>
      <c r="K1014" s="30">
        <v>357.78</v>
      </c>
      <c r="L1014" s="17"/>
      <c r="M1014" s="29">
        <f t="shared" si="50"/>
        <v>0</v>
      </c>
      <c r="N1014" s="31">
        <f>0.033*L1014</f>
        <v>0</v>
      </c>
      <c r="O1014" s="32">
        <f>0.00061*L1014</f>
        <v>0</v>
      </c>
      <c r="P1014" s="36"/>
      <c r="Q1014" s="29" t="s">
        <v>3216</v>
      </c>
      <c r="R1014" s="29" t="s">
        <v>611</v>
      </c>
      <c r="S1014" s="26" t="str">
        <f>HYPERLINK("https://miland.ru/api/getInfo/image/29cbcb28-90de-11ed-a22c-00155d82e902")</f>
        <v>https://miland.ru/api/getInfo/image/29cbcb28-90de-11ed-a22c-00155d82e902</v>
      </c>
    </row>
    <row r="1015" spans="1:19" s="2" customFormat="1" ht="96.2" customHeight="1" outlineLevel="7">
      <c r="A1015" s="25">
        <v>753</v>
      </c>
      <c r="B1015" s="26" t="s">
        <v>3217</v>
      </c>
      <c r="C1015" s="66" t="s">
        <v>3218</v>
      </c>
      <c r="D1015" s="66"/>
      <c r="E1015" s="66"/>
      <c r="F1015" s="66"/>
      <c r="G1015" s="27" t="s">
        <v>3219</v>
      </c>
      <c r="H1015" s="28" t="s">
        <v>44</v>
      </c>
      <c r="I1015" s="29"/>
      <c r="J1015" s="25">
        <v>2</v>
      </c>
      <c r="K1015" s="30">
        <v>234.71</v>
      </c>
      <c r="L1015" s="17"/>
      <c r="M1015" s="29">
        <f t="shared" si="50"/>
        <v>0</v>
      </c>
      <c r="N1015" s="31">
        <f>0.021*L1015</f>
        <v>0</v>
      </c>
      <c r="O1015" s="32">
        <f>0.00012*L1015</f>
        <v>0</v>
      </c>
      <c r="P1015" s="36"/>
      <c r="Q1015" s="29" t="s">
        <v>3220</v>
      </c>
      <c r="R1015" s="29"/>
      <c r="S1015" s="26" t="str">
        <f>HYPERLINK("https://miland.ru/api/getInfo/image/4c65c595-d984-11ef-a273-00155d82e908")</f>
        <v>https://miland.ru/api/getInfo/image/4c65c595-d984-11ef-a273-00155d82e908</v>
      </c>
    </row>
    <row r="1016" spans="1:19" s="2" customFormat="1" ht="96.2" customHeight="1" outlineLevel="7">
      <c r="A1016" s="25">
        <v>754</v>
      </c>
      <c r="B1016" s="26" t="s">
        <v>3221</v>
      </c>
      <c r="C1016" s="66" t="s">
        <v>3222</v>
      </c>
      <c r="D1016" s="66"/>
      <c r="E1016" s="66"/>
      <c r="F1016" s="66"/>
      <c r="G1016" s="27" t="s">
        <v>3223</v>
      </c>
      <c r="H1016" s="33">
        <v>373</v>
      </c>
      <c r="I1016" s="29"/>
      <c r="J1016" s="25">
        <v>2</v>
      </c>
      <c r="K1016" s="30">
        <v>339.97</v>
      </c>
      <c r="L1016" s="17"/>
      <c r="M1016" s="29">
        <f t="shared" si="50"/>
        <v>0</v>
      </c>
      <c r="N1016" s="31">
        <f>0.032*L1016</f>
        <v>0</v>
      </c>
      <c r="O1016" s="32">
        <f>0.00062*L1016</f>
        <v>0</v>
      </c>
      <c r="P1016" s="36"/>
      <c r="Q1016" s="29" t="s">
        <v>3224</v>
      </c>
      <c r="R1016" s="29" t="s">
        <v>611</v>
      </c>
      <c r="S1016" s="26" t="str">
        <f>HYPERLINK("https://miland.ru/api/getInfo/image/ee9cdf4b-901e-11ed-a22b-00155d82e902")</f>
        <v>https://miland.ru/api/getInfo/image/ee9cdf4b-901e-11ed-a22b-00155d82e902</v>
      </c>
    </row>
    <row r="1017" spans="1:19" s="2" customFormat="1" ht="96.2" customHeight="1" outlineLevel="7">
      <c r="A1017" s="25">
        <v>755</v>
      </c>
      <c r="B1017" s="26" t="s">
        <v>3225</v>
      </c>
      <c r="C1017" s="66" t="s">
        <v>3226</v>
      </c>
      <c r="D1017" s="66"/>
      <c r="E1017" s="66"/>
      <c r="F1017" s="66"/>
      <c r="G1017" s="27" t="s">
        <v>3227</v>
      </c>
      <c r="H1017" s="28" t="s">
        <v>44</v>
      </c>
      <c r="I1017" s="29"/>
      <c r="J1017" s="25">
        <v>2</v>
      </c>
      <c r="K1017" s="30">
        <v>285.81</v>
      </c>
      <c r="L1017" s="17"/>
      <c r="M1017" s="29">
        <f t="shared" si="50"/>
        <v>0</v>
      </c>
      <c r="N1017" s="34">
        <f>0.03*L1017</f>
        <v>0</v>
      </c>
      <c r="O1017" s="32">
        <f>0.00062*L1017</f>
        <v>0</v>
      </c>
      <c r="P1017" s="36"/>
      <c r="Q1017" s="29" t="s">
        <v>3228</v>
      </c>
      <c r="R1017" s="29" t="s">
        <v>611</v>
      </c>
      <c r="S1017" s="26" t="str">
        <f>HYPERLINK("https://miland.ru/api/getInfo/image/44d2af5b-90db-11ed-a22c-00155d82e902")</f>
        <v>https://miland.ru/api/getInfo/image/44d2af5b-90db-11ed-a22c-00155d82e902</v>
      </c>
    </row>
    <row r="1018" spans="1:19" s="2" customFormat="1" ht="96.2" customHeight="1" outlineLevel="7">
      <c r="A1018" s="25">
        <v>756</v>
      </c>
      <c r="B1018" s="26" t="s">
        <v>3229</v>
      </c>
      <c r="C1018" s="66" t="s">
        <v>3230</v>
      </c>
      <c r="D1018" s="66"/>
      <c r="E1018" s="66"/>
      <c r="F1018" s="66"/>
      <c r="G1018" s="27" t="s">
        <v>3231</v>
      </c>
      <c r="H1018" s="33">
        <v>58</v>
      </c>
      <c r="I1018" s="29"/>
      <c r="J1018" s="25">
        <v>2</v>
      </c>
      <c r="K1018" s="30">
        <v>321.93</v>
      </c>
      <c r="L1018" s="17"/>
      <c r="M1018" s="29">
        <f t="shared" si="50"/>
        <v>0</v>
      </c>
      <c r="N1018" s="31">
        <f>0.031*L1018</f>
        <v>0</v>
      </c>
      <c r="O1018" s="32">
        <f>0.00068*L1018</f>
        <v>0</v>
      </c>
      <c r="P1018" s="36"/>
      <c r="Q1018" s="29" t="s">
        <v>3232</v>
      </c>
      <c r="R1018" s="29" t="s">
        <v>611</v>
      </c>
      <c r="S1018" s="26" t="str">
        <f>HYPERLINK("https://miland.ru/api/getInfo/image/ba017771-90d7-11ed-a22c-00155d82e902")</f>
        <v>https://miland.ru/api/getInfo/image/ba017771-90d7-11ed-a22c-00155d82e902</v>
      </c>
    </row>
    <row r="1019" spans="1:19" s="2" customFormat="1" ht="96.2" customHeight="1" outlineLevel="7">
      <c r="A1019" s="25">
        <v>757</v>
      </c>
      <c r="B1019" s="26" t="s">
        <v>3233</v>
      </c>
      <c r="C1019" s="66" t="s">
        <v>3234</v>
      </c>
      <c r="D1019" s="66"/>
      <c r="E1019" s="66"/>
      <c r="F1019" s="66"/>
      <c r="G1019" s="27" t="s">
        <v>3235</v>
      </c>
      <c r="H1019" s="28" t="s">
        <v>44</v>
      </c>
      <c r="I1019" s="29"/>
      <c r="J1019" s="25">
        <v>1</v>
      </c>
      <c r="K1019" s="30">
        <v>408.23</v>
      </c>
      <c r="L1019" s="17"/>
      <c r="M1019" s="29">
        <f t="shared" si="50"/>
        <v>0</v>
      </c>
      <c r="N1019" s="34">
        <f>0.06*L1019</f>
        <v>0</v>
      </c>
      <c r="O1019" s="32">
        <f>0.00094*L1019</f>
        <v>0</v>
      </c>
      <c r="P1019" s="36"/>
      <c r="Q1019" s="29" t="s">
        <v>3236</v>
      </c>
      <c r="R1019" s="29" t="s">
        <v>611</v>
      </c>
      <c r="S1019" s="26" t="str">
        <f>HYPERLINK("https://miland.ru/api/getInfo/image/db979c23-90ae-11ed-a22c-00155d82e902")</f>
        <v>https://miland.ru/api/getInfo/image/db979c23-90ae-11ed-a22c-00155d82e902</v>
      </c>
    </row>
    <row r="1020" spans="1:19" s="2" customFormat="1" ht="96.2" customHeight="1" outlineLevel="7">
      <c r="A1020" s="25">
        <v>758</v>
      </c>
      <c r="B1020" s="26" t="s">
        <v>3237</v>
      </c>
      <c r="C1020" s="66" t="s">
        <v>3238</v>
      </c>
      <c r="D1020" s="66"/>
      <c r="E1020" s="66"/>
      <c r="F1020" s="66"/>
      <c r="G1020" s="27" t="s">
        <v>3239</v>
      </c>
      <c r="H1020" s="28" t="s">
        <v>44</v>
      </c>
      <c r="I1020" s="29"/>
      <c r="J1020" s="25">
        <v>2</v>
      </c>
      <c r="K1020" s="30">
        <v>218.09</v>
      </c>
      <c r="L1020" s="17"/>
      <c r="M1020" s="29">
        <f t="shared" si="50"/>
        <v>0</v>
      </c>
      <c r="N1020" s="31">
        <f>0.021*L1020</f>
        <v>0</v>
      </c>
      <c r="O1020" s="32">
        <f>0.00017*L1020</f>
        <v>0</v>
      </c>
      <c r="P1020" s="36"/>
      <c r="Q1020" s="29" t="s">
        <v>3240</v>
      </c>
      <c r="R1020" s="29"/>
      <c r="S1020" s="26" t="str">
        <f>HYPERLINK("https://miland.ru/api/getInfo/image/f7ae3100-d982-11ef-a273-00155d82e908")</f>
        <v>https://miland.ru/api/getInfo/image/f7ae3100-d982-11ef-a273-00155d82e908</v>
      </c>
    </row>
    <row r="1021" spans="1:19" s="2" customFormat="1" ht="96.2" customHeight="1" outlineLevel="7">
      <c r="A1021" s="25">
        <v>759</v>
      </c>
      <c r="B1021" s="26" t="s">
        <v>3241</v>
      </c>
      <c r="C1021" s="66" t="s">
        <v>3242</v>
      </c>
      <c r="D1021" s="66"/>
      <c r="E1021" s="66"/>
      <c r="F1021" s="66"/>
      <c r="G1021" s="27" t="s">
        <v>3243</v>
      </c>
      <c r="H1021" s="28" t="s">
        <v>44</v>
      </c>
      <c r="I1021" s="29"/>
      <c r="J1021" s="25">
        <v>3</v>
      </c>
      <c r="K1021" s="30">
        <v>238.46</v>
      </c>
      <c r="L1021" s="17"/>
      <c r="M1021" s="29">
        <f t="shared" si="50"/>
        <v>0</v>
      </c>
      <c r="N1021" s="31">
        <f>0.022*L1021</f>
        <v>0</v>
      </c>
      <c r="O1021" s="32">
        <f>0.00012*L1021</f>
        <v>0</v>
      </c>
      <c r="P1021" s="36"/>
      <c r="Q1021" s="29" t="s">
        <v>3244</v>
      </c>
      <c r="R1021" s="29"/>
      <c r="S1021" s="26" t="str">
        <f>HYPERLINK("https://miland.ru/api/getInfo/image/68e21387-d984-11ef-a273-00155d82e908")</f>
        <v>https://miland.ru/api/getInfo/image/68e21387-d984-11ef-a273-00155d82e908</v>
      </c>
    </row>
    <row r="1022" spans="1:19" s="2" customFormat="1" ht="96.2" customHeight="1" outlineLevel="7">
      <c r="A1022" s="9">
        <v>760</v>
      </c>
      <c r="B1022" s="10" t="s">
        <v>3245</v>
      </c>
      <c r="C1022" s="65" t="s">
        <v>3246</v>
      </c>
      <c r="D1022" s="65"/>
      <c r="E1022" s="65"/>
      <c r="F1022" s="65"/>
      <c r="G1022" s="11" t="s">
        <v>3247</v>
      </c>
      <c r="H1022" s="14">
        <v>412</v>
      </c>
      <c r="I1022" s="15"/>
      <c r="J1022" s="9">
        <v>3</v>
      </c>
      <c r="K1022" s="16">
        <v>184.88</v>
      </c>
      <c r="L1022" s="17"/>
      <c r="M1022" s="15">
        <f t="shared" si="50"/>
        <v>0</v>
      </c>
      <c r="N1022" s="18">
        <f>0.029*L1022</f>
        <v>0</v>
      </c>
      <c r="O1022" s="19">
        <f>0.00003*L1022</f>
        <v>0</v>
      </c>
      <c r="P1022" s="24" t="s">
        <v>26</v>
      </c>
      <c r="Q1022" s="15" t="s">
        <v>3248</v>
      </c>
      <c r="R1022" s="15"/>
      <c r="S1022" s="10" t="str">
        <f>HYPERLINK("https://miland.ru/api/getInfo/image/6dd7cc3a-2d8d-11f1-a292-00155d82e908")</f>
        <v>https://miland.ru/api/getInfo/image/6dd7cc3a-2d8d-11f1-a292-00155d82e908</v>
      </c>
    </row>
    <row r="1023" spans="1:19" s="2" customFormat="1" ht="96.2" customHeight="1" outlineLevel="7">
      <c r="A1023" s="25">
        <v>761</v>
      </c>
      <c r="B1023" s="26" t="s">
        <v>3249</v>
      </c>
      <c r="C1023" s="66" t="s">
        <v>3250</v>
      </c>
      <c r="D1023" s="66"/>
      <c r="E1023" s="66"/>
      <c r="F1023" s="66"/>
      <c r="G1023" s="27" t="s">
        <v>3251</v>
      </c>
      <c r="H1023" s="33">
        <v>286</v>
      </c>
      <c r="I1023" s="29"/>
      <c r="J1023" s="25">
        <v>2</v>
      </c>
      <c r="K1023" s="30">
        <v>408.45</v>
      </c>
      <c r="L1023" s="17"/>
      <c r="M1023" s="29">
        <f t="shared" si="50"/>
        <v>0</v>
      </c>
      <c r="N1023" s="31">
        <f>0.037*L1023</f>
        <v>0</v>
      </c>
      <c r="O1023" s="32">
        <f>0.00063*L1023</f>
        <v>0</v>
      </c>
      <c r="P1023" s="36"/>
      <c r="Q1023" s="29" t="s">
        <v>3252</v>
      </c>
      <c r="R1023" s="29" t="s">
        <v>611</v>
      </c>
      <c r="S1023" s="26" t="str">
        <f>HYPERLINK("https://miland.ru/api/getInfo/image/b03de025-bf7c-11ee-a25a-00155d82e908")</f>
        <v>https://miland.ru/api/getInfo/image/b03de025-bf7c-11ee-a25a-00155d82e908</v>
      </c>
    </row>
    <row r="1024" spans="1:19" s="2" customFormat="1" ht="96.2" customHeight="1" outlineLevel="7">
      <c r="A1024" s="9">
        <v>762</v>
      </c>
      <c r="B1024" s="10" t="s">
        <v>3253</v>
      </c>
      <c r="C1024" s="65" t="s">
        <v>3254</v>
      </c>
      <c r="D1024" s="65"/>
      <c r="E1024" s="65"/>
      <c r="F1024" s="65"/>
      <c r="G1024" s="11" t="s">
        <v>3255</v>
      </c>
      <c r="H1024" s="14">
        <v>206</v>
      </c>
      <c r="I1024" s="15"/>
      <c r="J1024" s="9">
        <v>2</v>
      </c>
      <c r="K1024" s="16">
        <v>238.55</v>
      </c>
      <c r="L1024" s="17"/>
      <c r="M1024" s="15">
        <f t="shared" si="50"/>
        <v>0</v>
      </c>
      <c r="N1024" s="18">
        <f>0.026*L1024</f>
        <v>0</v>
      </c>
      <c r="O1024" s="15">
        <v>0</v>
      </c>
      <c r="P1024" s="24" t="s">
        <v>26</v>
      </c>
      <c r="Q1024" s="15" t="s">
        <v>3256</v>
      </c>
      <c r="R1024" s="15"/>
      <c r="S1024" s="10" t="str">
        <f>HYPERLINK("https://miland.ru/api/getInfo/image/d7dd9618-cf7e-11f0-a28b-00155d82e908")</f>
        <v>https://miland.ru/api/getInfo/image/d7dd9618-cf7e-11f0-a28b-00155d82e908</v>
      </c>
    </row>
    <row r="1025" spans="1:19" s="2" customFormat="1" ht="96.2" customHeight="1" outlineLevel="7">
      <c r="A1025" s="9">
        <v>763</v>
      </c>
      <c r="B1025" s="10" t="s">
        <v>3257</v>
      </c>
      <c r="C1025" s="65" t="s">
        <v>3258</v>
      </c>
      <c r="D1025" s="65"/>
      <c r="E1025" s="65"/>
      <c r="F1025" s="65"/>
      <c r="G1025" s="11" t="s">
        <v>3259</v>
      </c>
      <c r="H1025" s="14">
        <v>275</v>
      </c>
      <c r="I1025" s="15"/>
      <c r="J1025" s="9">
        <v>2</v>
      </c>
      <c r="K1025" s="16">
        <v>234.9</v>
      </c>
      <c r="L1025" s="17"/>
      <c r="M1025" s="15">
        <f t="shared" si="50"/>
        <v>0</v>
      </c>
      <c r="N1025" s="23">
        <f>0.02*L1025</f>
        <v>0</v>
      </c>
      <c r="O1025" s="20">
        <f>0.0002*L1025</f>
        <v>0</v>
      </c>
      <c r="P1025" s="24" t="s">
        <v>26</v>
      </c>
      <c r="Q1025" s="15" t="s">
        <v>3260</v>
      </c>
      <c r="R1025" s="15"/>
      <c r="S1025" s="10" t="str">
        <f>HYPERLINK("https://miland.ru/api/getInfo/image/28198804-2d8d-11f1-a292-00155d82e908")</f>
        <v>https://miland.ru/api/getInfo/image/28198804-2d8d-11f1-a292-00155d82e908</v>
      </c>
    </row>
    <row r="1026" spans="1:19" s="2" customFormat="1" ht="96.2" customHeight="1" outlineLevel="7">
      <c r="A1026" s="9">
        <v>764</v>
      </c>
      <c r="B1026" s="10" t="s">
        <v>3261</v>
      </c>
      <c r="C1026" s="65" t="s">
        <v>3262</v>
      </c>
      <c r="D1026" s="65"/>
      <c r="E1026" s="65"/>
      <c r="F1026" s="65"/>
      <c r="G1026" s="11" t="s">
        <v>3263</v>
      </c>
      <c r="H1026" s="14">
        <v>387</v>
      </c>
      <c r="I1026" s="15"/>
      <c r="J1026" s="9">
        <v>3</v>
      </c>
      <c r="K1026" s="16">
        <v>199.94</v>
      </c>
      <c r="L1026" s="17"/>
      <c r="M1026" s="15">
        <f t="shared" si="50"/>
        <v>0</v>
      </c>
      <c r="N1026" s="18">
        <f>0.019*L1026</f>
        <v>0</v>
      </c>
      <c r="O1026" s="15">
        <v>0</v>
      </c>
      <c r="P1026" s="24" t="s">
        <v>26</v>
      </c>
      <c r="Q1026" s="15" t="s">
        <v>3264</v>
      </c>
      <c r="R1026" s="15"/>
      <c r="S1026" s="10" t="str">
        <f>HYPERLINK("https://miland.ru/api/getInfo/image/c8ba3d02-2d8d-11f1-a292-00155d82e908")</f>
        <v>https://miland.ru/api/getInfo/image/c8ba3d02-2d8d-11f1-a292-00155d82e908</v>
      </c>
    </row>
    <row r="1027" spans="1:19" s="2" customFormat="1" ht="96.2" customHeight="1" outlineLevel="7">
      <c r="A1027" s="9">
        <v>765</v>
      </c>
      <c r="B1027" s="10" t="s">
        <v>3265</v>
      </c>
      <c r="C1027" s="65" t="s">
        <v>3266</v>
      </c>
      <c r="D1027" s="65"/>
      <c r="E1027" s="65"/>
      <c r="F1027" s="65"/>
      <c r="G1027" s="11" t="s">
        <v>3267</v>
      </c>
      <c r="H1027" s="14">
        <v>459</v>
      </c>
      <c r="I1027" s="15"/>
      <c r="J1027" s="9">
        <v>2</v>
      </c>
      <c r="K1027" s="16">
        <v>253.65</v>
      </c>
      <c r="L1027" s="17"/>
      <c r="M1027" s="15">
        <f t="shared" si="50"/>
        <v>0</v>
      </c>
      <c r="N1027" s="18">
        <f>0.034*L1027</f>
        <v>0</v>
      </c>
      <c r="O1027" s="19">
        <f>0.00011*L1027</f>
        <v>0</v>
      </c>
      <c r="P1027" s="24" t="s">
        <v>26</v>
      </c>
      <c r="Q1027" s="15" t="s">
        <v>3268</v>
      </c>
      <c r="R1027" s="15"/>
      <c r="S1027" s="10" t="str">
        <f>HYPERLINK("https://miland.ru/api/getInfo/image/10c88feb-2d8d-11f1-a292-00155d82e908")</f>
        <v>https://miland.ru/api/getInfo/image/10c88feb-2d8d-11f1-a292-00155d82e908</v>
      </c>
    </row>
    <row r="1028" spans="1:19" s="2" customFormat="1" ht="96.2" customHeight="1" outlineLevel="7">
      <c r="A1028" s="9">
        <v>766</v>
      </c>
      <c r="B1028" s="10" t="s">
        <v>3269</v>
      </c>
      <c r="C1028" s="65" t="s">
        <v>3270</v>
      </c>
      <c r="D1028" s="65"/>
      <c r="E1028" s="65"/>
      <c r="F1028" s="65"/>
      <c r="G1028" s="11" t="s">
        <v>3271</v>
      </c>
      <c r="H1028" s="21" t="s">
        <v>44</v>
      </c>
      <c r="I1028" s="15"/>
      <c r="J1028" s="9">
        <v>1</v>
      </c>
      <c r="K1028" s="16">
        <v>268.22000000000003</v>
      </c>
      <c r="L1028" s="17"/>
      <c r="M1028" s="15">
        <f t="shared" si="50"/>
        <v>0</v>
      </c>
      <c r="N1028" s="18">
        <f>0.039*L1028</f>
        <v>0</v>
      </c>
      <c r="O1028" s="19">
        <f>0.00011*L1028</f>
        <v>0</v>
      </c>
      <c r="P1028" s="24" t="s">
        <v>26</v>
      </c>
      <c r="Q1028" s="15" t="s">
        <v>3272</v>
      </c>
      <c r="R1028" s="15"/>
      <c r="S1028" s="10" t="str">
        <f>HYPERLINK("https://miland.ru/api/getInfo/image/e83d2ce5-cf7e-11f0-a28b-00155d82e908")</f>
        <v>https://miland.ru/api/getInfo/image/e83d2ce5-cf7e-11f0-a28b-00155d82e908</v>
      </c>
    </row>
    <row r="1029" spans="1:19" s="2" customFormat="1" ht="96.2" customHeight="1" outlineLevel="7">
      <c r="A1029" s="9">
        <v>767</v>
      </c>
      <c r="B1029" s="10" t="s">
        <v>3273</v>
      </c>
      <c r="C1029" s="65" t="s">
        <v>3274</v>
      </c>
      <c r="D1029" s="65"/>
      <c r="E1029" s="65"/>
      <c r="F1029" s="65"/>
      <c r="G1029" s="11" t="s">
        <v>3275</v>
      </c>
      <c r="H1029" s="21" t="s">
        <v>44</v>
      </c>
      <c r="I1029" s="15"/>
      <c r="J1029" s="9">
        <v>2</v>
      </c>
      <c r="K1029" s="16">
        <v>243.15</v>
      </c>
      <c r="L1029" s="17"/>
      <c r="M1029" s="15">
        <f t="shared" si="50"/>
        <v>0</v>
      </c>
      <c r="N1029" s="18">
        <f>0.028*L1029</f>
        <v>0</v>
      </c>
      <c r="O1029" s="19">
        <f>0.00035*L1029</f>
        <v>0</v>
      </c>
      <c r="P1029" s="24" t="s">
        <v>26</v>
      </c>
      <c r="Q1029" s="15" t="s">
        <v>3276</v>
      </c>
      <c r="R1029" s="15"/>
      <c r="S1029" s="10" t="str">
        <f>HYPERLINK("https://miland.ru/api/getInfo/image/6749ed6e-cf7f-11f0-a28b-00155d82e908")</f>
        <v>https://miland.ru/api/getInfo/image/6749ed6e-cf7f-11f0-a28b-00155d82e908</v>
      </c>
    </row>
    <row r="1030" spans="1:19" s="2" customFormat="1" ht="96.2" customHeight="1" outlineLevel="7">
      <c r="A1030" s="9">
        <v>768</v>
      </c>
      <c r="B1030" s="10" t="s">
        <v>3277</v>
      </c>
      <c r="C1030" s="65" t="s">
        <v>3278</v>
      </c>
      <c r="D1030" s="65"/>
      <c r="E1030" s="65"/>
      <c r="F1030" s="65"/>
      <c r="G1030" s="11" t="s">
        <v>3279</v>
      </c>
      <c r="H1030" s="21" t="s">
        <v>44</v>
      </c>
      <c r="I1030" s="15"/>
      <c r="J1030" s="9">
        <v>2</v>
      </c>
      <c r="K1030" s="16">
        <v>252.7</v>
      </c>
      <c r="L1030" s="17"/>
      <c r="M1030" s="15">
        <f t="shared" si="50"/>
        <v>0</v>
      </c>
      <c r="N1030" s="18">
        <f>0.044*L1030</f>
        <v>0</v>
      </c>
      <c r="O1030" s="19">
        <f>0.00005*L1030</f>
        <v>0</v>
      </c>
      <c r="P1030" s="24" t="s">
        <v>26</v>
      </c>
      <c r="Q1030" s="15" t="s">
        <v>3280</v>
      </c>
      <c r="R1030" s="15"/>
      <c r="S1030" s="10" t="str">
        <f>HYPERLINK("https://miland.ru/api/getInfo/image/adc9f2f6-cf7e-11f0-a28b-00155d82e908")</f>
        <v>https://miland.ru/api/getInfo/image/adc9f2f6-cf7e-11f0-a28b-00155d82e908</v>
      </c>
    </row>
    <row r="1031" spans="1:19" s="2" customFormat="1" ht="96.2" customHeight="1" outlineLevel="7">
      <c r="A1031" s="9">
        <v>769</v>
      </c>
      <c r="B1031" s="10" t="s">
        <v>3281</v>
      </c>
      <c r="C1031" s="65" t="s">
        <v>3282</v>
      </c>
      <c r="D1031" s="65"/>
      <c r="E1031" s="65"/>
      <c r="F1031" s="65"/>
      <c r="G1031" s="11" t="s">
        <v>3283</v>
      </c>
      <c r="H1031" s="21" t="s">
        <v>44</v>
      </c>
      <c r="I1031" s="15"/>
      <c r="J1031" s="9">
        <v>3</v>
      </c>
      <c r="K1031" s="16">
        <v>169.95</v>
      </c>
      <c r="L1031" s="17"/>
      <c r="M1031" s="15">
        <f t="shared" si="50"/>
        <v>0</v>
      </c>
      <c r="N1031" s="18">
        <f>0.016*L1031</f>
        <v>0</v>
      </c>
      <c r="O1031" s="19">
        <f>0.00008*L1031</f>
        <v>0</v>
      </c>
      <c r="P1031" s="24" t="s">
        <v>26</v>
      </c>
      <c r="Q1031" s="15" t="s">
        <v>3284</v>
      </c>
      <c r="R1031" s="15"/>
      <c r="S1031" s="10" t="str">
        <f>HYPERLINK("https://miland.ru/api/getInfo/image/5e44f4b7-2d8d-11f1-a292-00155d82e908")</f>
        <v>https://miland.ru/api/getInfo/image/5e44f4b7-2d8d-11f1-a292-00155d82e908</v>
      </c>
    </row>
    <row r="1032" spans="1:19" s="2" customFormat="1" ht="96.2" customHeight="1" outlineLevel="7">
      <c r="A1032" s="9">
        <v>770</v>
      </c>
      <c r="B1032" s="10" t="s">
        <v>3285</v>
      </c>
      <c r="C1032" s="65" t="s">
        <v>3286</v>
      </c>
      <c r="D1032" s="65"/>
      <c r="E1032" s="65"/>
      <c r="F1032" s="65"/>
      <c r="G1032" s="11" t="s">
        <v>3287</v>
      </c>
      <c r="H1032" s="14">
        <v>455</v>
      </c>
      <c r="I1032" s="15"/>
      <c r="J1032" s="9">
        <v>2</v>
      </c>
      <c r="K1032" s="16">
        <v>245.39</v>
      </c>
      <c r="L1032" s="17"/>
      <c r="M1032" s="15">
        <f t="shared" si="50"/>
        <v>0</v>
      </c>
      <c r="N1032" s="18">
        <f>0.026*L1032</f>
        <v>0</v>
      </c>
      <c r="O1032" s="19">
        <f>0.00071*L1032</f>
        <v>0</v>
      </c>
      <c r="P1032" s="24" t="s">
        <v>26</v>
      </c>
      <c r="Q1032" s="15" t="s">
        <v>3288</v>
      </c>
      <c r="R1032" s="15"/>
      <c r="S1032" s="10" t="str">
        <f>HYPERLINK("https://miland.ru/api/getInfo/image/452ed0cf-cf7f-11f0-a28b-00155d82e908")</f>
        <v>https://miland.ru/api/getInfo/image/452ed0cf-cf7f-11f0-a28b-00155d82e908</v>
      </c>
    </row>
    <row r="1033" spans="1:19" s="2" customFormat="1" ht="96.2" customHeight="1" outlineLevel="7">
      <c r="A1033" s="9">
        <v>771</v>
      </c>
      <c r="B1033" s="10" t="s">
        <v>3289</v>
      </c>
      <c r="C1033" s="65" t="s">
        <v>3290</v>
      </c>
      <c r="D1033" s="65"/>
      <c r="E1033" s="65"/>
      <c r="F1033" s="65"/>
      <c r="G1033" s="11" t="s">
        <v>3291</v>
      </c>
      <c r="H1033" s="21" t="s">
        <v>44</v>
      </c>
      <c r="I1033" s="15"/>
      <c r="J1033" s="9">
        <v>1</v>
      </c>
      <c r="K1033" s="16">
        <v>312.3</v>
      </c>
      <c r="L1033" s="17"/>
      <c r="M1033" s="15">
        <f t="shared" si="50"/>
        <v>0</v>
      </c>
      <c r="N1033" s="18">
        <f>0.035*L1033</f>
        <v>0</v>
      </c>
      <c r="O1033" s="19">
        <f>0.00088*L1033</f>
        <v>0</v>
      </c>
      <c r="P1033" s="24" t="s">
        <v>26</v>
      </c>
      <c r="Q1033" s="15" t="s">
        <v>3292</v>
      </c>
      <c r="R1033" s="15"/>
      <c r="S1033" s="10" t="str">
        <f>HYPERLINK("https://miland.ru/api/getInfo/image/bae844ae-cf7d-11f0-a28b-00155d82e908")</f>
        <v>https://miland.ru/api/getInfo/image/bae844ae-cf7d-11f0-a28b-00155d82e908</v>
      </c>
    </row>
    <row r="1034" spans="1:19" s="2" customFormat="1" ht="96.2" customHeight="1" outlineLevel="7">
      <c r="A1034" s="9">
        <v>772</v>
      </c>
      <c r="B1034" s="10" t="s">
        <v>3293</v>
      </c>
      <c r="C1034" s="65" t="s">
        <v>3294</v>
      </c>
      <c r="D1034" s="65"/>
      <c r="E1034" s="65"/>
      <c r="F1034" s="65"/>
      <c r="G1034" s="11" t="s">
        <v>3295</v>
      </c>
      <c r="H1034" s="21" t="s">
        <v>44</v>
      </c>
      <c r="I1034" s="15"/>
      <c r="J1034" s="9">
        <v>2</v>
      </c>
      <c r="K1034" s="16">
        <v>284.63</v>
      </c>
      <c r="L1034" s="17"/>
      <c r="M1034" s="15">
        <f t="shared" si="50"/>
        <v>0</v>
      </c>
      <c r="N1034" s="18">
        <f>0.029*L1034</f>
        <v>0</v>
      </c>
      <c r="O1034" s="19">
        <f>0.00034*L1034</f>
        <v>0</v>
      </c>
      <c r="P1034" s="24" t="s">
        <v>26</v>
      </c>
      <c r="Q1034" s="15" t="s">
        <v>3296</v>
      </c>
      <c r="R1034" s="15"/>
      <c r="S1034" s="10" t="str">
        <f>HYPERLINK("https://miland.ru/api/getInfo/image/c456808c-cf7e-11f0-a28b-00155d82e908")</f>
        <v>https://miland.ru/api/getInfo/image/c456808c-cf7e-11f0-a28b-00155d82e908</v>
      </c>
    </row>
    <row r="1035" spans="1:19" s="2" customFormat="1" ht="96.2" customHeight="1" outlineLevel="7">
      <c r="A1035" s="9">
        <v>773</v>
      </c>
      <c r="B1035" s="10" t="s">
        <v>3297</v>
      </c>
      <c r="C1035" s="65" t="s">
        <v>3298</v>
      </c>
      <c r="D1035" s="65"/>
      <c r="E1035" s="65"/>
      <c r="F1035" s="65"/>
      <c r="G1035" s="11" t="s">
        <v>3299</v>
      </c>
      <c r="H1035" s="14">
        <v>321</v>
      </c>
      <c r="I1035" s="15"/>
      <c r="J1035" s="9">
        <v>2</v>
      </c>
      <c r="K1035" s="16">
        <v>246.83</v>
      </c>
      <c r="L1035" s="17"/>
      <c r="M1035" s="15">
        <f t="shared" si="50"/>
        <v>0</v>
      </c>
      <c r="N1035" s="18">
        <f>0.022*L1035</f>
        <v>0</v>
      </c>
      <c r="O1035" s="19">
        <f>0.00014*L1035</f>
        <v>0</v>
      </c>
      <c r="P1035" s="24" t="s">
        <v>26</v>
      </c>
      <c r="Q1035" s="15" t="s">
        <v>3300</v>
      </c>
      <c r="R1035" s="15"/>
      <c r="S1035" s="10" t="str">
        <f>HYPERLINK("https://miland.ru/api/getInfo/image/3582ef00-2d8d-11f1-a292-00155d82e908")</f>
        <v>https://miland.ru/api/getInfo/image/3582ef00-2d8d-11f1-a292-00155d82e908</v>
      </c>
    </row>
    <row r="1036" spans="1:19" s="2" customFormat="1" ht="96.2" customHeight="1" outlineLevel="7">
      <c r="A1036" s="9">
        <v>774</v>
      </c>
      <c r="B1036" s="10" t="s">
        <v>3301</v>
      </c>
      <c r="C1036" s="65" t="s">
        <v>3302</v>
      </c>
      <c r="D1036" s="65"/>
      <c r="E1036" s="65"/>
      <c r="F1036" s="65"/>
      <c r="G1036" s="11" t="s">
        <v>3303</v>
      </c>
      <c r="H1036" s="14">
        <v>285</v>
      </c>
      <c r="I1036" s="15"/>
      <c r="J1036" s="9">
        <v>3</v>
      </c>
      <c r="K1036" s="16">
        <v>166.26</v>
      </c>
      <c r="L1036" s="17"/>
      <c r="M1036" s="15">
        <f t="shared" si="50"/>
        <v>0</v>
      </c>
      <c r="N1036" s="18">
        <f>0.021*L1036</f>
        <v>0</v>
      </c>
      <c r="O1036" s="19">
        <f>0.00015*L1036</f>
        <v>0</v>
      </c>
      <c r="P1036" s="24" t="s">
        <v>26</v>
      </c>
      <c r="Q1036" s="15" t="s">
        <v>3304</v>
      </c>
      <c r="R1036" s="15"/>
      <c r="S1036" s="10" t="str">
        <f>HYPERLINK("https://miland.ru/api/getInfo/image/7cf2db21-2d8d-11f1-a292-00155d82e908")</f>
        <v>https://miland.ru/api/getInfo/image/7cf2db21-2d8d-11f1-a292-00155d82e908</v>
      </c>
    </row>
    <row r="1037" spans="1:19" s="2" customFormat="1" ht="96.2" customHeight="1" outlineLevel="7">
      <c r="A1037" s="9">
        <v>775</v>
      </c>
      <c r="B1037" s="10" t="s">
        <v>3305</v>
      </c>
      <c r="C1037" s="65" t="s">
        <v>3306</v>
      </c>
      <c r="D1037" s="65"/>
      <c r="E1037" s="65"/>
      <c r="F1037" s="65"/>
      <c r="G1037" s="11" t="s">
        <v>3307</v>
      </c>
      <c r="H1037" s="14">
        <v>375</v>
      </c>
      <c r="I1037" s="15"/>
      <c r="J1037" s="9">
        <v>2</v>
      </c>
      <c r="K1037" s="16">
        <v>258.77</v>
      </c>
      <c r="L1037" s="17"/>
      <c r="M1037" s="15">
        <f t="shared" si="50"/>
        <v>0</v>
      </c>
      <c r="N1037" s="18">
        <f>0.029*L1037</f>
        <v>0</v>
      </c>
      <c r="O1037" s="19">
        <f>0.00024*L1037</f>
        <v>0</v>
      </c>
      <c r="P1037" s="24" t="s">
        <v>26</v>
      </c>
      <c r="Q1037" s="15" t="s">
        <v>3308</v>
      </c>
      <c r="R1037" s="15"/>
      <c r="S1037" s="10" t="str">
        <f>HYPERLINK("https://miland.ru/api/getInfo/image/4769c914-2d8d-11f1-a292-00155d82e908")</f>
        <v>https://miland.ru/api/getInfo/image/4769c914-2d8d-11f1-a292-00155d82e908</v>
      </c>
    </row>
    <row r="1038" spans="1:19" s="2" customFormat="1" ht="96.2" customHeight="1" outlineLevel="7">
      <c r="A1038" s="25">
        <v>776</v>
      </c>
      <c r="B1038" s="26" t="s">
        <v>3309</v>
      </c>
      <c r="C1038" s="66" t="s">
        <v>3310</v>
      </c>
      <c r="D1038" s="66"/>
      <c r="E1038" s="66"/>
      <c r="F1038" s="66"/>
      <c r="G1038" s="27" t="s">
        <v>3311</v>
      </c>
      <c r="H1038" s="33">
        <v>479</v>
      </c>
      <c r="I1038" s="29"/>
      <c r="J1038" s="25">
        <v>2</v>
      </c>
      <c r="K1038" s="30">
        <v>354.69</v>
      </c>
      <c r="L1038" s="17"/>
      <c r="M1038" s="29">
        <f t="shared" si="50"/>
        <v>0</v>
      </c>
      <c r="N1038" s="31">
        <f>0.015*L1038</f>
        <v>0</v>
      </c>
      <c r="O1038" s="32">
        <f>0.00005*L1038</f>
        <v>0</v>
      </c>
      <c r="P1038" s="36"/>
      <c r="Q1038" s="29" t="s">
        <v>3312</v>
      </c>
      <c r="R1038" s="29" t="s">
        <v>611</v>
      </c>
      <c r="S1038" s="26" t="str">
        <f>HYPERLINK("https://miland.ru/api/getInfo/image/7529f6e4-bf7b-11ee-a25a-00155d82e908")</f>
        <v>https://miland.ru/api/getInfo/image/7529f6e4-bf7b-11ee-a25a-00155d82e908</v>
      </c>
    </row>
    <row r="1039" spans="1:19" s="1" customFormat="1" ht="12" customHeight="1" outlineLevel="7">
      <c r="A1039" s="64" t="s">
        <v>3313</v>
      </c>
      <c r="B1039" s="64"/>
      <c r="C1039" s="64"/>
      <c r="D1039" s="64"/>
      <c r="E1039" s="64"/>
      <c r="F1039" s="64"/>
      <c r="G1039" s="8"/>
      <c r="H1039" s="12"/>
      <c r="I1039" s="2"/>
      <c r="J1039" s="2"/>
      <c r="K1039" s="13"/>
      <c r="L1039" s="2"/>
      <c r="M1039" s="2"/>
      <c r="N1039" s="2"/>
      <c r="O1039" s="2"/>
      <c r="P1039" s="2"/>
      <c r="Q1039" s="2"/>
      <c r="R1039" s="2"/>
      <c r="S1039" s="2"/>
    </row>
    <row r="1040" spans="1:19" s="2" customFormat="1" ht="96.2" customHeight="1" outlineLevel="7">
      <c r="A1040" s="9">
        <v>777</v>
      </c>
      <c r="B1040" s="10" t="s">
        <v>3314</v>
      </c>
      <c r="C1040" s="65" t="s">
        <v>3315</v>
      </c>
      <c r="D1040" s="65"/>
      <c r="E1040" s="65"/>
      <c r="F1040" s="65"/>
      <c r="G1040" s="11" t="s">
        <v>3316</v>
      </c>
      <c r="H1040" s="14">
        <v>490</v>
      </c>
      <c r="I1040" s="15"/>
      <c r="J1040" s="9">
        <v>2</v>
      </c>
      <c r="K1040" s="16">
        <v>261.75</v>
      </c>
      <c r="L1040" s="17"/>
      <c r="M1040" s="15">
        <f t="shared" ref="M1040:M1053" si="51">K1040*L1040</f>
        <v>0</v>
      </c>
      <c r="N1040" s="18">
        <f>0.029*L1040</f>
        <v>0</v>
      </c>
      <c r="O1040" s="19">
        <f>0.00006*L1040</f>
        <v>0</v>
      </c>
      <c r="P1040" s="24" t="s">
        <v>26</v>
      </c>
      <c r="Q1040" s="15" t="s">
        <v>3317</v>
      </c>
      <c r="R1040" s="15"/>
      <c r="S1040" s="10" t="str">
        <f>HYPERLINK("https://miland.ru/api/getInfo/image/c67422b1-2d8c-11f1-a292-00155d82e908")</f>
        <v>https://miland.ru/api/getInfo/image/c67422b1-2d8c-11f1-a292-00155d82e908</v>
      </c>
    </row>
    <row r="1041" spans="1:19" s="2" customFormat="1" ht="96.2" customHeight="1" outlineLevel="7">
      <c r="A1041" s="9">
        <v>778</v>
      </c>
      <c r="B1041" s="10" t="s">
        <v>3318</v>
      </c>
      <c r="C1041" s="65" t="s">
        <v>3319</v>
      </c>
      <c r="D1041" s="65"/>
      <c r="E1041" s="65"/>
      <c r="F1041" s="65"/>
      <c r="G1041" s="11" t="s">
        <v>3320</v>
      </c>
      <c r="H1041" s="14">
        <v>421</v>
      </c>
      <c r="I1041" s="15"/>
      <c r="J1041" s="9">
        <v>2</v>
      </c>
      <c r="K1041" s="16">
        <v>277.52999999999997</v>
      </c>
      <c r="L1041" s="17"/>
      <c r="M1041" s="15">
        <f t="shared" si="51"/>
        <v>0</v>
      </c>
      <c r="N1041" s="18">
        <f>0.027*L1041</f>
        <v>0</v>
      </c>
      <c r="O1041" s="19">
        <f>0.00003*L1041</f>
        <v>0</v>
      </c>
      <c r="P1041" s="24" t="s">
        <v>26</v>
      </c>
      <c r="Q1041" s="15" t="s">
        <v>3321</v>
      </c>
      <c r="R1041" s="15"/>
      <c r="S1041" s="10" t="str">
        <f>HYPERLINK("https://miland.ru/api/getInfo/image/5e062375-2d8b-11f1-a292-00155d82e908")</f>
        <v>https://miland.ru/api/getInfo/image/5e062375-2d8b-11f1-a292-00155d82e908</v>
      </c>
    </row>
    <row r="1042" spans="1:19" s="2" customFormat="1" ht="96.2" customHeight="1" outlineLevel="7">
      <c r="A1042" s="9">
        <v>779</v>
      </c>
      <c r="B1042" s="10" t="s">
        <v>3322</v>
      </c>
      <c r="C1042" s="65" t="s">
        <v>3323</v>
      </c>
      <c r="D1042" s="65"/>
      <c r="E1042" s="65"/>
      <c r="F1042" s="65"/>
      <c r="G1042" s="11" t="s">
        <v>3324</v>
      </c>
      <c r="H1042" s="14">
        <v>420</v>
      </c>
      <c r="I1042" s="15"/>
      <c r="J1042" s="9">
        <v>2</v>
      </c>
      <c r="K1042" s="16">
        <v>330.81</v>
      </c>
      <c r="L1042" s="17"/>
      <c r="M1042" s="15">
        <f t="shared" si="51"/>
        <v>0</v>
      </c>
      <c r="N1042" s="18">
        <f>0.031*L1042</f>
        <v>0</v>
      </c>
      <c r="O1042" s="19">
        <f>0.00054*L1042</f>
        <v>0</v>
      </c>
      <c r="P1042" s="24" t="s">
        <v>26</v>
      </c>
      <c r="Q1042" s="15" t="s">
        <v>3325</v>
      </c>
      <c r="R1042" s="15"/>
      <c r="S1042" s="10" t="str">
        <f>HYPERLINK("https://miland.ru/api/getInfo/image/7057c8e5-2d8c-11f1-a292-00155d82e908")</f>
        <v>https://miland.ru/api/getInfo/image/7057c8e5-2d8c-11f1-a292-00155d82e908</v>
      </c>
    </row>
    <row r="1043" spans="1:19" s="2" customFormat="1" ht="96.2" customHeight="1" outlineLevel="7">
      <c r="A1043" s="9">
        <v>780</v>
      </c>
      <c r="B1043" s="10" t="s">
        <v>3326</v>
      </c>
      <c r="C1043" s="65" t="s">
        <v>3327</v>
      </c>
      <c r="D1043" s="65"/>
      <c r="E1043" s="65"/>
      <c r="F1043" s="65"/>
      <c r="G1043" s="11" t="s">
        <v>3328</v>
      </c>
      <c r="H1043" s="14">
        <v>439</v>
      </c>
      <c r="I1043" s="15"/>
      <c r="J1043" s="9">
        <v>2</v>
      </c>
      <c r="K1043" s="16">
        <v>271.56</v>
      </c>
      <c r="L1043" s="17"/>
      <c r="M1043" s="15">
        <f t="shared" si="51"/>
        <v>0</v>
      </c>
      <c r="N1043" s="18">
        <f>0.023*L1043</f>
        <v>0</v>
      </c>
      <c r="O1043" s="19">
        <f>0.00011*L1043</f>
        <v>0</v>
      </c>
      <c r="P1043" s="24" t="s">
        <v>26</v>
      </c>
      <c r="Q1043" s="15" t="s">
        <v>3329</v>
      </c>
      <c r="R1043" s="15"/>
      <c r="S1043" s="10" t="str">
        <f>HYPERLINK("https://miland.ru/api/getInfo/image/8d85d203-2d8c-11f1-a292-00155d82e908")</f>
        <v>https://miland.ru/api/getInfo/image/8d85d203-2d8c-11f1-a292-00155d82e908</v>
      </c>
    </row>
    <row r="1044" spans="1:19" s="2" customFormat="1" ht="96.2" customHeight="1" outlineLevel="7">
      <c r="A1044" s="9">
        <v>781</v>
      </c>
      <c r="B1044" s="10" t="s">
        <v>3330</v>
      </c>
      <c r="C1044" s="65" t="s">
        <v>3331</v>
      </c>
      <c r="D1044" s="65"/>
      <c r="E1044" s="65"/>
      <c r="F1044" s="65"/>
      <c r="G1044" s="11" t="s">
        <v>3332</v>
      </c>
      <c r="H1044" s="21" t="s">
        <v>44</v>
      </c>
      <c r="I1044" s="15"/>
      <c r="J1044" s="9">
        <v>2</v>
      </c>
      <c r="K1044" s="16">
        <v>302.83</v>
      </c>
      <c r="L1044" s="17"/>
      <c r="M1044" s="15">
        <f t="shared" si="51"/>
        <v>0</v>
      </c>
      <c r="N1044" s="18">
        <f>0.036*L1044</f>
        <v>0</v>
      </c>
      <c r="O1044" s="20">
        <f>0.0005*L1044</f>
        <v>0</v>
      </c>
      <c r="P1044" s="24" t="s">
        <v>26</v>
      </c>
      <c r="Q1044" s="15" t="s">
        <v>3333</v>
      </c>
      <c r="R1044" s="15"/>
      <c r="S1044" s="10" t="str">
        <f>HYPERLINK("https://miland.ru/api/getInfo/image/098783c6-cf7f-11f0-a28b-00155d82e908")</f>
        <v>https://miland.ru/api/getInfo/image/098783c6-cf7f-11f0-a28b-00155d82e908</v>
      </c>
    </row>
    <row r="1045" spans="1:19" s="2" customFormat="1" ht="96.2" customHeight="1" outlineLevel="7">
      <c r="A1045" s="9">
        <v>782</v>
      </c>
      <c r="B1045" s="10" t="s">
        <v>3334</v>
      </c>
      <c r="C1045" s="65" t="s">
        <v>3335</v>
      </c>
      <c r="D1045" s="65"/>
      <c r="E1045" s="65"/>
      <c r="F1045" s="65"/>
      <c r="G1045" s="11" t="s">
        <v>3336</v>
      </c>
      <c r="H1045" s="14">
        <v>328</v>
      </c>
      <c r="I1045" s="15"/>
      <c r="J1045" s="9">
        <v>2</v>
      </c>
      <c r="K1045" s="16">
        <v>263.45999999999998</v>
      </c>
      <c r="L1045" s="17"/>
      <c r="M1045" s="15">
        <f t="shared" si="51"/>
        <v>0</v>
      </c>
      <c r="N1045" s="18">
        <f>0.013*L1045</f>
        <v>0</v>
      </c>
      <c r="O1045" s="19">
        <f>0.00013*L1045</f>
        <v>0</v>
      </c>
      <c r="P1045" s="24" t="s">
        <v>26</v>
      </c>
      <c r="Q1045" s="15" t="s">
        <v>3337</v>
      </c>
      <c r="R1045" s="15"/>
      <c r="S1045" s="10" t="str">
        <f>HYPERLINK("https://miland.ru/api/getInfo/image/efc965c2-2d8c-11f1-a292-00155d82e908")</f>
        <v>https://miland.ru/api/getInfo/image/efc965c2-2d8c-11f1-a292-00155d82e908</v>
      </c>
    </row>
    <row r="1046" spans="1:19" s="2" customFormat="1" ht="96.2" customHeight="1" outlineLevel="7">
      <c r="A1046" s="9">
        <v>783</v>
      </c>
      <c r="B1046" s="10" t="s">
        <v>3338</v>
      </c>
      <c r="C1046" s="65" t="s">
        <v>3339</v>
      </c>
      <c r="D1046" s="65"/>
      <c r="E1046" s="65"/>
      <c r="F1046" s="65"/>
      <c r="G1046" s="11" t="s">
        <v>3340</v>
      </c>
      <c r="H1046" s="14">
        <v>284</v>
      </c>
      <c r="I1046" s="15"/>
      <c r="J1046" s="9">
        <v>2</v>
      </c>
      <c r="K1046" s="16">
        <v>246.41</v>
      </c>
      <c r="L1046" s="17"/>
      <c r="M1046" s="15">
        <f t="shared" si="51"/>
        <v>0</v>
      </c>
      <c r="N1046" s="23">
        <f>0.02*L1046</f>
        <v>0</v>
      </c>
      <c r="O1046" s="19">
        <f>0.00019*L1046</f>
        <v>0</v>
      </c>
      <c r="P1046" s="24" t="s">
        <v>26</v>
      </c>
      <c r="Q1046" s="15" t="s">
        <v>3341</v>
      </c>
      <c r="R1046" s="15"/>
      <c r="S1046" s="10" t="str">
        <f>HYPERLINK("https://miland.ru/api/getInfo/image/d8aef3cf-2d8c-11f1-a292-00155d82e908")</f>
        <v>https://miland.ru/api/getInfo/image/d8aef3cf-2d8c-11f1-a292-00155d82e908</v>
      </c>
    </row>
    <row r="1047" spans="1:19" s="2" customFormat="1" ht="96.2" customHeight="1" outlineLevel="7">
      <c r="A1047" s="9">
        <v>784</v>
      </c>
      <c r="B1047" s="10" t="s">
        <v>3342</v>
      </c>
      <c r="C1047" s="65" t="s">
        <v>3343</v>
      </c>
      <c r="D1047" s="65"/>
      <c r="E1047" s="65"/>
      <c r="F1047" s="65"/>
      <c r="G1047" s="11" t="s">
        <v>3344</v>
      </c>
      <c r="H1047" s="14">
        <v>394</v>
      </c>
      <c r="I1047" s="15"/>
      <c r="J1047" s="9">
        <v>2</v>
      </c>
      <c r="K1047" s="16">
        <v>265.58999999999997</v>
      </c>
      <c r="L1047" s="17"/>
      <c r="M1047" s="15">
        <f t="shared" si="51"/>
        <v>0</v>
      </c>
      <c r="N1047" s="18">
        <f>0.024*L1047</f>
        <v>0</v>
      </c>
      <c r="O1047" s="19">
        <f>0.00011*L1047</f>
        <v>0</v>
      </c>
      <c r="P1047" s="24" t="s">
        <v>26</v>
      </c>
      <c r="Q1047" s="15" t="s">
        <v>3345</v>
      </c>
      <c r="R1047" s="15"/>
      <c r="S1047" s="10" t="str">
        <f>HYPERLINK("https://miland.ru/api/getInfo/image/00b78802-2d8d-11f1-a292-00155d82e908")</f>
        <v>https://miland.ru/api/getInfo/image/00b78802-2d8d-11f1-a292-00155d82e908</v>
      </c>
    </row>
    <row r="1048" spans="1:19" s="2" customFormat="1" ht="96.2" customHeight="1" outlineLevel="7">
      <c r="A1048" s="9">
        <v>785</v>
      </c>
      <c r="B1048" s="10" t="s">
        <v>3346</v>
      </c>
      <c r="C1048" s="65" t="s">
        <v>3347</v>
      </c>
      <c r="D1048" s="65"/>
      <c r="E1048" s="65"/>
      <c r="F1048" s="65"/>
      <c r="G1048" s="11" t="s">
        <v>3348</v>
      </c>
      <c r="H1048" s="14">
        <v>316</v>
      </c>
      <c r="I1048" s="15"/>
      <c r="J1048" s="9">
        <v>2</v>
      </c>
      <c r="K1048" s="16">
        <v>301.39999999999998</v>
      </c>
      <c r="L1048" s="17"/>
      <c r="M1048" s="15">
        <f t="shared" si="51"/>
        <v>0</v>
      </c>
      <c r="N1048" s="18">
        <f>0.029*L1048</f>
        <v>0</v>
      </c>
      <c r="O1048" s="19">
        <f>0.00001*L1048</f>
        <v>0</v>
      </c>
      <c r="P1048" s="24" t="s">
        <v>26</v>
      </c>
      <c r="Q1048" s="15" t="s">
        <v>3349</v>
      </c>
      <c r="R1048" s="15"/>
      <c r="S1048" s="10" t="str">
        <f>HYPERLINK("https://miland.ru/api/getInfo/image/b93f0c2d-2d8c-11f1-a292-00155d82e908")</f>
        <v>https://miland.ru/api/getInfo/image/b93f0c2d-2d8c-11f1-a292-00155d82e908</v>
      </c>
    </row>
    <row r="1049" spans="1:19" s="2" customFormat="1" ht="96.2" customHeight="1" outlineLevel="7">
      <c r="A1049" s="9">
        <v>786</v>
      </c>
      <c r="B1049" s="10" t="s">
        <v>3350</v>
      </c>
      <c r="C1049" s="65" t="s">
        <v>3351</v>
      </c>
      <c r="D1049" s="65"/>
      <c r="E1049" s="65"/>
      <c r="F1049" s="65"/>
      <c r="G1049" s="11" t="s">
        <v>3352</v>
      </c>
      <c r="H1049" s="14">
        <v>498</v>
      </c>
      <c r="I1049" s="15"/>
      <c r="J1049" s="9">
        <v>2</v>
      </c>
      <c r="K1049" s="16">
        <v>325.27</v>
      </c>
      <c r="L1049" s="17"/>
      <c r="M1049" s="15">
        <f t="shared" si="51"/>
        <v>0</v>
      </c>
      <c r="N1049" s="18">
        <f>0.026*L1049</f>
        <v>0</v>
      </c>
      <c r="O1049" s="19">
        <f>0.00041*L1049</f>
        <v>0</v>
      </c>
      <c r="P1049" s="24" t="s">
        <v>26</v>
      </c>
      <c r="Q1049" s="15" t="s">
        <v>3353</v>
      </c>
      <c r="R1049" s="15"/>
      <c r="S1049" s="10" t="str">
        <f>HYPERLINK("https://miland.ru/api/getInfo/image/a330c425-2d8c-11f1-a292-00155d82e908")</f>
        <v>https://miland.ru/api/getInfo/image/a330c425-2d8c-11f1-a292-00155d82e908</v>
      </c>
    </row>
    <row r="1050" spans="1:19" s="2" customFormat="1" ht="96.2" customHeight="1" outlineLevel="7">
      <c r="A1050" s="9">
        <v>787</v>
      </c>
      <c r="B1050" s="10" t="s">
        <v>3354</v>
      </c>
      <c r="C1050" s="65" t="s">
        <v>3355</v>
      </c>
      <c r="D1050" s="65"/>
      <c r="E1050" s="65"/>
      <c r="F1050" s="65"/>
      <c r="G1050" s="11" t="s">
        <v>3356</v>
      </c>
      <c r="H1050" s="14">
        <v>52</v>
      </c>
      <c r="I1050" s="15"/>
      <c r="J1050" s="9">
        <v>3</v>
      </c>
      <c r="K1050" s="16">
        <v>214.2</v>
      </c>
      <c r="L1050" s="17"/>
      <c r="M1050" s="15">
        <f t="shared" si="51"/>
        <v>0</v>
      </c>
      <c r="N1050" s="18">
        <f>0.022*L1050</f>
        <v>0</v>
      </c>
      <c r="O1050" s="19">
        <f>0.00336*L1050</f>
        <v>0</v>
      </c>
      <c r="P1050" s="24" t="s">
        <v>26</v>
      </c>
      <c r="Q1050" s="15" t="s">
        <v>3357</v>
      </c>
      <c r="R1050" s="15"/>
      <c r="S1050" s="10" t="str">
        <f>HYPERLINK("https://miland.ru/api/getInfo/image/adc5a791-29e2-11f1-a292-00155d82e908")</f>
        <v>https://miland.ru/api/getInfo/image/adc5a791-29e2-11f1-a292-00155d82e908</v>
      </c>
    </row>
    <row r="1051" spans="1:19" s="2" customFormat="1" ht="96.2" customHeight="1" outlineLevel="7">
      <c r="A1051" s="9">
        <v>788</v>
      </c>
      <c r="B1051" s="10" t="s">
        <v>3358</v>
      </c>
      <c r="C1051" s="65" t="s">
        <v>3359</v>
      </c>
      <c r="D1051" s="65"/>
      <c r="E1051" s="65"/>
      <c r="F1051" s="65"/>
      <c r="G1051" s="11" t="s">
        <v>3360</v>
      </c>
      <c r="H1051" s="14">
        <v>5</v>
      </c>
      <c r="I1051" s="15"/>
      <c r="J1051" s="9">
        <v>2</v>
      </c>
      <c r="K1051" s="16">
        <v>362.83</v>
      </c>
      <c r="L1051" s="17"/>
      <c r="M1051" s="15">
        <f t="shared" si="51"/>
        <v>0</v>
      </c>
      <c r="N1051" s="18">
        <f>0.119*L1051</f>
        <v>0</v>
      </c>
      <c r="O1051" s="19">
        <f>0.00564*L1051</f>
        <v>0</v>
      </c>
      <c r="P1051" s="24" t="s">
        <v>26</v>
      </c>
      <c r="Q1051" s="15" t="s">
        <v>3361</v>
      </c>
      <c r="R1051" s="15"/>
      <c r="S1051" s="10" t="str">
        <f>HYPERLINK("https://miland.ru/api/getInfo/image/e99b5797-29e2-11f1-a292-00155d82e908")</f>
        <v>https://miland.ru/api/getInfo/image/e99b5797-29e2-11f1-a292-00155d82e908</v>
      </c>
    </row>
    <row r="1052" spans="1:19" s="2" customFormat="1" ht="96.2" customHeight="1" outlineLevel="7">
      <c r="A1052" s="9">
        <v>789</v>
      </c>
      <c r="B1052" s="10" t="s">
        <v>3362</v>
      </c>
      <c r="C1052" s="65" t="s">
        <v>3363</v>
      </c>
      <c r="D1052" s="65"/>
      <c r="E1052" s="65"/>
      <c r="F1052" s="65"/>
      <c r="G1052" s="11" t="s">
        <v>3364</v>
      </c>
      <c r="H1052" s="14">
        <v>45</v>
      </c>
      <c r="I1052" s="15"/>
      <c r="J1052" s="9">
        <v>1</v>
      </c>
      <c r="K1052" s="16">
        <v>786.86</v>
      </c>
      <c r="L1052" s="17"/>
      <c r="M1052" s="15">
        <f t="shared" si="51"/>
        <v>0</v>
      </c>
      <c r="N1052" s="18">
        <f>0.235*L1052</f>
        <v>0</v>
      </c>
      <c r="O1052" s="19">
        <f>0.01109*L1052</f>
        <v>0</v>
      </c>
      <c r="P1052" s="24" t="s">
        <v>26</v>
      </c>
      <c r="Q1052" s="15" t="s">
        <v>3365</v>
      </c>
      <c r="R1052" s="15"/>
      <c r="S1052" s="10" t="str">
        <f>HYPERLINK("https://miland.ru/api/getInfo/image/fdcac76a-29e2-11f1-a292-00155d82e908")</f>
        <v>https://miland.ru/api/getInfo/image/fdcac76a-29e2-11f1-a292-00155d82e908</v>
      </c>
    </row>
    <row r="1053" spans="1:19" s="2" customFormat="1" ht="96.2" customHeight="1" outlineLevel="7">
      <c r="A1053" s="9">
        <v>790</v>
      </c>
      <c r="B1053" s="10" t="s">
        <v>3366</v>
      </c>
      <c r="C1053" s="65" t="s">
        <v>3367</v>
      </c>
      <c r="D1053" s="65"/>
      <c r="E1053" s="65"/>
      <c r="F1053" s="65"/>
      <c r="G1053" s="11" t="s">
        <v>3368</v>
      </c>
      <c r="H1053" s="14">
        <v>48</v>
      </c>
      <c r="I1053" s="15"/>
      <c r="J1053" s="9">
        <v>1</v>
      </c>
      <c r="K1053" s="16">
        <v>445.89</v>
      </c>
      <c r="L1053" s="17"/>
      <c r="M1053" s="15">
        <f t="shared" si="51"/>
        <v>0</v>
      </c>
      <c r="N1053" s="18">
        <f>0.182*L1053</f>
        <v>0</v>
      </c>
      <c r="O1053" s="19">
        <f>0.00933*L1053</f>
        <v>0</v>
      </c>
      <c r="P1053" s="24" t="s">
        <v>26</v>
      </c>
      <c r="Q1053" s="15" t="s">
        <v>3369</v>
      </c>
      <c r="R1053" s="15"/>
      <c r="S1053" s="10" t="str">
        <f>HYPERLINK("https://miland.ru/api/getInfo/image/e25b69e7-29de-11f1-a292-00155d82e908")</f>
        <v>https://miland.ru/api/getInfo/image/e25b69e7-29de-11f1-a292-00155d82e908</v>
      </c>
    </row>
    <row r="1054" spans="1:19" s="1" customFormat="1" ht="12" customHeight="1" outlineLevel="6">
      <c r="A1054" s="64" t="s">
        <v>3370</v>
      </c>
      <c r="B1054" s="64"/>
      <c r="C1054" s="64"/>
      <c r="D1054" s="64"/>
      <c r="E1054" s="64"/>
      <c r="F1054" s="64"/>
      <c r="G1054" s="8"/>
      <c r="H1054" s="12"/>
      <c r="I1054" s="2"/>
      <c r="J1054" s="2"/>
      <c r="K1054" s="13"/>
      <c r="L1054" s="2"/>
      <c r="M1054" s="2"/>
      <c r="N1054" s="2"/>
      <c r="O1054" s="2"/>
      <c r="P1054" s="2"/>
      <c r="Q1054" s="2"/>
      <c r="R1054" s="2"/>
      <c r="S1054" s="2"/>
    </row>
    <row r="1055" spans="1:19" s="1" customFormat="1" ht="12" customHeight="1" outlineLevel="7">
      <c r="A1055" s="64" t="s">
        <v>2832</v>
      </c>
      <c r="B1055" s="64"/>
      <c r="C1055" s="64"/>
      <c r="D1055" s="64"/>
      <c r="E1055" s="64"/>
      <c r="F1055" s="64"/>
      <c r="G1055" s="8"/>
      <c r="H1055" s="12"/>
      <c r="I1055" s="2"/>
      <c r="J1055" s="2"/>
      <c r="K1055" s="13"/>
      <c r="L1055" s="2"/>
      <c r="M1055" s="2"/>
      <c r="N1055" s="2"/>
      <c r="O1055" s="2"/>
      <c r="P1055" s="2"/>
      <c r="Q1055" s="2"/>
      <c r="R1055" s="2"/>
      <c r="S1055" s="2"/>
    </row>
    <row r="1056" spans="1:19" s="2" customFormat="1" ht="96.2" customHeight="1" outlineLevel="7">
      <c r="A1056" s="25">
        <v>791</v>
      </c>
      <c r="B1056" s="26" t="s">
        <v>3371</v>
      </c>
      <c r="C1056" s="66" t="s">
        <v>3372</v>
      </c>
      <c r="D1056" s="66"/>
      <c r="E1056" s="66"/>
      <c r="F1056" s="66"/>
      <c r="G1056" s="27" t="s">
        <v>3373</v>
      </c>
      <c r="H1056" s="28" t="s">
        <v>44</v>
      </c>
      <c r="I1056" s="29"/>
      <c r="J1056" s="25">
        <v>6</v>
      </c>
      <c r="K1056" s="30">
        <v>109.69</v>
      </c>
      <c r="L1056" s="17"/>
      <c r="M1056" s="29">
        <f t="shared" ref="M1056:M1067" si="52">K1056*L1056</f>
        <v>0</v>
      </c>
      <c r="N1056" s="31">
        <f>0.051*L1056</f>
        <v>0</v>
      </c>
      <c r="O1056" s="32">
        <f>0.00044*L1056</f>
        <v>0</v>
      </c>
      <c r="P1056" s="36"/>
      <c r="Q1056" s="29" t="s">
        <v>3374</v>
      </c>
      <c r="R1056" s="29"/>
      <c r="S1056" s="26" t="str">
        <f>HYPERLINK("https://miland.ru/api/getInfo/image/de2acf3d-3718-11e7-977d-5cf3fc4a2490")</f>
        <v>https://miland.ru/api/getInfo/image/de2acf3d-3718-11e7-977d-5cf3fc4a2490</v>
      </c>
    </row>
    <row r="1057" spans="1:19" s="2" customFormat="1" ht="96.2" customHeight="1" outlineLevel="7">
      <c r="A1057" s="25">
        <v>792</v>
      </c>
      <c r="B1057" s="26" t="s">
        <v>3375</v>
      </c>
      <c r="C1057" s="66" t="s">
        <v>3376</v>
      </c>
      <c r="D1057" s="66"/>
      <c r="E1057" s="66"/>
      <c r="F1057" s="66"/>
      <c r="G1057" s="27" t="s">
        <v>3377</v>
      </c>
      <c r="H1057" s="33">
        <v>4</v>
      </c>
      <c r="I1057" s="29"/>
      <c r="J1057" s="25">
        <v>4</v>
      </c>
      <c r="K1057" s="30">
        <v>78.78</v>
      </c>
      <c r="L1057" s="17"/>
      <c r="M1057" s="29">
        <f t="shared" si="52"/>
        <v>0</v>
      </c>
      <c r="N1057" s="34">
        <f>0.05*L1057</f>
        <v>0</v>
      </c>
      <c r="O1057" s="32">
        <f>0.00051*L1057</f>
        <v>0</v>
      </c>
      <c r="P1057" s="36"/>
      <c r="Q1057" s="29" t="s">
        <v>3378</v>
      </c>
      <c r="R1057" s="29" t="s">
        <v>611</v>
      </c>
      <c r="S1057" s="26" t="str">
        <f>HYPERLINK("https://miland.ru/api/getInfo/image/08ce39f6-3717-11e7-977d-5cf3fc4a2490")</f>
        <v>https://miland.ru/api/getInfo/image/08ce39f6-3717-11e7-977d-5cf3fc4a2490</v>
      </c>
    </row>
    <row r="1058" spans="1:19" s="2" customFormat="1" ht="96.2" customHeight="1" outlineLevel="7">
      <c r="A1058" s="25">
        <v>793</v>
      </c>
      <c r="B1058" s="26" t="s">
        <v>3379</v>
      </c>
      <c r="C1058" s="66" t="s">
        <v>3380</v>
      </c>
      <c r="D1058" s="66"/>
      <c r="E1058" s="66"/>
      <c r="F1058" s="66"/>
      <c r="G1058" s="27" t="s">
        <v>3381</v>
      </c>
      <c r="H1058" s="28" t="s">
        <v>44</v>
      </c>
      <c r="I1058" s="29"/>
      <c r="J1058" s="25">
        <v>10</v>
      </c>
      <c r="K1058" s="30">
        <v>74.59</v>
      </c>
      <c r="L1058" s="17"/>
      <c r="M1058" s="29">
        <f t="shared" si="52"/>
        <v>0</v>
      </c>
      <c r="N1058" s="31">
        <f>0.017*L1058</f>
        <v>0</v>
      </c>
      <c r="O1058" s="32">
        <f>0.00089*L1058</f>
        <v>0</v>
      </c>
      <c r="P1058" s="36"/>
      <c r="Q1058" s="29" t="s">
        <v>3382</v>
      </c>
      <c r="R1058" s="29"/>
      <c r="S1058" s="26" t="str">
        <f>HYPERLINK("https://miland.ru/api/getInfo/image/83dab76f-3719-11e7-977d-5cf3fc4a2490")</f>
        <v>https://miland.ru/api/getInfo/image/83dab76f-3719-11e7-977d-5cf3fc4a2490</v>
      </c>
    </row>
    <row r="1059" spans="1:19" s="2" customFormat="1" ht="96.2" customHeight="1" outlineLevel="7">
      <c r="A1059" s="25">
        <v>794</v>
      </c>
      <c r="B1059" s="26" t="s">
        <v>3383</v>
      </c>
      <c r="C1059" s="66" t="s">
        <v>3384</v>
      </c>
      <c r="D1059" s="66"/>
      <c r="E1059" s="66"/>
      <c r="F1059" s="66"/>
      <c r="G1059" s="27" t="s">
        <v>3385</v>
      </c>
      <c r="H1059" s="28" t="s">
        <v>44</v>
      </c>
      <c r="I1059" s="29"/>
      <c r="J1059" s="25">
        <v>5</v>
      </c>
      <c r="K1059" s="30">
        <v>111.45</v>
      </c>
      <c r="L1059" s="17"/>
      <c r="M1059" s="29">
        <f t="shared" si="52"/>
        <v>0</v>
      </c>
      <c r="N1059" s="31">
        <f>0.026*L1059</f>
        <v>0</v>
      </c>
      <c r="O1059" s="32">
        <f>0.00043*L1059</f>
        <v>0</v>
      </c>
      <c r="P1059" s="36"/>
      <c r="Q1059" s="29" t="s">
        <v>3386</v>
      </c>
      <c r="R1059" s="29"/>
      <c r="S1059" s="26" t="str">
        <f>HYPERLINK("https://miland.ru/api/getInfo/image/0f44185d-3716-11e7-977d-5cf3fc4a2490")</f>
        <v>https://miland.ru/api/getInfo/image/0f44185d-3716-11e7-977d-5cf3fc4a2490</v>
      </c>
    </row>
    <row r="1060" spans="1:19" s="2" customFormat="1" ht="96.2" customHeight="1" outlineLevel="7">
      <c r="A1060" s="38">
        <v>795</v>
      </c>
      <c r="B1060" s="39" t="s">
        <v>3387</v>
      </c>
      <c r="C1060" s="67" t="s">
        <v>3388</v>
      </c>
      <c r="D1060" s="67"/>
      <c r="E1060" s="67"/>
      <c r="F1060" s="67"/>
      <c r="G1060" s="40" t="s">
        <v>3389</v>
      </c>
      <c r="H1060" s="42">
        <v>1</v>
      </c>
      <c r="I1060" s="43"/>
      <c r="J1060" s="38">
        <v>1</v>
      </c>
      <c r="K1060" s="44">
        <v>20.350000000000001</v>
      </c>
      <c r="L1060" s="17"/>
      <c r="M1060" s="43">
        <f t="shared" si="52"/>
        <v>0</v>
      </c>
      <c r="N1060" s="45">
        <f>0.03*L1060</f>
        <v>0</v>
      </c>
      <c r="O1060" s="46">
        <f>0.00055*L1060</f>
        <v>0</v>
      </c>
      <c r="P1060" s="49"/>
      <c r="Q1060" s="43" t="s">
        <v>3390</v>
      </c>
      <c r="R1060" s="43" t="s">
        <v>611</v>
      </c>
      <c r="S1060" s="39" t="str">
        <f>HYPERLINK("https://miland.ru/api/getInfo/image/df8f81b5-6a52-11e9-a224-ac1f6b442184")</f>
        <v>https://miland.ru/api/getInfo/image/df8f81b5-6a52-11e9-a224-ac1f6b442184</v>
      </c>
    </row>
    <row r="1061" spans="1:19" s="2" customFormat="1" ht="96.2" customHeight="1" outlineLevel="7">
      <c r="A1061" s="25">
        <v>796</v>
      </c>
      <c r="B1061" s="26" t="s">
        <v>3391</v>
      </c>
      <c r="C1061" s="66" t="s">
        <v>3392</v>
      </c>
      <c r="D1061" s="66"/>
      <c r="E1061" s="66"/>
      <c r="F1061" s="66"/>
      <c r="G1061" s="27" t="s">
        <v>3393</v>
      </c>
      <c r="H1061" s="28" t="s">
        <v>44</v>
      </c>
      <c r="I1061" s="29"/>
      <c r="J1061" s="25">
        <v>10</v>
      </c>
      <c r="K1061" s="30">
        <v>83.38</v>
      </c>
      <c r="L1061" s="17"/>
      <c r="M1061" s="29">
        <f t="shared" si="52"/>
        <v>0</v>
      </c>
      <c r="N1061" s="31">
        <f>0.038*L1061</f>
        <v>0</v>
      </c>
      <c r="O1061" s="32">
        <f>0.00036*L1061</f>
        <v>0</v>
      </c>
      <c r="P1061" s="36"/>
      <c r="Q1061" s="29" t="s">
        <v>3394</v>
      </c>
      <c r="R1061" s="29"/>
      <c r="S1061" s="26" t="str">
        <f>HYPERLINK("https://miland.ru/api/getInfo/image/bcb89dd9-972a-11ed-a22d-00155d82e902")</f>
        <v>https://miland.ru/api/getInfo/image/bcb89dd9-972a-11ed-a22d-00155d82e902</v>
      </c>
    </row>
    <row r="1062" spans="1:19" s="2" customFormat="1" ht="96.2" customHeight="1" outlineLevel="7">
      <c r="A1062" s="25">
        <v>797</v>
      </c>
      <c r="B1062" s="26" t="s">
        <v>3395</v>
      </c>
      <c r="C1062" s="66" t="s">
        <v>3396</v>
      </c>
      <c r="D1062" s="66"/>
      <c r="E1062" s="66"/>
      <c r="F1062" s="66"/>
      <c r="G1062" s="27" t="s">
        <v>3397</v>
      </c>
      <c r="H1062" s="33">
        <v>20</v>
      </c>
      <c r="I1062" s="29"/>
      <c r="J1062" s="25">
        <v>10</v>
      </c>
      <c r="K1062" s="30">
        <v>83.38</v>
      </c>
      <c r="L1062" s="17"/>
      <c r="M1062" s="29">
        <f t="shared" si="52"/>
        <v>0</v>
      </c>
      <c r="N1062" s="31">
        <f>0.036*L1062</f>
        <v>0</v>
      </c>
      <c r="O1062" s="32">
        <f>0.00081*L1062</f>
        <v>0</v>
      </c>
      <c r="P1062" s="36"/>
      <c r="Q1062" s="29" t="s">
        <v>3398</v>
      </c>
      <c r="R1062" s="29" t="s">
        <v>611</v>
      </c>
      <c r="S1062" s="26" t="str">
        <f>HYPERLINK("https://miland.ru/api/getInfo/image/09ecba1d-972a-11ed-a22d-00155d82e902")</f>
        <v>https://miland.ru/api/getInfo/image/09ecba1d-972a-11ed-a22d-00155d82e902</v>
      </c>
    </row>
    <row r="1063" spans="1:19" s="2" customFormat="1" ht="96.2" customHeight="1" outlineLevel="7">
      <c r="A1063" s="25">
        <v>798</v>
      </c>
      <c r="B1063" s="26" t="s">
        <v>3399</v>
      </c>
      <c r="C1063" s="66" t="s">
        <v>3400</v>
      </c>
      <c r="D1063" s="66"/>
      <c r="E1063" s="66"/>
      <c r="F1063" s="66"/>
      <c r="G1063" s="27" t="s">
        <v>3401</v>
      </c>
      <c r="H1063" s="28" t="s">
        <v>44</v>
      </c>
      <c r="I1063" s="29"/>
      <c r="J1063" s="25">
        <v>5</v>
      </c>
      <c r="K1063" s="30">
        <v>122.62</v>
      </c>
      <c r="L1063" s="17"/>
      <c r="M1063" s="29">
        <f t="shared" si="52"/>
        <v>0</v>
      </c>
      <c r="N1063" s="31">
        <f>0.035*L1063</f>
        <v>0</v>
      </c>
      <c r="O1063" s="32">
        <f>0.00126*L1063</f>
        <v>0</v>
      </c>
      <c r="P1063" s="36"/>
      <c r="Q1063" s="29" t="s">
        <v>3402</v>
      </c>
      <c r="R1063" s="29" t="s">
        <v>611</v>
      </c>
      <c r="S1063" s="26" t="str">
        <f>HYPERLINK("https://miland.ru/api/getInfo/image/adeffa70-9729-11ed-a22d-00155d82e902")</f>
        <v>https://miland.ru/api/getInfo/image/adeffa70-9729-11ed-a22d-00155d82e902</v>
      </c>
    </row>
    <row r="1064" spans="1:19" s="2" customFormat="1" ht="96.2" customHeight="1" outlineLevel="7">
      <c r="A1064" s="25">
        <v>799</v>
      </c>
      <c r="B1064" s="26" t="s">
        <v>3403</v>
      </c>
      <c r="C1064" s="66" t="s">
        <v>3404</v>
      </c>
      <c r="D1064" s="66"/>
      <c r="E1064" s="66"/>
      <c r="F1064" s="66"/>
      <c r="G1064" s="27" t="s">
        <v>3405</v>
      </c>
      <c r="H1064" s="28" t="s">
        <v>44</v>
      </c>
      <c r="I1064" s="29"/>
      <c r="J1064" s="25">
        <v>5</v>
      </c>
      <c r="K1064" s="30">
        <v>127.52</v>
      </c>
      <c r="L1064" s="17"/>
      <c r="M1064" s="29">
        <f t="shared" si="52"/>
        <v>0</v>
      </c>
      <c r="N1064" s="31">
        <f>0.026*L1064</f>
        <v>0</v>
      </c>
      <c r="O1064" s="32">
        <f>0.00132*L1064</f>
        <v>0</v>
      </c>
      <c r="P1064" s="36"/>
      <c r="Q1064" s="29" t="s">
        <v>3406</v>
      </c>
      <c r="R1064" s="29" t="s">
        <v>611</v>
      </c>
      <c r="S1064" s="26" t="str">
        <f>HYPERLINK("https://miland.ru/api/getInfo/image/5fde264a-972a-11ed-a22d-00155d82e902")</f>
        <v>https://miland.ru/api/getInfo/image/5fde264a-972a-11ed-a22d-00155d82e902</v>
      </c>
    </row>
    <row r="1065" spans="1:19" s="2" customFormat="1" ht="96.2" customHeight="1" outlineLevel="7">
      <c r="A1065" s="25">
        <v>800</v>
      </c>
      <c r="B1065" s="26" t="s">
        <v>3407</v>
      </c>
      <c r="C1065" s="66" t="s">
        <v>3408</v>
      </c>
      <c r="D1065" s="66"/>
      <c r="E1065" s="66"/>
      <c r="F1065" s="66"/>
      <c r="G1065" s="27" t="s">
        <v>3409</v>
      </c>
      <c r="H1065" s="33">
        <v>450</v>
      </c>
      <c r="I1065" s="29"/>
      <c r="J1065" s="25">
        <v>6</v>
      </c>
      <c r="K1065" s="30">
        <v>107.63</v>
      </c>
      <c r="L1065" s="17"/>
      <c r="M1065" s="29">
        <f t="shared" si="52"/>
        <v>0</v>
      </c>
      <c r="N1065" s="31">
        <f>0.021*L1065</f>
        <v>0</v>
      </c>
      <c r="O1065" s="32">
        <f>0.00027*L1065</f>
        <v>0</v>
      </c>
      <c r="P1065" s="36"/>
      <c r="Q1065" s="29" t="s">
        <v>3410</v>
      </c>
      <c r="R1065" s="29"/>
      <c r="S1065" s="26" t="str">
        <f>HYPERLINK("https://miland.ru/api/getInfo/image/80ae72f3-5f70-11e9-a224-ac1f6b442184")</f>
        <v>https://miland.ru/api/getInfo/image/80ae72f3-5f70-11e9-a224-ac1f6b442184</v>
      </c>
    </row>
    <row r="1066" spans="1:19" s="2" customFormat="1" ht="96.2" customHeight="1" outlineLevel="7">
      <c r="A1066" s="25">
        <v>801</v>
      </c>
      <c r="B1066" s="26" t="s">
        <v>3411</v>
      </c>
      <c r="C1066" s="66" t="s">
        <v>3412</v>
      </c>
      <c r="D1066" s="66"/>
      <c r="E1066" s="66"/>
      <c r="F1066" s="66"/>
      <c r="G1066" s="27" t="s">
        <v>3413</v>
      </c>
      <c r="H1066" s="33">
        <v>251</v>
      </c>
      <c r="I1066" s="29"/>
      <c r="J1066" s="25">
        <v>6</v>
      </c>
      <c r="K1066" s="30">
        <v>102.5</v>
      </c>
      <c r="L1066" s="17"/>
      <c r="M1066" s="29">
        <f t="shared" si="52"/>
        <v>0</v>
      </c>
      <c r="N1066" s="31">
        <f>0.023*L1066</f>
        <v>0</v>
      </c>
      <c r="O1066" s="32">
        <f>0.00018*L1066</f>
        <v>0</v>
      </c>
      <c r="P1066" s="36"/>
      <c r="Q1066" s="29" t="s">
        <v>3414</v>
      </c>
      <c r="R1066" s="29" t="s">
        <v>611</v>
      </c>
      <c r="S1066" s="26" t="str">
        <f>HYPERLINK("https://miland.ru/api/getInfo/image/96336baa-5f74-11e9-a224-ac1f6b442184")</f>
        <v>https://miland.ru/api/getInfo/image/96336baa-5f74-11e9-a224-ac1f6b442184</v>
      </c>
    </row>
    <row r="1067" spans="1:19" s="2" customFormat="1" ht="96.2" customHeight="1" outlineLevel="7">
      <c r="A1067" s="25">
        <v>802</v>
      </c>
      <c r="B1067" s="26" t="s">
        <v>3415</v>
      </c>
      <c r="C1067" s="66" t="s">
        <v>3416</v>
      </c>
      <c r="D1067" s="66"/>
      <c r="E1067" s="66"/>
      <c r="F1067" s="66"/>
      <c r="G1067" s="27" t="s">
        <v>3417</v>
      </c>
      <c r="H1067" s="33">
        <v>259</v>
      </c>
      <c r="I1067" s="29"/>
      <c r="J1067" s="25">
        <v>7</v>
      </c>
      <c r="K1067" s="30">
        <v>75.569999999999993</v>
      </c>
      <c r="L1067" s="17"/>
      <c r="M1067" s="29">
        <f t="shared" si="52"/>
        <v>0</v>
      </c>
      <c r="N1067" s="31">
        <f>0.022*L1067</f>
        <v>0</v>
      </c>
      <c r="O1067" s="32">
        <f>0.00029*L1067</f>
        <v>0</v>
      </c>
      <c r="P1067" s="36"/>
      <c r="Q1067" s="29" t="s">
        <v>3418</v>
      </c>
      <c r="R1067" s="29"/>
      <c r="S1067" s="26" t="str">
        <f>HYPERLINK("https://miland.ru/api/getInfo/image/ddb00481-52a2-11e8-b825-5cf3fc4a2490")</f>
        <v>https://miland.ru/api/getInfo/image/ddb00481-52a2-11e8-b825-5cf3fc4a2490</v>
      </c>
    </row>
    <row r="1068" spans="1:19" s="1" customFormat="1" ht="12" customHeight="1" outlineLevel="7">
      <c r="A1068" s="64" t="s">
        <v>2849</v>
      </c>
      <c r="B1068" s="64"/>
      <c r="C1068" s="64"/>
      <c r="D1068" s="64"/>
      <c r="E1068" s="64"/>
      <c r="F1068" s="64"/>
      <c r="G1068" s="8"/>
      <c r="H1068" s="12"/>
      <c r="I1068" s="2"/>
      <c r="J1068" s="2"/>
      <c r="K1068" s="13"/>
      <c r="L1068" s="2"/>
      <c r="M1068" s="2"/>
      <c r="N1068" s="2"/>
      <c r="O1068" s="2"/>
      <c r="P1068" s="2"/>
      <c r="Q1068" s="2"/>
      <c r="R1068" s="2"/>
      <c r="S1068" s="2"/>
    </row>
    <row r="1069" spans="1:19" s="2" customFormat="1" ht="96.2" customHeight="1" outlineLevel="7">
      <c r="A1069" s="25">
        <v>803</v>
      </c>
      <c r="B1069" s="26" t="s">
        <v>3419</v>
      </c>
      <c r="C1069" s="66" t="s">
        <v>3420</v>
      </c>
      <c r="D1069" s="66"/>
      <c r="E1069" s="66"/>
      <c r="F1069" s="66"/>
      <c r="G1069" s="27" t="s">
        <v>3421</v>
      </c>
      <c r="H1069" s="33">
        <v>341</v>
      </c>
      <c r="I1069" s="29"/>
      <c r="J1069" s="25">
        <v>5</v>
      </c>
      <c r="K1069" s="30">
        <v>120.98</v>
      </c>
      <c r="L1069" s="17"/>
      <c r="M1069" s="29">
        <f t="shared" ref="M1069:M1085" si="53">K1069*L1069</f>
        <v>0</v>
      </c>
      <c r="N1069" s="31">
        <f>0.019*L1069</f>
        <v>0</v>
      </c>
      <c r="O1069" s="32">
        <f>0.00023*L1069</f>
        <v>0</v>
      </c>
      <c r="P1069" s="36"/>
      <c r="Q1069" s="29" t="s">
        <v>3422</v>
      </c>
      <c r="R1069" s="29"/>
      <c r="S1069" s="26" t="str">
        <f>HYPERLINK("https://miland.ru/api/getInfo/image/ee4e2829-3716-11e7-977d-5cf3fc4a2490")</f>
        <v>https://miland.ru/api/getInfo/image/ee4e2829-3716-11e7-977d-5cf3fc4a2490</v>
      </c>
    </row>
    <row r="1070" spans="1:19" s="2" customFormat="1" ht="96.2" customHeight="1" outlineLevel="7">
      <c r="A1070" s="25">
        <v>804</v>
      </c>
      <c r="B1070" s="26" t="s">
        <v>3423</v>
      </c>
      <c r="C1070" s="66" t="s">
        <v>3424</v>
      </c>
      <c r="D1070" s="66"/>
      <c r="E1070" s="66"/>
      <c r="F1070" s="66"/>
      <c r="G1070" s="27" t="s">
        <v>3425</v>
      </c>
      <c r="H1070" s="33">
        <v>182</v>
      </c>
      <c r="I1070" s="29"/>
      <c r="J1070" s="25">
        <v>5</v>
      </c>
      <c r="K1070" s="30">
        <v>114.07</v>
      </c>
      <c r="L1070" s="17"/>
      <c r="M1070" s="29">
        <f t="shared" si="53"/>
        <v>0</v>
      </c>
      <c r="N1070" s="31">
        <f>0.053*L1070</f>
        <v>0</v>
      </c>
      <c r="O1070" s="32">
        <f>0.00039*L1070</f>
        <v>0</v>
      </c>
      <c r="P1070" s="36"/>
      <c r="Q1070" s="29" t="s">
        <v>3426</v>
      </c>
      <c r="R1070" s="29" t="s">
        <v>611</v>
      </c>
      <c r="S1070" s="26" t="str">
        <f>HYPERLINK("https://miland.ru/api/getInfo/image/5fbe3e40-3716-11e7-977d-5cf3fc4a2490")</f>
        <v>https://miland.ru/api/getInfo/image/5fbe3e40-3716-11e7-977d-5cf3fc4a2490</v>
      </c>
    </row>
    <row r="1071" spans="1:19" s="2" customFormat="1" ht="96.2" customHeight="1" outlineLevel="7">
      <c r="A1071" s="25">
        <v>805</v>
      </c>
      <c r="B1071" s="26" t="s">
        <v>3427</v>
      </c>
      <c r="C1071" s="66" t="s">
        <v>3428</v>
      </c>
      <c r="D1071" s="66"/>
      <c r="E1071" s="66"/>
      <c r="F1071" s="66"/>
      <c r="G1071" s="27" t="s">
        <v>3429</v>
      </c>
      <c r="H1071" s="28" t="s">
        <v>44</v>
      </c>
      <c r="I1071" s="29"/>
      <c r="J1071" s="25">
        <v>6</v>
      </c>
      <c r="K1071" s="30">
        <v>92.25</v>
      </c>
      <c r="L1071" s="17"/>
      <c r="M1071" s="29">
        <f t="shared" si="53"/>
        <v>0</v>
      </c>
      <c r="N1071" s="31">
        <f>0.026*L1071</f>
        <v>0</v>
      </c>
      <c r="O1071" s="32">
        <f>0.00018*L1071</f>
        <v>0</v>
      </c>
      <c r="P1071" s="36"/>
      <c r="Q1071" s="29" t="s">
        <v>3430</v>
      </c>
      <c r="R1071" s="29"/>
      <c r="S1071" s="26" t="str">
        <f>HYPERLINK("https://miland.ru/api/getInfo/image/cf6368ba-3716-11e7-977d-5cf3fc4a2490")</f>
        <v>https://miland.ru/api/getInfo/image/cf6368ba-3716-11e7-977d-5cf3fc4a2490</v>
      </c>
    </row>
    <row r="1072" spans="1:19" s="2" customFormat="1" ht="96.2" customHeight="1" outlineLevel="7">
      <c r="A1072" s="25">
        <v>806</v>
      </c>
      <c r="B1072" s="26" t="s">
        <v>3431</v>
      </c>
      <c r="C1072" s="66" t="s">
        <v>3432</v>
      </c>
      <c r="D1072" s="66"/>
      <c r="E1072" s="66"/>
      <c r="F1072" s="66"/>
      <c r="G1072" s="27" t="s">
        <v>3433</v>
      </c>
      <c r="H1072" s="28" t="s">
        <v>44</v>
      </c>
      <c r="I1072" s="29"/>
      <c r="J1072" s="25">
        <v>3</v>
      </c>
      <c r="K1072" s="30">
        <v>163.99</v>
      </c>
      <c r="L1072" s="17"/>
      <c r="M1072" s="29">
        <f t="shared" si="53"/>
        <v>0</v>
      </c>
      <c r="N1072" s="31">
        <f>0.016*L1072</f>
        <v>0</v>
      </c>
      <c r="O1072" s="32">
        <f>0.00011*L1072</f>
        <v>0</v>
      </c>
      <c r="P1072" s="36"/>
      <c r="Q1072" s="29" t="s">
        <v>3434</v>
      </c>
      <c r="R1072" s="29"/>
      <c r="S1072" s="26" t="str">
        <f>HYPERLINK("https://miland.ru/api/getInfo/image/e020971f-d984-11ef-a273-00155d82e908")</f>
        <v>https://miland.ru/api/getInfo/image/e020971f-d984-11ef-a273-00155d82e908</v>
      </c>
    </row>
    <row r="1073" spans="1:19" s="2" customFormat="1" ht="96.2" customHeight="1" outlineLevel="7">
      <c r="A1073" s="25">
        <v>807</v>
      </c>
      <c r="B1073" s="26" t="s">
        <v>3435</v>
      </c>
      <c r="C1073" s="66" t="s">
        <v>3436</v>
      </c>
      <c r="D1073" s="66"/>
      <c r="E1073" s="66"/>
      <c r="F1073" s="66"/>
      <c r="G1073" s="27" t="s">
        <v>3437</v>
      </c>
      <c r="H1073" s="33">
        <v>6</v>
      </c>
      <c r="I1073" s="29"/>
      <c r="J1073" s="25">
        <v>2</v>
      </c>
      <c r="K1073" s="30">
        <v>362.43</v>
      </c>
      <c r="L1073" s="17"/>
      <c r="M1073" s="29">
        <f t="shared" si="53"/>
        <v>0</v>
      </c>
      <c r="N1073" s="31">
        <f>0.023*L1073</f>
        <v>0</v>
      </c>
      <c r="O1073" s="32">
        <f>0.00029*L1073</f>
        <v>0</v>
      </c>
      <c r="P1073" s="36"/>
      <c r="Q1073" s="29" t="s">
        <v>3438</v>
      </c>
      <c r="R1073" s="29" t="s">
        <v>611</v>
      </c>
      <c r="S1073" s="26" t="str">
        <f>HYPERLINK("https://miland.ru/api/getInfo/image/76babc01-90ae-11ed-a22c-00155d82e902")</f>
        <v>https://miland.ru/api/getInfo/image/76babc01-90ae-11ed-a22c-00155d82e902</v>
      </c>
    </row>
    <row r="1074" spans="1:19" s="2" customFormat="1" ht="96.2" customHeight="1" outlineLevel="7">
      <c r="A1074" s="25">
        <v>808</v>
      </c>
      <c r="B1074" s="26" t="s">
        <v>3439</v>
      </c>
      <c r="C1074" s="66" t="s">
        <v>3440</v>
      </c>
      <c r="D1074" s="66"/>
      <c r="E1074" s="66"/>
      <c r="F1074" s="66"/>
      <c r="G1074" s="27" t="s">
        <v>3441</v>
      </c>
      <c r="H1074" s="33">
        <v>37</v>
      </c>
      <c r="I1074" s="29"/>
      <c r="J1074" s="25">
        <v>2</v>
      </c>
      <c r="K1074" s="30">
        <v>147.81</v>
      </c>
      <c r="L1074" s="17"/>
      <c r="M1074" s="29">
        <f t="shared" si="53"/>
        <v>0</v>
      </c>
      <c r="N1074" s="31">
        <f>0.021*L1074</f>
        <v>0</v>
      </c>
      <c r="O1074" s="32">
        <f>0.00011*L1074</f>
        <v>0</v>
      </c>
      <c r="P1074" s="36"/>
      <c r="Q1074" s="29" t="s">
        <v>3442</v>
      </c>
      <c r="R1074" s="29" t="s">
        <v>611</v>
      </c>
      <c r="S1074" s="26" t="str">
        <f>HYPERLINK("https://miland.ru/api/getInfo/image/8ab0f5da-90db-11ed-a22c-00155d82e902")</f>
        <v>https://miland.ru/api/getInfo/image/8ab0f5da-90db-11ed-a22c-00155d82e902</v>
      </c>
    </row>
    <row r="1075" spans="1:19" s="2" customFormat="1" ht="96.2" customHeight="1" outlineLevel="7">
      <c r="A1075" s="38">
        <v>809</v>
      </c>
      <c r="B1075" s="39" t="s">
        <v>3443</v>
      </c>
      <c r="C1075" s="67" t="s">
        <v>3444</v>
      </c>
      <c r="D1075" s="67"/>
      <c r="E1075" s="67"/>
      <c r="F1075" s="67"/>
      <c r="G1075" s="40" t="s">
        <v>3445</v>
      </c>
      <c r="H1075" s="42">
        <v>17</v>
      </c>
      <c r="I1075" s="43"/>
      <c r="J1075" s="38">
        <v>2</v>
      </c>
      <c r="K1075" s="51">
        <v>88.9</v>
      </c>
      <c r="L1075" s="17"/>
      <c r="M1075" s="43">
        <f t="shared" si="53"/>
        <v>0</v>
      </c>
      <c r="N1075" s="47">
        <f>0.023*L1075</f>
        <v>0</v>
      </c>
      <c r="O1075" s="46">
        <f>0.00007*L1075</f>
        <v>0</v>
      </c>
      <c r="P1075" s="49"/>
      <c r="Q1075" s="43" t="s">
        <v>3446</v>
      </c>
      <c r="R1075" s="43" t="s">
        <v>611</v>
      </c>
      <c r="S1075" s="39" t="str">
        <f>HYPERLINK("https://miland.ru/api/getInfo/image/54e16d5a-f38a-11ec-a213-ac1f6b442185")</f>
        <v>https://miland.ru/api/getInfo/image/54e16d5a-f38a-11ec-a213-ac1f6b442185</v>
      </c>
    </row>
    <row r="1076" spans="1:19" s="2" customFormat="1" ht="96.2" customHeight="1" outlineLevel="7">
      <c r="A1076" s="25">
        <v>810</v>
      </c>
      <c r="B1076" s="26" t="s">
        <v>3447</v>
      </c>
      <c r="C1076" s="66" t="s">
        <v>3448</v>
      </c>
      <c r="D1076" s="66"/>
      <c r="E1076" s="66"/>
      <c r="F1076" s="66"/>
      <c r="G1076" s="27" t="s">
        <v>3449</v>
      </c>
      <c r="H1076" s="33">
        <v>185</v>
      </c>
      <c r="I1076" s="29"/>
      <c r="J1076" s="25">
        <v>6</v>
      </c>
      <c r="K1076" s="30">
        <v>116.58</v>
      </c>
      <c r="L1076" s="17"/>
      <c r="M1076" s="29">
        <f t="shared" si="53"/>
        <v>0</v>
      </c>
      <c r="N1076" s="34">
        <f>0.04*L1076</f>
        <v>0</v>
      </c>
      <c r="O1076" s="35">
        <f>0.0007*L1076</f>
        <v>0</v>
      </c>
      <c r="P1076" s="36"/>
      <c r="Q1076" s="29" t="s">
        <v>3450</v>
      </c>
      <c r="R1076" s="29" t="s">
        <v>611</v>
      </c>
      <c r="S1076" s="26" t="str">
        <f>HYPERLINK("https://miland.ru/api/getInfo/image/49ddbb3d-88a3-11eb-a277-ac1f6b442184")</f>
        <v>https://miland.ru/api/getInfo/image/49ddbb3d-88a3-11eb-a277-ac1f6b442184</v>
      </c>
    </row>
    <row r="1077" spans="1:19" s="2" customFormat="1" ht="96.2" customHeight="1" outlineLevel="7">
      <c r="A1077" s="9">
        <v>811</v>
      </c>
      <c r="B1077" s="10" t="s">
        <v>3451</v>
      </c>
      <c r="C1077" s="65" t="s">
        <v>3452</v>
      </c>
      <c r="D1077" s="65"/>
      <c r="E1077" s="65"/>
      <c r="F1077" s="65"/>
      <c r="G1077" s="11" t="s">
        <v>3453</v>
      </c>
      <c r="H1077" s="14">
        <v>370</v>
      </c>
      <c r="I1077" s="15"/>
      <c r="J1077" s="9">
        <v>3</v>
      </c>
      <c r="K1077" s="16">
        <v>184.59</v>
      </c>
      <c r="L1077" s="17"/>
      <c r="M1077" s="15">
        <f t="shared" si="53"/>
        <v>0</v>
      </c>
      <c r="N1077" s="18">
        <f>0.014*L1077</f>
        <v>0</v>
      </c>
      <c r="O1077" s="19">
        <f>0.00002*L1077</f>
        <v>0</v>
      </c>
      <c r="P1077" s="24" t="s">
        <v>26</v>
      </c>
      <c r="Q1077" s="15" t="s">
        <v>3454</v>
      </c>
      <c r="R1077" s="15"/>
      <c r="S1077" s="10" t="str">
        <f>HYPERLINK("https://miland.ru/api/getInfo/image/b91a6d72-2d8d-11f1-a292-00155d82e908")</f>
        <v>https://miland.ru/api/getInfo/image/b91a6d72-2d8d-11f1-a292-00155d82e908</v>
      </c>
    </row>
    <row r="1078" spans="1:19" s="2" customFormat="1" ht="96.2" customHeight="1" outlineLevel="7">
      <c r="A1078" s="25">
        <v>812</v>
      </c>
      <c r="B1078" s="26" t="s">
        <v>3455</v>
      </c>
      <c r="C1078" s="66" t="s">
        <v>3456</v>
      </c>
      <c r="D1078" s="66"/>
      <c r="E1078" s="66"/>
      <c r="F1078" s="66"/>
      <c r="G1078" s="27" t="s">
        <v>3457</v>
      </c>
      <c r="H1078" s="33">
        <v>338</v>
      </c>
      <c r="I1078" s="29"/>
      <c r="J1078" s="25">
        <v>3</v>
      </c>
      <c r="K1078" s="30">
        <v>182.7</v>
      </c>
      <c r="L1078" s="17"/>
      <c r="M1078" s="29">
        <f t="shared" si="53"/>
        <v>0</v>
      </c>
      <c r="N1078" s="31">
        <f>0.036*L1078</f>
        <v>0</v>
      </c>
      <c r="O1078" s="32">
        <f>0.00026*L1078</f>
        <v>0</v>
      </c>
      <c r="P1078" s="36"/>
      <c r="Q1078" s="29" t="s">
        <v>3458</v>
      </c>
      <c r="R1078" s="29" t="s">
        <v>611</v>
      </c>
      <c r="S1078" s="26" t="str">
        <f>HYPERLINK("https://miland.ru/api/getInfo/image/8b273ac5-d984-11ef-a273-00155d82e908")</f>
        <v>https://miland.ru/api/getInfo/image/8b273ac5-d984-11ef-a273-00155d82e908</v>
      </c>
    </row>
    <row r="1079" spans="1:19" s="2" customFormat="1" ht="96.2" customHeight="1" outlineLevel="7">
      <c r="A1079" s="25">
        <v>813</v>
      </c>
      <c r="B1079" s="26" t="s">
        <v>3459</v>
      </c>
      <c r="C1079" s="66" t="s">
        <v>3460</v>
      </c>
      <c r="D1079" s="66"/>
      <c r="E1079" s="66"/>
      <c r="F1079" s="66"/>
      <c r="G1079" s="27" t="s">
        <v>3461</v>
      </c>
      <c r="H1079" s="33">
        <v>193</v>
      </c>
      <c r="I1079" s="29"/>
      <c r="J1079" s="25">
        <v>3</v>
      </c>
      <c r="K1079" s="30">
        <v>190.01</v>
      </c>
      <c r="L1079" s="17"/>
      <c r="M1079" s="29">
        <f t="shared" si="53"/>
        <v>0</v>
      </c>
      <c r="N1079" s="31">
        <f>0.014*L1079</f>
        <v>0</v>
      </c>
      <c r="O1079" s="32">
        <f>0.00022*L1079</f>
        <v>0</v>
      </c>
      <c r="P1079" s="36"/>
      <c r="Q1079" s="29" t="s">
        <v>3462</v>
      </c>
      <c r="R1079" s="29"/>
      <c r="S1079" s="26" t="str">
        <f>HYPERLINK("https://miland.ru/api/getInfo/image/d34c9ee8-0aca-11f0-a279-00155d82e908")</f>
        <v>https://miland.ru/api/getInfo/image/d34c9ee8-0aca-11f0-a279-00155d82e908</v>
      </c>
    </row>
    <row r="1080" spans="1:19" s="2" customFormat="1" ht="96.2" customHeight="1" outlineLevel="7">
      <c r="A1080" s="25">
        <v>814</v>
      </c>
      <c r="B1080" s="26" t="s">
        <v>3463</v>
      </c>
      <c r="C1080" s="66" t="s">
        <v>3464</v>
      </c>
      <c r="D1080" s="66"/>
      <c r="E1080" s="66"/>
      <c r="F1080" s="66"/>
      <c r="G1080" s="27" t="s">
        <v>3465</v>
      </c>
      <c r="H1080" s="33">
        <v>429</v>
      </c>
      <c r="I1080" s="29"/>
      <c r="J1080" s="25">
        <v>3</v>
      </c>
      <c r="K1080" s="30">
        <v>190.01</v>
      </c>
      <c r="L1080" s="17"/>
      <c r="M1080" s="29">
        <f t="shared" si="53"/>
        <v>0</v>
      </c>
      <c r="N1080" s="31">
        <f>0.046*L1080</f>
        <v>0</v>
      </c>
      <c r="O1080" s="32">
        <f>0.00034*L1080</f>
        <v>0</v>
      </c>
      <c r="P1080" s="36"/>
      <c r="Q1080" s="29" t="s">
        <v>3466</v>
      </c>
      <c r="R1080" s="29"/>
      <c r="S1080" s="26" t="str">
        <f>HYPERLINK("https://miland.ru/api/getInfo/image/47f7c070-0aca-11f0-a279-00155d82e908")</f>
        <v>https://miland.ru/api/getInfo/image/47f7c070-0aca-11f0-a279-00155d82e908</v>
      </c>
    </row>
    <row r="1081" spans="1:19" s="2" customFormat="1" ht="96.2" customHeight="1" outlineLevel="7">
      <c r="A1081" s="25">
        <v>815</v>
      </c>
      <c r="B1081" s="26" t="s">
        <v>3467</v>
      </c>
      <c r="C1081" s="66" t="s">
        <v>3468</v>
      </c>
      <c r="D1081" s="66"/>
      <c r="E1081" s="66"/>
      <c r="F1081" s="66"/>
      <c r="G1081" s="27" t="s">
        <v>3469</v>
      </c>
      <c r="H1081" s="28" t="s">
        <v>44</v>
      </c>
      <c r="I1081" s="29"/>
      <c r="J1081" s="25">
        <v>4</v>
      </c>
      <c r="K1081" s="30">
        <v>177.62</v>
      </c>
      <c r="L1081" s="17"/>
      <c r="M1081" s="29">
        <f t="shared" si="53"/>
        <v>0</v>
      </c>
      <c r="N1081" s="31">
        <f>0.018*L1081</f>
        <v>0</v>
      </c>
      <c r="O1081" s="32">
        <f>0.00084*L1081</f>
        <v>0</v>
      </c>
      <c r="P1081" s="36"/>
      <c r="Q1081" s="29" t="s">
        <v>3470</v>
      </c>
      <c r="R1081" s="29" t="s">
        <v>611</v>
      </c>
      <c r="S1081" s="26" t="str">
        <f>HYPERLINK("https://miland.ru/api/getInfo/image/c4864072-0acb-11f0-a279-00155d82e908")</f>
        <v>https://miland.ru/api/getInfo/image/c4864072-0acb-11f0-a279-00155d82e908</v>
      </c>
    </row>
    <row r="1082" spans="1:19" s="2" customFormat="1" ht="96.2" customHeight="1" outlineLevel="7">
      <c r="A1082" s="25">
        <v>816</v>
      </c>
      <c r="B1082" s="26" t="s">
        <v>3471</v>
      </c>
      <c r="C1082" s="66" t="s">
        <v>3472</v>
      </c>
      <c r="D1082" s="66"/>
      <c r="E1082" s="66"/>
      <c r="F1082" s="66"/>
      <c r="G1082" s="27" t="s">
        <v>3473</v>
      </c>
      <c r="H1082" s="33">
        <v>318</v>
      </c>
      <c r="I1082" s="29"/>
      <c r="J1082" s="25">
        <v>4</v>
      </c>
      <c r="K1082" s="30">
        <v>177.62</v>
      </c>
      <c r="L1082" s="17"/>
      <c r="M1082" s="29">
        <f t="shared" si="53"/>
        <v>0</v>
      </c>
      <c r="N1082" s="31">
        <f>0.045*L1082</f>
        <v>0</v>
      </c>
      <c r="O1082" s="35">
        <f>0.0006*L1082</f>
        <v>0</v>
      </c>
      <c r="P1082" s="36"/>
      <c r="Q1082" s="29" t="s">
        <v>3474</v>
      </c>
      <c r="R1082" s="29"/>
      <c r="S1082" s="26" t="str">
        <f>HYPERLINK("https://miland.ru/api/getInfo/image/518154bd-0acb-11f0-a279-00155d82e908")</f>
        <v>https://miland.ru/api/getInfo/image/518154bd-0acb-11f0-a279-00155d82e908</v>
      </c>
    </row>
    <row r="1083" spans="1:19" s="2" customFormat="1" ht="96.2" customHeight="1" outlineLevel="7">
      <c r="A1083" s="25">
        <v>817</v>
      </c>
      <c r="B1083" s="26" t="s">
        <v>3475</v>
      </c>
      <c r="C1083" s="66" t="s">
        <v>3476</v>
      </c>
      <c r="D1083" s="66"/>
      <c r="E1083" s="66"/>
      <c r="F1083" s="66"/>
      <c r="G1083" s="27" t="s">
        <v>3477</v>
      </c>
      <c r="H1083" s="28" t="s">
        <v>44</v>
      </c>
      <c r="I1083" s="29"/>
      <c r="J1083" s="25">
        <v>3</v>
      </c>
      <c r="K1083" s="30">
        <v>218.91</v>
      </c>
      <c r="L1083" s="17"/>
      <c r="M1083" s="29">
        <f t="shared" si="53"/>
        <v>0</v>
      </c>
      <c r="N1083" s="31">
        <f>0.043*L1083</f>
        <v>0</v>
      </c>
      <c r="O1083" s="32">
        <f>0.00068*L1083</f>
        <v>0</v>
      </c>
      <c r="P1083" s="36"/>
      <c r="Q1083" s="29" t="s">
        <v>3478</v>
      </c>
      <c r="R1083" s="29" t="s">
        <v>611</v>
      </c>
      <c r="S1083" s="26" t="str">
        <f>HYPERLINK("https://miland.ru/api/getInfo/image/59b3a015-0a47-11f0-a279-00155d82e908")</f>
        <v>https://miland.ru/api/getInfo/image/59b3a015-0a47-11f0-a279-00155d82e908</v>
      </c>
    </row>
    <row r="1084" spans="1:19" s="2" customFormat="1" ht="96.2" customHeight="1" outlineLevel="7">
      <c r="A1084" s="25">
        <v>818</v>
      </c>
      <c r="B1084" s="26" t="s">
        <v>3479</v>
      </c>
      <c r="C1084" s="66" t="s">
        <v>3480</v>
      </c>
      <c r="D1084" s="66"/>
      <c r="E1084" s="66"/>
      <c r="F1084" s="66"/>
      <c r="G1084" s="27" t="s">
        <v>3481</v>
      </c>
      <c r="H1084" s="33">
        <v>498</v>
      </c>
      <c r="I1084" s="29"/>
      <c r="J1084" s="25">
        <v>4</v>
      </c>
      <c r="K1084" s="30">
        <v>165.23</v>
      </c>
      <c r="L1084" s="17"/>
      <c r="M1084" s="29">
        <f t="shared" si="53"/>
        <v>0</v>
      </c>
      <c r="N1084" s="31">
        <f>0.038*L1084</f>
        <v>0</v>
      </c>
      <c r="O1084" s="32">
        <f>0.00082*L1084</f>
        <v>0</v>
      </c>
      <c r="P1084" s="36"/>
      <c r="Q1084" s="29" t="s">
        <v>3482</v>
      </c>
      <c r="R1084" s="29"/>
      <c r="S1084" s="26" t="str">
        <f>HYPERLINK("https://miland.ru/api/getInfo/image/6fc8fa9b-0ac9-11f0-a279-00155d82e908")</f>
        <v>https://miland.ru/api/getInfo/image/6fc8fa9b-0ac9-11f0-a279-00155d82e908</v>
      </c>
    </row>
    <row r="1085" spans="1:19" s="2" customFormat="1" ht="96.2" customHeight="1" outlineLevel="7">
      <c r="A1085" s="25">
        <v>819</v>
      </c>
      <c r="B1085" s="26" t="s">
        <v>3483</v>
      </c>
      <c r="C1085" s="66" t="s">
        <v>3484</v>
      </c>
      <c r="D1085" s="66"/>
      <c r="E1085" s="66"/>
      <c r="F1085" s="66"/>
      <c r="G1085" s="27" t="s">
        <v>3485</v>
      </c>
      <c r="H1085" s="28" t="s">
        <v>44</v>
      </c>
      <c r="I1085" s="29"/>
      <c r="J1085" s="25">
        <v>3</v>
      </c>
      <c r="K1085" s="30">
        <v>235.42</v>
      </c>
      <c r="L1085" s="17"/>
      <c r="M1085" s="29">
        <f t="shared" si="53"/>
        <v>0</v>
      </c>
      <c r="N1085" s="31">
        <f>0.012*L1085</f>
        <v>0</v>
      </c>
      <c r="O1085" s="35">
        <f>0.0006*L1085</f>
        <v>0</v>
      </c>
      <c r="P1085" s="36"/>
      <c r="Q1085" s="29" t="s">
        <v>3486</v>
      </c>
      <c r="R1085" s="29" t="s">
        <v>611</v>
      </c>
      <c r="S1085" s="26" t="str">
        <f>HYPERLINK("https://miland.ru/api/getInfo/image/e4a4abf9-0a46-11f0-a279-00155d82e908")</f>
        <v>https://miland.ru/api/getInfo/image/e4a4abf9-0a46-11f0-a279-00155d82e908</v>
      </c>
    </row>
    <row r="1086" spans="1:19" s="1" customFormat="1" ht="12" customHeight="1" outlineLevel="5">
      <c r="A1086" s="64" t="s">
        <v>3487</v>
      </c>
      <c r="B1086" s="64"/>
      <c r="C1086" s="64"/>
      <c r="D1086" s="64"/>
      <c r="E1086" s="64"/>
      <c r="F1086" s="64"/>
      <c r="G1086" s="8"/>
      <c r="H1086" s="12"/>
      <c r="I1086" s="2"/>
      <c r="J1086" s="2"/>
      <c r="K1086" s="13"/>
      <c r="L1086" s="2"/>
      <c r="M1086" s="2"/>
      <c r="N1086" s="2"/>
      <c r="O1086" s="2"/>
      <c r="P1086" s="2"/>
      <c r="Q1086" s="2"/>
      <c r="R1086" s="2"/>
      <c r="S1086" s="2"/>
    </row>
    <row r="1087" spans="1:19" s="1" customFormat="1" ht="12" customHeight="1" outlineLevel="6">
      <c r="A1087" s="64" t="s">
        <v>2832</v>
      </c>
      <c r="B1087" s="64"/>
      <c r="C1087" s="64"/>
      <c r="D1087" s="64"/>
      <c r="E1087" s="64"/>
      <c r="F1087" s="64"/>
      <c r="G1087" s="8"/>
      <c r="H1087" s="12"/>
      <c r="I1087" s="2"/>
      <c r="J1087" s="2"/>
      <c r="K1087" s="13"/>
      <c r="L1087" s="2"/>
      <c r="M1087" s="2"/>
      <c r="N1087" s="2"/>
      <c r="O1087" s="2"/>
      <c r="P1087" s="2"/>
      <c r="Q1087" s="2"/>
      <c r="R1087" s="2"/>
      <c r="S1087" s="2"/>
    </row>
    <row r="1088" spans="1:19" s="2" customFormat="1" ht="96.2" customHeight="1" outlineLevel="7">
      <c r="A1088" s="9">
        <v>820</v>
      </c>
      <c r="B1088" s="10" t="s">
        <v>3488</v>
      </c>
      <c r="C1088" s="65" t="s">
        <v>3489</v>
      </c>
      <c r="D1088" s="65"/>
      <c r="E1088" s="65"/>
      <c r="F1088" s="65"/>
      <c r="G1088" s="11" t="s">
        <v>3490</v>
      </c>
      <c r="H1088" s="14">
        <v>62</v>
      </c>
      <c r="I1088" s="15"/>
      <c r="J1088" s="9">
        <v>5</v>
      </c>
      <c r="K1088" s="16">
        <v>133.53</v>
      </c>
      <c r="L1088" s="17"/>
      <c r="M1088" s="15">
        <f>K1088*L1088</f>
        <v>0</v>
      </c>
      <c r="N1088" s="18">
        <f>0.046*L1088</f>
        <v>0</v>
      </c>
      <c r="O1088" s="19">
        <f>0.00031*L1088</f>
        <v>0</v>
      </c>
      <c r="P1088" s="24" t="s">
        <v>26</v>
      </c>
      <c r="Q1088" s="15" t="s">
        <v>3491</v>
      </c>
      <c r="R1088" s="15"/>
      <c r="S1088" s="10" t="str">
        <f>HYPERLINK("https://miland.ru/api/getInfo/image/bb1e5ad4-2f52-11f1-a292-00155d82e908")</f>
        <v>https://miland.ru/api/getInfo/image/bb1e5ad4-2f52-11f1-a292-00155d82e908</v>
      </c>
    </row>
    <row r="1089" spans="1:19" s="2" customFormat="1" ht="96.2" customHeight="1" outlineLevel="7">
      <c r="A1089" s="25">
        <v>821</v>
      </c>
      <c r="B1089" s="26" t="s">
        <v>3492</v>
      </c>
      <c r="C1089" s="66" t="s">
        <v>3493</v>
      </c>
      <c r="D1089" s="66"/>
      <c r="E1089" s="66"/>
      <c r="F1089" s="66"/>
      <c r="G1089" s="27" t="s">
        <v>3494</v>
      </c>
      <c r="H1089" s="28" t="s">
        <v>44</v>
      </c>
      <c r="I1089" s="29"/>
      <c r="J1089" s="25">
        <v>1</v>
      </c>
      <c r="K1089" s="30">
        <v>708.13</v>
      </c>
      <c r="L1089" s="17"/>
      <c r="M1089" s="29">
        <f>K1089*L1089</f>
        <v>0</v>
      </c>
      <c r="N1089" s="31">
        <f>0.169*L1089</f>
        <v>0</v>
      </c>
      <c r="O1089" s="32">
        <f>0.00104*L1089</f>
        <v>0</v>
      </c>
      <c r="P1089" s="36"/>
      <c r="Q1089" s="29" t="s">
        <v>3495</v>
      </c>
      <c r="R1089" s="29"/>
      <c r="S1089" s="26" t="str">
        <f>HYPERLINK("https://miland.ru/api/getInfo/image/9dc05440-f643-11ee-a25b-00155d82e908")</f>
        <v>https://miland.ru/api/getInfo/image/9dc05440-f643-11ee-a25b-00155d82e908</v>
      </c>
    </row>
    <row r="1090" spans="1:19" s="2" customFormat="1" ht="96.2" customHeight="1" outlineLevel="7">
      <c r="A1090" s="25">
        <v>822</v>
      </c>
      <c r="B1090" s="26" t="s">
        <v>3496</v>
      </c>
      <c r="C1090" s="66" t="s">
        <v>3497</v>
      </c>
      <c r="D1090" s="66"/>
      <c r="E1090" s="66"/>
      <c r="F1090" s="66"/>
      <c r="G1090" s="27" t="s">
        <v>3498</v>
      </c>
      <c r="H1090" s="28" t="s">
        <v>44</v>
      </c>
      <c r="I1090" s="29"/>
      <c r="J1090" s="25">
        <v>2</v>
      </c>
      <c r="K1090" s="30">
        <v>355.44</v>
      </c>
      <c r="L1090" s="17"/>
      <c r="M1090" s="29">
        <f>K1090*L1090</f>
        <v>0</v>
      </c>
      <c r="N1090" s="31">
        <f>0.094*L1090</f>
        <v>0</v>
      </c>
      <c r="O1090" s="32">
        <f>0.00043*L1090</f>
        <v>0</v>
      </c>
      <c r="P1090" s="36"/>
      <c r="Q1090" s="29" t="s">
        <v>3499</v>
      </c>
      <c r="R1090" s="29"/>
      <c r="S1090" s="26" t="str">
        <f>HYPERLINK("https://miland.ru/api/getInfo/image/38d2be15-f643-11ee-a25b-00155d82e908")</f>
        <v>https://miland.ru/api/getInfo/image/38d2be15-f643-11ee-a25b-00155d82e908</v>
      </c>
    </row>
    <row r="1091" spans="1:19" s="1" customFormat="1" ht="12" customHeight="1" outlineLevel="6">
      <c r="A1091" s="64" t="s">
        <v>2849</v>
      </c>
      <c r="B1091" s="64"/>
      <c r="C1091" s="64"/>
      <c r="D1091" s="64"/>
      <c r="E1091" s="64"/>
      <c r="F1091" s="64"/>
      <c r="G1091" s="8"/>
      <c r="H1091" s="12"/>
      <c r="I1091" s="2"/>
      <c r="J1091" s="2"/>
      <c r="K1091" s="13"/>
      <c r="L1091" s="2"/>
      <c r="M1091" s="2"/>
      <c r="N1091" s="2"/>
      <c r="O1091" s="2"/>
      <c r="P1091" s="2"/>
      <c r="Q1091" s="2"/>
      <c r="R1091" s="2"/>
      <c r="S1091" s="2"/>
    </row>
    <row r="1092" spans="1:19" s="2" customFormat="1" ht="96.2" customHeight="1" outlineLevel="7">
      <c r="A1092" s="9">
        <v>823</v>
      </c>
      <c r="B1092" s="10" t="s">
        <v>3500</v>
      </c>
      <c r="C1092" s="65" t="s">
        <v>3501</v>
      </c>
      <c r="D1092" s="65"/>
      <c r="E1092" s="65"/>
      <c r="F1092" s="65"/>
      <c r="G1092" s="11" t="s">
        <v>3502</v>
      </c>
      <c r="H1092" s="14">
        <v>40</v>
      </c>
      <c r="I1092" s="15"/>
      <c r="J1092" s="9">
        <v>10</v>
      </c>
      <c r="K1092" s="16">
        <v>90.61</v>
      </c>
      <c r="L1092" s="17"/>
      <c r="M1092" s="15">
        <f t="shared" ref="M1092:M1104" si="54">K1092*L1092</f>
        <v>0</v>
      </c>
      <c r="N1092" s="18">
        <f>0.025*L1092</f>
        <v>0</v>
      </c>
      <c r="O1092" s="19">
        <f>0.00078*L1092</f>
        <v>0</v>
      </c>
      <c r="P1092" s="24" t="s">
        <v>26</v>
      </c>
      <c r="Q1092" s="15" t="s">
        <v>3503</v>
      </c>
      <c r="R1092" s="15"/>
      <c r="S1092" s="10" t="str">
        <f>HYPERLINK("https://miland.ru/api/getInfo/image/35f08aba-2f52-11f1-a292-00155d82e908")</f>
        <v>https://miland.ru/api/getInfo/image/35f08aba-2f52-11f1-a292-00155d82e908</v>
      </c>
    </row>
    <row r="1093" spans="1:19" s="2" customFormat="1" ht="96.2" customHeight="1" outlineLevel="7">
      <c r="A1093" s="9">
        <v>824</v>
      </c>
      <c r="B1093" s="10" t="s">
        <v>3504</v>
      </c>
      <c r="C1093" s="65" t="s">
        <v>3505</v>
      </c>
      <c r="D1093" s="65"/>
      <c r="E1093" s="65"/>
      <c r="F1093" s="65"/>
      <c r="G1093" s="11" t="s">
        <v>3506</v>
      </c>
      <c r="H1093" s="21" t="s">
        <v>44</v>
      </c>
      <c r="I1093" s="15"/>
      <c r="J1093" s="9">
        <v>6</v>
      </c>
      <c r="K1093" s="16">
        <v>114.46</v>
      </c>
      <c r="L1093" s="17"/>
      <c r="M1093" s="15">
        <f t="shared" si="54"/>
        <v>0</v>
      </c>
      <c r="N1093" s="18">
        <f>0.033*L1093</f>
        <v>0</v>
      </c>
      <c r="O1093" s="20">
        <f>0.0006*L1093</f>
        <v>0</v>
      </c>
      <c r="P1093" s="24" t="s">
        <v>26</v>
      </c>
      <c r="Q1093" s="15" t="s">
        <v>3507</v>
      </c>
      <c r="R1093" s="15"/>
      <c r="S1093" s="10" t="str">
        <f>HYPERLINK("https://miland.ru/api/getInfo/image/36f34110-2f51-11f1-a292-00155d82e908")</f>
        <v>https://miland.ru/api/getInfo/image/36f34110-2f51-11f1-a292-00155d82e908</v>
      </c>
    </row>
    <row r="1094" spans="1:19" s="2" customFormat="1" ht="96.2" customHeight="1" outlineLevel="7">
      <c r="A1094" s="9">
        <v>825</v>
      </c>
      <c r="B1094" s="10" t="s">
        <v>3508</v>
      </c>
      <c r="C1094" s="65" t="s">
        <v>3509</v>
      </c>
      <c r="D1094" s="65"/>
      <c r="E1094" s="65"/>
      <c r="F1094" s="65"/>
      <c r="G1094" s="11" t="s">
        <v>3510</v>
      </c>
      <c r="H1094" s="14">
        <v>320</v>
      </c>
      <c r="I1094" s="15"/>
      <c r="J1094" s="9">
        <v>10</v>
      </c>
      <c r="K1094" s="16">
        <v>80.12</v>
      </c>
      <c r="L1094" s="17"/>
      <c r="M1094" s="15">
        <f t="shared" si="54"/>
        <v>0</v>
      </c>
      <c r="N1094" s="18">
        <f>0.019*L1094</f>
        <v>0</v>
      </c>
      <c r="O1094" s="19">
        <f>0.00035*L1094</f>
        <v>0</v>
      </c>
      <c r="P1094" s="24" t="s">
        <v>26</v>
      </c>
      <c r="Q1094" s="15" t="s">
        <v>3511</v>
      </c>
      <c r="R1094" s="15"/>
      <c r="S1094" s="10" t="str">
        <f>HYPERLINK("https://miland.ru/api/getInfo/image/564c2f67-2f50-11f1-a292-00155d82e908")</f>
        <v>https://miland.ru/api/getInfo/image/564c2f67-2f50-11f1-a292-00155d82e908</v>
      </c>
    </row>
    <row r="1095" spans="1:19" s="2" customFormat="1" ht="96.2" customHeight="1" outlineLevel="7">
      <c r="A1095" s="25">
        <v>826</v>
      </c>
      <c r="B1095" s="26" t="s">
        <v>3512</v>
      </c>
      <c r="C1095" s="66" t="s">
        <v>3513</v>
      </c>
      <c r="D1095" s="66"/>
      <c r="E1095" s="66"/>
      <c r="F1095" s="66"/>
      <c r="G1095" s="27" t="s">
        <v>3514</v>
      </c>
      <c r="H1095" s="33">
        <v>30</v>
      </c>
      <c r="I1095" s="29"/>
      <c r="J1095" s="25">
        <v>4</v>
      </c>
      <c r="K1095" s="30">
        <v>146.78</v>
      </c>
      <c r="L1095" s="17"/>
      <c r="M1095" s="29">
        <f t="shared" si="54"/>
        <v>0</v>
      </c>
      <c r="N1095" s="31">
        <f>0.013*L1095</f>
        <v>0</v>
      </c>
      <c r="O1095" s="32">
        <f>0.00011*L1095</f>
        <v>0</v>
      </c>
      <c r="P1095" s="36"/>
      <c r="Q1095" s="29" t="s">
        <v>3515</v>
      </c>
      <c r="R1095" s="29"/>
      <c r="S1095" s="26" t="str">
        <f>HYPERLINK("https://miland.ru/api/getInfo/image/d6e350f9-e40b-11ed-a233-00155d82e902")</f>
        <v>https://miland.ru/api/getInfo/image/d6e350f9-e40b-11ed-a233-00155d82e902</v>
      </c>
    </row>
    <row r="1096" spans="1:19" s="2" customFormat="1" ht="96.2" customHeight="1" outlineLevel="7">
      <c r="A1096" s="25">
        <v>827</v>
      </c>
      <c r="B1096" s="26" t="s">
        <v>3516</v>
      </c>
      <c r="C1096" s="66" t="s">
        <v>3517</v>
      </c>
      <c r="D1096" s="66"/>
      <c r="E1096" s="66"/>
      <c r="F1096" s="66"/>
      <c r="G1096" s="27" t="s">
        <v>3518</v>
      </c>
      <c r="H1096" s="33">
        <v>67</v>
      </c>
      <c r="I1096" s="29"/>
      <c r="J1096" s="25">
        <v>4</v>
      </c>
      <c r="K1096" s="30">
        <v>146.78</v>
      </c>
      <c r="L1096" s="17"/>
      <c r="M1096" s="29">
        <f t="shared" si="54"/>
        <v>0</v>
      </c>
      <c r="N1096" s="31">
        <f>0.014*L1096</f>
        <v>0</v>
      </c>
      <c r="O1096" s="32">
        <f>0.00008*L1096</f>
        <v>0</v>
      </c>
      <c r="P1096" s="36"/>
      <c r="Q1096" s="29" t="s">
        <v>3519</v>
      </c>
      <c r="R1096" s="29"/>
      <c r="S1096" s="26" t="str">
        <f>HYPERLINK("https://miland.ru/api/getInfo/image/3052cbb8-e40c-11ed-a233-00155d82e902")</f>
        <v>https://miland.ru/api/getInfo/image/3052cbb8-e40c-11ed-a233-00155d82e902</v>
      </c>
    </row>
    <row r="1097" spans="1:19" s="2" customFormat="1" ht="96.2" customHeight="1" outlineLevel="7">
      <c r="A1097" s="25">
        <v>828</v>
      </c>
      <c r="B1097" s="26" t="s">
        <v>3520</v>
      </c>
      <c r="C1097" s="66" t="s">
        <v>3521</v>
      </c>
      <c r="D1097" s="66"/>
      <c r="E1097" s="66"/>
      <c r="F1097" s="66"/>
      <c r="G1097" s="27" t="s">
        <v>3522</v>
      </c>
      <c r="H1097" s="33">
        <v>101</v>
      </c>
      <c r="I1097" s="29"/>
      <c r="J1097" s="25">
        <v>4</v>
      </c>
      <c r="K1097" s="30">
        <v>177.74</v>
      </c>
      <c r="L1097" s="17"/>
      <c r="M1097" s="29">
        <f t="shared" si="54"/>
        <v>0</v>
      </c>
      <c r="N1097" s="31">
        <f>0.023*L1097</f>
        <v>0</v>
      </c>
      <c r="O1097" s="32">
        <f>0.00019*L1097</f>
        <v>0</v>
      </c>
      <c r="P1097" s="36"/>
      <c r="Q1097" s="29" t="s">
        <v>3523</v>
      </c>
      <c r="R1097" s="29"/>
      <c r="S1097" s="26" t="str">
        <f>HYPERLINK("https://miland.ru/api/getInfo/image/a7079dc7-e40c-11ed-a233-00155d82e902")</f>
        <v>https://miland.ru/api/getInfo/image/a7079dc7-e40c-11ed-a233-00155d82e902</v>
      </c>
    </row>
    <row r="1098" spans="1:19" s="2" customFormat="1" ht="96.2" customHeight="1" outlineLevel="7">
      <c r="A1098" s="25">
        <v>829</v>
      </c>
      <c r="B1098" s="26" t="s">
        <v>3524</v>
      </c>
      <c r="C1098" s="66" t="s">
        <v>3525</v>
      </c>
      <c r="D1098" s="66"/>
      <c r="E1098" s="66"/>
      <c r="F1098" s="66"/>
      <c r="G1098" s="27" t="s">
        <v>3526</v>
      </c>
      <c r="H1098" s="33">
        <v>10</v>
      </c>
      <c r="I1098" s="29"/>
      <c r="J1098" s="25">
        <v>3</v>
      </c>
      <c r="K1098" s="30">
        <v>190.43</v>
      </c>
      <c r="L1098" s="17"/>
      <c r="M1098" s="29">
        <f t="shared" si="54"/>
        <v>0</v>
      </c>
      <c r="N1098" s="31">
        <f>0.038*L1098</f>
        <v>0</v>
      </c>
      <c r="O1098" s="32">
        <f>0.00068*L1098</f>
        <v>0</v>
      </c>
      <c r="P1098" s="36"/>
      <c r="Q1098" s="29" t="s">
        <v>3527</v>
      </c>
      <c r="R1098" s="29"/>
      <c r="S1098" s="26" t="str">
        <f>HYPERLINK("https://miland.ru/api/getInfo/image/6da59258-e40b-11ed-a233-00155d82e902")</f>
        <v>https://miland.ru/api/getInfo/image/6da59258-e40b-11ed-a233-00155d82e902</v>
      </c>
    </row>
    <row r="1099" spans="1:19" s="2" customFormat="1" ht="96.2" customHeight="1" outlineLevel="7">
      <c r="A1099" s="9">
        <v>830</v>
      </c>
      <c r="B1099" s="10" t="s">
        <v>3528</v>
      </c>
      <c r="C1099" s="65" t="s">
        <v>3529</v>
      </c>
      <c r="D1099" s="65"/>
      <c r="E1099" s="65"/>
      <c r="F1099" s="65"/>
      <c r="G1099" s="11" t="s">
        <v>3530</v>
      </c>
      <c r="H1099" s="14">
        <v>307</v>
      </c>
      <c r="I1099" s="15"/>
      <c r="J1099" s="9">
        <v>5</v>
      </c>
      <c r="K1099" s="16">
        <v>127.81</v>
      </c>
      <c r="L1099" s="17"/>
      <c r="M1099" s="15">
        <f t="shared" si="54"/>
        <v>0</v>
      </c>
      <c r="N1099" s="23">
        <f>0.04*L1099</f>
        <v>0</v>
      </c>
      <c r="O1099" s="19">
        <f>0.00059*L1099</f>
        <v>0</v>
      </c>
      <c r="P1099" s="24" t="s">
        <v>26</v>
      </c>
      <c r="Q1099" s="15" t="s">
        <v>3531</v>
      </c>
      <c r="R1099" s="15"/>
      <c r="S1099" s="10" t="str">
        <f>HYPERLINK("https://miland.ru/api/getInfo/image/a75cca33-2f51-11f1-a292-00155d82e908")</f>
        <v>https://miland.ru/api/getInfo/image/a75cca33-2f51-11f1-a292-00155d82e908</v>
      </c>
    </row>
    <row r="1100" spans="1:19" s="2" customFormat="1" ht="96.2" customHeight="1" outlineLevel="7">
      <c r="A1100" s="9">
        <v>831</v>
      </c>
      <c r="B1100" s="10" t="s">
        <v>3532</v>
      </c>
      <c r="C1100" s="65" t="s">
        <v>3533</v>
      </c>
      <c r="D1100" s="65"/>
      <c r="E1100" s="65"/>
      <c r="F1100" s="65"/>
      <c r="G1100" s="11" t="s">
        <v>3534</v>
      </c>
      <c r="H1100" s="14">
        <v>141</v>
      </c>
      <c r="I1100" s="15"/>
      <c r="J1100" s="9">
        <v>10</v>
      </c>
      <c r="K1100" s="16">
        <v>78.69</v>
      </c>
      <c r="L1100" s="17"/>
      <c r="M1100" s="15">
        <f t="shared" si="54"/>
        <v>0</v>
      </c>
      <c r="N1100" s="18">
        <f>0.019*L1100</f>
        <v>0</v>
      </c>
      <c r="O1100" s="19">
        <f>0.00014*L1100</f>
        <v>0</v>
      </c>
      <c r="P1100" s="24" t="s">
        <v>26</v>
      </c>
      <c r="Q1100" s="15" t="s">
        <v>3535</v>
      </c>
      <c r="R1100" s="15"/>
      <c r="S1100" s="10" t="str">
        <f>HYPERLINK("https://miland.ru/api/getInfo/image/e69dbea3-2f50-11f1-a292-00155d82e908")</f>
        <v>https://miland.ru/api/getInfo/image/e69dbea3-2f50-11f1-a292-00155d82e908</v>
      </c>
    </row>
    <row r="1101" spans="1:19" s="2" customFormat="1" ht="96.2" customHeight="1" outlineLevel="7">
      <c r="A1101" s="9">
        <v>832</v>
      </c>
      <c r="B1101" s="10" t="s">
        <v>3536</v>
      </c>
      <c r="C1101" s="65" t="s">
        <v>3537</v>
      </c>
      <c r="D1101" s="65"/>
      <c r="E1101" s="65"/>
      <c r="F1101" s="65"/>
      <c r="G1101" s="11" t="s">
        <v>3538</v>
      </c>
      <c r="H1101" s="14">
        <v>100</v>
      </c>
      <c r="I1101" s="15"/>
      <c r="J1101" s="9">
        <v>10</v>
      </c>
      <c r="K1101" s="16">
        <v>80.12</v>
      </c>
      <c r="L1101" s="17"/>
      <c r="M1101" s="15">
        <f t="shared" si="54"/>
        <v>0</v>
      </c>
      <c r="N1101" s="18">
        <f>0.022*L1101</f>
        <v>0</v>
      </c>
      <c r="O1101" s="19">
        <f>0.00005*L1101</f>
        <v>0</v>
      </c>
      <c r="P1101" s="24" t="s">
        <v>26</v>
      </c>
      <c r="Q1101" s="15" t="s">
        <v>3539</v>
      </c>
      <c r="R1101" s="15"/>
      <c r="S1101" s="10" t="str">
        <f>HYPERLINK("https://miland.ru/api/getInfo/image/d4780593-2f50-11f1-a292-00155d82e908")</f>
        <v>https://miland.ru/api/getInfo/image/d4780593-2f50-11f1-a292-00155d82e908</v>
      </c>
    </row>
    <row r="1102" spans="1:19" s="2" customFormat="1" ht="96.2" customHeight="1" outlineLevel="7">
      <c r="A1102" s="9">
        <v>833</v>
      </c>
      <c r="B1102" s="10" t="s">
        <v>3540</v>
      </c>
      <c r="C1102" s="65" t="s">
        <v>3541</v>
      </c>
      <c r="D1102" s="65"/>
      <c r="E1102" s="65"/>
      <c r="F1102" s="65"/>
      <c r="G1102" s="11" t="s">
        <v>3542</v>
      </c>
      <c r="H1102" s="14">
        <v>148</v>
      </c>
      <c r="I1102" s="15"/>
      <c r="J1102" s="9">
        <v>10</v>
      </c>
      <c r="K1102" s="16">
        <v>66.77</v>
      </c>
      <c r="L1102" s="17"/>
      <c r="M1102" s="15">
        <f t="shared" si="54"/>
        <v>0</v>
      </c>
      <c r="N1102" s="18">
        <f>0.021*L1102</f>
        <v>0</v>
      </c>
      <c r="O1102" s="19">
        <f>0.00012*L1102</f>
        <v>0</v>
      </c>
      <c r="P1102" s="24" t="s">
        <v>26</v>
      </c>
      <c r="Q1102" s="15" t="s">
        <v>3543</v>
      </c>
      <c r="R1102" s="15"/>
      <c r="S1102" s="10" t="str">
        <f>HYPERLINK("https://miland.ru/api/getInfo/image/62b7d85f-2f50-11f1-a292-00155d82e908")</f>
        <v>https://miland.ru/api/getInfo/image/62b7d85f-2f50-11f1-a292-00155d82e908</v>
      </c>
    </row>
    <row r="1103" spans="1:19" s="2" customFormat="1" ht="96.2" customHeight="1" outlineLevel="7">
      <c r="A1103" s="9">
        <v>834</v>
      </c>
      <c r="B1103" s="10" t="s">
        <v>3544</v>
      </c>
      <c r="C1103" s="65" t="s">
        <v>3545</v>
      </c>
      <c r="D1103" s="65"/>
      <c r="E1103" s="65"/>
      <c r="F1103" s="65"/>
      <c r="G1103" s="11" t="s">
        <v>3546</v>
      </c>
      <c r="H1103" s="21" t="s">
        <v>44</v>
      </c>
      <c r="I1103" s="15"/>
      <c r="J1103" s="9">
        <v>6</v>
      </c>
      <c r="K1103" s="16">
        <v>94.43</v>
      </c>
      <c r="L1103" s="17"/>
      <c r="M1103" s="15">
        <f t="shared" si="54"/>
        <v>0</v>
      </c>
      <c r="N1103" s="18">
        <f>0.038*L1103</f>
        <v>0</v>
      </c>
      <c r="O1103" s="20">
        <f>0.0002*L1103</f>
        <v>0</v>
      </c>
      <c r="P1103" s="24" t="s">
        <v>26</v>
      </c>
      <c r="Q1103" s="15" t="s">
        <v>3547</v>
      </c>
      <c r="R1103" s="15"/>
      <c r="S1103" s="10" t="str">
        <f>HYPERLINK("https://miland.ru/api/getInfo/image/7cff3738-2f50-11f1-a292-00155d82e908")</f>
        <v>https://miland.ru/api/getInfo/image/7cff3738-2f50-11f1-a292-00155d82e908</v>
      </c>
    </row>
    <row r="1104" spans="1:19" s="2" customFormat="1" ht="96.2" customHeight="1" outlineLevel="7">
      <c r="A1104" s="25">
        <v>835</v>
      </c>
      <c r="B1104" s="26" t="s">
        <v>3548</v>
      </c>
      <c r="C1104" s="66" t="s">
        <v>3549</v>
      </c>
      <c r="D1104" s="66"/>
      <c r="E1104" s="66"/>
      <c r="F1104" s="66"/>
      <c r="G1104" s="27" t="s">
        <v>3550</v>
      </c>
      <c r="H1104" s="33">
        <v>12</v>
      </c>
      <c r="I1104" s="29"/>
      <c r="J1104" s="25">
        <v>2</v>
      </c>
      <c r="K1104" s="30">
        <v>172.76</v>
      </c>
      <c r="L1104" s="17"/>
      <c r="M1104" s="29">
        <f t="shared" si="54"/>
        <v>0</v>
      </c>
      <c r="N1104" s="31">
        <f>0.034*L1104</f>
        <v>0</v>
      </c>
      <c r="O1104" s="32">
        <f>0.00078*L1104</f>
        <v>0</v>
      </c>
      <c r="P1104" s="36"/>
      <c r="Q1104" s="29" t="s">
        <v>3551</v>
      </c>
      <c r="R1104" s="29" t="s">
        <v>611</v>
      </c>
      <c r="S1104" s="26" t="str">
        <f>HYPERLINK("https://miland.ru/api/getInfo/image/b930e428-e40a-11ed-a233-00155d82e902")</f>
        <v>https://miland.ru/api/getInfo/image/b930e428-e40a-11ed-a233-00155d82e902</v>
      </c>
    </row>
    <row r="1105" spans="1:19" s="1" customFormat="1" ht="12" customHeight="1" outlineLevel="5">
      <c r="A1105" s="64" t="s">
        <v>3552</v>
      </c>
      <c r="B1105" s="64"/>
      <c r="C1105" s="64"/>
      <c r="D1105" s="64"/>
      <c r="E1105" s="64"/>
      <c r="F1105" s="64"/>
      <c r="G1105" s="8"/>
      <c r="H1105" s="12"/>
      <c r="I1105" s="2"/>
      <c r="J1105" s="2"/>
      <c r="K1105" s="13"/>
      <c r="L1105" s="2"/>
      <c r="M1105" s="2"/>
      <c r="N1105" s="2"/>
      <c r="O1105" s="2"/>
      <c r="P1105" s="2"/>
      <c r="Q1105" s="2"/>
      <c r="R1105" s="2"/>
      <c r="S1105" s="2"/>
    </row>
    <row r="1106" spans="1:19" s="2" customFormat="1" ht="96.2" customHeight="1" outlineLevel="6">
      <c r="A1106" s="25">
        <v>836</v>
      </c>
      <c r="B1106" s="26" t="s">
        <v>3553</v>
      </c>
      <c r="C1106" s="66" t="s">
        <v>3554</v>
      </c>
      <c r="D1106" s="66"/>
      <c r="E1106" s="66"/>
      <c r="F1106" s="66"/>
      <c r="G1106" s="27" t="s">
        <v>3555</v>
      </c>
      <c r="H1106" s="33">
        <v>204</v>
      </c>
      <c r="I1106" s="29"/>
      <c r="J1106" s="25">
        <v>1</v>
      </c>
      <c r="K1106" s="30">
        <v>515.73</v>
      </c>
      <c r="L1106" s="17"/>
      <c r="M1106" s="29">
        <f t="shared" ref="M1106:M1117" si="55">K1106*L1106</f>
        <v>0</v>
      </c>
      <c r="N1106" s="31">
        <f>0.105*L1106</f>
        <v>0</v>
      </c>
      <c r="O1106" s="35">
        <f>0.0009*L1106</f>
        <v>0</v>
      </c>
      <c r="P1106" s="36"/>
      <c r="Q1106" s="29" t="s">
        <v>3556</v>
      </c>
      <c r="R1106" s="29" t="s">
        <v>611</v>
      </c>
      <c r="S1106" s="26" t="str">
        <f>HYPERLINK("https://miland.ru/api/getInfo/image/964f2257-d8b3-11ef-a273-00155d82e908")</f>
        <v>https://miland.ru/api/getInfo/image/964f2257-d8b3-11ef-a273-00155d82e908</v>
      </c>
    </row>
    <row r="1107" spans="1:19" s="2" customFormat="1" ht="96.2" customHeight="1" outlineLevel="6">
      <c r="A1107" s="25">
        <v>837</v>
      </c>
      <c r="B1107" s="26" t="s">
        <v>3557</v>
      </c>
      <c r="C1107" s="66" t="s">
        <v>3558</v>
      </c>
      <c r="D1107" s="66"/>
      <c r="E1107" s="66"/>
      <c r="F1107" s="66"/>
      <c r="G1107" s="27" t="s">
        <v>3559</v>
      </c>
      <c r="H1107" s="33">
        <v>410</v>
      </c>
      <c r="I1107" s="29"/>
      <c r="J1107" s="25">
        <v>1</v>
      </c>
      <c r="K1107" s="30">
        <v>515.73</v>
      </c>
      <c r="L1107" s="17"/>
      <c r="M1107" s="29">
        <f t="shared" si="55"/>
        <v>0</v>
      </c>
      <c r="N1107" s="31">
        <f>0.099*L1107</f>
        <v>0</v>
      </c>
      <c r="O1107" s="31">
        <f>0.001*L1107</f>
        <v>0</v>
      </c>
      <c r="P1107" s="36"/>
      <c r="Q1107" s="29" t="s">
        <v>3560</v>
      </c>
      <c r="R1107" s="29" t="s">
        <v>611</v>
      </c>
      <c r="S1107" s="26" t="str">
        <f>HYPERLINK("https://miland.ru/api/getInfo/image/dcaa1d24-d8b3-11ef-a273-00155d82e908")</f>
        <v>https://miland.ru/api/getInfo/image/dcaa1d24-d8b3-11ef-a273-00155d82e908</v>
      </c>
    </row>
    <row r="1108" spans="1:19" s="2" customFormat="1" ht="96.2" customHeight="1" outlineLevel="6">
      <c r="A1108" s="25">
        <v>838</v>
      </c>
      <c r="B1108" s="26" t="s">
        <v>3561</v>
      </c>
      <c r="C1108" s="66" t="s">
        <v>3562</v>
      </c>
      <c r="D1108" s="66"/>
      <c r="E1108" s="66"/>
      <c r="F1108" s="66"/>
      <c r="G1108" s="27" t="s">
        <v>3563</v>
      </c>
      <c r="H1108" s="33">
        <v>357</v>
      </c>
      <c r="I1108" s="29"/>
      <c r="J1108" s="25">
        <v>5</v>
      </c>
      <c r="K1108" s="30">
        <v>132.49</v>
      </c>
      <c r="L1108" s="17"/>
      <c r="M1108" s="29">
        <f t="shared" si="55"/>
        <v>0</v>
      </c>
      <c r="N1108" s="31">
        <f>0.043*L1108</f>
        <v>0</v>
      </c>
      <c r="O1108" s="32">
        <f>0.00008*L1108</f>
        <v>0</v>
      </c>
      <c r="P1108" s="36"/>
      <c r="Q1108" s="29" t="s">
        <v>3564</v>
      </c>
      <c r="R1108" s="29" t="s">
        <v>611</v>
      </c>
      <c r="S1108" s="26" t="str">
        <f>HYPERLINK("https://miland.ru/api/getInfo/image/c5ee5598-933c-11ee-a250-00155d82e908")</f>
        <v>https://miland.ru/api/getInfo/image/c5ee5598-933c-11ee-a250-00155d82e908</v>
      </c>
    </row>
    <row r="1109" spans="1:19" s="2" customFormat="1" ht="96.2" customHeight="1" outlineLevel="6">
      <c r="A1109" s="25">
        <v>839</v>
      </c>
      <c r="B1109" s="26" t="s">
        <v>3565</v>
      </c>
      <c r="C1109" s="66" t="s">
        <v>3566</v>
      </c>
      <c r="D1109" s="66"/>
      <c r="E1109" s="66"/>
      <c r="F1109" s="66"/>
      <c r="G1109" s="27" t="s">
        <v>3567</v>
      </c>
      <c r="H1109" s="33">
        <v>423</v>
      </c>
      <c r="I1109" s="29"/>
      <c r="J1109" s="25">
        <v>5</v>
      </c>
      <c r="K1109" s="30">
        <v>132.49</v>
      </c>
      <c r="L1109" s="17"/>
      <c r="M1109" s="29">
        <f t="shared" si="55"/>
        <v>0</v>
      </c>
      <c r="N1109" s="34">
        <f>0.07*L1109</f>
        <v>0</v>
      </c>
      <c r="O1109" s="32">
        <f>0.00009*L1109</f>
        <v>0</v>
      </c>
      <c r="P1109" s="36"/>
      <c r="Q1109" s="29" t="s">
        <v>3568</v>
      </c>
      <c r="R1109" s="29" t="s">
        <v>611</v>
      </c>
      <c r="S1109" s="26" t="str">
        <f>HYPERLINK("https://miland.ru/api/getInfo/image/1810bce3-933d-11ee-a250-00155d82e908")</f>
        <v>https://miland.ru/api/getInfo/image/1810bce3-933d-11ee-a250-00155d82e908</v>
      </c>
    </row>
    <row r="1110" spans="1:19" s="2" customFormat="1" ht="96.2" customHeight="1" outlineLevel="6">
      <c r="A1110" s="25">
        <v>840</v>
      </c>
      <c r="B1110" s="26" t="s">
        <v>3569</v>
      </c>
      <c r="C1110" s="66" t="s">
        <v>3570</v>
      </c>
      <c r="D1110" s="66"/>
      <c r="E1110" s="66"/>
      <c r="F1110" s="66"/>
      <c r="G1110" s="27" t="s">
        <v>3571</v>
      </c>
      <c r="H1110" s="28" t="s">
        <v>44</v>
      </c>
      <c r="I1110" s="29"/>
      <c r="J1110" s="25">
        <v>5</v>
      </c>
      <c r="K1110" s="30">
        <v>132.49</v>
      </c>
      <c r="L1110" s="17"/>
      <c r="M1110" s="29">
        <f t="shared" si="55"/>
        <v>0</v>
      </c>
      <c r="N1110" s="34">
        <f>0.07*L1110</f>
        <v>0</v>
      </c>
      <c r="O1110" s="32">
        <f>0.00007*L1110</f>
        <v>0</v>
      </c>
      <c r="P1110" s="36"/>
      <c r="Q1110" s="29" t="s">
        <v>3572</v>
      </c>
      <c r="R1110" s="29" t="s">
        <v>611</v>
      </c>
      <c r="S1110" s="26" t="str">
        <f>HYPERLINK("https://miland.ru/api/getInfo/image/d8663c49-933c-11ee-a250-00155d82e908")</f>
        <v>https://miland.ru/api/getInfo/image/d8663c49-933c-11ee-a250-00155d82e908</v>
      </c>
    </row>
    <row r="1111" spans="1:19" s="2" customFormat="1" ht="96.2" customHeight="1" outlineLevel="6">
      <c r="A1111" s="25">
        <v>841</v>
      </c>
      <c r="B1111" s="26" t="s">
        <v>3573</v>
      </c>
      <c r="C1111" s="66" t="s">
        <v>3574</v>
      </c>
      <c r="D1111" s="66"/>
      <c r="E1111" s="66"/>
      <c r="F1111" s="66"/>
      <c r="G1111" s="27" t="s">
        <v>3575</v>
      </c>
      <c r="H1111" s="33">
        <v>466</v>
      </c>
      <c r="I1111" s="29"/>
      <c r="J1111" s="25">
        <v>5</v>
      </c>
      <c r="K1111" s="30">
        <v>132.49</v>
      </c>
      <c r="L1111" s="17"/>
      <c r="M1111" s="29">
        <f t="shared" si="55"/>
        <v>0</v>
      </c>
      <c r="N1111" s="34">
        <f>0.08*L1111</f>
        <v>0</v>
      </c>
      <c r="O1111" s="32">
        <f>0.00005*L1111</f>
        <v>0</v>
      </c>
      <c r="P1111" s="36"/>
      <c r="Q1111" s="29" t="s">
        <v>3576</v>
      </c>
      <c r="R1111" s="29" t="s">
        <v>611</v>
      </c>
      <c r="S1111" s="26" t="str">
        <f>HYPERLINK("https://miland.ru/api/getInfo/image/faea240b-933c-11ee-a250-00155d82e908")</f>
        <v>https://miland.ru/api/getInfo/image/faea240b-933c-11ee-a250-00155d82e908</v>
      </c>
    </row>
    <row r="1112" spans="1:19" s="2" customFormat="1" ht="96.2" customHeight="1" outlineLevel="6">
      <c r="A1112" s="25">
        <v>842</v>
      </c>
      <c r="B1112" s="26" t="s">
        <v>3577</v>
      </c>
      <c r="C1112" s="66" t="s">
        <v>3578</v>
      </c>
      <c r="D1112" s="66"/>
      <c r="E1112" s="66"/>
      <c r="F1112" s="66"/>
      <c r="G1112" s="27" t="s">
        <v>3579</v>
      </c>
      <c r="H1112" s="28" t="s">
        <v>44</v>
      </c>
      <c r="I1112" s="29"/>
      <c r="J1112" s="25">
        <v>5</v>
      </c>
      <c r="K1112" s="30">
        <v>132.49</v>
      </c>
      <c r="L1112" s="17"/>
      <c r="M1112" s="29">
        <f t="shared" si="55"/>
        <v>0</v>
      </c>
      <c r="N1112" s="31">
        <f>0.043*L1112</f>
        <v>0</v>
      </c>
      <c r="O1112" s="32">
        <f>0.00006*L1112</f>
        <v>0</v>
      </c>
      <c r="P1112" s="36"/>
      <c r="Q1112" s="29" t="s">
        <v>3580</v>
      </c>
      <c r="R1112" s="29" t="s">
        <v>611</v>
      </c>
      <c r="S1112" s="26" t="str">
        <f>HYPERLINK("https://miland.ru/api/getInfo/image/383bc769-933d-11ee-a250-00155d82e908")</f>
        <v>https://miland.ru/api/getInfo/image/383bc769-933d-11ee-a250-00155d82e908</v>
      </c>
    </row>
    <row r="1113" spans="1:19" s="2" customFormat="1" ht="96.2" customHeight="1" outlineLevel="6">
      <c r="A1113" s="25">
        <v>843</v>
      </c>
      <c r="B1113" s="26" t="s">
        <v>3581</v>
      </c>
      <c r="C1113" s="66" t="s">
        <v>3582</v>
      </c>
      <c r="D1113" s="66"/>
      <c r="E1113" s="66"/>
      <c r="F1113" s="66"/>
      <c r="G1113" s="27" t="s">
        <v>3583</v>
      </c>
      <c r="H1113" s="28" t="s">
        <v>44</v>
      </c>
      <c r="I1113" s="29"/>
      <c r="J1113" s="25">
        <v>5</v>
      </c>
      <c r="K1113" s="30">
        <v>132.49</v>
      </c>
      <c r="L1113" s="17"/>
      <c r="M1113" s="29">
        <f t="shared" si="55"/>
        <v>0</v>
      </c>
      <c r="N1113" s="31">
        <f>0.071*L1113</f>
        <v>0</v>
      </c>
      <c r="O1113" s="32">
        <f>0.00011*L1113</f>
        <v>0</v>
      </c>
      <c r="P1113" s="36"/>
      <c r="Q1113" s="29" t="s">
        <v>3584</v>
      </c>
      <c r="R1113" s="29" t="s">
        <v>611</v>
      </c>
      <c r="S1113" s="26" t="str">
        <f>HYPERLINK("https://miland.ru/api/getInfo/image/ed074634-933c-11ee-a250-00155d82e908")</f>
        <v>https://miland.ru/api/getInfo/image/ed074634-933c-11ee-a250-00155d82e908</v>
      </c>
    </row>
    <row r="1114" spans="1:19" s="2" customFormat="1" ht="96.2" customHeight="1" outlineLevel="6">
      <c r="A1114" s="25">
        <v>844</v>
      </c>
      <c r="B1114" s="26" t="s">
        <v>3585</v>
      </c>
      <c r="C1114" s="66" t="s">
        <v>3586</v>
      </c>
      <c r="D1114" s="66"/>
      <c r="E1114" s="66"/>
      <c r="F1114" s="66"/>
      <c r="G1114" s="27" t="s">
        <v>3587</v>
      </c>
      <c r="H1114" s="33">
        <v>431</v>
      </c>
      <c r="I1114" s="29"/>
      <c r="J1114" s="25">
        <v>5</v>
      </c>
      <c r="K1114" s="30">
        <v>132.49</v>
      </c>
      <c r="L1114" s="17"/>
      <c r="M1114" s="29">
        <f t="shared" si="55"/>
        <v>0</v>
      </c>
      <c r="N1114" s="34">
        <f>0.07*L1114</f>
        <v>0</v>
      </c>
      <c r="O1114" s="32">
        <f>0.00011*L1114</f>
        <v>0</v>
      </c>
      <c r="P1114" s="36"/>
      <c r="Q1114" s="29" t="s">
        <v>3588</v>
      </c>
      <c r="R1114" s="29" t="s">
        <v>611</v>
      </c>
      <c r="S1114" s="26" t="str">
        <f>HYPERLINK("https://miland.ru/api/getInfo/image/093aae6b-933d-11ee-a250-00155d82e908")</f>
        <v>https://miland.ru/api/getInfo/image/093aae6b-933d-11ee-a250-00155d82e908</v>
      </c>
    </row>
    <row r="1115" spans="1:19" s="2" customFormat="1" ht="96.2" customHeight="1" outlineLevel="6">
      <c r="A1115" s="25">
        <v>845</v>
      </c>
      <c r="B1115" s="26" t="s">
        <v>3589</v>
      </c>
      <c r="C1115" s="66" t="s">
        <v>3590</v>
      </c>
      <c r="D1115" s="66"/>
      <c r="E1115" s="66"/>
      <c r="F1115" s="66"/>
      <c r="G1115" s="27" t="s">
        <v>3591</v>
      </c>
      <c r="H1115" s="33">
        <v>281</v>
      </c>
      <c r="I1115" s="29"/>
      <c r="J1115" s="25">
        <v>4</v>
      </c>
      <c r="K1115" s="30">
        <v>160.13</v>
      </c>
      <c r="L1115" s="17"/>
      <c r="M1115" s="29">
        <f t="shared" si="55"/>
        <v>0</v>
      </c>
      <c r="N1115" s="31">
        <f>0.051*L1115</f>
        <v>0</v>
      </c>
      <c r="O1115" s="35">
        <f>0.0003*L1115</f>
        <v>0</v>
      </c>
      <c r="P1115" s="36"/>
      <c r="Q1115" s="29" t="s">
        <v>3592</v>
      </c>
      <c r="R1115" s="29" t="s">
        <v>611</v>
      </c>
      <c r="S1115" s="26" t="str">
        <f>HYPERLINK("https://miland.ru/api/getInfo/image/82ad2944-d8b3-11ef-a273-00155d82e908")</f>
        <v>https://miland.ru/api/getInfo/image/82ad2944-d8b3-11ef-a273-00155d82e908</v>
      </c>
    </row>
    <row r="1116" spans="1:19" s="2" customFormat="1" ht="96.2" customHeight="1" outlineLevel="6">
      <c r="A1116" s="25">
        <v>846</v>
      </c>
      <c r="B1116" s="26" t="s">
        <v>3593</v>
      </c>
      <c r="C1116" s="66" t="s">
        <v>3594</v>
      </c>
      <c r="D1116" s="66"/>
      <c r="E1116" s="66"/>
      <c r="F1116" s="66"/>
      <c r="G1116" s="27" t="s">
        <v>3595</v>
      </c>
      <c r="H1116" s="33">
        <v>408</v>
      </c>
      <c r="I1116" s="29"/>
      <c r="J1116" s="25">
        <v>5</v>
      </c>
      <c r="K1116" s="30">
        <v>132.49</v>
      </c>
      <c r="L1116" s="17"/>
      <c r="M1116" s="29">
        <f t="shared" si="55"/>
        <v>0</v>
      </c>
      <c r="N1116" s="31">
        <f>0.072*L1116</f>
        <v>0</v>
      </c>
      <c r="O1116" s="32">
        <f>0.00011*L1116</f>
        <v>0</v>
      </c>
      <c r="P1116" s="36"/>
      <c r="Q1116" s="29" t="s">
        <v>3596</v>
      </c>
      <c r="R1116" s="29" t="s">
        <v>611</v>
      </c>
      <c r="S1116" s="26" t="str">
        <f>HYPERLINK("https://miland.ru/api/getInfo/image/5c620272-933c-11ee-a250-00155d82e908")</f>
        <v>https://miland.ru/api/getInfo/image/5c620272-933c-11ee-a250-00155d82e908</v>
      </c>
    </row>
    <row r="1117" spans="1:19" s="2" customFormat="1" ht="96.2" customHeight="1" outlineLevel="6">
      <c r="A1117" s="25">
        <v>847</v>
      </c>
      <c r="B1117" s="26" t="s">
        <v>3597</v>
      </c>
      <c r="C1117" s="66" t="s">
        <v>3598</v>
      </c>
      <c r="D1117" s="66"/>
      <c r="E1117" s="66"/>
      <c r="F1117" s="66"/>
      <c r="G1117" s="27" t="s">
        <v>3599</v>
      </c>
      <c r="H1117" s="28" t="s">
        <v>44</v>
      </c>
      <c r="I1117" s="29"/>
      <c r="J1117" s="25">
        <v>5</v>
      </c>
      <c r="K1117" s="30">
        <v>132.49</v>
      </c>
      <c r="L1117" s="17"/>
      <c r="M1117" s="29">
        <f t="shared" si="55"/>
        <v>0</v>
      </c>
      <c r="N1117" s="31">
        <f>0.071*L1117</f>
        <v>0</v>
      </c>
      <c r="O1117" s="32">
        <f>0.00011*L1117</f>
        <v>0</v>
      </c>
      <c r="P1117" s="36"/>
      <c r="Q1117" s="29" t="s">
        <v>3600</v>
      </c>
      <c r="R1117" s="29" t="s">
        <v>611</v>
      </c>
      <c r="S1117" s="26" t="str">
        <f>HYPERLINK("https://miland.ru/api/getInfo/image/b625164f-933c-11ee-a250-00155d82e908")</f>
        <v>https://miland.ru/api/getInfo/image/b625164f-933c-11ee-a250-00155d82e908</v>
      </c>
    </row>
    <row r="1118" spans="1:19" s="1" customFormat="1" ht="12" customHeight="1" outlineLevel="5">
      <c r="A1118" s="64" t="s">
        <v>3601</v>
      </c>
      <c r="B1118" s="64"/>
      <c r="C1118" s="64"/>
      <c r="D1118" s="64"/>
      <c r="E1118" s="64"/>
      <c r="F1118" s="64"/>
      <c r="G1118" s="8"/>
      <c r="H1118" s="12"/>
      <c r="I1118" s="2"/>
      <c r="J1118" s="2"/>
      <c r="K1118" s="13"/>
      <c r="L1118" s="2"/>
      <c r="M1118" s="2"/>
      <c r="N1118" s="2"/>
      <c r="O1118" s="2"/>
      <c r="P1118" s="2"/>
      <c r="Q1118" s="2"/>
      <c r="R1118" s="2"/>
      <c r="S1118" s="2"/>
    </row>
    <row r="1119" spans="1:19" s="2" customFormat="1" ht="96.2" customHeight="1" outlineLevel="6">
      <c r="A1119" s="9">
        <v>848</v>
      </c>
      <c r="B1119" s="10" t="s">
        <v>3602</v>
      </c>
      <c r="C1119" s="65" t="s">
        <v>3603</v>
      </c>
      <c r="D1119" s="65"/>
      <c r="E1119" s="65"/>
      <c r="F1119" s="65"/>
      <c r="G1119" s="11" t="s">
        <v>3604</v>
      </c>
      <c r="H1119" s="21" t="s">
        <v>44</v>
      </c>
      <c r="I1119" s="15"/>
      <c r="J1119" s="9">
        <v>1</v>
      </c>
      <c r="K1119" s="16">
        <v>583.71</v>
      </c>
      <c r="L1119" s="17"/>
      <c r="M1119" s="15">
        <f>K1119*L1119</f>
        <v>0</v>
      </c>
      <c r="N1119" s="18">
        <f>0.154*L1119</f>
        <v>0</v>
      </c>
      <c r="O1119" s="19">
        <f>0.00102*L1119</f>
        <v>0</v>
      </c>
      <c r="P1119" s="24" t="s">
        <v>26</v>
      </c>
      <c r="Q1119" s="15" t="s">
        <v>3605</v>
      </c>
      <c r="R1119" s="15"/>
      <c r="S1119" s="10" t="str">
        <f>HYPERLINK("https://miland.ru/api/getInfo/image/564164d5-21bb-11f1-a290-00155d82e908")</f>
        <v>https://miland.ru/api/getInfo/image/564164d5-21bb-11f1-a290-00155d82e908</v>
      </c>
    </row>
    <row r="1120" spans="1:19" s="2" customFormat="1" ht="96.2" customHeight="1" outlineLevel="6">
      <c r="A1120" s="9">
        <v>849</v>
      </c>
      <c r="B1120" s="10" t="s">
        <v>3606</v>
      </c>
      <c r="C1120" s="65" t="s">
        <v>3607</v>
      </c>
      <c r="D1120" s="65"/>
      <c r="E1120" s="65"/>
      <c r="F1120" s="65"/>
      <c r="G1120" s="11" t="s">
        <v>3608</v>
      </c>
      <c r="H1120" s="21" t="s">
        <v>44</v>
      </c>
      <c r="I1120" s="15"/>
      <c r="J1120" s="9">
        <v>2</v>
      </c>
      <c r="K1120" s="16">
        <v>336.06</v>
      </c>
      <c r="L1120" s="17"/>
      <c r="M1120" s="15">
        <f>K1120*L1120</f>
        <v>0</v>
      </c>
      <c r="N1120" s="18">
        <f>0.052*L1120</f>
        <v>0</v>
      </c>
      <c r="O1120" s="19">
        <f>0.00058*L1120</f>
        <v>0</v>
      </c>
      <c r="P1120" s="24" t="s">
        <v>26</v>
      </c>
      <c r="Q1120" s="15" t="s">
        <v>3609</v>
      </c>
      <c r="R1120" s="15"/>
      <c r="S1120" s="10" t="str">
        <f>HYPERLINK("https://miland.ru/api/getInfo/image/ca3ee1de-21bb-11f1-a290-00155d82e908")</f>
        <v>https://miland.ru/api/getInfo/image/ca3ee1de-21bb-11f1-a290-00155d82e908</v>
      </c>
    </row>
    <row r="1121" spans="1:19" s="1" customFormat="1" ht="12" customHeight="1" outlineLevel="5">
      <c r="A1121" s="64" t="s">
        <v>3610</v>
      </c>
      <c r="B1121" s="64"/>
      <c r="C1121" s="64"/>
      <c r="D1121" s="64"/>
      <c r="E1121" s="64"/>
      <c r="F1121" s="64"/>
      <c r="G1121" s="8"/>
      <c r="H1121" s="12"/>
      <c r="I1121" s="2"/>
      <c r="J1121" s="2"/>
      <c r="K1121" s="13"/>
      <c r="L1121" s="2"/>
      <c r="M1121" s="2"/>
      <c r="N1121" s="2"/>
      <c r="O1121" s="2"/>
      <c r="P1121" s="2"/>
      <c r="Q1121" s="2"/>
      <c r="R1121" s="2"/>
      <c r="S1121" s="2"/>
    </row>
    <row r="1122" spans="1:19" s="2" customFormat="1" ht="96.2" customHeight="1" outlineLevel="6">
      <c r="A1122" s="9">
        <v>850</v>
      </c>
      <c r="B1122" s="10" t="s">
        <v>3611</v>
      </c>
      <c r="C1122" s="65" t="s">
        <v>3612</v>
      </c>
      <c r="D1122" s="65"/>
      <c r="E1122" s="65"/>
      <c r="F1122" s="65"/>
      <c r="G1122" s="11" t="s">
        <v>3613</v>
      </c>
      <c r="H1122" s="14">
        <v>97</v>
      </c>
      <c r="I1122" s="15"/>
      <c r="J1122" s="9">
        <v>6</v>
      </c>
      <c r="K1122" s="16">
        <v>95.38</v>
      </c>
      <c r="L1122" s="17"/>
      <c r="M1122" s="15">
        <f>K1122*L1122</f>
        <v>0</v>
      </c>
      <c r="N1122" s="18">
        <f>0.021*L1122</f>
        <v>0</v>
      </c>
      <c r="O1122" s="19">
        <f>0.00879*L1122</f>
        <v>0</v>
      </c>
      <c r="P1122" s="24" t="s">
        <v>26</v>
      </c>
      <c r="Q1122" s="15" t="s">
        <v>3614</v>
      </c>
      <c r="R1122" s="15"/>
      <c r="S1122" s="10" t="str">
        <f>HYPERLINK("https://miland.ru/api/getInfo/image/677b60cb-2f55-11f1-a292-00155d82e908")</f>
        <v>https://miland.ru/api/getInfo/image/677b60cb-2f55-11f1-a292-00155d82e908</v>
      </c>
    </row>
    <row r="1123" spans="1:19" s="2" customFormat="1" ht="96.2" customHeight="1" outlineLevel="6">
      <c r="A1123" s="9">
        <v>851</v>
      </c>
      <c r="B1123" s="10" t="s">
        <v>3615</v>
      </c>
      <c r="C1123" s="65" t="s">
        <v>3616</v>
      </c>
      <c r="D1123" s="65"/>
      <c r="E1123" s="65"/>
      <c r="F1123" s="65"/>
      <c r="G1123" s="11" t="s">
        <v>3617</v>
      </c>
      <c r="H1123" s="14">
        <v>38</v>
      </c>
      <c r="I1123" s="15"/>
      <c r="J1123" s="9">
        <v>5</v>
      </c>
      <c r="K1123" s="16">
        <v>114.46</v>
      </c>
      <c r="L1123" s="17"/>
      <c r="M1123" s="15">
        <f>K1123*L1123</f>
        <v>0</v>
      </c>
      <c r="N1123" s="23">
        <f>0.02*L1123</f>
        <v>0</v>
      </c>
      <c r="O1123" s="19">
        <f>0.00004*L1123</f>
        <v>0</v>
      </c>
      <c r="P1123" s="24" t="s">
        <v>26</v>
      </c>
      <c r="Q1123" s="15" t="s">
        <v>3618</v>
      </c>
      <c r="R1123" s="15"/>
      <c r="S1123" s="10" t="str">
        <f>HYPERLINK("https://miland.ru/api/getInfo/image/5846b2af-2f55-11f1-a292-00155d82e908")</f>
        <v>https://miland.ru/api/getInfo/image/5846b2af-2f55-11f1-a292-00155d82e908</v>
      </c>
    </row>
    <row r="1124" spans="1:19" s="2" customFormat="1" ht="96.2" customHeight="1" outlineLevel="6">
      <c r="A1124" s="9">
        <v>852</v>
      </c>
      <c r="B1124" s="10" t="s">
        <v>3619</v>
      </c>
      <c r="C1124" s="65" t="s">
        <v>3620</v>
      </c>
      <c r="D1124" s="65"/>
      <c r="E1124" s="65"/>
      <c r="F1124" s="65"/>
      <c r="G1124" s="11" t="s">
        <v>3621</v>
      </c>
      <c r="H1124" s="14">
        <v>273</v>
      </c>
      <c r="I1124" s="15"/>
      <c r="J1124" s="9">
        <v>5</v>
      </c>
      <c r="K1124" s="16">
        <v>119.22</v>
      </c>
      <c r="L1124" s="17"/>
      <c r="M1124" s="15">
        <f>K1124*L1124</f>
        <v>0</v>
      </c>
      <c r="N1124" s="23">
        <f>0.02*L1124</f>
        <v>0</v>
      </c>
      <c r="O1124" s="19">
        <f>0.00017*L1124</f>
        <v>0</v>
      </c>
      <c r="P1124" s="24" t="s">
        <v>26</v>
      </c>
      <c r="Q1124" s="15" t="s">
        <v>3622</v>
      </c>
      <c r="R1124" s="15"/>
      <c r="S1124" s="10" t="str">
        <f>HYPERLINK("https://miland.ru/api/getInfo/image/36cb5cc6-2f55-11f1-a292-00155d82e908")</f>
        <v>https://miland.ru/api/getInfo/image/36cb5cc6-2f55-11f1-a292-00155d82e908</v>
      </c>
    </row>
    <row r="1125" spans="1:19" s="2" customFormat="1" ht="96.2" customHeight="1" outlineLevel="6">
      <c r="A1125" s="9">
        <v>853</v>
      </c>
      <c r="B1125" s="10" t="s">
        <v>3623</v>
      </c>
      <c r="C1125" s="65" t="s">
        <v>3624</v>
      </c>
      <c r="D1125" s="65"/>
      <c r="E1125" s="65"/>
      <c r="F1125" s="65"/>
      <c r="G1125" s="11" t="s">
        <v>3625</v>
      </c>
      <c r="H1125" s="14">
        <v>378</v>
      </c>
      <c r="I1125" s="15"/>
      <c r="J1125" s="9">
        <v>5</v>
      </c>
      <c r="K1125" s="16">
        <v>132.58000000000001</v>
      </c>
      <c r="L1125" s="17"/>
      <c r="M1125" s="15">
        <f>K1125*L1125</f>
        <v>0</v>
      </c>
      <c r="N1125" s="18">
        <f>0.023*L1125</f>
        <v>0</v>
      </c>
      <c r="O1125" s="19">
        <f>0.00036*L1125</f>
        <v>0</v>
      </c>
      <c r="P1125" s="24" t="s">
        <v>26</v>
      </c>
      <c r="Q1125" s="15" t="s">
        <v>3626</v>
      </c>
      <c r="R1125" s="15"/>
      <c r="S1125" s="10" t="str">
        <f>HYPERLINK("https://miland.ru/api/getInfo/image/9768dc73-2f55-11f1-a292-00155d82e908")</f>
        <v>https://miland.ru/api/getInfo/image/9768dc73-2f55-11f1-a292-00155d82e908</v>
      </c>
    </row>
    <row r="1126" spans="1:19" s="2" customFormat="1" ht="96.2" customHeight="1" outlineLevel="6">
      <c r="A1126" s="9">
        <v>854</v>
      </c>
      <c r="B1126" s="10" t="s">
        <v>3627</v>
      </c>
      <c r="C1126" s="65" t="s">
        <v>3628</v>
      </c>
      <c r="D1126" s="65"/>
      <c r="E1126" s="65"/>
      <c r="F1126" s="65"/>
      <c r="G1126" s="11" t="s">
        <v>3629</v>
      </c>
      <c r="H1126" s="14">
        <v>156</v>
      </c>
      <c r="I1126" s="15"/>
      <c r="J1126" s="9">
        <v>6</v>
      </c>
      <c r="K1126" s="16">
        <v>95.38</v>
      </c>
      <c r="L1126" s="17"/>
      <c r="M1126" s="15">
        <f>K1126*L1126</f>
        <v>0</v>
      </c>
      <c r="N1126" s="18">
        <f>0.015*L1126</f>
        <v>0</v>
      </c>
      <c r="O1126" s="20">
        <f>0.0001*L1126</f>
        <v>0</v>
      </c>
      <c r="P1126" s="24" t="s">
        <v>26</v>
      </c>
      <c r="Q1126" s="15" t="s">
        <v>3630</v>
      </c>
      <c r="R1126" s="15"/>
      <c r="S1126" s="10" t="str">
        <f>HYPERLINK("https://miland.ru/api/getInfo/image/747d5073-2f55-11f1-a292-00155d82e908")</f>
        <v>https://miland.ru/api/getInfo/image/747d5073-2f55-11f1-a292-00155d82e908</v>
      </c>
    </row>
    <row r="1127" spans="1:19" s="1" customFormat="1" ht="12" customHeight="1" outlineLevel="5">
      <c r="A1127" s="64" t="s">
        <v>3631</v>
      </c>
      <c r="B1127" s="64"/>
      <c r="C1127" s="64"/>
      <c r="D1127" s="64"/>
      <c r="E1127" s="64"/>
      <c r="F1127" s="64"/>
      <c r="G1127" s="8"/>
      <c r="H1127" s="12"/>
      <c r="I1127" s="2"/>
      <c r="J1127" s="2"/>
      <c r="K1127" s="13"/>
      <c r="L1127" s="2"/>
      <c r="M1127" s="2"/>
      <c r="N1127" s="2"/>
      <c r="O1127" s="2"/>
      <c r="P1127" s="2"/>
      <c r="Q1127" s="2"/>
      <c r="R1127" s="2"/>
      <c r="S1127" s="2"/>
    </row>
    <row r="1128" spans="1:19" s="2" customFormat="1" ht="96.2" customHeight="1" outlineLevel="6">
      <c r="A1128" s="9">
        <v>855</v>
      </c>
      <c r="B1128" s="10" t="s">
        <v>3632</v>
      </c>
      <c r="C1128" s="65" t="s">
        <v>3633</v>
      </c>
      <c r="D1128" s="65"/>
      <c r="E1128" s="65"/>
      <c r="F1128" s="65"/>
      <c r="G1128" s="11" t="s">
        <v>3634</v>
      </c>
      <c r="H1128" s="21" t="s">
        <v>44</v>
      </c>
      <c r="I1128" s="15"/>
      <c r="J1128" s="9">
        <v>1</v>
      </c>
      <c r="K1128" s="16">
        <v>593.70000000000005</v>
      </c>
      <c r="L1128" s="17"/>
      <c r="M1128" s="15">
        <f>K1128*L1128</f>
        <v>0</v>
      </c>
      <c r="N1128" s="18">
        <f>0.118*L1128</f>
        <v>0</v>
      </c>
      <c r="O1128" s="19">
        <f>0.00037*L1128</f>
        <v>0</v>
      </c>
      <c r="P1128" s="24" t="s">
        <v>26</v>
      </c>
      <c r="Q1128" s="15" t="s">
        <v>3635</v>
      </c>
      <c r="R1128" s="15"/>
      <c r="S1128" s="10" t="str">
        <f>HYPERLINK("https://miland.ru/api/getInfo/image/53b6bca7-3705-11f1-a293-00155d82e908")</f>
        <v>https://miland.ru/api/getInfo/image/53b6bca7-3705-11f1-a293-00155d82e908</v>
      </c>
    </row>
    <row r="1129" spans="1:19" s="2" customFormat="1" ht="96.2" customHeight="1" outlineLevel="6">
      <c r="A1129" s="9">
        <v>856</v>
      </c>
      <c r="B1129" s="10" t="s">
        <v>3636</v>
      </c>
      <c r="C1129" s="65" t="s">
        <v>3637</v>
      </c>
      <c r="D1129" s="65"/>
      <c r="E1129" s="65"/>
      <c r="F1129" s="65"/>
      <c r="G1129" s="11" t="s">
        <v>3638</v>
      </c>
      <c r="H1129" s="21" t="s">
        <v>44</v>
      </c>
      <c r="I1129" s="15"/>
      <c r="J1129" s="9">
        <v>1</v>
      </c>
      <c r="K1129" s="16">
        <v>593.70000000000005</v>
      </c>
      <c r="L1129" s="17"/>
      <c r="M1129" s="15">
        <f>K1129*L1129</f>
        <v>0</v>
      </c>
      <c r="N1129" s="18">
        <f>0.121*L1129</f>
        <v>0</v>
      </c>
      <c r="O1129" s="19">
        <f>0.00037*L1129</f>
        <v>0</v>
      </c>
      <c r="P1129" s="24" t="s">
        <v>26</v>
      </c>
      <c r="Q1129" s="15" t="s">
        <v>3639</v>
      </c>
      <c r="R1129" s="15"/>
      <c r="S1129" s="10" t="str">
        <f>HYPERLINK("https://miland.ru/api/getInfo/image/a8a60986-3704-11f1-a293-00155d82e908")</f>
        <v>https://miland.ru/api/getInfo/image/a8a60986-3704-11f1-a293-00155d82e908</v>
      </c>
    </row>
    <row r="1130" spans="1:19" s="2" customFormat="1" ht="96.2" customHeight="1" outlineLevel="6">
      <c r="A1130" s="9">
        <v>857</v>
      </c>
      <c r="B1130" s="10" t="s">
        <v>3640</v>
      </c>
      <c r="C1130" s="65" t="s">
        <v>3641</v>
      </c>
      <c r="D1130" s="65"/>
      <c r="E1130" s="65"/>
      <c r="F1130" s="65"/>
      <c r="G1130" s="11" t="s">
        <v>3642</v>
      </c>
      <c r="H1130" s="21" t="s">
        <v>44</v>
      </c>
      <c r="I1130" s="15"/>
      <c r="J1130" s="9">
        <v>1</v>
      </c>
      <c r="K1130" s="22">
        <v>1358.77</v>
      </c>
      <c r="L1130" s="17"/>
      <c r="M1130" s="15">
        <f>K1130*L1130</f>
        <v>0</v>
      </c>
      <c r="N1130" s="18">
        <f>0.228*L1130</f>
        <v>0</v>
      </c>
      <c r="O1130" s="19">
        <f>0.00063*L1130</f>
        <v>0</v>
      </c>
      <c r="P1130" s="24" t="s">
        <v>26</v>
      </c>
      <c r="Q1130" s="15" t="s">
        <v>3643</v>
      </c>
      <c r="R1130" s="15"/>
      <c r="S1130" s="10" t="str">
        <f>HYPERLINK("https://miland.ru/api/getInfo/image/9757c667-3705-11f1-a293-00155d82e908")</f>
        <v>https://miland.ru/api/getInfo/image/9757c667-3705-11f1-a293-00155d82e908</v>
      </c>
    </row>
    <row r="1131" spans="1:19" s="1" customFormat="1" ht="12" customHeight="1" outlineLevel="4">
      <c r="A1131" s="64" t="s">
        <v>3644</v>
      </c>
      <c r="B1131" s="64"/>
      <c r="C1131" s="64"/>
      <c r="D1131" s="64"/>
      <c r="E1131" s="64"/>
      <c r="F1131" s="64"/>
      <c r="G1131" s="8"/>
      <c r="H1131" s="12"/>
      <c r="I1131" s="2"/>
      <c r="J1131" s="2"/>
      <c r="K1131" s="13"/>
      <c r="L1131" s="2"/>
      <c r="M1131" s="2"/>
      <c r="N1131" s="2"/>
      <c r="O1131" s="2"/>
      <c r="P1131" s="2"/>
      <c r="Q1131" s="2"/>
      <c r="R1131" s="2"/>
      <c r="S1131" s="2"/>
    </row>
    <row r="1132" spans="1:19" s="1" customFormat="1" ht="12" customHeight="1" outlineLevel="5">
      <c r="A1132" s="64" t="s">
        <v>3645</v>
      </c>
      <c r="B1132" s="64"/>
      <c r="C1132" s="64"/>
      <c r="D1132" s="64"/>
      <c r="E1132" s="64"/>
      <c r="F1132" s="64"/>
      <c r="G1132" s="8"/>
      <c r="H1132" s="12"/>
      <c r="I1132" s="2"/>
      <c r="J1132" s="2"/>
      <c r="K1132" s="13"/>
      <c r="L1132" s="2"/>
      <c r="M1132" s="2"/>
      <c r="N1132" s="2"/>
      <c r="O1132" s="2"/>
      <c r="P1132" s="2"/>
      <c r="Q1132" s="2"/>
      <c r="R1132" s="2"/>
      <c r="S1132" s="2"/>
    </row>
    <row r="1133" spans="1:19" s="1" customFormat="1" ht="12" customHeight="1" outlineLevel="6">
      <c r="A1133" s="64" t="s">
        <v>3646</v>
      </c>
      <c r="B1133" s="64"/>
      <c r="C1133" s="64"/>
      <c r="D1133" s="64"/>
      <c r="E1133" s="64"/>
      <c r="F1133" s="64"/>
      <c r="G1133" s="8"/>
      <c r="H1133" s="12"/>
      <c r="I1133" s="2"/>
      <c r="J1133" s="2"/>
      <c r="K1133" s="13"/>
      <c r="L1133" s="2"/>
      <c r="M1133" s="2"/>
      <c r="N1133" s="2"/>
      <c r="O1133" s="2"/>
      <c r="P1133" s="2"/>
      <c r="Q1133" s="2"/>
      <c r="R1133" s="2"/>
      <c r="S1133" s="2"/>
    </row>
    <row r="1134" spans="1:19" s="1" customFormat="1" ht="12" customHeight="1" outlineLevel="7">
      <c r="A1134" s="64" t="s">
        <v>3647</v>
      </c>
      <c r="B1134" s="64"/>
      <c r="C1134" s="64"/>
      <c r="D1134" s="64"/>
      <c r="E1134" s="64"/>
      <c r="F1134" s="64"/>
      <c r="G1134" s="8"/>
      <c r="H1134" s="12"/>
      <c r="I1134" s="2"/>
      <c r="J1134" s="2"/>
      <c r="K1134" s="13"/>
      <c r="L1134" s="2"/>
      <c r="M1134" s="2"/>
      <c r="N1134" s="2"/>
      <c r="O1134" s="2"/>
      <c r="P1134" s="2"/>
      <c r="Q1134" s="2"/>
      <c r="R1134" s="2"/>
      <c r="S1134" s="2"/>
    </row>
    <row r="1135" spans="1:19" s="2" customFormat="1" ht="96.2" customHeight="1" outlineLevel="7">
      <c r="A1135" s="25">
        <v>858</v>
      </c>
      <c r="B1135" s="26" t="s">
        <v>3648</v>
      </c>
      <c r="C1135" s="66" t="s">
        <v>3649</v>
      </c>
      <c r="D1135" s="66"/>
      <c r="E1135" s="66"/>
      <c r="F1135" s="66"/>
      <c r="G1135" s="27" t="s">
        <v>3650</v>
      </c>
      <c r="H1135" s="33">
        <v>284</v>
      </c>
      <c r="I1135" s="29"/>
      <c r="J1135" s="25">
        <v>3</v>
      </c>
      <c r="K1135" s="30">
        <v>260.49</v>
      </c>
      <c r="L1135" s="17"/>
      <c r="M1135" s="29">
        <f>K1135*L1135</f>
        <v>0</v>
      </c>
      <c r="N1135" s="31">
        <f>0.035*L1135</f>
        <v>0</v>
      </c>
      <c r="O1135" s="32">
        <f>0.00058*L1135</f>
        <v>0</v>
      </c>
      <c r="P1135" s="36"/>
      <c r="Q1135" s="29" t="s">
        <v>3651</v>
      </c>
      <c r="R1135" s="29" t="s">
        <v>611</v>
      </c>
      <c r="S1135" s="26" t="str">
        <f>HYPERLINK("https://miland.ru/api/getInfo/image/d28a61b9-be89-11ee-a25a-00155d82e908")</f>
        <v>https://miland.ru/api/getInfo/image/d28a61b9-be89-11ee-a25a-00155d82e908</v>
      </c>
    </row>
    <row r="1136" spans="1:19" s="2" customFormat="1" ht="96.2" customHeight="1" outlineLevel="7">
      <c r="A1136" s="25">
        <v>859</v>
      </c>
      <c r="B1136" s="26" t="s">
        <v>3652</v>
      </c>
      <c r="C1136" s="66" t="s">
        <v>3653</v>
      </c>
      <c r="D1136" s="66"/>
      <c r="E1136" s="66"/>
      <c r="F1136" s="66"/>
      <c r="G1136" s="27" t="s">
        <v>3654</v>
      </c>
      <c r="H1136" s="33">
        <v>174</v>
      </c>
      <c r="I1136" s="29"/>
      <c r="J1136" s="25">
        <v>3</v>
      </c>
      <c r="K1136" s="30">
        <v>260.49</v>
      </c>
      <c r="L1136" s="17"/>
      <c r="M1136" s="29">
        <f>K1136*L1136</f>
        <v>0</v>
      </c>
      <c r="N1136" s="31">
        <f>0.035*L1136</f>
        <v>0</v>
      </c>
      <c r="O1136" s="32">
        <f>0.00058*L1136</f>
        <v>0</v>
      </c>
      <c r="P1136" s="36"/>
      <c r="Q1136" s="29" t="s">
        <v>3655</v>
      </c>
      <c r="R1136" s="29" t="s">
        <v>611</v>
      </c>
      <c r="S1136" s="26" t="str">
        <f>HYPERLINK("https://miland.ru/api/getInfo/image/6c54ceee-be8a-11ee-a25a-00155d82e908")</f>
        <v>https://miland.ru/api/getInfo/image/6c54ceee-be8a-11ee-a25a-00155d82e908</v>
      </c>
    </row>
    <row r="1137" spans="1:19" s="2" customFormat="1" ht="96.2" customHeight="1" outlineLevel="7">
      <c r="A1137" s="25">
        <v>860</v>
      </c>
      <c r="B1137" s="26" t="s">
        <v>3656</v>
      </c>
      <c r="C1137" s="66" t="s">
        <v>3657</v>
      </c>
      <c r="D1137" s="66"/>
      <c r="E1137" s="66"/>
      <c r="F1137" s="66"/>
      <c r="G1137" s="27" t="s">
        <v>3658</v>
      </c>
      <c r="H1137" s="33">
        <v>154</v>
      </c>
      <c r="I1137" s="29"/>
      <c r="J1137" s="25">
        <v>2</v>
      </c>
      <c r="K1137" s="30">
        <v>310.77</v>
      </c>
      <c r="L1137" s="17"/>
      <c r="M1137" s="29">
        <f>K1137*L1137</f>
        <v>0</v>
      </c>
      <c r="N1137" s="31">
        <f>0.035*L1137</f>
        <v>0</v>
      </c>
      <c r="O1137" s="32">
        <f>0.00058*L1137</f>
        <v>0</v>
      </c>
      <c r="P1137" s="36"/>
      <c r="Q1137" s="29" t="s">
        <v>3659</v>
      </c>
      <c r="R1137" s="29" t="s">
        <v>611</v>
      </c>
      <c r="S1137" s="26" t="str">
        <f>HYPERLINK("https://miland.ru/api/getInfo/image/55d5edce-be89-11ee-a25a-00155d82e908")</f>
        <v>https://miland.ru/api/getInfo/image/55d5edce-be89-11ee-a25a-00155d82e908</v>
      </c>
    </row>
    <row r="1138" spans="1:19" s="2" customFormat="1" ht="96.2" customHeight="1" outlineLevel="7">
      <c r="A1138" s="25">
        <v>861</v>
      </c>
      <c r="B1138" s="26" t="s">
        <v>3660</v>
      </c>
      <c r="C1138" s="66" t="s">
        <v>3661</v>
      </c>
      <c r="D1138" s="66"/>
      <c r="E1138" s="66"/>
      <c r="F1138" s="66"/>
      <c r="G1138" s="27" t="s">
        <v>3662</v>
      </c>
      <c r="H1138" s="33">
        <v>164</v>
      </c>
      <c r="I1138" s="29"/>
      <c r="J1138" s="25">
        <v>3</v>
      </c>
      <c r="K1138" s="30">
        <v>260.49</v>
      </c>
      <c r="L1138" s="17"/>
      <c r="M1138" s="29">
        <f>K1138*L1138</f>
        <v>0</v>
      </c>
      <c r="N1138" s="31">
        <f>0.035*L1138</f>
        <v>0</v>
      </c>
      <c r="O1138" s="32">
        <f>0.00058*L1138</f>
        <v>0</v>
      </c>
      <c r="P1138" s="36"/>
      <c r="Q1138" s="29" t="s">
        <v>3663</v>
      </c>
      <c r="R1138" s="29" t="s">
        <v>611</v>
      </c>
      <c r="S1138" s="26" t="str">
        <f>HYPERLINK("https://miland.ru/api/getInfo/image/b7b0bb08-be89-11ee-a25a-00155d82e908")</f>
        <v>https://miland.ru/api/getInfo/image/b7b0bb08-be89-11ee-a25a-00155d82e908</v>
      </c>
    </row>
    <row r="1139" spans="1:19" s="2" customFormat="1" ht="96.2" customHeight="1" outlineLevel="7">
      <c r="A1139" s="25">
        <v>862</v>
      </c>
      <c r="B1139" s="26" t="s">
        <v>3664</v>
      </c>
      <c r="C1139" s="66" t="s">
        <v>3665</v>
      </c>
      <c r="D1139" s="66"/>
      <c r="E1139" s="66"/>
      <c r="F1139" s="66"/>
      <c r="G1139" s="27" t="s">
        <v>3666</v>
      </c>
      <c r="H1139" s="33">
        <v>13</v>
      </c>
      <c r="I1139" s="29"/>
      <c r="J1139" s="25">
        <v>1</v>
      </c>
      <c r="K1139" s="37">
        <v>1212.02</v>
      </c>
      <c r="L1139" s="17"/>
      <c r="M1139" s="29">
        <f>K1139*L1139</f>
        <v>0</v>
      </c>
      <c r="N1139" s="31">
        <f>0.224*L1139</f>
        <v>0</v>
      </c>
      <c r="O1139" s="32">
        <f>0.00383*L1139</f>
        <v>0</v>
      </c>
      <c r="P1139" s="36"/>
      <c r="Q1139" s="29" t="s">
        <v>3667</v>
      </c>
      <c r="R1139" s="29" t="s">
        <v>611</v>
      </c>
      <c r="S1139" s="26" t="str">
        <f>HYPERLINK("https://miland.ru/api/getInfo/image/091a4e25-95cf-11ef-a267-00155d82e908")</f>
        <v>https://miland.ru/api/getInfo/image/091a4e25-95cf-11ef-a267-00155d82e908</v>
      </c>
    </row>
    <row r="1140" spans="1:19" s="1" customFormat="1" ht="12" customHeight="1" outlineLevel="7">
      <c r="A1140" s="64" t="s">
        <v>3668</v>
      </c>
      <c r="B1140" s="64"/>
      <c r="C1140" s="64"/>
      <c r="D1140" s="64"/>
      <c r="E1140" s="64"/>
      <c r="F1140" s="64"/>
      <c r="G1140" s="8"/>
      <c r="H1140" s="12"/>
      <c r="I1140" s="2"/>
      <c r="J1140" s="2"/>
      <c r="K1140" s="13"/>
      <c r="L1140" s="2"/>
      <c r="M1140" s="2"/>
      <c r="N1140" s="2"/>
      <c r="O1140" s="2"/>
      <c r="P1140" s="2"/>
      <c r="Q1140" s="2"/>
      <c r="R1140" s="2"/>
      <c r="S1140" s="2"/>
    </row>
    <row r="1141" spans="1:19" s="2" customFormat="1" ht="96.2" customHeight="1" outlineLevel="7">
      <c r="A1141" s="25">
        <v>863</v>
      </c>
      <c r="B1141" s="26" t="s">
        <v>3669</v>
      </c>
      <c r="C1141" s="66" t="s">
        <v>3670</v>
      </c>
      <c r="D1141" s="66"/>
      <c r="E1141" s="66"/>
      <c r="F1141" s="66"/>
      <c r="G1141" s="27" t="s">
        <v>3671</v>
      </c>
      <c r="H1141" s="33">
        <v>477</v>
      </c>
      <c r="I1141" s="29"/>
      <c r="J1141" s="25">
        <v>2</v>
      </c>
      <c r="K1141" s="30">
        <v>336.48</v>
      </c>
      <c r="L1141" s="17"/>
      <c r="M1141" s="29">
        <f>K1141*L1141</f>
        <v>0</v>
      </c>
      <c r="N1141" s="31">
        <f>0.034*L1141</f>
        <v>0</v>
      </c>
      <c r="O1141" s="32">
        <f>0.00058*L1141</f>
        <v>0</v>
      </c>
      <c r="P1141" s="36"/>
      <c r="Q1141" s="29" t="s">
        <v>3672</v>
      </c>
      <c r="R1141" s="29" t="s">
        <v>611</v>
      </c>
      <c r="S1141" s="26" t="str">
        <f>HYPERLINK("https://miland.ru/api/getInfo/image/f5f829e4-be86-11ee-a25a-00155d82e908")</f>
        <v>https://miland.ru/api/getInfo/image/f5f829e4-be86-11ee-a25a-00155d82e908</v>
      </c>
    </row>
    <row r="1142" spans="1:19" s="2" customFormat="1" ht="96.2" customHeight="1" outlineLevel="7">
      <c r="A1142" s="25">
        <v>864</v>
      </c>
      <c r="B1142" s="26" t="s">
        <v>3673</v>
      </c>
      <c r="C1142" s="66" t="s">
        <v>3674</v>
      </c>
      <c r="D1142" s="66"/>
      <c r="E1142" s="66"/>
      <c r="F1142" s="66"/>
      <c r="G1142" s="27" t="s">
        <v>3675</v>
      </c>
      <c r="H1142" s="33">
        <v>482</v>
      </c>
      <c r="I1142" s="29"/>
      <c r="J1142" s="25">
        <v>2</v>
      </c>
      <c r="K1142" s="30">
        <v>336.48</v>
      </c>
      <c r="L1142" s="17"/>
      <c r="M1142" s="29">
        <f>K1142*L1142</f>
        <v>0</v>
      </c>
      <c r="N1142" s="31">
        <f>0.034*L1142</f>
        <v>0</v>
      </c>
      <c r="O1142" s="32">
        <f>0.00059*L1142</f>
        <v>0</v>
      </c>
      <c r="P1142" s="36"/>
      <c r="Q1142" s="29" t="s">
        <v>3676</v>
      </c>
      <c r="R1142" s="29" t="s">
        <v>611</v>
      </c>
      <c r="S1142" s="26" t="str">
        <f>HYPERLINK("https://miland.ru/api/getInfo/image/daa2888d-be86-11ee-a25a-00155d82e908")</f>
        <v>https://miland.ru/api/getInfo/image/daa2888d-be86-11ee-a25a-00155d82e908</v>
      </c>
    </row>
    <row r="1143" spans="1:19" s="2" customFormat="1" ht="96.2" customHeight="1" outlineLevel="7">
      <c r="A1143" s="25">
        <v>865</v>
      </c>
      <c r="B1143" s="26" t="s">
        <v>3677</v>
      </c>
      <c r="C1143" s="66" t="s">
        <v>3678</v>
      </c>
      <c r="D1143" s="66"/>
      <c r="E1143" s="66"/>
      <c r="F1143" s="66"/>
      <c r="G1143" s="27" t="s">
        <v>3679</v>
      </c>
      <c r="H1143" s="28" t="s">
        <v>44</v>
      </c>
      <c r="I1143" s="29"/>
      <c r="J1143" s="25">
        <v>2</v>
      </c>
      <c r="K1143" s="30">
        <v>336.48</v>
      </c>
      <c r="L1143" s="17"/>
      <c r="M1143" s="29">
        <f>K1143*L1143</f>
        <v>0</v>
      </c>
      <c r="N1143" s="31">
        <f>0.035*L1143</f>
        <v>0</v>
      </c>
      <c r="O1143" s="32">
        <f>0.00059*L1143</f>
        <v>0</v>
      </c>
      <c r="P1143" s="36"/>
      <c r="Q1143" s="29" t="s">
        <v>3680</v>
      </c>
      <c r="R1143" s="29" t="s">
        <v>611</v>
      </c>
      <c r="S1143" s="26" t="str">
        <f>HYPERLINK("https://miland.ru/api/getInfo/image/3283daf3-be87-11ee-a25a-00155d82e908")</f>
        <v>https://miland.ru/api/getInfo/image/3283daf3-be87-11ee-a25a-00155d82e908</v>
      </c>
    </row>
    <row r="1144" spans="1:19" s="2" customFormat="1" ht="96.2" customHeight="1" outlineLevel="7">
      <c r="A1144" s="25">
        <v>866</v>
      </c>
      <c r="B1144" s="26" t="s">
        <v>3681</v>
      </c>
      <c r="C1144" s="66" t="s">
        <v>3682</v>
      </c>
      <c r="D1144" s="66"/>
      <c r="E1144" s="66"/>
      <c r="F1144" s="66"/>
      <c r="G1144" s="27" t="s">
        <v>3683</v>
      </c>
      <c r="H1144" s="33">
        <v>430</v>
      </c>
      <c r="I1144" s="29"/>
      <c r="J1144" s="25">
        <v>2</v>
      </c>
      <c r="K1144" s="30">
        <v>336.48</v>
      </c>
      <c r="L1144" s="17"/>
      <c r="M1144" s="29">
        <f>K1144*L1144</f>
        <v>0</v>
      </c>
      <c r="N1144" s="31">
        <f>0.036*L1144</f>
        <v>0</v>
      </c>
      <c r="O1144" s="32">
        <f>0.00059*L1144</f>
        <v>0</v>
      </c>
      <c r="P1144" s="36"/>
      <c r="Q1144" s="29" t="s">
        <v>3684</v>
      </c>
      <c r="R1144" s="29" t="s">
        <v>611</v>
      </c>
      <c r="S1144" s="26" t="str">
        <f>HYPERLINK("https://miland.ru/api/getInfo/image/129932a7-be87-11ee-a25a-00155d82e908")</f>
        <v>https://miland.ru/api/getInfo/image/129932a7-be87-11ee-a25a-00155d82e908</v>
      </c>
    </row>
    <row r="1145" spans="1:19" s="1" customFormat="1" ht="12" customHeight="1" outlineLevel="7">
      <c r="A1145" s="64" t="s">
        <v>3685</v>
      </c>
      <c r="B1145" s="64"/>
      <c r="C1145" s="64"/>
      <c r="D1145" s="64"/>
      <c r="E1145" s="64"/>
      <c r="F1145" s="64"/>
      <c r="G1145" s="8"/>
      <c r="H1145" s="12"/>
      <c r="I1145" s="2"/>
      <c r="J1145" s="2"/>
      <c r="K1145" s="13"/>
      <c r="L1145" s="2"/>
      <c r="M1145" s="2"/>
      <c r="N1145" s="2"/>
      <c r="O1145" s="2"/>
      <c r="P1145" s="2"/>
      <c r="Q1145" s="2"/>
      <c r="R1145" s="2"/>
      <c r="S1145" s="2"/>
    </row>
    <row r="1146" spans="1:19" s="2" customFormat="1" ht="96.2" customHeight="1" outlineLevel="7">
      <c r="A1146" s="25">
        <v>867</v>
      </c>
      <c r="B1146" s="26" t="s">
        <v>3686</v>
      </c>
      <c r="C1146" s="66" t="s">
        <v>3687</v>
      </c>
      <c r="D1146" s="66"/>
      <c r="E1146" s="66"/>
      <c r="F1146" s="66"/>
      <c r="G1146" s="27" t="s">
        <v>3688</v>
      </c>
      <c r="H1146" s="33">
        <v>81</v>
      </c>
      <c r="I1146" s="29"/>
      <c r="J1146" s="25">
        <v>2</v>
      </c>
      <c r="K1146" s="30">
        <v>336.48</v>
      </c>
      <c r="L1146" s="17"/>
      <c r="M1146" s="29">
        <f>K1146*L1146</f>
        <v>0</v>
      </c>
      <c r="N1146" s="31">
        <f>0.035*L1146</f>
        <v>0</v>
      </c>
      <c r="O1146" s="32">
        <f>0.00057*L1146</f>
        <v>0</v>
      </c>
      <c r="P1146" s="36"/>
      <c r="Q1146" s="29" t="s">
        <v>3689</v>
      </c>
      <c r="R1146" s="29" t="s">
        <v>611</v>
      </c>
      <c r="S1146" s="26" t="str">
        <f>HYPERLINK("https://miland.ru/api/getInfo/image/3a22c066-be88-11ee-a25a-00155d82e908")</f>
        <v>https://miland.ru/api/getInfo/image/3a22c066-be88-11ee-a25a-00155d82e908</v>
      </c>
    </row>
    <row r="1147" spans="1:19" s="2" customFormat="1" ht="96.2" customHeight="1" outlineLevel="7">
      <c r="A1147" s="25">
        <v>868</v>
      </c>
      <c r="B1147" s="26" t="s">
        <v>3690</v>
      </c>
      <c r="C1147" s="66" t="s">
        <v>3691</v>
      </c>
      <c r="D1147" s="66"/>
      <c r="E1147" s="66"/>
      <c r="F1147" s="66"/>
      <c r="G1147" s="27" t="s">
        <v>3692</v>
      </c>
      <c r="H1147" s="33">
        <v>79</v>
      </c>
      <c r="I1147" s="29"/>
      <c r="J1147" s="25">
        <v>2</v>
      </c>
      <c r="K1147" s="30">
        <v>336.48</v>
      </c>
      <c r="L1147" s="17"/>
      <c r="M1147" s="29">
        <f>K1147*L1147</f>
        <v>0</v>
      </c>
      <c r="N1147" s="31">
        <f>0.033*L1147</f>
        <v>0</v>
      </c>
      <c r="O1147" s="32">
        <f>0.00059*L1147</f>
        <v>0</v>
      </c>
      <c r="P1147" s="36"/>
      <c r="Q1147" s="29" t="s">
        <v>3693</v>
      </c>
      <c r="R1147" s="29" t="s">
        <v>611</v>
      </c>
      <c r="S1147" s="26" t="str">
        <f>HYPERLINK("https://miland.ru/api/getInfo/image/580f1599-be88-11ee-a25a-00155d82e908")</f>
        <v>https://miland.ru/api/getInfo/image/580f1599-be88-11ee-a25a-00155d82e908</v>
      </c>
    </row>
    <row r="1148" spans="1:19" s="2" customFormat="1" ht="96.2" customHeight="1" outlineLevel="7">
      <c r="A1148" s="25">
        <v>869</v>
      </c>
      <c r="B1148" s="26" t="s">
        <v>3694</v>
      </c>
      <c r="C1148" s="66" t="s">
        <v>3695</v>
      </c>
      <c r="D1148" s="66"/>
      <c r="E1148" s="66"/>
      <c r="F1148" s="66"/>
      <c r="G1148" s="27" t="s">
        <v>3696</v>
      </c>
      <c r="H1148" s="33">
        <v>155</v>
      </c>
      <c r="I1148" s="29"/>
      <c r="J1148" s="25">
        <v>2</v>
      </c>
      <c r="K1148" s="30">
        <v>336.48</v>
      </c>
      <c r="L1148" s="17"/>
      <c r="M1148" s="29">
        <f>K1148*L1148</f>
        <v>0</v>
      </c>
      <c r="N1148" s="31">
        <f>0.034*L1148</f>
        <v>0</v>
      </c>
      <c r="O1148" s="32">
        <f>0.00057*L1148</f>
        <v>0</v>
      </c>
      <c r="P1148" s="36"/>
      <c r="Q1148" s="29" t="s">
        <v>3697</v>
      </c>
      <c r="R1148" s="29" t="s">
        <v>611</v>
      </c>
      <c r="S1148" s="26" t="str">
        <f>HYPERLINK("https://miland.ru/api/getInfo/image/7b5fdbc4-be88-11ee-a25a-00155d82e908")</f>
        <v>https://miland.ru/api/getInfo/image/7b5fdbc4-be88-11ee-a25a-00155d82e908</v>
      </c>
    </row>
    <row r="1149" spans="1:19" s="2" customFormat="1" ht="96.2" customHeight="1" outlineLevel="7">
      <c r="A1149" s="25">
        <v>870</v>
      </c>
      <c r="B1149" s="26" t="s">
        <v>3698</v>
      </c>
      <c r="C1149" s="66" t="s">
        <v>3699</v>
      </c>
      <c r="D1149" s="66"/>
      <c r="E1149" s="66"/>
      <c r="F1149" s="66"/>
      <c r="G1149" s="27" t="s">
        <v>3700</v>
      </c>
      <c r="H1149" s="33">
        <v>123</v>
      </c>
      <c r="I1149" s="29"/>
      <c r="J1149" s="25">
        <v>2</v>
      </c>
      <c r="K1149" s="30">
        <v>336.48</v>
      </c>
      <c r="L1149" s="17"/>
      <c r="M1149" s="29">
        <f>K1149*L1149</f>
        <v>0</v>
      </c>
      <c r="N1149" s="31">
        <f>0.039*L1149</f>
        <v>0</v>
      </c>
      <c r="O1149" s="32">
        <f>0.00059*L1149</f>
        <v>0</v>
      </c>
      <c r="P1149" s="36"/>
      <c r="Q1149" s="29" t="s">
        <v>3701</v>
      </c>
      <c r="R1149" s="29" t="s">
        <v>611</v>
      </c>
      <c r="S1149" s="26" t="str">
        <f>HYPERLINK("https://miland.ru/api/getInfo/image/1894a5c9-be88-11ee-a25a-00155d82e908")</f>
        <v>https://miland.ru/api/getInfo/image/1894a5c9-be88-11ee-a25a-00155d82e908</v>
      </c>
    </row>
    <row r="1150" spans="1:19" s="1" customFormat="1" ht="12" customHeight="1" outlineLevel="7">
      <c r="A1150" s="64" t="s">
        <v>3702</v>
      </c>
      <c r="B1150" s="64"/>
      <c r="C1150" s="64"/>
      <c r="D1150" s="64"/>
      <c r="E1150" s="64"/>
      <c r="F1150" s="64"/>
      <c r="G1150" s="8"/>
      <c r="H1150" s="12"/>
      <c r="I1150" s="2"/>
      <c r="J1150" s="2"/>
      <c r="K1150" s="13"/>
      <c r="L1150" s="2"/>
      <c r="M1150" s="2"/>
      <c r="N1150" s="2"/>
      <c r="O1150" s="2"/>
      <c r="P1150" s="2"/>
      <c r="Q1150" s="2"/>
      <c r="R1150" s="2"/>
      <c r="S1150" s="2"/>
    </row>
    <row r="1151" spans="1:19" s="2" customFormat="1" ht="96.2" customHeight="1" outlineLevel="7">
      <c r="A1151" s="25">
        <v>871</v>
      </c>
      <c r="B1151" s="26" t="s">
        <v>3703</v>
      </c>
      <c r="C1151" s="66" t="s">
        <v>3704</v>
      </c>
      <c r="D1151" s="66"/>
      <c r="E1151" s="66"/>
      <c r="F1151" s="66"/>
      <c r="G1151" s="27" t="s">
        <v>3705</v>
      </c>
      <c r="H1151" s="33">
        <v>19</v>
      </c>
      <c r="I1151" s="29"/>
      <c r="J1151" s="25">
        <v>3</v>
      </c>
      <c r="K1151" s="30">
        <v>229.49</v>
      </c>
      <c r="L1151" s="17"/>
      <c r="M1151" s="29">
        <f>K1151*L1151</f>
        <v>0</v>
      </c>
      <c r="N1151" s="31">
        <f>0.031*L1151</f>
        <v>0</v>
      </c>
      <c r="O1151" s="32">
        <f>0.00059*L1151</f>
        <v>0</v>
      </c>
      <c r="P1151" s="36"/>
      <c r="Q1151" s="29" t="s">
        <v>3706</v>
      </c>
      <c r="R1151" s="29" t="s">
        <v>611</v>
      </c>
      <c r="S1151" s="26" t="str">
        <f>HYPERLINK("https://miland.ru/api/getInfo/image/9849576c-be85-11ee-a25a-00155d82e908")</f>
        <v>https://miland.ru/api/getInfo/image/9849576c-be85-11ee-a25a-00155d82e908</v>
      </c>
    </row>
    <row r="1152" spans="1:19" s="2" customFormat="1" ht="96.2" customHeight="1" outlineLevel="7">
      <c r="A1152" s="25">
        <v>872</v>
      </c>
      <c r="B1152" s="26" t="s">
        <v>3707</v>
      </c>
      <c r="C1152" s="66" t="s">
        <v>3708</v>
      </c>
      <c r="D1152" s="66"/>
      <c r="E1152" s="66"/>
      <c r="F1152" s="66"/>
      <c r="G1152" s="27" t="s">
        <v>3709</v>
      </c>
      <c r="H1152" s="33">
        <v>9</v>
      </c>
      <c r="I1152" s="29"/>
      <c r="J1152" s="25">
        <v>3</v>
      </c>
      <c r="K1152" s="30">
        <v>229.49</v>
      </c>
      <c r="L1152" s="17"/>
      <c r="M1152" s="29">
        <f>K1152*L1152</f>
        <v>0</v>
      </c>
      <c r="N1152" s="31">
        <f>0.033*L1152</f>
        <v>0</v>
      </c>
      <c r="O1152" s="32">
        <f>0.00059*L1152</f>
        <v>0</v>
      </c>
      <c r="P1152" s="36"/>
      <c r="Q1152" s="29" t="s">
        <v>3710</v>
      </c>
      <c r="R1152" s="29" t="s">
        <v>611</v>
      </c>
      <c r="S1152" s="26" t="str">
        <f>HYPERLINK("https://miland.ru/api/getInfo/image/7a6b4eb6-be85-11ee-a25a-00155d82e908")</f>
        <v>https://miland.ru/api/getInfo/image/7a6b4eb6-be85-11ee-a25a-00155d82e908</v>
      </c>
    </row>
    <row r="1153" spans="1:19" s="2" customFormat="1" ht="96.2" customHeight="1" outlineLevel="7">
      <c r="A1153" s="25">
        <v>873</v>
      </c>
      <c r="B1153" s="26" t="s">
        <v>3711</v>
      </c>
      <c r="C1153" s="66" t="s">
        <v>3712</v>
      </c>
      <c r="D1153" s="66"/>
      <c r="E1153" s="66"/>
      <c r="F1153" s="66"/>
      <c r="G1153" s="27" t="s">
        <v>3713</v>
      </c>
      <c r="H1153" s="33">
        <v>15</v>
      </c>
      <c r="I1153" s="29"/>
      <c r="J1153" s="25">
        <v>3</v>
      </c>
      <c r="K1153" s="30">
        <v>241.84</v>
      </c>
      <c r="L1153" s="17"/>
      <c r="M1153" s="29">
        <f>K1153*L1153</f>
        <v>0</v>
      </c>
      <c r="N1153" s="31">
        <f>0.034*L1153</f>
        <v>0</v>
      </c>
      <c r="O1153" s="32">
        <f>0.00059*L1153</f>
        <v>0</v>
      </c>
      <c r="P1153" s="36"/>
      <c r="Q1153" s="29" t="s">
        <v>3714</v>
      </c>
      <c r="R1153" s="29" t="s">
        <v>611</v>
      </c>
      <c r="S1153" s="26" t="str">
        <f>HYPERLINK("https://miland.ru/api/getInfo/image/554e3494-be85-11ee-a25a-00155d82e908")</f>
        <v>https://miland.ru/api/getInfo/image/554e3494-be85-11ee-a25a-00155d82e908</v>
      </c>
    </row>
    <row r="1154" spans="1:19" s="2" customFormat="1" ht="96.2" customHeight="1" outlineLevel="7">
      <c r="A1154" s="25">
        <v>874</v>
      </c>
      <c r="B1154" s="26" t="s">
        <v>3715</v>
      </c>
      <c r="C1154" s="66" t="s">
        <v>3716</v>
      </c>
      <c r="D1154" s="66"/>
      <c r="E1154" s="66"/>
      <c r="F1154" s="66"/>
      <c r="G1154" s="27" t="s">
        <v>3717</v>
      </c>
      <c r="H1154" s="33">
        <v>129</v>
      </c>
      <c r="I1154" s="29"/>
      <c r="J1154" s="25">
        <v>3</v>
      </c>
      <c r="K1154" s="30">
        <v>234.79</v>
      </c>
      <c r="L1154" s="17"/>
      <c r="M1154" s="29">
        <f>K1154*L1154</f>
        <v>0</v>
      </c>
      <c r="N1154" s="31">
        <f>0.035*L1154</f>
        <v>0</v>
      </c>
      <c r="O1154" s="32">
        <f>0.00058*L1154</f>
        <v>0</v>
      </c>
      <c r="P1154" s="36"/>
      <c r="Q1154" s="29" t="s">
        <v>3718</v>
      </c>
      <c r="R1154" s="29" t="s">
        <v>611</v>
      </c>
      <c r="S1154" s="26" t="str">
        <f>HYPERLINK("https://miland.ru/api/getInfo/image/be94ee98-be85-11ee-a25a-00155d82e908")</f>
        <v>https://miland.ru/api/getInfo/image/be94ee98-be85-11ee-a25a-00155d82e908</v>
      </c>
    </row>
    <row r="1155" spans="1:19" s="2" customFormat="1" ht="96.2" customHeight="1" outlineLevel="7">
      <c r="A1155" s="25">
        <v>875</v>
      </c>
      <c r="B1155" s="26" t="s">
        <v>3719</v>
      </c>
      <c r="C1155" s="66" t="s">
        <v>3720</v>
      </c>
      <c r="D1155" s="66"/>
      <c r="E1155" s="66"/>
      <c r="F1155" s="66"/>
      <c r="G1155" s="27" t="s">
        <v>3721</v>
      </c>
      <c r="H1155" s="33">
        <v>71</v>
      </c>
      <c r="I1155" s="29"/>
      <c r="J1155" s="25">
        <v>1</v>
      </c>
      <c r="K1155" s="37">
        <v>1055.3599999999999</v>
      </c>
      <c r="L1155" s="17"/>
      <c r="M1155" s="29">
        <f>K1155*L1155</f>
        <v>0</v>
      </c>
      <c r="N1155" s="34">
        <f>0.22*L1155</f>
        <v>0</v>
      </c>
      <c r="O1155" s="32">
        <f>0.00476*L1155</f>
        <v>0</v>
      </c>
      <c r="P1155" s="36"/>
      <c r="Q1155" s="29" t="s">
        <v>3722</v>
      </c>
      <c r="R1155" s="29" t="s">
        <v>611</v>
      </c>
      <c r="S1155" s="26" t="str">
        <f>HYPERLINK("https://miland.ru/api/getInfo/image/2efd2553-95ce-11ef-a267-00155d82e908")</f>
        <v>https://miland.ru/api/getInfo/image/2efd2553-95ce-11ef-a267-00155d82e908</v>
      </c>
    </row>
    <row r="1156" spans="1:19" s="1" customFormat="1" ht="12" customHeight="1" outlineLevel="7">
      <c r="A1156" s="64" t="s">
        <v>3723</v>
      </c>
      <c r="B1156" s="64"/>
      <c r="C1156" s="64"/>
      <c r="D1156" s="64"/>
      <c r="E1156" s="64"/>
      <c r="F1156" s="64"/>
      <c r="G1156" s="8"/>
      <c r="H1156" s="12"/>
      <c r="I1156" s="2"/>
      <c r="J1156" s="2"/>
      <c r="K1156" s="13"/>
      <c r="L1156" s="2"/>
      <c r="M1156" s="2"/>
      <c r="N1156" s="2"/>
      <c r="O1156" s="2"/>
      <c r="P1156" s="2"/>
      <c r="Q1156" s="2"/>
      <c r="R1156" s="2"/>
      <c r="S1156" s="2"/>
    </row>
    <row r="1157" spans="1:19" s="2" customFormat="1" ht="96.2" customHeight="1" outlineLevel="7">
      <c r="A1157" s="25">
        <v>876</v>
      </c>
      <c r="B1157" s="26" t="s">
        <v>3724</v>
      </c>
      <c r="C1157" s="66" t="s">
        <v>3725</v>
      </c>
      <c r="D1157" s="66"/>
      <c r="E1157" s="66"/>
      <c r="F1157" s="66"/>
      <c r="G1157" s="27" t="s">
        <v>3726</v>
      </c>
      <c r="H1157" s="33">
        <v>87</v>
      </c>
      <c r="I1157" s="29"/>
      <c r="J1157" s="25">
        <v>3</v>
      </c>
      <c r="K1157" s="30">
        <v>260.49</v>
      </c>
      <c r="L1157" s="17"/>
      <c r="M1157" s="29">
        <f>K1157*L1157</f>
        <v>0</v>
      </c>
      <c r="N1157" s="31">
        <f>0.034*L1157</f>
        <v>0</v>
      </c>
      <c r="O1157" s="32">
        <f>0.00059*L1157</f>
        <v>0</v>
      </c>
      <c r="P1157" s="36"/>
      <c r="Q1157" s="29" t="s">
        <v>3727</v>
      </c>
      <c r="R1157" s="29" t="s">
        <v>611</v>
      </c>
      <c r="S1157" s="26" t="str">
        <f>HYPERLINK("https://miland.ru/api/getInfo/image/7176ab84-be87-11ee-a25a-00155d82e908")</f>
        <v>https://miland.ru/api/getInfo/image/7176ab84-be87-11ee-a25a-00155d82e908</v>
      </c>
    </row>
    <row r="1158" spans="1:19" s="2" customFormat="1" ht="96.2" customHeight="1" outlineLevel="7">
      <c r="A1158" s="25">
        <v>877</v>
      </c>
      <c r="B1158" s="26" t="s">
        <v>3728</v>
      </c>
      <c r="C1158" s="66" t="s">
        <v>3729</v>
      </c>
      <c r="D1158" s="66"/>
      <c r="E1158" s="66"/>
      <c r="F1158" s="66"/>
      <c r="G1158" s="27" t="s">
        <v>3730</v>
      </c>
      <c r="H1158" s="33">
        <v>54</v>
      </c>
      <c r="I1158" s="29"/>
      <c r="J1158" s="25">
        <v>2</v>
      </c>
      <c r="K1158" s="30">
        <v>336.48</v>
      </c>
      <c r="L1158" s="17"/>
      <c r="M1158" s="29">
        <f>K1158*L1158</f>
        <v>0</v>
      </c>
      <c r="N1158" s="31">
        <f>0.037*L1158</f>
        <v>0</v>
      </c>
      <c r="O1158" s="32">
        <f>0.00063*L1158</f>
        <v>0</v>
      </c>
      <c r="P1158" s="36"/>
      <c r="Q1158" s="29" t="s">
        <v>3731</v>
      </c>
      <c r="R1158" s="29" t="s">
        <v>611</v>
      </c>
      <c r="S1158" s="26" t="str">
        <f>HYPERLINK("https://miland.ru/api/getInfo/image/bc9a7acb-be87-11ee-a25a-00155d82e908")</f>
        <v>https://miland.ru/api/getInfo/image/bc9a7acb-be87-11ee-a25a-00155d82e908</v>
      </c>
    </row>
    <row r="1159" spans="1:19" s="2" customFormat="1" ht="96.2" customHeight="1" outlineLevel="7">
      <c r="A1159" s="25">
        <v>878</v>
      </c>
      <c r="B1159" s="26" t="s">
        <v>3732</v>
      </c>
      <c r="C1159" s="66" t="s">
        <v>3733</v>
      </c>
      <c r="D1159" s="66"/>
      <c r="E1159" s="66"/>
      <c r="F1159" s="66"/>
      <c r="G1159" s="27" t="s">
        <v>3734</v>
      </c>
      <c r="H1159" s="33">
        <v>78</v>
      </c>
      <c r="I1159" s="29"/>
      <c r="J1159" s="25">
        <v>3</v>
      </c>
      <c r="K1159" s="30">
        <v>260.49</v>
      </c>
      <c r="L1159" s="17"/>
      <c r="M1159" s="29">
        <f>K1159*L1159</f>
        <v>0</v>
      </c>
      <c r="N1159" s="31">
        <f>0.031*L1159</f>
        <v>0</v>
      </c>
      <c r="O1159" s="32">
        <f>0.00059*L1159</f>
        <v>0</v>
      </c>
      <c r="P1159" s="36"/>
      <c r="Q1159" s="29" t="s">
        <v>3735</v>
      </c>
      <c r="R1159" s="29" t="s">
        <v>611</v>
      </c>
      <c r="S1159" s="26" t="str">
        <f>HYPERLINK("https://miland.ru/api/getInfo/image/e573a6e2-be87-11ee-a25a-00155d82e908")</f>
        <v>https://miland.ru/api/getInfo/image/e573a6e2-be87-11ee-a25a-00155d82e908</v>
      </c>
    </row>
    <row r="1160" spans="1:19" s="2" customFormat="1" ht="96.2" customHeight="1" outlineLevel="7">
      <c r="A1160" s="25">
        <v>879</v>
      </c>
      <c r="B1160" s="26" t="s">
        <v>3736</v>
      </c>
      <c r="C1160" s="66" t="s">
        <v>3737</v>
      </c>
      <c r="D1160" s="66"/>
      <c r="E1160" s="66"/>
      <c r="F1160" s="66"/>
      <c r="G1160" s="27" t="s">
        <v>3738</v>
      </c>
      <c r="H1160" s="33">
        <v>3</v>
      </c>
      <c r="I1160" s="29"/>
      <c r="J1160" s="25">
        <v>1</v>
      </c>
      <c r="K1160" s="30">
        <v>901.25</v>
      </c>
      <c r="L1160" s="17"/>
      <c r="M1160" s="29">
        <f>K1160*L1160</f>
        <v>0</v>
      </c>
      <c r="N1160" s="31">
        <f>0.105*L1160</f>
        <v>0</v>
      </c>
      <c r="O1160" s="32">
        <f>0.00457*L1160</f>
        <v>0</v>
      </c>
      <c r="P1160" s="36"/>
      <c r="Q1160" s="29" t="s">
        <v>3739</v>
      </c>
      <c r="R1160" s="29" t="s">
        <v>611</v>
      </c>
      <c r="S1160" s="26" t="str">
        <f>HYPERLINK("https://miland.ru/api/getInfo/image/a45c2d38-95cd-11ef-a267-00155d82e908")</f>
        <v>https://miland.ru/api/getInfo/image/a45c2d38-95cd-11ef-a267-00155d82e908</v>
      </c>
    </row>
    <row r="1161" spans="1:19" s="1" customFormat="1" ht="12" customHeight="1" outlineLevel="7">
      <c r="A1161" s="64" t="s">
        <v>3740</v>
      </c>
      <c r="B1161" s="64"/>
      <c r="C1161" s="64"/>
      <c r="D1161" s="64"/>
      <c r="E1161" s="64"/>
      <c r="F1161" s="64"/>
      <c r="G1161" s="8"/>
      <c r="H1161" s="12"/>
      <c r="I1161" s="2"/>
      <c r="J1161" s="2"/>
      <c r="K1161" s="13"/>
      <c r="L1161" s="2"/>
      <c r="M1161" s="2"/>
      <c r="N1161" s="2"/>
      <c r="O1161" s="2"/>
      <c r="P1161" s="2"/>
      <c r="Q1161" s="2"/>
      <c r="R1161" s="2"/>
      <c r="S1161" s="2"/>
    </row>
    <row r="1162" spans="1:19" s="2" customFormat="1" ht="96.2" customHeight="1" outlineLevel="7">
      <c r="A1162" s="25">
        <v>880</v>
      </c>
      <c r="B1162" s="26" t="s">
        <v>3741</v>
      </c>
      <c r="C1162" s="66" t="s">
        <v>3742</v>
      </c>
      <c r="D1162" s="66"/>
      <c r="E1162" s="66"/>
      <c r="F1162" s="66"/>
      <c r="G1162" s="27" t="s">
        <v>3743</v>
      </c>
      <c r="H1162" s="33">
        <v>272</v>
      </c>
      <c r="I1162" s="29"/>
      <c r="J1162" s="25">
        <v>2</v>
      </c>
      <c r="K1162" s="30">
        <v>284.48</v>
      </c>
      <c r="L1162" s="17"/>
      <c r="M1162" s="29">
        <f>K1162*L1162</f>
        <v>0</v>
      </c>
      <c r="N1162" s="31">
        <f>0.034*L1162</f>
        <v>0</v>
      </c>
      <c r="O1162" s="32">
        <f>0.00064*L1162</f>
        <v>0</v>
      </c>
      <c r="P1162" s="36"/>
      <c r="Q1162" s="29" t="s">
        <v>3744</v>
      </c>
      <c r="R1162" s="29" t="s">
        <v>611</v>
      </c>
      <c r="S1162" s="26" t="str">
        <f>HYPERLINK("https://miland.ru/api/getInfo/image/bcc659be-c4bf-11ee-a25a-00155d82e908")</f>
        <v>https://miland.ru/api/getInfo/image/bcc659be-c4bf-11ee-a25a-00155d82e908</v>
      </c>
    </row>
    <row r="1163" spans="1:19" s="2" customFormat="1" ht="96.2" customHeight="1" outlineLevel="7">
      <c r="A1163" s="25">
        <v>881</v>
      </c>
      <c r="B1163" s="26" t="s">
        <v>3745</v>
      </c>
      <c r="C1163" s="66" t="s">
        <v>3746</v>
      </c>
      <c r="D1163" s="66"/>
      <c r="E1163" s="66"/>
      <c r="F1163" s="66"/>
      <c r="G1163" s="27" t="s">
        <v>3747</v>
      </c>
      <c r="H1163" s="33">
        <v>165</v>
      </c>
      <c r="I1163" s="29"/>
      <c r="J1163" s="25">
        <v>2</v>
      </c>
      <c r="K1163" s="30">
        <v>275.38</v>
      </c>
      <c r="L1163" s="17"/>
      <c r="M1163" s="29">
        <f>K1163*L1163</f>
        <v>0</v>
      </c>
      <c r="N1163" s="31">
        <f>0.035*L1163</f>
        <v>0</v>
      </c>
      <c r="O1163" s="32">
        <f>0.00059*L1163</f>
        <v>0</v>
      </c>
      <c r="P1163" s="36"/>
      <c r="Q1163" s="29" t="s">
        <v>3748</v>
      </c>
      <c r="R1163" s="29" t="s">
        <v>611</v>
      </c>
      <c r="S1163" s="26" t="str">
        <f>HYPERLINK("https://miland.ru/api/getInfo/image/03a89f21-c4c0-11ee-a25a-00155d82e908")</f>
        <v>https://miland.ru/api/getInfo/image/03a89f21-c4c0-11ee-a25a-00155d82e908</v>
      </c>
    </row>
    <row r="1164" spans="1:19" s="2" customFormat="1" ht="96.2" customHeight="1" outlineLevel="7">
      <c r="A1164" s="25">
        <v>882</v>
      </c>
      <c r="B1164" s="26" t="s">
        <v>3749</v>
      </c>
      <c r="C1164" s="66" t="s">
        <v>3750</v>
      </c>
      <c r="D1164" s="66"/>
      <c r="E1164" s="66"/>
      <c r="F1164" s="66"/>
      <c r="G1164" s="27" t="s">
        <v>3751</v>
      </c>
      <c r="H1164" s="33">
        <v>255</v>
      </c>
      <c r="I1164" s="29"/>
      <c r="J1164" s="25">
        <v>2</v>
      </c>
      <c r="K1164" s="30">
        <v>267.35000000000002</v>
      </c>
      <c r="L1164" s="17"/>
      <c r="M1164" s="29">
        <f>K1164*L1164</f>
        <v>0</v>
      </c>
      <c r="N1164" s="31">
        <f>0.035*L1164</f>
        <v>0</v>
      </c>
      <c r="O1164" s="32">
        <f>0.00062*L1164</f>
        <v>0</v>
      </c>
      <c r="P1164" s="36"/>
      <c r="Q1164" s="29" t="s">
        <v>3752</v>
      </c>
      <c r="R1164" s="29" t="s">
        <v>611</v>
      </c>
      <c r="S1164" s="26" t="str">
        <f>HYPERLINK("https://miland.ru/api/getInfo/image/47d0516f-c4c0-11ee-a25a-00155d82e908")</f>
        <v>https://miland.ru/api/getInfo/image/47d0516f-c4c0-11ee-a25a-00155d82e908</v>
      </c>
    </row>
    <row r="1165" spans="1:19" s="2" customFormat="1" ht="96.2" customHeight="1" outlineLevel="7">
      <c r="A1165" s="25">
        <v>883</v>
      </c>
      <c r="B1165" s="26" t="s">
        <v>3753</v>
      </c>
      <c r="C1165" s="66" t="s">
        <v>3754</v>
      </c>
      <c r="D1165" s="66"/>
      <c r="E1165" s="66"/>
      <c r="F1165" s="66"/>
      <c r="G1165" s="27" t="s">
        <v>3755</v>
      </c>
      <c r="H1165" s="33">
        <v>251</v>
      </c>
      <c r="I1165" s="29"/>
      <c r="J1165" s="25">
        <v>2</v>
      </c>
      <c r="K1165" s="30">
        <v>267.35000000000002</v>
      </c>
      <c r="L1165" s="17"/>
      <c r="M1165" s="29">
        <f>K1165*L1165</f>
        <v>0</v>
      </c>
      <c r="N1165" s="31">
        <f>0.035*L1165</f>
        <v>0</v>
      </c>
      <c r="O1165" s="32">
        <f>0.00059*L1165</f>
        <v>0</v>
      </c>
      <c r="P1165" s="36"/>
      <c r="Q1165" s="29" t="s">
        <v>3756</v>
      </c>
      <c r="R1165" s="29" t="s">
        <v>611</v>
      </c>
      <c r="S1165" s="26" t="str">
        <f>HYPERLINK("https://miland.ru/api/getInfo/image/2371f3f6-c4c0-11ee-a25a-00155d82e908")</f>
        <v>https://miland.ru/api/getInfo/image/2371f3f6-c4c0-11ee-a25a-00155d82e908</v>
      </c>
    </row>
    <row r="1166" spans="1:19" s="2" customFormat="1" ht="96.2" customHeight="1" outlineLevel="7">
      <c r="A1166" s="25">
        <v>884</v>
      </c>
      <c r="B1166" s="26" t="s">
        <v>3757</v>
      </c>
      <c r="C1166" s="66" t="s">
        <v>3758</v>
      </c>
      <c r="D1166" s="66"/>
      <c r="E1166" s="66"/>
      <c r="F1166" s="66"/>
      <c r="G1166" s="27" t="s">
        <v>3759</v>
      </c>
      <c r="H1166" s="33">
        <v>76</v>
      </c>
      <c r="I1166" s="29"/>
      <c r="J1166" s="25">
        <v>1</v>
      </c>
      <c r="K1166" s="37">
        <v>1214.33</v>
      </c>
      <c r="L1166" s="17"/>
      <c r="M1166" s="29">
        <f>K1166*L1166</f>
        <v>0</v>
      </c>
      <c r="N1166" s="31">
        <f>0.288*L1166</f>
        <v>0</v>
      </c>
      <c r="O1166" s="32">
        <f>0.00387*L1166</f>
        <v>0</v>
      </c>
      <c r="P1166" s="36"/>
      <c r="Q1166" s="29" t="s">
        <v>3760</v>
      </c>
      <c r="R1166" s="29" t="s">
        <v>611</v>
      </c>
      <c r="S1166" s="26" t="str">
        <f>HYPERLINK("https://miland.ru/api/getInfo/image/6f56f076-95cd-11ef-a267-00155d82e908")</f>
        <v>https://miland.ru/api/getInfo/image/6f56f076-95cd-11ef-a267-00155d82e908</v>
      </c>
    </row>
    <row r="1167" spans="1:19" s="1" customFormat="1" ht="12" customHeight="1" outlineLevel="7">
      <c r="A1167" s="64" t="s">
        <v>3761</v>
      </c>
      <c r="B1167" s="64"/>
      <c r="C1167" s="64"/>
      <c r="D1167" s="64"/>
      <c r="E1167" s="64"/>
      <c r="F1167" s="64"/>
      <c r="G1167" s="8"/>
      <c r="H1167" s="12"/>
      <c r="I1167" s="2"/>
      <c r="J1167" s="2"/>
      <c r="K1167" s="13"/>
      <c r="L1167" s="2"/>
      <c r="M1167" s="2"/>
      <c r="N1167" s="2"/>
      <c r="O1167" s="2"/>
      <c r="P1167" s="2"/>
      <c r="Q1167" s="2"/>
      <c r="R1167" s="2"/>
      <c r="S1167" s="2"/>
    </row>
    <row r="1168" spans="1:19" s="2" customFormat="1" ht="96.2" customHeight="1" outlineLevel="7">
      <c r="A1168" s="25">
        <v>885</v>
      </c>
      <c r="B1168" s="26" t="s">
        <v>3762</v>
      </c>
      <c r="C1168" s="66" t="s">
        <v>3763</v>
      </c>
      <c r="D1168" s="66"/>
      <c r="E1168" s="66"/>
      <c r="F1168" s="66"/>
      <c r="G1168" s="27" t="s">
        <v>3764</v>
      </c>
      <c r="H1168" s="33">
        <v>34</v>
      </c>
      <c r="I1168" s="29"/>
      <c r="J1168" s="25">
        <v>2</v>
      </c>
      <c r="K1168" s="30">
        <v>275.38</v>
      </c>
      <c r="L1168" s="17"/>
      <c r="M1168" s="29">
        <f>K1168*L1168</f>
        <v>0</v>
      </c>
      <c r="N1168" s="34">
        <f>0.04*L1168</f>
        <v>0</v>
      </c>
      <c r="O1168" s="32">
        <f>0.00063*L1168</f>
        <v>0</v>
      </c>
      <c r="P1168" s="36"/>
      <c r="Q1168" s="29" t="s">
        <v>3765</v>
      </c>
      <c r="R1168" s="29" t="s">
        <v>611</v>
      </c>
      <c r="S1168" s="26" t="str">
        <f>HYPERLINK("https://miland.ru/api/getInfo/image/d6dc89c9-e692-11ee-a25a-00155d82e908")</f>
        <v>https://miland.ru/api/getInfo/image/d6dc89c9-e692-11ee-a25a-00155d82e908</v>
      </c>
    </row>
    <row r="1169" spans="1:19" s="2" customFormat="1" ht="96.2" customHeight="1" outlineLevel="7">
      <c r="A1169" s="25">
        <v>886</v>
      </c>
      <c r="B1169" s="26" t="s">
        <v>3766</v>
      </c>
      <c r="C1169" s="66" t="s">
        <v>3767</v>
      </c>
      <c r="D1169" s="66"/>
      <c r="E1169" s="66"/>
      <c r="F1169" s="66"/>
      <c r="G1169" s="27" t="s">
        <v>3768</v>
      </c>
      <c r="H1169" s="33">
        <v>8</v>
      </c>
      <c r="I1169" s="29"/>
      <c r="J1169" s="25">
        <v>2</v>
      </c>
      <c r="K1169" s="30">
        <v>275.38</v>
      </c>
      <c r="L1169" s="17"/>
      <c r="M1169" s="29">
        <f>K1169*L1169</f>
        <v>0</v>
      </c>
      <c r="N1169" s="34">
        <f>0.04*L1169</f>
        <v>0</v>
      </c>
      <c r="O1169" s="32">
        <f>0.00003*L1169</f>
        <v>0</v>
      </c>
      <c r="P1169" s="36"/>
      <c r="Q1169" s="29" t="s">
        <v>3769</v>
      </c>
      <c r="R1169" s="29" t="s">
        <v>611</v>
      </c>
      <c r="S1169" s="26" t="str">
        <f>HYPERLINK("https://miland.ru/api/getInfo/image/678f2735-e693-11ee-a25a-00155d82e908")</f>
        <v>https://miland.ru/api/getInfo/image/678f2735-e693-11ee-a25a-00155d82e908</v>
      </c>
    </row>
    <row r="1170" spans="1:19" s="2" customFormat="1" ht="96.2" customHeight="1" outlineLevel="7">
      <c r="A1170" s="25">
        <v>887</v>
      </c>
      <c r="B1170" s="26" t="s">
        <v>3770</v>
      </c>
      <c r="C1170" s="66" t="s">
        <v>3771</v>
      </c>
      <c r="D1170" s="66"/>
      <c r="E1170" s="66"/>
      <c r="F1170" s="66"/>
      <c r="G1170" s="27" t="s">
        <v>3772</v>
      </c>
      <c r="H1170" s="33">
        <v>62</v>
      </c>
      <c r="I1170" s="29"/>
      <c r="J1170" s="25">
        <v>2</v>
      </c>
      <c r="K1170" s="30">
        <v>275.38</v>
      </c>
      <c r="L1170" s="17"/>
      <c r="M1170" s="29">
        <f>K1170*L1170</f>
        <v>0</v>
      </c>
      <c r="N1170" s="31">
        <f>0.041*L1170</f>
        <v>0</v>
      </c>
      <c r="O1170" s="32">
        <f>0.00059*L1170</f>
        <v>0</v>
      </c>
      <c r="P1170" s="36"/>
      <c r="Q1170" s="29" t="s">
        <v>3773</v>
      </c>
      <c r="R1170" s="29" t="s">
        <v>611</v>
      </c>
      <c r="S1170" s="26" t="str">
        <f>HYPERLINK("https://miland.ru/api/getInfo/image/04990073-e693-11ee-a25a-00155d82e908")</f>
        <v>https://miland.ru/api/getInfo/image/04990073-e693-11ee-a25a-00155d82e908</v>
      </c>
    </row>
    <row r="1171" spans="1:19" s="2" customFormat="1" ht="96.2" customHeight="1" outlineLevel="7">
      <c r="A1171" s="25">
        <v>888</v>
      </c>
      <c r="B1171" s="26" t="s">
        <v>3774</v>
      </c>
      <c r="C1171" s="66" t="s">
        <v>3775</v>
      </c>
      <c r="D1171" s="66"/>
      <c r="E1171" s="66"/>
      <c r="F1171" s="66"/>
      <c r="G1171" s="27" t="s">
        <v>3776</v>
      </c>
      <c r="H1171" s="33">
        <v>23</v>
      </c>
      <c r="I1171" s="29"/>
      <c r="J1171" s="25">
        <v>2</v>
      </c>
      <c r="K1171" s="30">
        <v>275.38</v>
      </c>
      <c r="L1171" s="17"/>
      <c r="M1171" s="29">
        <f>K1171*L1171</f>
        <v>0</v>
      </c>
      <c r="N1171" s="31">
        <f>0.039*L1171</f>
        <v>0</v>
      </c>
      <c r="O1171" s="32">
        <f>0.00064*L1171</f>
        <v>0</v>
      </c>
      <c r="P1171" s="36"/>
      <c r="Q1171" s="29" t="s">
        <v>3777</v>
      </c>
      <c r="R1171" s="29" t="s">
        <v>611</v>
      </c>
      <c r="S1171" s="26" t="str">
        <f>HYPERLINK("https://miland.ru/api/getInfo/image/47479743-e693-11ee-a25a-00155d82e908")</f>
        <v>https://miland.ru/api/getInfo/image/47479743-e693-11ee-a25a-00155d82e908</v>
      </c>
    </row>
    <row r="1172" spans="1:19" s="2" customFormat="1" ht="96.2" customHeight="1" outlineLevel="7">
      <c r="A1172" s="9">
        <v>889</v>
      </c>
      <c r="B1172" s="10" t="s">
        <v>3778</v>
      </c>
      <c r="C1172" s="65" t="s">
        <v>3779</v>
      </c>
      <c r="D1172" s="65"/>
      <c r="E1172" s="65"/>
      <c r="F1172" s="65"/>
      <c r="G1172" s="11" t="s">
        <v>3780</v>
      </c>
      <c r="H1172" s="14">
        <v>9</v>
      </c>
      <c r="I1172" s="15"/>
      <c r="J1172" s="9">
        <v>1</v>
      </c>
      <c r="K1172" s="22">
        <v>1221.29</v>
      </c>
      <c r="L1172" s="17"/>
      <c r="M1172" s="15">
        <f>K1172*L1172</f>
        <v>0</v>
      </c>
      <c r="N1172" s="18">
        <f>0.249*L1172</f>
        <v>0</v>
      </c>
      <c r="O1172" s="20">
        <f>0.0049*L1172</f>
        <v>0</v>
      </c>
      <c r="P1172" s="24" t="s">
        <v>26</v>
      </c>
      <c r="Q1172" s="15" t="s">
        <v>3781</v>
      </c>
      <c r="R1172" s="15" t="s">
        <v>611</v>
      </c>
      <c r="S1172" s="10" t="str">
        <f>HYPERLINK("https://miland.ru/api/getInfo/image/bcf20329-95cc-11ef-a267-00155d82e908")</f>
        <v>https://miland.ru/api/getInfo/image/bcf20329-95cc-11ef-a267-00155d82e908</v>
      </c>
    </row>
    <row r="1173" spans="1:19" s="1" customFormat="1" ht="12" customHeight="1" outlineLevel="6">
      <c r="A1173" s="64" t="s">
        <v>3782</v>
      </c>
      <c r="B1173" s="64"/>
      <c r="C1173" s="64"/>
      <c r="D1173" s="64"/>
      <c r="E1173" s="64"/>
      <c r="F1173" s="64"/>
      <c r="G1173" s="8"/>
      <c r="H1173" s="12"/>
      <c r="I1173" s="2"/>
      <c r="J1173" s="2"/>
      <c r="K1173" s="13"/>
      <c r="L1173" s="2"/>
      <c r="M1173" s="2"/>
      <c r="N1173" s="2"/>
      <c r="O1173" s="2"/>
      <c r="P1173" s="2"/>
      <c r="Q1173" s="2"/>
      <c r="R1173" s="2"/>
      <c r="S1173" s="2"/>
    </row>
    <row r="1174" spans="1:19" s="1" customFormat="1" ht="12" customHeight="1" outlineLevel="7">
      <c r="A1174" s="64" t="s">
        <v>3783</v>
      </c>
      <c r="B1174" s="64"/>
      <c r="C1174" s="64"/>
      <c r="D1174" s="64"/>
      <c r="E1174" s="64"/>
      <c r="F1174" s="64"/>
      <c r="G1174" s="8"/>
      <c r="H1174" s="12"/>
      <c r="I1174" s="2"/>
      <c r="J1174" s="2"/>
      <c r="K1174" s="13"/>
      <c r="L1174" s="2"/>
      <c r="M1174" s="2"/>
      <c r="N1174" s="2"/>
      <c r="O1174" s="2"/>
      <c r="P1174" s="2"/>
      <c r="Q1174" s="2"/>
      <c r="R1174" s="2"/>
      <c r="S1174" s="2"/>
    </row>
    <row r="1175" spans="1:19" s="2" customFormat="1" ht="96.2" customHeight="1" outlineLevel="7">
      <c r="A1175" s="9">
        <v>890</v>
      </c>
      <c r="B1175" s="10" t="s">
        <v>3784</v>
      </c>
      <c r="C1175" s="65" t="s">
        <v>3785</v>
      </c>
      <c r="D1175" s="65"/>
      <c r="E1175" s="65"/>
      <c r="F1175" s="65"/>
      <c r="G1175" s="11" t="s">
        <v>3786</v>
      </c>
      <c r="H1175" s="21" t="s">
        <v>44</v>
      </c>
      <c r="I1175" s="15"/>
      <c r="J1175" s="9">
        <v>1</v>
      </c>
      <c r="K1175" s="16">
        <v>577.23</v>
      </c>
      <c r="L1175" s="17"/>
      <c r="M1175" s="15">
        <f>K1175*L1175</f>
        <v>0</v>
      </c>
      <c r="N1175" s="18">
        <f>0.088*L1175</f>
        <v>0</v>
      </c>
      <c r="O1175" s="19">
        <f>0.00141*L1175</f>
        <v>0</v>
      </c>
      <c r="P1175" s="24" t="s">
        <v>26</v>
      </c>
      <c r="Q1175" s="15" t="s">
        <v>3787</v>
      </c>
      <c r="R1175" s="15"/>
      <c r="S1175" s="10" t="str">
        <f>HYPERLINK("https://miland.ru/api/getInfo/image/cc4be1d5-f1da-11f0-a28d-00155d82e908")</f>
        <v>https://miland.ru/api/getInfo/image/cc4be1d5-f1da-11f0-a28d-00155d82e908</v>
      </c>
    </row>
    <row r="1176" spans="1:19" s="2" customFormat="1" ht="96.2" customHeight="1" outlineLevel="7">
      <c r="A1176" s="9">
        <v>891</v>
      </c>
      <c r="B1176" s="10" t="s">
        <v>3788</v>
      </c>
      <c r="C1176" s="65" t="s">
        <v>3789</v>
      </c>
      <c r="D1176" s="65"/>
      <c r="E1176" s="65"/>
      <c r="F1176" s="65"/>
      <c r="G1176" s="11" t="s">
        <v>3790</v>
      </c>
      <c r="H1176" s="21" t="s">
        <v>44</v>
      </c>
      <c r="I1176" s="15"/>
      <c r="J1176" s="9">
        <v>1</v>
      </c>
      <c r="K1176" s="16">
        <v>577.23</v>
      </c>
      <c r="L1176" s="17"/>
      <c r="M1176" s="15">
        <f>K1176*L1176</f>
        <v>0</v>
      </c>
      <c r="N1176" s="18">
        <f>0.086*L1176</f>
        <v>0</v>
      </c>
      <c r="O1176" s="19">
        <f>0.00128*L1176</f>
        <v>0</v>
      </c>
      <c r="P1176" s="24" t="s">
        <v>26</v>
      </c>
      <c r="Q1176" s="15" t="s">
        <v>3791</v>
      </c>
      <c r="R1176" s="15"/>
      <c r="S1176" s="10" t="str">
        <f>HYPERLINK("https://miland.ru/api/getInfo/image/1cf60d8f-f1db-11f0-a28d-00155d82e908")</f>
        <v>https://miland.ru/api/getInfo/image/1cf60d8f-f1db-11f0-a28d-00155d82e908</v>
      </c>
    </row>
    <row r="1177" spans="1:19" s="1" customFormat="1" ht="12" customHeight="1" outlineLevel="7">
      <c r="A1177" s="64" t="s">
        <v>3792</v>
      </c>
      <c r="B1177" s="64"/>
      <c r="C1177" s="64"/>
      <c r="D1177" s="64"/>
      <c r="E1177" s="64"/>
      <c r="F1177" s="64"/>
      <c r="G1177" s="8"/>
      <c r="H1177" s="12"/>
      <c r="I1177" s="2"/>
      <c r="J1177" s="2"/>
      <c r="K1177" s="13"/>
      <c r="L1177" s="2"/>
      <c r="M1177" s="2"/>
      <c r="N1177" s="2"/>
      <c r="O1177" s="2"/>
      <c r="P1177" s="2"/>
      <c r="Q1177" s="2"/>
      <c r="R1177" s="2"/>
      <c r="S1177" s="2"/>
    </row>
    <row r="1178" spans="1:19" s="2" customFormat="1" ht="96.2" customHeight="1" outlineLevel="7">
      <c r="A1178" s="25">
        <v>892</v>
      </c>
      <c r="B1178" s="26" t="s">
        <v>3793</v>
      </c>
      <c r="C1178" s="66" t="s">
        <v>3794</v>
      </c>
      <c r="D1178" s="66"/>
      <c r="E1178" s="66"/>
      <c r="F1178" s="66"/>
      <c r="G1178" s="27" t="s">
        <v>3795</v>
      </c>
      <c r="H1178" s="28" t="s">
        <v>44</v>
      </c>
      <c r="I1178" s="29"/>
      <c r="J1178" s="25">
        <v>2</v>
      </c>
      <c r="K1178" s="30">
        <v>342.75</v>
      </c>
      <c r="L1178" s="17"/>
      <c r="M1178" s="29">
        <f>K1178*L1178</f>
        <v>0</v>
      </c>
      <c r="N1178" s="31">
        <f>0.057*L1178</f>
        <v>0</v>
      </c>
      <c r="O1178" s="32">
        <f>0.00107*L1178</f>
        <v>0</v>
      </c>
      <c r="P1178" s="36"/>
      <c r="Q1178" s="29" t="s">
        <v>3796</v>
      </c>
      <c r="R1178" s="29" t="s">
        <v>611</v>
      </c>
      <c r="S1178" s="26" t="str">
        <f>HYPERLINK("https://miland.ru/api/getInfo/image/6747fa2a-be83-11ee-a25a-00155d82e908")</f>
        <v>https://miland.ru/api/getInfo/image/6747fa2a-be83-11ee-a25a-00155d82e908</v>
      </c>
    </row>
    <row r="1179" spans="1:19" s="2" customFormat="1" ht="96.2" customHeight="1" outlineLevel="7">
      <c r="A1179" s="25">
        <v>893</v>
      </c>
      <c r="B1179" s="26" t="s">
        <v>3797</v>
      </c>
      <c r="C1179" s="66" t="s">
        <v>3798</v>
      </c>
      <c r="D1179" s="66"/>
      <c r="E1179" s="66"/>
      <c r="F1179" s="66"/>
      <c r="G1179" s="27" t="s">
        <v>3799</v>
      </c>
      <c r="H1179" s="33">
        <v>442</v>
      </c>
      <c r="I1179" s="29"/>
      <c r="J1179" s="25">
        <v>2</v>
      </c>
      <c r="K1179" s="30">
        <v>342.75</v>
      </c>
      <c r="L1179" s="17"/>
      <c r="M1179" s="29">
        <f>K1179*L1179</f>
        <v>0</v>
      </c>
      <c r="N1179" s="31">
        <f>0.058*L1179</f>
        <v>0</v>
      </c>
      <c r="O1179" s="32">
        <f>0.00107*L1179</f>
        <v>0</v>
      </c>
      <c r="P1179" s="36"/>
      <c r="Q1179" s="29" t="s">
        <v>3800</v>
      </c>
      <c r="R1179" s="29" t="s">
        <v>611</v>
      </c>
      <c r="S1179" s="26" t="str">
        <f>HYPERLINK("https://miland.ru/api/getInfo/image/ae8e43ef-be83-11ee-a25a-00155d82e908")</f>
        <v>https://miland.ru/api/getInfo/image/ae8e43ef-be83-11ee-a25a-00155d82e908</v>
      </c>
    </row>
    <row r="1180" spans="1:19" s="2" customFormat="1" ht="96.2" customHeight="1" outlineLevel="7">
      <c r="A1180" s="25">
        <v>894</v>
      </c>
      <c r="B1180" s="26" t="s">
        <v>3801</v>
      </c>
      <c r="C1180" s="66" t="s">
        <v>3802</v>
      </c>
      <c r="D1180" s="66"/>
      <c r="E1180" s="66"/>
      <c r="F1180" s="66"/>
      <c r="G1180" s="27" t="s">
        <v>3803</v>
      </c>
      <c r="H1180" s="33">
        <v>72</v>
      </c>
      <c r="I1180" s="29"/>
      <c r="J1180" s="25">
        <v>2</v>
      </c>
      <c r="K1180" s="30">
        <v>342.75</v>
      </c>
      <c r="L1180" s="17"/>
      <c r="M1180" s="29">
        <f>K1180*L1180</f>
        <v>0</v>
      </c>
      <c r="N1180" s="31">
        <f>0.056*L1180</f>
        <v>0</v>
      </c>
      <c r="O1180" s="32">
        <f>0.00107*L1180</f>
        <v>0</v>
      </c>
      <c r="P1180" s="36"/>
      <c r="Q1180" s="29" t="s">
        <v>3804</v>
      </c>
      <c r="R1180" s="29" t="s">
        <v>611</v>
      </c>
      <c r="S1180" s="26" t="str">
        <f>HYPERLINK("https://miland.ru/api/getInfo/image/4863a1eb-be83-11ee-a25a-00155d82e908")</f>
        <v>https://miland.ru/api/getInfo/image/4863a1eb-be83-11ee-a25a-00155d82e908</v>
      </c>
    </row>
    <row r="1181" spans="1:19" s="2" customFormat="1" ht="96.2" customHeight="1" outlineLevel="7">
      <c r="A1181" s="25">
        <v>895</v>
      </c>
      <c r="B1181" s="26" t="s">
        <v>3805</v>
      </c>
      <c r="C1181" s="66" t="s">
        <v>3806</v>
      </c>
      <c r="D1181" s="66"/>
      <c r="E1181" s="66"/>
      <c r="F1181" s="66"/>
      <c r="G1181" s="27" t="s">
        <v>3807</v>
      </c>
      <c r="H1181" s="33">
        <v>317</v>
      </c>
      <c r="I1181" s="29"/>
      <c r="J1181" s="25">
        <v>2</v>
      </c>
      <c r="K1181" s="30">
        <v>342.75</v>
      </c>
      <c r="L1181" s="17"/>
      <c r="M1181" s="29">
        <f>K1181*L1181</f>
        <v>0</v>
      </c>
      <c r="N1181" s="31">
        <f>0.057*L1181</f>
        <v>0</v>
      </c>
      <c r="O1181" s="32">
        <f>0.00111*L1181</f>
        <v>0</v>
      </c>
      <c r="P1181" s="36"/>
      <c r="Q1181" s="29" t="s">
        <v>3808</v>
      </c>
      <c r="R1181" s="29" t="s">
        <v>611</v>
      </c>
      <c r="S1181" s="26" t="str">
        <f>HYPERLINK("https://miland.ru/api/getInfo/image/f8e9ba02-be83-11ee-a25a-00155d82e908")</f>
        <v>https://miland.ru/api/getInfo/image/f8e9ba02-be83-11ee-a25a-00155d82e908</v>
      </c>
    </row>
    <row r="1182" spans="1:19" s="2" customFormat="1" ht="96.2" customHeight="1" outlineLevel="7">
      <c r="A1182" s="25">
        <v>896</v>
      </c>
      <c r="B1182" s="26" t="s">
        <v>3809</v>
      </c>
      <c r="C1182" s="66" t="s">
        <v>3810</v>
      </c>
      <c r="D1182" s="66"/>
      <c r="E1182" s="66"/>
      <c r="F1182" s="66"/>
      <c r="G1182" s="27" t="s">
        <v>3811</v>
      </c>
      <c r="H1182" s="33">
        <v>3</v>
      </c>
      <c r="I1182" s="29"/>
      <c r="J1182" s="25">
        <v>1</v>
      </c>
      <c r="K1182" s="37">
        <v>1490.76</v>
      </c>
      <c r="L1182" s="17"/>
      <c r="M1182" s="29">
        <f>K1182*L1182</f>
        <v>0</v>
      </c>
      <c r="N1182" s="31">
        <f>0.365*L1182</f>
        <v>0</v>
      </c>
      <c r="O1182" s="32">
        <f>0.00729*L1182</f>
        <v>0</v>
      </c>
      <c r="P1182" s="36"/>
      <c r="Q1182" s="29" t="s">
        <v>3812</v>
      </c>
      <c r="R1182" s="29" t="s">
        <v>611</v>
      </c>
      <c r="S1182" s="26" t="str">
        <f>HYPERLINK("https://miland.ru/api/getInfo/image/f930cae3-95ce-11ef-a267-00155d82e908")</f>
        <v>https://miland.ru/api/getInfo/image/f930cae3-95ce-11ef-a267-00155d82e908</v>
      </c>
    </row>
    <row r="1183" spans="1:19" s="1" customFormat="1" ht="12" customHeight="1" outlineLevel="7">
      <c r="A1183" s="64" t="s">
        <v>3813</v>
      </c>
      <c r="B1183" s="64"/>
      <c r="C1183" s="64"/>
      <c r="D1183" s="64"/>
      <c r="E1183" s="64"/>
      <c r="F1183" s="64"/>
      <c r="G1183" s="8"/>
      <c r="H1183" s="12"/>
      <c r="I1183" s="2"/>
      <c r="J1183" s="2"/>
      <c r="K1183" s="13"/>
      <c r="L1183" s="2"/>
      <c r="M1183" s="2"/>
      <c r="N1183" s="2"/>
      <c r="O1183" s="2"/>
      <c r="P1183" s="2"/>
      <c r="Q1183" s="2"/>
      <c r="R1183" s="2"/>
      <c r="S1183" s="2"/>
    </row>
    <row r="1184" spans="1:19" s="2" customFormat="1" ht="96.2" customHeight="1" outlineLevel="7">
      <c r="A1184" s="9">
        <v>897</v>
      </c>
      <c r="B1184" s="10" t="s">
        <v>3814</v>
      </c>
      <c r="C1184" s="65" t="s">
        <v>3815</v>
      </c>
      <c r="D1184" s="65"/>
      <c r="E1184" s="65"/>
      <c r="F1184" s="65"/>
      <c r="G1184" s="11" t="s">
        <v>3816</v>
      </c>
      <c r="H1184" s="21" t="s">
        <v>44</v>
      </c>
      <c r="I1184" s="15"/>
      <c r="J1184" s="9">
        <v>1</v>
      </c>
      <c r="K1184" s="16">
        <v>415.63</v>
      </c>
      <c r="L1184" s="17"/>
      <c r="M1184" s="15">
        <f>K1184*L1184</f>
        <v>0</v>
      </c>
      <c r="N1184" s="18">
        <f>0.088*L1184</f>
        <v>0</v>
      </c>
      <c r="O1184" s="19">
        <f>0.00137*L1184</f>
        <v>0</v>
      </c>
      <c r="P1184" s="24" t="s">
        <v>26</v>
      </c>
      <c r="Q1184" s="15" t="s">
        <v>3817</v>
      </c>
      <c r="R1184" s="15"/>
      <c r="S1184" s="10" t="str">
        <f>HYPERLINK("https://miland.ru/api/getInfo/image/4710dc80-f1db-11f0-a28d-00155d82e908")</f>
        <v>https://miland.ru/api/getInfo/image/4710dc80-f1db-11f0-a28d-00155d82e908</v>
      </c>
    </row>
    <row r="1185" spans="1:19" s="1" customFormat="1" ht="12" customHeight="1" outlineLevel="7">
      <c r="A1185" s="64" t="s">
        <v>3818</v>
      </c>
      <c r="B1185" s="64"/>
      <c r="C1185" s="64"/>
      <c r="D1185" s="64"/>
      <c r="E1185" s="64"/>
      <c r="F1185" s="64"/>
      <c r="G1185" s="8"/>
      <c r="H1185" s="12"/>
      <c r="I1185" s="2"/>
      <c r="J1185" s="2"/>
      <c r="K1185" s="13"/>
      <c r="L1185" s="2"/>
      <c r="M1185" s="2"/>
      <c r="N1185" s="2"/>
      <c r="O1185" s="2"/>
      <c r="P1185" s="2"/>
      <c r="Q1185" s="2"/>
      <c r="R1185" s="2"/>
      <c r="S1185" s="2"/>
    </row>
    <row r="1186" spans="1:19" s="2" customFormat="1" ht="96.2" customHeight="1" outlineLevel="7">
      <c r="A1186" s="25">
        <v>898</v>
      </c>
      <c r="B1186" s="26" t="s">
        <v>3819</v>
      </c>
      <c r="C1186" s="66" t="s">
        <v>3820</v>
      </c>
      <c r="D1186" s="66"/>
      <c r="E1186" s="66"/>
      <c r="F1186" s="66"/>
      <c r="G1186" s="27" t="s">
        <v>3821</v>
      </c>
      <c r="H1186" s="33">
        <v>1</v>
      </c>
      <c r="I1186" s="29"/>
      <c r="J1186" s="25">
        <v>1</v>
      </c>
      <c r="K1186" s="30">
        <v>283.7</v>
      </c>
      <c r="L1186" s="17"/>
      <c r="M1186" s="29">
        <f>K1186*L1186</f>
        <v>0</v>
      </c>
      <c r="N1186" s="31">
        <f>0.055*L1186</f>
        <v>0</v>
      </c>
      <c r="O1186" s="32">
        <f>0.00094*L1186</f>
        <v>0</v>
      </c>
      <c r="P1186" s="36"/>
      <c r="Q1186" s="29" t="s">
        <v>3822</v>
      </c>
      <c r="R1186" s="29" t="s">
        <v>611</v>
      </c>
      <c r="S1186" s="26" t="str">
        <f>HYPERLINK("https://miland.ru/api/getInfo/image/b7915c40-9d72-11ed-a22e-00155d82e902")</f>
        <v>https://miland.ru/api/getInfo/image/b7915c40-9d72-11ed-a22e-00155d82e902</v>
      </c>
    </row>
    <row r="1187" spans="1:19" s="2" customFormat="1" ht="96.2" customHeight="1" outlineLevel="7">
      <c r="A1187" s="25">
        <v>899</v>
      </c>
      <c r="B1187" s="26" t="s">
        <v>3823</v>
      </c>
      <c r="C1187" s="66" t="s">
        <v>3824</v>
      </c>
      <c r="D1187" s="66"/>
      <c r="E1187" s="66"/>
      <c r="F1187" s="66"/>
      <c r="G1187" s="27" t="s">
        <v>3825</v>
      </c>
      <c r="H1187" s="33">
        <v>2</v>
      </c>
      <c r="I1187" s="29"/>
      <c r="J1187" s="25">
        <v>2</v>
      </c>
      <c r="K1187" s="30">
        <v>283.7</v>
      </c>
      <c r="L1187" s="17"/>
      <c r="M1187" s="29">
        <f>K1187*L1187</f>
        <v>0</v>
      </c>
      <c r="N1187" s="31">
        <f>0.065*L1187</f>
        <v>0</v>
      </c>
      <c r="O1187" s="32">
        <f>0.00094*L1187</f>
        <v>0</v>
      </c>
      <c r="P1187" s="36"/>
      <c r="Q1187" s="29" t="s">
        <v>3826</v>
      </c>
      <c r="R1187" s="29" t="s">
        <v>611</v>
      </c>
      <c r="S1187" s="26" t="str">
        <f>HYPERLINK("https://miland.ru/api/getInfo/image/437d9911-9d73-11ed-a22e-00155d82e902")</f>
        <v>https://miland.ru/api/getInfo/image/437d9911-9d73-11ed-a22e-00155d82e902</v>
      </c>
    </row>
    <row r="1188" spans="1:19" s="2" customFormat="1" ht="96.2" customHeight="1" outlineLevel="7">
      <c r="A1188" s="25">
        <v>900</v>
      </c>
      <c r="B1188" s="26" t="s">
        <v>3827</v>
      </c>
      <c r="C1188" s="66" t="s">
        <v>3828</v>
      </c>
      <c r="D1188" s="66"/>
      <c r="E1188" s="66"/>
      <c r="F1188" s="66"/>
      <c r="G1188" s="27" t="s">
        <v>3829</v>
      </c>
      <c r="H1188" s="33">
        <v>3</v>
      </c>
      <c r="I1188" s="29"/>
      <c r="J1188" s="25">
        <v>2</v>
      </c>
      <c r="K1188" s="30">
        <v>283.7</v>
      </c>
      <c r="L1188" s="17"/>
      <c r="M1188" s="29">
        <f>K1188*L1188</f>
        <v>0</v>
      </c>
      <c r="N1188" s="31">
        <f>0.052*L1188</f>
        <v>0</v>
      </c>
      <c r="O1188" s="32">
        <f>0.00103*L1188</f>
        <v>0</v>
      </c>
      <c r="P1188" s="36"/>
      <c r="Q1188" s="29" t="s">
        <v>3830</v>
      </c>
      <c r="R1188" s="29" t="s">
        <v>611</v>
      </c>
      <c r="S1188" s="26" t="str">
        <f>HYPERLINK("https://miland.ru/api/getInfo/image/e53fddfb-9d72-11ed-a22e-00155d82e902")</f>
        <v>https://miland.ru/api/getInfo/image/e53fddfb-9d72-11ed-a22e-00155d82e902</v>
      </c>
    </row>
    <row r="1189" spans="1:19" s="1" customFormat="1" ht="12" customHeight="1" outlineLevel="7">
      <c r="A1189" s="64" t="s">
        <v>3831</v>
      </c>
      <c r="B1189" s="64"/>
      <c r="C1189" s="64"/>
      <c r="D1189" s="64"/>
      <c r="E1189" s="64"/>
      <c r="F1189" s="64"/>
      <c r="G1189" s="8"/>
      <c r="H1189" s="12"/>
      <c r="I1189" s="2"/>
      <c r="J1189" s="2"/>
      <c r="K1189" s="13"/>
      <c r="L1189" s="2"/>
      <c r="M1189" s="2"/>
      <c r="N1189" s="2"/>
      <c r="O1189" s="2"/>
      <c r="P1189" s="2"/>
      <c r="Q1189" s="2"/>
      <c r="R1189" s="2"/>
      <c r="S1189" s="2"/>
    </row>
    <row r="1190" spans="1:19" s="2" customFormat="1" ht="96.2" customHeight="1" outlineLevel="7">
      <c r="A1190" s="25">
        <v>901</v>
      </c>
      <c r="B1190" s="26" t="s">
        <v>3832</v>
      </c>
      <c r="C1190" s="66" t="s">
        <v>3833</v>
      </c>
      <c r="D1190" s="66"/>
      <c r="E1190" s="66"/>
      <c r="F1190" s="66"/>
      <c r="G1190" s="27" t="s">
        <v>3834</v>
      </c>
      <c r="H1190" s="33">
        <v>181</v>
      </c>
      <c r="I1190" s="29"/>
      <c r="J1190" s="25">
        <v>2</v>
      </c>
      <c r="K1190" s="30">
        <v>376.21</v>
      </c>
      <c r="L1190" s="17"/>
      <c r="M1190" s="29">
        <f>K1190*L1190</f>
        <v>0</v>
      </c>
      <c r="N1190" s="31">
        <f>0.065*L1190</f>
        <v>0</v>
      </c>
      <c r="O1190" s="32">
        <f>0.00112*L1190</f>
        <v>0</v>
      </c>
      <c r="P1190" s="36"/>
      <c r="Q1190" s="29" t="s">
        <v>3835</v>
      </c>
      <c r="R1190" s="29" t="s">
        <v>611</v>
      </c>
      <c r="S1190" s="26" t="str">
        <f>HYPERLINK("https://miland.ru/api/getInfo/image/138346ad-be82-11ee-a25a-00155d82e908")</f>
        <v>https://miland.ru/api/getInfo/image/138346ad-be82-11ee-a25a-00155d82e908</v>
      </c>
    </row>
    <row r="1191" spans="1:19" s="2" customFormat="1" ht="96.2" customHeight="1" outlineLevel="7">
      <c r="A1191" s="25">
        <v>902</v>
      </c>
      <c r="B1191" s="26" t="s">
        <v>3836</v>
      </c>
      <c r="C1191" s="66" t="s">
        <v>3837</v>
      </c>
      <c r="D1191" s="66"/>
      <c r="E1191" s="66"/>
      <c r="F1191" s="66"/>
      <c r="G1191" s="27" t="s">
        <v>3838</v>
      </c>
      <c r="H1191" s="33">
        <v>162</v>
      </c>
      <c r="I1191" s="29"/>
      <c r="J1191" s="25">
        <v>2</v>
      </c>
      <c r="K1191" s="30">
        <v>376.21</v>
      </c>
      <c r="L1191" s="17"/>
      <c r="M1191" s="29">
        <f>K1191*L1191</f>
        <v>0</v>
      </c>
      <c r="N1191" s="31">
        <f>0.055*L1191</f>
        <v>0</v>
      </c>
      <c r="O1191" s="32">
        <f>0.00111*L1191</f>
        <v>0</v>
      </c>
      <c r="P1191" s="36"/>
      <c r="Q1191" s="29" t="s">
        <v>3839</v>
      </c>
      <c r="R1191" s="29" t="s">
        <v>611</v>
      </c>
      <c r="S1191" s="26" t="str">
        <f>HYPERLINK("https://miland.ru/api/getInfo/image/e82d96c4-be81-11ee-a25a-00155d82e908")</f>
        <v>https://miland.ru/api/getInfo/image/e82d96c4-be81-11ee-a25a-00155d82e908</v>
      </c>
    </row>
    <row r="1192" spans="1:19" s="2" customFormat="1" ht="96.2" customHeight="1" outlineLevel="7">
      <c r="A1192" s="25">
        <v>903</v>
      </c>
      <c r="B1192" s="26" t="s">
        <v>3840</v>
      </c>
      <c r="C1192" s="66" t="s">
        <v>3841</v>
      </c>
      <c r="D1192" s="66"/>
      <c r="E1192" s="66"/>
      <c r="F1192" s="66"/>
      <c r="G1192" s="27" t="s">
        <v>3842</v>
      </c>
      <c r="H1192" s="33">
        <v>6</v>
      </c>
      <c r="I1192" s="29"/>
      <c r="J1192" s="25">
        <v>2</v>
      </c>
      <c r="K1192" s="30">
        <v>376.21</v>
      </c>
      <c r="L1192" s="17"/>
      <c r="M1192" s="29">
        <f>K1192*L1192</f>
        <v>0</v>
      </c>
      <c r="N1192" s="31">
        <f>0.055*L1192</f>
        <v>0</v>
      </c>
      <c r="O1192" s="32">
        <f>0.00444*L1192</f>
        <v>0</v>
      </c>
      <c r="P1192" s="36"/>
      <c r="Q1192" s="29" t="s">
        <v>3843</v>
      </c>
      <c r="R1192" s="29" t="s">
        <v>611</v>
      </c>
      <c r="S1192" s="26" t="str">
        <f>HYPERLINK("https://miland.ru/api/getInfo/image/2b78e827-be81-11ee-a25a-00155d82e908")</f>
        <v>https://miland.ru/api/getInfo/image/2b78e827-be81-11ee-a25a-00155d82e908</v>
      </c>
    </row>
    <row r="1193" spans="1:19" s="2" customFormat="1" ht="96.2" customHeight="1" outlineLevel="7">
      <c r="A1193" s="25">
        <v>904</v>
      </c>
      <c r="B1193" s="26" t="s">
        <v>3844</v>
      </c>
      <c r="C1193" s="66" t="s">
        <v>3845</v>
      </c>
      <c r="D1193" s="66"/>
      <c r="E1193" s="66"/>
      <c r="F1193" s="66"/>
      <c r="G1193" s="27" t="s">
        <v>3846</v>
      </c>
      <c r="H1193" s="33">
        <v>242</v>
      </c>
      <c r="I1193" s="29"/>
      <c r="J1193" s="25">
        <v>2</v>
      </c>
      <c r="K1193" s="30">
        <v>376.21</v>
      </c>
      <c r="L1193" s="17"/>
      <c r="M1193" s="29">
        <f>K1193*L1193</f>
        <v>0</v>
      </c>
      <c r="N1193" s="31">
        <f>0.058*L1193</f>
        <v>0</v>
      </c>
      <c r="O1193" s="32">
        <f>0.00112*L1193</f>
        <v>0</v>
      </c>
      <c r="P1193" s="36"/>
      <c r="Q1193" s="29" t="s">
        <v>3847</v>
      </c>
      <c r="R1193" s="29" t="s">
        <v>611</v>
      </c>
      <c r="S1193" s="26" t="str">
        <f>HYPERLINK("https://miland.ru/api/getInfo/image/c553e8a0-be81-11ee-a25a-00155d82e908")</f>
        <v>https://miland.ru/api/getInfo/image/c553e8a0-be81-11ee-a25a-00155d82e908</v>
      </c>
    </row>
    <row r="1194" spans="1:19" s="2" customFormat="1" ht="96.2" customHeight="1" outlineLevel="7">
      <c r="A1194" s="25">
        <v>905</v>
      </c>
      <c r="B1194" s="26" t="s">
        <v>3848</v>
      </c>
      <c r="C1194" s="66" t="s">
        <v>3849</v>
      </c>
      <c r="D1194" s="66"/>
      <c r="E1194" s="66"/>
      <c r="F1194" s="66"/>
      <c r="G1194" s="27" t="s">
        <v>3850</v>
      </c>
      <c r="H1194" s="33">
        <v>109</v>
      </c>
      <c r="I1194" s="29"/>
      <c r="J1194" s="25">
        <v>1</v>
      </c>
      <c r="K1194" s="37">
        <v>1624.58</v>
      </c>
      <c r="L1194" s="17"/>
      <c r="M1194" s="29">
        <f>K1194*L1194</f>
        <v>0</v>
      </c>
      <c r="N1194" s="31">
        <f>0.359*L1194</f>
        <v>0</v>
      </c>
      <c r="O1194" s="32">
        <f>0.00821*L1194</f>
        <v>0</v>
      </c>
      <c r="P1194" s="36"/>
      <c r="Q1194" s="29" t="s">
        <v>3851</v>
      </c>
      <c r="R1194" s="29" t="s">
        <v>611</v>
      </c>
      <c r="S1194" s="26" t="str">
        <f>HYPERLINK("https://miland.ru/api/getInfo/image/e3235219-95ce-11ef-a267-00155d82e908")</f>
        <v>https://miland.ru/api/getInfo/image/e3235219-95ce-11ef-a267-00155d82e908</v>
      </c>
    </row>
    <row r="1195" spans="1:19" s="1" customFormat="1" ht="12" customHeight="1" outlineLevel="7">
      <c r="A1195" s="64" t="s">
        <v>3852</v>
      </c>
      <c r="B1195" s="64"/>
      <c r="C1195" s="64"/>
      <c r="D1195" s="64"/>
      <c r="E1195" s="64"/>
      <c r="F1195" s="64"/>
      <c r="G1195" s="8"/>
      <c r="H1195" s="12"/>
      <c r="I1195" s="2"/>
      <c r="J1195" s="2"/>
      <c r="K1195" s="13"/>
      <c r="L1195" s="2"/>
      <c r="M1195" s="2"/>
      <c r="N1195" s="2"/>
      <c r="O1195" s="2"/>
      <c r="P1195" s="2"/>
      <c r="Q1195" s="2"/>
      <c r="R1195" s="2"/>
      <c r="S1195" s="2"/>
    </row>
    <row r="1196" spans="1:19" s="2" customFormat="1" ht="96.2" customHeight="1" outlineLevel="7">
      <c r="A1196" s="25">
        <v>906</v>
      </c>
      <c r="B1196" s="26" t="s">
        <v>3853</v>
      </c>
      <c r="C1196" s="66" t="s">
        <v>3854</v>
      </c>
      <c r="D1196" s="66"/>
      <c r="E1196" s="66"/>
      <c r="F1196" s="66"/>
      <c r="G1196" s="27" t="s">
        <v>3855</v>
      </c>
      <c r="H1196" s="33">
        <v>409</v>
      </c>
      <c r="I1196" s="29"/>
      <c r="J1196" s="25">
        <v>1</v>
      </c>
      <c r="K1196" s="30">
        <v>458.1</v>
      </c>
      <c r="L1196" s="17"/>
      <c r="M1196" s="29">
        <f>K1196*L1196</f>
        <v>0</v>
      </c>
      <c r="N1196" s="31">
        <f>0.065*L1196</f>
        <v>0</v>
      </c>
      <c r="O1196" s="35">
        <f>0.0011*L1196</f>
        <v>0</v>
      </c>
      <c r="P1196" s="36"/>
      <c r="Q1196" s="29" t="s">
        <v>3856</v>
      </c>
      <c r="R1196" s="29" t="s">
        <v>611</v>
      </c>
      <c r="S1196" s="26" t="str">
        <f>HYPERLINK("https://miland.ru/api/getInfo/image/41b1ab31-be7c-11ee-a25a-00155d82e908")</f>
        <v>https://miland.ru/api/getInfo/image/41b1ab31-be7c-11ee-a25a-00155d82e908</v>
      </c>
    </row>
    <row r="1197" spans="1:19" s="2" customFormat="1" ht="96.2" customHeight="1" outlineLevel="7">
      <c r="A1197" s="25">
        <v>907</v>
      </c>
      <c r="B1197" s="26" t="s">
        <v>3857</v>
      </c>
      <c r="C1197" s="66" t="s">
        <v>3858</v>
      </c>
      <c r="D1197" s="66"/>
      <c r="E1197" s="66"/>
      <c r="F1197" s="66"/>
      <c r="G1197" s="27" t="s">
        <v>3859</v>
      </c>
      <c r="H1197" s="33">
        <v>203</v>
      </c>
      <c r="I1197" s="29"/>
      <c r="J1197" s="25">
        <v>1</v>
      </c>
      <c r="K1197" s="30">
        <v>437.04</v>
      </c>
      <c r="L1197" s="17"/>
      <c r="M1197" s="29">
        <f>K1197*L1197</f>
        <v>0</v>
      </c>
      <c r="N1197" s="31">
        <f>0.058*L1197</f>
        <v>0</v>
      </c>
      <c r="O1197" s="35">
        <f>0.0011*L1197</f>
        <v>0</v>
      </c>
      <c r="P1197" s="36"/>
      <c r="Q1197" s="29" t="s">
        <v>3860</v>
      </c>
      <c r="R1197" s="29" t="s">
        <v>611</v>
      </c>
      <c r="S1197" s="26" t="str">
        <f>HYPERLINK("https://miland.ru/api/getInfo/image/5e103eae-da2f-11ee-a25a-00155d82e908")</f>
        <v>https://miland.ru/api/getInfo/image/5e103eae-da2f-11ee-a25a-00155d82e908</v>
      </c>
    </row>
    <row r="1198" spans="1:19" s="2" customFormat="1" ht="96.2" customHeight="1" outlineLevel="7">
      <c r="A1198" s="25">
        <v>908</v>
      </c>
      <c r="B1198" s="26" t="s">
        <v>3861</v>
      </c>
      <c r="C1198" s="66" t="s">
        <v>3862</v>
      </c>
      <c r="D1198" s="66"/>
      <c r="E1198" s="66"/>
      <c r="F1198" s="66"/>
      <c r="G1198" s="27" t="s">
        <v>3863</v>
      </c>
      <c r="H1198" s="33">
        <v>284</v>
      </c>
      <c r="I1198" s="29"/>
      <c r="J1198" s="25">
        <v>1</v>
      </c>
      <c r="K1198" s="30">
        <v>458.1</v>
      </c>
      <c r="L1198" s="17"/>
      <c r="M1198" s="29">
        <f>K1198*L1198</f>
        <v>0</v>
      </c>
      <c r="N1198" s="31">
        <f>0.059*L1198</f>
        <v>0</v>
      </c>
      <c r="O1198" s="35">
        <f>0.0011*L1198</f>
        <v>0</v>
      </c>
      <c r="P1198" s="36"/>
      <c r="Q1198" s="29" t="s">
        <v>3864</v>
      </c>
      <c r="R1198" s="29" t="s">
        <v>611</v>
      </c>
      <c r="S1198" s="26" t="str">
        <f>HYPERLINK("https://miland.ru/api/getInfo/image/aed868af-be7c-11ee-a25a-00155d82e908")</f>
        <v>https://miland.ru/api/getInfo/image/aed868af-be7c-11ee-a25a-00155d82e908</v>
      </c>
    </row>
    <row r="1199" spans="1:19" s="1" customFormat="1" ht="12" customHeight="1" outlineLevel="7">
      <c r="A1199" s="64" t="s">
        <v>3865</v>
      </c>
      <c r="B1199" s="64"/>
      <c r="C1199" s="64"/>
      <c r="D1199" s="64"/>
      <c r="E1199" s="64"/>
      <c r="F1199" s="64"/>
      <c r="G1199" s="8"/>
      <c r="H1199" s="12"/>
      <c r="I1199" s="2"/>
      <c r="J1199" s="2"/>
      <c r="K1199" s="13"/>
      <c r="L1199" s="2"/>
      <c r="M1199" s="2"/>
      <c r="N1199" s="2"/>
      <c r="O1199" s="2"/>
      <c r="P1199" s="2"/>
      <c r="Q1199" s="2"/>
      <c r="R1199" s="2"/>
      <c r="S1199" s="2"/>
    </row>
    <row r="1200" spans="1:19" s="2" customFormat="1" ht="96.2" customHeight="1" outlineLevel="7">
      <c r="A1200" s="25">
        <v>909</v>
      </c>
      <c r="B1200" s="26" t="s">
        <v>3866</v>
      </c>
      <c r="C1200" s="66" t="s">
        <v>3867</v>
      </c>
      <c r="D1200" s="66"/>
      <c r="E1200" s="66"/>
      <c r="F1200" s="66"/>
      <c r="G1200" s="27" t="s">
        <v>3868</v>
      </c>
      <c r="H1200" s="33">
        <v>25</v>
      </c>
      <c r="I1200" s="29"/>
      <c r="J1200" s="25">
        <v>1</v>
      </c>
      <c r="K1200" s="30">
        <v>508.17</v>
      </c>
      <c r="L1200" s="17"/>
      <c r="M1200" s="29">
        <f>K1200*L1200</f>
        <v>0</v>
      </c>
      <c r="N1200" s="31">
        <f>0.062*L1200</f>
        <v>0</v>
      </c>
      <c r="O1200" s="32">
        <f>0.00132*L1200</f>
        <v>0</v>
      </c>
      <c r="P1200" s="36"/>
      <c r="Q1200" s="29" t="s">
        <v>3869</v>
      </c>
      <c r="R1200" s="29" t="s">
        <v>611</v>
      </c>
      <c r="S1200" s="26" t="str">
        <f>HYPERLINK("https://miland.ru/api/getInfo/image/e325f79e-da30-11ee-a25a-00155d82e908")</f>
        <v>https://miland.ru/api/getInfo/image/e325f79e-da30-11ee-a25a-00155d82e908</v>
      </c>
    </row>
    <row r="1201" spans="1:19" s="2" customFormat="1" ht="96.2" customHeight="1" outlineLevel="7">
      <c r="A1201" s="25">
        <v>910</v>
      </c>
      <c r="B1201" s="26" t="s">
        <v>3870</v>
      </c>
      <c r="C1201" s="66" t="s">
        <v>3871</v>
      </c>
      <c r="D1201" s="66"/>
      <c r="E1201" s="66"/>
      <c r="F1201" s="66"/>
      <c r="G1201" s="27" t="s">
        <v>3872</v>
      </c>
      <c r="H1201" s="33">
        <v>355</v>
      </c>
      <c r="I1201" s="29"/>
      <c r="J1201" s="25">
        <v>1</v>
      </c>
      <c r="K1201" s="30">
        <v>508.17</v>
      </c>
      <c r="L1201" s="17"/>
      <c r="M1201" s="29">
        <f>K1201*L1201</f>
        <v>0</v>
      </c>
      <c r="N1201" s="31">
        <f>0.059*L1201</f>
        <v>0</v>
      </c>
      <c r="O1201" s="32">
        <f>0.00106*L1201</f>
        <v>0</v>
      </c>
      <c r="P1201" s="36"/>
      <c r="Q1201" s="29" t="s">
        <v>3873</v>
      </c>
      <c r="R1201" s="29" t="s">
        <v>611</v>
      </c>
      <c r="S1201" s="26" t="str">
        <f>HYPERLINK("https://miland.ru/api/getInfo/image/a1fbaf87-da30-11ee-a25a-00155d82e908")</f>
        <v>https://miland.ru/api/getInfo/image/a1fbaf87-da30-11ee-a25a-00155d82e908</v>
      </c>
    </row>
    <row r="1202" spans="1:19" s="2" customFormat="1" ht="96.2" customHeight="1" outlineLevel="7">
      <c r="A1202" s="25">
        <v>911</v>
      </c>
      <c r="B1202" s="26" t="s">
        <v>3874</v>
      </c>
      <c r="C1202" s="66" t="s">
        <v>3875</v>
      </c>
      <c r="D1202" s="66"/>
      <c r="E1202" s="66"/>
      <c r="F1202" s="66"/>
      <c r="G1202" s="27" t="s">
        <v>3876</v>
      </c>
      <c r="H1202" s="33">
        <v>476</v>
      </c>
      <c r="I1202" s="29"/>
      <c r="J1202" s="25">
        <v>1</v>
      </c>
      <c r="K1202" s="30">
        <v>508.17</v>
      </c>
      <c r="L1202" s="17"/>
      <c r="M1202" s="29">
        <f>K1202*L1202</f>
        <v>0</v>
      </c>
      <c r="N1202" s="31">
        <f>0.056*L1202</f>
        <v>0</v>
      </c>
      <c r="O1202" s="32">
        <f>0.00114*L1202</f>
        <v>0</v>
      </c>
      <c r="P1202" s="36"/>
      <c r="Q1202" s="29" t="s">
        <v>3877</v>
      </c>
      <c r="R1202" s="29" t="s">
        <v>611</v>
      </c>
      <c r="S1202" s="26" t="str">
        <f>HYPERLINK("https://miland.ru/api/getInfo/image/c35a476c-da30-11ee-a25a-00155d82e908")</f>
        <v>https://miland.ru/api/getInfo/image/c35a476c-da30-11ee-a25a-00155d82e908</v>
      </c>
    </row>
    <row r="1203" spans="1:19" s="1" customFormat="1" ht="12" customHeight="1" outlineLevel="7">
      <c r="A1203" s="64" t="s">
        <v>3878</v>
      </c>
      <c r="B1203" s="64"/>
      <c r="C1203" s="64"/>
      <c r="D1203" s="64"/>
      <c r="E1203" s="64"/>
      <c r="F1203" s="64"/>
      <c r="G1203" s="8"/>
      <c r="H1203" s="12"/>
      <c r="I1203" s="2"/>
      <c r="J1203" s="2"/>
      <c r="K1203" s="13"/>
      <c r="L1203" s="2"/>
      <c r="M1203" s="2"/>
      <c r="N1203" s="2"/>
      <c r="O1203" s="2"/>
      <c r="P1203" s="2"/>
      <c r="Q1203" s="2"/>
      <c r="R1203" s="2"/>
      <c r="S1203" s="2"/>
    </row>
    <row r="1204" spans="1:19" s="2" customFormat="1" ht="96.2" customHeight="1" outlineLevel="7">
      <c r="A1204" s="25">
        <v>912</v>
      </c>
      <c r="B1204" s="26" t="s">
        <v>3879</v>
      </c>
      <c r="C1204" s="66" t="s">
        <v>3880</v>
      </c>
      <c r="D1204" s="66"/>
      <c r="E1204" s="66"/>
      <c r="F1204" s="66"/>
      <c r="G1204" s="27" t="s">
        <v>3881</v>
      </c>
      <c r="H1204" s="33">
        <v>10</v>
      </c>
      <c r="I1204" s="29"/>
      <c r="J1204" s="25">
        <v>2</v>
      </c>
      <c r="K1204" s="30">
        <v>376.21</v>
      </c>
      <c r="L1204" s="17"/>
      <c r="M1204" s="29">
        <f>K1204*L1204</f>
        <v>0</v>
      </c>
      <c r="N1204" s="31">
        <f>0.063*L1204</f>
        <v>0</v>
      </c>
      <c r="O1204" s="35">
        <f>0.0011*L1204</f>
        <v>0</v>
      </c>
      <c r="P1204" s="36"/>
      <c r="Q1204" s="29" t="s">
        <v>3882</v>
      </c>
      <c r="R1204" s="29" t="s">
        <v>611</v>
      </c>
      <c r="S1204" s="26" t="str">
        <f>HYPERLINK("https://miland.ru/api/getInfo/image/cdd638f7-be80-11ee-a25a-00155d82e908")</f>
        <v>https://miland.ru/api/getInfo/image/cdd638f7-be80-11ee-a25a-00155d82e908</v>
      </c>
    </row>
    <row r="1205" spans="1:19" s="2" customFormat="1" ht="96.2" customHeight="1" outlineLevel="7">
      <c r="A1205" s="25">
        <v>913</v>
      </c>
      <c r="B1205" s="26" t="s">
        <v>3883</v>
      </c>
      <c r="C1205" s="66" t="s">
        <v>3884</v>
      </c>
      <c r="D1205" s="66"/>
      <c r="E1205" s="66"/>
      <c r="F1205" s="66"/>
      <c r="G1205" s="27" t="s">
        <v>3885</v>
      </c>
      <c r="H1205" s="33">
        <v>10</v>
      </c>
      <c r="I1205" s="29"/>
      <c r="J1205" s="25">
        <v>2</v>
      </c>
      <c r="K1205" s="30">
        <v>376.21</v>
      </c>
      <c r="L1205" s="17"/>
      <c r="M1205" s="29">
        <f>K1205*L1205</f>
        <v>0</v>
      </c>
      <c r="N1205" s="31">
        <f>0.071*L1205</f>
        <v>0</v>
      </c>
      <c r="O1205" s="35">
        <f>0.0011*L1205</f>
        <v>0</v>
      </c>
      <c r="P1205" s="36"/>
      <c r="Q1205" s="29" t="s">
        <v>3886</v>
      </c>
      <c r="R1205" s="29" t="s">
        <v>611</v>
      </c>
      <c r="S1205" s="26" t="str">
        <f>HYPERLINK("https://miland.ru/api/getInfo/image/f02cb6bb-be80-11ee-a25a-00155d82e908")</f>
        <v>https://miland.ru/api/getInfo/image/f02cb6bb-be80-11ee-a25a-00155d82e908</v>
      </c>
    </row>
    <row r="1206" spans="1:19" s="2" customFormat="1" ht="96.2" customHeight="1" outlineLevel="7">
      <c r="A1206" s="25">
        <v>914</v>
      </c>
      <c r="B1206" s="26" t="s">
        <v>3887</v>
      </c>
      <c r="C1206" s="66" t="s">
        <v>3888</v>
      </c>
      <c r="D1206" s="66"/>
      <c r="E1206" s="66"/>
      <c r="F1206" s="66"/>
      <c r="G1206" s="27" t="s">
        <v>3889</v>
      </c>
      <c r="H1206" s="33">
        <v>10</v>
      </c>
      <c r="I1206" s="29"/>
      <c r="J1206" s="25">
        <v>2</v>
      </c>
      <c r="K1206" s="30">
        <v>315.33999999999997</v>
      </c>
      <c r="L1206" s="17"/>
      <c r="M1206" s="29">
        <f>K1206*L1206</f>
        <v>0</v>
      </c>
      <c r="N1206" s="31">
        <f>0.069*L1206</f>
        <v>0</v>
      </c>
      <c r="O1206" s="32">
        <f>0.00113*L1206</f>
        <v>0</v>
      </c>
      <c r="P1206" s="36"/>
      <c r="Q1206" s="29" t="s">
        <v>3890</v>
      </c>
      <c r="R1206" s="29" t="s">
        <v>611</v>
      </c>
      <c r="S1206" s="26" t="str">
        <f>HYPERLINK("https://miland.ru/api/getInfo/image/0eb8e0be-be81-11ee-a25a-00155d82e908")</f>
        <v>https://miland.ru/api/getInfo/image/0eb8e0be-be81-11ee-a25a-00155d82e908</v>
      </c>
    </row>
    <row r="1207" spans="1:19" s="2" customFormat="1" ht="96.2" customHeight="1" outlineLevel="7">
      <c r="A1207" s="25">
        <v>915</v>
      </c>
      <c r="B1207" s="26" t="s">
        <v>3891</v>
      </c>
      <c r="C1207" s="66" t="s">
        <v>3892</v>
      </c>
      <c r="D1207" s="66"/>
      <c r="E1207" s="66"/>
      <c r="F1207" s="66"/>
      <c r="G1207" s="27" t="s">
        <v>3893</v>
      </c>
      <c r="H1207" s="33">
        <v>196</v>
      </c>
      <c r="I1207" s="29"/>
      <c r="J1207" s="25">
        <v>2</v>
      </c>
      <c r="K1207" s="30">
        <v>376.21</v>
      </c>
      <c r="L1207" s="17"/>
      <c r="M1207" s="29">
        <f>K1207*L1207</f>
        <v>0</v>
      </c>
      <c r="N1207" s="31">
        <f>0.057*L1207</f>
        <v>0</v>
      </c>
      <c r="O1207" s="32">
        <f>0.00107*L1207</f>
        <v>0</v>
      </c>
      <c r="P1207" s="36"/>
      <c r="Q1207" s="29" t="s">
        <v>3894</v>
      </c>
      <c r="R1207" s="29" t="s">
        <v>611</v>
      </c>
      <c r="S1207" s="26" t="str">
        <f>HYPERLINK("https://miland.ru/api/getInfo/image/6f1c6424-be80-11ee-a25a-00155d82e908")</f>
        <v>https://miland.ru/api/getInfo/image/6f1c6424-be80-11ee-a25a-00155d82e908</v>
      </c>
    </row>
    <row r="1208" spans="1:19" s="2" customFormat="1" ht="96.2" customHeight="1" outlineLevel="7">
      <c r="A1208" s="25">
        <v>916</v>
      </c>
      <c r="B1208" s="26" t="s">
        <v>3895</v>
      </c>
      <c r="C1208" s="66" t="s">
        <v>3896</v>
      </c>
      <c r="D1208" s="66"/>
      <c r="E1208" s="66"/>
      <c r="F1208" s="66"/>
      <c r="G1208" s="27" t="s">
        <v>3897</v>
      </c>
      <c r="H1208" s="33">
        <v>84</v>
      </c>
      <c r="I1208" s="29"/>
      <c r="J1208" s="25">
        <v>1</v>
      </c>
      <c r="K1208" s="37">
        <v>1563.72</v>
      </c>
      <c r="L1208" s="17"/>
      <c r="M1208" s="29">
        <f>K1208*L1208</f>
        <v>0</v>
      </c>
      <c r="N1208" s="34">
        <f>0.36*L1208</f>
        <v>0</v>
      </c>
      <c r="O1208" s="35">
        <f>0.0078*L1208</f>
        <v>0</v>
      </c>
      <c r="P1208" s="36"/>
      <c r="Q1208" s="29" t="s">
        <v>3898</v>
      </c>
      <c r="R1208" s="29" t="s">
        <v>611</v>
      </c>
      <c r="S1208" s="26" t="str">
        <f>HYPERLINK("https://miland.ru/api/getInfo/image/d07a5cdf-95ce-11ef-a267-00155d82e908")</f>
        <v>https://miland.ru/api/getInfo/image/d07a5cdf-95ce-11ef-a267-00155d82e908</v>
      </c>
    </row>
    <row r="1209" spans="1:19" s="1" customFormat="1" ht="12" customHeight="1" outlineLevel="7">
      <c r="A1209" s="64" t="s">
        <v>3899</v>
      </c>
      <c r="B1209" s="64"/>
      <c r="C1209" s="64"/>
      <c r="D1209" s="64"/>
      <c r="E1209" s="64"/>
      <c r="F1209" s="64"/>
      <c r="G1209" s="8"/>
      <c r="H1209" s="12"/>
      <c r="I1209" s="2"/>
      <c r="J1209" s="2"/>
      <c r="K1209" s="13"/>
      <c r="L1209" s="2"/>
      <c r="M1209" s="2"/>
      <c r="N1209" s="2"/>
      <c r="O1209" s="2"/>
      <c r="P1209" s="2"/>
      <c r="Q1209" s="2"/>
      <c r="R1209" s="2"/>
      <c r="S1209" s="2"/>
    </row>
    <row r="1210" spans="1:19" s="2" customFormat="1" ht="96.2" customHeight="1" outlineLevel="7">
      <c r="A1210" s="25">
        <v>917</v>
      </c>
      <c r="B1210" s="26" t="s">
        <v>3900</v>
      </c>
      <c r="C1210" s="66" t="s">
        <v>3901</v>
      </c>
      <c r="D1210" s="66"/>
      <c r="E1210" s="66"/>
      <c r="F1210" s="66"/>
      <c r="G1210" s="27" t="s">
        <v>3902</v>
      </c>
      <c r="H1210" s="33">
        <v>365</v>
      </c>
      <c r="I1210" s="29"/>
      <c r="J1210" s="25">
        <v>1</v>
      </c>
      <c r="K1210" s="30">
        <v>407.31</v>
      </c>
      <c r="L1210" s="17"/>
      <c r="M1210" s="29">
        <f>K1210*L1210</f>
        <v>0</v>
      </c>
      <c r="N1210" s="31">
        <f>0.059*L1210</f>
        <v>0</v>
      </c>
      <c r="O1210" s="32">
        <f>0.00115*L1210</f>
        <v>0</v>
      </c>
      <c r="P1210" s="36"/>
      <c r="Q1210" s="29" t="s">
        <v>3903</v>
      </c>
      <c r="R1210" s="29" t="s">
        <v>611</v>
      </c>
      <c r="S1210" s="26" t="str">
        <f>HYPERLINK("https://miland.ru/api/getInfo/image/2b2a0edb-be83-11ee-a25a-00155d82e908")</f>
        <v>https://miland.ru/api/getInfo/image/2b2a0edb-be83-11ee-a25a-00155d82e908</v>
      </c>
    </row>
    <row r="1211" spans="1:19" s="2" customFormat="1" ht="96.2" customHeight="1" outlineLevel="7">
      <c r="A1211" s="25">
        <v>918</v>
      </c>
      <c r="B1211" s="26" t="s">
        <v>3904</v>
      </c>
      <c r="C1211" s="66" t="s">
        <v>3905</v>
      </c>
      <c r="D1211" s="66"/>
      <c r="E1211" s="66"/>
      <c r="F1211" s="66"/>
      <c r="G1211" s="27" t="s">
        <v>3906</v>
      </c>
      <c r="H1211" s="33">
        <v>5</v>
      </c>
      <c r="I1211" s="29"/>
      <c r="J1211" s="25">
        <v>1</v>
      </c>
      <c r="K1211" s="30">
        <v>407.31</v>
      </c>
      <c r="L1211" s="17"/>
      <c r="M1211" s="29">
        <f>K1211*L1211</f>
        <v>0</v>
      </c>
      <c r="N1211" s="31">
        <f>0.058*L1211</f>
        <v>0</v>
      </c>
      <c r="O1211" s="32">
        <f>0.00108*L1211</f>
        <v>0</v>
      </c>
      <c r="P1211" s="36"/>
      <c r="Q1211" s="29" t="s">
        <v>3907</v>
      </c>
      <c r="R1211" s="29" t="s">
        <v>611</v>
      </c>
      <c r="S1211" s="26" t="str">
        <f>HYPERLINK("https://miland.ru/api/getInfo/image/cfd41067-be82-11ee-a25a-00155d82e908")</f>
        <v>https://miland.ru/api/getInfo/image/cfd41067-be82-11ee-a25a-00155d82e908</v>
      </c>
    </row>
    <row r="1212" spans="1:19" s="2" customFormat="1" ht="96.2" customHeight="1" outlineLevel="7">
      <c r="A1212" s="25">
        <v>919</v>
      </c>
      <c r="B1212" s="26" t="s">
        <v>3908</v>
      </c>
      <c r="C1212" s="66" t="s">
        <v>3909</v>
      </c>
      <c r="D1212" s="66"/>
      <c r="E1212" s="66"/>
      <c r="F1212" s="66"/>
      <c r="G1212" s="27" t="s">
        <v>3910</v>
      </c>
      <c r="H1212" s="33">
        <v>261</v>
      </c>
      <c r="I1212" s="29"/>
      <c r="J1212" s="25">
        <v>1</v>
      </c>
      <c r="K1212" s="30">
        <v>407.31</v>
      </c>
      <c r="L1212" s="17"/>
      <c r="M1212" s="29">
        <f>K1212*L1212</f>
        <v>0</v>
      </c>
      <c r="N1212" s="31">
        <f>0.055*L1212</f>
        <v>0</v>
      </c>
      <c r="O1212" s="32">
        <f>0.01516*L1212</f>
        <v>0</v>
      </c>
      <c r="P1212" s="36"/>
      <c r="Q1212" s="29" t="s">
        <v>3911</v>
      </c>
      <c r="R1212" s="29" t="s">
        <v>611</v>
      </c>
      <c r="S1212" s="26" t="str">
        <f>HYPERLINK("https://miland.ru/api/getInfo/image/097cc043-be83-11ee-a25a-00155d82e908")</f>
        <v>https://miland.ru/api/getInfo/image/097cc043-be83-11ee-a25a-00155d82e908</v>
      </c>
    </row>
    <row r="1213" spans="1:19" s="2" customFormat="1" ht="96.2" customHeight="1" outlineLevel="7">
      <c r="A1213" s="25">
        <v>920</v>
      </c>
      <c r="B1213" s="26" t="s">
        <v>3912</v>
      </c>
      <c r="C1213" s="66" t="s">
        <v>3913</v>
      </c>
      <c r="D1213" s="66"/>
      <c r="E1213" s="66"/>
      <c r="F1213" s="66"/>
      <c r="G1213" s="27" t="s">
        <v>3914</v>
      </c>
      <c r="H1213" s="33">
        <v>2</v>
      </c>
      <c r="I1213" s="29"/>
      <c r="J1213" s="25">
        <v>1</v>
      </c>
      <c r="K1213" s="30">
        <v>407.31</v>
      </c>
      <c r="L1213" s="17"/>
      <c r="M1213" s="29">
        <f>K1213*L1213</f>
        <v>0</v>
      </c>
      <c r="N1213" s="31">
        <f>0.057*L1213</f>
        <v>0</v>
      </c>
      <c r="O1213" s="32">
        <f>0.00109*L1213</f>
        <v>0</v>
      </c>
      <c r="P1213" s="36"/>
      <c r="Q1213" s="29" t="s">
        <v>3915</v>
      </c>
      <c r="R1213" s="29" t="s">
        <v>611</v>
      </c>
      <c r="S1213" s="26" t="str">
        <f>HYPERLINK("https://miland.ru/api/getInfo/image/eeaa3487-be82-11ee-a25a-00155d82e908")</f>
        <v>https://miland.ru/api/getInfo/image/eeaa3487-be82-11ee-a25a-00155d82e908</v>
      </c>
    </row>
    <row r="1214" spans="1:19" s="1" customFormat="1" ht="12" customHeight="1" outlineLevel="7">
      <c r="A1214" s="64" t="s">
        <v>3916</v>
      </c>
      <c r="B1214" s="64"/>
      <c r="C1214" s="64"/>
      <c r="D1214" s="64"/>
      <c r="E1214" s="64"/>
      <c r="F1214" s="64"/>
      <c r="G1214" s="8"/>
      <c r="H1214" s="12"/>
      <c r="I1214" s="2"/>
      <c r="J1214" s="2"/>
      <c r="K1214" s="13"/>
      <c r="L1214" s="2"/>
      <c r="M1214" s="2"/>
      <c r="N1214" s="2"/>
      <c r="O1214" s="2"/>
      <c r="P1214" s="2"/>
      <c r="Q1214" s="2"/>
      <c r="R1214" s="2"/>
      <c r="S1214" s="2"/>
    </row>
    <row r="1215" spans="1:19" s="2" customFormat="1" ht="96.2" customHeight="1" outlineLevel="7">
      <c r="A1215" s="25">
        <v>921</v>
      </c>
      <c r="B1215" s="26" t="s">
        <v>3917</v>
      </c>
      <c r="C1215" s="66" t="s">
        <v>3918</v>
      </c>
      <c r="D1215" s="66"/>
      <c r="E1215" s="66"/>
      <c r="F1215" s="66"/>
      <c r="G1215" s="27" t="s">
        <v>3919</v>
      </c>
      <c r="H1215" s="33">
        <v>306</v>
      </c>
      <c r="I1215" s="29"/>
      <c r="J1215" s="25">
        <v>2</v>
      </c>
      <c r="K1215" s="30">
        <v>339.39</v>
      </c>
      <c r="L1215" s="17"/>
      <c r="M1215" s="29">
        <f>K1215*L1215</f>
        <v>0</v>
      </c>
      <c r="N1215" s="31">
        <f>0.059*L1215</f>
        <v>0</v>
      </c>
      <c r="O1215" s="32">
        <f>0.00105*L1215</f>
        <v>0</v>
      </c>
      <c r="P1215" s="36"/>
      <c r="Q1215" s="29" t="s">
        <v>3920</v>
      </c>
      <c r="R1215" s="29" t="s">
        <v>611</v>
      </c>
      <c r="S1215" s="26" t="str">
        <f>HYPERLINK("https://miland.ru/api/getInfo/image/3051631f-be7d-11ee-a25a-00155d82e908")</f>
        <v>https://miland.ru/api/getInfo/image/3051631f-be7d-11ee-a25a-00155d82e908</v>
      </c>
    </row>
    <row r="1216" spans="1:19" s="2" customFormat="1" ht="96.2" customHeight="1" outlineLevel="7">
      <c r="A1216" s="25">
        <v>922</v>
      </c>
      <c r="B1216" s="26" t="s">
        <v>3921</v>
      </c>
      <c r="C1216" s="66" t="s">
        <v>3922</v>
      </c>
      <c r="D1216" s="66"/>
      <c r="E1216" s="66"/>
      <c r="F1216" s="66"/>
      <c r="G1216" s="27" t="s">
        <v>3923</v>
      </c>
      <c r="H1216" s="33">
        <v>279</v>
      </c>
      <c r="I1216" s="29"/>
      <c r="J1216" s="25">
        <v>2</v>
      </c>
      <c r="K1216" s="30">
        <v>339.39</v>
      </c>
      <c r="L1216" s="17"/>
      <c r="M1216" s="29">
        <f>K1216*L1216</f>
        <v>0</v>
      </c>
      <c r="N1216" s="31">
        <f>0.059*L1216</f>
        <v>0</v>
      </c>
      <c r="O1216" s="32">
        <f>0.00105*L1216</f>
        <v>0</v>
      </c>
      <c r="P1216" s="36"/>
      <c r="Q1216" s="29" t="s">
        <v>3924</v>
      </c>
      <c r="R1216" s="29" t="s">
        <v>611</v>
      </c>
      <c r="S1216" s="26" t="str">
        <f>HYPERLINK("https://miland.ru/api/getInfo/image/4c8e493a-be7d-11ee-a25a-00155d82e908")</f>
        <v>https://miland.ru/api/getInfo/image/4c8e493a-be7d-11ee-a25a-00155d82e908</v>
      </c>
    </row>
    <row r="1217" spans="1:19" s="2" customFormat="1" ht="96.2" customHeight="1" outlineLevel="7">
      <c r="A1217" s="25">
        <v>923</v>
      </c>
      <c r="B1217" s="26" t="s">
        <v>3925</v>
      </c>
      <c r="C1217" s="66" t="s">
        <v>3926</v>
      </c>
      <c r="D1217" s="66"/>
      <c r="E1217" s="66"/>
      <c r="F1217" s="66"/>
      <c r="G1217" s="27" t="s">
        <v>3927</v>
      </c>
      <c r="H1217" s="33">
        <v>249</v>
      </c>
      <c r="I1217" s="29"/>
      <c r="J1217" s="25">
        <v>2</v>
      </c>
      <c r="K1217" s="30">
        <v>339.39</v>
      </c>
      <c r="L1217" s="17"/>
      <c r="M1217" s="29">
        <f>K1217*L1217</f>
        <v>0</v>
      </c>
      <c r="N1217" s="31">
        <f>0.058*L1217</f>
        <v>0</v>
      </c>
      <c r="O1217" s="32">
        <f>0.00109*L1217</f>
        <v>0</v>
      </c>
      <c r="P1217" s="36"/>
      <c r="Q1217" s="29" t="s">
        <v>3928</v>
      </c>
      <c r="R1217" s="29" t="s">
        <v>611</v>
      </c>
      <c r="S1217" s="26" t="str">
        <f>HYPERLINK("https://miland.ru/api/getInfo/image/0c2061d0-be7d-11ee-a25a-00155d82e908")</f>
        <v>https://miland.ru/api/getInfo/image/0c2061d0-be7d-11ee-a25a-00155d82e908</v>
      </c>
    </row>
    <row r="1218" spans="1:19" s="2" customFormat="1" ht="96.2" customHeight="1" outlineLevel="7">
      <c r="A1218" s="25">
        <v>924</v>
      </c>
      <c r="B1218" s="26" t="s">
        <v>3929</v>
      </c>
      <c r="C1218" s="66" t="s">
        <v>3930</v>
      </c>
      <c r="D1218" s="66"/>
      <c r="E1218" s="66"/>
      <c r="F1218" s="66"/>
      <c r="G1218" s="27" t="s">
        <v>3931</v>
      </c>
      <c r="H1218" s="33">
        <v>458</v>
      </c>
      <c r="I1218" s="29"/>
      <c r="J1218" s="25">
        <v>2</v>
      </c>
      <c r="K1218" s="30">
        <v>339.39</v>
      </c>
      <c r="L1218" s="17"/>
      <c r="M1218" s="29">
        <f>K1218*L1218</f>
        <v>0</v>
      </c>
      <c r="N1218" s="31">
        <f>0.058*L1218</f>
        <v>0</v>
      </c>
      <c r="O1218" s="32">
        <f>0.00109*L1218</f>
        <v>0</v>
      </c>
      <c r="P1218" s="36"/>
      <c r="Q1218" s="29" t="s">
        <v>3932</v>
      </c>
      <c r="R1218" s="29" t="s">
        <v>611</v>
      </c>
      <c r="S1218" s="26" t="str">
        <f>HYPERLINK("https://miland.ru/api/getInfo/image/6c044064-be90-11ee-a25a-00155d82e908")</f>
        <v>https://miland.ru/api/getInfo/image/6c044064-be90-11ee-a25a-00155d82e908</v>
      </c>
    </row>
    <row r="1219" spans="1:19" s="2" customFormat="1" ht="96.2" customHeight="1" outlineLevel="7">
      <c r="A1219" s="25">
        <v>925</v>
      </c>
      <c r="B1219" s="26" t="s">
        <v>3933</v>
      </c>
      <c r="C1219" s="66" t="s">
        <v>3934</v>
      </c>
      <c r="D1219" s="66"/>
      <c r="E1219" s="66"/>
      <c r="F1219" s="66"/>
      <c r="G1219" s="27" t="s">
        <v>3935</v>
      </c>
      <c r="H1219" s="33">
        <v>44</v>
      </c>
      <c r="I1219" s="29"/>
      <c r="J1219" s="25">
        <v>1</v>
      </c>
      <c r="K1219" s="37">
        <v>1477.33</v>
      </c>
      <c r="L1219" s="17"/>
      <c r="M1219" s="29">
        <f>K1219*L1219</f>
        <v>0</v>
      </c>
      <c r="N1219" s="31">
        <f>0.361*L1219</f>
        <v>0</v>
      </c>
      <c r="O1219" s="35">
        <f>0.0078*L1219</f>
        <v>0</v>
      </c>
      <c r="P1219" s="36"/>
      <c r="Q1219" s="29" t="s">
        <v>3936</v>
      </c>
      <c r="R1219" s="29" t="s">
        <v>611</v>
      </c>
      <c r="S1219" s="26" t="str">
        <f>HYPERLINK("https://miland.ru/api/getInfo/image/bae6cc3b-95ce-11ef-a267-00155d82e908")</f>
        <v>https://miland.ru/api/getInfo/image/bae6cc3b-95ce-11ef-a267-00155d82e908</v>
      </c>
    </row>
    <row r="1220" spans="1:19" s="1" customFormat="1" ht="12" customHeight="1" outlineLevel="7">
      <c r="A1220" s="64" t="s">
        <v>3937</v>
      </c>
      <c r="B1220" s="64"/>
      <c r="C1220" s="64"/>
      <c r="D1220" s="64"/>
      <c r="E1220" s="64"/>
      <c r="F1220" s="64"/>
      <c r="G1220" s="8"/>
      <c r="H1220" s="12"/>
      <c r="I1220" s="2"/>
      <c r="J1220" s="2"/>
      <c r="K1220" s="13"/>
      <c r="L1220" s="2"/>
      <c r="M1220" s="2"/>
      <c r="N1220" s="2"/>
      <c r="O1220" s="2"/>
      <c r="P1220" s="2"/>
      <c r="Q1220" s="2"/>
      <c r="R1220" s="2"/>
      <c r="S1220" s="2"/>
    </row>
    <row r="1221" spans="1:19" s="2" customFormat="1" ht="96.2" customHeight="1" outlineLevel="7">
      <c r="A1221" s="25">
        <v>926</v>
      </c>
      <c r="B1221" s="26" t="s">
        <v>3938</v>
      </c>
      <c r="C1221" s="66" t="s">
        <v>3939</v>
      </c>
      <c r="D1221" s="66"/>
      <c r="E1221" s="66"/>
      <c r="F1221" s="66"/>
      <c r="G1221" s="27" t="s">
        <v>3940</v>
      </c>
      <c r="H1221" s="33">
        <v>496</v>
      </c>
      <c r="I1221" s="29"/>
      <c r="J1221" s="25">
        <v>2</v>
      </c>
      <c r="K1221" s="30">
        <v>286.01</v>
      </c>
      <c r="L1221" s="17"/>
      <c r="M1221" s="29">
        <f>K1221*L1221</f>
        <v>0</v>
      </c>
      <c r="N1221" s="31">
        <f>0.055*L1221</f>
        <v>0</v>
      </c>
      <c r="O1221" s="32">
        <f>0.00094*L1221</f>
        <v>0</v>
      </c>
      <c r="P1221" s="36"/>
      <c r="Q1221" s="29" t="s">
        <v>3941</v>
      </c>
      <c r="R1221" s="29" t="s">
        <v>611</v>
      </c>
      <c r="S1221" s="26" t="str">
        <f>HYPERLINK("https://miland.ru/api/getInfo/image/7f8ec68b-9d72-11ed-a22e-00155d82e902")</f>
        <v>https://miland.ru/api/getInfo/image/7f8ec68b-9d72-11ed-a22e-00155d82e902</v>
      </c>
    </row>
    <row r="1222" spans="1:19" s="2" customFormat="1" ht="96.2" customHeight="1" outlineLevel="7">
      <c r="A1222" s="25">
        <v>927</v>
      </c>
      <c r="B1222" s="26" t="s">
        <v>3942</v>
      </c>
      <c r="C1222" s="66" t="s">
        <v>3943</v>
      </c>
      <c r="D1222" s="66"/>
      <c r="E1222" s="66"/>
      <c r="F1222" s="66"/>
      <c r="G1222" s="27" t="s">
        <v>3944</v>
      </c>
      <c r="H1222" s="33">
        <v>426</v>
      </c>
      <c r="I1222" s="29"/>
      <c r="J1222" s="25">
        <v>2</v>
      </c>
      <c r="K1222" s="30">
        <v>286.01</v>
      </c>
      <c r="L1222" s="17"/>
      <c r="M1222" s="29">
        <f>K1222*L1222</f>
        <v>0</v>
      </c>
      <c r="N1222" s="31">
        <f>0.051*L1222</f>
        <v>0</v>
      </c>
      <c r="O1222" s="32">
        <f>0.00098*L1222</f>
        <v>0</v>
      </c>
      <c r="P1222" s="36"/>
      <c r="Q1222" s="29" t="s">
        <v>3945</v>
      </c>
      <c r="R1222" s="29" t="s">
        <v>611</v>
      </c>
      <c r="S1222" s="26" t="str">
        <f>HYPERLINK("https://miland.ru/api/getInfo/image/5493af69-9d72-11ed-a22e-00155d82e902")</f>
        <v>https://miland.ru/api/getInfo/image/5493af69-9d72-11ed-a22e-00155d82e902</v>
      </c>
    </row>
    <row r="1223" spans="1:19" s="2" customFormat="1" ht="96.2" customHeight="1" outlineLevel="7">
      <c r="A1223" s="25">
        <v>928</v>
      </c>
      <c r="B1223" s="26" t="s">
        <v>3946</v>
      </c>
      <c r="C1223" s="66" t="s">
        <v>3947</v>
      </c>
      <c r="D1223" s="66"/>
      <c r="E1223" s="66"/>
      <c r="F1223" s="66"/>
      <c r="G1223" s="27" t="s">
        <v>3948</v>
      </c>
      <c r="H1223" s="33">
        <v>317</v>
      </c>
      <c r="I1223" s="29"/>
      <c r="J1223" s="25">
        <v>2</v>
      </c>
      <c r="K1223" s="30">
        <v>286.01</v>
      </c>
      <c r="L1223" s="17"/>
      <c r="M1223" s="29">
        <f>K1223*L1223</f>
        <v>0</v>
      </c>
      <c r="N1223" s="31">
        <f>0.054*L1223</f>
        <v>0</v>
      </c>
      <c r="O1223" s="32">
        <f>0.00095*L1223</f>
        <v>0</v>
      </c>
      <c r="P1223" s="36"/>
      <c r="Q1223" s="29" t="s">
        <v>3949</v>
      </c>
      <c r="R1223" s="29" t="s">
        <v>611</v>
      </c>
      <c r="S1223" s="26" t="str">
        <f>HYPERLINK("https://miland.ru/api/getInfo/image/dd0814d0-9d71-11ed-a22e-00155d82e902")</f>
        <v>https://miland.ru/api/getInfo/image/dd0814d0-9d71-11ed-a22e-00155d82e902</v>
      </c>
    </row>
    <row r="1224" spans="1:19" s="2" customFormat="1" ht="96.2" customHeight="1" outlineLevel="7">
      <c r="A1224" s="25">
        <v>929</v>
      </c>
      <c r="B1224" s="26" t="s">
        <v>3950</v>
      </c>
      <c r="C1224" s="66" t="s">
        <v>3951</v>
      </c>
      <c r="D1224" s="66"/>
      <c r="E1224" s="66"/>
      <c r="F1224" s="66"/>
      <c r="G1224" s="27" t="s">
        <v>3952</v>
      </c>
      <c r="H1224" s="33">
        <v>444</v>
      </c>
      <c r="I1224" s="29"/>
      <c r="J1224" s="25">
        <v>2</v>
      </c>
      <c r="K1224" s="30">
        <v>286.01</v>
      </c>
      <c r="L1224" s="17"/>
      <c r="M1224" s="29">
        <f>K1224*L1224</f>
        <v>0</v>
      </c>
      <c r="N1224" s="31">
        <f>0.057*L1224</f>
        <v>0</v>
      </c>
      <c r="O1224" s="32">
        <f>0.00094*L1224</f>
        <v>0</v>
      </c>
      <c r="P1224" s="36"/>
      <c r="Q1224" s="29" t="s">
        <v>3953</v>
      </c>
      <c r="R1224" s="29" t="s">
        <v>611</v>
      </c>
      <c r="S1224" s="26" t="str">
        <f>HYPERLINK("https://miland.ru/api/getInfo/image/0fe43401-9d72-11ed-a22e-00155d82e902")</f>
        <v>https://miland.ru/api/getInfo/image/0fe43401-9d72-11ed-a22e-00155d82e902</v>
      </c>
    </row>
    <row r="1225" spans="1:19" s="1" customFormat="1" ht="12" customHeight="1" outlineLevel="7">
      <c r="A1225" s="64" t="s">
        <v>3954</v>
      </c>
      <c r="B1225" s="64"/>
      <c r="C1225" s="64"/>
      <c r="D1225" s="64"/>
      <c r="E1225" s="64"/>
      <c r="F1225" s="64"/>
      <c r="G1225" s="8"/>
      <c r="H1225" s="12"/>
      <c r="I1225" s="2"/>
      <c r="J1225" s="2"/>
      <c r="K1225" s="13"/>
      <c r="L1225" s="2"/>
      <c r="M1225" s="2"/>
      <c r="N1225" s="2"/>
      <c r="O1225" s="2"/>
      <c r="P1225" s="2"/>
      <c r="Q1225" s="2"/>
      <c r="R1225" s="2"/>
      <c r="S1225" s="2"/>
    </row>
    <row r="1226" spans="1:19" s="2" customFormat="1" ht="96.2" customHeight="1" outlineLevel="7">
      <c r="A1226" s="25">
        <v>930</v>
      </c>
      <c r="B1226" s="26" t="s">
        <v>3955</v>
      </c>
      <c r="C1226" s="66" t="s">
        <v>3956</v>
      </c>
      <c r="D1226" s="66"/>
      <c r="E1226" s="66"/>
      <c r="F1226" s="66"/>
      <c r="G1226" s="27" t="s">
        <v>3957</v>
      </c>
      <c r="H1226" s="33">
        <v>290</v>
      </c>
      <c r="I1226" s="29"/>
      <c r="J1226" s="25">
        <v>2</v>
      </c>
      <c r="K1226" s="30">
        <v>284.48</v>
      </c>
      <c r="L1226" s="17"/>
      <c r="M1226" s="29">
        <f>K1226*L1226</f>
        <v>0</v>
      </c>
      <c r="N1226" s="31">
        <f>0.061*L1226</f>
        <v>0</v>
      </c>
      <c r="O1226" s="32">
        <f>0.00106*L1226</f>
        <v>0</v>
      </c>
      <c r="P1226" s="36"/>
      <c r="Q1226" s="29" t="s">
        <v>3958</v>
      </c>
      <c r="R1226" s="29" t="s">
        <v>611</v>
      </c>
      <c r="S1226" s="26" t="str">
        <f>HYPERLINK("https://miland.ru/api/getInfo/image/7e182e23-be82-11ee-a25a-00155d82e908")</f>
        <v>https://miland.ru/api/getInfo/image/7e182e23-be82-11ee-a25a-00155d82e908</v>
      </c>
    </row>
    <row r="1227" spans="1:19" s="2" customFormat="1" ht="96.2" customHeight="1" outlineLevel="7">
      <c r="A1227" s="25">
        <v>931</v>
      </c>
      <c r="B1227" s="26" t="s">
        <v>3959</v>
      </c>
      <c r="C1227" s="66" t="s">
        <v>3960</v>
      </c>
      <c r="D1227" s="66"/>
      <c r="E1227" s="66"/>
      <c r="F1227" s="66"/>
      <c r="G1227" s="27" t="s">
        <v>3961</v>
      </c>
      <c r="H1227" s="33">
        <v>372</v>
      </c>
      <c r="I1227" s="29"/>
      <c r="J1227" s="25">
        <v>2</v>
      </c>
      <c r="K1227" s="30">
        <v>284.48</v>
      </c>
      <c r="L1227" s="17"/>
      <c r="M1227" s="29">
        <f>K1227*L1227</f>
        <v>0</v>
      </c>
      <c r="N1227" s="31">
        <f>0.056*L1227</f>
        <v>0</v>
      </c>
      <c r="O1227" s="32">
        <f>0.00107*L1227</f>
        <v>0</v>
      </c>
      <c r="P1227" s="36"/>
      <c r="Q1227" s="29" t="s">
        <v>3962</v>
      </c>
      <c r="R1227" s="29" t="s">
        <v>611</v>
      </c>
      <c r="S1227" s="26" t="str">
        <f>HYPERLINK("https://miland.ru/api/getInfo/image/3f9edacf-be82-11ee-a25a-00155d82e908")</f>
        <v>https://miland.ru/api/getInfo/image/3f9edacf-be82-11ee-a25a-00155d82e908</v>
      </c>
    </row>
    <row r="1228" spans="1:19" s="2" customFormat="1" ht="96.2" customHeight="1" outlineLevel="7">
      <c r="A1228" s="25">
        <v>932</v>
      </c>
      <c r="B1228" s="26" t="s">
        <v>3963</v>
      </c>
      <c r="C1228" s="66" t="s">
        <v>3964</v>
      </c>
      <c r="D1228" s="66"/>
      <c r="E1228" s="66"/>
      <c r="F1228" s="66"/>
      <c r="G1228" s="27" t="s">
        <v>3965</v>
      </c>
      <c r="H1228" s="33">
        <v>316</v>
      </c>
      <c r="I1228" s="29"/>
      <c r="J1228" s="25">
        <v>2</v>
      </c>
      <c r="K1228" s="30">
        <v>284.48</v>
      </c>
      <c r="L1228" s="17"/>
      <c r="M1228" s="29">
        <f>K1228*L1228</f>
        <v>0</v>
      </c>
      <c r="N1228" s="31">
        <f>0.065*L1228</f>
        <v>0</v>
      </c>
      <c r="O1228" s="32">
        <f>0.00113*L1228</f>
        <v>0</v>
      </c>
      <c r="P1228" s="36"/>
      <c r="Q1228" s="29" t="s">
        <v>3966</v>
      </c>
      <c r="R1228" s="29" t="s">
        <v>611</v>
      </c>
      <c r="S1228" s="26" t="str">
        <f>HYPERLINK("https://miland.ru/api/getInfo/image/61f5765e-be82-11ee-a25a-00155d82e908")</f>
        <v>https://miland.ru/api/getInfo/image/61f5765e-be82-11ee-a25a-00155d82e908</v>
      </c>
    </row>
    <row r="1229" spans="1:19" s="2" customFormat="1" ht="96.2" customHeight="1" outlineLevel="7">
      <c r="A1229" s="25">
        <v>933</v>
      </c>
      <c r="B1229" s="26" t="s">
        <v>3967</v>
      </c>
      <c r="C1229" s="66" t="s">
        <v>3968</v>
      </c>
      <c r="D1229" s="66"/>
      <c r="E1229" s="66"/>
      <c r="F1229" s="66"/>
      <c r="G1229" s="27" t="s">
        <v>3969</v>
      </c>
      <c r="H1229" s="33">
        <v>452</v>
      </c>
      <c r="I1229" s="29"/>
      <c r="J1229" s="25">
        <v>2</v>
      </c>
      <c r="K1229" s="30">
        <v>284.48</v>
      </c>
      <c r="L1229" s="17"/>
      <c r="M1229" s="29">
        <f>K1229*L1229</f>
        <v>0</v>
      </c>
      <c r="N1229" s="31">
        <f>0.063*L1229</f>
        <v>0</v>
      </c>
      <c r="O1229" s="32">
        <f>0.00119*L1229</f>
        <v>0</v>
      </c>
      <c r="P1229" s="36"/>
      <c r="Q1229" s="29" t="s">
        <v>3970</v>
      </c>
      <c r="R1229" s="29" t="s">
        <v>611</v>
      </c>
      <c r="S1229" s="26" t="str">
        <f>HYPERLINK("https://miland.ru/api/getInfo/image/9c5358e8-be82-11ee-a25a-00155d82e908")</f>
        <v>https://miland.ru/api/getInfo/image/9c5358e8-be82-11ee-a25a-00155d82e908</v>
      </c>
    </row>
    <row r="1230" spans="1:19" s="2" customFormat="1" ht="96.2" customHeight="1" outlineLevel="7">
      <c r="A1230" s="25">
        <v>934</v>
      </c>
      <c r="B1230" s="26" t="s">
        <v>3971</v>
      </c>
      <c r="C1230" s="66" t="s">
        <v>3972</v>
      </c>
      <c r="D1230" s="66"/>
      <c r="E1230" s="66"/>
      <c r="F1230" s="66"/>
      <c r="G1230" s="27" t="s">
        <v>3973</v>
      </c>
      <c r="H1230" s="33">
        <v>9</v>
      </c>
      <c r="I1230" s="29"/>
      <c r="J1230" s="25">
        <v>1</v>
      </c>
      <c r="K1230" s="37">
        <v>1257.7</v>
      </c>
      <c r="L1230" s="17"/>
      <c r="M1230" s="29">
        <f>K1230*L1230</f>
        <v>0</v>
      </c>
      <c r="N1230" s="31">
        <f>0.367*L1230</f>
        <v>0</v>
      </c>
      <c r="O1230" s="32">
        <f>0.00597*L1230</f>
        <v>0</v>
      </c>
      <c r="P1230" s="36"/>
      <c r="Q1230" s="29" t="s">
        <v>3974</v>
      </c>
      <c r="R1230" s="29" t="s">
        <v>611</v>
      </c>
      <c r="S1230" s="26" t="str">
        <f>HYPERLINK("https://miland.ru/api/getInfo/image/a6d1029d-95ce-11ef-a267-00155d82e908")</f>
        <v>https://miland.ru/api/getInfo/image/a6d1029d-95ce-11ef-a267-00155d82e908</v>
      </c>
    </row>
    <row r="1231" spans="1:19" s="1" customFormat="1" ht="12" customHeight="1" outlineLevel="7">
      <c r="A1231" s="64" t="s">
        <v>3975</v>
      </c>
      <c r="B1231" s="64"/>
      <c r="C1231" s="64"/>
      <c r="D1231" s="64"/>
      <c r="E1231" s="64"/>
      <c r="F1231" s="64"/>
      <c r="G1231" s="8"/>
      <c r="H1231" s="12"/>
      <c r="I1231" s="2"/>
      <c r="J1231" s="2"/>
      <c r="K1231" s="13"/>
      <c r="L1231" s="2"/>
      <c r="M1231" s="2"/>
      <c r="N1231" s="2"/>
      <c r="O1231" s="2"/>
      <c r="P1231" s="2"/>
      <c r="Q1231" s="2"/>
      <c r="R1231" s="2"/>
      <c r="S1231" s="2"/>
    </row>
    <row r="1232" spans="1:19" s="2" customFormat="1" ht="96.2" customHeight="1" outlineLevel="7">
      <c r="A1232" s="25">
        <v>935</v>
      </c>
      <c r="B1232" s="26" t="s">
        <v>3976</v>
      </c>
      <c r="C1232" s="66" t="s">
        <v>3977</v>
      </c>
      <c r="D1232" s="66"/>
      <c r="E1232" s="66"/>
      <c r="F1232" s="66"/>
      <c r="G1232" s="27" t="s">
        <v>3978</v>
      </c>
      <c r="H1232" s="33">
        <v>7</v>
      </c>
      <c r="I1232" s="29"/>
      <c r="J1232" s="25">
        <v>2</v>
      </c>
      <c r="K1232" s="30">
        <v>392.56</v>
      </c>
      <c r="L1232" s="17"/>
      <c r="M1232" s="29">
        <f>K1232*L1232</f>
        <v>0</v>
      </c>
      <c r="N1232" s="31">
        <f>0.065*L1232</f>
        <v>0</v>
      </c>
      <c r="O1232" s="32">
        <f>0.00116*L1232</f>
        <v>0</v>
      </c>
      <c r="P1232" s="36"/>
      <c r="Q1232" s="29" t="s">
        <v>3979</v>
      </c>
      <c r="R1232" s="29" t="s">
        <v>611</v>
      </c>
      <c r="S1232" s="26" t="str">
        <f>HYPERLINK("https://miland.ru/api/getInfo/image/8316b5db-be7b-11ee-a25a-00155d82e908")</f>
        <v>https://miland.ru/api/getInfo/image/8316b5db-be7b-11ee-a25a-00155d82e908</v>
      </c>
    </row>
    <row r="1233" spans="1:19" s="2" customFormat="1" ht="96.2" customHeight="1" outlineLevel="7">
      <c r="A1233" s="25">
        <v>936</v>
      </c>
      <c r="B1233" s="26" t="s">
        <v>3980</v>
      </c>
      <c r="C1233" s="66" t="s">
        <v>3981</v>
      </c>
      <c r="D1233" s="66"/>
      <c r="E1233" s="66"/>
      <c r="F1233" s="66"/>
      <c r="G1233" s="27" t="s">
        <v>3982</v>
      </c>
      <c r="H1233" s="33">
        <v>98</v>
      </c>
      <c r="I1233" s="29"/>
      <c r="J1233" s="25">
        <v>2</v>
      </c>
      <c r="K1233" s="30">
        <v>392.56</v>
      </c>
      <c r="L1233" s="17"/>
      <c r="M1233" s="29">
        <f>K1233*L1233</f>
        <v>0</v>
      </c>
      <c r="N1233" s="31">
        <f>0.065*L1233</f>
        <v>0</v>
      </c>
      <c r="O1233" s="32">
        <f>0.00112*L1233</f>
        <v>0</v>
      </c>
      <c r="P1233" s="36"/>
      <c r="Q1233" s="29" t="s">
        <v>3983</v>
      </c>
      <c r="R1233" s="29" t="s">
        <v>611</v>
      </c>
      <c r="S1233" s="26" t="str">
        <f>HYPERLINK("https://miland.ru/api/getInfo/image/3485757a-be7b-11ee-a25a-00155d82e908")</f>
        <v>https://miland.ru/api/getInfo/image/3485757a-be7b-11ee-a25a-00155d82e908</v>
      </c>
    </row>
    <row r="1234" spans="1:19" s="2" customFormat="1" ht="96.2" customHeight="1" outlineLevel="7">
      <c r="A1234" s="25">
        <v>937</v>
      </c>
      <c r="B1234" s="26" t="s">
        <v>3984</v>
      </c>
      <c r="C1234" s="66" t="s">
        <v>3985</v>
      </c>
      <c r="D1234" s="66"/>
      <c r="E1234" s="66"/>
      <c r="F1234" s="66"/>
      <c r="G1234" s="27" t="s">
        <v>3986</v>
      </c>
      <c r="H1234" s="33">
        <v>123</v>
      </c>
      <c r="I1234" s="29"/>
      <c r="J1234" s="25">
        <v>2</v>
      </c>
      <c r="K1234" s="30">
        <v>392.56</v>
      </c>
      <c r="L1234" s="17"/>
      <c r="M1234" s="29">
        <f>K1234*L1234</f>
        <v>0</v>
      </c>
      <c r="N1234" s="31">
        <f>0.062*L1234</f>
        <v>0</v>
      </c>
      <c r="O1234" s="32">
        <f>0.00131*L1234</f>
        <v>0</v>
      </c>
      <c r="P1234" s="36"/>
      <c r="Q1234" s="29" t="s">
        <v>3987</v>
      </c>
      <c r="R1234" s="29" t="s">
        <v>611</v>
      </c>
      <c r="S1234" s="26" t="str">
        <f>HYPERLINK("https://miland.ru/api/getInfo/image/a4755b50-be7b-11ee-a25a-00155d82e908")</f>
        <v>https://miland.ru/api/getInfo/image/a4755b50-be7b-11ee-a25a-00155d82e908</v>
      </c>
    </row>
    <row r="1235" spans="1:19" s="2" customFormat="1" ht="96.2" customHeight="1" outlineLevel="7">
      <c r="A1235" s="9">
        <v>938</v>
      </c>
      <c r="B1235" s="10" t="s">
        <v>3988</v>
      </c>
      <c r="C1235" s="65" t="s">
        <v>3989</v>
      </c>
      <c r="D1235" s="65"/>
      <c r="E1235" s="65"/>
      <c r="F1235" s="65"/>
      <c r="G1235" s="11" t="s">
        <v>3990</v>
      </c>
      <c r="H1235" s="14">
        <v>3</v>
      </c>
      <c r="I1235" s="15"/>
      <c r="J1235" s="9">
        <v>1</v>
      </c>
      <c r="K1235" s="22">
        <v>1636.37</v>
      </c>
      <c r="L1235" s="17"/>
      <c r="M1235" s="15">
        <f>K1235*L1235</f>
        <v>0</v>
      </c>
      <c r="N1235" s="18">
        <f>0.364*L1235</f>
        <v>0</v>
      </c>
      <c r="O1235" s="19">
        <f>0.00863*L1235</f>
        <v>0</v>
      </c>
      <c r="P1235" s="24" t="s">
        <v>26</v>
      </c>
      <c r="Q1235" s="15" t="s">
        <v>3991</v>
      </c>
      <c r="R1235" s="15" t="s">
        <v>611</v>
      </c>
      <c r="S1235" s="10" t="str">
        <f>HYPERLINK("https://miland.ru/api/getInfo/image/69f42879-95ce-11ef-a267-00155d82e908")</f>
        <v>https://miland.ru/api/getInfo/image/69f42879-95ce-11ef-a267-00155d82e908</v>
      </c>
    </row>
    <row r="1236" spans="1:19" s="1" customFormat="1" ht="12" customHeight="1" outlineLevel="7">
      <c r="A1236" s="64" t="s">
        <v>3992</v>
      </c>
      <c r="B1236" s="64"/>
      <c r="C1236" s="64"/>
      <c r="D1236" s="64"/>
      <c r="E1236" s="64"/>
      <c r="F1236" s="64"/>
      <c r="G1236" s="8"/>
      <c r="H1236" s="12"/>
      <c r="I1236" s="2"/>
      <c r="J1236" s="2"/>
      <c r="K1236" s="13"/>
      <c r="L1236" s="2"/>
      <c r="M1236" s="2"/>
      <c r="N1236" s="2"/>
      <c r="O1236" s="2"/>
      <c r="P1236" s="2"/>
      <c r="Q1236" s="2"/>
      <c r="R1236" s="2"/>
      <c r="S1236" s="2"/>
    </row>
    <row r="1237" spans="1:19" s="2" customFormat="1" ht="96.2" customHeight="1" outlineLevel="7">
      <c r="A1237" s="25">
        <v>939</v>
      </c>
      <c r="B1237" s="26" t="s">
        <v>3993</v>
      </c>
      <c r="C1237" s="66" t="s">
        <v>3994</v>
      </c>
      <c r="D1237" s="66"/>
      <c r="E1237" s="66"/>
      <c r="F1237" s="66"/>
      <c r="G1237" s="27" t="s">
        <v>3995</v>
      </c>
      <c r="H1237" s="33">
        <v>20</v>
      </c>
      <c r="I1237" s="29"/>
      <c r="J1237" s="25">
        <v>2</v>
      </c>
      <c r="K1237" s="30">
        <v>324.79000000000002</v>
      </c>
      <c r="L1237" s="17"/>
      <c r="M1237" s="29">
        <f>K1237*L1237</f>
        <v>0</v>
      </c>
      <c r="N1237" s="31">
        <f>0.055*L1237</f>
        <v>0</v>
      </c>
      <c r="O1237" s="32">
        <f>0.00109*L1237</f>
        <v>0</v>
      </c>
      <c r="P1237" s="36"/>
      <c r="Q1237" s="29" t="s">
        <v>3996</v>
      </c>
      <c r="R1237" s="29" t="s">
        <v>611</v>
      </c>
      <c r="S1237" s="26" t="str">
        <f>HYPERLINK("https://miland.ru/api/getInfo/image/680668a8-be7e-11ee-a25a-00155d82e908")</f>
        <v>https://miland.ru/api/getInfo/image/680668a8-be7e-11ee-a25a-00155d82e908</v>
      </c>
    </row>
    <row r="1238" spans="1:19" s="2" customFormat="1" ht="96.2" customHeight="1" outlineLevel="7">
      <c r="A1238" s="25">
        <v>940</v>
      </c>
      <c r="B1238" s="26" t="s">
        <v>3997</v>
      </c>
      <c r="C1238" s="66" t="s">
        <v>3998</v>
      </c>
      <c r="D1238" s="66"/>
      <c r="E1238" s="66"/>
      <c r="F1238" s="66"/>
      <c r="G1238" s="27" t="s">
        <v>3999</v>
      </c>
      <c r="H1238" s="33">
        <v>20</v>
      </c>
      <c r="I1238" s="29"/>
      <c r="J1238" s="25">
        <v>2</v>
      </c>
      <c r="K1238" s="30">
        <v>324.79000000000002</v>
      </c>
      <c r="L1238" s="17"/>
      <c r="M1238" s="29">
        <f>K1238*L1238</f>
        <v>0</v>
      </c>
      <c r="N1238" s="31">
        <f>0.055*L1238</f>
        <v>0</v>
      </c>
      <c r="O1238" s="32">
        <f>0.00108*L1238</f>
        <v>0</v>
      </c>
      <c r="P1238" s="36"/>
      <c r="Q1238" s="29" t="s">
        <v>4000</v>
      </c>
      <c r="R1238" s="29" t="s">
        <v>611</v>
      </c>
      <c r="S1238" s="26" t="str">
        <f>HYPERLINK("https://miland.ru/api/getInfo/image/aaf0ce17-be7e-11ee-a25a-00155d82e908")</f>
        <v>https://miland.ru/api/getInfo/image/aaf0ce17-be7e-11ee-a25a-00155d82e908</v>
      </c>
    </row>
    <row r="1239" spans="1:19" s="2" customFormat="1" ht="96.2" customHeight="1" outlineLevel="7">
      <c r="A1239" s="25">
        <v>941</v>
      </c>
      <c r="B1239" s="26" t="s">
        <v>4001</v>
      </c>
      <c r="C1239" s="66" t="s">
        <v>4002</v>
      </c>
      <c r="D1239" s="66"/>
      <c r="E1239" s="66"/>
      <c r="F1239" s="66"/>
      <c r="G1239" s="27" t="s">
        <v>4003</v>
      </c>
      <c r="H1239" s="33">
        <v>9</v>
      </c>
      <c r="I1239" s="29"/>
      <c r="J1239" s="25">
        <v>2</v>
      </c>
      <c r="K1239" s="30">
        <v>315.33999999999997</v>
      </c>
      <c r="L1239" s="17"/>
      <c r="M1239" s="29">
        <f>K1239*L1239</f>
        <v>0</v>
      </c>
      <c r="N1239" s="31">
        <f>0.055*L1239</f>
        <v>0</v>
      </c>
      <c r="O1239" s="32">
        <f>0.00105*L1239</f>
        <v>0</v>
      </c>
      <c r="P1239" s="36"/>
      <c r="Q1239" s="29" t="s">
        <v>4004</v>
      </c>
      <c r="R1239" s="29" t="s">
        <v>611</v>
      </c>
      <c r="S1239" s="26" t="str">
        <f>HYPERLINK("https://miland.ru/api/getInfo/image/8c07abeb-be7e-11ee-a25a-00155d82e908")</f>
        <v>https://miland.ru/api/getInfo/image/8c07abeb-be7e-11ee-a25a-00155d82e908</v>
      </c>
    </row>
    <row r="1240" spans="1:19" s="2" customFormat="1" ht="96.2" customHeight="1" outlineLevel="7">
      <c r="A1240" s="25">
        <v>942</v>
      </c>
      <c r="B1240" s="26" t="s">
        <v>4005</v>
      </c>
      <c r="C1240" s="66" t="s">
        <v>4006</v>
      </c>
      <c r="D1240" s="66"/>
      <c r="E1240" s="66"/>
      <c r="F1240" s="66"/>
      <c r="G1240" s="27" t="s">
        <v>4007</v>
      </c>
      <c r="H1240" s="33">
        <v>161</v>
      </c>
      <c r="I1240" s="29"/>
      <c r="J1240" s="25">
        <v>2</v>
      </c>
      <c r="K1240" s="30">
        <v>324.79000000000002</v>
      </c>
      <c r="L1240" s="17"/>
      <c r="M1240" s="29">
        <f>K1240*L1240</f>
        <v>0</v>
      </c>
      <c r="N1240" s="31">
        <f>0.055*L1240</f>
        <v>0</v>
      </c>
      <c r="O1240" s="32">
        <f>0.00107*L1240</f>
        <v>0</v>
      </c>
      <c r="P1240" s="36"/>
      <c r="Q1240" s="29" t="s">
        <v>4008</v>
      </c>
      <c r="R1240" s="29" t="s">
        <v>611</v>
      </c>
      <c r="S1240" s="26" t="str">
        <f>HYPERLINK("https://miland.ru/api/getInfo/image/4c2678bb-be7e-11ee-a25a-00155d82e908")</f>
        <v>https://miland.ru/api/getInfo/image/4c2678bb-be7e-11ee-a25a-00155d82e908</v>
      </c>
    </row>
    <row r="1241" spans="1:19" s="2" customFormat="1" ht="96.2" customHeight="1" outlineLevel="7">
      <c r="A1241" s="25">
        <v>943</v>
      </c>
      <c r="B1241" s="26" t="s">
        <v>4009</v>
      </c>
      <c r="C1241" s="66" t="s">
        <v>4010</v>
      </c>
      <c r="D1241" s="66"/>
      <c r="E1241" s="66"/>
      <c r="F1241" s="66"/>
      <c r="G1241" s="27" t="s">
        <v>4011</v>
      </c>
      <c r="H1241" s="33">
        <v>28</v>
      </c>
      <c r="I1241" s="29"/>
      <c r="J1241" s="25">
        <v>1</v>
      </c>
      <c r="K1241" s="37">
        <v>1409.48</v>
      </c>
      <c r="L1241" s="17"/>
      <c r="M1241" s="29">
        <f>K1241*L1241</f>
        <v>0</v>
      </c>
      <c r="N1241" s="31">
        <f>0.366*L1241</f>
        <v>0</v>
      </c>
      <c r="O1241" s="35">
        <f>0.0085*L1241</f>
        <v>0</v>
      </c>
      <c r="P1241" s="36"/>
      <c r="Q1241" s="29" t="s">
        <v>4012</v>
      </c>
      <c r="R1241" s="29" t="s">
        <v>611</v>
      </c>
      <c r="S1241" s="26" t="str">
        <f>HYPERLINK("https://miland.ru/api/getInfo/image/55e95ae5-95ce-11ef-a267-00155d82e908")</f>
        <v>https://miland.ru/api/getInfo/image/55e95ae5-95ce-11ef-a267-00155d82e908</v>
      </c>
    </row>
    <row r="1242" spans="1:19" s="1" customFormat="1" ht="12" customHeight="1" outlineLevel="7">
      <c r="A1242" s="64" t="s">
        <v>4013</v>
      </c>
      <c r="B1242" s="64"/>
      <c r="C1242" s="64"/>
      <c r="D1242" s="64"/>
      <c r="E1242" s="64"/>
      <c r="F1242" s="64"/>
      <c r="G1242" s="8"/>
      <c r="H1242" s="12"/>
      <c r="I1242" s="2"/>
      <c r="J1242" s="2"/>
      <c r="K1242" s="13"/>
      <c r="L1242" s="2"/>
      <c r="M1242" s="2"/>
      <c r="N1242" s="2"/>
      <c r="O1242" s="2"/>
      <c r="P1242" s="2"/>
      <c r="Q1242" s="2"/>
      <c r="R1242" s="2"/>
      <c r="S1242" s="2"/>
    </row>
    <row r="1243" spans="1:19" s="2" customFormat="1" ht="96.2" customHeight="1" outlineLevel="7">
      <c r="A1243" s="25">
        <v>944</v>
      </c>
      <c r="B1243" s="26" t="s">
        <v>4014</v>
      </c>
      <c r="C1243" s="66" t="s">
        <v>4015</v>
      </c>
      <c r="D1243" s="66"/>
      <c r="E1243" s="66"/>
      <c r="F1243" s="66"/>
      <c r="G1243" s="27" t="s">
        <v>4016</v>
      </c>
      <c r="H1243" s="33">
        <v>401</v>
      </c>
      <c r="I1243" s="29"/>
      <c r="J1243" s="25">
        <v>2</v>
      </c>
      <c r="K1243" s="30">
        <v>376.21</v>
      </c>
      <c r="L1243" s="17"/>
      <c r="M1243" s="29">
        <f>K1243*L1243</f>
        <v>0</v>
      </c>
      <c r="N1243" s="31">
        <f>0.064*L1243</f>
        <v>0</v>
      </c>
      <c r="O1243" s="32">
        <f>0.00115*L1243</f>
        <v>0</v>
      </c>
      <c r="P1243" s="36"/>
      <c r="Q1243" s="29" t="s">
        <v>4017</v>
      </c>
      <c r="R1243" s="29" t="s">
        <v>611</v>
      </c>
      <c r="S1243" s="26" t="str">
        <f>HYPERLINK("https://miland.ru/api/getInfo/image/e16075e6-be7e-11ee-a25a-00155d82e908")</f>
        <v>https://miland.ru/api/getInfo/image/e16075e6-be7e-11ee-a25a-00155d82e908</v>
      </c>
    </row>
    <row r="1244" spans="1:19" s="2" customFormat="1" ht="96.2" customHeight="1" outlineLevel="7">
      <c r="A1244" s="25">
        <v>945</v>
      </c>
      <c r="B1244" s="26" t="s">
        <v>4018</v>
      </c>
      <c r="C1244" s="66" t="s">
        <v>4019</v>
      </c>
      <c r="D1244" s="66"/>
      <c r="E1244" s="66"/>
      <c r="F1244" s="66"/>
      <c r="G1244" s="27" t="s">
        <v>4020</v>
      </c>
      <c r="H1244" s="33">
        <v>416</v>
      </c>
      <c r="I1244" s="29"/>
      <c r="J1244" s="25">
        <v>2</v>
      </c>
      <c r="K1244" s="30">
        <v>376.21</v>
      </c>
      <c r="L1244" s="17"/>
      <c r="M1244" s="29">
        <f>K1244*L1244</f>
        <v>0</v>
      </c>
      <c r="N1244" s="31">
        <f>0.066*L1244</f>
        <v>0</v>
      </c>
      <c r="O1244" s="32">
        <f>0.00111*L1244</f>
        <v>0</v>
      </c>
      <c r="P1244" s="36"/>
      <c r="Q1244" s="29" t="s">
        <v>4021</v>
      </c>
      <c r="R1244" s="29" t="s">
        <v>611</v>
      </c>
      <c r="S1244" s="26" t="str">
        <f>HYPERLINK("https://miland.ru/api/getInfo/image/08559414-be7f-11ee-a25a-00155d82e908")</f>
        <v>https://miland.ru/api/getInfo/image/08559414-be7f-11ee-a25a-00155d82e908</v>
      </c>
    </row>
    <row r="1245" spans="1:19" s="2" customFormat="1" ht="96.2" customHeight="1" outlineLevel="7">
      <c r="A1245" s="25">
        <v>946</v>
      </c>
      <c r="B1245" s="26" t="s">
        <v>4022</v>
      </c>
      <c r="C1245" s="66" t="s">
        <v>4023</v>
      </c>
      <c r="D1245" s="66"/>
      <c r="E1245" s="66"/>
      <c r="F1245" s="66"/>
      <c r="G1245" s="27" t="s">
        <v>4024</v>
      </c>
      <c r="H1245" s="33">
        <v>138</v>
      </c>
      <c r="I1245" s="29"/>
      <c r="J1245" s="25">
        <v>2</v>
      </c>
      <c r="K1245" s="30">
        <v>376.21</v>
      </c>
      <c r="L1245" s="17"/>
      <c r="M1245" s="29">
        <f>K1245*L1245</f>
        <v>0</v>
      </c>
      <c r="N1245" s="31">
        <f>0.055*L1245</f>
        <v>0</v>
      </c>
      <c r="O1245" s="32">
        <f>0.00108*L1245</f>
        <v>0</v>
      </c>
      <c r="P1245" s="36"/>
      <c r="Q1245" s="29" t="s">
        <v>4025</v>
      </c>
      <c r="R1245" s="29" t="s">
        <v>611</v>
      </c>
      <c r="S1245" s="26" t="str">
        <f>HYPERLINK("https://miland.ru/api/getInfo/image/5d4a417a-be7f-11ee-a25a-00155d82e908")</f>
        <v>https://miland.ru/api/getInfo/image/5d4a417a-be7f-11ee-a25a-00155d82e908</v>
      </c>
    </row>
    <row r="1246" spans="1:19" s="2" customFormat="1" ht="96.2" customHeight="1" outlineLevel="7">
      <c r="A1246" s="25">
        <v>947</v>
      </c>
      <c r="B1246" s="26" t="s">
        <v>4026</v>
      </c>
      <c r="C1246" s="66" t="s">
        <v>4027</v>
      </c>
      <c r="D1246" s="66"/>
      <c r="E1246" s="66"/>
      <c r="F1246" s="66"/>
      <c r="G1246" s="27" t="s">
        <v>4028</v>
      </c>
      <c r="H1246" s="33">
        <v>278</v>
      </c>
      <c r="I1246" s="29"/>
      <c r="J1246" s="25">
        <v>2</v>
      </c>
      <c r="K1246" s="30">
        <v>376.21</v>
      </c>
      <c r="L1246" s="17"/>
      <c r="M1246" s="29">
        <f>K1246*L1246</f>
        <v>0</v>
      </c>
      <c r="N1246" s="31">
        <f>0.055*L1246</f>
        <v>0</v>
      </c>
      <c r="O1246" s="35">
        <f>0.0011*L1246</f>
        <v>0</v>
      </c>
      <c r="P1246" s="36"/>
      <c r="Q1246" s="29" t="s">
        <v>4029</v>
      </c>
      <c r="R1246" s="29" t="s">
        <v>611</v>
      </c>
      <c r="S1246" s="26" t="str">
        <f>HYPERLINK("https://miland.ru/api/getInfo/image/2d028e96-be7f-11ee-a25a-00155d82e908")</f>
        <v>https://miland.ru/api/getInfo/image/2d028e96-be7f-11ee-a25a-00155d82e908</v>
      </c>
    </row>
    <row r="1247" spans="1:19" s="2" customFormat="1" ht="96.2" customHeight="1" outlineLevel="7">
      <c r="A1247" s="25">
        <v>948</v>
      </c>
      <c r="B1247" s="26" t="s">
        <v>4030</v>
      </c>
      <c r="C1247" s="66" t="s">
        <v>4031</v>
      </c>
      <c r="D1247" s="66"/>
      <c r="E1247" s="66"/>
      <c r="F1247" s="66"/>
      <c r="G1247" s="27" t="s">
        <v>4032</v>
      </c>
      <c r="H1247" s="33">
        <v>23</v>
      </c>
      <c r="I1247" s="29"/>
      <c r="J1247" s="25">
        <v>1</v>
      </c>
      <c r="K1247" s="37">
        <v>1624.58</v>
      </c>
      <c r="L1247" s="17"/>
      <c r="M1247" s="29">
        <f>K1247*L1247</f>
        <v>0</v>
      </c>
      <c r="N1247" s="31">
        <f>0.359*L1247</f>
        <v>0</v>
      </c>
      <c r="O1247" s="35">
        <f>0.0086*L1247</f>
        <v>0</v>
      </c>
      <c r="P1247" s="36"/>
      <c r="Q1247" s="29" t="s">
        <v>4033</v>
      </c>
      <c r="R1247" s="29" t="s">
        <v>611</v>
      </c>
      <c r="S1247" s="26" t="str">
        <f>HYPERLINK("https://miland.ru/api/getInfo/image/441348ac-95ce-11ef-a267-00155d82e908")</f>
        <v>https://miland.ru/api/getInfo/image/441348ac-95ce-11ef-a267-00155d82e908</v>
      </c>
    </row>
    <row r="1248" spans="1:19" s="1" customFormat="1" ht="12" customHeight="1" outlineLevel="7">
      <c r="A1248" s="64" t="s">
        <v>4034</v>
      </c>
      <c r="B1248" s="64"/>
      <c r="C1248" s="64"/>
      <c r="D1248" s="64"/>
      <c r="E1248" s="64"/>
      <c r="F1248" s="64"/>
      <c r="G1248" s="8"/>
      <c r="H1248" s="12"/>
      <c r="I1248" s="2"/>
      <c r="J1248" s="2"/>
      <c r="K1248" s="13"/>
      <c r="L1248" s="2"/>
      <c r="M1248" s="2"/>
      <c r="N1248" s="2"/>
      <c r="O1248" s="2"/>
      <c r="P1248" s="2"/>
      <c r="Q1248" s="2"/>
      <c r="R1248" s="2"/>
      <c r="S1248" s="2"/>
    </row>
    <row r="1249" spans="1:19" s="2" customFormat="1" ht="96.2" customHeight="1" outlineLevel="7">
      <c r="A1249" s="25">
        <v>949</v>
      </c>
      <c r="B1249" s="26" t="s">
        <v>4035</v>
      </c>
      <c r="C1249" s="66" t="s">
        <v>4036</v>
      </c>
      <c r="D1249" s="66"/>
      <c r="E1249" s="66"/>
      <c r="F1249" s="66"/>
      <c r="G1249" s="27" t="s">
        <v>4037</v>
      </c>
      <c r="H1249" s="33">
        <v>9</v>
      </c>
      <c r="I1249" s="29"/>
      <c r="J1249" s="25">
        <v>2</v>
      </c>
      <c r="K1249" s="30">
        <v>290.72000000000003</v>
      </c>
      <c r="L1249" s="17"/>
      <c r="M1249" s="29">
        <f>K1249*L1249</f>
        <v>0</v>
      </c>
      <c r="N1249" s="31">
        <f>0.057*L1249</f>
        <v>0</v>
      </c>
      <c r="O1249" s="32">
        <f>0.00094*L1249</f>
        <v>0</v>
      </c>
      <c r="P1249" s="36"/>
      <c r="Q1249" s="29" t="s">
        <v>4038</v>
      </c>
      <c r="R1249" s="29" t="s">
        <v>611</v>
      </c>
      <c r="S1249" s="26" t="str">
        <f>HYPERLINK("https://miland.ru/api/getInfo/image/d6440f69-9d43-11ed-a22e-00155d82e902")</f>
        <v>https://miland.ru/api/getInfo/image/d6440f69-9d43-11ed-a22e-00155d82e902</v>
      </c>
    </row>
    <row r="1250" spans="1:19" s="1" customFormat="1" ht="12" customHeight="1" outlineLevel="7">
      <c r="A1250" s="64" t="s">
        <v>4039</v>
      </c>
      <c r="B1250" s="64"/>
      <c r="C1250" s="64"/>
      <c r="D1250" s="64"/>
      <c r="E1250" s="64"/>
      <c r="F1250" s="64"/>
      <c r="G1250" s="8"/>
      <c r="H1250" s="12"/>
      <c r="I1250" s="2"/>
      <c r="J1250" s="2"/>
      <c r="K1250" s="13"/>
      <c r="L1250" s="2"/>
      <c r="M1250" s="2"/>
      <c r="N1250" s="2"/>
      <c r="O1250" s="2"/>
      <c r="P1250" s="2"/>
      <c r="Q1250" s="2"/>
      <c r="R1250" s="2"/>
      <c r="S1250" s="2"/>
    </row>
    <row r="1251" spans="1:19" s="2" customFormat="1" ht="96.2" customHeight="1" outlineLevel="7">
      <c r="A1251" s="25">
        <v>950</v>
      </c>
      <c r="B1251" s="26" t="s">
        <v>4040</v>
      </c>
      <c r="C1251" s="66" t="s">
        <v>4041</v>
      </c>
      <c r="D1251" s="66"/>
      <c r="E1251" s="66"/>
      <c r="F1251" s="66"/>
      <c r="G1251" s="27" t="s">
        <v>4042</v>
      </c>
      <c r="H1251" s="33">
        <v>399</v>
      </c>
      <c r="I1251" s="29"/>
      <c r="J1251" s="25">
        <v>2</v>
      </c>
      <c r="K1251" s="30">
        <v>324.48</v>
      </c>
      <c r="L1251" s="17"/>
      <c r="M1251" s="29">
        <f>K1251*L1251</f>
        <v>0</v>
      </c>
      <c r="N1251" s="31">
        <f>0.051*L1251</f>
        <v>0</v>
      </c>
      <c r="O1251" s="32">
        <f>0.00098*L1251</f>
        <v>0</v>
      </c>
      <c r="P1251" s="36"/>
      <c r="Q1251" s="29" t="s">
        <v>4043</v>
      </c>
      <c r="R1251" s="29" t="s">
        <v>611</v>
      </c>
      <c r="S1251" s="26" t="str">
        <f>HYPERLINK("https://miland.ru/api/getInfo/image/12d198cd-9d70-11ed-a22e-00155d82e902")</f>
        <v>https://miland.ru/api/getInfo/image/12d198cd-9d70-11ed-a22e-00155d82e902</v>
      </c>
    </row>
    <row r="1252" spans="1:19" s="2" customFormat="1" ht="96.2" customHeight="1" outlineLevel="7">
      <c r="A1252" s="25">
        <v>951</v>
      </c>
      <c r="B1252" s="26" t="s">
        <v>4044</v>
      </c>
      <c r="C1252" s="66" t="s">
        <v>4045</v>
      </c>
      <c r="D1252" s="66"/>
      <c r="E1252" s="66"/>
      <c r="F1252" s="66"/>
      <c r="G1252" s="27" t="s">
        <v>4046</v>
      </c>
      <c r="H1252" s="33">
        <v>263</v>
      </c>
      <c r="I1252" s="29"/>
      <c r="J1252" s="25">
        <v>2</v>
      </c>
      <c r="K1252" s="30">
        <v>324.48</v>
      </c>
      <c r="L1252" s="17"/>
      <c r="M1252" s="29">
        <f>K1252*L1252</f>
        <v>0</v>
      </c>
      <c r="N1252" s="31">
        <f>0.052*L1252</f>
        <v>0</v>
      </c>
      <c r="O1252" s="32">
        <f>0.00098*L1252</f>
        <v>0</v>
      </c>
      <c r="P1252" s="36"/>
      <c r="Q1252" s="29" t="s">
        <v>4047</v>
      </c>
      <c r="R1252" s="29" t="s">
        <v>611</v>
      </c>
      <c r="S1252" s="26" t="str">
        <f>HYPERLINK("https://miland.ru/api/getInfo/image/c244a488-9d6f-11ed-a22e-00155d82e902")</f>
        <v>https://miland.ru/api/getInfo/image/c244a488-9d6f-11ed-a22e-00155d82e902</v>
      </c>
    </row>
    <row r="1253" spans="1:19" s="2" customFormat="1" ht="96.2" customHeight="1" outlineLevel="7">
      <c r="A1253" s="25">
        <v>952</v>
      </c>
      <c r="B1253" s="26" t="s">
        <v>4048</v>
      </c>
      <c r="C1253" s="66" t="s">
        <v>4049</v>
      </c>
      <c r="D1253" s="66"/>
      <c r="E1253" s="66"/>
      <c r="F1253" s="66"/>
      <c r="G1253" s="27" t="s">
        <v>4050</v>
      </c>
      <c r="H1253" s="33">
        <v>477</v>
      </c>
      <c r="I1253" s="29"/>
      <c r="J1253" s="25">
        <v>2</v>
      </c>
      <c r="K1253" s="30">
        <v>324.48</v>
      </c>
      <c r="L1253" s="17"/>
      <c r="M1253" s="29">
        <f>K1253*L1253</f>
        <v>0</v>
      </c>
      <c r="N1253" s="31">
        <f>0.052*L1253</f>
        <v>0</v>
      </c>
      <c r="O1253" s="32">
        <f>0.00099*L1253</f>
        <v>0</v>
      </c>
      <c r="P1253" s="36"/>
      <c r="Q1253" s="29" t="s">
        <v>4051</v>
      </c>
      <c r="R1253" s="29" t="s">
        <v>611</v>
      </c>
      <c r="S1253" s="26" t="str">
        <f>HYPERLINK("https://miland.ru/api/getInfo/image/eb18fb39-9d6f-11ed-a22e-00155d82e902")</f>
        <v>https://miland.ru/api/getInfo/image/eb18fb39-9d6f-11ed-a22e-00155d82e902</v>
      </c>
    </row>
    <row r="1254" spans="1:19" s="2" customFormat="1" ht="96.2" customHeight="1" outlineLevel="7">
      <c r="A1254" s="25">
        <v>953</v>
      </c>
      <c r="B1254" s="26" t="s">
        <v>4052</v>
      </c>
      <c r="C1254" s="66" t="s">
        <v>4053</v>
      </c>
      <c r="D1254" s="66"/>
      <c r="E1254" s="66"/>
      <c r="F1254" s="66"/>
      <c r="G1254" s="27" t="s">
        <v>4054</v>
      </c>
      <c r="H1254" s="33">
        <v>26</v>
      </c>
      <c r="I1254" s="29"/>
      <c r="J1254" s="25">
        <v>2</v>
      </c>
      <c r="K1254" s="30">
        <v>324.48</v>
      </c>
      <c r="L1254" s="17"/>
      <c r="M1254" s="29">
        <f>K1254*L1254</f>
        <v>0</v>
      </c>
      <c r="N1254" s="31">
        <f>0.056*L1254</f>
        <v>0</v>
      </c>
      <c r="O1254" s="32">
        <f>0.00098*L1254</f>
        <v>0</v>
      </c>
      <c r="P1254" s="36"/>
      <c r="Q1254" s="29" t="s">
        <v>4055</v>
      </c>
      <c r="R1254" s="29" t="s">
        <v>611</v>
      </c>
      <c r="S1254" s="26" t="str">
        <f>HYPERLINK("https://miland.ru/api/getInfo/image/abfbc66f-9d45-11ed-a22e-00155d82e902")</f>
        <v>https://miland.ru/api/getInfo/image/abfbc66f-9d45-11ed-a22e-00155d82e902</v>
      </c>
    </row>
    <row r="1255" spans="1:19" s="1" customFormat="1" ht="12" customHeight="1" outlineLevel="7">
      <c r="A1255" s="64" t="s">
        <v>4056</v>
      </c>
      <c r="B1255" s="64"/>
      <c r="C1255" s="64"/>
      <c r="D1255" s="64"/>
      <c r="E1255" s="64"/>
      <c r="F1255" s="64"/>
      <c r="G1255" s="8"/>
      <c r="H1255" s="12"/>
      <c r="I1255" s="2"/>
      <c r="J1255" s="2"/>
      <c r="K1255" s="13"/>
      <c r="L1255" s="2"/>
      <c r="M1255" s="2"/>
      <c r="N1255" s="2"/>
      <c r="O1255" s="2"/>
      <c r="P1255" s="2"/>
      <c r="Q1255" s="2"/>
      <c r="R1255" s="2"/>
      <c r="S1255" s="2"/>
    </row>
    <row r="1256" spans="1:19" s="2" customFormat="1" ht="96.2" customHeight="1" outlineLevel="7">
      <c r="A1256" s="9">
        <v>954</v>
      </c>
      <c r="B1256" s="10" t="s">
        <v>4057</v>
      </c>
      <c r="C1256" s="65" t="s">
        <v>4058</v>
      </c>
      <c r="D1256" s="65"/>
      <c r="E1256" s="65"/>
      <c r="F1256" s="65"/>
      <c r="G1256" s="11" t="s">
        <v>4059</v>
      </c>
      <c r="H1256" s="21" t="s">
        <v>44</v>
      </c>
      <c r="I1256" s="15"/>
      <c r="J1256" s="9">
        <v>1</v>
      </c>
      <c r="K1256" s="16">
        <v>567.77</v>
      </c>
      <c r="L1256" s="17"/>
      <c r="M1256" s="15">
        <f>K1256*L1256</f>
        <v>0</v>
      </c>
      <c r="N1256" s="18">
        <f>0.086*L1256</f>
        <v>0</v>
      </c>
      <c r="O1256" s="19">
        <f>0.00137*L1256</f>
        <v>0</v>
      </c>
      <c r="P1256" s="24" t="s">
        <v>26</v>
      </c>
      <c r="Q1256" s="15" t="s">
        <v>4060</v>
      </c>
      <c r="R1256" s="15"/>
      <c r="S1256" s="10" t="str">
        <f>HYPERLINK("https://miland.ru/api/getInfo/image/4dd4a0aa-f1dc-11f0-a28d-00155d82e908")</f>
        <v>https://miland.ru/api/getInfo/image/4dd4a0aa-f1dc-11f0-a28d-00155d82e908</v>
      </c>
    </row>
    <row r="1257" spans="1:19" s="2" customFormat="1" ht="96.2" customHeight="1" outlineLevel="7">
      <c r="A1257" s="9">
        <v>955</v>
      </c>
      <c r="B1257" s="10" t="s">
        <v>4061</v>
      </c>
      <c r="C1257" s="65" t="s">
        <v>4062</v>
      </c>
      <c r="D1257" s="65"/>
      <c r="E1257" s="65"/>
      <c r="F1257" s="65"/>
      <c r="G1257" s="11" t="s">
        <v>4063</v>
      </c>
      <c r="H1257" s="21" t="s">
        <v>44</v>
      </c>
      <c r="I1257" s="15"/>
      <c r="J1257" s="9">
        <v>1</v>
      </c>
      <c r="K1257" s="16">
        <v>567.77</v>
      </c>
      <c r="L1257" s="17"/>
      <c r="M1257" s="15">
        <f>K1257*L1257</f>
        <v>0</v>
      </c>
      <c r="N1257" s="18">
        <f>0.086*L1257</f>
        <v>0</v>
      </c>
      <c r="O1257" s="19">
        <f>0.00129*L1257</f>
        <v>0</v>
      </c>
      <c r="P1257" s="24" t="s">
        <v>26</v>
      </c>
      <c r="Q1257" s="15" t="s">
        <v>4064</v>
      </c>
      <c r="R1257" s="15"/>
      <c r="S1257" s="10" t="str">
        <f>HYPERLINK("https://miland.ru/api/getInfo/image/09e177ba-f1dd-11f0-a28d-00155d82e908")</f>
        <v>https://miland.ru/api/getInfo/image/09e177ba-f1dd-11f0-a28d-00155d82e908</v>
      </c>
    </row>
    <row r="1258" spans="1:19" s="1" customFormat="1" ht="12" customHeight="1" outlineLevel="7">
      <c r="A1258" s="64" t="s">
        <v>4065</v>
      </c>
      <c r="B1258" s="64"/>
      <c r="C1258" s="64"/>
      <c r="D1258" s="64"/>
      <c r="E1258" s="64"/>
      <c r="F1258" s="64"/>
      <c r="G1258" s="8"/>
      <c r="H1258" s="12"/>
      <c r="I1258" s="2"/>
      <c r="J1258" s="2"/>
      <c r="K1258" s="13"/>
      <c r="L1258" s="2"/>
      <c r="M1258" s="2"/>
      <c r="N1258" s="2"/>
      <c r="O1258" s="2"/>
      <c r="P1258" s="2"/>
      <c r="Q1258" s="2"/>
      <c r="R1258" s="2"/>
      <c r="S1258" s="2"/>
    </row>
    <row r="1259" spans="1:19" s="2" customFormat="1" ht="96.2" customHeight="1" outlineLevel="7">
      <c r="A1259" s="9">
        <v>956</v>
      </c>
      <c r="B1259" s="10" t="s">
        <v>4066</v>
      </c>
      <c r="C1259" s="65" t="s">
        <v>4067</v>
      </c>
      <c r="D1259" s="65"/>
      <c r="E1259" s="65"/>
      <c r="F1259" s="65"/>
      <c r="G1259" s="11" t="s">
        <v>4068</v>
      </c>
      <c r="H1259" s="21" t="s">
        <v>44</v>
      </c>
      <c r="I1259" s="15"/>
      <c r="J1259" s="9">
        <v>1</v>
      </c>
      <c r="K1259" s="16">
        <v>492.6</v>
      </c>
      <c r="L1259" s="17"/>
      <c r="M1259" s="15">
        <f>K1259*L1259</f>
        <v>0</v>
      </c>
      <c r="N1259" s="23">
        <f>0.09*L1259</f>
        <v>0</v>
      </c>
      <c r="O1259" s="19">
        <f>0.00142*L1259</f>
        <v>0</v>
      </c>
      <c r="P1259" s="24" t="s">
        <v>26</v>
      </c>
      <c r="Q1259" s="15" t="s">
        <v>4069</v>
      </c>
      <c r="R1259" s="15"/>
      <c r="S1259" s="10" t="str">
        <f>HYPERLINK("https://miland.ru/api/getInfo/image/27cfb11f-f1de-11f0-a28d-00155d82e908")</f>
        <v>https://miland.ru/api/getInfo/image/27cfb11f-f1de-11f0-a28d-00155d82e908</v>
      </c>
    </row>
    <row r="1260" spans="1:19" s="1" customFormat="1" ht="12" customHeight="1" outlineLevel="7">
      <c r="A1260" s="64" t="s">
        <v>4070</v>
      </c>
      <c r="B1260" s="64"/>
      <c r="C1260" s="64"/>
      <c r="D1260" s="64"/>
      <c r="E1260" s="64"/>
      <c r="F1260" s="64"/>
      <c r="G1260" s="8"/>
      <c r="H1260" s="12"/>
      <c r="I1260" s="2"/>
      <c r="J1260" s="2"/>
      <c r="K1260" s="13"/>
      <c r="L1260" s="2"/>
      <c r="M1260" s="2"/>
      <c r="N1260" s="2"/>
      <c r="O1260" s="2"/>
      <c r="P1260" s="2"/>
      <c r="Q1260" s="2"/>
      <c r="R1260" s="2"/>
      <c r="S1260" s="2"/>
    </row>
    <row r="1261" spans="1:19" s="2" customFormat="1" ht="96.2" customHeight="1" outlineLevel="7">
      <c r="A1261" s="25">
        <v>957</v>
      </c>
      <c r="B1261" s="26" t="s">
        <v>4071</v>
      </c>
      <c r="C1261" s="66" t="s">
        <v>4072</v>
      </c>
      <c r="D1261" s="66"/>
      <c r="E1261" s="66"/>
      <c r="F1261" s="66"/>
      <c r="G1261" s="27" t="s">
        <v>4073</v>
      </c>
      <c r="H1261" s="33">
        <v>243</v>
      </c>
      <c r="I1261" s="29"/>
      <c r="J1261" s="25">
        <v>2</v>
      </c>
      <c r="K1261" s="30">
        <v>367.45</v>
      </c>
      <c r="L1261" s="17"/>
      <c r="M1261" s="29">
        <f>K1261*L1261</f>
        <v>0</v>
      </c>
      <c r="N1261" s="31">
        <f>0.057*L1261</f>
        <v>0</v>
      </c>
      <c r="O1261" s="32">
        <f>0.00809*L1261</f>
        <v>0</v>
      </c>
      <c r="P1261" s="36"/>
      <c r="Q1261" s="29" t="s">
        <v>4074</v>
      </c>
      <c r="R1261" s="29" t="s">
        <v>611</v>
      </c>
      <c r="S1261" s="26" t="str">
        <f>HYPERLINK("https://miland.ru/api/getInfo/image/2fa20cc7-be85-11ee-a25a-00155d82e908")</f>
        <v>https://miland.ru/api/getInfo/image/2fa20cc7-be85-11ee-a25a-00155d82e908</v>
      </c>
    </row>
    <row r="1262" spans="1:19" s="2" customFormat="1" ht="96.2" customHeight="1" outlineLevel="7">
      <c r="A1262" s="25">
        <v>958</v>
      </c>
      <c r="B1262" s="26" t="s">
        <v>4075</v>
      </c>
      <c r="C1262" s="66" t="s">
        <v>4076</v>
      </c>
      <c r="D1262" s="66"/>
      <c r="E1262" s="66"/>
      <c r="F1262" s="66"/>
      <c r="G1262" s="27" t="s">
        <v>4077</v>
      </c>
      <c r="H1262" s="33">
        <v>268</v>
      </c>
      <c r="I1262" s="29"/>
      <c r="J1262" s="25">
        <v>2</v>
      </c>
      <c r="K1262" s="30">
        <v>367.45</v>
      </c>
      <c r="L1262" s="17"/>
      <c r="M1262" s="29">
        <f>K1262*L1262</f>
        <v>0</v>
      </c>
      <c r="N1262" s="31">
        <f>0.061*L1262</f>
        <v>0</v>
      </c>
      <c r="O1262" s="32">
        <f>0.00108*L1262</f>
        <v>0</v>
      </c>
      <c r="P1262" s="36"/>
      <c r="Q1262" s="29" t="s">
        <v>4078</v>
      </c>
      <c r="R1262" s="29" t="s">
        <v>611</v>
      </c>
      <c r="S1262" s="26" t="str">
        <f>HYPERLINK("https://miland.ru/api/getInfo/image/ea2ef2bd-be84-11ee-a25a-00155d82e908")</f>
        <v>https://miland.ru/api/getInfo/image/ea2ef2bd-be84-11ee-a25a-00155d82e908</v>
      </c>
    </row>
    <row r="1263" spans="1:19" s="2" customFormat="1" ht="96.2" customHeight="1" outlineLevel="7">
      <c r="A1263" s="25">
        <v>959</v>
      </c>
      <c r="B1263" s="26" t="s">
        <v>4079</v>
      </c>
      <c r="C1263" s="66" t="s">
        <v>4080</v>
      </c>
      <c r="D1263" s="66"/>
      <c r="E1263" s="66"/>
      <c r="F1263" s="66"/>
      <c r="G1263" s="27" t="s">
        <v>4081</v>
      </c>
      <c r="H1263" s="33">
        <v>272</v>
      </c>
      <c r="I1263" s="29"/>
      <c r="J1263" s="25">
        <v>2</v>
      </c>
      <c r="K1263" s="30">
        <v>367.45</v>
      </c>
      <c r="L1263" s="17"/>
      <c r="M1263" s="29">
        <f>K1263*L1263</f>
        <v>0</v>
      </c>
      <c r="N1263" s="34">
        <f>0.06*L1263</f>
        <v>0</v>
      </c>
      <c r="O1263" s="32">
        <f>0.00115*L1263</f>
        <v>0</v>
      </c>
      <c r="P1263" s="36"/>
      <c r="Q1263" s="29" t="s">
        <v>4082</v>
      </c>
      <c r="R1263" s="29" t="s">
        <v>611</v>
      </c>
      <c r="S1263" s="26" t="str">
        <f>HYPERLINK("https://miland.ru/api/getInfo/image/12b70ef6-be85-11ee-a25a-00155d82e908")</f>
        <v>https://miland.ru/api/getInfo/image/12b70ef6-be85-11ee-a25a-00155d82e908</v>
      </c>
    </row>
    <row r="1264" spans="1:19" s="1" customFormat="1" ht="12" customHeight="1" outlineLevel="7">
      <c r="A1264" s="64" t="s">
        <v>4083</v>
      </c>
      <c r="B1264" s="64"/>
      <c r="C1264" s="64"/>
      <c r="D1264" s="64"/>
      <c r="E1264" s="64"/>
      <c r="F1264" s="64"/>
      <c r="G1264" s="8"/>
      <c r="H1264" s="12"/>
      <c r="I1264" s="2"/>
      <c r="J1264" s="2"/>
      <c r="K1264" s="13"/>
      <c r="L1264" s="2"/>
      <c r="M1264" s="2"/>
      <c r="N1264" s="2"/>
      <c r="O1264" s="2"/>
      <c r="P1264" s="2"/>
      <c r="Q1264" s="2"/>
      <c r="R1264" s="2"/>
      <c r="S1264" s="2"/>
    </row>
    <row r="1265" spans="1:19" s="2" customFormat="1" ht="96.2" customHeight="1" outlineLevel="7">
      <c r="A1265" s="9">
        <v>960</v>
      </c>
      <c r="B1265" s="10" t="s">
        <v>4084</v>
      </c>
      <c r="C1265" s="65" t="s">
        <v>4085</v>
      </c>
      <c r="D1265" s="65"/>
      <c r="E1265" s="65"/>
      <c r="F1265" s="65"/>
      <c r="G1265" s="11" t="s">
        <v>4086</v>
      </c>
      <c r="H1265" s="21" t="s">
        <v>44</v>
      </c>
      <c r="I1265" s="15"/>
      <c r="J1265" s="9">
        <v>1</v>
      </c>
      <c r="K1265" s="16">
        <v>508</v>
      </c>
      <c r="L1265" s="17"/>
      <c r="M1265" s="15">
        <f>K1265*L1265</f>
        <v>0</v>
      </c>
      <c r="N1265" s="18">
        <f>0.087*L1265</f>
        <v>0</v>
      </c>
      <c r="O1265" s="19">
        <f>0.00133*L1265</f>
        <v>0</v>
      </c>
      <c r="P1265" s="24" t="s">
        <v>26</v>
      </c>
      <c r="Q1265" s="15" t="s">
        <v>4087</v>
      </c>
      <c r="R1265" s="15"/>
      <c r="S1265" s="10" t="str">
        <f>HYPERLINK("https://miland.ru/api/getInfo/image/16b577c0-f1dc-11f0-a28d-00155d82e908")</f>
        <v>https://miland.ru/api/getInfo/image/16b577c0-f1dc-11f0-a28d-00155d82e908</v>
      </c>
    </row>
    <row r="1266" spans="1:19" s="2" customFormat="1" ht="96.2" customHeight="1" outlineLevel="7">
      <c r="A1266" s="9">
        <v>961</v>
      </c>
      <c r="B1266" s="10" t="s">
        <v>4088</v>
      </c>
      <c r="C1266" s="65" t="s">
        <v>4089</v>
      </c>
      <c r="D1266" s="65"/>
      <c r="E1266" s="65"/>
      <c r="F1266" s="65"/>
      <c r="G1266" s="11" t="s">
        <v>4090</v>
      </c>
      <c r="H1266" s="21" t="s">
        <v>44</v>
      </c>
      <c r="I1266" s="15"/>
      <c r="J1266" s="9">
        <v>1</v>
      </c>
      <c r="K1266" s="16">
        <v>624.54999999999995</v>
      </c>
      <c r="L1266" s="17"/>
      <c r="M1266" s="15">
        <f>K1266*L1266</f>
        <v>0</v>
      </c>
      <c r="N1266" s="18">
        <f>0.088*L1266</f>
        <v>0</v>
      </c>
      <c r="O1266" s="19">
        <f>0.00137*L1266</f>
        <v>0</v>
      </c>
      <c r="P1266" s="24" t="s">
        <v>26</v>
      </c>
      <c r="Q1266" s="15" t="s">
        <v>4091</v>
      </c>
      <c r="R1266" s="15"/>
      <c r="S1266" s="10" t="str">
        <f>HYPERLINK("https://miland.ru/api/getInfo/image/fed7299c-f1db-11f0-a28d-00155d82e908")</f>
        <v>https://miland.ru/api/getInfo/image/fed7299c-f1db-11f0-a28d-00155d82e908</v>
      </c>
    </row>
    <row r="1267" spans="1:19" s="2" customFormat="1" ht="96.2" customHeight="1" outlineLevel="7">
      <c r="A1267" s="9">
        <v>962</v>
      </c>
      <c r="B1267" s="10" t="s">
        <v>4092</v>
      </c>
      <c r="C1267" s="65" t="s">
        <v>4093</v>
      </c>
      <c r="D1267" s="65"/>
      <c r="E1267" s="65"/>
      <c r="F1267" s="65"/>
      <c r="G1267" s="11" t="s">
        <v>4094</v>
      </c>
      <c r="H1267" s="21" t="s">
        <v>44</v>
      </c>
      <c r="I1267" s="15"/>
      <c r="J1267" s="9">
        <v>1</v>
      </c>
      <c r="K1267" s="16">
        <v>508</v>
      </c>
      <c r="L1267" s="17"/>
      <c r="M1267" s="15">
        <f>K1267*L1267</f>
        <v>0</v>
      </c>
      <c r="N1267" s="18">
        <f>0.087*L1267</f>
        <v>0</v>
      </c>
      <c r="O1267" s="19">
        <f>0.00145*L1267</f>
        <v>0</v>
      </c>
      <c r="P1267" s="24" t="s">
        <v>26</v>
      </c>
      <c r="Q1267" s="15" t="s">
        <v>4095</v>
      </c>
      <c r="R1267" s="15"/>
      <c r="S1267" s="10" t="str">
        <f>HYPERLINK("https://miland.ru/api/getInfo/image/2f04d82f-f1dc-11f0-a28d-00155d82e908")</f>
        <v>https://miland.ru/api/getInfo/image/2f04d82f-f1dc-11f0-a28d-00155d82e908</v>
      </c>
    </row>
    <row r="1268" spans="1:19" s="2" customFormat="1" ht="96.2" customHeight="1" outlineLevel="7">
      <c r="A1268" s="9">
        <v>963</v>
      </c>
      <c r="B1268" s="10" t="s">
        <v>4096</v>
      </c>
      <c r="C1268" s="65" t="s">
        <v>4097</v>
      </c>
      <c r="D1268" s="65"/>
      <c r="E1268" s="65"/>
      <c r="F1268" s="65"/>
      <c r="G1268" s="11" t="s">
        <v>4098</v>
      </c>
      <c r="H1268" s="21" t="s">
        <v>44</v>
      </c>
      <c r="I1268" s="15"/>
      <c r="J1268" s="9">
        <v>1</v>
      </c>
      <c r="K1268" s="16">
        <v>508</v>
      </c>
      <c r="L1268" s="17"/>
      <c r="M1268" s="15">
        <f>K1268*L1268</f>
        <v>0</v>
      </c>
      <c r="N1268" s="18">
        <f>0.089*L1268</f>
        <v>0</v>
      </c>
      <c r="O1268" s="19">
        <f>0.00134*L1268</f>
        <v>0</v>
      </c>
      <c r="P1268" s="24" t="s">
        <v>26</v>
      </c>
      <c r="Q1268" s="15" t="s">
        <v>4099</v>
      </c>
      <c r="R1268" s="15"/>
      <c r="S1268" s="10" t="str">
        <f>HYPERLINK("https://miland.ru/api/getInfo/image/ec3e8223-f1db-11f0-a28d-00155d82e908")</f>
        <v>https://miland.ru/api/getInfo/image/ec3e8223-f1db-11f0-a28d-00155d82e908</v>
      </c>
    </row>
    <row r="1269" spans="1:19" s="1" customFormat="1" ht="12" customHeight="1" outlineLevel="7">
      <c r="A1269" s="64" t="s">
        <v>4100</v>
      </c>
      <c r="B1269" s="64"/>
      <c r="C1269" s="64"/>
      <c r="D1269" s="64"/>
      <c r="E1269" s="64"/>
      <c r="F1269" s="64"/>
      <c r="G1269" s="8"/>
      <c r="H1269" s="12"/>
      <c r="I1269" s="2"/>
      <c r="J1269" s="2"/>
      <c r="K1269" s="13"/>
      <c r="L1269" s="2"/>
      <c r="M1269" s="2"/>
      <c r="N1269" s="2"/>
      <c r="O1269" s="2"/>
      <c r="P1269" s="2"/>
      <c r="Q1269" s="2"/>
      <c r="R1269" s="2"/>
      <c r="S1269" s="2"/>
    </row>
    <row r="1270" spans="1:19" s="2" customFormat="1" ht="96.2" customHeight="1" outlineLevel="7">
      <c r="A1270" s="25">
        <v>964</v>
      </c>
      <c r="B1270" s="26" t="s">
        <v>4101</v>
      </c>
      <c r="C1270" s="66" t="s">
        <v>4102</v>
      </c>
      <c r="D1270" s="66"/>
      <c r="E1270" s="66"/>
      <c r="F1270" s="66"/>
      <c r="G1270" s="27" t="s">
        <v>4103</v>
      </c>
      <c r="H1270" s="33">
        <v>319</v>
      </c>
      <c r="I1270" s="29"/>
      <c r="J1270" s="25">
        <v>2</v>
      </c>
      <c r="K1270" s="30">
        <v>317.74</v>
      </c>
      <c r="L1270" s="17"/>
      <c r="M1270" s="29">
        <f>K1270*L1270</f>
        <v>0</v>
      </c>
      <c r="N1270" s="31">
        <f>0.058*L1270</f>
        <v>0</v>
      </c>
      <c r="O1270" s="32">
        <f>0.00105*L1270</f>
        <v>0</v>
      </c>
      <c r="P1270" s="36"/>
      <c r="Q1270" s="29" t="s">
        <v>4104</v>
      </c>
      <c r="R1270" s="29" t="s">
        <v>611</v>
      </c>
      <c r="S1270" s="26" t="str">
        <f>HYPERLINK("https://miland.ru/api/getInfo/image/e89e60b4-be78-11ee-a25a-00155d82e908")</f>
        <v>https://miland.ru/api/getInfo/image/e89e60b4-be78-11ee-a25a-00155d82e908</v>
      </c>
    </row>
    <row r="1271" spans="1:19" s="2" customFormat="1" ht="96.2" customHeight="1" outlineLevel="7">
      <c r="A1271" s="25">
        <v>965</v>
      </c>
      <c r="B1271" s="26" t="s">
        <v>4105</v>
      </c>
      <c r="C1271" s="66" t="s">
        <v>4106</v>
      </c>
      <c r="D1271" s="66"/>
      <c r="E1271" s="66"/>
      <c r="F1271" s="66"/>
      <c r="G1271" s="27" t="s">
        <v>4107</v>
      </c>
      <c r="H1271" s="33">
        <v>355</v>
      </c>
      <c r="I1271" s="29"/>
      <c r="J1271" s="25">
        <v>2</v>
      </c>
      <c r="K1271" s="30">
        <v>376.21</v>
      </c>
      <c r="L1271" s="17"/>
      <c r="M1271" s="29">
        <f>K1271*L1271</f>
        <v>0</v>
      </c>
      <c r="N1271" s="31">
        <f>0.059*L1271</f>
        <v>0</v>
      </c>
      <c r="O1271" s="32">
        <f>0.00107*L1271</f>
        <v>0</v>
      </c>
      <c r="P1271" s="36"/>
      <c r="Q1271" s="29" t="s">
        <v>4108</v>
      </c>
      <c r="R1271" s="29" t="s">
        <v>611</v>
      </c>
      <c r="S1271" s="26" t="str">
        <f>HYPERLINK("https://miland.ru/api/getInfo/image/6c3033e3-be79-11ee-a25a-00155d82e908")</f>
        <v>https://miland.ru/api/getInfo/image/6c3033e3-be79-11ee-a25a-00155d82e908</v>
      </c>
    </row>
    <row r="1272" spans="1:19" s="2" customFormat="1" ht="96.2" customHeight="1" outlineLevel="7">
      <c r="A1272" s="25">
        <v>966</v>
      </c>
      <c r="B1272" s="26" t="s">
        <v>4109</v>
      </c>
      <c r="C1272" s="66" t="s">
        <v>4110</v>
      </c>
      <c r="D1272" s="66"/>
      <c r="E1272" s="66"/>
      <c r="F1272" s="66"/>
      <c r="G1272" s="27" t="s">
        <v>4111</v>
      </c>
      <c r="H1272" s="28" t="s">
        <v>44</v>
      </c>
      <c r="I1272" s="29"/>
      <c r="J1272" s="25">
        <v>1</v>
      </c>
      <c r="K1272" s="30">
        <v>485.93</v>
      </c>
      <c r="L1272" s="17"/>
      <c r="M1272" s="29">
        <f>K1272*L1272</f>
        <v>0</v>
      </c>
      <c r="N1272" s="31">
        <f>0.062*L1272</f>
        <v>0</v>
      </c>
      <c r="O1272" s="32">
        <f>0.00126*L1272</f>
        <v>0</v>
      </c>
      <c r="P1272" s="36"/>
      <c r="Q1272" s="29" t="s">
        <v>4112</v>
      </c>
      <c r="R1272" s="29" t="s">
        <v>611</v>
      </c>
      <c r="S1272" s="26" t="str">
        <f>HYPERLINK("https://miland.ru/api/getInfo/image/57918c3e-be79-11ee-a25a-00155d82e908")</f>
        <v>https://miland.ru/api/getInfo/image/57918c3e-be79-11ee-a25a-00155d82e908</v>
      </c>
    </row>
    <row r="1273" spans="1:19" s="2" customFormat="1" ht="96.2" customHeight="1" outlineLevel="7">
      <c r="A1273" s="25">
        <v>967</v>
      </c>
      <c r="B1273" s="26" t="s">
        <v>4113</v>
      </c>
      <c r="C1273" s="66" t="s">
        <v>4114</v>
      </c>
      <c r="D1273" s="66"/>
      <c r="E1273" s="66"/>
      <c r="F1273" s="66"/>
      <c r="G1273" s="27" t="s">
        <v>4115</v>
      </c>
      <c r="H1273" s="33">
        <v>10</v>
      </c>
      <c r="I1273" s="29"/>
      <c r="J1273" s="25">
        <v>2</v>
      </c>
      <c r="K1273" s="30">
        <v>376.21</v>
      </c>
      <c r="L1273" s="17"/>
      <c r="M1273" s="29">
        <f>K1273*L1273</f>
        <v>0</v>
      </c>
      <c r="N1273" s="31">
        <f>0.066*L1273</f>
        <v>0</v>
      </c>
      <c r="O1273" s="32">
        <f>0.00113*L1273</f>
        <v>0</v>
      </c>
      <c r="P1273" s="36"/>
      <c r="Q1273" s="29" t="s">
        <v>4116</v>
      </c>
      <c r="R1273" s="29" t="s">
        <v>611</v>
      </c>
      <c r="S1273" s="26" t="str">
        <f>HYPERLINK("https://miland.ru/api/getInfo/image/45743f56-be79-11ee-a25a-00155d82e908")</f>
        <v>https://miland.ru/api/getInfo/image/45743f56-be79-11ee-a25a-00155d82e908</v>
      </c>
    </row>
    <row r="1274" spans="1:19" s="2" customFormat="1" ht="96.2" customHeight="1" outlineLevel="7">
      <c r="A1274" s="25">
        <v>968</v>
      </c>
      <c r="B1274" s="26" t="s">
        <v>4117</v>
      </c>
      <c r="C1274" s="66" t="s">
        <v>4118</v>
      </c>
      <c r="D1274" s="66"/>
      <c r="E1274" s="66"/>
      <c r="F1274" s="66"/>
      <c r="G1274" s="27" t="s">
        <v>4119</v>
      </c>
      <c r="H1274" s="33">
        <v>87</v>
      </c>
      <c r="I1274" s="29"/>
      <c r="J1274" s="25">
        <v>1</v>
      </c>
      <c r="K1274" s="37">
        <v>1189.92</v>
      </c>
      <c r="L1274" s="17"/>
      <c r="M1274" s="29">
        <f>K1274*L1274</f>
        <v>0</v>
      </c>
      <c r="N1274" s="31">
        <f>0.304*L1274</f>
        <v>0</v>
      </c>
      <c r="O1274" s="32">
        <f>0.00619*L1274</f>
        <v>0</v>
      </c>
      <c r="P1274" s="36"/>
      <c r="Q1274" s="29" t="s">
        <v>4120</v>
      </c>
      <c r="R1274" s="29" t="s">
        <v>611</v>
      </c>
      <c r="S1274" s="26" t="str">
        <f>HYPERLINK("https://miland.ru/api/getInfo/image/81238c48-95cd-11ef-a267-00155d82e908")</f>
        <v>https://miland.ru/api/getInfo/image/81238c48-95cd-11ef-a267-00155d82e908</v>
      </c>
    </row>
    <row r="1275" spans="1:19" s="1" customFormat="1" ht="12" customHeight="1" outlineLevel="7">
      <c r="A1275" s="64" t="s">
        <v>4121</v>
      </c>
      <c r="B1275" s="64"/>
      <c r="C1275" s="64"/>
      <c r="D1275" s="64"/>
      <c r="E1275" s="64"/>
      <c r="F1275" s="64"/>
      <c r="G1275" s="8"/>
      <c r="H1275" s="12"/>
      <c r="I1275" s="2"/>
      <c r="J1275" s="2"/>
      <c r="K1275" s="13"/>
      <c r="L1275" s="2"/>
      <c r="M1275" s="2"/>
      <c r="N1275" s="2"/>
      <c r="O1275" s="2"/>
      <c r="P1275" s="2"/>
      <c r="Q1275" s="2"/>
      <c r="R1275" s="2"/>
      <c r="S1275" s="2"/>
    </row>
    <row r="1276" spans="1:19" s="2" customFormat="1" ht="96.2" customHeight="1" outlineLevel="7">
      <c r="A1276" s="25">
        <v>969</v>
      </c>
      <c r="B1276" s="26" t="s">
        <v>4122</v>
      </c>
      <c r="C1276" s="66" t="s">
        <v>4123</v>
      </c>
      <c r="D1276" s="66"/>
      <c r="E1276" s="66"/>
      <c r="F1276" s="66"/>
      <c r="G1276" s="27" t="s">
        <v>4124</v>
      </c>
      <c r="H1276" s="33">
        <v>302</v>
      </c>
      <c r="I1276" s="29"/>
      <c r="J1276" s="25">
        <v>2</v>
      </c>
      <c r="K1276" s="30">
        <v>392.56</v>
      </c>
      <c r="L1276" s="17"/>
      <c r="M1276" s="29">
        <f>K1276*L1276</f>
        <v>0</v>
      </c>
      <c r="N1276" s="31">
        <f>0.065*L1276</f>
        <v>0</v>
      </c>
      <c r="O1276" s="32">
        <f>0.00115*L1276</f>
        <v>0</v>
      </c>
      <c r="P1276" s="36"/>
      <c r="Q1276" s="29" t="s">
        <v>4125</v>
      </c>
      <c r="R1276" s="29" t="s">
        <v>611</v>
      </c>
      <c r="S1276" s="26" t="str">
        <f>HYPERLINK("https://miland.ru/api/getInfo/image/66558573-be7a-11ee-a25a-00155d82e908")</f>
        <v>https://miland.ru/api/getInfo/image/66558573-be7a-11ee-a25a-00155d82e908</v>
      </c>
    </row>
    <row r="1277" spans="1:19" s="2" customFormat="1" ht="96.2" customHeight="1" outlineLevel="7">
      <c r="A1277" s="25">
        <v>970</v>
      </c>
      <c r="B1277" s="26" t="s">
        <v>4126</v>
      </c>
      <c r="C1277" s="66" t="s">
        <v>4127</v>
      </c>
      <c r="D1277" s="66"/>
      <c r="E1277" s="66"/>
      <c r="F1277" s="66"/>
      <c r="G1277" s="27" t="s">
        <v>4128</v>
      </c>
      <c r="H1277" s="33">
        <v>5</v>
      </c>
      <c r="I1277" s="29"/>
      <c r="J1277" s="25">
        <v>2</v>
      </c>
      <c r="K1277" s="30">
        <v>392.56</v>
      </c>
      <c r="L1277" s="17"/>
      <c r="M1277" s="29">
        <f>K1277*L1277</f>
        <v>0</v>
      </c>
      <c r="N1277" s="31">
        <f>0.059*L1277</f>
        <v>0</v>
      </c>
      <c r="O1277" s="32">
        <f>0.00107*L1277</f>
        <v>0</v>
      </c>
      <c r="P1277" s="36"/>
      <c r="Q1277" s="29" t="s">
        <v>4129</v>
      </c>
      <c r="R1277" s="29" t="s">
        <v>611</v>
      </c>
      <c r="S1277" s="26" t="str">
        <f>HYPERLINK("https://miland.ru/api/getInfo/image/8f27798f-be7a-11ee-a25a-00155d82e908")</f>
        <v>https://miland.ru/api/getInfo/image/8f27798f-be7a-11ee-a25a-00155d82e908</v>
      </c>
    </row>
    <row r="1278" spans="1:19" s="2" customFormat="1" ht="96.2" customHeight="1" outlineLevel="7">
      <c r="A1278" s="25">
        <v>971</v>
      </c>
      <c r="B1278" s="26" t="s">
        <v>4130</v>
      </c>
      <c r="C1278" s="66" t="s">
        <v>4131</v>
      </c>
      <c r="D1278" s="66"/>
      <c r="E1278" s="66"/>
      <c r="F1278" s="66"/>
      <c r="G1278" s="27" t="s">
        <v>4132</v>
      </c>
      <c r="H1278" s="33">
        <v>12</v>
      </c>
      <c r="I1278" s="29"/>
      <c r="J1278" s="25">
        <v>2</v>
      </c>
      <c r="K1278" s="30">
        <v>392.56</v>
      </c>
      <c r="L1278" s="17"/>
      <c r="M1278" s="29">
        <f>K1278*L1278</f>
        <v>0</v>
      </c>
      <c r="N1278" s="31">
        <f>0.058*L1278</f>
        <v>0</v>
      </c>
      <c r="O1278" s="32">
        <f>0.00106*L1278</f>
        <v>0</v>
      </c>
      <c r="P1278" s="36"/>
      <c r="Q1278" s="29" t="s">
        <v>4133</v>
      </c>
      <c r="R1278" s="29" t="s">
        <v>611</v>
      </c>
      <c r="S1278" s="26" t="str">
        <f>HYPERLINK("https://miland.ru/api/getInfo/image/3528f089-be7a-11ee-a25a-00155d82e908")</f>
        <v>https://miland.ru/api/getInfo/image/3528f089-be7a-11ee-a25a-00155d82e908</v>
      </c>
    </row>
    <row r="1279" spans="1:19" s="2" customFormat="1" ht="96.2" customHeight="1" outlineLevel="7">
      <c r="A1279" s="25">
        <v>972</v>
      </c>
      <c r="B1279" s="26" t="s">
        <v>4134</v>
      </c>
      <c r="C1279" s="66" t="s">
        <v>4135</v>
      </c>
      <c r="D1279" s="66"/>
      <c r="E1279" s="66"/>
      <c r="F1279" s="66"/>
      <c r="G1279" s="27" t="s">
        <v>4136</v>
      </c>
      <c r="H1279" s="33">
        <v>174</v>
      </c>
      <c r="I1279" s="29"/>
      <c r="J1279" s="25">
        <v>2</v>
      </c>
      <c r="K1279" s="30">
        <v>392.56</v>
      </c>
      <c r="L1279" s="17"/>
      <c r="M1279" s="29">
        <f>K1279*L1279</f>
        <v>0</v>
      </c>
      <c r="N1279" s="31">
        <f>0.059*L1279</f>
        <v>0</v>
      </c>
      <c r="O1279" s="32">
        <f>0.00111*L1279</f>
        <v>0</v>
      </c>
      <c r="P1279" s="36"/>
      <c r="Q1279" s="29" t="s">
        <v>4137</v>
      </c>
      <c r="R1279" s="29" t="s">
        <v>611</v>
      </c>
      <c r="S1279" s="26" t="str">
        <f>HYPERLINK("https://miland.ru/api/getInfo/image/bd4f9345-be7a-11ee-a25a-00155d82e908")</f>
        <v>https://miland.ru/api/getInfo/image/bd4f9345-be7a-11ee-a25a-00155d82e908</v>
      </c>
    </row>
    <row r="1280" spans="1:19" s="2" customFormat="1" ht="96.2" customHeight="1" outlineLevel="7">
      <c r="A1280" s="25">
        <v>973</v>
      </c>
      <c r="B1280" s="26" t="s">
        <v>4138</v>
      </c>
      <c r="C1280" s="66" t="s">
        <v>4139</v>
      </c>
      <c r="D1280" s="66"/>
      <c r="E1280" s="66"/>
      <c r="F1280" s="66"/>
      <c r="G1280" s="27" t="s">
        <v>4140</v>
      </c>
      <c r="H1280" s="33">
        <v>2</v>
      </c>
      <c r="I1280" s="29"/>
      <c r="J1280" s="25">
        <v>1</v>
      </c>
      <c r="K1280" s="37">
        <v>1690.02</v>
      </c>
      <c r="L1280" s="17"/>
      <c r="M1280" s="29">
        <f>K1280*L1280</f>
        <v>0</v>
      </c>
      <c r="N1280" s="31">
        <f>0.374*L1280</f>
        <v>0</v>
      </c>
      <c r="O1280" s="32">
        <f>0.00743*L1280</f>
        <v>0</v>
      </c>
      <c r="P1280" s="36"/>
      <c r="Q1280" s="29" t="s">
        <v>4141</v>
      </c>
      <c r="R1280" s="29" t="s">
        <v>611</v>
      </c>
      <c r="S1280" s="26" t="str">
        <f>HYPERLINK("https://miland.ru/api/getInfo/image/4293d248-95cd-11ef-a267-00155d82e908")</f>
        <v>https://miland.ru/api/getInfo/image/4293d248-95cd-11ef-a267-00155d82e908</v>
      </c>
    </row>
    <row r="1281" spans="1:19" s="1" customFormat="1" ht="12" customHeight="1" outlineLevel="7">
      <c r="A1281" s="64" t="s">
        <v>4142</v>
      </c>
      <c r="B1281" s="64"/>
      <c r="C1281" s="64"/>
      <c r="D1281" s="64"/>
      <c r="E1281" s="64"/>
      <c r="F1281" s="64"/>
      <c r="G1281" s="8"/>
      <c r="H1281" s="12"/>
      <c r="I1281" s="2"/>
      <c r="J1281" s="2"/>
      <c r="K1281" s="13"/>
      <c r="L1281" s="2"/>
      <c r="M1281" s="2"/>
      <c r="N1281" s="2"/>
      <c r="O1281" s="2"/>
      <c r="P1281" s="2"/>
      <c r="Q1281" s="2"/>
      <c r="R1281" s="2"/>
      <c r="S1281" s="2"/>
    </row>
    <row r="1282" spans="1:19" s="2" customFormat="1" ht="96.2" customHeight="1" outlineLevel="7">
      <c r="A1282" s="25">
        <v>974</v>
      </c>
      <c r="B1282" s="26" t="s">
        <v>4143</v>
      </c>
      <c r="C1282" s="66" t="s">
        <v>4144</v>
      </c>
      <c r="D1282" s="66"/>
      <c r="E1282" s="66"/>
      <c r="F1282" s="66"/>
      <c r="G1282" s="27" t="s">
        <v>4145</v>
      </c>
      <c r="H1282" s="33">
        <v>149</v>
      </c>
      <c r="I1282" s="29"/>
      <c r="J1282" s="25">
        <v>2</v>
      </c>
      <c r="K1282" s="30">
        <v>376.21</v>
      </c>
      <c r="L1282" s="17"/>
      <c r="M1282" s="29">
        <f>K1282*L1282</f>
        <v>0</v>
      </c>
      <c r="N1282" s="31">
        <f>0.055*L1282</f>
        <v>0</v>
      </c>
      <c r="O1282" s="32">
        <f>0.00109*L1282</f>
        <v>0</v>
      </c>
      <c r="P1282" s="36"/>
      <c r="Q1282" s="29" t="s">
        <v>4146</v>
      </c>
      <c r="R1282" s="29" t="s">
        <v>611</v>
      </c>
      <c r="S1282" s="26" t="str">
        <f>HYPERLINK("https://miland.ru/api/getInfo/image/da8bd1a3-be7d-11ee-a25a-00155d82e908")</f>
        <v>https://miland.ru/api/getInfo/image/da8bd1a3-be7d-11ee-a25a-00155d82e908</v>
      </c>
    </row>
    <row r="1283" spans="1:19" s="2" customFormat="1" ht="96.2" customHeight="1" outlineLevel="7">
      <c r="A1283" s="25">
        <v>975</v>
      </c>
      <c r="B1283" s="26" t="s">
        <v>4147</v>
      </c>
      <c r="C1283" s="66" t="s">
        <v>4148</v>
      </c>
      <c r="D1283" s="66"/>
      <c r="E1283" s="66"/>
      <c r="F1283" s="66"/>
      <c r="G1283" s="27" t="s">
        <v>4149</v>
      </c>
      <c r="H1283" s="33">
        <v>352</v>
      </c>
      <c r="I1283" s="29"/>
      <c r="J1283" s="25">
        <v>2</v>
      </c>
      <c r="K1283" s="30">
        <v>324.79000000000002</v>
      </c>
      <c r="L1283" s="17"/>
      <c r="M1283" s="29">
        <f>K1283*L1283</f>
        <v>0</v>
      </c>
      <c r="N1283" s="31">
        <f>0.055*L1283</f>
        <v>0</v>
      </c>
      <c r="O1283" s="32">
        <f>0.00108*L1283</f>
        <v>0</v>
      </c>
      <c r="P1283" s="36"/>
      <c r="Q1283" s="29" t="s">
        <v>4150</v>
      </c>
      <c r="R1283" s="29" t="s">
        <v>611</v>
      </c>
      <c r="S1283" s="26" t="str">
        <f>HYPERLINK("https://miland.ru/api/getInfo/image/69f2d2de-be7d-11ee-a25a-00155d82e908")</f>
        <v>https://miland.ru/api/getInfo/image/69f2d2de-be7d-11ee-a25a-00155d82e908</v>
      </c>
    </row>
    <row r="1284" spans="1:19" s="2" customFormat="1" ht="96.2" customHeight="1" outlineLevel="7">
      <c r="A1284" s="25">
        <v>976</v>
      </c>
      <c r="B1284" s="26" t="s">
        <v>4151</v>
      </c>
      <c r="C1284" s="66" t="s">
        <v>4152</v>
      </c>
      <c r="D1284" s="66"/>
      <c r="E1284" s="66"/>
      <c r="F1284" s="66"/>
      <c r="G1284" s="27" t="s">
        <v>4153</v>
      </c>
      <c r="H1284" s="33">
        <v>317</v>
      </c>
      <c r="I1284" s="29"/>
      <c r="J1284" s="25">
        <v>2</v>
      </c>
      <c r="K1284" s="30">
        <v>324.79000000000002</v>
      </c>
      <c r="L1284" s="17"/>
      <c r="M1284" s="29">
        <f>K1284*L1284</f>
        <v>0</v>
      </c>
      <c r="N1284" s="31">
        <f>0.055*L1284</f>
        <v>0</v>
      </c>
      <c r="O1284" s="32">
        <f>0.00109*L1284</f>
        <v>0</v>
      </c>
      <c r="P1284" s="36"/>
      <c r="Q1284" s="29" t="s">
        <v>4154</v>
      </c>
      <c r="R1284" s="29" t="s">
        <v>611</v>
      </c>
      <c r="S1284" s="26" t="str">
        <f>HYPERLINK("https://miland.ru/api/getInfo/image/bcadaf01-be7d-11ee-a25a-00155d82e908")</f>
        <v>https://miland.ru/api/getInfo/image/bcadaf01-be7d-11ee-a25a-00155d82e908</v>
      </c>
    </row>
    <row r="1285" spans="1:19" s="2" customFormat="1" ht="96.2" customHeight="1" outlineLevel="7">
      <c r="A1285" s="25">
        <v>977</v>
      </c>
      <c r="B1285" s="26" t="s">
        <v>4155</v>
      </c>
      <c r="C1285" s="66" t="s">
        <v>4156</v>
      </c>
      <c r="D1285" s="66"/>
      <c r="E1285" s="66"/>
      <c r="F1285" s="66"/>
      <c r="G1285" s="27" t="s">
        <v>4157</v>
      </c>
      <c r="H1285" s="33">
        <v>175</v>
      </c>
      <c r="I1285" s="29"/>
      <c r="J1285" s="25">
        <v>2</v>
      </c>
      <c r="K1285" s="30">
        <v>376.21</v>
      </c>
      <c r="L1285" s="17"/>
      <c r="M1285" s="29">
        <f>K1285*L1285</f>
        <v>0</v>
      </c>
      <c r="N1285" s="31">
        <f>0.055*L1285</f>
        <v>0</v>
      </c>
      <c r="O1285" s="32">
        <f>0.00109*L1285</f>
        <v>0</v>
      </c>
      <c r="P1285" s="36"/>
      <c r="Q1285" s="29" t="s">
        <v>4158</v>
      </c>
      <c r="R1285" s="29" t="s">
        <v>611</v>
      </c>
      <c r="S1285" s="26" t="str">
        <f>HYPERLINK("https://miland.ru/api/getInfo/image/f97503d0-be7d-11ee-a25a-00155d82e908")</f>
        <v>https://miland.ru/api/getInfo/image/f97503d0-be7d-11ee-a25a-00155d82e908</v>
      </c>
    </row>
    <row r="1286" spans="1:19" s="2" customFormat="1" ht="96.2" customHeight="1" outlineLevel="7">
      <c r="A1286" s="25">
        <v>978</v>
      </c>
      <c r="B1286" s="26" t="s">
        <v>4159</v>
      </c>
      <c r="C1286" s="66" t="s">
        <v>4160</v>
      </c>
      <c r="D1286" s="66"/>
      <c r="E1286" s="66"/>
      <c r="F1286" s="66"/>
      <c r="G1286" s="27" t="s">
        <v>4161</v>
      </c>
      <c r="H1286" s="33">
        <v>170</v>
      </c>
      <c r="I1286" s="29"/>
      <c r="J1286" s="25">
        <v>1</v>
      </c>
      <c r="K1286" s="37">
        <v>1521.76</v>
      </c>
      <c r="L1286" s="17"/>
      <c r="M1286" s="29">
        <f>K1286*L1286</f>
        <v>0</v>
      </c>
      <c r="N1286" s="31">
        <f>0.359*L1286</f>
        <v>0</v>
      </c>
      <c r="O1286" s="32">
        <f>0.00821*L1286</f>
        <v>0</v>
      </c>
      <c r="P1286" s="36"/>
      <c r="Q1286" s="29" t="s">
        <v>4162</v>
      </c>
      <c r="R1286" s="29" t="s">
        <v>611</v>
      </c>
      <c r="S1286" s="26" t="str">
        <f>HYPERLINK("https://miland.ru/api/getInfo/image/fb831c22-95cc-11ef-a267-00155d82e908")</f>
        <v>https://miland.ru/api/getInfo/image/fb831c22-95cc-11ef-a267-00155d82e908</v>
      </c>
    </row>
    <row r="1287" spans="1:19" s="1" customFormat="1" ht="12" customHeight="1" outlineLevel="7">
      <c r="A1287" s="64" t="s">
        <v>4163</v>
      </c>
      <c r="B1287" s="64"/>
      <c r="C1287" s="64"/>
      <c r="D1287" s="64"/>
      <c r="E1287" s="64"/>
      <c r="F1287" s="64"/>
      <c r="G1287" s="8"/>
      <c r="H1287" s="12"/>
      <c r="I1287" s="2"/>
      <c r="J1287" s="2"/>
      <c r="K1287" s="13"/>
      <c r="L1287" s="2"/>
      <c r="M1287" s="2"/>
      <c r="N1287" s="2"/>
      <c r="O1287" s="2"/>
      <c r="P1287" s="2"/>
      <c r="Q1287" s="2"/>
      <c r="R1287" s="2"/>
      <c r="S1287" s="2"/>
    </row>
    <row r="1288" spans="1:19" s="2" customFormat="1" ht="96.2" customHeight="1" outlineLevel="7">
      <c r="A1288" s="25">
        <v>979</v>
      </c>
      <c r="B1288" s="26" t="s">
        <v>4164</v>
      </c>
      <c r="C1288" s="66" t="s">
        <v>4165</v>
      </c>
      <c r="D1288" s="66"/>
      <c r="E1288" s="66"/>
      <c r="F1288" s="66"/>
      <c r="G1288" s="27" t="s">
        <v>4166</v>
      </c>
      <c r="H1288" s="33">
        <v>303</v>
      </c>
      <c r="I1288" s="29"/>
      <c r="J1288" s="25">
        <v>2</v>
      </c>
      <c r="K1288" s="30">
        <v>307.14999999999998</v>
      </c>
      <c r="L1288" s="17"/>
      <c r="M1288" s="29">
        <f>K1288*L1288</f>
        <v>0</v>
      </c>
      <c r="N1288" s="31">
        <f>0.056*L1288</f>
        <v>0</v>
      </c>
      <c r="O1288" s="32">
        <f>0.00106*L1288</f>
        <v>0</v>
      </c>
      <c r="P1288" s="36"/>
      <c r="Q1288" s="29" t="s">
        <v>4167</v>
      </c>
      <c r="R1288" s="29" t="s">
        <v>611</v>
      </c>
      <c r="S1288" s="26" t="str">
        <f>HYPERLINK("https://miland.ru/api/getInfo/image/864eaba4-be84-11ee-a25a-00155d82e908")</f>
        <v>https://miland.ru/api/getInfo/image/864eaba4-be84-11ee-a25a-00155d82e908</v>
      </c>
    </row>
    <row r="1289" spans="1:19" s="2" customFormat="1" ht="96.2" customHeight="1" outlineLevel="7">
      <c r="A1289" s="25">
        <v>980</v>
      </c>
      <c r="B1289" s="26" t="s">
        <v>4168</v>
      </c>
      <c r="C1289" s="66" t="s">
        <v>4169</v>
      </c>
      <c r="D1289" s="66"/>
      <c r="E1289" s="66"/>
      <c r="F1289" s="66"/>
      <c r="G1289" s="27" t="s">
        <v>4170</v>
      </c>
      <c r="H1289" s="33">
        <v>162</v>
      </c>
      <c r="I1289" s="29"/>
      <c r="J1289" s="25">
        <v>2</v>
      </c>
      <c r="K1289" s="30">
        <v>307.14999999999998</v>
      </c>
      <c r="L1289" s="17"/>
      <c r="M1289" s="29">
        <f>K1289*L1289</f>
        <v>0</v>
      </c>
      <c r="N1289" s="31">
        <f>0.056*L1289</f>
        <v>0</v>
      </c>
      <c r="O1289" s="32">
        <f>0.00108*L1289</f>
        <v>0</v>
      </c>
      <c r="P1289" s="36"/>
      <c r="Q1289" s="29" t="s">
        <v>4171</v>
      </c>
      <c r="R1289" s="29" t="s">
        <v>611</v>
      </c>
      <c r="S1289" s="26" t="str">
        <f>HYPERLINK("https://miland.ru/api/getInfo/image/4f9ea36b-be84-11ee-a25a-00155d82e908")</f>
        <v>https://miland.ru/api/getInfo/image/4f9ea36b-be84-11ee-a25a-00155d82e908</v>
      </c>
    </row>
    <row r="1290" spans="1:19" s="2" customFormat="1" ht="96.2" customHeight="1" outlineLevel="7">
      <c r="A1290" s="25">
        <v>981</v>
      </c>
      <c r="B1290" s="26" t="s">
        <v>4172</v>
      </c>
      <c r="C1290" s="66" t="s">
        <v>4173</v>
      </c>
      <c r="D1290" s="66"/>
      <c r="E1290" s="66"/>
      <c r="F1290" s="66"/>
      <c r="G1290" s="27" t="s">
        <v>4174</v>
      </c>
      <c r="H1290" s="33">
        <v>148</v>
      </c>
      <c r="I1290" s="29"/>
      <c r="J1290" s="25">
        <v>2</v>
      </c>
      <c r="K1290" s="30">
        <v>307.14999999999998</v>
      </c>
      <c r="L1290" s="17"/>
      <c r="M1290" s="29">
        <f>K1290*L1290</f>
        <v>0</v>
      </c>
      <c r="N1290" s="31">
        <f>0.054*L1290</f>
        <v>0</v>
      </c>
      <c r="O1290" s="32">
        <f>0.00105*L1290</f>
        <v>0</v>
      </c>
      <c r="P1290" s="36"/>
      <c r="Q1290" s="29" t="s">
        <v>4175</v>
      </c>
      <c r="R1290" s="29" t="s">
        <v>611</v>
      </c>
      <c r="S1290" s="26" t="str">
        <f>HYPERLINK("https://miland.ru/api/getInfo/image/6a083bdb-be84-11ee-a25a-00155d82e908")</f>
        <v>https://miland.ru/api/getInfo/image/6a083bdb-be84-11ee-a25a-00155d82e908</v>
      </c>
    </row>
    <row r="1291" spans="1:19" s="2" customFormat="1" ht="96.2" customHeight="1" outlineLevel="7">
      <c r="A1291" s="25">
        <v>982</v>
      </c>
      <c r="B1291" s="26" t="s">
        <v>4176</v>
      </c>
      <c r="C1291" s="66" t="s">
        <v>4177</v>
      </c>
      <c r="D1291" s="66"/>
      <c r="E1291" s="66"/>
      <c r="F1291" s="66"/>
      <c r="G1291" s="27" t="s">
        <v>4178</v>
      </c>
      <c r="H1291" s="33">
        <v>382</v>
      </c>
      <c r="I1291" s="29"/>
      <c r="J1291" s="25">
        <v>2</v>
      </c>
      <c r="K1291" s="30">
        <v>342.75</v>
      </c>
      <c r="L1291" s="17"/>
      <c r="M1291" s="29">
        <f>K1291*L1291</f>
        <v>0</v>
      </c>
      <c r="N1291" s="31">
        <f>0.056*L1291</f>
        <v>0</v>
      </c>
      <c r="O1291" s="32">
        <f>0.00114*L1291</f>
        <v>0</v>
      </c>
      <c r="P1291" s="36"/>
      <c r="Q1291" s="29" t="s">
        <v>4179</v>
      </c>
      <c r="R1291" s="29" t="s">
        <v>611</v>
      </c>
      <c r="S1291" s="26" t="str">
        <f>HYPERLINK("https://miland.ru/api/getInfo/image/2952cded-be84-11ee-a25a-00155d82e908")</f>
        <v>https://miland.ru/api/getInfo/image/2952cded-be84-11ee-a25a-00155d82e908</v>
      </c>
    </row>
    <row r="1292" spans="1:19" s="1" customFormat="1" ht="12" customHeight="1" outlineLevel="7">
      <c r="A1292" s="64" t="s">
        <v>4180</v>
      </c>
      <c r="B1292" s="64"/>
      <c r="C1292" s="64"/>
      <c r="D1292" s="64"/>
      <c r="E1292" s="64"/>
      <c r="F1292" s="64"/>
      <c r="G1292" s="8"/>
      <c r="H1292" s="12"/>
      <c r="I1292" s="2"/>
      <c r="J1292" s="2"/>
      <c r="K1292" s="13"/>
      <c r="L1292" s="2"/>
      <c r="M1292" s="2"/>
      <c r="N1292" s="2"/>
      <c r="O1292" s="2"/>
      <c r="P1292" s="2"/>
      <c r="Q1292" s="2"/>
      <c r="R1292" s="2"/>
      <c r="S1292" s="2"/>
    </row>
    <row r="1293" spans="1:19" s="2" customFormat="1" ht="96.2" customHeight="1" outlineLevel="7">
      <c r="A1293" s="25">
        <v>983</v>
      </c>
      <c r="B1293" s="26" t="s">
        <v>4181</v>
      </c>
      <c r="C1293" s="66" t="s">
        <v>4182</v>
      </c>
      <c r="D1293" s="66"/>
      <c r="E1293" s="66"/>
      <c r="F1293" s="66"/>
      <c r="G1293" s="27" t="s">
        <v>4183</v>
      </c>
      <c r="H1293" s="33">
        <v>463</v>
      </c>
      <c r="I1293" s="29"/>
      <c r="J1293" s="25">
        <v>1</v>
      </c>
      <c r="K1293" s="30">
        <v>481.99</v>
      </c>
      <c r="L1293" s="17"/>
      <c r="M1293" s="29">
        <f>K1293*L1293</f>
        <v>0</v>
      </c>
      <c r="N1293" s="31">
        <f>0.058*L1293</f>
        <v>0</v>
      </c>
      <c r="O1293" s="32">
        <f>0.00108*L1293</f>
        <v>0</v>
      </c>
      <c r="P1293" s="36"/>
      <c r="Q1293" s="29" t="s">
        <v>4184</v>
      </c>
      <c r="R1293" s="29" t="s">
        <v>611</v>
      </c>
      <c r="S1293" s="26" t="str">
        <f>HYPERLINK("https://miland.ru/api/getInfo/image/7f5ab432-e6bf-11ee-a25a-00155d82e908")</f>
        <v>https://miland.ru/api/getInfo/image/7f5ab432-e6bf-11ee-a25a-00155d82e908</v>
      </c>
    </row>
    <row r="1294" spans="1:19" s="2" customFormat="1" ht="96.2" customHeight="1" outlineLevel="7">
      <c r="A1294" s="25">
        <v>984</v>
      </c>
      <c r="B1294" s="26" t="s">
        <v>4185</v>
      </c>
      <c r="C1294" s="66" t="s">
        <v>4186</v>
      </c>
      <c r="D1294" s="66"/>
      <c r="E1294" s="66"/>
      <c r="F1294" s="66"/>
      <c r="G1294" s="27" t="s">
        <v>4187</v>
      </c>
      <c r="H1294" s="33">
        <v>122</v>
      </c>
      <c r="I1294" s="29"/>
      <c r="J1294" s="25">
        <v>2</v>
      </c>
      <c r="K1294" s="30">
        <v>324.79000000000002</v>
      </c>
      <c r="L1294" s="17"/>
      <c r="M1294" s="29">
        <f>K1294*L1294</f>
        <v>0</v>
      </c>
      <c r="N1294" s="31">
        <f>0.058*L1294</f>
        <v>0</v>
      </c>
      <c r="O1294" s="32">
        <f>0.00111*L1294</f>
        <v>0</v>
      </c>
      <c r="P1294" s="36"/>
      <c r="Q1294" s="29" t="s">
        <v>4188</v>
      </c>
      <c r="R1294" s="29" t="s">
        <v>611</v>
      </c>
      <c r="S1294" s="26" t="str">
        <f>HYPERLINK("https://miland.ru/api/getInfo/image/d2c868a8-e6bf-11ee-a25a-00155d82e908")</f>
        <v>https://miland.ru/api/getInfo/image/d2c868a8-e6bf-11ee-a25a-00155d82e908</v>
      </c>
    </row>
    <row r="1295" spans="1:19" s="2" customFormat="1" ht="96.2" customHeight="1" outlineLevel="7">
      <c r="A1295" s="25">
        <v>985</v>
      </c>
      <c r="B1295" s="26" t="s">
        <v>4189</v>
      </c>
      <c r="C1295" s="66" t="s">
        <v>4190</v>
      </c>
      <c r="D1295" s="66"/>
      <c r="E1295" s="66"/>
      <c r="F1295" s="66"/>
      <c r="G1295" s="27" t="s">
        <v>4191</v>
      </c>
      <c r="H1295" s="33">
        <v>94</v>
      </c>
      <c r="I1295" s="29"/>
      <c r="J1295" s="25">
        <v>2</v>
      </c>
      <c r="K1295" s="30">
        <v>324.79000000000002</v>
      </c>
      <c r="L1295" s="17"/>
      <c r="M1295" s="29">
        <f>K1295*L1295</f>
        <v>0</v>
      </c>
      <c r="N1295" s="34">
        <f>0.06*L1295</f>
        <v>0</v>
      </c>
      <c r="O1295" s="32">
        <f>0.00106*L1295</f>
        <v>0</v>
      </c>
      <c r="P1295" s="36"/>
      <c r="Q1295" s="29" t="s">
        <v>4192</v>
      </c>
      <c r="R1295" s="29" t="s">
        <v>611</v>
      </c>
      <c r="S1295" s="26" t="str">
        <f>HYPERLINK("https://miland.ru/api/getInfo/image/bc2b895a-e6bf-11ee-a25a-00155d82e908")</f>
        <v>https://miland.ru/api/getInfo/image/bc2b895a-e6bf-11ee-a25a-00155d82e908</v>
      </c>
    </row>
    <row r="1296" spans="1:19" s="2" customFormat="1" ht="96.2" customHeight="1" outlineLevel="7">
      <c r="A1296" s="25">
        <v>986</v>
      </c>
      <c r="B1296" s="26" t="s">
        <v>4193</v>
      </c>
      <c r="C1296" s="66" t="s">
        <v>4194</v>
      </c>
      <c r="D1296" s="66"/>
      <c r="E1296" s="66"/>
      <c r="F1296" s="66"/>
      <c r="G1296" s="27" t="s">
        <v>4195</v>
      </c>
      <c r="H1296" s="33">
        <v>204</v>
      </c>
      <c r="I1296" s="29"/>
      <c r="J1296" s="25">
        <v>2</v>
      </c>
      <c r="K1296" s="30">
        <v>324.79000000000002</v>
      </c>
      <c r="L1296" s="17"/>
      <c r="M1296" s="29">
        <f>K1296*L1296</f>
        <v>0</v>
      </c>
      <c r="N1296" s="31">
        <f>0.061*L1296</f>
        <v>0</v>
      </c>
      <c r="O1296" s="32">
        <f>0.00113*L1296</f>
        <v>0</v>
      </c>
      <c r="P1296" s="36"/>
      <c r="Q1296" s="29" t="s">
        <v>4196</v>
      </c>
      <c r="R1296" s="29" t="s">
        <v>611</v>
      </c>
      <c r="S1296" s="26" t="str">
        <f>HYPERLINK("https://miland.ru/api/getInfo/image/a512b7d6-e6bf-11ee-a25a-00155d82e908")</f>
        <v>https://miland.ru/api/getInfo/image/a512b7d6-e6bf-11ee-a25a-00155d82e908</v>
      </c>
    </row>
    <row r="1297" spans="1:19" s="1" customFormat="1" ht="12" customHeight="1" outlineLevel="5">
      <c r="A1297" s="64" t="s">
        <v>4197</v>
      </c>
      <c r="B1297" s="64"/>
      <c r="C1297" s="64"/>
      <c r="D1297" s="64"/>
      <c r="E1297" s="64"/>
      <c r="F1297" s="64"/>
      <c r="G1297" s="8"/>
      <c r="H1297" s="12"/>
      <c r="I1297" s="2"/>
      <c r="J1297" s="2"/>
      <c r="K1297" s="13"/>
      <c r="L1297" s="2"/>
      <c r="M1297" s="2"/>
      <c r="N1297" s="2"/>
      <c r="O1297" s="2"/>
      <c r="P1297" s="2"/>
      <c r="Q1297" s="2"/>
      <c r="R1297" s="2"/>
      <c r="S1297" s="2"/>
    </row>
    <row r="1298" spans="1:19" s="1" customFormat="1" ht="12" customHeight="1" outlineLevel="6">
      <c r="A1298" s="64" t="s">
        <v>4198</v>
      </c>
      <c r="B1298" s="64"/>
      <c r="C1298" s="64"/>
      <c r="D1298" s="64"/>
      <c r="E1298" s="64"/>
      <c r="F1298" s="64"/>
      <c r="G1298" s="8"/>
      <c r="H1298" s="12"/>
      <c r="I1298" s="2"/>
      <c r="J1298" s="2"/>
      <c r="K1298" s="13"/>
      <c r="L1298" s="2"/>
      <c r="M1298" s="2"/>
      <c r="N1298" s="2"/>
      <c r="O1298" s="2"/>
      <c r="P1298" s="2"/>
      <c r="Q1298" s="2"/>
      <c r="R1298" s="2"/>
      <c r="S1298" s="2"/>
    </row>
    <row r="1299" spans="1:19" s="2" customFormat="1" ht="96.2" customHeight="1" outlineLevel="7">
      <c r="A1299" s="25">
        <v>987</v>
      </c>
      <c r="B1299" s="26" t="s">
        <v>4199</v>
      </c>
      <c r="C1299" s="66" t="s">
        <v>4200</v>
      </c>
      <c r="D1299" s="66"/>
      <c r="E1299" s="66"/>
      <c r="F1299" s="66"/>
      <c r="G1299" s="27" t="s">
        <v>4201</v>
      </c>
      <c r="H1299" s="33">
        <v>3</v>
      </c>
      <c r="I1299" s="29"/>
      <c r="J1299" s="25">
        <v>2</v>
      </c>
      <c r="K1299" s="30">
        <v>278.8</v>
      </c>
      <c r="L1299" s="17"/>
      <c r="M1299" s="29">
        <f t="shared" ref="M1299:M1308" si="56">K1299*L1299</f>
        <v>0</v>
      </c>
      <c r="N1299" s="31">
        <f>0.048*L1299</f>
        <v>0</v>
      </c>
      <c r="O1299" s="32">
        <f>0.00118*L1299</f>
        <v>0</v>
      </c>
      <c r="P1299" s="36"/>
      <c r="Q1299" s="29" t="s">
        <v>4202</v>
      </c>
      <c r="R1299" s="29"/>
      <c r="S1299" s="26" t="str">
        <f>HYPERLINK("https://miland.ru/api/getInfo/image/06ad2a76-8a3e-11ec-a211-ac1f6b442185")</f>
        <v>https://miland.ru/api/getInfo/image/06ad2a76-8a3e-11ec-a211-ac1f6b442185</v>
      </c>
    </row>
    <row r="1300" spans="1:19" s="2" customFormat="1" ht="96.2" customHeight="1" outlineLevel="7">
      <c r="A1300" s="25">
        <v>988</v>
      </c>
      <c r="B1300" s="26" t="s">
        <v>4203</v>
      </c>
      <c r="C1300" s="66" t="s">
        <v>4204</v>
      </c>
      <c r="D1300" s="66"/>
      <c r="E1300" s="66"/>
      <c r="F1300" s="66"/>
      <c r="G1300" s="27" t="s">
        <v>4205</v>
      </c>
      <c r="H1300" s="33">
        <v>420</v>
      </c>
      <c r="I1300" s="29"/>
      <c r="J1300" s="25">
        <v>2</v>
      </c>
      <c r="K1300" s="30">
        <v>278.8</v>
      </c>
      <c r="L1300" s="17"/>
      <c r="M1300" s="29">
        <f t="shared" si="56"/>
        <v>0</v>
      </c>
      <c r="N1300" s="31">
        <f>0.052*L1300</f>
        <v>0</v>
      </c>
      <c r="O1300" s="32">
        <f>0.00064*L1300</f>
        <v>0</v>
      </c>
      <c r="P1300" s="36"/>
      <c r="Q1300" s="29" t="s">
        <v>4206</v>
      </c>
      <c r="R1300" s="29"/>
      <c r="S1300" s="26" t="str">
        <f>HYPERLINK("https://miland.ru/api/getInfo/image/431e1544-8a3d-11ec-a211-ac1f6b442185")</f>
        <v>https://miland.ru/api/getInfo/image/431e1544-8a3d-11ec-a211-ac1f6b442185</v>
      </c>
    </row>
    <row r="1301" spans="1:19" s="2" customFormat="1" ht="96.2" customHeight="1" outlineLevel="7">
      <c r="A1301" s="25">
        <v>989</v>
      </c>
      <c r="B1301" s="26" t="s">
        <v>4207</v>
      </c>
      <c r="C1301" s="66" t="s">
        <v>4208</v>
      </c>
      <c r="D1301" s="66"/>
      <c r="E1301" s="66"/>
      <c r="F1301" s="66"/>
      <c r="G1301" s="27" t="s">
        <v>4209</v>
      </c>
      <c r="H1301" s="33">
        <v>20</v>
      </c>
      <c r="I1301" s="29"/>
      <c r="J1301" s="25">
        <v>2</v>
      </c>
      <c r="K1301" s="30">
        <v>278.8</v>
      </c>
      <c r="L1301" s="17"/>
      <c r="M1301" s="29">
        <f t="shared" si="56"/>
        <v>0</v>
      </c>
      <c r="N1301" s="31">
        <f>0.046*L1301</f>
        <v>0</v>
      </c>
      <c r="O1301" s="32">
        <f>0.00108*L1301</f>
        <v>0</v>
      </c>
      <c r="P1301" s="36"/>
      <c r="Q1301" s="29" t="s">
        <v>4210</v>
      </c>
      <c r="R1301" s="29"/>
      <c r="S1301" s="26" t="str">
        <f>HYPERLINK("https://miland.ru/api/getInfo/image/828c6663-8a3c-11ec-a211-ac1f6b442185")</f>
        <v>https://miland.ru/api/getInfo/image/828c6663-8a3c-11ec-a211-ac1f6b442185</v>
      </c>
    </row>
    <row r="1302" spans="1:19" s="2" customFormat="1" ht="96.2" customHeight="1" outlineLevel="7">
      <c r="A1302" s="25">
        <v>990</v>
      </c>
      <c r="B1302" s="26" t="s">
        <v>4211</v>
      </c>
      <c r="C1302" s="66" t="s">
        <v>4212</v>
      </c>
      <c r="D1302" s="66"/>
      <c r="E1302" s="66"/>
      <c r="F1302" s="66"/>
      <c r="G1302" s="27" t="s">
        <v>4213</v>
      </c>
      <c r="H1302" s="33">
        <v>206</v>
      </c>
      <c r="I1302" s="29"/>
      <c r="J1302" s="25">
        <v>1</v>
      </c>
      <c r="K1302" s="30">
        <v>952.9</v>
      </c>
      <c r="L1302" s="17"/>
      <c r="M1302" s="29">
        <f t="shared" si="56"/>
        <v>0</v>
      </c>
      <c r="N1302" s="31">
        <f>0.184*L1302</f>
        <v>0</v>
      </c>
      <c r="O1302" s="32">
        <f>0.00273*L1302</f>
        <v>0</v>
      </c>
      <c r="P1302" s="36"/>
      <c r="Q1302" s="29" t="s">
        <v>4214</v>
      </c>
      <c r="R1302" s="29" t="s">
        <v>611</v>
      </c>
      <c r="S1302" s="26" t="str">
        <f>HYPERLINK("https://miland.ru/api/getInfo/image/24774f38-8a3c-11ec-a211-ac1f6b442185")</f>
        <v>https://miland.ru/api/getInfo/image/24774f38-8a3c-11ec-a211-ac1f6b442185</v>
      </c>
    </row>
    <row r="1303" spans="1:19" s="2" customFormat="1" ht="96.2" customHeight="1" outlineLevel="7">
      <c r="A1303" s="25">
        <v>991</v>
      </c>
      <c r="B1303" s="26" t="s">
        <v>4215</v>
      </c>
      <c r="C1303" s="66" t="s">
        <v>4216</v>
      </c>
      <c r="D1303" s="66"/>
      <c r="E1303" s="66"/>
      <c r="F1303" s="66"/>
      <c r="G1303" s="27" t="s">
        <v>4217</v>
      </c>
      <c r="H1303" s="33">
        <v>225</v>
      </c>
      <c r="I1303" s="29"/>
      <c r="J1303" s="25">
        <v>1</v>
      </c>
      <c r="K1303" s="30">
        <v>952.9</v>
      </c>
      <c r="L1303" s="17"/>
      <c r="M1303" s="29">
        <f t="shared" si="56"/>
        <v>0</v>
      </c>
      <c r="N1303" s="31">
        <f>0.195*L1303</f>
        <v>0</v>
      </c>
      <c r="O1303" s="32">
        <f>0.00221*L1303</f>
        <v>0</v>
      </c>
      <c r="P1303" s="36"/>
      <c r="Q1303" s="29" t="s">
        <v>4218</v>
      </c>
      <c r="R1303" s="29"/>
      <c r="S1303" s="26" t="str">
        <f>HYPERLINK("https://miland.ru/api/getInfo/image/a93ff162-8a3b-11ec-a211-ac1f6b442185")</f>
        <v>https://miland.ru/api/getInfo/image/a93ff162-8a3b-11ec-a211-ac1f6b442185</v>
      </c>
    </row>
    <row r="1304" spans="1:19" s="2" customFormat="1" ht="96.2" customHeight="1" outlineLevel="7">
      <c r="A1304" s="25">
        <v>992</v>
      </c>
      <c r="B1304" s="26" t="s">
        <v>4219</v>
      </c>
      <c r="C1304" s="66" t="s">
        <v>4220</v>
      </c>
      <c r="D1304" s="66"/>
      <c r="E1304" s="66"/>
      <c r="F1304" s="66"/>
      <c r="G1304" s="27" t="s">
        <v>4221</v>
      </c>
      <c r="H1304" s="33">
        <v>10</v>
      </c>
      <c r="I1304" s="29"/>
      <c r="J1304" s="25">
        <v>1</v>
      </c>
      <c r="K1304" s="37">
        <v>1108.47</v>
      </c>
      <c r="L1304" s="17"/>
      <c r="M1304" s="29">
        <f t="shared" si="56"/>
        <v>0</v>
      </c>
      <c r="N1304" s="31">
        <f>0.306*L1304</f>
        <v>0</v>
      </c>
      <c r="O1304" s="32">
        <f>0.00437*L1304</f>
        <v>0</v>
      </c>
      <c r="P1304" s="36"/>
      <c r="Q1304" s="29" t="s">
        <v>4222</v>
      </c>
      <c r="R1304" s="29"/>
      <c r="S1304" s="26" t="str">
        <f>HYPERLINK("https://miland.ru/api/getInfo/image/47655473-8a3b-11ec-a211-ac1f6b442185")</f>
        <v>https://miland.ru/api/getInfo/image/47655473-8a3b-11ec-a211-ac1f6b442185</v>
      </c>
    </row>
    <row r="1305" spans="1:19" s="2" customFormat="1" ht="96.2" customHeight="1" outlineLevel="7">
      <c r="A1305" s="25">
        <v>993</v>
      </c>
      <c r="B1305" s="26" t="s">
        <v>4223</v>
      </c>
      <c r="C1305" s="66" t="s">
        <v>4224</v>
      </c>
      <c r="D1305" s="66"/>
      <c r="E1305" s="66"/>
      <c r="F1305" s="66"/>
      <c r="G1305" s="27" t="s">
        <v>4225</v>
      </c>
      <c r="H1305" s="33">
        <v>316</v>
      </c>
      <c r="I1305" s="29"/>
      <c r="J1305" s="25">
        <v>4</v>
      </c>
      <c r="K1305" s="30">
        <v>154.22</v>
      </c>
      <c r="L1305" s="17"/>
      <c r="M1305" s="29">
        <f t="shared" si="56"/>
        <v>0</v>
      </c>
      <c r="N1305" s="34">
        <f>0.02*L1305</f>
        <v>0</v>
      </c>
      <c r="O1305" s="32">
        <f>0.00042*L1305</f>
        <v>0</v>
      </c>
      <c r="P1305" s="36"/>
      <c r="Q1305" s="29" t="s">
        <v>4226</v>
      </c>
      <c r="R1305" s="29"/>
      <c r="S1305" s="26" t="str">
        <f>HYPERLINK("https://miland.ru/api/getInfo/image/d48c3267-5299-11e8-b825-5cf3fc4a2490")</f>
        <v>https://miland.ru/api/getInfo/image/d48c3267-5299-11e8-b825-5cf3fc4a2490</v>
      </c>
    </row>
    <row r="1306" spans="1:19" s="2" customFormat="1" ht="96.2" customHeight="1" outlineLevel="7">
      <c r="A1306" s="25">
        <v>994</v>
      </c>
      <c r="B1306" s="26" t="s">
        <v>4227</v>
      </c>
      <c r="C1306" s="66" t="s">
        <v>4228</v>
      </c>
      <c r="D1306" s="66"/>
      <c r="E1306" s="66"/>
      <c r="F1306" s="66"/>
      <c r="G1306" s="27" t="s">
        <v>4229</v>
      </c>
      <c r="H1306" s="33">
        <v>2</v>
      </c>
      <c r="I1306" s="29"/>
      <c r="J1306" s="25">
        <v>2</v>
      </c>
      <c r="K1306" s="30">
        <v>154.22</v>
      </c>
      <c r="L1306" s="17"/>
      <c r="M1306" s="29">
        <f t="shared" si="56"/>
        <v>0</v>
      </c>
      <c r="N1306" s="31">
        <f>0.013*L1306</f>
        <v>0</v>
      </c>
      <c r="O1306" s="32">
        <f>0.00015*L1306</f>
        <v>0</v>
      </c>
      <c r="P1306" s="36"/>
      <c r="Q1306" s="29" t="s">
        <v>4230</v>
      </c>
      <c r="R1306" s="29"/>
      <c r="S1306" s="26" t="str">
        <f>HYPERLINK("https://miland.ru/api/getInfo/image/c0798f32-5299-11e8-b825-5cf3fc4a2490")</f>
        <v>https://miland.ru/api/getInfo/image/c0798f32-5299-11e8-b825-5cf3fc4a2490</v>
      </c>
    </row>
    <row r="1307" spans="1:19" s="2" customFormat="1" ht="96.2" customHeight="1" outlineLevel="7">
      <c r="A1307" s="25">
        <v>995</v>
      </c>
      <c r="B1307" s="26" t="s">
        <v>4231</v>
      </c>
      <c r="C1307" s="66" t="s">
        <v>4232</v>
      </c>
      <c r="D1307" s="66"/>
      <c r="E1307" s="66"/>
      <c r="F1307" s="66"/>
      <c r="G1307" s="27" t="s">
        <v>4233</v>
      </c>
      <c r="H1307" s="28" t="s">
        <v>44</v>
      </c>
      <c r="I1307" s="29"/>
      <c r="J1307" s="25">
        <v>3</v>
      </c>
      <c r="K1307" s="30">
        <v>204.3</v>
      </c>
      <c r="L1307" s="17"/>
      <c r="M1307" s="29">
        <f t="shared" si="56"/>
        <v>0</v>
      </c>
      <c r="N1307" s="31">
        <f>0.029*L1307</f>
        <v>0</v>
      </c>
      <c r="O1307" s="32">
        <f>0.00037*L1307</f>
        <v>0</v>
      </c>
      <c r="P1307" s="36"/>
      <c r="Q1307" s="29" t="s">
        <v>4234</v>
      </c>
      <c r="R1307" s="29"/>
      <c r="S1307" s="26" t="str">
        <f>HYPERLINK("https://miland.ru/api/getInfo/image/ab48c18d-9909-11eb-a201-ac1f6b442185")</f>
        <v>https://miland.ru/api/getInfo/image/ab48c18d-9909-11eb-a201-ac1f6b442185</v>
      </c>
    </row>
    <row r="1308" spans="1:19" s="2" customFormat="1" ht="96.2" customHeight="1" outlineLevel="7">
      <c r="A1308" s="25">
        <v>996</v>
      </c>
      <c r="B1308" s="26" t="s">
        <v>4235</v>
      </c>
      <c r="C1308" s="66" t="s">
        <v>4236</v>
      </c>
      <c r="D1308" s="66"/>
      <c r="E1308" s="66"/>
      <c r="F1308" s="66"/>
      <c r="G1308" s="27" t="s">
        <v>4237</v>
      </c>
      <c r="H1308" s="33">
        <v>489</v>
      </c>
      <c r="I1308" s="29"/>
      <c r="J1308" s="25">
        <v>3</v>
      </c>
      <c r="K1308" s="30">
        <v>204.3</v>
      </c>
      <c r="L1308" s="17"/>
      <c r="M1308" s="29">
        <f t="shared" si="56"/>
        <v>0</v>
      </c>
      <c r="N1308" s="31">
        <f>0.029*L1308</f>
        <v>0</v>
      </c>
      <c r="O1308" s="32">
        <f>0.00037*L1308</f>
        <v>0</v>
      </c>
      <c r="P1308" s="36"/>
      <c r="Q1308" s="29" t="s">
        <v>4238</v>
      </c>
      <c r="R1308" s="29"/>
      <c r="S1308" s="26" t="str">
        <f>HYPERLINK("https://miland.ru/api/getInfo/image/29c33958-9909-11eb-a201-ac1f6b442185")</f>
        <v>https://miland.ru/api/getInfo/image/29c33958-9909-11eb-a201-ac1f6b442185</v>
      </c>
    </row>
    <row r="1309" spans="1:19" s="1" customFormat="1" ht="12" customHeight="1" outlineLevel="6">
      <c r="A1309" s="64" t="s">
        <v>4239</v>
      </c>
      <c r="B1309" s="64"/>
      <c r="C1309" s="64"/>
      <c r="D1309" s="64"/>
      <c r="E1309" s="64"/>
      <c r="F1309" s="64"/>
      <c r="G1309" s="8"/>
      <c r="H1309" s="12"/>
      <c r="I1309" s="2"/>
      <c r="J1309" s="2"/>
      <c r="K1309" s="13"/>
      <c r="L1309" s="2"/>
      <c r="M1309" s="2"/>
      <c r="N1309" s="2"/>
      <c r="O1309" s="2"/>
      <c r="P1309" s="2"/>
      <c r="Q1309" s="2"/>
      <c r="R1309" s="2"/>
      <c r="S1309" s="2"/>
    </row>
    <row r="1310" spans="1:19" s="1" customFormat="1" ht="12" customHeight="1" outlineLevel="7">
      <c r="A1310" s="64" t="s">
        <v>4240</v>
      </c>
      <c r="B1310" s="64"/>
      <c r="C1310" s="64"/>
      <c r="D1310" s="64"/>
      <c r="E1310" s="64"/>
      <c r="F1310" s="64"/>
      <c r="G1310" s="8"/>
      <c r="H1310" s="12"/>
      <c r="I1310" s="2"/>
      <c r="J1310" s="2"/>
      <c r="K1310" s="13"/>
      <c r="L1310" s="2"/>
      <c r="M1310" s="2"/>
      <c r="N1310" s="2"/>
      <c r="O1310" s="2"/>
      <c r="P1310" s="2"/>
      <c r="Q1310" s="2"/>
      <c r="R1310" s="2"/>
      <c r="S1310" s="2"/>
    </row>
    <row r="1311" spans="1:19" s="2" customFormat="1" ht="96.2" customHeight="1" outlineLevel="7">
      <c r="A1311" s="25">
        <v>997</v>
      </c>
      <c r="B1311" s="26" t="s">
        <v>4241</v>
      </c>
      <c r="C1311" s="66" t="s">
        <v>4242</v>
      </c>
      <c r="D1311" s="66"/>
      <c r="E1311" s="66"/>
      <c r="F1311" s="66"/>
      <c r="G1311" s="27" t="s">
        <v>4243</v>
      </c>
      <c r="H1311" s="33">
        <v>23</v>
      </c>
      <c r="I1311" s="29"/>
      <c r="J1311" s="25">
        <v>3</v>
      </c>
      <c r="K1311" s="30">
        <v>229.25</v>
      </c>
      <c r="L1311" s="17"/>
      <c r="M1311" s="29">
        <f t="shared" ref="M1311:M1319" si="57">K1311*L1311</f>
        <v>0</v>
      </c>
      <c r="N1311" s="31">
        <f>0.035*L1311</f>
        <v>0</v>
      </c>
      <c r="O1311" s="32">
        <f>0.00095*L1311</f>
        <v>0</v>
      </c>
      <c r="P1311" s="36"/>
      <c r="Q1311" s="29" t="s">
        <v>4244</v>
      </c>
      <c r="R1311" s="29"/>
      <c r="S1311" s="26" t="str">
        <f>HYPERLINK("https://miland.ru/api/getInfo/image/a04b5d32-5ab6-11e9-a222-ac1f6b442184")</f>
        <v>https://miland.ru/api/getInfo/image/a04b5d32-5ab6-11e9-a222-ac1f6b442184</v>
      </c>
    </row>
    <row r="1312" spans="1:19" s="2" customFormat="1" ht="96.2" customHeight="1" outlineLevel="7">
      <c r="A1312" s="25">
        <v>998</v>
      </c>
      <c r="B1312" s="26" t="s">
        <v>4245</v>
      </c>
      <c r="C1312" s="66" t="s">
        <v>4246</v>
      </c>
      <c r="D1312" s="66"/>
      <c r="E1312" s="66"/>
      <c r="F1312" s="66"/>
      <c r="G1312" s="27" t="s">
        <v>4247</v>
      </c>
      <c r="H1312" s="28" t="s">
        <v>44</v>
      </c>
      <c r="I1312" s="29"/>
      <c r="J1312" s="25">
        <v>3</v>
      </c>
      <c r="K1312" s="30">
        <v>229.25</v>
      </c>
      <c r="L1312" s="17"/>
      <c r="M1312" s="29">
        <f t="shared" si="57"/>
        <v>0</v>
      </c>
      <c r="N1312" s="31">
        <f>0.035*L1312</f>
        <v>0</v>
      </c>
      <c r="O1312" s="32">
        <f>0.00107*L1312</f>
        <v>0</v>
      </c>
      <c r="P1312" s="36"/>
      <c r="Q1312" s="29" t="s">
        <v>4248</v>
      </c>
      <c r="R1312" s="29"/>
      <c r="S1312" s="26" t="str">
        <f>HYPERLINK("https://miland.ru/api/getInfo/image/82a993f3-5ab7-11e9-a222-ac1f6b442184")</f>
        <v>https://miland.ru/api/getInfo/image/82a993f3-5ab7-11e9-a222-ac1f6b442184</v>
      </c>
    </row>
    <row r="1313" spans="1:19" s="2" customFormat="1" ht="96.2" customHeight="1" outlineLevel="7">
      <c r="A1313" s="25">
        <v>999</v>
      </c>
      <c r="B1313" s="26" t="s">
        <v>4249</v>
      </c>
      <c r="C1313" s="66" t="s">
        <v>4250</v>
      </c>
      <c r="D1313" s="66"/>
      <c r="E1313" s="66"/>
      <c r="F1313" s="66"/>
      <c r="G1313" s="27" t="s">
        <v>4251</v>
      </c>
      <c r="H1313" s="28" t="s">
        <v>44</v>
      </c>
      <c r="I1313" s="29"/>
      <c r="J1313" s="25">
        <v>3</v>
      </c>
      <c r="K1313" s="30">
        <v>205</v>
      </c>
      <c r="L1313" s="17"/>
      <c r="M1313" s="29">
        <f t="shared" si="57"/>
        <v>0</v>
      </c>
      <c r="N1313" s="31">
        <f>0.056*L1313</f>
        <v>0</v>
      </c>
      <c r="O1313" s="35">
        <f>0.0008*L1313</f>
        <v>0</v>
      </c>
      <c r="P1313" s="36"/>
      <c r="Q1313" s="29" t="s">
        <v>4252</v>
      </c>
      <c r="R1313" s="29"/>
      <c r="S1313" s="26" t="str">
        <f>HYPERLINK("https://miland.ru/api/getInfo/image/9818bd5b-8a44-11ec-a211-ac1f6b442185")</f>
        <v>https://miland.ru/api/getInfo/image/9818bd5b-8a44-11ec-a211-ac1f6b442185</v>
      </c>
    </row>
    <row r="1314" spans="1:19" s="2" customFormat="1" ht="96.2" customHeight="1" outlineLevel="7">
      <c r="A1314" s="52">
        <v>1000</v>
      </c>
      <c r="B1314" s="26" t="s">
        <v>4253</v>
      </c>
      <c r="C1314" s="66" t="s">
        <v>4254</v>
      </c>
      <c r="D1314" s="66"/>
      <c r="E1314" s="66"/>
      <c r="F1314" s="66"/>
      <c r="G1314" s="27" t="s">
        <v>4255</v>
      </c>
      <c r="H1314" s="33">
        <v>306</v>
      </c>
      <c r="I1314" s="29"/>
      <c r="J1314" s="25">
        <v>3</v>
      </c>
      <c r="K1314" s="30">
        <v>205</v>
      </c>
      <c r="L1314" s="17"/>
      <c r="M1314" s="29">
        <f t="shared" si="57"/>
        <v>0</v>
      </c>
      <c r="N1314" s="31">
        <f>0.046*L1314</f>
        <v>0</v>
      </c>
      <c r="O1314" s="32">
        <f>0.00077*L1314</f>
        <v>0</v>
      </c>
      <c r="P1314" s="36"/>
      <c r="Q1314" s="29" t="s">
        <v>4256</v>
      </c>
      <c r="R1314" s="29"/>
      <c r="S1314" s="26" t="str">
        <f>HYPERLINK("https://miland.ru/api/getInfo/image/965ace3b-8a3f-11ec-a211-ac1f6b442185")</f>
        <v>https://miland.ru/api/getInfo/image/965ace3b-8a3f-11ec-a211-ac1f6b442185</v>
      </c>
    </row>
    <row r="1315" spans="1:19" s="2" customFormat="1" ht="96.2" customHeight="1" outlineLevel="7">
      <c r="A1315" s="52">
        <v>1001</v>
      </c>
      <c r="B1315" s="26" t="s">
        <v>4257</v>
      </c>
      <c r="C1315" s="66" t="s">
        <v>4258</v>
      </c>
      <c r="D1315" s="66"/>
      <c r="E1315" s="66"/>
      <c r="F1315" s="66"/>
      <c r="G1315" s="27" t="s">
        <v>4259</v>
      </c>
      <c r="H1315" s="33">
        <v>271</v>
      </c>
      <c r="I1315" s="29"/>
      <c r="J1315" s="25">
        <v>3</v>
      </c>
      <c r="K1315" s="30">
        <v>240.37</v>
      </c>
      <c r="L1315" s="17"/>
      <c r="M1315" s="29">
        <f t="shared" si="57"/>
        <v>0</v>
      </c>
      <c r="N1315" s="31">
        <f>0.047*L1315</f>
        <v>0</v>
      </c>
      <c r="O1315" s="32">
        <f>0.00081*L1315</f>
        <v>0</v>
      </c>
      <c r="P1315" s="36"/>
      <c r="Q1315" s="29" t="s">
        <v>4260</v>
      </c>
      <c r="R1315" s="29"/>
      <c r="S1315" s="26" t="str">
        <f>HYPERLINK("https://miland.ru/api/getInfo/image/3bf626cc-8a44-11ec-a211-ac1f6b442185")</f>
        <v>https://miland.ru/api/getInfo/image/3bf626cc-8a44-11ec-a211-ac1f6b442185</v>
      </c>
    </row>
    <row r="1316" spans="1:19" s="2" customFormat="1" ht="96.2" customHeight="1" outlineLevel="7">
      <c r="A1316" s="52">
        <v>1002</v>
      </c>
      <c r="B1316" s="26" t="s">
        <v>4261</v>
      </c>
      <c r="C1316" s="66" t="s">
        <v>4262</v>
      </c>
      <c r="D1316" s="66"/>
      <c r="E1316" s="66"/>
      <c r="F1316" s="66"/>
      <c r="G1316" s="27" t="s">
        <v>4263</v>
      </c>
      <c r="H1316" s="28" t="s">
        <v>44</v>
      </c>
      <c r="I1316" s="29"/>
      <c r="J1316" s="25">
        <v>3</v>
      </c>
      <c r="K1316" s="30">
        <v>205</v>
      </c>
      <c r="L1316" s="17"/>
      <c r="M1316" s="29">
        <f t="shared" si="57"/>
        <v>0</v>
      </c>
      <c r="N1316" s="31">
        <f>0.042*L1316</f>
        <v>0</v>
      </c>
      <c r="O1316" s="32">
        <f>0.00088*L1316</f>
        <v>0</v>
      </c>
      <c r="P1316" s="36"/>
      <c r="Q1316" s="29" t="s">
        <v>4264</v>
      </c>
      <c r="R1316" s="29"/>
      <c r="S1316" s="26" t="str">
        <f>HYPERLINK("https://miland.ru/api/getInfo/image/58037a92-8a40-11ec-a211-ac1f6b442185")</f>
        <v>https://miland.ru/api/getInfo/image/58037a92-8a40-11ec-a211-ac1f6b442185</v>
      </c>
    </row>
    <row r="1317" spans="1:19" s="2" customFormat="1" ht="96.2" customHeight="1" outlineLevel="7">
      <c r="A1317" s="52">
        <v>1003</v>
      </c>
      <c r="B1317" s="26" t="s">
        <v>4265</v>
      </c>
      <c r="C1317" s="66" t="s">
        <v>4266</v>
      </c>
      <c r="D1317" s="66"/>
      <c r="E1317" s="66"/>
      <c r="F1317" s="66"/>
      <c r="G1317" s="27" t="s">
        <v>4267</v>
      </c>
      <c r="H1317" s="28" t="s">
        <v>44</v>
      </c>
      <c r="I1317" s="29"/>
      <c r="J1317" s="25">
        <v>3</v>
      </c>
      <c r="K1317" s="30">
        <v>240.37</v>
      </c>
      <c r="L1317" s="17"/>
      <c r="M1317" s="29">
        <f t="shared" si="57"/>
        <v>0</v>
      </c>
      <c r="N1317" s="31">
        <f>0.114*L1317</f>
        <v>0</v>
      </c>
      <c r="O1317" s="32">
        <f>0.00091*L1317</f>
        <v>0</v>
      </c>
      <c r="P1317" s="36"/>
      <c r="Q1317" s="29" t="s">
        <v>4268</v>
      </c>
      <c r="R1317" s="29"/>
      <c r="S1317" s="26" t="str">
        <f>HYPERLINK("https://miland.ru/api/getInfo/image/90e8dc54-8a42-11ec-a211-ac1f6b442185")</f>
        <v>https://miland.ru/api/getInfo/image/90e8dc54-8a42-11ec-a211-ac1f6b442185</v>
      </c>
    </row>
    <row r="1318" spans="1:19" s="2" customFormat="1" ht="96.2" customHeight="1" outlineLevel="7">
      <c r="A1318" s="52">
        <v>1004</v>
      </c>
      <c r="B1318" s="26" t="s">
        <v>4269</v>
      </c>
      <c r="C1318" s="66" t="s">
        <v>4270</v>
      </c>
      <c r="D1318" s="66"/>
      <c r="E1318" s="66"/>
      <c r="F1318" s="66"/>
      <c r="G1318" s="27" t="s">
        <v>4271</v>
      </c>
      <c r="H1318" s="33">
        <v>349</v>
      </c>
      <c r="I1318" s="29"/>
      <c r="J1318" s="25">
        <v>3</v>
      </c>
      <c r="K1318" s="30">
        <v>224.26</v>
      </c>
      <c r="L1318" s="17"/>
      <c r="M1318" s="29">
        <f t="shared" si="57"/>
        <v>0</v>
      </c>
      <c r="N1318" s="31">
        <f>0.059*L1318</f>
        <v>0</v>
      </c>
      <c r="O1318" s="35">
        <f>0.0008*L1318</f>
        <v>0</v>
      </c>
      <c r="P1318" s="36"/>
      <c r="Q1318" s="29" t="s">
        <v>4272</v>
      </c>
      <c r="R1318" s="29"/>
      <c r="S1318" s="26" t="str">
        <f>HYPERLINK("https://miland.ru/api/getInfo/image/e3d30089-9727-11ed-a22d-00155d82e902")</f>
        <v>https://miland.ru/api/getInfo/image/e3d30089-9727-11ed-a22d-00155d82e902</v>
      </c>
    </row>
    <row r="1319" spans="1:19" s="2" customFormat="1" ht="96.2" customHeight="1" outlineLevel="7">
      <c r="A1319" s="52">
        <v>1005</v>
      </c>
      <c r="B1319" s="26" t="s">
        <v>4273</v>
      </c>
      <c r="C1319" s="66" t="s">
        <v>4274</v>
      </c>
      <c r="D1319" s="66"/>
      <c r="E1319" s="66"/>
      <c r="F1319" s="66"/>
      <c r="G1319" s="27" t="s">
        <v>4275</v>
      </c>
      <c r="H1319" s="33">
        <v>216</v>
      </c>
      <c r="I1319" s="29"/>
      <c r="J1319" s="25">
        <v>3</v>
      </c>
      <c r="K1319" s="30">
        <v>247.89</v>
      </c>
      <c r="L1319" s="17"/>
      <c r="M1319" s="29">
        <f t="shared" si="57"/>
        <v>0</v>
      </c>
      <c r="N1319" s="34">
        <f>0.05*L1319</f>
        <v>0</v>
      </c>
      <c r="O1319" s="35">
        <f>0.0009*L1319</f>
        <v>0</v>
      </c>
      <c r="P1319" s="36"/>
      <c r="Q1319" s="29" t="s">
        <v>4276</v>
      </c>
      <c r="R1319" s="29"/>
      <c r="S1319" s="26" t="str">
        <f>HYPERLINK("https://miland.ru/api/getInfo/image/6f1de0d0-990a-11eb-a201-ac1f6b442185")</f>
        <v>https://miland.ru/api/getInfo/image/6f1de0d0-990a-11eb-a201-ac1f6b442185</v>
      </c>
    </row>
    <row r="1320" spans="1:19" s="1" customFormat="1" ht="12" customHeight="1" outlineLevel="7">
      <c r="A1320" s="64" t="s">
        <v>4277</v>
      </c>
      <c r="B1320" s="64"/>
      <c r="C1320" s="64"/>
      <c r="D1320" s="64"/>
      <c r="E1320" s="64"/>
      <c r="F1320" s="64"/>
      <c r="G1320" s="8"/>
      <c r="H1320" s="12"/>
      <c r="I1320" s="2"/>
      <c r="J1320" s="2"/>
      <c r="K1320" s="13"/>
      <c r="L1320" s="2"/>
      <c r="M1320" s="2"/>
      <c r="N1320" s="2"/>
      <c r="O1320" s="2"/>
      <c r="P1320" s="2"/>
      <c r="Q1320" s="2"/>
      <c r="R1320" s="2"/>
      <c r="S1320" s="2"/>
    </row>
    <row r="1321" spans="1:19" s="2" customFormat="1" ht="96.2" customHeight="1" outlineLevel="7">
      <c r="A1321" s="52">
        <v>1006</v>
      </c>
      <c r="B1321" s="26" t="s">
        <v>4278</v>
      </c>
      <c r="C1321" s="66" t="s">
        <v>4279</v>
      </c>
      <c r="D1321" s="66"/>
      <c r="E1321" s="66"/>
      <c r="F1321" s="66"/>
      <c r="G1321" s="27" t="s">
        <v>4280</v>
      </c>
      <c r="H1321" s="28" t="s">
        <v>44</v>
      </c>
      <c r="I1321" s="29"/>
      <c r="J1321" s="25">
        <v>2</v>
      </c>
      <c r="K1321" s="30">
        <v>343.32</v>
      </c>
      <c r="L1321" s="17"/>
      <c r="M1321" s="29">
        <f>K1321*L1321</f>
        <v>0</v>
      </c>
      <c r="N1321" s="31">
        <f>0.055*L1321</f>
        <v>0</v>
      </c>
      <c r="O1321" s="32">
        <f>0.00138*L1321</f>
        <v>0</v>
      </c>
      <c r="P1321" s="36"/>
      <c r="Q1321" s="29" t="s">
        <v>4281</v>
      </c>
      <c r="R1321" s="29"/>
      <c r="S1321" s="26" t="str">
        <f>HYPERLINK("https://miland.ru/api/getInfo/image/4f0b2fbb-5ab8-11e9-a222-ac1f6b442184")</f>
        <v>https://miland.ru/api/getInfo/image/4f0b2fbb-5ab8-11e9-a222-ac1f6b442184</v>
      </c>
    </row>
    <row r="1322" spans="1:19" s="2" customFormat="1" ht="96.2" customHeight="1" outlineLevel="7">
      <c r="A1322" s="52">
        <v>1007</v>
      </c>
      <c r="B1322" s="26" t="s">
        <v>4282</v>
      </c>
      <c r="C1322" s="66" t="s">
        <v>4283</v>
      </c>
      <c r="D1322" s="66"/>
      <c r="E1322" s="66"/>
      <c r="F1322" s="66"/>
      <c r="G1322" s="27" t="s">
        <v>4284</v>
      </c>
      <c r="H1322" s="33">
        <v>79</v>
      </c>
      <c r="I1322" s="29"/>
      <c r="J1322" s="25">
        <v>2</v>
      </c>
      <c r="K1322" s="30">
        <v>379.55</v>
      </c>
      <c r="L1322" s="17"/>
      <c r="M1322" s="29">
        <f>K1322*L1322</f>
        <v>0</v>
      </c>
      <c r="N1322" s="34">
        <f>0.06*L1322</f>
        <v>0</v>
      </c>
      <c r="O1322" s="32">
        <f>0.00138*L1322</f>
        <v>0</v>
      </c>
      <c r="P1322" s="36"/>
      <c r="Q1322" s="29" t="s">
        <v>4285</v>
      </c>
      <c r="R1322" s="29"/>
      <c r="S1322" s="26" t="str">
        <f>HYPERLINK("https://miland.ru/api/getInfo/image/2242ddbc-5ab8-11e9-a222-ac1f6b442184")</f>
        <v>https://miland.ru/api/getInfo/image/2242ddbc-5ab8-11e9-a222-ac1f6b442184</v>
      </c>
    </row>
    <row r="1323" spans="1:19" s="2" customFormat="1" ht="96.2" customHeight="1" outlineLevel="7">
      <c r="A1323" s="52">
        <v>1008</v>
      </c>
      <c r="B1323" s="26" t="s">
        <v>4286</v>
      </c>
      <c r="C1323" s="66" t="s">
        <v>4287</v>
      </c>
      <c r="D1323" s="66"/>
      <c r="E1323" s="66"/>
      <c r="F1323" s="66"/>
      <c r="G1323" s="27" t="s">
        <v>4288</v>
      </c>
      <c r="H1323" s="28" t="s">
        <v>44</v>
      </c>
      <c r="I1323" s="29"/>
      <c r="J1323" s="25">
        <v>2</v>
      </c>
      <c r="K1323" s="30">
        <v>343.32</v>
      </c>
      <c r="L1323" s="17"/>
      <c r="M1323" s="29">
        <f>K1323*L1323</f>
        <v>0</v>
      </c>
      <c r="N1323" s="31">
        <f>0.056*L1323</f>
        <v>0</v>
      </c>
      <c r="O1323" s="32">
        <f>0.00129*L1323</f>
        <v>0</v>
      </c>
      <c r="P1323" s="36"/>
      <c r="Q1323" s="29" t="s">
        <v>4289</v>
      </c>
      <c r="R1323" s="29"/>
      <c r="S1323" s="26" t="str">
        <f>HYPERLINK("https://miland.ru/api/getInfo/image/75853f63-5ab8-11e9-a222-ac1f6b442184")</f>
        <v>https://miland.ru/api/getInfo/image/75853f63-5ab8-11e9-a222-ac1f6b442184</v>
      </c>
    </row>
    <row r="1324" spans="1:19" s="2" customFormat="1" ht="96.2" customHeight="1" outlineLevel="7">
      <c r="A1324" s="52">
        <v>1009</v>
      </c>
      <c r="B1324" s="26" t="s">
        <v>4290</v>
      </c>
      <c r="C1324" s="66" t="s">
        <v>4291</v>
      </c>
      <c r="D1324" s="66"/>
      <c r="E1324" s="66"/>
      <c r="F1324" s="66"/>
      <c r="G1324" s="27" t="s">
        <v>4292</v>
      </c>
      <c r="H1324" s="28" t="s">
        <v>44</v>
      </c>
      <c r="I1324" s="29"/>
      <c r="J1324" s="25">
        <v>2</v>
      </c>
      <c r="K1324" s="30">
        <v>343.32</v>
      </c>
      <c r="L1324" s="17"/>
      <c r="M1324" s="29">
        <f>K1324*L1324</f>
        <v>0</v>
      </c>
      <c r="N1324" s="31">
        <f>0.056*L1324</f>
        <v>0</v>
      </c>
      <c r="O1324" s="35">
        <f>0.0013*L1324</f>
        <v>0</v>
      </c>
      <c r="P1324" s="36"/>
      <c r="Q1324" s="29" t="s">
        <v>4293</v>
      </c>
      <c r="R1324" s="29"/>
      <c r="S1324" s="26" t="str">
        <f>HYPERLINK("https://miland.ru/api/getInfo/image/9da5594a-5ab8-11e9-a222-ac1f6b442184")</f>
        <v>https://miland.ru/api/getInfo/image/9da5594a-5ab8-11e9-a222-ac1f6b442184</v>
      </c>
    </row>
    <row r="1325" spans="1:19" s="1" customFormat="1" ht="12" customHeight="1" outlineLevel="7">
      <c r="A1325" s="64" t="s">
        <v>1720</v>
      </c>
      <c r="B1325" s="64"/>
      <c r="C1325" s="64"/>
      <c r="D1325" s="64"/>
      <c r="E1325" s="64"/>
      <c r="F1325" s="64"/>
      <c r="G1325" s="8"/>
      <c r="H1325" s="12"/>
      <c r="I1325" s="2"/>
      <c r="J1325" s="2"/>
      <c r="K1325" s="13"/>
      <c r="L1325" s="2"/>
      <c r="M1325" s="2"/>
      <c r="N1325" s="2"/>
      <c r="O1325" s="2"/>
      <c r="P1325" s="2"/>
      <c r="Q1325" s="2"/>
      <c r="R1325" s="2"/>
      <c r="S1325" s="2"/>
    </row>
    <row r="1326" spans="1:19" s="2" customFormat="1" ht="96.2" customHeight="1" outlineLevel="7">
      <c r="A1326" s="52">
        <v>1010</v>
      </c>
      <c r="B1326" s="26" t="s">
        <v>4294</v>
      </c>
      <c r="C1326" s="66" t="s">
        <v>4295</v>
      </c>
      <c r="D1326" s="66"/>
      <c r="E1326" s="66"/>
      <c r="F1326" s="66"/>
      <c r="G1326" s="27" t="s">
        <v>4296</v>
      </c>
      <c r="H1326" s="33">
        <v>13</v>
      </c>
      <c r="I1326" s="29"/>
      <c r="J1326" s="25">
        <v>1</v>
      </c>
      <c r="K1326" s="30">
        <v>423.6</v>
      </c>
      <c r="L1326" s="17"/>
      <c r="M1326" s="29">
        <f>K1326*L1326</f>
        <v>0</v>
      </c>
      <c r="N1326" s="31">
        <f>0.089*L1326</f>
        <v>0</v>
      </c>
      <c r="O1326" s="32">
        <f>0.00227*L1326</f>
        <v>0</v>
      </c>
      <c r="P1326" s="36"/>
      <c r="Q1326" s="29" t="s">
        <v>4297</v>
      </c>
      <c r="R1326" s="29"/>
      <c r="S1326" s="26" t="str">
        <f>HYPERLINK("https://miland.ru/api/getInfo/image/f01fbecd-9711-11ed-a22d-00155d82e902")</f>
        <v>https://miland.ru/api/getInfo/image/f01fbecd-9711-11ed-a22d-00155d82e902</v>
      </c>
    </row>
    <row r="1327" spans="1:19" s="2" customFormat="1" ht="96.2" customHeight="1" outlineLevel="7">
      <c r="A1327" s="52">
        <v>1011</v>
      </c>
      <c r="B1327" s="26" t="s">
        <v>4298</v>
      </c>
      <c r="C1327" s="66" t="s">
        <v>4299</v>
      </c>
      <c r="D1327" s="66"/>
      <c r="E1327" s="66"/>
      <c r="F1327" s="66"/>
      <c r="G1327" s="27" t="s">
        <v>4300</v>
      </c>
      <c r="H1327" s="33">
        <v>113</v>
      </c>
      <c r="I1327" s="29"/>
      <c r="J1327" s="25">
        <v>2</v>
      </c>
      <c r="K1327" s="30">
        <v>296.17</v>
      </c>
      <c r="L1327" s="17"/>
      <c r="M1327" s="29">
        <f>K1327*L1327</f>
        <v>0</v>
      </c>
      <c r="N1327" s="31">
        <f>0.088*L1327</f>
        <v>0</v>
      </c>
      <c r="O1327" s="32">
        <f>0.00204*L1327</f>
        <v>0</v>
      </c>
      <c r="P1327" s="36"/>
      <c r="Q1327" s="29" t="s">
        <v>4301</v>
      </c>
      <c r="R1327" s="29"/>
      <c r="S1327" s="26" t="str">
        <f>HYPERLINK("https://miland.ru/api/getInfo/image/f6602a76-8a3e-11ec-a211-ac1f6b442185")</f>
        <v>https://miland.ru/api/getInfo/image/f6602a76-8a3e-11ec-a211-ac1f6b442185</v>
      </c>
    </row>
    <row r="1328" spans="1:19" s="2" customFormat="1" ht="96.2" customHeight="1" outlineLevel="7">
      <c r="A1328" s="52">
        <v>1012</v>
      </c>
      <c r="B1328" s="26" t="s">
        <v>4302</v>
      </c>
      <c r="C1328" s="66" t="s">
        <v>4303</v>
      </c>
      <c r="D1328" s="66"/>
      <c r="E1328" s="66"/>
      <c r="F1328" s="66"/>
      <c r="G1328" s="27" t="s">
        <v>4304</v>
      </c>
      <c r="H1328" s="28" t="s">
        <v>44</v>
      </c>
      <c r="I1328" s="29"/>
      <c r="J1328" s="25">
        <v>1</v>
      </c>
      <c r="K1328" s="30">
        <v>423.6</v>
      </c>
      <c r="L1328" s="17"/>
      <c r="M1328" s="29">
        <f>K1328*L1328</f>
        <v>0</v>
      </c>
      <c r="N1328" s="31">
        <f>0.089*L1328</f>
        <v>0</v>
      </c>
      <c r="O1328" s="32">
        <f>0.00238*L1328</f>
        <v>0</v>
      </c>
      <c r="P1328" s="36"/>
      <c r="Q1328" s="29" t="s">
        <v>4305</v>
      </c>
      <c r="R1328" s="29"/>
      <c r="S1328" s="26" t="str">
        <f>HYPERLINK("https://miland.ru/api/getInfo/image/cce79c88-9712-11ed-a22d-00155d82e902")</f>
        <v>https://miland.ru/api/getInfo/image/cce79c88-9712-11ed-a22d-00155d82e902</v>
      </c>
    </row>
    <row r="1329" spans="1:19" s="2" customFormat="1" ht="96.2" customHeight="1" outlineLevel="7">
      <c r="A1329" s="52">
        <v>1013</v>
      </c>
      <c r="B1329" s="26" t="s">
        <v>4306</v>
      </c>
      <c r="C1329" s="66" t="s">
        <v>4307</v>
      </c>
      <c r="D1329" s="66"/>
      <c r="E1329" s="66"/>
      <c r="F1329" s="66"/>
      <c r="G1329" s="27" t="s">
        <v>4308</v>
      </c>
      <c r="H1329" s="33">
        <v>393</v>
      </c>
      <c r="I1329" s="29"/>
      <c r="J1329" s="25">
        <v>1</v>
      </c>
      <c r="K1329" s="30">
        <v>440.1</v>
      </c>
      <c r="L1329" s="17"/>
      <c r="M1329" s="29">
        <f>K1329*L1329</f>
        <v>0</v>
      </c>
      <c r="N1329" s="31">
        <f>0.099*L1329</f>
        <v>0</v>
      </c>
      <c r="O1329" s="32">
        <f>0.00218*L1329</f>
        <v>0</v>
      </c>
      <c r="P1329" s="36"/>
      <c r="Q1329" s="29" t="s">
        <v>4309</v>
      </c>
      <c r="R1329" s="29"/>
      <c r="S1329" s="26" t="str">
        <f>HYPERLINK("https://miland.ru/api/getInfo/image/0c680370-9714-11ed-a22d-00155d82e902")</f>
        <v>https://miland.ru/api/getInfo/image/0c680370-9714-11ed-a22d-00155d82e902</v>
      </c>
    </row>
    <row r="1330" spans="1:19" s="1" customFormat="1" ht="12" customHeight="1" outlineLevel="6">
      <c r="A1330" s="64" t="s">
        <v>4310</v>
      </c>
      <c r="B1330" s="64"/>
      <c r="C1330" s="64"/>
      <c r="D1330" s="64"/>
      <c r="E1330" s="64"/>
      <c r="F1330" s="64"/>
      <c r="G1330" s="8"/>
      <c r="H1330" s="12"/>
      <c r="I1330" s="2"/>
      <c r="J1330" s="2"/>
      <c r="K1330" s="13"/>
      <c r="L1330" s="2"/>
      <c r="M1330" s="2"/>
      <c r="N1330" s="2"/>
      <c r="O1330" s="2"/>
      <c r="P1330" s="2"/>
      <c r="Q1330" s="2"/>
      <c r="R1330" s="2"/>
      <c r="S1330" s="2"/>
    </row>
    <row r="1331" spans="1:19" s="1" customFormat="1" ht="12" customHeight="1" outlineLevel="7">
      <c r="A1331" s="64" t="s">
        <v>4311</v>
      </c>
      <c r="B1331" s="64"/>
      <c r="C1331" s="64"/>
      <c r="D1331" s="64"/>
      <c r="E1331" s="64"/>
      <c r="F1331" s="64"/>
      <c r="G1331" s="8"/>
      <c r="H1331" s="12"/>
      <c r="I1331" s="2"/>
      <c r="J1331" s="2"/>
      <c r="K1331" s="13"/>
      <c r="L1331" s="2"/>
      <c r="M1331" s="2"/>
      <c r="N1331" s="2"/>
      <c r="O1331" s="2"/>
      <c r="P1331" s="2"/>
      <c r="Q1331" s="2"/>
      <c r="R1331" s="2"/>
      <c r="S1331" s="2"/>
    </row>
    <row r="1332" spans="1:19" s="2" customFormat="1" ht="96.2" customHeight="1" outlineLevel="7">
      <c r="A1332" s="52">
        <v>1014</v>
      </c>
      <c r="B1332" s="26" t="s">
        <v>4312</v>
      </c>
      <c r="C1332" s="66" t="s">
        <v>4313</v>
      </c>
      <c r="D1332" s="66"/>
      <c r="E1332" s="66"/>
      <c r="F1332" s="66"/>
      <c r="G1332" s="27" t="s">
        <v>4314</v>
      </c>
      <c r="H1332" s="33">
        <v>43</v>
      </c>
      <c r="I1332" s="29"/>
      <c r="J1332" s="25">
        <v>1</v>
      </c>
      <c r="K1332" s="30">
        <v>528.13</v>
      </c>
      <c r="L1332" s="17"/>
      <c r="M1332" s="29">
        <f>K1332*L1332</f>
        <v>0</v>
      </c>
      <c r="N1332" s="31">
        <f>0.148*L1332</f>
        <v>0</v>
      </c>
      <c r="O1332" s="32">
        <f>0.00228*L1332</f>
        <v>0</v>
      </c>
      <c r="P1332" s="36"/>
      <c r="Q1332" s="29" t="s">
        <v>4315</v>
      </c>
      <c r="R1332" s="29"/>
      <c r="S1332" s="26" t="str">
        <f>HYPERLINK("https://miland.ru/api/getInfo/image/97fd2947-8a4b-11ec-a211-ac1f6b442185")</f>
        <v>https://miland.ru/api/getInfo/image/97fd2947-8a4b-11ec-a211-ac1f6b442185</v>
      </c>
    </row>
    <row r="1333" spans="1:19" s="2" customFormat="1" ht="96.2" customHeight="1" outlineLevel="7">
      <c r="A1333" s="52">
        <v>1015</v>
      </c>
      <c r="B1333" s="26" t="s">
        <v>4316</v>
      </c>
      <c r="C1333" s="66" t="s">
        <v>4317</v>
      </c>
      <c r="D1333" s="66"/>
      <c r="E1333" s="66"/>
      <c r="F1333" s="66"/>
      <c r="G1333" s="27" t="s">
        <v>4318</v>
      </c>
      <c r="H1333" s="33">
        <v>327</v>
      </c>
      <c r="I1333" s="29"/>
      <c r="J1333" s="25">
        <v>1</v>
      </c>
      <c r="K1333" s="30">
        <v>528.13</v>
      </c>
      <c r="L1333" s="17"/>
      <c r="M1333" s="29">
        <f>K1333*L1333</f>
        <v>0</v>
      </c>
      <c r="N1333" s="31">
        <f>0.166*L1333</f>
        <v>0</v>
      </c>
      <c r="O1333" s="32">
        <f>0.00357*L1333</f>
        <v>0</v>
      </c>
      <c r="P1333" s="36"/>
      <c r="Q1333" s="29" t="s">
        <v>4319</v>
      </c>
      <c r="R1333" s="29"/>
      <c r="S1333" s="26" t="str">
        <f>HYPERLINK("https://miland.ru/api/getInfo/image/60de55dd-9714-11ed-a22d-00155d82e902")</f>
        <v>https://miland.ru/api/getInfo/image/60de55dd-9714-11ed-a22d-00155d82e902</v>
      </c>
    </row>
    <row r="1334" spans="1:19" s="2" customFormat="1" ht="96.2" customHeight="1" outlineLevel="7">
      <c r="A1334" s="52">
        <v>1016</v>
      </c>
      <c r="B1334" s="26" t="s">
        <v>4320</v>
      </c>
      <c r="C1334" s="66" t="s">
        <v>4321</v>
      </c>
      <c r="D1334" s="66"/>
      <c r="E1334" s="66"/>
      <c r="F1334" s="66"/>
      <c r="G1334" s="27" t="s">
        <v>4322</v>
      </c>
      <c r="H1334" s="33">
        <v>122</v>
      </c>
      <c r="I1334" s="29"/>
      <c r="J1334" s="25">
        <v>1</v>
      </c>
      <c r="K1334" s="30">
        <v>528.13</v>
      </c>
      <c r="L1334" s="17"/>
      <c r="M1334" s="29">
        <f>K1334*L1334</f>
        <v>0</v>
      </c>
      <c r="N1334" s="31">
        <f>0.171*L1334</f>
        <v>0</v>
      </c>
      <c r="O1334" s="35">
        <f>0.0037*L1334</f>
        <v>0</v>
      </c>
      <c r="P1334" s="36"/>
      <c r="Q1334" s="29" t="s">
        <v>4323</v>
      </c>
      <c r="R1334" s="29"/>
      <c r="S1334" s="26" t="str">
        <f>HYPERLINK("https://miland.ru/api/getInfo/image/3adf1247-8a45-11ec-a211-ac1f6b442185")</f>
        <v>https://miland.ru/api/getInfo/image/3adf1247-8a45-11ec-a211-ac1f6b442185</v>
      </c>
    </row>
    <row r="1335" spans="1:19" s="2" customFormat="1" ht="96.2" customHeight="1" outlineLevel="7">
      <c r="A1335" s="52">
        <v>1017</v>
      </c>
      <c r="B1335" s="26" t="s">
        <v>4324</v>
      </c>
      <c r="C1335" s="66" t="s">
        <v>4325</v>
      </c>
      <c r="D1335" s="66"/>
      <c r="E1335" s="66"/>
      <c r="F1335" s="66"/>
      <c r="G1335" s="27" t="s">
        <v>4326</v>
      </c>
      <c r="H1335" s="33">
        <v>7</v>
      </c>
      <c r="I1335" s="29"/>
      <c r="J1335" s="25">
        <v>1</v>
      </c>
      <c r="K1335" s="30">
        <v>528.13</v>
      </c>
      <c r="L1335" s="17"/>
      <c r="M1335" s="29">
        <f>K1335*L1335</f>
        <v>0</v>
      </c>
      <c r="N1335" s="31">
        <f>0.154*L1335</f>
        <v>0</v>
      </c>
      <c r="O1335" s="32">
        <f>0.00376*L1335</f>
        <v>0</v>
      </c>
      <c r="P1335" s="36"/>
      <c r="Q1335" s="29" t="s">
        <v>4327</v>
      </c>
      <c r="R1335" s="29"/>
      <c r="S1335" s="26" t="str">
        <f>HYPERLINK("https://miland.ru/api/getInfo/image/45d6a9b3-8a4b-11ec-a211-ac1f6b442185")</f>
        <v>https://miland.ru/api/getInfo/image/45d6a9b3-8a4b-11ec-a211-ac1f6b442185</v>
      </c>
    </row>
    <row r="1336" spans="1:19" s="1" customFormat="1" ht="12" customHeight="1" outlineLevel="7">
      <c r="A1336" s="64" t="s">
        <v>4328</v>
      </c>
      <c r="B1336" s="64"/>
      <c r="C1336" s="64"/>
      <c r="D1336" s="64"/>
      <c r="E1336" s="64"/>
      <c r="F1336" s="64"/>
      <c r="G1336" s="8"/>
      <c r="H1336" s="12"/>
      <c r="I1336" s="2"/>
      <c r="J1336" s="2"/>
      <c r="K1336" s="13"/>
      <c r="L1336" s="2"/>
      <c r="M1336" s="2"/>
      <c r="N1336" s="2"/>
      <c r="O1336" s="2"/>
      <c r="P1336" s="2"/>
      <c r="Q1336" s="2"/>
      <c r="R1336" s="2"/>
      <c r="S1336" s="2"/>
    </row>
    <row r="1337" spans="1:19" s="2" customFormat="1" ht="96.2" customHeight="1" outlineLevel="7">
      <c r="A1337" s="52">
        <v>1018</v>
      </c>
      <c r="B1337" s="26" t="s">
        <v>4329</v>
      </c>
      <c r="C1337" s="66" t="s">
        <v>4330</v>
      </c>
      <c r="D1337" s="66"/>
      <c r="E1337" s="66"/>
      <c r="F1337" s="66"/>
      <c r="G1337" s="27" t="s">
        <v>4331</v>
      </c>
      <c r="H1337" s="33">
        <v>101</v>
      </c>
      <c r="I1337" s="29"/>
      <c r="J1337" s="25">
        <v>1</v>
      </c>
      <c r="K1337" s="30">
        <v>524.25</v>
      </c>
      <c r="L1337" s="17"/>
      <c r="M1337" s="29">
        <f>K1337*L1337</f>
        <v>0</v>
      </c>
      <c r="N1337" s="31">
        <f>0.138*L1337</f>
        <v>0</v>
      </c>
      <c r="O1337" s="32">
        <f>0.00187*L1337</f>
        <v>0</v>
      </c>
      <c r="P1337" s="36"/>
      <c r="Q1337" s="29" t="s">
        <v>4332</v>
      </c>
      <c r="R1337" s="29" t="s">
        <v>611</v>
      </c>
      <c r="S1337" s="26" t="str">
        <f>HYPERLINK("https://miland.ru/api/getInfo/image/f0118c19-8988-11ec-a211-ac1f6b442185")</f>
        <v>https://miland.ru/api/getInfo/image/f0118c19-8988-11ec-a211-ac1f6b442185</v>
      </c>
    </row>
    <row r="1338" spans="1:19" s="1" customFormat="1" ht="12" customHeight="1" outlineLevel="6">
      <c r="A1338" s="64" t="s">
        <v>4333</v>
      </c>
      <c r="B1338" s="64"/>
      <c r="C1338" s="64"/>
      <c r="D1338" s="64"/>
      <c r="E1338" s="64"/>
      <c r="F1338" s="64"/>
      <c r="G1338" s="8"/>
      <c r="H1338" s="12"/>
      <c r="I1338" s="2"/>
      <c r="J1338" s="2"/>
      <c r="K1338" s="13"/>
      <c r="L1338" s="2"/>
      <c r="M1338" s="2"/>
      <c r="N1338" s="2"/>
      <c r="O1338" s="2"/>
      <c r="P1338" s="2"/>
      <c r="Q1338" s="2"/>
      <c r="R1338" s="2"/>
      <c r="S1338" s="2"/>
    </row>
    <row r="1339" spans="1:19" s="1" customFormat="1" ht="12" customHeight="1" outlineLevel="7">
      <c r="A1339" s="64" t="s">
        <v>4334</v>
      </c>
      <c r="B1339" s="64"/>
      <c r="C1339" s="64"/>
      <c r="D1339" s="64"/>
      <c r="E1339" s="64"/>
      <c r="F1339" s="64"/>
      <c r="G1339" s="8"/>
      <c r="H1339" s="12"/>
      <c r="I1339" s="2"/>
      <c r="J1339" s="2"/>
      <c r="K1339" s="13"/>
      <c r="L1339" s="2"/>
      <c r="M1339" s="2"/>
      <c r="N1339" s="2"/>
      <c r="O1339" s="2"/>
      <c r="P1339" s="2"/>
      <c r="Q1339" s="2"/>
      <c r="R1339" s="2"/>
      <c r="S1339" s="2"/>
    </row>
    <row r="1340" spans="1:19" s="2" customFormat="1" ht="96.2" customHeight="1" outlineLevel="7">
      <c r="A1340" s="52">
        <v>1019</v>
      </c>
      <c r="B1340" s="26" t="s">
        <v>4335</v>
      </c>
      <c r="C1340" s="66" t="s">
        <v>4336</v>
      </c>
      <c r="D1340" s="66"/>
      <c r="E1340" s="66"/>
      <c r="F1340" s="66"/>
      <c r="G1340" s="27" t="s">
        <v>4337</v>
      </c>
      <c r="H1340" s="28" t="s">
        <v>44</v>
      </c>
      <c r="I1340" s="29"/>
      <c r="J1340" s="25">
        <v>3</v>
      </c>
      <c r="K1340" s="30">
        <v>220.06</v>
      </c>
      <c r="L1340" s="17"/>
      <c r="M1340" s="29">
        <f t="shared" ref="M1340:M1354" si="58">K1340*L1340</f>
        <v>0</v>
      </c>
      <c r="N1340" s="34">
        <f>0.06*L1340</f>
        <v>0</v>
      </c>
      <c r="O1340" s="32">
        <f>0.00134*L1340</f>
        <v>0</v>
      </c>
      <c r="P1340" s="36"/>
      <c r="Q1340" s="29" t="s">
        <v>4338</v>
      </c>
      <c r="R1340" s="29"/>
      <c r="S1340" s="26" t="str">
        <f>HYPERLINK("https://miland.ru/api/getInfo/image/3cc03efa-23fd-11e6-b4ab-5cf3fc4a2490")</f>
        <v>https://miland.ru/api/getInfo/image/3cc03efa-23fd-11e6-b4ab-5cf3fc4a2490</v>
      </c>
    </row>
    <row r="1341" spans="1:19" s="2" customFormat="1" ht="96.2" customHeight="1" outlineLevel="7">
      <c r="A1341" s="53">
        <v>1020</v>
      </c>
      <c r="B1341" s="10" t="s">
        <v>4339</v>
      </c>
      <c r="C1341" s="65" t="s">
        <v>4340</v>
      </c>
      <c r="D1341" s="65"/>
      <c r="E1341" s="65"/>
      <c r="F1341" s="65"/>
      <c r="G1341" s="11" t="s">
        <v>4341</v>
      </c>
      <c r="H1341" s="14">
        <v>220</v>
      </c>
      <c r="I1341" s="15"/>
      <c r="J1341" s="9">
        <v>3</v>
      </c>
      <c r="K1341" s="16">
        <v>206.74</v>
      </c>
      <c r="L1341" s="17"/>
      <c r="M1341" s="15">
        <f t="shared" si="58"/>
        <v>0</v>
      </c>
      <c r="N1341" s="18">
        <f>0.145*L1341</f>
        <v>0</v>
      </c>
      <c r="O1341" s="19">
        <f>0.01128*L1341</f>
        <v>0</v>
      </c>
      <c r="P1341" s="24" t="s">
        <v>26</v>
      </c>
      <c r="Q1341" s="15" t="s">
        <v>4342</v>
      </c>
      <c r="R1341" s="15"/>
      <c r="S1341" s="10" t="str">
        <f>HYPERLINK("https://miland.ru/api/getInfo/image/7e2f89e2-3182-11f1-a292-00155d82e908")</f>
        <v>https://miland.ru/api/getInfo/image/7e2f89e2-3182-11f1-a292-00155d82e908</v>
      </c>
    </row>
    <row r="1342" spans="1:19" s="2" customFormat="1" ht="96.2" customHeight="1" outlineLevel="7">
      <c r="A1342" s="53">
        <v>1021</v>
      </c>
      <c r="B1342" s="10" t="s">
        <v>4343</v>
      </c>
      <c r="C1342" s="65" t="s">
        <v>4344</v>
      </c>
      <c r="D1342" s="65"/>
      <c r="E1342" s="65"/>
      <c r="F1342" s="65"/>
      <c r="G1342" s="11" t="s">
        <v>4345</v>
      </c>
      <c r="H1342" s="14">
        <v>214</v>
      </c>
      <c r="I1342" s="15"/>
      <c r="J1342" s="9">
        <v>3</v>
      </c>
      <c r="K1342" s="16">
        <v>206.74</v>
      </c>
      <c r="L1342" s="17"/>
      <c r="M1342" s="15">
        <f t="shared" si="58"/>
        <v>0</v>
      </c>
      <c r="N1342" s="18">
        <f>0.148*L1342</f>
        <v>0</v>
      </c>
      <c r="O1342" s="20">
        <f>0.0031*L1342</f>
        <v>0</v>
      </c>
      <c r="P1342" s="24" t="s">
        <v>26</v>
      </c>
      <c r="Q1342" s="15" t="s">
        <v>4346</v>
      </c>
      <c r="R1342" s="15"/>
      <c r="S1342" s="10" t="str">
        <f>HYPERLINK("https://miland.ru/api/getInfo/image/4320b755-3182-11f1-a292-00155d82e908")</f>
        <v>https://miland.ru/api/getInfo/image/4320b755-3182-11f1-a292-00155d82e908</v>
      </c>
    </row>
    <row r="1343" spans="1:19" s="2" customFormat="1" ht="96.2" customHeight="1" outlineLevel="7">
      <c r="A1343" s="53">
        <v>1022</v>
      </c>
      <c r="B1343" s="10" t="s">
        <v>4347</v>
      </c>
      <c r="C1343" s="65" t="s">
        <v>4348</v>
      </c>
      <c r="D1343" s="65"/>
      <c r="E1343" s="65"/>
      <c r="F1343" s="65"/>
      <c r="G1343" s="11" t="s">
        <v>4349</v>
      </c>
      <c r="H1343" s="14">
        <v>6</v>
      </c>
      <c r="I1343" s="15"/>
      <c r="J1343" s="9">
        <v>3</v>
      </c>
      <c r="K1343" s="16">
        <v>206.74</v>
      </c>
      <c r="L1343" s="17"/>
      <c r="M1343" s="15">
        <f t="shared" si="58"/>
        <v>0</v>
      </c>
      <c r="N1343" s="18">
        <f>0.148*L1343</f>
        <v>0</v>
      </c>
      <c r="O1343" s="19">
        <f>0.00325*L1343</f>
        <v>0</v>
      </c>
      <c r="P1343" s="24" t="s">
        <v>26</v>
      </c>
      <c r="Q1343" s="15" t="s">
        <v>4350</v>
      </c>
      <c r="R1343" s="15"/>
      <c r="S1343" s="10" t="str">
        <f>HYPERLINK("https://miland.ru/api/getInfo/image/05ad1c69-3184-11f1-a292-00155d82e908")</f>
        <v>https://miland.ru/api/getInfo/image/05ad1c69-3184-11f1-a292-00155d82e908</v>
      </c>
    </row>
    <row r="1344" spans="1:19" s="2" customFormat="1" ht="96.2" customHeight="1" outlineLevel="7">
      <c r="A1344" s="52">
        <v>1023</v>
      </c>
      <c r="B1344" s="26" t="s">
        <v>4351</v>
      </c>
      <c r="C1344" s="66" t="s">
        <v>4352</v>
      </c>
      <c r="D1344" s="66"/>
      <c r="E1344" s="66"/>
      <c r="F1344" s="66"/>
      <c r="G1344" s="27" t="s">
        <v>4353</v>
      </c>
      <c r="H1344" s="28" t="s">
        <v>44</v>
      </c>
      <c r="I1344" s="29"/>
      <c r="J1344" s="25">
        <v>4</v>
      </c>
      <c r="K1344" s="30">
        <v>220.18</v>
      </c>
      <c r="L1344" s="17"/>
      <c r="M1344" s="29">
        <f t="shared" si="58"/>
        <v>0</v>
      </c>
      <c r="N1344" s="31">
        <f>0.059*L1344</f>
        <v>0</v>
      </c>
      <c r="O1344" s="32">
        <f>0.00133*L1344</f>
        <v>0</v>
      </c>
      <c r="P1344" s="36"/>
      <c r="Q1344" s="29" t="s">
        <v>4354</v>
      </c>
      <c r="R1344" s="29"/>
      <c r="S1344" s="26" t="str">
        <f>HYPERLINK("https://miland.ru/api/getInfo/image/50047200-dca3-11ef-a273-00155d82e908")</f>
        <v>https://miland.ru/api/getInfo/image/50047200-dca3-11ef-a273-00155d82e908</v>
      </c>
    </row>
    <row r="1345" spans="1:19" s="2" customFormat="1" ht="96.2" customHeight="1" outlineLevel="7">
      <c r="A1345" s="52">
        <v>1024</v>
      </c>
      <c r="B1345" s="26" t="s">
        <v>4355</v>
      </c>
      <c r="C1345" s="66" t="s">
        <v>4356</v>
      </c>
      <c r="D1345" s="66"/>
      <c r="E1345" s="66"/>
      <c r="F1345" s="66"/>
      <c r="G1345" s="27" t="s">
        <v>4357</v>
      </c>
      <c r="H1345" s="33">
        <v>124</v>
      </c>
      <c r="I1345" s="29"/>
      <c r="J1345" s="25">
        <v>3</v>
      </c>
      <c r="K1345" s="30">
        <v>182.45</v>
      </c>
      <c r="L1345" s="17"/>
      <c r="M1345" s="29">
        <f t="shared" si="58"/>
        <v>0</v>
      </c>
      <c r="N1345" s="31">
        <f>0.063*L1345</f>
        <v>0</v>
      </c>
      <c r="O1345" s="32">
        <f>0.00134*L1345</f>
        <v>0</v>
      </c>
      <c r="P1345" s="36"/>
      <c r="Q1345" s="29" t="s">
        <v>4358</v>
      </c>
      <c r="R1345" s="29"/>
      <c r="S1345" s="26" t="str">
        <f>HYPERLINK("https://miland.ru/api/getInfo/image/108ebd7b-2411-11e6-b4ab-5cf3fc4a2490")</f>
        <v>https://miland.ru/api/getInfo/image/108ebd7b-2411-11e6-b4ab-5cf3fc4a2490</v>
      </c>
    </row>
    <row r="1346" spans="1:19" s="2" customFormat="1" ht="96.2" customHeight="1" outlineLevel="7">
      <c r="A1346" s="52">
        <v>1025</v>
      </c>
      <c r="B1346" s="26" t="s">
        <v>4359</v>
      </c>
      <c r="C1346" s="66" t="s">
        <v>4360</v>
      </c>
      <c r="D1346" s="66"/>
      <c r="E1346" s="66"/>
      <c r="F1346" s="66"/>
      <c r="G1346" s="27" t="s">
        <v>4361</v>
      </c>
      <c r="H1346" s="33">
        <v>410</v>
      </c>
      <c r="I1346" s="29"/>
      <c r="J1346" s="25">
        <v>4</v>
      </c>
      <c r="K1346" s="30">
        <v>170.9</v>
      </c>
      <c r="L1346" s="17"/>
      <c r="M1346" s="29">
        <f t="shared" si="58"/>
        <v>0</v>
      </c>
      <c r="N1346" s="31">
        <f>0.064*L1346</f>
        <v>0</v>
      </c>
      <c r="O1346" s="32">
        <f>0.00136*L1346</f>
        <v>0</v>
      </c>
      <c r="P1346" s="36"/>
      <c r="Q1346" s="29" t="s">
        <v>4362</v>
      </c>
      <c r="R1346" s="29"/>
      <c r="S1346" s="26" t="str">
        <f>HYPERLINK("https://miland.ru/api/getInfo/image/3567051a-240e-11e6-b4ab-5cf3fc4a2490")</f>
        <v>https://miland.ru/api/getInfo/image/3567051a-240e-11e6-b4ab-5cf3fc4a2490</v>
      </c>
    </row>
    <row r="1347" spans="1:19" s="2" customFormat="1" ht="96.2" customHeight="1" outlineLevel="7">
      <c r="A1347" s="52">
        <v>1026</v>
      </c>
      <c r="B1347" s="26" t="s">
        <v>4363</v>
      </c>
      <c r="C1347" s="66" t="s">
        <v>4364</v>
      </c>
      <c r="D1347" s="66"/>
      <c r="E1347" s="66"/>
      <c r="F1347" s="66"/>
      <c r="G1347" s="27" t="s">
        <v>4365</v>
      </c>
      <c r="H1347" s="28" t="s">
        <v>44</v>
      </c>
      <c r="I1347" s="29"/>
      <c r="J1347" s="25">
        <v>3</v>
      </c>
      <c r="K1347" s="30">
        <v>182.45</v>
      </c>
      <c r="L1347" s="17"/>
      <c r="M1347" s="29">
        <f t="shared" si="58"/>
        <v>0</v>
      </c>
      <c r="N1347" s="34">
        <f>0.06*L1347</f>
        <v>0</v>
      </c>
      <c r="O1347" s="35">
        <f>0.0014*L1347</f>
        <v>0</v>
      </c>
      <c r="P1347" s="36"/>
      <c r="Q1347" s="29" t="s">
        <v>4366</v>
      </c>
      <c r="R1347" s="29"/>
      <c r="S1347" s="26" t="str">
        <f>HYPERLINK("https://miland.ru/api/getInfo/image/d770f8da-23f9-11e6-b4ab-5cf3fc4a2490")</f>
        <v>https://miland.ru/api/getInfo/image/d770f8da-23f9-11e6-b4ab-5cf3fc4a2490</v>
      </c>
    </row>
    <row r="1348" spans="1:19" s="2" customFormat="1" ht="96.2" customHeight="1" outlineLevel="7">
      <c r="A1348" s="52">
        <v>1027</v>
      </c>
      <c r="B1348" s="26" t="s">
        <v>4367</v>
      </c>
      <c r="C1348" s="66" t="s">
        <v>4368</v>
      </c>
      <c r="D1348" s="66"/>
      <c r="E1348" s="66"/>
      <c r="F1348" s="66"/>
      <c r="G1348" s="27" t="s">
        <v>4369</v>
      </c>
      <c r="H1348" s="28" t="s">
        <v>44</v>
      </c>
      <c r="I1348" s="29"/>
      <c r="J1348" s="25">
        <v>3</v>
      </c>
      <c r="K1348" s="30">
        <v>182.45</v>
      </c>
      <c r="L1348" s="17"/>
      <c r="M1348" s="29">
        <f t="shared" si="58"/>
        <v>0</v>
      </c>
      <c r="N1348" s="31">
        <f>0.059*L1348</f>
        <v>0</v>
      </c>
      <c r="O1348" s="32">
        <f>0.00137*L1348</f>
        <v>0</v>
      </c>
      <c r="P1348" s="36"/>
      <c r="Q1348" s="29" t="s">
        <v>4370</v>
      </c>
      <c r="R1348" s="29"/>
      <c r="S1348" s="26" t="str">
        <f>HYPERLINK("https://miland.ru/api/getInfo/image/416b369a-2410-11e6-b4ab-5cf3fc4a2490")</f>
        <v>https://miland.ru/api/getInfo/image/416b369a-2410-11e6-b4ab-5cf3fc4a2490</v>
      </c>
    </row>
    <row r="1349" spans="1:19" s="2" customFormat="1" ht="96.2" customHeight="1" outlineLevel="7">
      <c r="A1349" s="52">
        <v>1028</v>
      </c>
      <c r="B1349" s="26" t="s">
        <v>4371</v>
      </c>
      <c r="C1349" s="66" t="s">
        <v>4372</v>
      </c>
      <c r="D1349" s="66"/>
      <c r="E1349" s="66"/>
      <c r="F1349" s="66"/>
      <c r="G1349" s="27" t="s">
        <v>4373</v>
      </c>
      <c r="H1349" s="28" t="s">
        <v>44</v>
      </c>
      <c r="I1349" s="29"/>
      <c r="J1349" s="25">
        <v>3</v>
      </c>
      <c r="K1349" s="30">
        <v>182.45</v>
      </c>
      <c r="L1349" s="17"/>
      <c r="M1349" s="29">
        <f t="shared" si="58"/>
        <v>0</v>
      </c>
      <c r="N1349" s="34">
        <f>0.06*L1349</f>
        <v>0</v>
      </c>
      <c r="O1349" s="35">
        <f>0.0014*L1349</f>
        <v>0</v>
      </c>
      <c r="P1349" s="36"/>
      <c r="Q1349" s="29" t="s">
        <v>4374</v>
      </c>
      <c r="R1349" s="29"/>
      <c r="S1349" s="26" t="str">
        <f>HYPERLINK("https://miland.ru/api/getInfo/image/96ba1505-24a0-11e6-b4ab-5cf3fc4a2490")</f>
        <v>https://miland.ru/api/getInfo/image/96ba1505-24a0-11e6-b4ab-5cf3fc4a2490</v>
      </c>
    </row>
    <row r="1350" spans="1:19" s="2" customFormat="1" ht="96.2" customHeight="1" outlineLevel="7">
      <c r="A1350" s="52">
        <v>1029</v>
      </c>
      <c r="B1350" s="26" t="s">
        <v>4375</v>
      </c>
      <c r="C1350" s="66" t="s">
        <v>4376</v>
      </c>
      <c r="D1350" s="66"/>
      <c r="E1350" s="66"/>
      <c r="F1350" s="66"/>
      <c r="G1350" s="27" t="s">
        <v>4377</v>
      </c>
      <c r="H1350" s="28" t="s">
        <v>44</v>
      </c>
      <c r="I1350" s="29"/>
      <c r="J1350" s="25">
        <v>4</v>
      </c>
      <c r="K1350" s="30">
        <v>170.9</v>
      </c>
      <c r="L1350" s="17"/>
      <c r="M1350" s="29">
        <f t="shared" si="58"/>
        <v>0</v>
      </c>
      <c r="N1350" s="31">
        <f>0.062*L1350</f>
        <v>0</v>
      </c>
      <c r="O1350" s="32">
        <f>0.00134*L1350</f>
        <v>0</v>
      </c>
      <c r="P1350" s="36"/>
      <c r="Q1350" s="29" t="s">
        <v>4378</v>
      </c>
      <c r="R1350" s="29"/>
      <c r="S1350" s="26" t="str">
        <f>HYPERLINK("https://miland.ru/api/getInfo/image/2ffba3fa-240f-11e6-b4ab-5cf3fc4a2490")</f>
        <v>https://miland.ru/api/getInfo/image/2ffba3fa-240f-11e6-b4ab-5cf3fc4a2490</v>
      </c>
    </row>
    <row r="1351" spans="1:19" s="2" customFormat="1" ht="96.2" customHeight="1" outlineLevel="7">
      <c r="A1351" s="52">
        <v>1030</v>
      </c>
      <c r="B1351" s="26" t="s">
        <v>4379</v>
      </c>
      <c r="C1351" s="66" t="s">
        <v>4380</v>
      </c>
      <c r="D1351" s="66"/>
      <c r="E1351" s="66"/>
      <c r="F1351" s="66"/>
      <c r="G1351" s="27" t="s">
        <v>4381</v>
      </c>
      <c r="H1351" s="33">
        <v>173</v>
      </c>
      <c r="I1351" s="29"/>
      <c r="J1351" s="25">
        <v>2</v>
      </c>
      <c r="K1351" s="30">
        <v>346.27</v>
      </c>
      <c r="L1351" s="17"/>
      <c r="M1351" s="29">
        <f t="shared" si="58"/>
        <v>0</v>
      </c>
      <c r="N1351" s="31">
        <f>0.205*L1351</f>
        <v>0</v>
      </c>
      <c r="O1351" s="32">
        <f>0.00139*L1351</f>
        <v>0</v>
      </c>
      <c r="P1351" s="36"/>
      <c r="Q1351" s="29" t="s">
        <v>4382</v>
      </c>
      <c r="R1351" s="29"/>
      <c r="S1351" s="26" t="str">
        <f>HYPERLINK("https://miland.ru/api/getInfo/image/be691a36-63f3-11ed-a22a-00155d82e902")</f>
        <v>https://miland.ru/api/getInfo/image/be691a36-63f3-11ed-a22a-00155d82e902</v>
      </c>
    </row>
    <row r="1352" spans="1:19" s="2" customFormat="1" ht="96.2" customHeight="1" outlineLevel="7">
      <c r="A1352" s="52">
        <v>1031</v>
      </c>
      <c r="B1352" s="26" t="s">
        <v>4383</v>
      </c>
      <c r="C1352" s="66" t="s">
        <v>4384</v>
      </c>
      <c r="D1352" s="66"/>
      <c r="E1352" s="66"/>
      <c r="F1352" s="66"/>
      <c r="G1352" s="27" t="s">
        <v>4385</v>
      </c>
      <c r="H1352" s="33">
        <v>211</v>
      </c>
      <c r="I1352" s="29"/>
      <c r="J1352" s="25">
        <v>2</v>
      </c>
      <c r="K1352" s="30">
        <v>378.99</v>
      </c>
      <c r="L1352" s="17"/>
      <c r="M1352" s="29">
        <f t="shared" si="58"/>
        <v>0</v>
      </c>
      <c r="N1352" s="41">
        <f>0.2*L1352</f>
        <v>0</v>
      </c>
      <c r="O1352" s="32">
        <f>0.00138*L1352</f>
        <v>0</v>
      </c>
      <c r="P1352" s="36"/>
      <c r="Q1352" s="29" t="s">
        <v>4386</v>
      </c>
      <c r="R1352" s="29"/>
      <c r="S1352" s="26" t="str">
        <f>HYPERLINK("https://miland.ru/api/getInfo/image/d7e57c93-990f-11eb-a201-ac1f6b442185")</f>
        <v>https://miland.ru/api/getInfo/image/d7e57c93-990f-11eb-a201-ac1f6b442185</v>
      </c>
    </row>
    <row r="1353" spans="1:19" s="2" customFormat="1" ht="96.2" customHeight="1" outlineLevel="7">
      <c r="A1353" s="52">
        <v>1032</v>
      </c>
      <c r="B1353" s="26" t="s">
        <v>4387</v>
      </c>
      <c r="C1353" s="66" t="s">
        <v>4388</v>
      </c>
      <c r="D1353" s="66"/>
      <c r="E1353" s="66"/>
      <c r="F1353" s="66"/>
      <c r="G1353" s="27" t="s">
        <v>4389</v>
      </c>
      <c r="H1353" s="33">
        <v>472</v>
      </c>
      <c r="I1353" s="29"/>
      <c r="J1353" s="25">
        <v>3</v>
      </c>
      <c r="K1353" s="30">
        <v>206.58</v>
      </c>
      <c r="L1353" s="17"/>
      <c r="M1353" s="29">
        <f t="shared" si="58"/>
        <v>0</v>
      </c>
      <c r="N1353" s="31">
        <f>0.074*L1353</f>
        <v>0</v>
      </c>
      <c r="O1353" s="32">
        <f>0.00146*L1353</f>
        <v>0</v>
      </c>
      <c r="P1353" s="36"/>
      <c r="Q1353" s="29" t="s">
        <v>4390</v>
      </c>
      <c r="R1353" s="29"/>
      <c r="S1353" s="26" t="str">
        <f>HYPERLINK("https://miland.ru/api/getInfo/image/aa887ad1-990e-11eb-a201-ac1f6b442185")</f>
        <v>https://miland.ru/api/getInfo/image/aa887ad1-990e-11eb-a201-ac1f6b442185</v>
      </c>
    </row>
    <row r="1354" spans="1:19" s="2" customFormat="1" ht="96.2" customHeight="1" outlineLevel="7">
      <c r="A1354" s="52">
        <v>1033</v>
      </c>
      <c r="B1354" s="26" t="s">
        <v>4391</v>
      </c>
      <c r="C1354" s="66" t="s">
        <v>4392</v>
      </c>
      <c r="D1354" s="66"/>
      <c r="E1354" s="66"/>
      <c r="F1354" s="66"/>
      <c r="G1354" s="27" t="s">
        <v>4393</v>
      </c>
      <c r="H1354" s="33">
        <v>8</v>
      </c>
      <c r="I1354" s="29"/>
      <c r="J1354" s="25">
        <v>2</v>
      </c>
      <c r="K1354" s="30">
        <v>302.45</v>
      </c>
      <c r="L1354" s="17"/>
      <c r="M1354" s="29">
        <f t="shared" si="58"/>
        <v>0</v>
      </c>
      <c r="N1354" s="31">
        <f>0.073*L1354</f>
        <v>0</v>
      </c>
      <c r="O1354" s="32">
        <f>0.00132*L1354</f>
        <v>0</v>
      </c>
      <c r="P1354" s="36"/>
      <c r="Q1354" s="29" t="s">
        <v>4394</v>
      </c>
      <c r="R1354" s="29"/>
      <c r="S1354" s="26" t="str">
        <f>HYPERLINK("https://miland.ru/api/getInfo/image/11f42396-63e5-11ed-a22a-00155d82e902")</f>
        <v>https://miland.ru/api/getInfo/image/11f42396-63e5-11ed-a22a-00155d82e902</v>
      </c>
    </row>
    <row r="1355" spans="1:19" s="1" customFormat="1" ht="12" customHeight="1" outlineLevel="7">
      <c r="A1355" s="64" t="s">
        <v>4395</v>
      </c>
      <c r="B1355" s="64"/>
      <c r="C1355" s="64"/>
      <c r="D1355" s="64"/>
      <c r="E1355" s="64"/>
      <c r="F1355" s="64"/>
      <c r="G1355" s="8"/>
      <c r="H1355" s="12"/>
      <c r="I1355" s="2"/>
      <c r="J1355" s="2"/>
      <c r="K1355" s="13"/>
      <c r="L1355" s="2"/>
      <c r="M1355" s="2"/>
      <c r="N1355" s="2"/>
      <c r="O1355" s="2"/>
      <c r="P1355" s="2"/>
      <c r="Q1355" s="2"/>
      <c r="R1355" s="2"/>
      <c r="S1355" s="2"/>
    </row>
    <row r="1356" spans="1:19" s="2" customFormat="1" ht="96.2" customHeight="1" outlineLevel="7">
      <c r="A1356" s="52">
        <v>1034</v>
      </c>
      <c r="B1356" s="26" t="s">
        <v>4396</v>
      </c>
      <c r="C1356" s="66" t="s">
        <v>4397</v>
      </c>
      <c r="D1356" s="66"/>
      <c r="E1356" s="66"/>
      <c r="F1356" s="66"/>
      <c r="G1356" s="27" t="s">
        <v>4398</v>
      </c>
      <c r="H1356" s="33">
        <v>71</v>
      </c>
      <c r="I1356" s="29"/>
      <c r="J1356" s="25">
        <v>1</v>
      </c>
      <c r="K1356" s="37">
        <v>1139.68</v>
      </c>
      <c r="L1356" s="17"/>
      <c r="M1356" s="29">
        <f t="shared" ref="M1356:M1367" si="59">K1356*L1356</f>
        <v>0</v>
      </c>
      <c r="N1356" s="31">
        <f>0.179*L1356</f>
        <v>0</v>
      </c>
      <c r="O1356" s="32">
        <f>0.00284*L1356</f>
        <v>0</v>
      </c>
      <c r="P1356" s="36"/>
      <c r="Q1356" s="29" t="s">
        <v>4399</v>
      </c>
      <c r="R1356" s="29"/>
      <c r="S1356" s="26" t="str">
        <f>HYPERLINK("https://miland.ru/api/getInfo/image/8f00a8de-24cd-11f0-a279-00155d82e908")</f>
        <v>https://miland.ru/api/getInfo/image/8f00a8de-24cd-11f0-a279-00155d82e908</v>
      </c>
    </row>
    <row r="1357" spans="1:19" s="2" customFormat="1" ht="96.2" customHeight="1" outlineLevel="7">
      <c r="A1357" s="52">
        <v>1035</v>
      </c>
      <c r="B1357" s="26" t="s">
        <v>4400</v>
      </c>
      <c r="C1357" s="66" t="s">
        <v>4401</v>
      </c>
      <c r="D1357" s="66"/>
      <c r="E1357" s="66"/>
      <c r="F1357" s="66"/>
      <c r="G1357" s="27" t="s">
        <v>4402</v>
      </c>
      <c r="H1357" s="33">
        <v>5</v>
      </c>
      <c r="I1357" s="29"/>
      <c r="J1357" s="25">
        <v>2</v>
      </c>
      <c r="K1357" s="30">
        <v>370.4</v>
      </c>
      <c r="L1357" s="17"/>
      <c r="M1357" s="29">
        <f t="shared" si="59"/>
        <v>0</v>
      </c>
      <c r="N1357" s="31">
        <f>0.135*L1357</f>
        <v>0</v>
      </c>
      <c r="O1357" s="32">
        <f>0.00263*L1357</f>
        <v>0</v>
      </c>
      <c r="P1357" s="36"/>
      <c r="Q1357" s="29" t="s">
        <v>4403</v>
      </c>
      <c r="R1357" s="29"/>
      <c r="S1357" s="26" t="str">
        <f>HYPERLINK("https://miland.ru/api/getInfo/image/0992299a-8a4e-11ec-a211-ac1f6b442185")</f>
        <v>https://miland.ru/api/getInfo/image/0992299a-8a4e-11ec-a211-ac1f6b442185</v>
      </c>
    </row>
    <row r="1358" spans="1:19" s="2" customFormat="1" ht="96.2" customHeight="1" outlineLevel="7">
      <c r="A1358" s="52">
        <v>1036</v>
      </c>
      <c r="B1358" s="26" t="s">
        <v>4404</v>
      </c>
      <c r="C1358" s="66" t="s">
        <v>4405</v>
      </c>
      <c r="D1358" s="66"/>
      <c r="E1358" s="66"/>
      <c r="F1358" s="66"/>
      <c r="G1358" s="27" t="s">
        <v>4406</v>
      </c>
      <c r="H1358" s="33">
        <v>243</v>
      </c>
      <c r="I1358" s="29"/>
      <c r="J1358" s="25">
        <v>1</v>
      </c>
      <c r="K1358" s="30">
        <v>466.74</v>
      </c>
      <c r="L1358" s="17"/>
      <c r="M1358" s="29">
        <f t="shared" si="59"/>
        <v>0</v>
      </c>
      <c r="N1358" s="31">
        <f>0.084*L1358</f>
        <v>0</v>
      </c>
      <c r="O1358" s="32">
        <f>0.00243*L1358</f>
        <v>0</v>
      </c>
      <c r="P1358" s="36"/>
      <c r="Q1358" s="29" t="s">
        <v>4407</v>
      </c>
      <c r="R1358" s="29"/>
      <c r="S1358" s="26" t="str">
        <f>HYPERLINK("https://miland.ru/api/getInfo/image/24b450a0-5299-11e8-b825-5cf3fc4a2490")</f>
        <v>https://miland.ru/api/getInfo/image/24b450a0-5299-11e8-b825-5cf3fc4a2490</v>
      </c>
    </row>
    <row r="1359" spans="1:19" s="2" customFormat="1" ht="96.2" customHeight="1" outlineLevel="7">
      <c r="A1359" s="52">
        <v>1037</v>
      </c>
      <c r="B1359" s="26" t="s">
        <v>4408</v>
      </c>
      <c r="C1359" s="66" t="s">
        <v>4409</v>
      </c>
      <c r="D1359" s="66"/>
      <c r="E1359" s="66"/>
      <c r="F1359" s="66"/>
      <c r="G1359" s="27" t="s">
        <v>4410</v>
      </c>
      <c r="H1359" s="33">
        <v>3</v>
      </c>
      <c r="I1359" s="29"/>
      <c r="J1359" s="25">
        <v>1</v>
      </c>
      <c r="K1359" s="30">
        <v>664.02</v>
      </c>
      <c r="L1359" s="17"/>
      <c r="M1359" s="29">
        <f t="shared" si="59"/>
        <v>0</v>
      </c>
      <c r="N1359" s="31">
        <f>0.206*L1359</f>
        <v>0</v>
      </c>
      <c r="O1359" s="32">
        <f>0.00292*L1359</f>
        <v>0</v>
      </c>
      <c r="P1359" s="36"/>
      <c r="Q1359" s="29" t="s">
        <v>4411</v>
      </c>
      <c r="R1359" s="29"/>
      <c r="S1359" s="26" t="str">
        <f>HYPERLINK("https://miland.ru/api/getInfo/image/4d5c6ce9-6104-11ed-a229-00155d82e902")</f>
        <v>https://miland.ru/api/getInfo/image/4d5c6ce9-6104-11ed-a229-00155d82e902</v>
      </c>
    </row>
    <row r="1360" spans="1:19" s="2" customFormat="1" ht="96.2" customHeight="1" outlineLevel="7">
      <c r="A1360" s="52">
        <v>1038</v>
      </c>
      <c r="B1360" s="26" t="s">
        <v>4412</v>
      </c>
      <c r="C1360" s="66" t="s">
        <v>4413</v>
      </c>
      <c r="D1360" s="66"/>
      <c r="E1360" s="66"/>
      <c r="F1360" s="66"/>
      <c r="G1360" s="27" t="s">
        <v>4414</v>
      </c>
      <c r="H1360" s="33">
        <v>81</v>
      </c>
      <c r="I1360" s="29"/>
      <c r="J1360" s="25">
        <v>1</v>
      </c>
      <c r="K1360" s="30">
        <v>664.02</v>
      </c>
      <c r="L1360" s="17"/>
      <c r="M1360" s="29">
        <f t="shared" si="59"/>
        <v>0</v>
      </c>
      <c r="N1360" s="31">
        <f>0.198*L1360</f>
        <v>0</v>
      </c>
      <c r="O1360" s="32">
        <f>0.00292*L1360</f>
        <v>0</v>
      </c>
      <c r="P1360" s="36"/>
      <c r="Q1360" s="29" t="s">
        <v>4415</v>
      </c>
      <c r="R1360" s="29"/>
      <c r="S1360" s="26" t="str">
        <f>HYPERLINK("https://miland.ru/api/getInfo/image/9cecb2cc-6104-11ed-a229-00155d82e902")</f>
        <v>https://miland.ru/api/getInfo/image/9cecb2cc-6104-11ed-a229-00155d82e902</v>
      </c>
    </row>
    <row r="1361" spans="1:19" s="2" customFormat="1" ht="96.2" customHeight="1" outlineLevel="7">
      <c r="A1361" s="52">
        <v>1039</v>
      </c>
      <c r="B1361" s="26" t="s">
        <v>4416</v>
      </c>
      <c r="C1361" s="66" t="s">
        <v>4417</v>
      </c>
      <c r="D1361" s="66"/>
      <c r="E1361" s="66"/>
      <c r="F1361" s="66"/>
      <c r="G1361" s="27" t="s">
        <v>4418</v>
      </c>
      <c r="H1361" s="33">
        <v>4</v>
      </c>
      <c r="I1361" s="29"/>
      <c r="J1361" s="25">
        <v>1</v>
      </c>
      <c r="K1361" s="30">
        <v>664.02</v>
      </c>
      <c r="L1361" s="17"/>
      <c r="M1361" s="29">
        <f t="shared" si="59"/>
        <v>0</v>
      </c>
      <c r="N1361" s="31">
        <f>0.199*L1361</f>
        <v>0</v>
      </c>
      <c r="O1361" s="32">
        <f>0.00283*L1361</f>
        <v>0</v>
      </c>
      <c r="P1361" s="36"/>
      <c r="Q1361" s="29" t="s">
        <v>4419</v>
      </c>
      <c r="R1361" s="29"/>
      <c r="S1361" s="26" t="str">
        <f>HYPERLINK("https://miland.ru/api/getInfo/image/a60c1d22-6103-11ed-a229-00155d82e902")</f>
        <v>https://miland.ru/api/getInfo/image/a60c1d22-6103-11ed-a229-00155d82e902</v>
      </c>
    </row>
    <row r="1362" spans="1:19" s="2" customFormat="1" ht="96.2" customHeight="1" outlineLevel="7">
      <c r="A1362" s="52">
        <v>1040</v>
      </c>
      <c r="B1362" s="26" t="s">
        <v>4420</v>
      </c>
      <c r="C1362" s="66" t="s">
        <v>4421</v>
      </c>
      <c r="D1362" s="66"/>
      <c r="E1362" s="66"/>
      <c r="F1362" s="66"/>
      <c r="G1362" s="27" t="s">
        <v>4422</v>
      </c>
      <c r="H1362" s="33">
        <v>82</v>
      </c>
      <c r="I1362" s="29"/>
      <c r="J1362" s="25">
        <v>1</v>
      </c>
      <c r="K1362" s="30">
        <v>664.02</v>
      </c>
      <c r="L1362" s="17"/>
      <c r="M1362" s="29">
        <f t="shared" si="59"/>
        <v>0</v>
      </c>
      <c r="N1362" s="31">
        <f>0.222*L1362</f>
        <v>0</v>
      </c>
      <c r="O1362" s="32">
        <f>0.00272*L1362</f>
        <v>0</v>
      </c>
      <c r="P1362" s="36"/>
      <c r="Q1362" s="29" t="s">
        <v>4423</v>
      </c>
      <c r="R1362" s="29"/>
      <c r="S1362" s="26" t="str">
        <f>HYPERLINK("https://miland.ru/api/getInfo/image/cdcf533c-6102-11ed-a229-00155d82e902")</f>
        <v>https://miland.ru/api/getInfo/image/cdcf533c-6102-11ed-a229-00155d82e902</v>
      </c>
    </row>
    <row r="1363" spans="1:19" s="2" customFormat="1" ht="96.2" customHeight="1" outlineLevel="7">
      <c r="A1363" s="52">
        <v>1041</v>
      </c>
      <c r="B1363" s="26" t="s">
        <v>4424</v>
      </c>
      <c r="C1363" s="66" t="s">
        <v>4425</v>
      </c>
      <c r="D1363" s="66"/>
      <c r="E1363" s="66"/>
      <c r="F1363" s="66"/>
      <c r="G1363" s="27" t="s">
        <v>4426</v>
      </c>
      <c r="H1363" s="33">
        <v>4</v>
      </c>
      <c r="I1363" s="29"/>
      <c r="J1363" s="25">
        <v>1</v>
      </c>
      <c r="K1363" s="30">
        <v>664.02</v>
      </c>
      <c r="L1363" s="17"/>
      <c r="M1363" s="29">
        <f t="shared" si="59"/>
        <v>0</v>
      </c>
      <c r="N1363" s="31">
        <f>0.216*L1363</f>
        <v>0</v>
      </c>
      <c r="O1363" s="32">
        <f>0.00272*L1363</f>
        <v>0</v>
      </c>
      <c r="P1363" s="36"/>
      <c r="Q1363" s="29" t="s">
        <v>4427</v>
      </c>
      <c r="R1363" s="29"/>
      <c r="S1363" s="26" t="str">
        <f>HYPERLINK("https://miland.ru/api/getInfo/image/3b7f6fba-6102-11ed-a229-00155d82e902")</f>
        <v>https://miland.ru/api/getInfo/image/3b7f6fba-6102-11ed-a229-00155d82e902</v>
      </c>
    </row>
    <row r="1364" spans="1:19" s="2" customFormat="1" ht="96.2" customHeight="1" outlineLevel="7">
      <c r="A1364" s="52">
        <v>1042</v>
      </c>
      <c r="B1364" s="26" t="s">
        <v>4428</v>
      </c>
      <c r="C1364" s="66" t="s">
        <v>4429</v>
      </c>
      <c r="D1364" s="66"/>
      <c r="E1364" s="66"/>
      <c r="F1364" s="66"/>
      <c r="G1364" s="27" t="s">
        <v>4430</v>
      </c>
      <c r="H1364" s="33">
        <v>8</v>
      </c>
      <c r="I1364" s="29"/>
      <c r="J1364" s="25">
        <v>1</v>
      </c>
      <c r="K1364" s="30">
        <v>664.02</v>
      </c>
      <c r="L1364" s="17"/>
      <c r="M1364" s="29">
        <f t="shared" si="59"/>
        <v>0</v>
      </c>
      <c r="N1364" s="31">
        <f>0.218*L1364</f>
        <v>0</v>
      </c>
      <c r="O1364" s="32">
        <f>0.00307*L1364</f>
        <v>0</v>
      </c>
      <c r="P1364" s="36"/>
      <c r="Q1364" s="29" t="s">
        <v>4431</v>
      </c>
      <c r="R1364" s="29"/>
      <c r="S1364" s="26" t="str">
        <f>HYPERLINK("https://miland.ru/api/getInfo/image/e36731e5-6101-11ed-a229-00155d82e902")</f>
        <v>https://miland.ru/api/getInfo/image/e36731e5-6101-11ed-a229-00155d82e902</v>
      </c>
    </row>
    <row r="1365" spans="1:19" s="2" customFormat="1" ht="96.2" customHeight="1" outlineLevel="7">
      <c r="A1365" s="52">
        <v>1043</v>
      </c>
      <c r="B1365" s="26" t="s">
        <v>4432</v>
      </c>
      <c r="C1365" s="66" t="s">
        <v>4433</v>
      </c>
      <c r="D1365" s="66"/>
      <c r="E1365" s="66"/>
      <c r="F1365" s="66"/>
      <c r="G1365" s="27" t="s">
        <v>4434</v>
      </c>
      <c r="H1365" s="33">
        <v>90</v>
      </c>
      <c r="I1365" s="29"/>
      <c r="J1365" s="25">
        <v>1</v>
      </c>
      <c r="K1365" s="30">
        <v>664.02</v>
      </c>
      <c r="L1365" s="17"/>
      <c r="M1365" s="29">
        <f t="shared" si="59"/>
        <v>0</v>
      </c>
      <c r="N1365" s="31">
        <f>0.214*L1365</f>
        <v>0</v>
      </c>
      <c r="O1365" s="32">
        <f>0.00315*L1365</f>
        <v>0</v>
      </c>
      <c r="P1365" s="36"/>
      <c r="Q1365" s="29" t="s">
        <v>4435</v>
      </c>
      <c r="R1365" s="29"/>
      <c r="S1365" s="26" t="str">
        <f>HYPERLINK("https://miland.ru/api/getInfo/image/83016224-6102-11ed-a229-00155d82e902")</f>
        <v>https://miland.ru/api/getInfo/image/83016224-6102-11ed-a229-00155d82e902</v>
      </c>
    </row>
    <row r="1366" spans="1:19" s="2" customFormat="1" ht="96.2" customHeight="1" outlineLevel="7">
      <c r="A1366" s="52">
        <v>1044</v>
      </c>
      <c r="B1366" s="26" t="s">
        <v>4436</v>
      </c>
      <c r="C1366" s="66" t="s">
        <v>4437</v>
      </c>
      <c r="D1366" s="66"/>
      <c r="E1366" s="66"/>
      <c r="F1366" s="66"/>
      <c r="G1366" s="27" t="s">
        <v>4438</v>
      </c>
      <c r="H1366" s="33">
        <v>98</v>
      </c>
      <c r="I1366" s="29"/>
      <c r="J1366" s="25">
        <v>1</v>
      </c>
      <c r="K1366" s="30">
        <v>664.02</v>
      </c>
      <c r="L1366" s="17"/>
      <c r="M1366" s="29">
        <f t="shared" si="59"/>
        <v>0</v>
      </c>
      <c r="N1366" s="31">
        <f>0.221*L1366</f>
        <v>0</v>
      </c>
      <c r="O1366" s="32">
        <f>0.00287*L1366</f>
        <v>0</v>
      </c>
      <c r="P1366" s="36"/>
      <c r="Q1366" s="29" t="s">
        <v>4439</v>
      </c>
      <c r="R1366" s="29"/>
      <c r="S1366" s="26" t="str">
        <f>HYPERLINK("https://miland.ru/api/getInfo/image/1165a948-6103-11ed-a229-00155d82e902")</f>
        <v>https://miland.ru/api/getInfo/image/1165a948-6103-11ed-a229-00155d82e902</v>
      </c>
    </row>
    <row r="1367" spans="1:19" s="2" customFormat="1" ht="96.2" customHeight="1" outlineLevel="7">
      <c r="A1367" s="52">
        <v>1045</v>
      </c>
      <c r="B1367" s="26" t="s">
        <v>4440</v>
      </c>
      <c r="C1367" s="66" t="s">
        <v>4441</v>
      </c>
      <c r="D1367" s="66"/>
      <c r="E1367" s="66"/>
      <c r="F1367" s="66"/>
      <c r="G1367" s="27" t="s">
        <v>4442</v>
      </c>
      <c r="H1367" s="33">
        <v>1</v>
      </c>
      <c r="I1367" s="29"/>
      <c r="J1367" s="25">
        <v>1</v>
      </c>
      <c r="K1367" s="30">
        <v>313.62</v>
      </c>
      <c r="L1367" s="17"/>
      <c r="M1367" s="29">
        <f t="shared" si="59"/>
        <v>0</v>
      </c>
      <c r="N1367" s="31">
        <f>0.146*L1367</f>
        <v>0</v>
      </c>
      <c r="O1367" s="32">
        <f>0.00228*L1367</f>
        <v>0</v>
      </c>
      <c r="P1367" s="36"/>
      <c r="Q1367" s="29" t="s">
        <v>4443</v>
      </c>
      <c r="R1367" s="29" t="s">
        <v>611</v>
      </c>
      <c r="S1367" s="26" t="str">
        <f>HYPERLINK("https://miland.ru/api/getInfo/image/cbf9ef37-013f-11ee-a23a-00155d82e902")</f>
        <v>https://miland.ru/api/getInfo/image/cbf9ef37-013f-11ee-a23a-00155d82e902</v>
      </c>
    </row>
    <row r="1368" spans="1:19" s="1" customFormat="1" ht="12" customHeight="1" outlineLevel="7">
      <c r="A1368" s="64" t="s">
        <v>4444</v>
      </c>
      <c r="B1368" s="64"/>
      <c r="C1368" s="64"/>
      <c r="D1368" s="64"/>
      <c r="E1368" s="64"/>
      <c r="F1368" s="64"/>
      <c r="G1368" s="8"/>
      <c r="H1368" s="12"/>
      <c r="I1368" s="2"/>
      <c r="J1368" s="2"/>
      <c r="K1368" s="13"/>
      <c r="L1368" s="2"/>
      <c r="M1368" s="2"/>
      <c r="N1368" s="2"/>
      <c r="O1368" s="2"/>
      <c r="P1368" s="2"/>
      <c r="Q1368" s="2"/>
      <c r="R1368" s="2"/>
      <c r="S1368" s="2"/>
    </row>
    <row r="1369" spans="1:19" s="2" customFormat="1" ht="96.2" customHeight="1" outlineLevel="7">
      <c r="A1369" s="52">
        <v>1046</v>
      </c>
      <c r="B1369" s="26" t="s">
        <v>4445</v>
      </c>
      <c r="C1369" s="66" t="s">
        <v>4446</v>
      </c>
      <c r="D1369" s="66"/>
      <c r="E1369" s="66"/>
      <c r="F1369" s="66"/>
      <c r="G1369" s="27" t="s">
        <v>4447</v>
      </c>
      <c r="H1369" s="33">
        <v>109</v>
      </c>
      <c r="I1369" s="29"/>
      <c r="J1369" s="25">
        <v>1</v>
      </c>
      <c r="K1369" s="30">
        <v>753.01</v>
      </c>
      <c r="L1369" s="17"/>
      <c r="M1369" s="29">
        <f>K1369*L1369</f>
        <v>0</v>
      </c>
      <c r="N1369" s="31">
        <f>0.228*L1369</f>
        <v>0</v>
      </c>
      <c r="O1369" s="32">
        <f>0.00456*L1369</f>
        <v>0</v>
      </c>
      <c r="P1369" s="36"/>
      <c r="Q1369" s="29" t="s">
        <v>4448</v>
      </c>
      <c r="R1369" s="29" t="s">
        <v>611</v>
      </c>
      <c r="S1369" s="26" t="str">
        <f>HYPERLINK("https://miland.ru/api/getInfo/image/fe00907b-60f6-11ed-a229-00155d82e902")</f>
        <v>https://miland.ru/api/getInfo/image/fe00907b-60f6-11ed-a229-00155d82e902</v>
      </c>
    </row>
    <row r="1370" spans="1:19" s="2" customFormat="1" ht="96.2" customHeight="1" outlineLevel="7">
      <c r="A1370" s="52">
        <v>1047</v>
      </c>
      <c r="B1370" s="26" t="s">
        <v>4449</v>
      </c>
      <c r="C1370" s="66" t="s">
        <v>4450</v>
      </c>
      <c r="D1370" s="66"/>
      <c r="E1370" s="66"/>
      <c r="F1370" s="66"/>
      <c r="G1370" s="27" t="s">
        <v>4451</v>
      </c>
      <c r="H1370" s="33">
        <v>104</v>
      </c>
      <c r="I1370" s="29"/>
      <c r="J1370" s="25">
        <v>1</v>
      </c>
      <c r="K1370" s="30">
        <v>753.01</v>
      </c>
      <c r="L1370" s="17"/>
      <c r="M1370" s="29">
        <f>K1370*L1370</f>
        <v>0</v>
      </c>
      <c r="N1370" s="31">
        <f>0.223*L1370</f>
        <v>0</v>
      </c>
      <c r="O1370" s="32">
        <f>0.00515*L1370</f>
        <v>0</v>
      </c>
      <c r="P1370" s="36"/>
      <c r="Q1370" s="29" t="s">
        <v>4452</v>
      </c>
      <c r="R1370" s="29" t="s">
        <v>611</v>
      </c>
      <c r="S1370" s="26" t="str">
        <f>HYPERLINK("https://miland.ru/api/getInfo/image/c121ed9e-60f7-11ed-a229-00155d82e902")</f>
        <v>https://miland.ru/api/getInfo/image/c121ed9e-60f7-11ed-a229-00155d82e902</v>
      </c>
    </row>
    <row r="1371" spans="1:19" s="2" customFormat="1" ht="96.2" customHeight="1" outlineLevel="7">
      <c r="A1371" s="53">
        <v>1048</v>
      </c>
      <c r="B1371" s="10" t="s">
        <v>4453</v>
      </c>
      <c r="C1371" s="65" t="s">
        <v>4454</v>
      </c>
      <c r="D1371" s="65"/>
      <c r="E1371" s="65"/>
      <c r="F1371" s="65"/>
      <c r="G1371" s="11" t="s">
        <v>4455</v>
      </c>
      <c r="H1371" s="14">
        <v>93</v>
      </c>
      <c r="I1371" s="15"/>
      <c r="J1371" s="9">
        <v>1</v>
      </c>
      <c r="K1371" s="16">
        <v>856.8</v>
      </c>
      <c r="L1371" s="17"/>
      <c r="M1371" s="15">
        <f>K1371*L1371</f>
        <v>0</v>
      </c>
      <c r="N1371" s="18">
        <f>0.338*L1371</f>
        <v>0</v>
      </c>
      <c r="O1371" s="19">
        <f>0.00472*L1371</f>
        <v>0</v>
      </c>
      <c r="P1371" s="24" t="s">
        <v>26</v>
      </c>
      <c r="Q1371" s="15" t="s">
        <v>4456</v>
      </c>
      <c r="R1371" s="15"/>
      <c r="S1371" s="10" t="str">
        <f>HYPERLINK("https://miland.ru/api/getInfo/image/756095c3-2cd7-11f1-a292-00155d82e908")</f>
        <v>https://miland.ru/api/getInfo/image/756095c3-2cd7-11f1-a292-00155d82e908</v>
      </c>
    </row>
    <row r="1372" spans="1:19" s="1" customFormat="1" ht="12" customHeight="1" outlineLevel="7">
      <c r="A1372" s="64" t="s">
        <v>4457</v>
      </c>
      <c r="B1372" s="64"/>
      <c r="C1372" s="64"/>
      <c r="D1372" s="64"/>
      <c r="E1372" s="64"/>
      <c r="F1372" s="64"/>
      <c r="G1372" s="8"/>
      <c r="H1372" s="12"/>
      <c r="I1372" s="2"/>
      <c r="J1372" s="2"/>
      <c r="K1372" s="13"/>
      <c r="L1372" s="2"/>
      <c r="M1372" s="2"/>
      <c r="N1372" s="2"/>
      <c r="O1372" s="2"/>
      <c r="P1372" s="2"/>
      <c r="Q1372" s="2"/>
      <c r="R1372" s="2"/>
      <c r="S1372" s="2"/>
    </row>
    <row r="1373" spans="1:19" s="2" customFormat="1" ht="96.2" customHeight="1" outlineLevel="7">
      <c r="A1373" s="52">
        <v>1049</v>
      </c>
      <c r="B1373" s="26" t="s">
        <v>4458</v>
      </c>
      <c r="C1373" s="66" t="s">
        <v>4459</v>
      </c>
      <c r="D1373" s="66"/>
      <c r="E1373" s="66"/>
      <c r="F1373" s="66"/>
      <c r="G1373" s="27" t="s">
        <v>4460</v>
      </c>
      <c r="H1373" s="33">
        <v>195</v>
      </c>
      <c r="I1373" s="29"/>
      <c r="J1373" s="25">
        <v>1</v>
      </c>
      <c r="K1373" s="30">
        <v>661.16</v>
      </c>
      <c r="L1373" s="17"/>
      <c r="M1373" s="29">
        <f>K1373*L1373</f>
        <v>0</v>
      </c>
      <c r="N1373" s="31">
        <f>0.265*L1373</f>
        <v>0</v>
      </c>
      <c r="O1373" s="32">
        <f>0.00586*L1373</f>
        <v>0</v>
      </c>
      <c r="P1373" s="36"/>
      <c r="Q1373" s="29" t="s">
        <v>4461</v>
      </c>
      <c r="R1373" s="29" t="s">
        <v>611</v>
      </c>
      <c r="S1373" s="26" t="str">
        <f>HYPERLINK("https://miland.ru/api/getInfo/image/8e46db9c-8a4f-11ec-a211-ac1f6b442185")</f>
        <v>https://miland.ru/api/getInfo/image/8e46db9c-8a4f-11ec-a211-ac1f6b442185</v>
      </c>
    </row>
    <row r="1374" spans="1:19" s="2" customFormat="1" ht="96.2" customHeight="1" outlineLevel="7">
      <c r="A1374" s="53">
        <v>1050</v>
      </c>
      <c r="B1374" s="10" t="s">
        <v>4462</v>
      </c>
      <c r="C1374" s="65" t="s">
        <v>4463</v>
      </c>
      <c r="D1374" s="65"/>
      <c r="E1374" s="65"/>
      <c r="F1374" s="65"/>
      <c r="G1374" s="11" t="s">
        <v>4464</v>
      </c>
      <c r="H1374" s="14">
        <v>10</v>
      </c>
      <c r="I1374" s="15"/>
      <c r="J1374" s="9">
        <v>1</v>
      </c>
      <c r="K1374" s="22">
        <v>1054.08</v>
      </c>
      <c r="L1374" s="17"/>
      <c r="M1374" s="15">
        <f>K1374*L1374</f>
        <v>0</v>
      </c>
      <c r="N1374" s="18">
        <f>0.392*L1374</f>
        <v>0</v>
      </c>
      <c r="O1374" s="19">
        <f>0.00567*L1374</f>
        <v>0</v>
      </c>
      <c r="P1374" s="24" t="s">
        <v>26</v>
      </c>
      <c r="Q1374" s="15" t="s">
        <v>4465</v>
      </c>
      <c r="R1374" s="15"/>
      <c r="S1374" s="10" t="str">
        <f>HYPERLINK("https://miland.ru/api/getInfo/image/827ad75e-2cdb-11f1-a292-00155d82e908")</f>
        <v>https://miland.ru/api/getInfo/image/827ad75e-2cdb-11f1-a292-00155d82e908</v>
      </c>
    </row>
    <row r="1375" spans="1:19" s="1" customFormat="1" ht="12" customHeight="1" outlineLevel="7">
      <c r="A1375" s="64" t="s">
        <v>4466</v>
      </c>
      <c r="B1375" s="64"/>
      <c r="C1375" s="64"/>
      <c r="D1375" s="64"/>
      <c r="E1375" s="64"/>
      <c r="F1375" s="64"/>
      <c r="G1375" s="8"/>
      <c r="H1375" s="12"/>
      <c r="I1375" s="2"/>
      <c r="J1375" s="2"/>
      <c r="K1375" s="13"/>
      <c r="L1375" s="2"/>
      <c r="M1375" s="2"/>
      <c r="N1375" s="2"/>
      <c r="O1375" s="2"/>
      <c r="P1375" s="2"/>
      <c r="Q1375" s="2"/>
      <c r="R1375" s="2"/>
      <c r="S1375" s="2"/>
    </row>
    <row r="1376" spans="1:19" s="2" customFormat="1" ht="96.2" customHeight="1" outlineLevel="7">
      <c r="A1376" s="52">
        <v>1051</v>
      </c>
      <c r="B1376" s="26" t="s">
        <v>4467</v>
      </c>
      <c r="C1376" s="66" t="s">
        <v>4468</v>
      </c>
      <c r="D1376" s="66"/>
      <c r="E1376" s="66"/>
      <c r="F1376" s="66"/>
      <c r="G1376" s="27" t="s">
        <v>4469</v>
      </c>
      <c r="H1376" s="33">
        <v>24</v>
      </c>
      <c r="I1376" s="29"/>
      <c r="J1376" s="25">
        <v>1</v>
      </c>
      <c r="K1376" s="37">
        <v>1633.65</v>
      </c>
      <c r="L1376" s="17"/>
      <c r="M1376" s="29">
        <f>K1376*L1376</f>
        <v>0</v>
      </c>
      <c r="N1376" s="31">
        <f>0.287*L1376</f>
        <v>0</v>
      </c>
      <c r="O1376" s="32">
        <f>0.01101*L1376</f>
        <v>0</v>
      </c>
      <c r="P1376" s="36"/>
      <c r="Q1376" s="29" t="s">
        <v>4470</v>
      </c>
      <c r="R1376" s="29" t="s">
        <v>611</v>
      </c>
      <c r="S1376" s="26" t="str">
        <f>HYPERLINK("https://miland.ru/api/getInfo/image/3ed61392-8b36-11ec-a211-ac1f6b442185")</f>
        <v>https://miland.ru/api/getInfo/image/3ed61392-8b36-11ec-a211-ac1f6b442185</v>
      </c>
    </row>
    <row r="1377" spans="1:19" s="2" customFormat="1" ht="96.2" customHeight="1" outlineLevel="7">
      <c r="A1377" s="52">
        <v>1052</v>
      </c>
      <c r="B1377" s="26" t="s">
        <v>4471</v>
      </c>
      <c r="C1377" s="66" t="s">
        <v>4472</v>
      </c>
      <c r="D1377" s="66"/>
      <c r="E1377" s="66"/>
      <c r="F1377" s="66"/>
      <c r="G1377" s="27" t="s">
        <v>4473</v>
      </c>
      <c r="H1377" s="33">
        <v>160</v>
      </c>
      <c r="I1377" s="29"/>
      <c r="J1377" s="25">
        <v>1</v>
      </c>
      <c r="K1377" s="37">
        <v>1494.45</v>
      </c>
      <c r="L1377" s="17"/>
      <c r="M1377" s="29">
        <f>K1377*L1377</f>
        <v>0</v>
      </c>
      <c r="N1377" s="31">
        <f>0.274*L1377</f>
        <v>0</v>
      </c>
      <c r="O1377" s="32">
        <f>0.01022*L1377</f>
        <v>0</v>
      </c>
      <c r="P1377" s="36"/>
      <c r="Q1377" s="29" t="s">
        <v>4474</v>
      </c>
      <c r="R1377" s="29" t="s">
        <v>611</v>
      </c>
      <c r="S1377" s="26" t="str">
        <f>HYPERLINK("https://miland.ru/api/getInfo/image/e0e301f3-8b34-11ec-a211-ac1f6b442185")</f>
        <v>https://miland.ru/api/getInfo/image/e0e301f3-8b34-11ec-a211-ac1f6b442185</v>
      </c>
    </row>
    <row r="1378" spans="1:19" s="1" customFormat="1" ht="12" customHeight="1" outlineLevel="7">
      <c r="A1378" s="64" t="s">
        <v>4475</v>
      </c>
      <c r="B1378" s="64"/>
      <c r="C1378" s="64"/>
      <c r="D1378" s="64"/>
      <c r="E1378" s="64"/>
      <c r="F1378" s="64"/>
      <c r="G1378" s="8"/>
      <c r="H1378" s="12"/>
      <c r="I1378" s="2"/>
      <c r="J1378" s="2"/>
      <c r="K1378" s="13"/>
      <c r="L1378" s="2"/>
      <c r="M1378" s="2"/>
      <c r="N1378" s="2"/>
      <c r="O1378" s="2"/>
      <c r="P1378" s="2"/>
      <c r="Q1378" s="2"/>
      <c r="R1378" s="2"/>
      <c r="S1378" s="2"/>
    </row>
    <row r="1379" spans="1:19" s="2" customFormat="1" ht="96.2" customHeight="1" outlineLevel="7">
      <c r="A1379" s="52">
        <v>1053</v>
      </c>
      <c r="B1379" s="26" t="s">
        <v>4476</v>
      </c>
      <c r="C1379" s="66" t="s">
        <v>4477</v>
      </c>
      <c r="D1379" s="66"/>
      <c r="E1379" s="66"/>
      <c r="F1379" s="66"/>
      <c r="G1379" s="27" t="s">
        <v>4478</v>
      </c>
      <c r="H1379" s="33">
        <v>50</v>
      </c>
      <c r="I1379" s="29"/>
      <c r="J1379" s="25">
        <v>1</v>
      </c>
      <c r="K1379" s="37">
        <v>1028.32</v>
      </c>
      <c r="L1379" s="17"/>
      <c r="M1379" s="29">
        <f>K1379*L1379</f>
        <v>0</v>
      </c>
      <c r="N1379" s="34">
        <f>0.34*L1379</f>
        <v>0</v>
      </c>
      <c r="O1379" s="32">
        <f>0.00803*L1379</f>
        <v>0</v>
      </c>
      <c r="P1379" s="36"/>
      <c r="Q1379" s="29" t="s">
        <v>4479</v>
      </c>
      <c r="R1379" s="29"/>
      <c r="S1379" s="26" t="str">
        <f>HYPERLINK("https://miland.ru/api/getInfo/image/983d2bc6-8a53-11ec-a211-ac1f6b442185")</f>
        <v>https://miland.ru/api/getInfo/image/983d2bc6-8a53-11ec-a211-ac1f6b442185</v>
      </c>
    </row>
    <row r="1380" spans="1:19" s="1" customFormat="1" ht="12" customHeight="1" outlineLevel="6">
      <c r="A1380" s="64" t="s">
        <v>4480</v>
      </c>
      <c r="B1380" s="64"/>
      <c r="C1380" s="64"/>
      <c r="D1380" s="64"/>
      <c r="E1380" s="64"/>
      <c r="F1380" s="64"/>
      <c r="G1380" s="8"/>
      <c r="H1380" s="12"/>
      <c r="I1380" s="2"/>
      <c r="J1380" s="2"/>
      <c r="K1380" s="13"/>
      <c r="L1380" s="2"/>
      <c r="M1380" s="2"/>
      <c r="N1380" s="2"/>
      <c r="O1380" s="2"/>
      <c r="P1380" s="2"/>
      <c r="Q1380" s="2"/>
      <c r="R1380" s="2"/>
      <c r="S1380" s="2"/>
    </row>
    <row r="1381" spans="1:19" s="2" customFormat="1" ht="96.2" customHeight="1" outlineLevel="7">
      <c r="A1381" s="52">
        <v>1054</v>
      </c>
      <c r="B1381" s="26" t="s">
        <v>4481</v>
      </c>
      <c r="C1381" s="66" t="s">
        <v>4482</v>
      </c>
      <c r="D1381" s="66"/>
      <c r="E1381" s="66"/>
      <c r="F1381" s="66"/>
      <c r="G1381" s="27" t="s">
        <v>4483</v>
      </c>
      <c r="H1381" s="33">
        <v>296</v>
      </c>
      <c r="I1381" s="29"/>
      <c r="J1381" s="25">
        <v>1</v>
      </c>
      <c r="K1381" s="30">
        <v>609.88</v>
      </c>
      <c r="L1381" s="17"/>
      <c r="M1381" s="29">
        <f>K1381*L1381</f>
        <v>0</v>
      </c>
      <c r="N1381" s="31">
        <f>0.205*L1381</f>
        <v>0</v>
      </c>
      <c r="O1381" s="32">
        <f>0.00466*L1381</f>
        <v>0</v>
      </c>
      <c r="P1381" s="36"/>
      <c r="Q1381" s="29" t="s">
        <v>4484</v>
      </c>
      <c r="R1381" s="29"/>
      <c r="S1381" s="26" t="str">
        <f>HYPERLINK("https://miland.ru/api/getInfo/image/586f9ec3-60f8-11ed-a229-00155d82e902")</f>
        <v>https://miland.ru/api/getInfo/image/586f9ec3-60f8-11ed-a229-00155d82e902</v>
      </c>
    </row>
    <row r="1382" spans="1:19" s="2" customFormat="1" ht="96.2" customHeight="1" outlineLevel="7">
      <c r="A1382" s="52">
        <v>1055</v>
      </c>
      <c r="B1382" s="26" t="s">
        <v>4485</v>
      </c>
      <c r="C1382" s="66" t="s">
        <v>4486</v>
      </c>
      <c r="D1382" s="66"/>
      <c r="E1382" s="66"/>
      <c r="F1382" s="66"/>
      <c r="G1382" s="27" t="s">
        <v>4487</v>
      </c>
      <c r="H1382" s="33">
        <v>9</v>
      </c>
      <c r="I1382" s="29"/>
      <c r="J1382" s="25">
        <v>1</v>
      </c>
      <c r="K1382" s="30">
        <v>609.88</v>
      </c>
      <c r="L1382" s="17"/>
      <c r="M1382" s="29">
        <f>K1382*L1382</f>
        <v>0</v>
      </c>
      <c r="N1382" s="31">
        <f>0.195*L1382</f>
        <v>0</v>
      </c>
      <c r="O1382" s="32">
        <f>0.00374*L1382</f>
        <v>0</v>
      </c>
      <c r="P1382" s="36"/>
      <c r="Q1382" s="29" t="s">
        <v>4488</v>
      </c>
      <c r="R1382" s="29"/>
      <c r="S1382" s="26" t="str">
        <f>HYPERLINK("https://miland.ru/api/getInfo/image/014df8fe-60f9-11ed-a229-00155d82e902")</f>
        <v>https://miland.ru/api/getInfo/image/014df8fe-60f9-11ed-a229-00155d82e902</v>
      </c>
    </row>
    <row r="1383" spans="1:19" s="2" customFormat="1" ht="96.2" customHeight="1" outlineLevel="7">
      <c r="A1383" s="52">
        <v>1056</v>
      </c>
      <c r="B1383" s="26" t="s">
        <v>4489</v>
      </c>
      <c r="C1383" s="66" t="s">
        <v>4490</v>
      </c>
      <c r="D1383" s="66"/>
      <c r="E1383" s="66"/>
      <c r="F1383" s="66"/>
      <c r="G1383" s="27" t="s">
        <v>4491</v>
      </c>
      <c r="H1383" s="33">
        <v>34</v>
      </c>
      <c r="I1383" s="29"/>
      <c r="J1383" s="25">
        <v>1</v>
      </c>
      <c r="K1383" s="30">
        <v>609.88</v>
      </c>
      <c r="L1383" s="17"/>
      <c r="M1383" s="29">
        <f>K1383*L1383</f>
        <v>0</v>
      </c>
      <c r="N1383" s="31">
        <f>0.186*L1383</f>
        <v>0</v>
      </c>
      <c r="O1383" s="32">
        <f>0.00461*L1383</f>
        <v>0</v>
      </c>
      <c r="P1383" s="36"/>
      <c r="Q1383" s="29" t="s">
        <v>4492</v>
      </c>
      <c r="R1383" s="29"/>
      <c r="S1383" s="26" t="str">
        <f>HYPERLINK("https://miland.ru/api/getInfo/image/af70d6b1-60f8-11ed-a229-00155d82e902")</f>
        <v>https://miland.ru/api/getInfo/image/af70d6b1-60f8-11ed-a229-00155d82e902</v>
      </c>
    </row>
    <row r="1384" spans="1:19" s="2" customFormat="1" ht="96.2" customHeight="1" outlineLevel="7">
      <c r="A1384" s="52">
        <v>1057</v>
      </c>
      <c r="B1384" s="26" t="s">
        <v>4493</v>
      </c>
      <c r="C1384" s="66" t="s">
        <v>4494</v>
      </c>
      <c r="D1384" s="66"/>
      <c r="E1384" s="66"/>
      <c r="F1384" s="66"/>
      <c r="G1384" s="27" t="s">
        <v>4495</v>
      </c>
      <c r="H1384" s="33">
        <v>60</v>
      </c>
      <c r="I1384" s="29"/>
      <c r="J1384" s="25">
        <v>1</v>
      </c>
      <c r="K1384" s="30">
        <v>573.42999999999995</v>
      </c>
      <c r="L1384" s="17"/>
      <c r="M1384" s="29">
        <f>K1384*L1384</f>
        <v>0</v>
      </c>
      <c r="N1384" s="41">
        <f>0.2*L1384</f>
        <v>0</v>
      </c>
      <c r="O1384" s="32">
        <f>0.00378*L1384</f>
        <v>0</v>
      </c>
      <c r="P1384" s="36"/>
      <c r="Q1384" s="29" t="s">
        <v>4496</v>
      </c>
      <c r="R1384" s="29" t="s">
        <v>611</v>
      </c>
      <c r="S1384" s="26" t="str">
        <f>HYPERLINK("https://miland.ru/api/getInfo/image/4f7899d6-60f9-11ed-a229-00155d82e902")</f>
        <v>https://miland.ru/api/getInfo/image/4f7899d6-60f9-11ed-a229-00155d82e902</v>
      </c>
    </row>
    <row r="1385" spans="1:19" s="1" customFormat="1" ht="12" customHeight="1" outlineLevel="6">
      <c r="A1385" s="64" t="s">
        <v>4497</v>
      </c>
      <c r="B1385" s="64"/>
      <c r="C1385" s="64"/>
      <c r="D1385" s="64"/>
      <c r="E1385" s="64"/>
      <c r="F1385" s="64"/>
      <c r="G1385" s="8"/>
      <c r="H1385" s="12"/>
      <c r="I1385" s="2"/>
      <c r="J1385" s="2"/>
      <c r="K1385" s="13"/>
      <c r="L1385" s="2"/>
      <c r="M1385" s="2"/>
      <c r="N1385" s="2"/>
      <c r="O1385" s="2"/>
      <c r="P1385" s="2"/>
      <c r="Q1385" s="2"/>
      <c r="R1385" s="2"/>
      <c r="S1385" s="2"/>
    </row>
    <row r="1386" spans="1:19" s="1" customFormat="1" ht="12" customHeight="1" outlineLevel="7">
      <c r="A1386" s="64" t="s">
        <v>4498</v>
      </c>
      <c r="B1386" s="64"/>
      <c r="C1386" s="64"/>
      <c r="D1386" s="64"/>
      <c r="E1386" s="64"/>
      <c r="F1386" s="64"/>
      <c r="G1386" s="8"/>
      <c r="H1386" s="12"/>
      <c r="I1386" s="2"/>
      <c r="J1386" s="2"/>
      <c r="K1386" s="13"/>
      <c r="L1386" s="2"/>
      <c r="M1386" s="2"/>
      <c r="N1386" s="2"/>
      <c r="O1386" s="2"/>
      <c r="P1386" s="2"/>
      <c r="Q1386" s="2"/>
      <c r="R1386" s="2"/>
      <c r="S1386" s="2"/>
    </row>
    <row r="1387" spans="1:19" s="2" customFormat="1" ht="96.2" customHeight="1" outlineLevel="7">
      <c r="A1387" s="53">
        <v>1058</v>
      </c>
      <c r="B1387" s="10" t="s">
        <v>4499</v>
      </c>
      <c r="C1387" s="65" t="s">
        <v>4500</v>
      </c>
      <c r="D1387" s="65"/>
      <c r="E1387" s="65"/>
      <c r="F1387" s="65"/>
      <c r="G1387" s="11" t="s">
        <v>4501</v>
      </c>
      <c r="H1387" s="14">
        <v>249</v>
      </c>
      <c r="I1387" s="15"/>
      <c r="J1387" s="9">
        <v>2</v>
      </c>
      <c r="K1387" s="16">
        <v>326.33999999999997</v>
      </c>
      <c r="L1387" s="17"/>
      <c r="M1387" s="15">
        <f>K1387*L1387</f>
        <v>0</v>
      </c>
      <c r="N1387" s="18">
        <f>0.064*L1387</f>
        <v>0</v>
      </c>
      <c r="O1387" s="19">
        <f>0.00167*L1387</f>
        <v>0</v>
      </c>
      <c r="P1387" s="24" t="s">
        <v>26</v>
      </c>
      <c r="Q1387" s="15" t="s">
        <v>4502</v>
      </c>
      <c r="R1387" s="15"/>
      <c r="S1387" s="10" t="str">
        <f>HYPERLINK("https://miland.ru/api/getInfo/image/3fdeb713-2ce6-11f1-a292-00155d82e908")</f>
        <v>https://miland.ru/api/getInfo/image/3fdeb713-2ce6-11f1-a292-00155d82e908</v>
      </c>
    </row>
    <row r="1388" spans="1:19" s="1" customFormat="1" ht="12" customHeight="1" outlineLevel="7">
      <c r="A1388" s="64" t="s">
        <v>4503</v>
      </c>
      <c r="B1388" s="64"/>
      <c r="C1388" s="64"/>
      <c r="D1388" s="64"/>
      <c r="E1388" s="64"/>
      <c r="F1388" s="64"/>
      <c r="G1388" s="8"/>
      <c r="H1388" s="12"/>
      <c r="I1388" s="2"/>
      <c r="J1388" s="2"/>
      <c r="K1388" s="13"/>
      <c r="L1388" s="2"/>
      <c r="M1388" s="2"/>
      <c r="N1388" s="2"/>
      <c r="O1388" s="2"/>
      <c r="P1388" s="2"/>
      <c r="Q1388" s="2"/>
      <c r="R1388" s="2"/>
      <c r="S1388" s="2"/>
    </row>
    <row r="1389" spans="1:19" s="2" customFormat="1" ht="96.2" customHeight="1" outlineLevel="7">
      <c r="A1389" s="52">
        <v>1059</v>
      </c>
      <c r="B1389" s="26" t="s">
        <v>4504</v>
      </c>
      <c r="C1389" s="66" t="s">
        <v>4505</v>
      </c>
      <c r="D1389" s="66"/>
      <c r="E1389" s="66"/>
      <c r="F1389" s="66"/>
      <c r="G1389" s="27" t="s">
        <v>4506</v>
      </c>
      <c r="H1389" s="33">
        <v>218</v>
      </c>
      <c r="I1389" s="29"/>
      <c r="J1389" s="25">
        <v>3</v>
      </c>
      <c r="K1389" s="30">
        <v>203.14</v>
      </c>
      <c r="L1389" s="17"/>
      <c r="M1389" s="29">
        <f>K1389*L1389</f>
        <v>0</v>
      </c>
      <c r="N1389" s="31">
        <f>0.101*L1389</f>
        <v>0</v>
      </c>
      <c r="O1389" s="32">
        <f>0.00025*L1389</f>
        <v>0</v>
      </c>
      <c r="P1389" s="36"/>
      <c r="Q1389" s="29" t="s">
        <v>4507</v>
      </c>
      <c r="R1389" s="29"/>
      <c r="S1389" s="26" t="str">
        <f>HYPERLINK("https://miland.ru/api/getInfo/image/eeeb8f7f-8a5d-11ec-a211-ac1f6b442185")</f>
        <v>https://miland.ru/api/getInfo/image/eeeb8f7f-8a5d-11ec-a211-ac1f6b442185</v>
      </c>
    </row>
    <row r="1390" spans="1:19" s="2" customFormat="1" ht="96.2" customHeight="1" outlineLevel="7">
      <c r="A1390" s="52">
        <v>1060</v>
      </c>
      <c r="B1390" s="26" t="s">
        <v>4508</v>
      </c>
      <c r="C1390" s="66" t="s">
        <v>4509</v>
      </c>
      <c r="D1390" s="66"/>
      <c r="E1390" s="66"/>
      <c r="F1390" s="66"/>
      <c r="G1390" s="27" t="s">
        <v>4510</v>
      </c>
      <c r="H1390" s="33">
        <v>236</v>
      </c>
      <c r="I1390" s="29"/>
      <c r="J1390" s="25">
        <v>1</v>
      </c>
      <c r="K1390" s="30">
        <v>438.59</v>
      </c>
      <c r="L1390" s="17"/>
      <c r="M1390" s="29">
        <f>K1390*L1390</f>
        <v>0</v>
      </c>
      <c r="N1390" s="31">
        <f>0.081*L1390</f>
        <v>0</v>
      </c>
      <c r="O1390" s="32">
        <f>0.00249*L1390</f>
        <v>0</v>
      </c>
      <c r="P1390" s="36"/>
      <c r="Q1390" s="29" t="s">
        <v>4511</v>
      </c>
      <c r="R1390" s="29"/>
      <c r="S1390" s="26" t="str">
        <f>HYPERLINK("https://miland.ru/api/getInfo/image/35615e4b-dcb3-11ef-a273-00155d82e908")</f>
        <v>https://miland.ru/api/getInfo/image/35615e4b-dcb3-11ef-a273-00155d82e908</v>
      </c>
    </row>
    <row r="1391" spans="1:19" s="2" customFormat="1" ht="96.2" customHeight="1" outlineLevel="7">
      <c r="A1391" s="52">
        <v>1061</v>
      </c>
      <c r="B1391" s="26" t="s">
        <v>4512</v>
      </c>
      <c r="C1391" s="66" t="s">
        <v>4513</v>
      </c>
      <c r="D1391" s="66"/>
      <c r="E1391" s="66"/>
      <c r="F1391" s="66"/>
      <c r="G1391" s="27" t="s">
        <v>4514</v>
      </c>
      <c r="H1391" s="33">
        <v>426</v>
      </c>
      <c r="I1391" s="29"/>
      <c r="J1391" s="25">
        <v>3</v>
      </c>
      <c r="K1391" s="30">
        <v>203.14</v>
      </c>
      <c r="L1391" s="17"/>
      <c r="M1391" s="29">
        <f>K1391*L1391</f>
        <v>0</v>
      </c>
      <c r="N1391" s="31">
        <f>0.098*L1391</f>
        <v>0</v>
      </c>
      <c r="O1391" s="32">
        <f>0.00224*L1391</f>
        <v>0</v>
      </c>
      <c r="P1391" s="36"/>
      <c r="Q1391" s="29" t="s">
        <v>4515</v>
      </c>
      <c r="R1391" s="29"/>
      <c r="S1391" s="26" t="str">
        <f>HYPERLINK("https://miland.ru/api/getInfo/image/45b9d21a-240b-11e6-b4ab-5cf3fc4a2490")</f>
        <v>https://miland.ru/api/getInfo/image/45b9d21a-240b-11e6-b4ab-5cf3fc4a2490</v>
      </c>
    </row>
    <row r="1392" spans="1:19" s="1" customFormat="1" ht="12" customHeight="1" outlineLevel="7">
      <c r="A1392" s="64" t="s">
        <v>4516</v>
      </c>
      <c r="B1392" s="64"/>
      <c r="C1392" s="64"/>
      <c r="D1392" s="64"/>
      <c r="E1392" s="64"/>
      <c r="F1392" s="64"/>
      <c r="G1392" s="8"/>
      <c r="H1392" s="12"/>
      <c r="I1392" s="2"/>
      <c r="J1392" s="2"/>
      <c r="K1392" s="13"/>
      <c r="L1392" s="2"/>
      <c r="M1392" s="2"/>
      <c r="N1392" s="2"/>
      <c r="O1392" s="2"/>
      <c r="P1392" s="2"/>
      <c r="Q1392" s="2"/>
      <c r="R1392" s="2"/>
      <c r="S1392" s="2"/>
    </row>
    <row r="1393" spans="1:19" s="2" customFormat="1" ht="96.2" customHeight="1" outlineLevel="7">
      <c r="A1393" s="52">
        <v>1062</v>
      </c>
      <c r="B1393" s="26" t="s">
        <v>4517</v>
      </c>
      <c r="C1393" s="66" t="s">
        <v>4518</v>
      </c>
      <c r="D1393" s="66"/>
      <c r="E1393" s="66"/>
      <c r="F1393" s="66"/>
      <c r="G1393" s="27" t="s">
        <v>4519</v>
      </c>
      <c r="H1393" s="33">
        <v>30</v>
      </c>
      <c r="I1393" s="29"/>
      <c r="J1393" s="25">
        <v>1</v>
      </c>
      <c r="K1393" s="30">
        <v>559.26</v>
      </c>
      <c r="L1393" s="17"/>
      <c r="M1393" s="29">
        <f t="shared" ref="M1393:M1411" si="60">K1393*L1393</f>
        <v>0</v>
      </c>
      <c r="N1393" s="31">
        <f>0.133*L1393</f>
        <v>0</v>
      </c>
      <c r="O1393" s="32">
        <f>0.00327*L1393</f>
        <v>0</v>
      </c>
      <c r="P1393" s="36"/>
      <c r="Q1393" s="29" t="s">
        <v>4520</v>
      </c>
      <c r="R1393" s="29"/>
      <c r="S1393" s="26" t="str">
        <f>HYPERLINK("https://miland.ru/api/getInfo/image/89572535-dcb3-11ef-a273-00155d82e908")</f>
        <v>https://miland.ru/api/getInfo/image/89572535-dcb3-11ef-a273-00155d82e908</v>
      </c>
    </row>
    <row r="1394" spans="1:19" s="2" customFormat="1" ht="96.2" customHeight="1" outlineLevel="7">
      <c r="A1394" s="52">
        <v>1063</v>
      </c>
      <c r="B1394" s="26" t="s">
        <v>4521</v>
      </c>
      <c r="C1394" s="66" t="s">
        <v>4522</v>
      </c>
      <c r="D1394" s="66"/>
      <c r="E1394" s="66"/>
      <c r="F1394" s="66"/>
      <c r="G1394" s="27" t="s">
        <v>4523</v>
      </c>
      <c r="H1394" s="33">
        <v>9</v>
      </c>
      <c r="I1394" s="29"/>
      <c r="J1394" s="25">
        <v>1</v>
      </c>
      <c r="K1394" s="30">
        <v>559.26</v>
      </c>
      <c r="L1394" s="17"/>
      <c r="M1394" s="29">
        <f t="shared" si="60"/>
        <v>0</v>
      </c>
      <c r="N1394" s="31">
        <f>0.114*L1394</f>
        <v>0</v>
      </c>
      <c r="O1394" s="32">
        <f>0.00316*L1394</f>
        <v>0</v>
      </c>
      <c r="P1394" s="36"/>
      <c r="Q1394" s="29" t="s">
        <v>4524</v>
      </c>
      <c r="R1394" s="29"/>
      <c r="S1394" s="26" t="str">
        <f>HYPERLINK("https://miland.ru/api/getInfo/image/5ab6c5ea-dcb3-11ef-a273-00155d82e908")</f>
        <v>https://miland.ru/api/getInfo/image/5ab6c5ea-dcb3-11ef-a273-00155d82e908</v>
      </c>
    </row>
    <row r="1395" spans="1:19" s="2" customFormat="1" ht="96.2" customHeight="1" outlineLevel="7">
      <c r="A1395" s="53">
        <v>1064</v>
      </c>
      <c r="B1395" s="10" t="s">
        <v>4525</v>
      </c>
      <c r="C1395" s="65" t="s">
        <v>4526</v>
      </c>
      <c r="D1395" s="65"/>
      <c r="E1395" s="65"/>
      <c r="F1395" s="65"/>
      <c r="G1395" s="11" t="s">
        <v>4527</v>
      </c>
      <c r="H1395" s="14">
        <v>268</v>
      </c>
      <c r="I1395" s="15"/>
      <c r="J1395" s="9">
        <v>2</v>
      </c>
      <c r="K1395" s="16">
        <v>310.11</v>
      </c>
      <c r="L1395" s="17"/>
      <c r="M1395" s="15">
        <f t="shared" si="60"/>
        <v>0</v>
      </c>
      <c r="N1395" s="23">
        <f>0.25*L1395</f>
        <v>0</v>
      </c>
      <c r="O1395" s="19">
        <f>0.01342*L1395</f>
        <v>0</v>
      </c>
      <c r="P1395" s="24" t="s">
        <v>26</v>
      </c>
      <c r="Q1395" s="15" t="s">
        <v>4528</v>
      </c>
      <c r="R1395" s="15"/>
      <c r="S1395" s="10" t="str">
        <f>HYPERLINK("https://miland.ru/api/getInfo/image/dc5b7f6f-3181-11f1-a292-00155d82e908")</f>
        <v>https://miland.ru/api/getInfo/image/dc5b7f6f-3181-11f1-a292-00155d82e908</v>
      </c>
    </row>
    <row r="1396" spans="1:19" s="2" customFormat="1" ht="96.2" customHeight="1" outlineLevel="7">
      <c r="A1396" s="52">
        <v>1065</v>
      </c>
      <c r="B1396" s="26" t="s">
        <v>4529</v>
      </c>
      <c r="C1396" s="66" t="s">
        <v>4530</v>
      </c>
      <c r="D1396" s="66"/>
      <c r="E1396" s="66"/>
      <c r="F1396" s="66"/>
      <c r="G1396" s="27" t="s">
        <v>4531</v>
      </c>
      <c r="H1396" s="33">
        <v>26</v>
      </c>
      <c r="I1396" s="29"/>
      <c r="J1396" s="25">
        <v>1</v>
      </c>
      <c r="K1396" s="30">
        <v>683.86</v>
      </c>
      <c r="L1396" s="17"/>
      <c r="M1396" s="29">
        <f t="shared" si="60"/>
        <v>0</v>
      </c>
      <c r="N1396" s="31">
        <f>0.128*L1396</f>
        <v>0</v>
      </c>
      <c r="O1396" s="32">
        <f>0.00307*L1396</f>
        <v>0</v>
      </c>
      <c r="P1396" s="36"/>
      <c r="Q1396" s="29" t="s">
        <v>4532</v>
      </c>
      <c r="R1396" s="29"/>
      <c r="S1396" s="26" t="str">
        <f>HYPERLINK("https://miland.ru/api/getInfo/image/ffde2309-dca5-11ef-a273-00155d82e908")</f>
        <v>https://miland.ru/api/getInfo/image/ffde2309-dca5-11ef-a273-00155d82e908</v>
      </c>
    </row>
    <row r="1397" spans="1:19" s="2" customFormat="1" ht="96.2" customHeight="1" outlineLevel="7">
      <c r="A1397" s="52">
        <v>1066</v>
      </c>
      <c r="B1397" s="26" t="s">
        <v>4533</v>
      </c>
      <c r="C1397" s="66" t="s">
        <v>4534</v>
      </c>
      <c r="D1397" s="66"/>
      <c r="E1397" s="66"/>
      <c r="F1397" s="66"/>
      <c r="G1397" s="27" t="s">
        <v>4535</v>
      </c>
      <c r="H1397" s="33">
        <v>279</v>
      </c>
      <c r="I1397" s="29"/>
      <c r="J1397" s="25">
        <v>1</v>
      </c>
      <c r="K1397" s="30">
        <v>427.97</v>
      </c>
      <c r="L1397" s="17"/>
      <c r="M1397" s="29">
        <f t="shared" si="60"/>
        <v>0</v>
      </c>
      <c r="N1397" s="31">
        <f>0.127*L1397</f>
        <v>0</v>
      </c>
      <c r="O1397" s="32">
        <f>0.00324*L1397</f>
        <v>0</v>
      </c>
      <c r="P1397" s="36"/>
      <c r="Q1397" s="29" t="s">
        <v>4536</v>
      </c>
      <c r="R1397" s="29" t="s">
        <v>611</v>
      </c>
      <c r="S1397" s="26" t="str">
        <f>HYPERLINK("https://miland.ru/api/getInfo/image/b4b60c97-dcb3-11ef-a273-00155d82e908")</f>
        <v>https://miland.ru/api/getInfo/image/b4b60c97-dcb3-11ef-a273-00155d82e908</v>
      </c>
    </row>
    <row r="1398" spans="1:19" s="2" customFormat="1" ht="96.2" customHeight="1" outlineLevel="7">
      <c r="A1398" s="53">
        <v>1067</v>
      </c>
      <c r="B1398" s="10" t="s">
        <v>4537</v>
      </c>
      <c r="C1398" s="65" t="s">
        <v>4538</v>
      </c>
      <c r="D1398" s="65"/>
      <c r="E1398" s="65"/>
      <c r="F1398" s="65"/>
      <c r="G1398" s="11" t="s">
        <v>4539</v>
      </c>
      <c r="H1398" s="14">
        <v>88</v>
      </c>
      <c r="I1398" s="15"/>
      <c r="J1398" s="9">
        <v>2</v>
      </c>
      <c r="K1398" s="16">
        <v>310.11</v>
      </c>
      <c r="L1398" s="17"/>
      <c r="M1398" s="15">
        <f t="shared" si="60"/>
        <v>0</v>
      </c>
      <c r="N1398" s="23">
        <f>0.19*L1398</f>
        <v>0</v>
      </c>
      <c r="O1398" s="20">
        <f>0.0049*L1398</f>
        <v>0</v>
      </c>
      <c r="P1398" s="24" t="s">
        <v>26</v>
      </c>
      <c r="Q1398" s="15" t="s">
        <v>4540</v>
      </c>
      <c r="R1398" s="15"/>
      <c r="S1398" s="10" t="str">
        <f>HYPERLINK("https://miland.ru/api/getInfo/image/6f6a8791-3181-11f1-a292-00155d82e908")</f>
        <v>https://miland.ru/api/getInfo/image/6f6a8791-3181-11f1-a292-00155d82e908</v>
      </c>
    </row>
    <row r="1399" spans="1:19" s="2" customFormat="1" ht="96.2" customHeight="1" outlineLevel="7">
      <c r="A1399" s="53">
        <v>1068</v>
      </c>
      <c r="B1399" s="10" t="s">
        <v>4541</v>
      </c>
      <c r="C1399" s="65" t="s">
        <v>4542</v>
      </c>
      <c r="D1399" s="65"/>
      <c r="E1399" s="65"/>
      <c r="F1399" s="65"/>
      <c r="G1399" s="11" t="s">
        <v>4543</v>
      </c>
      <c r="H1399" s="14">
        <v>359</v>
      </c>
      <c r="I1399" s="15"/>
      <c r="J1399" s="9">
        <v>2</v>
      </c>
      <c r="K1399" s="16">
        <v>310.11</v>
      </c>
      <c r="L1399" s="17"/>
      <c r="M1399" s="15">
        <f t="shared" si="60"/>
        <v>0</v>
      </c>
      <c r="N1399" s="23">
        <f>0.23*L1399</f>
        <v>0</v>
      </c>
      <c r="O1399" s="19">
        <f>0.00527*L1399</f>
        <v>0</v>
      </c>
      <c r="P1399" s="24" t="s">
        <v>26</v>
      </c>
      <c r="Q1399" s="15" t="s">
        <v>4544</v>
      </c>
      <c r="R1399" s="15"/>
      <c r="S1399" s="10" t="str">
        <f>HYPERLINK("https://miland.ru/api/getInfo/image/fd8082ae-3180-11f1-a292-00155d82e908")</f>
        <v>https://miland.ru/api/getInfo/image/fd8082ae-3180-11f1-a292-00155d82e908</v>
      </c>
    </row>
    <row r="1400" spans="1:19" s="2" customFormat="1" ht="96.2" customHeight="1" outlineLevel="7">
      <c r="A1400" s="53">
        <v>1069</v>
      </c>
      <c r="B1400" s="10" t="s">
        <v>4545</v>
      </c>
      <c r="C1400" s="65" t="s">
        <v>4546</v>
      </c>
      <c r="D1400" s="65"/>
      <c r="E1400" s="65"/>
      <c r="F1400" s="65"/>
      <c r="G1400" s="11" t="s">
        <v>4547</v>
      </c>
      <c r="H1400" s="14">
        <v>240</v>
      </c>
      <c r="I1400" s="15"/>
      <c r="J1400" s="9">
        <v>2</v>
      </c>
      <c r="K1400" s="16">
        <v>310.11</v>
      </c>
      <c r="L1400" s="17"/>
      <c r="M1400" s="15">
        <f t="shared" si="60"/>
        <v>0</v>
      </c>
      <c r="N1400" s="18">
        <f>0.203*L1400</f>
        <v>0</v>
      </c>
      <c r="O1400" s="19">
        <f>0.05861*L1400</f>
        <v>0</v>
      </c>
      <c r="P1400" s="24" t="s">
        <v>26</v>
      </c>
      <c r="Q1400" s="15" t="s">
        <v>4548</v>
      </c>
      <c r="R1400" s="15"/>
      <c r="S1400" s="10" t="str">
        <f>HYPERLINK("https://miland.ru/api/getInfo/image/274775bf-3182-11f1-a292-00155d82e908")</f>
        <v>https://miland.ru/api/getInfo/image/274775bf-3182-11f1-a292-00155d82e908</v>
      </c>
    </row>
    <row r="1401" spans="1:19" s="2" customFormat="1" ht="96.2" customHeight="1" outlineLevel="7">
      <c r="A1401" s="53">
        <v>1070</v>
      </c>
      <c r="B1401" s="10" t="s">
        <v>4549</v>
      </c>
      <c r="C1401" s="65" t="s">
        <v>4550</v>
      </c>
      <c r="D1401" s="65"/>
      <c r="E1401" s="65"/>
      <c r="F1401" s="65"/>
      <c r="G1401" s="11" t="s">
        <v>4551</v>
      </c>
      <c r="H1401" s="14">
        <v>4</v>
      </c>
      <c r="I1401" s="15"/>
      <c r="J1401" s="9">
        <v>2</v>
      </c>
      <c r="K1401" s="16">
        <v>310.11</v>
      </c>
      <c r="L1401" s="17"/>
      <c r="M1401" s="15">
        <f t="shared" si="60"/>
        <v>0</v>
      </c>
      <c r="N1401" s="18">
        <f>0.207*L1401</f>
        <v>0</v>
      </c>
      <c r="O1401" s="19">
        <f>0.00505*L1401</f>
        <v>0</v>
      </c>
      <c r="P1401" s="24" t="s">
        <v>26</v>
      </c>
      <c r="Q1401" s="15" t="s">
        <v>4552</v>
      </c>
      <c r="R1401" s="15"/>
      <c r="S1401" s="10" t="str">
        <f>HYPERLINK("https://miland.ru/api/getInfo/image/04733c01-3182-11f1-a292-00155d82e908")</f>
        <v>https://miland.ru/api/getInfo/image/04733c01-3182-11f1-a292-00155d82e908</v>
      </c>
    </row>
    <row r="1402" spans="1:19" s="2" customFormat="1" ht="96.2" customHeight="1" outlineLevel="7">
      <c r="A1402" s="53">
        <v>1071</v>
      </c>
      <c r="B1402" s="10" t="s">
        <v>4553</v>
      </c>
      <c r="C1402" s="65" t="s">
        <v>4554</v>
      </c>
      <c r="D1402" s="65"/>
      <c r="E1402" s="65"/>
      <c r="F1402" s="65"/>
      <c r="G1402" s="11" t="s">
        <v>4555</v>
      </c>
      <c r="H1402" s="14">
        <v>4</v>
      </c>
      <c r="I1402" s="15"/>
      <c r="J1402" s="9">
        <v>2</v>
      </c>
      <c r="K1402" s="16">
        <v>310.11</v>
      </c>
      <c r="L1402" s="17"/>
      <c r="M1402" s="15">
        <f t="shared" si="60"/>
        <v>0</v>
      </c>
      <c r="N1402" s="18">
        <f>0.198*L1402</f>
        <v>0</v>
      </c>
      <c r="O1402" s="19">
        <f>0.00479*L1402</f>
        <v>0</v>
      </c>
      <c r="P1402" s="24" t="s">
        <v>26</v>
      </c>
      <c r="Q1402" s="15" t="s">
        <v>4556</v>
      </c>
      <c r="R1402" s="15"/>
      <c r="S1402" s="10" t="str">
        <f>HYPERLINK("https://miland.ru/api/getInfo/image/87897e10-3181-11f1-a292-00155d82e908")</f>
        <v>https://miland.ru/api/getInfo/image/87897e10-3181-11f1-a292-00155d82e908</v>
      </c>
    </row>
    <row r="1403" spans="1:19" s="2" customFormat="1" ht="96.2" customHeight="1" outlineLevel="7">
      <c r="A1403" s="53">
        <v>1072</v>
      </c>
      <c r="B1403" s="10" t="s">
        <v>4557</v>
      </c>
      <c r="C1403" s="65" t="s">
        <v>4558</v>
      </c>
      <c r="D1403" s="65"/>
      <c r="E1403" s="65"/>
      <c r="F1403" s="65"/>
      <c r="G1403" s="11" t="s">
        <v>4559</v>
      </c>
      <c r="H1403" s="14">
        <v>18</v>
      </c>
      <c r="I1403" s="15"/>
      <c r="J1403" s="9">
        <v>2</v>
      </c>
      <c r="K1403" s="16">
        <v>310.11</v>
      </c>
      <c r="L1403" s="17"/>
      <c r="M1403" s="15">
        <f t="shared" si="60"/>
        <v>0</v>
      </c>
      <c r="N1403" s="18">
        <f>0.209*L1403</f>
        <v>0</v>
      </c>
      <c r="O1403" s="19">
        <f>0.00481*L1403</f>
        <v>0</v>
      </c>
      <c r="P1403" s="24" t="s">
        <v>26</v>
      </c>
      <c r="Q1403" s="15" t="s">
        <v>4560</v>
      </c>
      <c r="R1403" s="15"/>
      <c r="S1403" s="10" t="str">
        <f>HYPERLINK("https://miland.ru/api/getInfo/image/9fbb3a06-3181-11f1-a292-00155d82e908")</f>
        <v>https://miland.ru/api/getInfo/image/9fbb3a06-3181-11f1-a292-00155d82e908</v>
      </c>
    </row>
    <row r="1404" spans="1:19" s="2" customFormat="1" ht="96.2" customHeight="1" outlineLevel="7">
      <c r="A1404" s="52">
        <v>1073</v>
      </c>
      <c r="B1404" s="26" t="s">
        <v>4561</v>
      </c>
      <c r="C1404" s="66" t="s">
        <v>4562</v>
      </c>
      <c r="D1404" s="66"/>
      <c r="E1404" s="66"/>
      <c r="F1404" s="66"/>
      <c r="G1404" s="27" t="s">
        <v>4563</v>
      </c>
      <c r="H1404" s="33">
        <v>224</v>
      </c>
      <c r="I1404" s="29"/>
      <c r="J1404" s="25">
        <v>2</v>
      </c>
      <c r="K1404" s="30">
        <v>281.88</v>
      </c>
      <c r="L1404" s="17"/>
      <c r="M1404" s="29">
        <f t="shared" si="60"/>
        <v>0</v>
      </c>
      <c r="N1404" s="31">
        <f>0.135*L1404</f>
        <v>0</v>
      </c>
      <c r="O1404" s="32">
        <f>0.00309*L1404</f>
        <v>0</v>
      </c>
      <c r="P1404" s="36"/>
      <c r="Q1404" s="29" t="s">
        <v>4564</v>
      </c>
      <c r="R1404" s="29"/>
      <c r="S1404" s="26" t="str">
        <f>HYPERLINK("https://miland.ru/api/getInfo/image/e20592c5-249e-11e6-b4ab-5cf3fc4a2490")</f>
        <v>https://miland.ru/api/getInfo/image/e20592c5-249e-11e6-b4ab-5cf3fc4a2490</v>
      </c>
    </row>
    <row r="1405" spans="1:19" s="2" customFormat="1" ht="96.2" customHeight="1" outlineLevel="7">
      <c r="A1405" s="52">
        <v>1074</v>
      </c>
      <c r="B1405" s="26" t="s">
        <v>4565</v>
      </c>
      <c r="C1405" s="66" t="s">
        <v>4566</v>
      </c>
      <c r="D1405" s="66"/>
      <c r="E1405" s="66"/>
      <c r="F1405" s="66"/>
      <c r="G1405" s="27" t="s">
        <v>4567</v>
      </c>
      <c r="H1405" s="33">
        <v>303</v>
      </c>
      <c r="I1405" s="29"/>
      <c r="J1405" s="25">
        <v>2</v>
      </c>
      <c r="K1405" s="30">
        <v>281.88</v>
      </c>
      <c r="L1405" s="17"/>
      <c r="M1405" s="29">
        <f t="shared" si="60"/>
        <v>0</v>
      </c>
      <c r="N1405" s="31">
        <f>0.129*L1405</f>
        <v>0</v>
      </c>
      <c r="O1405" s="32">
        <f>0.00306*L1405</f>
        <v>0</v>
      </c>
      <c r="P1405" s="36"/>
      <c r="Q1405" s="29" t="s">
        <v>4568</v>
      </c>
      <c r="R1405" s="29"/>
      <c r="S1405" s="26" t="str">
        <f>HYPERLINK("https://miland.ru/api/getInfo/image/6f8a77da-2405-11e6-b4ab-5cf3fc4a2490")</f>
        <v>https://miland.ru/api/getInfo/image/6f8a77da-2405-11e6-b4ab-5cf3fc4a2490</v>
      </c>
    </row>
    <row r="1406" spans="1:19" s="2" customFormat="1" ht="96.2" customHeight="1" outlineLevel="7">
      <c r="A1406" s="52">
        <v>1075</v>
      </c>
      <c r="B1406" s="26" t="s">
        <v>4569</v>
      </c>
      <c r="C1406" s="66" t="s">
        <v>4570</v>
      </c>
      <c r="D1406" s="66"/>
      <c r="E1406" s="66"/>
      <c r="F1406" s="66"/>
      <c r="G1406" s="27" t="s">
        <v>4571</v>
      </c>
      <c r="H1406" s="28" t="s">
        <v>44</v>
      </c>
      <c r="I1406" s="29"/>
      <c r="J1406" s="25">
        <v>2</v>
      </c>
      <c r="K1406" s="30">
        <v>281.88</v>
      </c>
      <c r="L1406" s="17"/>
      <c r="M1406" s="29">
        <f t="shared" si="60"/>
        <v>0</v>
      </c>
      <c r="N1406" s="34">
        <f>0.14*L1406</f>
        <v>0</v>
      </c>
      <c r="O1406" s="35">
        <f>0.0031*L1406</f>
        <v>0</v>
      </c>
      <c r="P1406" s="36"/>
      <c r="Q1406" s="29" t="s">
        <v>4572</v>
      </c>
      <c r="R1406" s="29"/>
      <c r="S1406" s="26" t="str">
        <f>HYPERLINK("https://miland.ru/api/getInfo/image/298ce545-24a3-11e6-b4ab-5cf3fc4a2490")</f>
        <v>https://miland.ru/api/getInfo/image/298ce545-24a3-11e6-b4ab-5cf3fc4a2490</v>
      </c>
    </row>
    <row r="1407" spans="1:19" s="2" customFormat="1" ht="96.2" customHeight="1" outlineLevel="7">
      <c r="A1407" s="52">
        <v>1076</v>
      </c>
      <c r="B1407" s="26" t="s">
        <v>4573</v>
      </c>
      <c r="C1407" s="66" t="s">
        <v>4574</v>
      </c>
      <c r="D1407" s="66"/>
      <c r="E1407" s="66"/>
      <c r="F1407" s="66"/>
      <c r="G1407" s="27" t="s">
        <v>4575</v>
      </c>
      <c r="H1407" s="33">
        <v>115</v>
      </c>
      <c r="I1407" s="29"/>
      <c r="J1407" s="25">
        <v>1</v>
      </c>
      <c r="K1407" s="30">
        <v>668.18</v>
      </c>
      <c r="L1407" s="17"/>
      <c r="M1407" s="29">
        <f t="shared" si="60"/>
        <v>0</v>
      </c>
      <c r="N1407" s="31">
        <f>0.382*L1407</f>
        <v>0</v>
      </c>
      <c r="O1407" s="32">
        <f>0.00337*L1407</f>
        <v>0</v>
      </c>
      <c r="P1407" s="36"/>
      <c r="Q1407" s="29" t="s">
        <v>4576</v>
      </c>
      <c r="R1407" s="29"/>
      <c r="S1407" s="26" t="str">
        <f>HYPERLINK("https://miland.ru/api/getInfo/image/3c19d985-63f4-11ed-a22a-00155d82e902")</f>
        <v>https://miland.ru/api/getInfo/image/3c19d985-63f4-11ed-a22a-00155d82e902</v>
      </c>
    </row>
    <row r="1408" spans="1:19" s="2" customFormat="1" ht="96.2" customHeight="1" outlineLevel="7">
      <c r="A1408" s="53">
        <v>1077</v>
      </c>
      <c r="B1408" s="10" t="s">
        <v>4577</v>
      </c>
      <c r="C1408" s="65" t="s">
        <v>4578</v>
      </c>
      <c r="D1408" s="65"/>
      <c r="E1408" s="65"/>
      <c r="F1408" s="65"/>
      <c r="G1408" s="11" t="s">
        <v>4579</v>
      </c>
      <c r="H1408" s="14">
        <v>194</v>
      </c>
      <c r="I1408" s="15"/>
      <c r="J1408" s="9">
        <v>1</v>
      </c>
      <c r="K1408" s="16">
        <v>663.44</v>
      </c>
      <c r="L1408" s="17"/>
      <c r="M1408" s="15">
        <f t="shared" si="60"/>
        <v>0</v>
      </c>
      <c r="N1408" s="18">
        <f>0.137*L1408</f>
        <v>0</v>
      </c>
      <c r="O1408" s="19">
        <f>0.00313*L1408</f>
        <v>0</v>
      </c>
      <c r="P1408" s="24" t="s">
        <v>26</v>
      </c>
      <c r="Q1408" s="15" t="s">
        <v>4580</v>
      </c>
      <c r="R1408" s="15"/>
      <c r="S1408" s="10" t="str">
        <f>HYPERLINK("https://miland.ru/api/getInfo/image/6bac0706-2cda-11f1-a292-00155d82e908")</f>
        <v>https://miland.ru/api/getInfo/image/6bac0706-2cda-11f1-a292-00155d82e908</v>
      </c>
    </row>
    <row r="1409" spans="1:19" s="2" customFormat="1" ht="96.2" customHeight="1" outlineLevel="7">
      <c r="A1409" s="53">
        <v>1078</v>
      </c>
      <c r="B1409" s="10" t="s">
        <v>4581</v>
      </c>
      <c r="C1409" s="65" t="s">
        <v>4582</v>
      </c>
      <c r="D1409" s="65"/>
      <c r="E1409" s="65"/>
      <c r="F1409" s="65"/>
      <c r="G1409" s="11" t="s">
        <v>4583</v>
      </c>
      <c r="H1409" s="14">
        <v>194</v>
      </c>
      <c r="I1409" s="15"/>
      <c r="J1409" s="9">
        <v>1</v>
      </c>
      <c r="K1409" s="16">
        <v>663.44</v>
      </c>
      <c r="L1409" s="17"/>
      <c r="M1409" s="15">
        <f t="shared" si="60"/>
        <v>0</v>
      </c>
      <c r="N1409" s="18">
        <f>0.211*L1409</f>
        <v>0</v>
      </c>
      <c r="O1409" s="19">
        <f>0.00325*L1409</f>
        <v>0</v>
      </c>
      <c r="P1409" s="24" t="s">
        <v>26</v>
      </c>
      <c r="Q1409" s="15" t="s">
        <v>4584</v>
      </c>
      <c r="R1409" s="15"/>
      <c r="S1409" s="10" t="str">
        <f>HYPERLINK("https://miland.ru/api/getInfo/image/88963eea-2ce7-11f1-a292-00155d82e908")</f>
        <v>https://miland.ru/api/getInfo/image/88963eea-2ce7-11f1-a292-00155d82e908</v>
      </c>
    </row>
    <row r="1410" spans="1:19" s="2" customFormat="1" ht="96.2" customHeight="1" outlineLevel="7">
      <c r="A1410" s="53">
        <v>1079</v>
      </c>
      <c r="B1410" s="10" t="s">
        <v>4585</v>
      </c>
      <c r="C1410" s="65" t="s">
        <v>4586</v>
      </c>
      <c r="D1410" s="65"/>
      <c r="E1410" s="65"/>
      <c r="F1410" s="65"/>
      <c r="G1410" s="11" t="s">
        <v>4587</v>
      </c>
      <c r="H1410" s="14">
        <v>123</v>
      </c>
      <c r="I1410" s="15"/>
      <c r="J1410" s="9">
        <v>1</v>
      </c>
      <c r="K1410" s="16">
        <v>609.05999999999995</v>
      </c>
      <c r="L1410" s="17"/>
      <c r="M1410" s="15">
        <f t="shared" si="60"/>
        <v>0</v>
      </c>
      <c r="N1410" s="18">
        <f>0.135*L1410</f>
        <v>0</v>
      </c>
      <c r="O1410" s="19">
        <f>0.00307*L1410</f>
        <v>0</v>
      </c>
      <c r="P1410" s="24" t="s">
        <v>26</v>
      </c>
      <c r="Q1410" s="15" t="s">
        <v>4588</v>
      </c>
      <c r="R1410" s="15"/>
      <c r="S1410" s="10" t="str">
        <f>HYPERLINK("https://miland.ru/api/getInfo/image/1bfaeefd-2cdd-11f1-a292-00155d82e908")</f>
        <v>https://miland.ru/api/getInfo/image/1bfaeefd-2cdd-11f1-a292-00155d82e908</v>
      </c>
    </row>
    <row r="1411" spans="1:19" s="2" customFormat="1" ht="96.2" customHeight="1" outlineLevel="7">
      <c r="A1411" s="52">
        <v>1080</v>
      </c>
      <c r="B1411" s="26" t="s">
        <v>4589</v>
      </c>
      <c r="C1411" s="66" t="s">
        <v>4590</v>
      </c>
      <c r="D1411" s="66"/>
      <c r="E1411" s="66"/>
      <c r="F1411" s="66"/>
      <c r="G1411" s="27" t="s">
        <v>4591</v>
      </c>
      <c r="H1411" s="33">
        <v>78</v>
      </c>
      <c r="I1411" s="29"/>
      <c r="J1411" s="25">
        <v>1</v>
      </c>
      <c r="K1411" s="30">
        <v>668.18</v>
      </c>
      <c r="L1411" s="17"/>
      <c r="M1411" s="29">
        <f t="shared" si="60"/>
        <v>0</v>
      </c>
      <c r="N1411" s="34">
        <f>0.47*L1411</f>
        <v>0</v>
      </c>
      <c r="O1411" s="32">
        <f>0.00327*L1411</f>
        <v>0</v>
      </c>
      <c r="P1411" s="36"/>
      <c r="Q1411" s="29" t="s">
        <v>4592</v>
      </c>
      <c r="R1411" s="29"/>
      <c r="S1411" s="26" t="str">
        <f>HYPERLINK("https://miland.ru/api/getInfo/image/7c20f128-9917-11eb-a201-ac1f6b442185")</f>
        <v>https://miland.ru/api/getInfo/image/7c20f128-9917-11eb-a201-ac1f6b442185</v>
      </c>
    </row>
    <row r="1412" spans="1:19" s="1" customFormat="1" ht="12" customHeight="1" outlineLevel="7">
      <c r="A1412" s="64" t="s">
        <v>4593</v>
      </c>
      <c r="B1412" s="64"/>
      <c r="C1412" s="64"/>
      <c r="D1412" s="64"/>
      <c r="E1412" s="64"/>
      <c r="F1412" s="64"/>
      <c r="G1412" s="8"/>
      <c r="H1412" s="12"/>
      <c r="I1412" s="2"/>
      <c r="J1412" s="2"/>
      <c r="K1412" s="13"/>
      <c r="L1412" s="2"/>
      <c r="M1412" s="2"/>
      <c r="N1412" s="2"/>
      <c r="O1412" s="2"/>
      <c r="P1412" s="2"/>
      <c r="Q1412" s="2"/>
      <c r="R1412" s="2"/>
      <c r="S1412" s="2"/>
    </row>
    <row r="1413" spans="1:19" s="2" customFormat="1" ht="96.2" customHeight="1" outlineLevel="7">
      <c r="A1413" s="52">
        <v>1081</v>
      </c>
      <c r="B1413" s="26" t="s">
        <v>4594</v>
      </c>
      <c r="C1413" s="66" t="s">
        <v>4595</v>
      </c>
      <c r="D1413" s="66"/>
      <c r="E1413" s="66"/>
      <c r="F1413" s="66"/>
      <c r="G1413" s="27" t="s">
        <v>4596</v>
      </c>
      <c r="H1413" s="33">
        <v>102</v>
      </c>
      <c r="I1413" s="29"/>
      <c r="J1413" s="25">
        <v>1</v>
      </c>
      <c r="K1413" s="30">
        <v>854.22</v>
      </c>
      <c r="L1413" s="17"/>
      <c r="M1413" s="29">
        <f>K1413*L1413</f>
        <v>0</v>
      </c>
      <c r="N1413" s="31">
        <f>0.285*L1413</f>
        <v>0</v>
      </c>
      <c r="O1413" s="32">
        <f>0.00139*L1413</f>
        <v>0</v>
      </c>
      <c r="P1413" s="36"/>
      <c r="Q1413" s="29" t="s">
        <v>4597</v>
      </c>
      <c r="R1413" s="29" t="s">
        <v>611</v>
      </c>
      <c r="S1413" s="26" t="str">
        <f>HYPERLINK("https://miland.ru/api/getInfo/image/9a2298c1-dca3-11ef-a273-00155d82e908")</f>
        <v>https://miland.ru/api/getInfo/image/9a2298c1-dca3-11ef-a273-00155d82e908</v>
      </c>
    </row>
    <row r="1414" spans="1:19" s="1" customFormat="1" ht="12" customHeight="1" outlineLevel="7">
      <c r="A1414" s="64" t="s">
        <v>4598</v>
      </c>
      <c r="B1414" s="64"/>
      <c r="C1414" s="64"/>
      <c r="D1414" s="64"/>
      <c r="E1414" s="64"/>
      <c r="F1414" s="64"/>
      <c r="G1414" s="8"/>
      <c r="H1414" s="12"/>
      <c r="I1414" s="2"/>
      <c r="J1414" s="2"/>
      <c r="K1414" s="13"/>
      <c r="L1414" s="2"/>
      <c r="M1414" s="2"/>
      <c r="N1414" s="2"/>
      <c r="O1414" s="2"/>
      <c r="P1414" s="2"/>
      <c r="Q1414" s="2"/>
      <c r="R1414" s="2"/>
      <c r="S1414" s="2"/>
    </row>
    <row r="1415" spans="1:19" s="2" customFormat="1" ht="96.2" customHeight="1" outlineLevel="7">
      <c r="A1415" s="52">
        <v>1082</v>
      </c>
      <c r="B1415" s="26" t="s">
        <v>4599</v>
      </c>
      <c r="C1415" s="66" t="s">
        <v>4600</v>
      </c>
      <c r="D1415" s="66"/>
      <c r="E1415" s="66"/>
      <c r="F1415" s="66"/>
      <c r="G1415" s="27" t="s">
        <v>4601</v>
      </c>
      <c r="H1415" s="33">
        <v>3</v>
      </c>
      <c r="I1415" s="29"/>
      <c r="J1415" s="25">
        <v>3</v>
      </c>
      <c r="K1415" s="30">
        <v>108.36</v>
      </c>
      <c r="L1415" s="17"/>
      <c r="M1415" s="29">
        <f t="shared" ref="M1415:M1420" si="61">K1415*L1415</f>
        <v>0</v>
      </c>
      <c r="N1415" s="34">
        <f>0.03*L1415</f>
        <v>0</v>
      </c>
      <c r="O1415" s="32">
        <f>0.00033*L1415</f>
        <v>0</v>
      </c>
      <c r="P1415" s="36"/>
      <c r="Q1415" s="29" t="s">
        <v>4602</v>
      </c>
      <c r="R1415" s="29"/>
      <c r="S1415" s="26" t="str">
        <f>HYPERLINK("https://miland.ru/api/getInfo/image/03a98ad9-971f-11ed-a22d-00155d82e902")</f>
        <v>https://miland.ru/api/getInfo/image/03a98ad9-971f-11ed-a22d-00155d82e902</v>
      </c>
    </row>
    <row r="1416" spans="1:19" s="2" customFormat="1" ht="96.2" customHeight="1" outlineLevel="7">
      <c r="A1416" s="52">
        <v>1083</v>
      </c>
      <c r="B1416" s="26" t="s">
        <v>4603</v>
      </c>
      <c r="C1416" s="66" t="s">
        <v>4604</v>
      </c>
      <c r="D1416" s="66"/>
      <c r="E1416" s="66"/>
      <c r="F1416" s="66"/>
      <c r="G1416" s="27" t="s">
        <v>4605</v>
      </c>
      <c r="H1416" s="33">
        <v>100</v>
      </c>
      <c r="I1416" s="29"/>
      <c r="J1416" s="25">
        <v>5</v>
      </c>
      <c r="K1416" s="30">
        <v>108.36</v>
      </c>
      <c r="L1416" s="17"/>
      <c r="M1416" s="29">
        <f t="shared" si="61"/>
        <v>0</v>
      </c>
      <c r="N1416" s="31">
        <f>0.018*L1416</f>
        <v>0</v>
      </c>
      <c r="O1416" s="32">
        <f>0.00075*L1416</f>
        <v>0</v>
      </c>
      <c r="P1416" s="36"/>
      <c r="Q1416" s="29" t="s">
        <v>4606</v>
      </c>
      <c r="R1416" s="29"/>
      <c r="S1416" s="26" t="str">
        <f>HYPERLINK("https://miland.ru/api/getInfo/image/183fdc27-9721-11ed-a22d-00155d82e902")</f>
        <v>https://miland.ru/api/getInfo/image/183fdc27-9721-11ed-a22d-00155d82e902</v>
      </c>
    </row>
    <row r="1417" spans="1:19" s="2" customFormat="1" ht="96.2" customHeight="1" outlineLevel="7">
      <c r="A1417" s="52">
        <v>1084</v>
      </c>
      <c r="B1417" s="26" t="s">
        <v>4607</v>
      </c>
      <c r="C1417" s="66" t="s">
        <v>4608</v>
      </c>
      <c r="D1417" s="66"/>
      <c r="E1417" s="66"/>
      <c r="F1417" s="66"/>
      <c r="G1417" s="27" t="s">
        <v>4609</v>
      </c>
      <c r="H1417" s="28" t="s">
        <v>44</v>
      </c>
      <c r="I1417" s="29"/>
      <c r="J1417" s="25">
        <v>10</v>
      </c>
      <c r="K1417" s="30">
        <v>73.16</v>
      </c>
      <c r="L1417" s="17"/>
      <c r="M1417" s="29">
        <f t="shared" si="61"/>
        <v>0</v>
      </c>
      <c r="N1417" s="31">
        <f>0.018*L1417</f>
        <v>0</v>
      </c>
      <c r="O1417" s="32">
        <f>0.00062*L1417</f>
        <v>0</v>
      </c>
      <c r="P1417" s="36"/>
      <c r="Q1417" s="29" t="s">
        <v>4610</v>
      </c>
      <c r="R1417" s="29" t="s">
        <v>611</v>
      </c>
      <c r="S1417" s="26" t="str">
        <f>HYPERLINK("https://miland.ru/api/getInfo/image/88b0856e-9721-11ed-a22d-00155d82e902")</f>
        <v>https://miland.ru/api/getInfo/image/88b0856e-9721-11ed-a22d-00155d82e902</v>
      </c>
    </row>
    <row r="1418" spans="1:19" s="2" customFormat="1" ht="96.2" customHeight="1" outlineLevel="7">
      <c r="A1418" s="52">
        <v>1085</v>
      </c>
      <c r="B1418" s="26" t="s">
        <v>4611</v>
      </c>
      <c r="C1418" s="66" t="s">
        <v>4612</v>
      </c>
      <c r="D1418" s="66"/>
      <c r="E1418" s="66"/>
      <c r="F1418" s="66"/>
      <c r="G1418" s="27" t="s">
        <v>4613</v>
      </c>
      <c r="H1418" s="33">
        <v>192</v>
      </c>
      <c r="I1418" s="29"/>
      <c r="J1418" s="25">
        <v>5</v>
      </c>
      <c r="K1418" s="30">
        <v>108.36</v>
      </c>
      <c r="L1418" s="17"/>
      <c r="M1418" s="29">
        <f t="shared" si="61"/>
        <v>0</v>
      </c>
      <c r="N1418" s="31">
        <f>0.023*L1418</f>
        <v>0</v>
      </c>
      <c r="O1418" s="32">
        <f>0.00084*L1418</f>
        <v>0</v>
      </c>
      <c r="P1418" s="36"/>
      <c r="Q1418" s="29" t="s">
        <v>4614</v>
      </c>
      <c r="R1418" s="29" t="s">
        <v>611</v>
      </c>
      <c r="S1418" s="26" t="str">
        <f>HYPERLINK("https://miland.ru/api/getInfo/image/a7a93fec-9720-11ed-a22d-00155d82e902")</f>
        <v>https://miland.ru/api/getInfo/image/a7a93fec-9720-11ed-a22d-00155d82e902</v>
      </c>
    </row>
    <row r="1419" spans="1:19" s="2" customFormat="1" ht="96.2" customHeight="1" outlineLevel="7">
      <c r="A1419" s="52">
        <v>1086</v>
      </c>
      <c r="B1419" s="26" t="s">
        <v>4615</v>
      </c>
      <c r="C1419" s="66" t="s">
        <v>4616</v>
      </c>
      <c r="D1419" s="66"/>
      <c r="E1419" s="66"/>
      <c r="F1419" s="66"/>
      <c r="G1419" s="27" t="s">
        <v>4617</v>
      </c>
      <c r="H1419" s="28" t="s">
        <v>44</v>
      </c>
      <c r="I1419" s="29"/>
      <c r="J1419" s="25">
        <v>5</v>
      </c>
      <c r="K1419" s="30">
        <v>108.36</v>
      </c>
      <c r="L1419" s="17"/>
      <c r="M1419" s="29">
        <f t="shared" si="61"/>
        <v>0</v>
      </c>
      <c r="N1419" s="34">
        <f>0.02*L1419</f>
        <v>0</v>
      </c>
      <c r="O1419" s="32">
        <f>0.00067*L1419</f>
        <v>0</v>
      </c>
      <c r="P1419" s="36"/>
      <c r="Q1419" s="29" t="s">
        <v>4618</v>
      </c>
      <c r="R1419" s="29" t="s">
        <v>611</v>
      </c>
      <c r="S1419" s="26" t="str">
        <f>HYPERLINK("https://miland.ru/api/getInfo/image/debfcc55-9720-11ed-a22d-00155d82e902")</f>
        <v>https://miland.ru/api/getInfo/image/debfcc55-9720-11ed-a22d-00155d82e902</v>
      </c>
    </row>
    <row r="1420" spans="1:19" s="2" customFormat="1" ht="96.2" customHeight="1" outlineLevel="7">
      <c r="A1420" s="52">
        <v>1087</v>
      </c>
      <c r="B1420" s="26" t="s">
        <v>4619</v>
      </c>
      <c r="C1420" s="66" t="s">
        <v>4620</v>
      </c>
      <c r="D1420" s="66"/>
      <c r="E1420" s="66"/>
      <c r="F1420" s="66"/>
      <c r="G1420" s="27" t="s">
        <v>4621</v>
      </c>
      <c r="H1420" s="33">
        <v>30</v>
      </c>
      <c r="I1420" s="29"/>
      <c r="J1420" s="25">
        <v>3</v>
      </c>
      <c r="K1420" s="30">
        <v>228.5</v>
      </c>
      <c r="L1420" s="17"/>
      <c r="M1420" s="29">
        <f t="shared" si="61"/>
        <v>0</v>
      </c>
      <c r="N1420" s="31">
        <f>0.047*L1420</f>
        <v>0</v>
      </c>
      <c r="O1420" s="32">
        <f>0.00154*L1420</f>
        <v>0</v>
      </c>
      <c r="P1420" s="36"/>
      <c r="Q1420" s="29" t="s">
        <v>4622</v>
      </c>
      <c r="R1420" s="29" t="s">
        <v>611</v>
      </c>
      <c r="S1420" s="26" t="str">
        <f>HYPERLINK("https://miland.ru/api/getInfo/image/041104b3-9726-11ed-a22d-00155d82e902")</f>
        <v>https://miland.ru/api/getInfo/image/041104b3-9726-11ed-a22d-00155d82e902</v>
      </c>
    </row>
    <row r="1421" spans="1:19" s="1" customFormat="1" ht="12" customHeight="1" outlineLevel="6">
      <c r="A1421" s="64" t="s">
        <v>4623</v>
      </c>
      <c r="B1421" s="64"/>
      <c r="C1421" s="64"/>
      <c r="D1421" s="64"/>
      <c r="E1421" s="64"/>
      <c r="F1421" s="64"/>
      <c r="G1421" s="8"/>
      <c r="H1421" s="12"/>
      <c r="I1421" s="2"/>
      <c r="J1421" s="2"/>
      <c r="K1421" s="13"/>
      <c r="L1421" s="2"/>
      <c r="M1421" s="2"/>
      <c r="N1421" s="2"/>
      <c r="O1421" s="2"/>
      <c r="P1421" s="2"/>
      <c r="Q1421" s="2"/>
      <c r="R1421" s="2"/>
      <c r="S1421" s="2"/>
    </row>
    <row r="1422" spans="1:19" s="1" customFormat="1" ht="12" customHeight="1" outlineLevel="7">
      <c r="A1422" s="64" t="s">
        <v>4624</v>
      </c>
      <c r="B1422" s="64"/>
      <c r="C1422" s="64"/>
      <c r="D1422" s="64"/>
      <c r="E1422" s="64"/>
      <c r="F1422" s="64"/>
      <c r="G1422" s="8"/>
      <c r="H1422" s="12"/>
      <c r="I1422" s="2"/>
      <c r="J1422" s="2"/>
      <c r="K1422" s="13"/>
      <c r="L1422" s="2"/>
      <c r="M1422" s="2"/>
      <c r="N1422" s="2"/>
      <c r="O1422" s="2"/>
      <c r="P1422" s="2"/>
      <c r="Q1422" s="2"/>
      <c r="R1422" s="2"/>
      <c r="S1422" s="2"/>
    </row>
    <row r="1423" spans="1:19" s="2" customFormat="1" ht="96.2" customHeight="1" outlineLevel="7">
      <c r="A1423" s="52">
        <v>1088</v>
      </c>
      <c r="B1423" s="26" t="s">
        <v>4625</v>
      </c>
      <c r="C1423" s="66" t="s">
        <v>4626</v>
      </c>
      <c r="D1423" s="66"/>
      <c r="E1423" s="66"/>
      <c r="F1423" s="66"/>
      <c r="G1423" s="27" t="s">
        <v>4627</v>
      </c>
      <c r="H1423" s="33">
        <v>199</v>
      </c>
      <c r="I1423" s="29"/>
      <c r="J1423" s="25">
        <v>3</v>
      </c>
      <c r="K1423" s="30">
        <v>192.7</v>
      </c>
      <c r="L1423" s="17"/>
      <c r="M1423" s="29">
        <f t="shared" ref="M1423:M1428" si="62">K1423*L1423</f>
        <v>0</v>
      </c>
      <c r="N1423" s="31">
        <f>0.087*L1423</f>
        <v>0</v>
      </c>
      <c r="O1423" s="35">
        <f>0.0021*L1423</f>
        <v>0</v>
      </c>
      <c r="P1423" s="36"/>
      <c r="Q1423" s="29" t="s">
        <v>4628</v>
      </c>
      <c r="R1423" s="29"/>
      <c r="S1423" s="26" t="str">
        <f>HYPERLINK("https://miland.ru/api/getInfo/image/9e3342d6-5ac3-11e9-a222-ac1f6b442184")</f>
        <v>https://miland.ru/api/getInfo/image/9e3342d6-5ac3-11e9-a222-ac1f6b442184</v>
      </c>
    </row>
    <row r="1424" spans="1:19" s="2" customFormat="1" ht="96.2" customHeight="1" outlineLevel="7">
      <c r="A1424" s="52">
        <v>1089</v>
      </c>
      <c r="B1424" s="26" t="s">
        <v>4629</v>
      </c>
      <c r="C1424" s="66" t="s">
        <v>4630</v>
      </c>
      <c r="D1424" s="66"/>
      <c r="E1424" s="66"/>
      <c r="F1424" s="66"/>
      <c r="G1424" s="27" t="s">
        <v>4631</v>
      </c>
      <c r="H1424" s="33">
        <v>326</v>
      </c>
      <c r="I1424" s="29"/>
      <c r="J1424" s="25">
        <v>3</v>
      </c>
      <c r="K1424" s="30">
        <v>192.7</v>
      </c>
      <c r="L1424" s="17"/>
      <c r="M1424" s="29">
        <f t="shared" si="62"/>
        <v>0</v>
      </c>
      <c r="N1424" s="31">
        <f>0.088*L1424</f>
        <v>0</v>
      </c>
      <c r="O1424" s="32">
        <f>0.00223*L1424</f>
        <v>0</v>
      </c>
      <c r="P1424" s="36"/>
      <c r="Q1424" s="29" t="s">
        <v>4632</v>
      </c>
      <c r="R1424" s="29"/>
      <c r="S1424" s="26" t="str">
        <f>HYPERLINK("https://miland.ru/api/getInfo/image/e22c9313-5ac3-11e9-a222-ac1f6b442184")</f>
        <v>https://miland.ru/api/getInfo/image/e22c9313-5ac3-11e9-a222-ac1f6b442184</v>
      </c>
    </row>
    <row r="1425" spans="1:19" s="2" customFormat="1" ht="96.2" customHeight="1" outlineLevel="7">
      <c r="A1425" s="52">
        <v>1090</v>
      </c>
      <c r="B1425" s="26" t="s">
        <v>4633</v>
      </c>
      <c r="C1425" s="66" t="s">
        <v>4634</v>
      </c>
      <c r="D1425" s="66"/>
      <c r="E1425" s="66"/>
      <c r="F1425" s="66"/>
      <c r="G1425" s="27" t="s">
        <v>4635</v>
      </c>
      <c r="H1425" s="33">
        <v>486</v>
      </c>
      <c r="I1425" s="29"/>
      <c r="J1425" s="25">
        <v>3</v>
      </c>
      <c r="K1425" s="30">
        <v>192.7</v>
      </c>
      <c r="L1425" s="17"/>
      <c r="M1425" s="29">
        <f t="shared" si="62"/>
        <v>0</v>
      </c>
      <c r="N1425" s="31">
        <f>0.087*L1425</f>
        <v>0</v>
      </c>
      <c r="O1425" s="32">
        <f>0.00202*L1425</f>
        <v>0</v>
      </c>
      <c r="P1425" s="36"/>
      <c r="Q1425" s="29" t="s">
        <v>4636</v>
      </c>
      <c r="R1425" s="29"/>
      <c r="S1425" s="26" t="str">
        <f>HYPERLINK("https://miland.ru/api/getInfo/image/38dc232a-5ac4-11e9-a222-ac1f6b442184")</f>
        <v>https://miland.ru/api/getInfo/image/38dc232a-5ac4-11e9-a222-ac1f6b442184</v>
      </c>
    </row>
    <row r="1426" spans="1:19" s="2" customFormat="1" ht="96.2" customHeight="1" outlineLevel="7">
      <c r="A1426" s="52">
        <v>1091</v>
      </c>
      <c r="B1426" s="26" t="s">
        <v>4637</v>
      </c>
      <c r="C1426" s="66" t="s">
        <v>4638</v>
      </c>
      <c r="D1426" s="66"/>
      <c r="E1426" s="66"/>
      <c r="F1426" s="66"/>
      <c r="G1426" s="27" t="s">
        <v>4639</v>
      </c>
      <c r="H1426" s="28" t="s">
        <v>44</v>
      </c>
      <c r="I1426" s="29"/>
      <c r="J1426" s="25">
        <v>3</v>
      </c>
      <c r="K1426" s="30">
        <v>192.7</v>
      </c>
      <c r="L1426" s="17"/>
      <c r="M1426" s="29">
        <f t="shared" si="62"/>
        <v>0</v>
      </c>
      <c r="N1426" s="31">
        <f>0.082*L1426</f>
        <v>0</v>
      </c>
      <c r="O1426" s="32">
        <f>0.00137*L1426</f>
        <v>0</v>
      </c>
      <c r="P1426" s="36"/>
      <c r="Q1426" s="29" t="s">
        <v>4640</v>
      </c>
      <c r="R1426" s="29"/>
      <c r="S1426" s="26" t="str">
        <f>HYPERLINK("https://miland.ru/api/getInfo/image/34815e99-8b2c-11ec-a211-ac1f6b442185")</f>
        <v>https://miland.ru/api/getInfo/image/34815e99-8b2c-11ec-a211-ac1f6b442185</v>
      </c>
    </row>
    <row r="1427" spans="1:19" s="2" customFormat="1" ht="96.2" customHeight="1" outlineLevel="7">
      <c r="A1427" s="52">
        <v>1092</v>
      </c>
      <c r="B1427" s="26" t="s">
        <v>4641</v>
      </c>
      <c r="C1427" s="66" t="s">
        <v>4642</v>
      </c>
      <c r="D1427" s="66"/>
      <c r="E1427" s="66"/>
      <c r="F1427" s="66"/>
      <c r="G1427" s="27" t="s">
        <v>4643</v>
      </c>
      <c r="H1427" s="33">
        <v>258</v>
      </c>
      <c r="I1427" s="29"/>
      <c r="J1427" s="25">
        <v>3</v>
      </c>
      <c r="K1427" s="30">
        <v>192.7</v>
      </c>
      <c r="L1427" s="17"/>
      <c r="M1427" s="29">
        <f t="shared" si="62"/>
        <v>0</v>
      </c>
      <c r="N1427" s="31">
        <f>0.083*L1427</f>
        <v>0</v>
      </c>
      <c r="O1427" s="32">
        <f>0.00223*L1427</f>
        <v>0</v>
      </c>
      <c r="P1427" s="36"/>
      <c r="Q1427" s="29" t="s">
        <v>4644</v>
      </c>
      <c r="R1427" s="29"/>
      <c r="S1427" s="26" t="str">
        <f>HYPERLINK("https://miland.ru/api/getInfo/image/ed5acfe3-5ac2-11e9-a222-ac1f6b442184")</f>
        <v>https://miland.ru/api/getInfo/image/ed5acfe3-5ac2-11e9-a222-ac1f6b442184</v>
      </c>
    </row>
    <row r="1428" spans="1:19" s="2" customFormat="1" ht="96.2" customHeight="1" outlineLevel="7">
      <c r="A1428" s="52">
        <v>1093</v>
      </c>
      <c r="B1428" s="26" t="s">
        <v>4645</v>
      </c>
      <c r="C1428" s="66" t="s">
        <v>4646</v>
      </c>
      <c r="D1428" s="66"/>
      <c r="E1428" s="66"/>
      <c r="F1428" s="66"/>
      <c r="G1428" s="27" t="s">
        <v>4647</v>
      </c>
      <c r="H1428" s="33">
        <v>50</v>
      </c>
      <c r="I1428" s="29"/>
      <c r="J1428" s="25">
        <v>3</v>
      </c>
      <c r="K1428" s="30">
        <v>192.7</v>
      </c>
      <c r="L1428" s="17"/>
      <c r="M1428" s="29">
        <f t="shared" si="62"/>
        <v>0</v>
      </c>
      <c r="N1428" s="31">
        <f>0.094*L1428</f>
        <v>0</v>
      </c>
      <c r="O1428" s="32">
        <f>0.00221*L1428</f>
        <v>0</v>
      </c>
      <c r="P1428" s="36"/>
      <c r="Q1428" s="29" t="s">
        <v>4648</v>
      </c>
      <c r="R1428" s="29"/>
      <c r="S1428" s="26" t="str">
        <f>HYPERLINK("https://miland.ru/api/getInfo/image/fbb26118-8b2c-11ec-a211-ac1f6b442185")</f>
        <v>https://miland.ru/api/getInfo/image/fbb26118-8b2c-11ec-a211-ac1f6b442185</v>
      </c>
    </row>
    <row r="1429" spans="1:19" s="1" customFormat="1" ht="12" customHeight="1" outlineLevel="7">
      <c r="A1429" s="64" t="s">
        <v>4649</v>
      </c>
      <c r="B1429" s="64"/>
      <c r="C1429" s="64"/>
      <c r="D1429" s="64"/>
      <c r="E1429" s="64"/>
      <c r="F1429" s="64"/>
      <c r="G1429" s="8"/>
      <c r="H1429" s="12"/>
      <c r="I1429" s="2"/>
      <c r="J1429" s="2"/>
      <c r="K1429" s="13"/>
      <c r="L1429" s="2"/>
      <c r="M1429" s="2"/>
      <c r="N1429" s="2"/>
      <c r="O1429" s="2"/>
      <c r="P1429" s="2"/>
      <c r="Q1429" s="2"/>
      <c r="R1429" s="2"/>
      <c r="S1429" s="2"/>
    </row>
    <row r="1430" spans="1:19" s="2" customFormat="1" ht="96.2" customHeight="1" outlineLevel="7">
      <c r="A1430" s="53">
        <v>1094</v>
      </c>
      <c r="B1430" s="10" t="s">
        <v>4650</v>
      </c>
      <c r="C1430" s="65" t="s">
        <v>4651</v>
      </c>
      <c r="D1430" s="65"/>
      <c r="E1430" s="65"/>
      <c r="F1430" s="65"/>
      <c r="G1430" s="11" t="s">
        <v>4652</v>
      </c>
      <c r="H1430" s="21" t="s">
        <v>44</v>
      </c>
      <c r="I1430" s="15"/>
      <c r="J1430" s="9">
        <v>1</v>
      </c>
      <c r="K1430" s="16">
        <v>551.30999999999995</v>
      </c>
      <c r="L1430" s="17"/>
      <c r="M1430" s="15">
        <f>K1430*L1430</f>
        <v>0</v>
      </c>
      <c r="N1430" s="18">
        <f>0.292*L1430</f>
        <v>0</v>
      </c>
      <c r="O1430" s="19">
        <f>0.00813*L1430</f>
        <v>0</v>
      </c>
      <c r="P1430" s="24" t="s">
        <v>26</v>
      </c>
      <c r="Q1430" s="15" t="s">
        <v>4653</v>
      </c>
      <c r="R1430" s="15"/>
      <c r="S1430" s="10" t="str">
        <f>HYPERLINK("https://miland.ru/api/getInfo/image/8b63253d-3185-11f1-a292-00155d82e908")</f>
        <v>https://miland.ru/api/getInfo/image/8b63253d-3185-11f1-a292-00155d82e908</v>
      </c>
    </row>
    <row r="1431" spans="1:19" s="2" customFormat="1" ht="96.2" customHeight="1" outlineLevel="7">
      <c r="A1431" s="53">
        <v>1095</v>
      </c>
      <c r="B1431" s="10" t="s">
        <v>4654</v>
      </c>
      <c r="C1431" s="65" t="s">
        <v>4655</v>
      </c>
      <c r="D1431" s="65"/>
      <c r="E1431" s="65"/>
      <c r="F1431" s="65"/>
      <c r="G1431" s="11" t="s">
        <v>4656</v>
      </c>
      <c r="H1431" s="14">
        <v>42</v>
      </c>
      <c r="I1431" s="15"/>
      <c r="J1431" s="9">
        <v>1</v>
      </c>
      <c r="K1431" s="16">
        <v>551.30999999999995</v>
      </c>
      <c r="L1431" s="17"/>
      <c r="M1431" s="15">
        <f>K1431*L1431</f>
        <v>0</v>
      </c>
      <c r="N1431" s="18">
        <f>0.329*L1431</f>
        <v>0</v>
      </c>
      <c r="O1431" s="19">
        <f>0.00764*L1431</f>
        <v>0</v>
      </c>
      <c r="P1431" s="24" t="s">
        <v>26</v>
      </c>
      <c r="Q1431" s="15" t="s">
        <v>4657</v>
      </c>
      <c r="R1431" s="15"/>
      <c r="S1431" s="10" t="str">
        <f>HYPERLINK("https://miland.ru/api/getInfo/image/72a12202-3184-11f1-a292-00155d82e908")</f>
        <v>https://miland.ru/api/getInfo/image/72a12202-3184-11f1-a292-00155d82e908</v>
      </c>
    </row>
    <row r="1432" spans="1:19" s="2" customFormat="1" ht="96.2" customHeight="1" outlineLevel="7">
      <c r="A1432" s="53">
        <v>1096</v>
      </c>
      <c r="B1432" s="10" t="s">
        <v>4658</v>
      </c>
      <c r="C1432" s="65" t="s">
        <v>4659</v>
      </c>
      <c r="D1432" s="65"/>
      <c r="E1432" s="65"/>
      <c r="F1432" s="65"/>
      <c r="G1432" s="11" t="s">
        <v>4660</v>
      </c>
      <c r="H1432" s="14">
        <v>13</v>
      </c>
      <c r="I1432" s="15"/>
      <c r="J1432" s="9">
        <v>1</v>
      </c>
      <c r="K1432" s="16">
        <v>551.30999999999995</v>
      </c>
      <c r="L1432" s="17"/>
      <c r="M1432" s="15">
        <f>K1432*L1432</f>
        <v>0</v>
      </c>
      <c r="N1432" s="18">
        <f>0.298*L1432</f>
        <v>0</v>
      </c>
      <c r="O1432" s="19">
        <f>0.00798*L1432</f>
        <v>0</v>
      </c>
      <c r="P1432" s="24" t="s">
        <v>26</v>
      </c>
      <c r="Q1432" s="15" t="s">
        <v>4661</v>
      </c>
      <c r="R1432" s="15"/>
      <c r="S1432" s="10" t="str">
        <f>HYPERLINK("https://miland.ru/api/getInfo/image/d5752122-3184-11f1-a292-00155d82e908")</f>
        <v>https://miland.ru/api/getInfo/image/d5752122-3184-11f1-a292-00155d82e908</v>
      </c>
    </row>
    <row r="1433" spans="1:19" s="2" customFormat="1" ht="96.2" customHeight="1" outlineLevel="7">
      <c r="A1433" s="53">
        <v>1097</v>
      </c>
      <c r="B1433" s="10" t="s">
        <v>4662</v>
      </c>
      <c r="C1433" s="65" t="s">
        <v>4663</v>
      </c>
      <c r="D1433" s="65"/>
      <c r="E1433" s="65"/>
      <c r="F1433" s="65"/>
      <c r="G1433" s="11" t="s">
        <v>4664</v>
      </c>
      <c r="H1433" s="14">
        <v>42</v>
      </c>
      <c r="I1433" s="15"/>
      <c r="J1433" s="9">
        <v>1</v>
      </c>
      <c r="K1433" s="16">
        <v>551.30999999999995</v>
      </c>
      <c r="L1433" s="17"/>
      <c r="M1433" s="15">
        <f>K1433*L1433</f>
        <v>0</v>
      </c>
      <c r="N1433" s="18">
        <f>0.329*L1433</f>
        <v>0</v>
      </c>
      <c r="O1433" s="19">
        <f>0.00764*L1433</f>
        <v>0</v>
      </c>
      <c r="P1433" s="24" t="s">
        <v>26</v>
      </c>
      <c r="Q1433" s="15" t="s">
        <v>4665</v>
      </c>
      <c r="R1433" s="15"/>
      <c r="S1433" s="10" t="str">
        <f>HYPERLINK("https://miland.ru/api/getInfo/image/bc69f4b5-3184-11f1-a292-00155d82e908")</f>
        <v>https://miland.ru/api/getInfo/image/bc69f4b5-3184-11f1-a292-00155d82e908</v>
      </c>
    </row>
    <row r="1434" spans="1:19" s="2" customFormat="1" ht="96.2" customHeight="1" outlineLevel="7">
      <c r="A1434" s="53">
        <v>1098</v>
      </c>
      <c r="B1434" s="10" t="s">
        <v>4666</v>
      </c>
      <c r="C1434" s="65" t="s">
        <v>4667</v>
      </c>
      <c r="D1434" s="65"/>
      <c r="E1434" s="65"/>
      <c r="F1434" s="65"/>
      <c r="G1434" s="11" t="s">
        <v>4668</v>
      </c>
      <c r="H1434" s="14">
        <v>133</v>
      </c>
      <c r="I1434" s="15"/>
      <c r="J1434" s="9">
        <v>1</v>
      </c>
      <c r="K1434" s="22">
        <v>1024.99</v>
      </c>
      <c r="L1434" s="17"/>
      <c r="M1434" s="15">
        <f>K1434*L1434</f>
        <v>0</v>
      </c>
      <c r="N1434" s="23">
        <f>0.22*L1434</f>
        <v>0</v>
      </c>
      <c r="O1434" s="19">
        <f>0.00623*L1434</f>
        <v>0</v>
      </c>
      <c r="P1434" s="24" t="s">
        <v>26</v>
      </c>
      <c r="Q1434" s="15" t="s">
        <v>4669</v>
      </c>
      <c r="R1434" s="15"/>
      <c r="S1434" s="10" t="str">
        <f>HYPERLINK("https://miland.ru/api/getInfo/image/4ac5331a-2ce8-11f1-a292-00155d82e908")</f>
        <v>https://miland.ru/api/getInfo/image/4ac5331a-2ce8-11f1-a292-00155d82e908</v>
      </c>
    </row>
    <row r="1435" spans="1:19" s="1" customFormat="1" ht="12" customHeight="1" outlineLevel="7">
      <c r="A1435" s="64" t="s">
        <v>1720</v>
      </c>
      <c r="B1435" s="64"/>
      <c r="C1435" s="64"/>
      <c r="D1435" s="64"/>
      <c r="E1435" s="64"/>
      <c r="F1435" s="64"/>
      <c r="G1435" s="8"/>
      <c r="H1435" s="12"/>
      <c r="I1435" s="2"/>
      <c r="J1435" s="2"/>
      <c r="K1435" s="13"/>
      <c r="L1435" s="2"/>
      <c r="M1435" s="2"/>
      <c r="N1435" s="2"/>
      <c r="O1435" s="2"/>
      <c r="P1435" s="2"/>
      <c r="Q1435" s="2"/>
      <c r="R1435" s="2"/>
      <c r="S1435" s="2"/>
    </row>
    <row r="1436" spans="1:19" s="2" customFormat="1" ht="96.2" customHeight="1" outlineLevel="7">
      <c r="A1436" s="53">
        <v>1099</v>
      </c>
      <c r="B1436" s="10" t="s">
        <v>4670</v>
      </c>
      <c r="C1436" s="65" t="s">
        <v>4671</v>
      </c>
      <c r="D1436" s="65"/>
      <c r="E1436" s="65"/>
      <c r="F1436" s="65"/>
      <c r="G1436" s="11" t="s">
        <v>4672</v>
      </c>
      <c r="H1436" s="14">
        <v>252</v>
      </c>
      <c r="I1436" s="15"/>
      <c r="J1436" s="9">
        <v>5</v>
      </c>
      <c r="K1436" s="16">
        <v>113.5</v>
      </c>
      <c r="L1436" s="17"/>
      <c r="M1436" s="15">
        <f t="shared" ref="M1436:M1448" si="63">K1436*L1436</f>
        <v>0</v>
      </c>
      <c r="N1436" s="18">
        <f>0.024*L1436</f>
        <v>0</v>
      </c>
      <c r="O1436" s="19">
        <f>0.00076*L1436</f>
        <v>0</v>
      </c>
      <c r="P1436" s="24" t="s">
        <v>26</v>
      </c>
      <c r="Q1436" s="15" t="s">
        <v>4673</v>
      </c>
      <c r="R1436" s="15"/>
      <c r="S1436" s="10" t="str">
        <f>HYPERLINK("https://miland.ru/api/getInfo/image/27651206-2f54-11f1-a292-00155d82e908")</f>
        <v>https://miland.ru/api/getInfo/image/27651206-2f54-11f1-a292-00155d82e908</v>
      </c>
    </row>
    <row r="1437" spans="1:19" s="2" customFormat="1" ht="96.2" customHeight="1" outlineLevel="7">
      <c r="A1437" s="53">
        <v>1100</v>
      </c>
      <c r="B1437" s="10" t="s">
        <v>4674</v>
      </c>
      <c r="C1437" s="65" t="s">
        <v>4675</v>
      </c>
      <c r="D1437" s="65"/>
      <c r="E1437" s="65"/>
      <c r="F1437" s="65"/>
      <c r="G1437" s="11" t="s">
        <v>4676</v>
      </c>
      <c r="H1437" s="14">
        <v>332</v>
      </c>
      <c r="I1437" s="15"/>
      <c r="J1437" s="9">
        <v>5</v>
      </c>
      <c r="K1437" s="16">
        <v>113.5</v>
      </c>
      <c r="L1437" s="17"/>
      <c r="M1437" s="15">
        <f t="shared" si="63"/>
        <v>0</v>
      </c>
      <c r="N1437" s="18">
        <f>0.023*L1437</f>
        <v>0</v>
      </c>
      <c r="O1437" s="19">
        <f>0.00074*L1437</f>
        <v>0</v>
      </c>
      <c r="P1437" s="24" t="s">
        <v>26</v>
      </c>
      <c r="Q1437" s="15" t="s">
        <v>4677</v>
      </c>
      <c r="R1437" s="15"/>
      <c r="S1437" s="10" t="str">
        <f>HYPERLINK("https://miland.ru/api/getInfo/image/1445b596-2f54-11f1-a292-00155d82e908")</f>
        <v>https://miland.ru/api/getInfo/image/1445b596-2f54-11f1-a292-00155d82e908</v>
      </c>
    </row>
    <row r="1438" spans="1:19" s="2" customFormat="1" ht="96.2" customHeight="1" outlineLevel="7">
      <c r="A1438" s="53">
        <v>1101</v>
      </c>
      <c r="B1438" s="10" t="s">
        <v>4678</v>
      </c>
      <c r="C1438" s="65" t="s">
        <v>4679</v>
      </c>
      <c r="D1438" s="65"/>
      <c r="E1438" s="65"/>
      <c r="F1438" s="65"/>
      <c r="G1438" s="11" t="s">
        <v>4680</v>
      </c>
      <c r="H1438" s="21" t="s">
        <v>44</v>
      </c>
      <c r="I1438" s="15"/>
      <c r="J1438" s="9">
        <v>5</v>
      </c>
      <c r="K1438" s="16">
        <v>113.5</v>
      </c>
      <c r="L1438" s="17"/>
      <c r="M1438" s="15">
        <f t="shared" si="63"/>
        <v>0</v>
      </c>
      <c r="N1438" s="18">
        <f>0.023*L1438</f>
        <v>0</v>
      </c>
      <c r="O1438" s="19">
        <f>0.00078*L1438</f>
        <v>0</v>
      </c>
      <c r="P1438" s="24" t="s">
        <v>26</v>
      </c>
      <c r="Q1438" s="15" t="s">
        <v>4681</v>
      </c>
      <c r="R1438" s="15"/>
      <c r="S1438" s="10" t="str">
        <f>HYPERLINK("https://miland.ru/api/getInfo/image/03d303d5-2f54-11f1-a292-00155d82e908")</f>
        <v>https://miland.ru/api/getInfo/image/03d303d5-2f54-11f1-a292-00155d82e908</v>
      </c>
    </row>
    <row r="1439" spans="1:19" s="2" customFormat="1" ht="96.2" customHeight="1" outlineLevel="7">
      <c r="A1439" s="53">
        <v>1102</v>
      </c>
      <c r="B1439" s="10" t="s">
        <v>4682</v>
      </c>
      <c r="C1439" s="65" t="s">
        <v>4683</v>
      </c>
      <c r="D1439" s="65"/>
      <c r="E1439" s="65"/>
      <c r="F1439" s="65"/>
      <c r="G1439" s="11" t="s">
        <v>4684</v>
      </c>
      <c r="H1439" s="14">
        <v>228</v>
      </c>
      <c r="I1439" s="15"/>
      <c r="J1439" s="9">
        <v>1</v>
      </c>
      <c r="K1439" s="16">
        <v>444.38</v>
      </c>
      <c r="L1439" s="17"/>
      <c r="M1439" s="15">
        <f t="shared" si="63"/>
        <v>0</v>
      </c>
      <c r="N1439" s="18">
        <f>0.086*L1439</f>
        <v>0</v>
      </c>
      <c r="O1439" s="19">
        <f>0.00285*L1439</f>
        <v>0</v>
      </c>
      <c r="P1439" s="24" t="s">
        <v>26</v>
      </c>
      <c r="Q1439" s="15" t="s">
        <v>4685</v>
      </c>
      <c r="R1439" s="15"/>
      <c r="S1439" s="10" t="str">
        <f>HYPERLINK("https://miland.ru/api/getInfo/image/80ccbf74-e0c4-11f0-a28c-00155d82e908")</f>
        <v>https://miland.ru/api/getInfo/image/80ccbf74-e0c4-11f0-a28c-00155d82e908</v>
      </c>
    </row>
    <row r="1440" spans="1:19" s="2" customFormat="1" ht="96.2" customHeight="1" outlineLevel="7">
      <c r="A1440" s="53">
        <v>1103</v>
      </c>
      <c r="B1440" s="10" t="s">
        <v>4686</v>
      </c>
      <c r="C1440" s="65" t="s">
        <v>4687</v>
      </c>
      <c r="D1440" s="65"/>
      <c r="E1440" s="65"/>
      <c r="F1440" s="65"/>
      <c r="G1440" s="11" t="s">
        <v>4688</v>
      </c>
      <c r="H1440" s="14">
        <v>11</v>
      </c>
      <c r="I1440" s="15"/>
      <c r="J1440" s="9">
        <v>1</v>
      </c>
      <c r="K1440" s="16">
        <v>444.38</v>
      </c>
      <c r="L1440" s="17"/>
      <c r="M1440" s="15">
        <f t="shared" si="63"/>
        <v>0</v>
      </c>
      <c r="N1440" s="18">
        <f>0.097*L1440</f>
        <v>0</v>
      </c>
      <c r="O1440" s="19">
        <f>0.00314*L1440</f>
        <v>0</v>
      </c>
      <c r="P1440" s="24" t="s">
        <v>26</v>
      </c>
      <c r="Q1440" s="15" t="s">
        <v>4689</v>
      </c>
      <c r="R1440" s="15"/>
      <c r="S1440" s="10" t="str">
        <f>HYPERLINK("https://miland.ru/api/getInfo/image/d65e6f54-e0c3-11f0-a28c-00155d82e908")</f>
        <v>https://miland.ru/api/getInfo/image/d65e6f54-e0c3-11f0-a28c-00155d82e908</v>
      </c>
    </row>
    <row r="1441" spans="1:19" s="2" customFormat="1" ht="96.2" customHeight="1" outlineLevel="7">
      <c r="A1441" s="53">
        <v>1104</v>
      </c>
      <c r="B1441" s="10" t="s">
        <v>4690</v>
      </c>
      <c r="C1441" s="65" t="s">
        <v>4691</v>
      </c>
      <c r="D1441" s="65"/>
      <c r="E1441" s="65"/>
      <c r="F1441" s="65"/>
      <c r="G1441" s="11" t="s">
        <v>4692</v>
      </c>
      <c r="H1441" s="14">
        <v>194</v>
      </c>
      <c r="I1441" s="15"/>
      <c r="J1441" s="9">
        <v>1</v>
      </c>
      <c r="K1441" s="16">
        <v>444.38</v>
      </c>
      <c r="L1441" s="17"/>
      <c r="M1441" s="15">
        <f t="shared" si="63"/>
        <v>0</v>
      </c>
      <c r="N1441" s="18">
        <f>0.079*L1441</f>
        <v>0</v>
      </c>
      <c r="O1441" s="19">
        <f>0.00249*L1441</f>
        <v>0</v>
      </c>
      <c r="P1441" s="24" t="s">
        <v>26</v>
      </c>
      <c r="Q1441" s="15" t="s">
        <v>4693</v>
      </c>
      <c r="R1441" s="15"/>
      <c r="S1441" s="10" t="str">
        <f>HYPERLINK("https://miland.ru/api/getInfo/image/0267d164-e0c4-11f0-a28c-00155d82e908")</f>
        <v>https://miland.ru/api/getInfo/image/0267d164-e0c4-11f0-a28c-00155d82e908</v>
      </c>
    </row>
    <row r="1442" spans="1:19" s="2" customFormat="1" ht="96.2" customHeight="1" outlineLevel="7">
      <c r="A1442" s="53">
        <v>1105</v>
      </c>
      <c r="B1442" s="10" t="s">
        <v>4694</v>
      </c>
      <c r="C1442" s="65" t="s">
        <v>4695</v>
      </c>
      <c r="D1442" s="65"/>
      <c r="E1442" s="65"/>
      <c r="F1442" s="65"/>
      <c r="G1442" s="11" t="s">
        <v>4696</v>
      </c>
      <c r="H1442" s="14">
        <v>304</v>
      </c>
      <c r="I1442" s="15"/>
      <c r="J1442" s="9">
        <v>1</v>
      </c>
      <c r="K1442" s="16">
        <v>444.38</v>
      </c>
      <c r="L1442" s="17"/>
      <c r="M1442" s="15">
        <f t="shared" si="63"/>
        <v>0</v>
      </c>
      <c r="N1442" s="18">
        <f>0.084*L1442</f>
        <v>0</v>
      </c>
      <c r="O1442" s="19">
        <f>0.00226*L1442</f>
        <v>0</v>
      </c>
      <c r="P1442" s="24" t="s">
        <v>26</v>
      </c>
      <c r="Q1442" s="15" t="s">
        <v>4697</v>
      </c>
      <c r="R1442" s="15"/>
      <c r="S1442" s="10" t="str">
        <f>HYPERLINK("https://miland.ru/api/getInfo/image/ba201e1a-e0c3-11f0-a28c-00155d82e908")</f>
        <v>https://miland.ru/api/getInfo/image/ba201e1a-e0c3-11f0-a28c-00155d82e908</v>
      </c>
    </row>
    <row r="1443" spans="1:19" s="2" customFormat="1" ht="96.2" customHeight="1" outlineLevel="7">
      <c r="A1443" s="53">
        <v>1106</v>
      </c>
      <c r="B1443" s="10" t="s">
        <v>4698</v>
      </c>
      <c r="C1443" s="65" t="s">
        <v>4699</v>
      </c>
      <c r="D1443" s="65"/>
      <c r="E1443" s="65"/>
      <c r="F1443" s="65"/>
      <c r="G1443" s="11" t="s">
        <v>4700</v>
      </c>
      <c r="H1443" s="14">
        <v>346</v>
      </c>
      <c r="I1443" s="15"/>
      <c r="J1443" s="9">
        <v>1</v>
      </c>
      <c r="K1443" s="16">
        <v>444.38</v>
      </c>
      <c r="L1443" s="17"/>
      <c r="M1443" s="15">
        <f t="shared" si="63"/>
        <v>0</v>
      </c>
      <c r="N1443" s="18">
        <f>0.074*L1443</f>
        <v>0</v>
      </c>
      <c r="O1443" s="19">
        <f>0.00238*L1443</f>
        <v>0</v>
      </c>
      <c r="P1443" s="24" t="s">
        <v>26</v>
      </c>
      <c r="Q1443" s="15" t="s">
        <v>4701</v>
      </c>
      <c r="R1443" s="15"/>
      <c r="S1443" s="10" t="str">
        <f>HYPERLINK("https://miland.ru/api/getInfo/image/2019a562-e0c4-11f0-a28c-00155d82e908")</f>
        <v>https://miland.ru/api/getInfo/image/2019a562-e0c4-11f0-a28c-00155d82e908</v>
      </c>
    </row>
    <row r="1444" spans="1:19" s="2" customFormat="1" ht="96.2" customHeight="1" outlineLevel="7">
      <c r="A1444" s="53">
        <v>1107</v>
      </c>
      <c r="B1444" s="10" t="s">
        <v>4702</v>
      </c>
      <c r="C1444" s="65" t="s">
        <v>4703</v>
      </c>
      <c r="D1444" s="65"/>
      <c r="E1444" s="65"/>
      <c r="F1444" s="65"/>
      <c r="G1444" s="11" t="s">
        <v>4704</v>
      </c>
      <c r="H1444" s="14">
        <v>276</v>
      </c>
      <c r="I1444" s="15"/>
      <c r="J1444" s="9">
        <v>1</v>
      </c>
      <c r="K1444" s="16">
        <v>444.38</v>
      </c>
      <c r="L1444" s="17"/>
      <c r="M1444" s="15">
        <f t="shared" si="63"/>
        <v>0</v>
      </c>
      <c r="N1444" s="18">
        <f>0.081*L1444</f>
        <v>0</v>
      </c>
      <c r="O1444" s="19">
        <f>0.00316*L1444</f>
        <v>0</v>
      </c>
      <c r="P1444" s="24" t="s">
        <v>26</v>
      </c>
      <c r="Q1444" s="15" t="s">
        <v>4705</v>
      </c>
      <c r="R1444" s="15"/>
      <c r="S1444" s="10" t="str">
        <f>HYPERLINK("https://miland.ru/api/getInfo/image/61c287dc-e0c4-11f0-a28c-00155d82e908")</f>
        <v>https://miland.ru/api/getInfo/image/61c287dc-e0c4-11f0-a28c-00155d82e908</v>
      </c>
    </row>
    <row r="1445" spans="1:19" s="2" customFormat="1" ht="96.2" customHeight="1" outlineLevel="7">
      <c r="A1445" s="53">
        <v>1108</v>
      </c>
      <c r="B1445" s="10" t="s">
        <v>4706</v>
      </c>
      <c r="C1445" s="65" t="s">
        <v>4707</v>
      </c>
      <c r="D1445" s="65"/>
      <c r="E1445" s="65"/>
      <c r="F1445" s="65"/>
      <c r="G1445" s="11" t="s">
        <v>4708</v>
      </c>
      <c r="H1445" s="14">
        <v>158</v>
      </c>
      <c r="I1445" s="15"/>
      <c r="J1445" s="9">
        <v>1</v>
      </c>
      <c r="K1445" s="16">
        <v>444.38</v>
      </c>
      <c r="L1445" s="17"/>
      <c r="M1445" s="15">
        <f t="shared" si="63"/>
        <v>0</v>
      </c>
      <c r="N1445" s="18">
        <f>0.091*L1445</f>
        <v>0</v>
      </c>
      <c r="O1445" s="20">
        <f>0.0024*L1445</f>
        <v>0</v>
      </c>
      <c r="P1445" s="24" t="s">
        <v>26</v>
      </c>
      <c r="Q1445" s="15" t="s">
        <v>4709</v>
      </c>
      <c r="R1445" s="15"/>
      <c r="S1445" s="10" t="str">
        <f>HYPERLINK("https://miland.ru/api/getInfo/image/553f1763-e0c3-11f0-a28c-00155d82e908")</f>
        <v>https://miland.ru/api/getInfo/image/553f1763-e0c3-11f0-a28c-00155d82e908</v>
      </c>
    </row>
    <row r="1446" spans="1:19" s="2" customFormat="1" ht="96.2" customHeight="1" outlineLevel="7">
      <c r="A1446" s="53">
        <v>1109</v>
      </c>
      <c r="B1446" s="10" t="s">
        <v>4710</v>
      </c>
      <c r="C1446" s="65" t="s">
        <v>4711</v>
      </c>
      <c r="D1446" s="65"/>
      <c r="E1446" s="65"/>
      <c r="F1446" s="65"/>
      <c r="G1446" s="11" t="s">
        <v>4712</v>
      </c>
      <c r="H1446" s="14">
        <v>352</v>
      </c>
      <c r="I1446" s="15"/>
      <c r="J1446" s="9">
        <v>1</v>
      </c>
      <c r="K1446" s="16">
        <v>444.38</v>
      </c>
      <c r="L1446" s="17"/>
      <c r="M1446" s="15">
        <f t="shared" si="63"/>
        <v>0</v>
      </c>
      <c r="N1446" s="18">
        <f>0.079*L1446</f>
        <v>0</v>
      </c>
      <c r="O1446" s="19">
        <f>0.00305*L1446</f>
        <v>0</v>
      </c>
      <c r="P1446" s="24" t="s">
        <v>26</v>
      </c>
      <c r="Q1446" s="15" t="s">
        <v>4713</v>
      </c>
      <c r="R1446" s="15"/>
      <c r="S1446" s="10" t="str">
        <f>HYPERLINK("https://miland.ru/api/getInfo/image/888289f5-e0c3-11f0-a28c-00155d82e908")</f>
        <v>https://miland.ru/api/getInfo/image/888289f5-e0c3-11f0-a28c-00155d82e908</v>
      </c>
    </row>
    <row r="1447" spans="1:19" s="2" customFormat="1" ht="96.2" customHeight="1" outlineLevel="7">
      <c r="A1447" s="53">
        <v>1110</v>
      </c>
      <c r="B1447" s="10" t="s">
        <v>4714</v>
      </c>
      <c r="C1447" s="65" t="s">
        <v>4715</v>
      </c>
      <c r="D1447" s="65"/>
      <c r="E1447" s="65"/>
      <c r="F1447" s="65"/>
      <c r="G1447" s="11" t="s">
        <v>4716</v>
      </c>
      <c r="H1447" s="14">
        <v>354</v>
      </c>
      <c r="I1447" s="15"/>
      <c r="J1447" s="9">
        <v>1</v>
      </c>
      <c r="K1447" s="16">
        <v>444.38</v>
      </c>
      <c r="L1447" s="17"/>
      <c r="M1447" s="15">
        <f t="shared" si="63"/>
        <v>0</v>
      </c>
      <c r="N1447" s="18">
        <f>0.092*L1447</f>
        <v>0</v>
      </c>
      <c r="O1447" s="19">
        <f>0.00247*L1447</f>
        <v>0</v>
      </c>
      <c r="P1447" s="24" t="s">
        <v>26</v>
      </c>
      <c r="Q1447" s="15" t="s">
        <v>4717</v>
      </c>
      <c r="R1447" s="15"/>
      <c r="S1447" s="10" t="str">
        <f>HYPERLINK("https://miland.ru/api/getInfo/image/42af01ac-e0c4-11f0-a28c-00155d82e908")</f>
        <v>https://miland.ru/api/getInfo/image/42af01ac-e0c4-11f0-a28c-00155d82e908</v>
      </c>
    </row>
    <row r="1448" spans="1:19" s="2" customFormat="1" ht="96.2" customHeight="1" outlineLevel="7">
      <c r="A1448" s="53">
        <v>1111</v>
      </c>
      <c r="B1448" s="10" t="s">
        <v>4718</v>
      </c>
      <c r="C1448" s="65" t="s">
        <v>4719</v>
      </c>
      <c r="D1448" s="65"/>
      <c r="E1448" s="65"/>
      <c r="F1448" s="65"/>
      <c r="G1448" s="11" t="s">
        <v>4720</v>
      </c>
      <c r="H1448" s="14">
        <v>199</v>
      </c>
      <c r="I1448" s="15"/>
      <c r="J1448" s="9">
        <v>1</v>
      </c>
      <c r="K1448" s="16">
        <v>444.38</v>
      </c>
      <c r="L1448" s="17"/>
      <c r="M1448" s="15">
        <f t="shared" si="63"/>
        <v>0</v>
      </c>
      <c r="N1448" s="18">
        <f>0.082*L1448</f>
        <v>0</v>
      </c>
      <c r="O1448" s="19">
        <f>0.00274*L1448</f>
        <v>0</v>
      </c>
      <c r="P1448" s="24" t="s">
        <v>26</v>
      </c>
      <c r="Q1448" s="15" t="s">
        <v>4721</v>
      </c>
      <c r="R1448" s="15"/>
      <c r="S1448" s="10" t="str">
        <f>HYPERLINK("https://miland.ru/api/getInfo/image/a4d6451f-e0c4-11f0-a28c-00155d82e908")</f>
        <v>https://miland.ru/api/getInfo/image/a4d6451f-e0c4-11f0-a28c-00155d82e908</v>
      </c>
    </row>
    <row r="1449" spans="1:19" s="1" customFormat="1" ht="12" customHeight="1" outlineLevel="6">
      <c r="A1449" s="64" t="s">
        <v>4722</v>
      </c>
      <c r="B1449" s="64"/>
      <c r="C1449" s="64"/>
      <c r="D1449" s="64"/>
      <c r="E1449" s="64"/>
      <c r="F1449" s="64"/>
      <c r="G1449" s="8"/>
      <c r="H1449" s="12"/>
      <c r="I1449" s="2"/>
      <c r="J1449" s="2"/>
      <c r="K1449" s="13"/>
      <c r="L1449" s="2"/>
      <c r="M1449" s="2"/>
      <c r="N1449" s="2"/>
      <c r="O1449" s="2"/>
      <c r="P1449" s="2"/>
      <c r="Q1449" s="2"/>
      <c r="R1449" s="2"/>
      <c r="S1449" s="2"/>
    </row>
    <row r="1450" spans="1:19" s="1" customFormat="1" ht="12" customHeight="1" outlineLevel="7">
      <c r="A1450" s="64" t="s">
        <v>4334</v>
      </c>
      <c r="B1450" s="64"/>
      <c r="C1450" s="64"/>
      <c r="D1450" s="64"/>
      <c r="E1450" s="64"/>
      <c r="F1450" s="64"/>
      <c r="G1450" s="8"/>
      <c r="H1450" s="12"/>
      <c r="I1450" s="2"/>
      <c r="J1450" s="2"/>
      <c r="K1450" s="13"/>
      <c r="L1450" s="2"/>
      <c r="M1450" s="2"/>
      <c r="N1450" s="2"/>
      <c r="O1450" s="2"/>
      <c r="P1450" s="2"/>
      <c r="Q1450" s="2"/>
      <c r="R1450" s="2"/>
      <c r="S1450" s="2"/>
    </row>
    <row r="1451" spans="1:19" s="2" customFormat="1" ht="96.2" customHeight="1" outlineLevel="7">
      <c r="A1451" s="52">
        <v>1112</v>
      </c>
      <c r="B1451" s="26" t="s">
        <v>4723</v>
      </c>
      <c r="C1451" s="66" t="s">
        <v>4724</v>
      </c>
      <c r="D1451" s="66"/>
      <c r="E1451" s="66"/>
      <c r="F1451" s="66"/>
      <c r="G1451" s="27" t="s">
        <v>4725</v>
      </c>
      <c r="H1451" s="33">
        <v>268</v>
      </c>
      <c r="I1451" s="29"/>
      <c r="J1451" s="25">
        <v>1</v>
      </c>
      <c r="K1451" s="37">
        <v>1076.8399999999999</v>
      </c>
      <c r="L1451" s="17"/>
      <c r="M1451" s="29">
        <f>K1451*L1451</f>
        <v>0</v>
      </c>
      <c r="N1451" s="31">
        <f>0.221*L1451</f>
        <v>0</v>
      </c>
      <c r="O1451" s="32">
        <f>0.00667*L1451</f>
        <v>0</v>
      </c>
      <c r="P1451" s="36"/>
      <c r="Q1451" s="29" t="s">
        <v>4726</v>
      </c>
      <c r="R1451" s="29"/>
      <c r="S1451" s="26" t="str">
        <f>HYPERLINK("https://miland.ru/api/getInfo/image/311c1e8e-dca4-11ef-a273-00155d82e908")</f>
        <v>https://miland.ru/api/getInfo/image/311c1e8e-dca4-11ef-a273-00155d82e908</v>
      </c>
    </row>
    <row r="1452" spans="1:19" s="2" customFormat="1" ht="96.2" customHeight="1" outlineLevel="7">
      <c r="A1452" s="52">
        <v>1113</v>
      </c>
      <c r="B1452" s="26" t="s">
        <v>4727</v>
      </c>
      <c r="C1452" s="66" t="s">
        <v>4728</v>
      </c>
      <c r="D1452" s="66"/>
      <c r="E1452" s="66"/>
      <c r="F1452" s="66"/>
      <c r="G1452" s="27" t="s">
        <v>4729</v>
      </c>
      <c r="H1452" s="33">
        <v>235</v>
      </c>
      <c r="I1452" s="29"/>
      <c r="J1452" s="25">
        <v>1</v>
      </c>
      <c r="K1452" s="30">
        <v>674.75</v>
      </c>
      <c r="L1452" s="17"/>
      <c r="M1452" s="29">
        <f>K1452*L1452</f>
        <v>0</v>
      </c>
      <c r="N1452" s="31">
        <f>0.185*L1452</f>
        <v>0</v>
      </c>
      <c r="O1452" s="32">
        <f>0.00551*L1452</f>
        <v>0</v>
      </c>
      <c r="P1452" s="36"/>
      <c r="Q1452" s="29" t="s">
        <v>4730</v>
      </c>
      <c r="R1452" s="29"/>
      <c r="S1452" s="26" t="str">
        <f>HYPERLINK("https://miland.ru/api/getInfo/image/f448e186-dca3-11ef-a273-00155d82e908")</f>
        <v>https://miland.ru/api/getInfo/image/f448e186-dca3-11ef-a273-00155d82e908</v>
      </c>
    </row>
    <row r="1453" spans="1:19" s="2" customFormat="1" ht="96.2" customHeight="1" outlineLevel="7">
      <c r="A1453" s="52">
        <v>1114</v>
      </c>
      <c r="B1453" s="26" t="s">
        <v>4731</v>
      </c>
      <c r="C1453" s="66" t="s">
        <v>4732</v>
      </c>
      <c r="D1453" s="66"/>
      <c r="E1453" s="66"/>
      <c r="F1453" s="66"/>
      <c r="G1453" s="27" t="s">
        <v>4733</v>
      </c>
      <c r="H1453" s="33">
        <v>174</v>
      </c>
      <c r="I1453" s="29"/>
      <c r="J1453" s="25">
        <v>1</v>
      </c>
      <c r="K1453" s="30">
        <v>687.66</v>
      </c>
      <c r="L1453" s="17"/>
      <c r="M1453" s="29">
        <f>K1453*L1453</f>
        <v>0</v>
      </c>
      <c r="N1453" s="34">
        <f>0.16*L1453</f>
        <v>0</v>
      </c>
      <c r="O1453" s="32">
        <f>0.00549*L1453</f>
        <v>0</v>
      </c>
      <c r="P1453" s="36"/>
      <c r="Q1453" s="29" t="s">
        <v>4734</v>
      </c>
      <c r="R1453" s="29"/>
      <c r="S1453" s="26" t="str">
        <f>HYPERLINK("https://miland.ru/api/getInfo/image/108a0f3d-dca5-11ef-a273-00155d82e908")</f>
        <v>https://miland.ru/api/getInfo/image/108a0f3d-dca5-11ef-a273-00155d82e908</v>
      </c>
    </row>
    <row r="1454" spans="1:19" s="2" customFormat="1" ht="96.2" customHeight="1" outlineLevel="7">
      <c r="A1454" s="52">
        <v>1115</v>
      </c>
      <c r="B1454" s="26" t="s">
        <v>4735</v>
      </c>
      <c r="C1454" s="66" t="s">
        <v>4736</v>
      </c>
      <c r="D1454" s="66"/>
      <c r="E1454" s="66"/>
      <c r="F1454" s="66"/>
      <c r="G1454" s="27" t="s">
        <v>4737</v>
      </c>
      <c r="H1454" s="33">
        <v>388</v>
      </c>
      <c r="I1454" s="29"/>
      <c r="J1454" s="25">
        <v>1</v>
      </c>
      <c r="K1454" s="30">
        <v>730.97</v>
      </c>
      <c r="L1454" s="17"/>
      <c r="M1454" s="29">
        <f>K1454*L1454</f>
        <v>0</v>
      </c>
      <c r="N1454" s="31">
        <f>0.258*L1454</f>
        <v>0</v>
      </c>
      <c r="O1454" s="32">
        <f>0.00557*L1454</f>
        <v>0</v>
      </c>
      <c r="P1454" s="36"/>
      <c r="Q1454" s="29" t="s">
        <v>4738</v>
      </c>
      <c r="R1454" s="29"/>
      <c r="S1454" s="26" t="str">
        <f>HYPERLINK("https://miland.ru/api/getInfo/image/b71bc719-dca4-11ef-a273-00155d82e908")</f>
        <v>https://miland.ru/api/getInfo/image/b71bc719-dca4-11ef-a273-00155d82e908</v>
      </c>
    </row>
    <row r="1455" spans="1:19" s="2" customFormat="1" ht="96.2" customHeight="1" outlineLevel="7">
      <c r="A1455" s="52">
        <v>1116</v>
      </c>
      <c r="B1455" s="26" t="s">
        <v>4739</v>
      </c>
      <c r="C1455" s="66" t="s">
        <v>4740</v>
      </c>
      <c r="D1455" s="66"/>
      <c r="E1455" s="66"/>
      <c r="F1455" s="66"/>
      <c r="G1455" s="27" t="s">
        <v>4741</v>
      </c>
      <c r="H1455" s="33">
        <v>136</v>
      </c>
      <c r="I1455" s="29"/>
      <c r="J1455" s="25">
        <v>1</v>
      </c>
      <c r="K1455" s="30">
        <v>877.66</v>
      </c>
      <c r="L1455" s="17"/>
      <c r="M1455" s="29">
        <f>K1455*L1455</f>
        <v>0</v>
      </c>
      <c r="N1455" s="31">
        <f>0.219*L1455</f>
        <v>0</v>
      </c>
      <c r="O1455" s="32">
        <f>0.00625*L1455</f>
        <v>0</v>
      </c>
      <c r="P1455" s="36"/>
      <c r="Q1455" s="29" t="s">
        <v>4742</v>
      </c>
      <c r="R1455" s="29" t="s">
        <v>611</v>
      </c>
      <c r="S1455" s="26" t="str">
        <f>HYPERLINK("https://miland.ru/api/getInfo/image/3a852bdd-dca5-11ef-a273-00155d82e908")</f>
        <v>https://miland.ru/api/getInfo/image/3a852bdd-dca5-11ef-a273-00155d82e908</v>
      </c>
    </row>
    <row r="1456" spans="1:19" s="1" customFormat="1" ht="12" customHeight="1" outlineLevel="6">
      <c r="A1456" s="64" t="s">
        <v>4743</v>
      </c>
      <c r="B1456" s="64"/>
      <c r="C1456" s="64"/>
      <c r="D1456" s="64"/>
      <c r="E1456" s="64"/>
      <c r="F1456" s="64"/>
      <c r="G1456" s="8"/>
      <c r="H1456" s="12"/>
      <c r="I1456" s="2"/>
      <c r="J1456" s="2"/>
      <c r="K1456" s="13"/>
      <c r="L1456" s="2"/>
      <c r="M1456" s="2"/>
      <c r="N1456" s="2"/>
      <c r="O1456" s="2"/>
      <c r="P1456" s="2"/>
      <c r="Q1456" s="2"/>
      <c r="R1456" s="2"/>
      <c r="S1456" s="2"/>
    </row>
    <row r="1457" spans="1:19" s="2" customFormat="1" ht="96.2" customHeight="1" outlineLevel="7">
      <c r="A1457" s="53">
        <v>1117</v>
      </c>
      <c r="B1457" s="10" t="s">
        <v>4744</v>
      </c>
      <c r="C1457" s="65" t="s">
        <v>4745</v>
      </c>
      <c r="D1457" s="65"/>
      <c r="E1457" s="65"/>
      <c r="F1457" s="65"/>
      <c r="G1457" s="11" t="s">
        <v>4746</v>
      </c>
      <c r="H1457" s="14">
        <v>39</v>
      </c>
      <c r="I1457" s="15"/>
      <c r="J1457" s="9">
        <v>2</v>
      </c>
      <c r="K1457" s="16">
        <v>395.24</v>
      </c>
      <c r="L1457" s="17"/>
      <c r="M1457" s="15">
        <f t="shared" ref="M1457:M1477" si="64">K1457*L1457</f>
        <v>0</v>
      </c>
      <c r="N1457" s="18">
        <f>0.151*L1457</f>
        <v>0</v>
      </c>
      <c r="O1457" s="20">
        <f>0.0043*L1457</f>
        <v>0</v>
      </c>
      <c r="P1457" s="24" t="s">
        <v>26</v>
      </c>
      <c r="Q1457" s="15" t="s">
        <v>4747</v>
      </c>
      <c r="R1457" s="15"/>
      <c r="S1457" s="10" t="str">
        <f>HYPERLINK("https://miland.ru/api/getInfo/image/2b263bd4-317d-11f1-a292-00155d82e908")</f>
        <v>https://miland.ru/api/getInfo/image/2b263bd4-317d-11f1-a292-00155d82e908</v>
      </c>
    </row>
    <row r="1458" spans="1:19" s="2" customFormat="1" ht="96.2" customHeight="1" outlineLevel="7">
      <c r="A1458" s="53">
        <v>1118</v>
      </c>
      <c r="B1458" s="10" t="s">
        <v>4748</v>
      </c>
      <c r="C1458" s="65" t="s">
        <v>4749</v>
      </c>
      <c r="D1458" s="65"/>
      <c r="E1458" s="65"/>
      <c r="F1458" s="65"/>
      <c r="G1458" s="11" t="s">
        <v>4750</v>
      </c>
      <c r="H1458" s="14">
        <v>85</v>
      </c>
      <c r="I1458" s="15"/>
      <c r="J1458" s="9">
        <v>2</v>
      </c>
      <c r="K1458" s="16">
        <v>395.24</v>
      </c>
      <c r="L1458" s="17"/>
      <c r="M1458" s="15">
        <f t="shared" si="64"/>
        <v>0</v>
      </c>
      <c r="N1458" s="18">
        <f>0.167*L1458</f>
        <v>0</v>
      </c>
      <c r="O1458" s="19">
        <f>0.00417*L1458</f>
        <v>0</v>
      </c>
      <c r="P1458" s="24" t="s">
        <v>26</v>
      </c>
      <c r="Q1458" s="15" t="s">
        <v>4751</v>
      </c>
      <c r="R1458" s="15"/>
      <c r="S1458" s="10" t="str">
        <f>HYPERLINK("https://miland.ru/api/getInfo/image/d81b6f1e-317f-11f1-a292-00155d82e908")</f>
        <v>https://miland.ru/api/getInfo/image/d81b6f1e-317f-11f1-a292-00155d82e908</v>
      </c>
    </row>
    <row r="1459" spans="1:19" s="2" customFormat="1" ht="96.2" customHeight="1" outlineLevel="7">
      <c r="A1459" s="52">
        <v>1119</v>
      </c>
      <c r="B1459" s="26" t="s">
        <v>4752</v>
      </c>
      <c r="C1459" s="66" t="s">
        <v>4753</v>
      </c>
      <c r="D1459" s="66"/>
      <c r="E1459" s="66"/>
      <c r="F1459" s="66"/>
      <c r="G1459" s="27" t="s">
        <v>4754</v>
      </c>
      <c r="H1459" s="33">
        <v>2</v>
      </c>
      <c r="I1459" s="29"/>
      <c r="J1459" s="25">
        <v>2</v>
      </c>
      <c r="K1459" s="30">
        <v>342.65</v>
      </c>
      <c r="L1459" s="17"/>
      <c r="M1459" s="29">
        <f t="shared" si="64"/>
        <v>0</v>
      </c>
      <c r="N1459" s="34">
        <f>0.11*L1459</f>
        <v>0</v>
      </c>
      <c r="O1459" s="32">
        <f>0.00338*L1459</f>
        <v>0</v>
      </c>
      <c r="P1459" s="36"/>
      <c r="Q1459" s="29" t="s">
        <v>4755</v>
      </c>
      <c r="R1459" s="29" t="s">
        <v>611</v>
      </c>
      <c r="S1459" s="26" t="str">
        <f>HYPERLINK("https://miland.ru/api/getInfo/image/e2a05107-8b30-11ec-a211-ac1f6b442185")</f>
        <v>https://miland.ru/api/getInfo/image/e2a05107-8b30-11ec-a211-ac1f6b442185</v>
      </c>
    </row>
    <row r="1460" spans="1:19" s="2" customFormat="1" ht="96.2" customHeight="1" outlineLevel="7">
      <c r="A1460" s="53">
        <v>1120</v>
      </c>
      <c r="B1460" s="10" t="s">
        <v>4756</v>
      </c>
      <c r="C1460" s="65" t="s">
        <v>4757</v>
      </c>
      <c r="D1460" s="65"/>
      <c r="E1460" s="65"/>
      <c r="F1460" s="65"/>
      <c r="G1460" s="11" t="s">
        <v>4758</v>
      </c>
      <c r="H1460" s="14">
        <v>203</v>
      </c>
      <c r="I1460" s="15"/>
      <c r="J1460" s="9">
        <v>2</v>
      </c>
      <c r="K1460" s="16">
        <v>395.24</v>
      </c>
      <c r="L1460" s="17"/>
      <c r="M1460" s="15">
        <f t="shared" si="64"/>
        <v>0</v>
      </c>
      <c r="N1460" s="18">
        <f>0.142*L1460</f>
        <v>0</v>
      </c>
      <c r="O1460" s="19">
        <f>0.00427*L1460</f>
        <v>0</v>
      </c>
      <c r="P1460" s="24" t="s">
        <v>26</v>
      </c>
      <c r="Q1460" s="15" t="s">
        <v>4759</v>
      </c>
      <c r="R1460" s="15"/>
      <c r="S1460" s="10" t="str">
        <f>HYPERLINK("https://miland.ru/api/getInfo/image/03e7a0e7-317d-11f1-a292-00155d82e908")</f>
        <v>https://miland.ru/api/getInfo/image/03e7a0e7-317d-11f1-a292-00155d82e908</v>
      </c>
    </row>
    <row r="1461" spans="1:19" s="2" customFormat="1" ht="96.2" customHeight="1" outlineLevel="7">
      <c r="A1461" s="53">
        <v>1121</v>
      </c>
      <c r="B1461" s="10" t="s">
        <v>4760</v>
      </c>
      <c r="C1461" s="65" t="s">
        <v>4761</v>
      </c>
      <c r="D1461" s="65"/>
      <c r="E1461" s="65"/>
      <c r="F1461" s="65"/>
      <c r="G1461" s="11" t="s">
        <v>4762</v>
      </c>
      <c r="H1461" s="14">
        <v>421</v>
      </c>
      <c r="I1461" s="15"/>
      <c r="J1461" s="9">
        <v>2</v>
      </c>
      <c r="K1461" s="16">
        <v>395.24</v>
      </c>
      <c r="L1461" s="17"/>
      <c r="M1461" s="15">
        <f t="shared" si="64"/>
        <v>0</v>
      </c>
      <c r="N1461" s="18">
        <f>0.141*L1461</f>
        <v>0</v>
      </c>
      <c r="O1461" s="19">
        <f>0.00407*L1461</f>
        <v>0</v>
      </c>
      <c r="P1461" s="24" t="s">
        <v>26</v>
      </c>
      <c r="Q1461" s="15" t="s">
        <v>4763</v>
      </c>
      <c r="R1461" s="15"/>
      <c r="S1461" s="10" t="str">
        <f>HYPERLINK("https://miland.ru/api/getInfo/image/406012cc-317d-11f1-a292-00155d82e908")</f>
        <v>https://miland.ru/api/getInfo/image/406012cc-317d-11f1-a292-00155d82e908</v>
      </c>
    </row>
    <row r="1462" spans="1:19" s="2" customFormat="1" ht="96.2" customHeight="1" outlineLevel="7">
      <c r="A1462" s="53">
        <v>1122</v>
      </c>
      <c r="B1462" s="10" t="s">
        <v>4764</v>
      </c>
      <c r="C1462" s="65" t="s">
        <v>4765</v>
      </c>
      <c r="D1462" s="65"/>
      <c r="E1462" s="65"/>
      <c r="F1462" s="65"/>
      <c r="G1462" s="11" t="s">
        <v>4766</v>
      </c>
      <c r="H1462" s="14">
        <v>357</v>
      </c>
      <c r="I1462" s="15"/>
      <c r="J1462" s="9">
        <v>2</v>
      </c>
      <c r="K1462" s="16">
        <v>395.24</v>
      </c>
      <c r="L1462" s="17"/>
      <c r="M1462" s="15">
        <f t="shared" si="64"/>
        <v>0</v>
      </c>
      <c r="N1462" s="18">
        <f>0.144*L1462</f>
        <v>0</v>
      </c>
      <c r="O1462" s="19">
        <f>0.00422*L1462</f>
        <v>0</v>
      </c>
      <c r="P1462" s="24" t="s">
        <v>26</v>
      </c>
      <c r="Q1462" s="15" t="s">
        <v>4767</v>
      </c>
      <c r="R1462" s="15"/>
      <c r="S1462" s="10" t="str">
        <f>HYPERLINK("https://miland.ru/api/getInfo/image/ff5771e2-317f-11f1-a292-00155d82e908")</f>
        <v>https://miland.ru/api/getInfo/image/ff5771e2-317f-11f1-a292-00155d82e908</v>
      </c>
    </row>
    <row r="1463" spans="1:19" s="2" customFormat="1" ht="96.2" customHeight="1" outlineLevel="7">
      <c r="A1463" s="52">
        <v>1123</v>
      </c>
      <c r="B1463" s="26" t="s">
        <v>4768</v>
      </c>
      <c r="C1463" s="66" t="s">
        <v>4769</v>
      </c>
      <c r="D1463" s="66"/>
      <c r="E1463" s="66"/>
      <c r="F1463" s="66"/>
      <c r="G1463" s="27" t="s">
        <v>4770</v>
      </c>
      <c r="H1463" s="33">
        <v>14</v>
      </c>
      <c r="I1463" s="29"/>
      <c r="J1463" s="25">
        <v>2</v>
      </c>
      <c r="K1463" s="30">
        <v>342.65</v>
      </c>
      <c r="L1463" s="17"/>
      <c r="M1463" s="29">
        <f t="shared" si="64"/>
        <v>0</v>
      </c>
      <c r="N1463" s="31">
        <f>0.127*L1463</f>
        <v>0</v>
      </c>
      <c r="O1463" s="32">
        <f>0.00365*L1463</f>
        <v>0</v>
      </c>
      <c r="P1463" s="36"/>
      <c r="Q1463" s="29"/>
      <c r="R1463" s="29"/>
      <c r="S1463" s="26" t="str">
        <f>HYPERLINK("https://miland.ru/api/getInfo/image/7a003b3a-8b30-11ec-a211-ac1f6b442185")</f>
        <v>https://miland.ru/api/getInfo/image/7a003b3a-8b30-11ec-a211-ac1f6b442185</v>
      </c>
    </row>
    <row r="1464" spans="1:19" s="2" customFormat="1" ht="96.2" customHeight="1" outlineLevel="7">
      <c r="A1464" s="53">
        <v>1124</v>
      </c>
      <c r="B1464" s="10" t="s">
        <v>4771</v>
      </c>
      <c r="C1464" s="65" t="s">
        <v>4772</v>
      </c>
      <c r="D1464" s="65"/>
      <c r="E1464" s="65"/>
      <c r="F1464" s="65"/>
      <c r="G1464" s="11" t="s">
        <v>4773</v>
      </c>
      <c r="H1464" s="14">
        <v>5</v>
      </c>
      <c r="I1464" s="15"/>
      <c r="J1464" s="9">
        <v>1</v>
      </c>
      <c r="K1464" s="16">
        <v>810.32</v>
      </c>
      <c r="L1464" s="17"/>
      <c r="M1464" s="15">
        <f t="shared" si="64"/>
        <v>0</v>
      </c>
      <c r="N1464" s="18">
        <f>0.326*L1464</f>
        <v>0</v>
      </c>
      <c r="O1464" s="19">
        <f>0.00957*L1464</f>
        <v>0</v>
      </c>
      <c r="P1464" s="24" t="s">
        <v>26</v>
      </c>
      <c r="Q1464" s="15" t="s">
        <v>4774</v>
      </c>
      <c r="R1464" s="15"/>
      <c r="S1464" s="10" t="str">
        <f>HYPERLINK("https://miland.ru/api/getInfo/image/95c33ca6-317a-11f1-a292-00155d82e908")</f>
        <v>https://miland.ru/api/getInfo/image/95c33ca6-317a-11f1-a292-00155d82e908</v>
      </c>
    </row>
    <row r="1465" spans="1:19" s="2" customFormat="1" ht="96.2" customHeight="1" outlineLevel="7">
      <c r="A1465" s="53">
        <v>1125</v>
      </c>
      <c r="B1465" s="10" t="s">
        <v>4775</v>
      </c>
      <c r="C1465" s="65" t="s">
        <v>4776</v>
      </c>
      <c r="D1465" s="65"/>
      <c r="E1465" s="65"/>
      <c r="F1465" s="65"/>
      <c r="G1465" s="11" t="s">
        <v>4777</v>
      </c>
      <c r="H1465" s="14">
        <v>1</v>
      </c>
      <c r="I1465" s="15"/>
      <c r="J1465" s="9">
        <v>1</v>
      </c>
      <c r="K1465" s="16">
        <v>810.32</v>
      </c>
      <c r="L1465" s="17"/>
      <c r="M1465" s="15">
        <f t="shared" si="64"/>
        <v>0</v>
      </c>
      <c r="N1465" s="23">
        <f>0.28*L1465</f>
        <v>0</v>
      </c>
      <c r="O1465" s="19">
        <f>0.00971*L1465</f>
        <v>0</v>
      </c>
      <c r="P1465" s="24" t="s">
        <v>26</v>
      </c>
      <c r="Q1465" s="15" t="s">
        <v>4778</v>
      </c>
      <c r="R1465" s="15"/>
      <c r="S1465" s="10" t="str">
        <f>HYPERLINK("https://miland.ru/api/getInfo/image/6e944e45-317c-11f1-a292-00155d82e908")</f>
        <v>https://miland.ru/api/getInfo/image/6e944e45-317c-11f1-a292-00155d82e908</v>
      </c>
    </row>
    <row r="1466" spans="1:19" s="2" customFormat="1" ht="96.2" customHeight="1" outlineLevel="7">
      <c r="A1466" s="53">
        <v>1126</v>
      </c>
      <c r="B1466" s="10" t="s">
        <v>4779</v>
      </c>
      <c r="C1466" s="65" t="s">
        <v>4780</v>
      </c>
      <c r="D1466" s="65"/>
      <c r="E1466" s="65"/>
      <c r="F1466" s="65"/>
      <c r="G1466" s="11" t="s">
        <v>4781</v>
      </c>
      <c r="H1466" s="14">
        <v>56</v>
      </c>
      <c r="I1466" s="15"/>
      <c r="J1466" s="9">
        <v>1</v>
      </c>
      <c r="K1466" s="16">
        <v>810.32</v>
      </c>
      <c r="L1466" s="17"/>
      <c r="M1466" s="15">
        <f t="shared" si="64"/>
        <v>0</v>
      </c>
      <c r="N1466" s="23">
        <f>0.36*L1466</f>
        <v>0</v>
      </c>
      <c r="O1466" s="19">
        <f>0.00961*L1466</f>
        <v>0</v>
      </c>
      <c r="P1466" s="24" t="s">
        <v>26</v>
      </c>
      <c r="Q1466" s="15" t="s">
        <v>4782</v>
      </c>
      <c r="R1466" s="15"/>
      <c r="S1466" s="10" t="str">
        <f>HYPERLINK("https://miland.ru/api/getInfo/image/36519769-317c-11f1-a292-00155d82e908")</f>
        <v>https://miland.ru/api/getInfo/image/36519769-317c-11f1-a292-00155d82e908</v>
      </c>
    </row>
    <row r="1467" spans="1:19" s="2" customFormat="1" ht="96.2" customHeight="1" outlineLevel="7">
      <c r="A1467" s="53">
        <v>1127</v>
      </c>
      <c r="B1467" s="10" t="s">
        <v>4783</v>
      </c>
      <c r="C1467" s="65" t="s">
        <v>4784</v>
      </c>
      <c r="D1467" s="65"/>
      <c r="E1467" s="65"/>
      <c r="F1467" s="65"/>
      <c r="G1467" s="11" t="s">
        <v>4785</v>
      </c>
      <c r="H1467" s="14">
        <v>29</v>
      </c>
      <c r="I1467" s="15"/>
      <c r="J1467" s="9">
        <v>1</v>
      </c>
      <c r="K1467" s="16">
        <v>810.32</v>
      </c>
      <c r="L1467" s="17"/>
      <c r="M1467" s="15">
        <f t="shared" si="64"/>
        <v>0</v>
      </c>
      <c r="N1467" s="18">
        <f>0.289*L1467</f>
        <v>0</v>
      </c>
      <c r="O1467" s="20">
        <f>0.0093*L1467</f>
        <v>0</v>
      </c>
      <c r="P1467" s="24" t="s">
        <v>26</v>
      </c>
      <c r="Q1467" s="15" t="s">
        <v>4786</v>
      </c>
      <c r="R1467" s="15"/>
      <c r="S1467" s="10" t="str">
        <f>HYPERLINK("https://miland.ru/api/getInfo/image/afcd2fb3-317c-11f1-a292-00155d82e908")</f>
        <v>https://miland.ru/api/getInfo/image/afcd2fb3-317c-11f1-a292-00155d82e908</v>
      </c>
    </row>
    <row r="1468" spans="1:19" s="2" customFormat="1" ht="96.2" customHeight="1" outlineLevel="7">
      <c r="A1468" s="52">
        <v>1128</v>
      </c>
      <c r="B1468" s="26" t="s">
        <v>4787</v>
      </c>
      <c r="C1468" s="66" t="s">
        <v>4788</v>
      </c>
      <c r="D1468" s="66"/>
      <c r="E1468" s="66"/>
      <c r="F1468" s="66"/>
      <c r="G1468" s="27" t="s">
        <v>4789</v>
      </c>
      <c r="H1468" s="33">
        <v>5</v>
      </c>
      <c r="I1468" s="29"/>
      <c r="J1468" s="25">
        <v>1</v>
      </c>
      <c r="K1468" s="30">
        <v>670.05</v>
      </c>
      <c r="L1468" s="17"/>
      <c r="M1468" s="29">
        <f t="shared" si="64"/>
        <v>0</v>
      </c>
      <c r="N1468" s="34">
        <f>0.26*L1468</f>
        <v>0</v>
      </c>
      <c r="O1468" s="32">
        <f>0.00792*L1468</f>
        <v>0</v>
      </c>
      <c r="P1468" s="36"/>
      <c r="Q1468" s="29"/>
      <c r="R1468" s="29"/>
      <c r="S1468" s="26" t="str">
        <f>HYPERLINK("https://miland.ru/api/getInfo/image/78ed9ecf-5ac5-11e9-a222-ac1f6b442184")</f>
        <v>https://miland.ru/api/getInfo/image/78ed9ecf-5ac5-11e9-a222-ac1f6b442184</v>
      </c>
    </row>
    <row r="1469" spans="1:19" s="2" customFormat="1" ht="96.2" customHeight="1" outlineLevel="7">
      <c r="A1469" s="52">
        <v>1129</v>
      </c>
      <c r="B1469" s="26" t="s">
        <v>4790</v>
      </c>
      <c r="C1469" s="66" t="s">
        <v>4791</v>
      </c>
      <c r="D1469" s="66"/>
      <c r="E1469" s="66"/>
      <c r="F1469" s="66"/>
      <c r="G1469" s="27" t="s">
        <v>4792</v>
      </c>
      <c r="H1469" s="33">
        <v>299</v>
      </c>
      <c r="I1469" s="29"/>
      <c r="J1469" s="25">
        <v>1</v>
      </c>
      <c r="K1469" s="30">
        <v>670.05</v>
      </c>
      <c r="L1469" s="17"/>
      <c r="M1469" s="29">
        <f t="shared" si="64"/>
        <v>0</v>
      </c>
      <c r="N1469" s="31">
        <f>0.243*L1469</f>
        <v>0</v>
      </c>
      <c r="O1469" s="32">
        <f>0.00872*L1469</f>
        <v>0</v>
      </c>
      <c r="P1469" s="36"/>
      <c r="Q1469" s="29" t="s">
        <v>4793</v>
      </c>
      <c r="R1469" s="29"/>
      <c r="S1469" s="26" t="str">
        <f>HYPERLINK("https://miland.ru/api/getInfo/image/a32ce917-8b32-11ec-a211-ac1f6b442185")</f>
        <v>https://miland.ru/api/getInfo/image/a32ce917-8b32-11ec-a211-ac1f6b442185</v>
      </c>
    </row>
    <row r="1470" spans="1:19" s="2" customFormat="1" ht="96.2" customHeight="1" outlineLevel="7">
      <c r="A1470" s="52">
        <v>1130</v>
      </c>
      <c r="B1470" s="26" t="s">
        <v>4794</v>
      </c>
      <c r="C1470" s="66" t="s">
        <v>4795</v>
      </c>
      <c r="D1470" s="66"/>
      <c r="E1470" s="66"/>
      <c r="F1470" s="66"/>
      <c r="G1470" s="27" t="s">
        <v>4796</v>
      </c>
      <c r="H1470" s="28" t="s">
        <v>44</v>
      </c>
      <c r="I1470" s="29"/>
      <c r="J1470" s="25">
        <v>1</v>
      </c>
      <c r="K1470" s="30">
        <v>670.05</v>
      </c>
      <c r="L1470" s="17"/>
      <c r="M1470" s="29">
        <f t="shared" si="64"/>
        <v>0</v>
      </c>
      <c r="N1470" s="31">
        <f>0.241*L1470</f>
        <v>0</v>
      </c>
      <c r="O1470" s="32">
        <f>0.00719*L1470</f>
        <v>0</v>
      </c>
      <c r="P1470" s="36"/>
      <c r="Q1470" s="29"/>
      <c r="R1470" s="29"/>
      <c r="S1470" s="26" t="str">
        <f>HYPERLINK("https://miland.ru/api/getInfo/image/c8a80b4e-5ac5-11e9-a222-ac1f6b442184")</f>
        <v>https://miland.ru/api/getInfo/image/c8a80b4e-5ac5-11e9-a222-ac1f6b442184</v>
      </c>
    </row>
    <row r="1471" spans="1:19" s="2" customFormat="1" ht="96.2" customHeight="1" outlineLevel="7">
      <c r="A1471" s="53">
        <v>1131</v>
      </c>
      <c r="B1471" s="10" t="s">
        <v>4797</v>
      </c>
      <c r="C1471" s="65" t="s">
        <v>4798</v>
      </c>
      <c r="D1471" s="65"/>
      <c r="E1471" s="65"/>
      <c r="F1471" s="65"/>
      <c r="G1471" s="11" t="s">
        <v>4799</v>
      </c>
      <c r="H1471" s="14">
        <v>130</v>
      </c>
      <c r="I1471" s="15"/>
      <c r="J1471" s="9">
        <v>1</v>
      </c>
      <c r="K1471" s="16">
        <v>810.32</v>
      </c>
      <c r="L1471" s="17"/>
      <c r="M1471" s="15">
        <f t="shared" si="64"/>
        <v>0</v>
      </c>
      <c r="N1471" s="18">
        <f>0.271*L1471</f>
        <v>0</v>
      </c>
      <c r="O1471" s="19">
        <f>0.00975*L1471</f>
        <v>0</v>
      </c>
      <c r="P1471" s="24" t="s">
        <v>26</v>
      </c>
      <c r="Q1471" s="15" t="s">
        <v>4800</v>
      </c>
      <c r="R1471" s="15"/>
      <c r="S1471" s="10" t="str">
        <f>HYPERLINK("https://miland.ru/api/getInfo/image/f757f7c7-317b-11f1-a292-00155d82e908")</f>
        <v>https://miland.ru/api/getInfo/image/f757f7c7-317b-11f1-a292-00155d82e908</v>
      </c>
    </row>
    <row r="1472" spans="1:19" s="2" customFormat="1" ht="96.2" customHeight="1" outlineLevel="7">
      <c r="A1472" s="53">
        <v>1132</v>
      </c>
      <c r="B1472" s="10" t="s">
        <v>4801</v>
      </c>
      <c r="C1472" s="65" t="s">
        <v>4802</v>
      </c>
      <c r="D1472" s="65"/>
      <c r="E1472" s="65"/>
      <c r="F1472" s="65"/>
      <c r="G1472" s="11" t="s">
        <v>4803</v>
      </c>
      <c r="H1472" s="14">
        <v>77</v>
      </c>
      <c r="I1472" s="15"/>
      <c r="J1472" s="9">
        <v>1</v>
      </c>
      <c r="K1472" s="16">
        <v>810.32</v>
      </c>
      <c r="L1472" s="17"/>
      <c r="M1472" s="15">
        <f t="shared" si="64"/>
        <v>0</v>
      </c>
      <c r="N1472" s="18">
        <f>0.298*L1472</f>
        <v>0</v>
      </c>
      <c r="O1472" s="19">
        <f>0.00962*L1472</f>
        <v>0</v>
      </c>
      <c r="P1472" s="24" t="s">
        <v>26</v>
      </c>
      <c r="Q1472" s="15" t="s">
        <v>4804</v>
      </c>
      <c r="R1472" s="15"/>
      <c r="S1472" s="10" t="str">
        <f>HYPERLINK("https://miland.ru/api/getInfo/image/bc0282d4-317b-11f1-a292-00155d82e908")</f>
        <v>https://miland.ru/api/getInfo/image/bc0282d4-317b-11f1-a292-00155d82e908</v>
      </c>
    </row>
    <row r="1473" spans="1:19" s="2" customFormat="1" ht="96.2" customHeight="1" outlineLevel="7">
      <c r="A1473" s="53">
        <v>1133</v>
      </c>
      <c r="B1473" s="10" t="s">
        <v>4805</v>
      </c>
      <c r="C1473" s="65" t="s">
        <v>4806</v>
      </c>
      <c r="D1473" s="65"/>
      <c r="E1473" s="65"/>
      <c r="F1473" s="65"/>
      <c r="G1473" s="11" t="s">
        <v>4807</v>
      </c>
      <c r="H1473" s="14">
        <v>8</v>
      </c>
      <c r="I1473" s="15"/>
      <c r="J1473" s="9">
        <v>1</v>
      </c>
      <c r="K1473" s="16">
        <v>810.32</v>
      </c>
      <c r="L1473" s="17"/>
      <c r="M1473" s="15">
        <f t="shared" si="64"/>
        <v>0</v>
      </c>
      <c r="N1473" s="18">
        <f>0.277*L1473</f>
        <v>0</v>
      </c>
      <c r="O1473" s="19">
        <f>0.01105*L1473</f>
        <v>0</v>
      </c>
      <c r="P1473" s="24" t="s">
        <v>26</v>
      </c>
      <c r="Q1473" s="15" t="s">
        <v>4808</v>
      </c>
      <c r="R1473" s="15"/>
      <c r="S1473" s="10" t="str">
        <f>HYPERLINK("https://miland.ru/api/getInfo/image/5f2d199b-317c-11f1-a292-00155d82e908")</f>
        <v>https://miland.ru/api/getInfo/image/5f2d199b-317c-11f1-a292-00155d82e908</v>
      </c>
    </row>
    <row r="1474" spans="1:19" s="2" customFormat="1" ht="96.2" customHeight="1" outlineLevel="7">
      <c r="A1474" s="52">
        <v>1134</v>
      </c>
      <c r="B1474" s="26" t="s">
        <v>4809</v>
      </c>
      <c r="C1474" s="66" t="s">
        <v>4810</v>
      </c>
      <c r="D1474" s="66"/>
      <c r="E1474" s="66"/>
      <c r="F1474" s="66"/>
      <c r="G1474" s="27" t="s">
        <v>4811</v>
      </c>
      <c r="H1474" s="33">
        <v>5</v>
      </c>
      <c r="I1474" s="29"/>
      <c r="J1474" s="25">
        <v>1</v>
      </c>
      <c r="K1474" s="37">
        <v>1239.43</v>
      </c>
      <c r="L1474" s="17"/>
      <c r="M1474" s="29">
        <f t="shared" si="64"/>
        <v>0</v>
      </c>
      <c r="N1474" s="31">
        <f>0.411*L1474</f>
        <v>0</v>
      </c>
      <c r="O1474" s="32">
        <f>0.01645*L1474</f>
        <v>0</v>
      </c>
      <c r="P1474" s="36"/>
      <c r="Q1474" s="29" t="s">
        <v>4812</v>
      </c>
      <c r="R1474" s="29" t="s">
        <v>611</v>
      </c>
      <c r="S1474" s="26" t="str">
        <f>HYPERLINK("https://miland.ru/api/getInfo/image/a7dd2e7b-63ea-11ed-a22a-00155d82e902")</f>
        <v>https://miland.ru/api/getInfo/image/a7dd2e7b-63ea-11ed-a22a-00155d82e902</v>
      </c>
    </row>
    <row r="1475" spans="1:19" s="2" customFormat="1" ht="96.2" customHeight="1" outlineLevel="7">
      <c r="A1475" s="52">
        <v>1135</v>
      </c>
      <c r="B1475" s="26" t="s">
        <v>4813</v>
      </c>
      <c r="C1475" s="66" t="s">
        <v>4814</v>
      </c>
      <c r="D1475" s="66"/>
      <c r="E1475" s="66"/>
      <c r="F1475" s="66"/>
      <c r="G1475" s="27" t="s">
        <v>4815</v>
      </c>
      <c r="H1475" s="33">
        <v>8</v>
      </c>
      <c r="I1475" s="29"/>
      <c r="J1475" s="25">
        <v>1</v>
      </c>
      <c r="K1475" s="37">
        <v>1239.43</v>
      </c>
      <c r="L1475" s="17"/>
      <c r="M1475" s="29">
        <f t="shared" si="64"/>
        <v>0</v>
      </c>
      <c r="N1475" s="31">
        <f>0.402*L1475</f>
        <v>0</v>
      </c>
      <c r="O1475" s="32">
        <f>0.01594*L1475</f>
        <v>0</v>
      </c>
      <c r="P1475" s="36"/>
      <c r="Q1475" s="29" t="s">
        <v>4816</v>
      </c>
      <c r="R1475" s="29" t="s">
        <v>611</v>
      </c>
      <c r="S1475" s="26" t="str">
        <f>HYPERLINK("https://miland.ru/api/getInfo/image/45ad6d1e-63eb-11ed-a22a-00155d82e902")</f>
        <v>https://miland.ru/api/getInfo/image/45ad6d1e-63eb-11ed-a22a-00155d82e902</v>
      </c>
    </row>
    <row r="1476" spans="1:19" s="2" customFormat="1" ht="96.2" customHeight="1" outlineLevel="7">
      <c r="A1476" s="52">
        <v>1136</v>
      </c>
      <c r="B1476" s="26" t="s">
        <v>4817</v>
      </c>
      <c r="C1476" s="66" t="s">
        <v>4818</v>
      </c>
      <c r="D1476" s="66"/>
      <c r="E1476" s="66"/>
      <c r="F1476" s="66"/>
      <c r="G1476" s="27" t="s">
        <v>4819</v>
      </c>
      <c r="H1476" s="33">
        <v>1</v>
      </c>
      <c r="I1476" s="29"/>
      <c r="J1476" s="25">
        <v>1</v>
      </c>
      <c r="K1476" s="37">
        <v>1724.42</v>
      </c>
      <c r="L1476" s="17"/>
      <c r="M1476" s="29">
        <f t="shared" si="64"/>
        <v>0</v>
      </c>
      <c r="N1476" s="31">
        <f>0.689*L1476</f>
        <v>0</v>
      </c>
      <c r="O1476" s="32">
        <f>0.02865*L1476</f>
        <v>0</v>
      </c>
      <c r="P1476" s="36"/>
      <c r="Q1476" s="29" t="s">
        <v>4820</v>
      </c>
      <c r="R1476" s="29" t="s">
        <v>611</v>
      </c>
      <c r="S1476" s="26" t="str">
        <f>HYPERLINK("https://miland.ru/api/getInfo/image/9ce40c28-63ec-11ed-a22a-00155d82e902")</f>
        <v>https://miland.ru/api/getInfo/image/9ce40c28-63ec-11ed-a22a-00155d82e902</v>
      </c>
    </row>
    <row r="1477" spans="1:19" s="2" customFormat="1" ht="96.2" customHeight="1" outlineLevel="7">
      <c r="A1477" s="52">
        <v>1137</v>
      </c>
      <c r="B1477" s="26" t="s">
        <v>4821</v>
      </c>
      <c r="C1477" s="66" t="s">
        <v>4822</v>
      </c>
      <c r="D1477" s="66"/>
      <c r="E1477" s="66"/>
      <c r="F1477" s="66"/>
      <c r="G1477" s="27" t="s">
        <v>4823</v>
      </c>
      <c r="H1477" s="33">
        <v>1</v>
      </c>
      <c r="I1477" s="29"/>
      <c r="J1477" s="25">
        <v>1</v>
      </c>
      <c r="K1477" s="37">
        <v>1724.42</v>
      </c>
      <c r="L1477" s="17"/>
      <c r="M1477" s="29">
        <f t="shared" si="64"/>
        <v>0</v>
      </c>
      <c r="N1477" s="31">
        <f>0.685*L1477</f>
        <v>0</v>
      </c>
      <c r="O1477" s="32">
        <f>0.02808*L1477</f>
        <v>0</v>
      </c>
      <c r="P1477" s="36"/>
      <c r="Q1477" s="29" t="s">
        <v>4824</v>
      </c>
      <c r="R1477" s="29" t="s">
        <v>611</v>
      </c>
      <c r="S1477" s="26" t="str">
        <f>HYPERLINK("https://miland.ru/api/getInfo/image/4b0a3643-63ed-11ed-a22a-00155d82e902")</f>
        <v>https://miland.ru/api/getInfo/image/4b0a3643-63ed-11ed-a22a-00155d82e902</v>
      </c>
    </row>
    <row r="1478" spans="1:19" s="1" customFormat="1" ht="12" customHeight="1" outlineLevel="6">
      <c r="A1478" s="64" t="s">
        <v>4825</v>
      </c>
      <c r="B1478" s="64"/>
      <c r="C1478" s="64"/>
      <c r="D1478" s="64"/>
      <c r="E1478" s="64"/>
      <c r="F1478" s="64"/>
      <c r="G1478" s="8"/>
      <c r="H1478" s="12"/>
      <c r="I1478" s="2"/>
      <c r="J1478" s="2"/>
      <c r="K1478" s="13"/>
      <c r="L1478" s="2"/>
      <c r="M1478" s="2"/>
      <c r="N1478" s="2"/>
      <c r="O1478" s="2"/>
      <c r="P1478" s="2"/>
      <c r="Q1478" s="2"/>
      <c r="R1478" s="2"/>
      <c r="S1478" s="2"/>
    </row>
    <row r="1479" spans="1:19" s="2" customFormat="1" ht="96.2" customHeight="1" outlineLevel="7">
      <c r="A1479" s="52">
        <v>1138</v>
      </c>
      <c r="B1479" s="26" t="s">
        <v>4826</v>
      </c>
      <c r="C1479" s="66" t="s">
        <v>4827</v>
      </c>
      <c r="D1479" s="66"/>
      <c r="E1479" s="66"/>
      <c r="F1479" s="66"/>
      <c r="G1479" s="27" t="s">
        <v>4828</v>
      </c>
      <c r="H1479" s="33">
        <v>14</v>
      </c>
      <c r="I1479" s="29"/>
      <c r="J1479" s="25">
        <v>1</v>
      </c>
      <c r="K1479" s="30">
        <v>562.6</v>
      </c>
      <c r="L1479" s="17"/>
      <c r="M1479" s="29">
        <f t="shared" ref="M1479:M1485" si="65">K1479*L1479</f>
        <v>0</v>
      </c>
      <c r="N1479" s="31">
        <f>0.197*L1479</f>
        <v>0</v>
      </c>
      <c r="O1479" s="32">
        <f>0.00281*L1479</f>
        <v>0</v>
      </c>
      <c r="P1479" s="36"/>
      <c r="Q1479" s="29" t="s">
        <v>4829</v>
      </c>
      <c r="R1479" s="29"/>
      <c r="S1479" s="26" t="str">
        <f>HYPERLINK("https://miland.ru/api/getInfo/image/35e4ba60-dcb4-11ef-a273-00155d82e908")</f>
        <v>https://miland.ru/api/getInfo/image/35e4ba60-dcb4-11ef-a273-00155d82e908</v>
      </c>
    </row>
    <row r="1480" spans="1:19" s="2" customFormat="1" ht="96.2" customHeight="1" outlineLevel="7">
      <c r="A1480" s="52">
        <v>1139</v>
      </c>
      <c r="B1480" s="26" t="s">
        <v>4830</v>
      </c>
      <c r="C1480" s="66" t="s">
        <v>4831</v>
      </c>
      <c r="D1480" s="66"/>
      <c r="E1480" s="66"/>
      <c r="F1480" s="66"/>
      <c r="G1480" s="27" t="s">
        <v>4832</v>
      </c>
      <c r="H1480" s="33">
        <v>49</v>
      </c>
      <c r="I1480" s="29"/>
      <c r="J1480" s="25">
        <v>1</v>
      </c>
      <c r="K1480" s="37">
        <v>1010.65</v>
      </c>
      <c r="L1480" s="17"/>
      <c r="M1480" s="29">
        <f t="shared" si="65"/>
        <v>0</v>
      </c>
      <c r="N1480" s="31">
        <f>0.273*L1480</f>
        <v>0</v>
      </c>
      <c r="O1480" s="32">
        <f>0.00393*L1480</f>
        <v>0</v>
      </c>
      <c r="P1480" s="36"/>
      <c r="Q1480" s="29" t="s">
        <v>4833</v>
      </c>
      <c r="R1480" s="29"/>
      <c r="S1480" s="26" t="str">
        <f>HYPERLINK("https://miland.ru/api/getInfo/image/5deef075-60fb-11ed-a229-00155d82e902")</f>
        <v>https://miland.ru/api/getInfo/image/5deef075-60fb-11ed-a229-00155d82e902</v>
      </c>
    </row>
    <row r="1481" spans="1:19" s="2" customFormat="1" ht="96.2" customHeight="1" outlineLevel="7">
      <c r="A1481" s="52">
        <v>1140</v>
      </c>
      <c r="B1481" s="26" t="s">
        <v>4834</v>
      </c>
      <c r="C1481" s="66" t="s">
        <v>4835</v>
      </c>
      <c r="D1481" s="66"/>
      <c r="E1481" s="66"/>
      <c r="F1481" s="66"/>
      <c r="G1481" s="27" t="s">
        <v>4836</v>
      </c>
      <c r="H1481" s="28" t="s">
        <v>44</v>
      </c>
      <c r="I1481" s="29"/>
      <c r="J1481" s="25">
        <v>1</v>
      </c>
      <c r="K1481" s="30">
        <v>965.46</v>
      </c>
      <c r="L1481" s="17"/>
      <c r="M1481" s="29">
        <f t="shared" si="65"/>
        <v>0</v>
      </c>
      <c r="N1481" s="34">
        <f>0.27*L1481</f>
        <v>0</v>
      </c>
      <c r="O1481" s="32">
        <f>0.00423*L1481</f>
        <v>0</v>
      </c>
      <c r="P1481" s="36"/>
      <c r="Q1481" s="29" t="s">
        <v>4837</v>
      </c>
      <c r="R1481" s="29"/>
      <c r="S1481" s="26" t="str">
        <f>HYPERLINK("https://miland.ru/api/getInfo/image/0bc29b53-60ff-11ed-a229-00155d82e902")</f>
        <v>https://miland.ru/api/getInfo/image/0bc29b53-60ff-11ed-a229-00155d82e902</v>
      </c>
    </row>
    <row r="1482" spans="1:19" s="2" customFormat="1" ht="96.2" customHeight="1" outlineLevel="7">
      <c r="A1482" s="52">
        <v>1141</v>
      </c>
      <c r="B1482" s="26" t="s">
        <v>4838</v>
      </c>
      <c r="C1482" s="66" t="s">
        <v>4839</v>
      </c>
      <c r="D1482" s="66"/>
      <c r="E1482" s="66"/>
      <c r="F1482" s="66"/>
      <c r="G1482" s="27" t="s">
        <v>4840</v>
      </c>
      <c r="H1482" s="33">
        <v>341</v>
      </c>
      <c r="I1482" s="29"/>
      <c r="J1482" s="25">
        <v>1</v>
      </c>
      <c r="K1482" s="30">
        <v>965.46</v>
      </c>
      <c r="L1482" s="17"/>
      <c r="M1482" s="29">
        <f t="shared" si="65"/>
        <v>0</v>
      </c>
      <c r="N1482" s="31">
        <f>0.295*L1482</f>
        <v>0</v>
      </c>
      <c r="O1482" s="32">
        <f>0.00378*L1482</f>
        <v>0</v>
      </c>
      <c r="P1482" s="36"/>
      <c r="Q1482" s="29" t="s">
        <v>4841</v>
      </c>
      <c r="R1482" s="29"/>
      <c r="S1482" s="26" t="str">
        <f>HYPERLINK("https://miland.ru/api/getInfo/image/9c775c65-60fe-11ed-a229-00155d82e902")</f>
        <v>https://miland.ru/api/getInfo/image/9c775c65-60fe-11ed-a229-00155d82e902</v>
      </c>
    </row>
    <row r="1483" spans="1:19" s="2" customFormat="1" ht="96.2" customHeight="1" outlineLevel="7">
      <c r="A1483" s="52">
        <v>1142</v>
      </c>
      <c r="B1483" s="26" t="s">
        <v>4842</v>
      </c>
      <c r="C1483" s="66" t="s">
        <v>4843</v>
      </c>
      <c r="D1483" s="66"/>
      <c r="E1483" s="66"/>
      <c r="F1483" s="66"/>
      <c r="G1483" s="27" t="s">
        <v>4844</v>
      </c>
      <c r="H1483" s="33">
        <v>447</v>
      </c>
      <c r="I1483" s="29"/>
      <c r="J1483" s="25">
        <v>1</v>
      </c>
      <c r="K1483" s="30">
        <v>990.66</v>
      </c>
      <c r="L1483" s="17"/>
      <c r="M1483" s="29">
        <f t="shared" si="65"/>
        <v>0</v>
      </c>
      <c r="N1483" s="31">
        <f>0.335*L1483</f>
        <v>0</v>
      </c>
      <c r="O1483" s="32">
        <f>0.00625*L1483</f>
        <v>0</v>
      </c>
      <c r="P1483" s="36"/>
      <c r="Q1483" s="29" t="s">
        <v>4845</v>
      </c>
      <c r="R1483" s="29"/>
      <c r="S1483" s="26" t="str">
        <f>HYPERLINK("https://miland.ru/api/getInfo/image/f1100cde-9728-11ed-a22d-00155d82e902")</f>
        <v>https://miland.ru/api/getInfo/image/f1100cde-9728-11ed-a22d-00155d82e902</v>
      </c>
    </row>
    <row r="1484" spans="1:19" s="2" customFormat="1" ht="96.2" customHeight="1" outlineLevel="7">
      <c r="A1484" s="52">
        <v>1143</v>
      </c>
      <c r="B1484" s="26" t="s">
        <v>4846</v>
      </c>
      <c r="C1484" s="66" t="s">
        <v>4847</v>
      </c>
      <c r="D1484" s="66"/>
      <c r="E1484" s="66"/>
      <c r="F1484" s="66"/>
      <c r="G1484" s="27" t="s">
        <v>4848</v>
      </c>
      <c r="H1484" s="28" t="s">
        <v>44</v>
      </c>
      <c r="I1484" s="29"/>
      <c r="J1484" s="25">
        <v>1</v>
      </c>
      <c r="K1484" s="30">
        <v>990.66</v>
      </c>
      <c r="L1484" s="17"/>
      <c r="M1484" s="29">
        <f t="shared" si="65"/>
        <v>0</v>
      </c>
      <c r="N1484" s="31">
        <f>0.302*L1484</f>
        <v>0</v>
      </c>
      <c r="O1484" s="32">
        <f>0.00637*L1484</f>
        <v>0</v>
      </c>
      <c r="P1484" s="36"/>
      <c r="Q1484" s="29" t="s">
        <v>4849</v>
      </c>
      <c r="R1484" s="29"/>
      <c r="S1484" s="26" t="str">
        <f>HYPERLINK("https://miland.ru/api/getInfo/image/b4e602e4-9728-11ed-a22d-00155d82e902")</f>
        <v>https://miland.ru/api/getInfo/image/b4e602e4-9728-11ed-a22d-00155d82e902</v>
      </c>
    </row>
    <row r="1485" spans="1:19" s="2" customFormat="1" ht="96.2" customHeight="1" outlineLevel="7">
      <c r="A1485" s="52">
        <v>1144</v>
      </c>
      <c r="B1485" s="26" t="s">
        <v>4850</v>
      </c>
      <c r="C1485" s="66" t="s">
        <v>4851</v>
      </c>
      <c r="D1485" s="66"/>
      <c r="E1485" s="66"/>
      <c r="F1485" s="66"/>
      <c r="G1485" s="27" t="s">
        <v>4852</v>
      </c>
      <c r="H1485" s="33">
        <v>142</v>
      </c>
      <c r="I1485" s="29"/>
      <c r="J1485" s="25">
        <v>1</v>
      </c>
      <c r="K1485" s="37">
        <v>1027.97</v>
      </c>
      <c r="L1485" s="17"/>
      <c r="M1485" s="29">
        <f t="shared" si="65"/>
        <v>0</v>
      </c>
      <c r="N1485" s="31">
        <f>0.337*L1485</f>
        <v>0</v>
      </c>
      <c r="O1485" s="32">
        <f>0.00674*L1485</f>
        <v>0</v>
      </c>
      <c r="P1485" s="36"/>
      <c r="Q1485" s="29" t="s">
        <v>4853</v>
      </c>
      <c r="R1485" s="29"/>
      <c r="S1485" s="26" t="str">
        <f>HYPERLINK("https://miland.ru/api/getInfo/image/7bedc57e-9728-11ed-a22d-00155d82e902")</f>
        <v>https://miland.ru/api/getInfo/image/7bedc57e-9728-11ed-a22d-00155d82e902</v>
      </c>
    </row>
    <row r="1486" spans="1:19" s="1" customFormat="1" ht="12" customHeight="1" outlineLevel="6">
      <c r="A1486" s="64" t="s">
        <v>4854</v>
      </c>
      <c r="B1486" s="64"/>
      <c r="C1486" s="64"/>
      <c r="D1486" s="64"/>
      <c r="E1486" s="64"/>
      <c r="F1486" s="64"/>
      <c r="G1486" s="8"/>
      <c r="H1486" s="12"/>
      <c r="I1486" s="2"/>
      <c r="J1486" s="2"/>
      <c r="K1486" s="13"/>
      <c r="L1486" s="2"/>
      <c r="M1486" s="2"/>
      <c r="N1486" s="2"/>
      <c r="O1486" s="2"/>
      <c r="P1486" s="2"/>
      <c r="Q1486" s="2"/>
      <c r="R1486" s="2"/>
      <c r="S1486" s="2"/>
    </row>
    <row r="1487" spans="1:19" s="2" customFormat="1" ht="96.2" customHeight="1" outlineLevel="7">
      <c r="A1487" s="53">
        <v>1145</v>
      </c>
      <c r="B1487" s="10" t="s">
        <v>4855</v>
      </c>
      <c r="C1487" s="65" t="s">
        <v>4856</v>
      </c>
      <c r="D1487" s="65"/>
      <c r="E1487" s="65"/>
      <c r="F1487" s="65"/>
      <c r="G1487" s="11" t="s">
        <v>4857</v>
      </c>
      <c r="H1487" s="14">
        <v>1</v>
      </c>
      <c r="I1487" s="15"/>
      <c r="J1487" s="9">
        <v>1</v>
      </c>
      <c r="K1487" s="16">
        <v>147.09</v>
      </c>
      <c r="L1487" s="17"/>
      <c r="M1487" s="15">
        <f>K1487*L1487</f>
        <v>0</v>
      </c>
      <c r="N1487" s="18">
        <f>0.124*L1487</f>
        <v>0</v>
      </c>
      <c r="O1487" s="19">
        <f>0.00438*L1487</f>
        <v>0</v>
      </c>
      <c r="P1487" s="24" t="s">
        <v>26</v>
      </c>
      <c r="Q1487" s="15" t="s">
        <v>4858</v>
      </c>
      <c r="R1487" s="15"/>
      <c r="S1487" s="10" t="str">
        <f>HYPERLINK("https://miland.ru/api/getInfo/image/ca331c7d-3185-11f1-a292-00155d82e908")</f>
        <v>https://miland.ru/api/getInfo/image/ca331c7d-3185-11f1-a292-00155d82e908</v>
      </c>
    </row>
    <row r="1488" spans="1:19" s="2" customFormat="1" ht="96.2" customHeight="1" outlineLevel="7">
      <c r="A1488" s="53">
        <v>1146</v>
      </c>
      <c r="B1488" s="10" t="s">
        <v>4859</v>
      </c>
      <c r="C1488" s="65" t="s">
        <v>4860</v>
      </c>
      <c r="D1488" s="65"/>
      <c r="E1488" s="65"/>
      <c r="F1488" s="65"/>
      <c r="G1488" s="11" t="s">
        <v>4861</v>
      </c>
      <c r="H1488" s="14">
        <v>5</v>
      </c>
      <c r="I1488" s="15"/>
      <c r="J1488" s="9">
        <v>4</v>
      </c>
      <c r="K1488" s="16">
        <v>147.09</v>
      </c>
      <c r="L1488" s="17"/>
      <c r="M1488" s="15">
        <f>K1488*L1488</f>
        <v>0</v>
      </c>
      <c r="N1488" s="23">
        <f>0.11*L1488</f>
        <v>0</v>
      </c>
      <c r="O1488" s="20">
        <f>0.0041*L1488</f>
        <v>0</v>
      </c>
      <c r="P1488" s="24" t="s">
        <v>26</v>
      </c>
      <c r="Q1488" s="15" t="s">
        <v>4862</v>
      </c>
      <c r="R1488" s="15"/>
      <c r="S1488" s="10" t="str">
        <f>HYPERLINK("https://miland.ru/api/getInfo/image/29fbc4ca-3180-11f1-a292-00155d82e908")</f>
        <v>https://miland.ru/api/getInfo/image/29fbc4ca-3180-11f1-a292-00155d82e908</v>
      </c>
    </row>
    <row r="1489" spans="1:19" s="2" customFormat="1" ht="96.2" customHeight="1" outlineLevel="7">
      <c r="A1489" s="53">
        <v>1147</v>
      </c>
      <c r="B1489" s="10" t="s">
        <v>4863</v>
      </c>
      <c r="C1489" s="65" t="s">
        <v>4864</v>
      </c>
      <c r="D1489" s="65"/>
      <c r="E1489" s="65"/>
      <c r="F1489" s="65"/>
      <c r="G1489" s="11" t="s">
        <v>4865</v>
      </c>
      <c r="H1489" s="14">
        <v>52</v>
      </c>
      <c r="I1489" s="15"/>
      <c r="J1489" s="9">
        <v>4</v>
      </c>
      <c r="K1489" s="16">
        <v>147.09</v>
      </c>
      <c r="L1489" s="17"/>
      <c r="M1489" s="15">
        <f>K1489*L1489</f>
        <v>0</v>
      </c>
      <c r="N1489" s="18">
        <f>0.164*L1489</f>
        <v>0</v>
      </c>
      <c r="O1489" s="19">
        <f>0.00433*L1489</f>
        <v>0</v>
      </c>
      <c r="P1489" s="24" t="s">
        <v>26</v>
      </c>
      <c r="Q1489" s="15" t="s">
        <v>4866</v>
      </c>
      <c r="R1489" s="15"/>
      <c r="S1489" s="10" t="str">
        <f>HYPERLINK("https://miland.ru/api/getInfo/image/a7f9756d-3185-11f1-a292-00155d82e908")</f>
        <v>https://miland.ru/api/getInfo/image/a7f9756d-3185-11f1-a292-00155d82e908</v>
      </c>
    </row>
    <row r="1490" spans="1:19" s="2" customFormat="1" ht="96.2" customHeight="1" outlineLevel="7">
      <c r="A1490" s="53">
        <v>1148</v>
      </c>
      <c r="B1490" s="10" t="s">
        <v>4867</v>
      </c>
      <c r="C1490" s="65" t="s">
        <v>4868</v>
      </c>
      <c r="D1490" s="65"/>
      <c r="E1490" s="65"/>
      <c r="F1490" s="65"/>
      <c r="G1490" s="11" t="s">
        <v>4869</v>
      </c>
      <c r="H1490" s="14">
        <v>52</v>
      </c>
      <c r="I1490" s="15"/>
      <c r="J1490" s="9">
        <v>4</v>
      </c>
      <c r="K1490" s="16">
        <v>147.09</v>
      </c>
      <c r="L1490" s="17"/>
      <c r="M1490" s="15">
        <f>K1490*L1490</f>
        <v>0</v>
      </c>
      <c r="N1490" s="18">
        <f>0.123*L1490</f>
        <v>0</v>
      </c>
      <c r="O1490" s="19">
        <f>0.00412*L1490</f>
        <v>0</v>
      </c>
      <c r="P1490" s="24" t="s">
        <v>26</v>
      </c>
      <c r="Q1490" s="15" t="s">
        <v>4870</v>
      </c>
      <c r="R1490" s="15"/>
      <c r="S1490" s="10" t="str">
        <f>HYPERLINK("https://miland.ru/api/getInfo/image/b92c906b-3185-11f1-a292-00155d82e908")</f>
        <v>https://miland.ru/api/getInfo/image/b92c906b-3185-11f1-a292-00155d82e908</v>
      </c>
    </row>
    <row r="1491" spans="1:19" s="1" customFormat="1" ht="12" customHeight="1" outlineLevel="5">
      <c r="A1491" s="64" t="s">
        <v>4871</v>
      </c>
      <c r="B1491" s="64"/>
      <c r="C1491" s="64"/>
      <c r="D1491" s="64"/>
      <c r="E1491" s="64"/>
      <c r="F1491" s="64"/>
      <c r="G1491" s="8"/>
      <c r="H1491" s="12"/>
      <c r="I1491" s="2"/>
      <c r="J1491" s="2"/>
      <c r="K1491" s="13"/>
      <c r="L1491" s="2"/>
      <c r="M1491" s="2"/>
      <c r="N1491" s="2"/>
      <c r="O1491" s="2"/>
      <c r="P1491" s="2"/>
      <c r="Q1491" s="2"/>
      <c r="R1491" s="2"/>
      <c r="S1491" s="2"/>
    </row>
    <row r="1492" spans="1:19" s="2" customFormat="1" ht="96.2" customHeight="1" outlineLevel="6">
      <c r="A1492" s="52">
        <v>1149</v>
      </c>
      <c r="B1492" s="26" t="s">
        <v>4872</v>
      </c>
      <c r="C1492" s="66" t="s">
        <v>4873</v>
      </c>
      <c r="D1492" s="66"/>
      <c r="E1492" s="66"/>
      <c r="F1492" s="66"/>
      <c r="G1492" s="27" t="s">
        <v>4874</v>
      </c>
      <c r="H1492" s="33">
        <v>214</v>
      </c>
      <c r="I1492" s="29"/>
      <c r="J1492" s="25">
        <v>2</v>
      </c>
      <c r="K1492" s="30">
        <v>394.55</v>
      </c>
      <c r="L1492" s="17"/>
      <c r="M1492" s="29">
        <f t="shared" ref="M1492:M1500" si="66">K1492*L1492</f>
        <v>0</v>
      </c>
      <c r="N1492" s="31">
        <f>0.134*L1492</f>
        <v>0</v>
      </c>
      <c r="O1492" s="32">
        <f>0.00197*L1492</f>
        <v>0</v>
      </c>
      <c r="P1492" s="36"/>
      <c r="Q1492" s="29" t="s">
        <v>4875</v>
      </c>
      <c r="R1492" s="29" t="s">
        <v>611</v>
      </c>
      <c r="S1492" s="26" t="str">
        <f>HYPERLINK("https://miland.ru/api/getInfo/image/419d4c32-0b7e-11ef-a25d-00155d82e908")</f>
        <v>https://miland.ru/api/getInfo/image/419d4c32-0b7e-11ef-a25d-00155d82e908</v>
      </c>
    </row>
    <row r="1493" spans="1:19" s="2" customFormat="1" ht="96.2" customHeight="1" outlineLevel="6">
      <c r="A1493" s="52">
        <v>1150</v>
      </c>
      <c r="B1493" s="26" t="s">
        <v>4876</v>
      </c>
      <c r="C1493" s="66" t="s">
        <v>4877</v>
      </c>
      <c r="D1493" s="66"/>
      <c r="E1493" s="66"/>
      <c r="F1493" s="66"/>
      <c r="G1493" s="27" t="s">
        <v>4878</v>
      </c>
      <c r="H1493" s="28" t="s">
        <v>44</v>
      </c>
      <c r="I1493" s="29"/>
      <c r="J1493" s="25">
        <v>1</v>
      </c>
      <c r="K1493" s="30">
        <v>499.38</v>
      </c>
      <c r="L1493" s="17"/>
      <c r="M1493" s="29">
        <f t="shared" si="66"/>
        <v>0</v>
      </c>
      <c r="N1493" s="31">
        <f>0.101*L1493</f>
        <v>0</v>
      </c>
      <c r="O1493" s="32">
        <f>0.00166*L1493</f>
        <v>0</v>
      </c>
      <c r="P1493" s="36"/>
      <c r="Q1493" s="29" t="s">
        <v>4879</v>
      </c>
      <c r="R1493" s="29"/>
      <c r="S1493" s="26" t="str">
        <f>HYPERLINK("https://miland.ru/api/getInfo/image/8b0b1c05-81fa-11ed-a22a-00155d82e902")</f>
        <v>https://miland.ru/api/getInfo/image/8b0b1c05-81fa-11ed-a22a-00155d82e902</v>
      </c>
    </row>
    <row r="1494" spans="1:19" s="2" customFormat="1" ht="96.2" customHeight="1" outlineLevel="6">
      <c r="A1494" s="52">
        <v>1151</v>
      </c>
      <c r="B1494" s="26" t="s">
        <v>4880</v>
      </c>
      <c r="C1494" s="66" t="s">
        <v>4881</v>
      </c>
      <c r="D1494" s="66"/>
      <c r="E1494" s="66"/>
      <c r="F1494" s="66"/>
      <c r="G1494" s="27" t="s">
        <v>4882</v>
      </c>
      <c r="H1494" s="28" t="s">
        <v>44</v>
      </c>
      <c r="I1494" s="29"/>
      <c r="J1494" s="25">
        <v>1</v>
      </c>
      <c r="K1494" s="30">
        <v>451.82</v>
      </c>
      <c r="L1494" s="17"/>
      <c r="M1494" s="29">
        <f t="shared" si="66"/>
        <v>0</v>
      </c>
      <c r="N1494" s="31">
        <f>0.117*L1494</f>
        <v>0</v>
      </c>
      <c r="O1494" s="32">
        <f>0.00172*L1494</f>
        <v>0</v>
      </c>
      <c r="P1494" s="36"/>
      <c r="Q1494" s="29" t="s">
        <v>4883</v>
      </c>
      <c r="R1494" s="29"/>
      <c r="S1494" s="26" t="str">
        <f>HYPERLINK("https://miland.ru/api/getInfo/image/352fc731-81fb-11ed-a22a-00155d82e902")</f>
        <v>https://miland.ru/api/getInfo/image/352fc731-81fb-11ed-a22a-00155d82e902</v>
      </c>
    </row>
    <row r="1495" spans="1:19" s="2" customFormat="1" ht="96.2" customHeight="1" outlineLevel="6">
      <c r="A1495" s="52">
        <v>1152</v>
      </c>
      <c r="B1495" s="26" t="s">
        <v>4884</v>
      </c>
      <c r="C1495" s="66" t="s">
        <v>4885</v>
      </c>
      <c r="D1495" s="66"/>
      <c r="E1495" s="66"/>
      <c r="F1495" s="66"/>
      <c r="G1495" s="27" t="s">
        <v>4886</v>
      </c>
      <c r="H1495" s="28" t="s">
        <v>44</v>
      </c>
      <c r="I1495" s="29"/>
      <c r="J1495" s="25">
        <v>1</v>
      </c>
      <c r="K1495" s="30">
        <v>523.16</v>
      </c>
      <c r="L1495" s="17"/>
      <c r="M1495" s="29">
        <f t="shared" si="66"/>
        <v>0</v>
      </c>
      <c r="N1495" s="31">
        <f>0.109*L1495</f>
        <v>0</v>
      </c>
      <c r="O1495" s="32">
        <f>0.00176*L1495</f>
        <v>0</v>
      </c>
      <c r="P1495" s="36"/>
      <c r="Q1495" s="29" t="s">
        <v>4887</v>
      </c>
      <c r="R1495" s="29"/>
      <c r="S1495" s="26" t="str">
        <f>HYPERLINK("https://miland.ru/api/getInfo/image/e38e9045-81fa-11ed-a22a-00155d82e902")</f>
        <v>https://miland.ru/api/getInfo/image/e38e9045-81fa-11ed-a22a-00155d82e902</v>
      </c>
    </row>
    <row r="1496" spans="1:19" s="2" customFormat="1" ht="96.2" customHeight="1" outlineLevel="6">
      <c r="A1496" s="52">
        <v>1153</v>
      </c>
      <c r="B1496" s="26" t="s">
        <v>4888</v>
      </c>
      <c r="C1496" s="66" t="s">
        <v>4889</v>
      </c>
      <c r="D1496" s="66"/>
      <c r="E1496" s="66"/>
      <c r="F1496" s="66"/>
      <c r="G1496" s="27" t="s">
        <v>4890</v>
      </c>
      <c r="H1496" s="33">
        <v>44</v>
      </c>
      <c r="I1496" s="29"/>
      <c r="J1496" s="25">
        <v>3</v>
      </c>
      <c r="K1496" s="30">
        <v>262.87</v>
      </c>
      <c r="L1496" s="17"/>
      <c r="M1496" s="29">
        <f t="shared" si="66"/>
        <v>0</v>
      </c>
      <c r="N1496" s="31">
        <f>0.099*L1496</f>
        <v>0</v>
      </c>
      <c r="O1496" s="32">
        <f>0.00227*L1496</f>
        <v>0</v>
      </c>
      <c r="P1496" s="36"/>
      <c r="Q1496" s="29" t="s">
        <v>4891</v>
      </c>
      <c r="R1496" s="29"/>
      <c r="S1496" s="26" t="str">
        <f>HYPERLINK("https://miland.ru/api/getInfo/image/e7043602-8a62-11ec-a211-ac1f6b442185")</f>
        <v>https://miland.ru/api/getInfo/image/e7043602-8a62-11ec-a211-ac1f6b442185</v>
      </c>
    </row>
    <row r="1497" spans="1:19" s="2" customFormat="1" ht="96.2" customHeight="1" outlineLevel="6">
      <c r="A1497" s="54">
        <v>1154</v>
      </c>
      <c r="B1497" s="39" t="s">
        <v>4892</v>
      </c>
      <c r="C1497" s="67" t="s">
        <v>4893</v>
      </c>
      <c r="D1497" s="67"/>
      <c r="E1497" s="67"/>
      <c r="F1497" s="67"/>
      <c r="G1497" s="40" t="s">
        <v>4894</v>
      </c>
      <c r="H1497" s="42">
        <v>7</v>
      </c>
      <c r="I1497" s="43"/>
      <c r="J1497" s="38">
        <v>1</v>
      </c>
      <c r="K1497" s="44">
        <v>206.22</v>
      </c>
      <c r="L1497" s="17"/>
      <c r="M1497" s="43">
        <f t="shared" si="66"/>
        <v>0</v>
      </c>
      <c r="N1497" s="45">
        <f>0.11*L1497</f>
        <v>0</v>
      </c>
      <c r="O1497" s="46">
        <f>0.00154*L1497</f>
        <v>0</v>
      </c>
      <c r="P1497" s="49"/>
      <c r="Q1497" s="43" t="s">
        <v>4895</v>
      </c>
      <c r="R1497" s="43" t="s">
        <v>611</v>
      </c>
      <c r="S1497" s="39" t="str">
        <f>HYPERLINK("https://miland.ru/api/getInfo/image/0d31e505-8b3a-11ec-a211-ac1f6b442185")</f>
        <v>https://miland.ru/api/getInfo/image/0d31e505-8b3a-11ec-a211-ac1f6b442185</v>
      </c>
    </row>
    <row r="1498" spans="1:19" s="2" customFormat="1" ht="96.2" customHeight="1" outlineLevel="6">
      <c r="A1498" s="52">
        <v>1155</v>
      </c>
      <c r="B1498" s="26" t="s">
        <v>4896</v>
      </c>
      <c r="C1498" s="66" t="s">
        <v>4897</v>
      </c>
      <c r="D1498" s="66"/>
      <c r="E1498" s="66"/>
      <c r="F1498" s="66"/>
      <c r="G1498" s="27" t="s">
        <v>4898</v>
      </c>
      <c r="H1498" s="33">
        <v>294</v>
      </c>
      <c r="I1498" s="29"/>
      <c r="J1498" s="25">
        <v>4</v>
      </c>
      <c r="K1498" s="30">
        <v>156.59</v>
      </c>
      <c r="L1498" s="17"/>
      <c r="M1498" s="29">
        <f t="shared" si="66"/>
        <v>0</v>
      </c>
      <c r="N1498" s="31">
        <f>0.046*L1498</f>
        <v>0</v>
      </c>
      <c r="O1498" s="32">
        <f>0.00117*L1498</f>
        <v>0</v>
      </c>
      <c r="P1498" s="36"/>
      <c r="Q1498" s="29" t="s">
        <v>4899</v>
      </c>
      <c r="R1498" s="29"/>
      <c r="S1498" s="26" t="str">
        <f>HYPERLINK("https://miland.ru/api/getInfo/image/e32645fa-9723-11ed-a22d-00155d82e902")</f>
        <v>https://miland.ru/api/getInfo/image/e32645fa-9723-11ed-a22d-00155d82e902</v>
      </c>
    </row>
    <row r="1499" spans="1:19" s="2" customFormat="1" ht="96.2" customHeight="1" outlineLevel="6">
      <c r="A1499" s="52">
        <v>1156</v>
      </c>
      <c r="B1499" s="26" t="s">
        <v>4900</v>
      </c>
      <c r="C1499" s="66" t="s">
        <v>4901</v>
      </c>
      <c r="D1499" s="66"/>
      <c r="E1499" s="66"/>
      <c r="F1499" s="66"/>
      <c r="G1499" s="27" t="s">
        <v>4902</v>
      </c>
      <c r="H1499" s="33">
        <v>90</v>
      </c>
      <c r="I1499" s="29"/>
      <c r="J1499" s="25">
        <v>4</v>
      </c>
      <c r="K1499" s="30">
        <v>178.58</v>
      </c>
      <c r="L1499" s="17"/>
      <c r="M1499" s="29">
        <f t="shared" si="66"/>
        <v>0</v>
      </c>
      <c r="N1499" s="31">
        <f>0.051*L1499</f>
        <v>0</v>
      </c>
      <c r="O1499" s="32">
        <f>0.00075*L1499</f>
        <v>0</v>
      </c>
      <c r="P1499" s="36"/>
      <c r="Q1499" s="29" t="s">
        <v>4903</v>
      </c>
      <c r="R1499" s="29"/>
      <c r="S1499" s="26" t="str">
        <f>HYPERLINK("https://miland.ru/api/getInfo/image/21e01045-9725-11ed-a22d-00155d82e902")</f>
        <v>https://miland.ru/api/getInfo/image/21e01045-9725-11ed-a22d-00155d82e902</v>
      </c>
    </row>
    <row r="1500" spans="1:19" s="2" customFormat="1" ht="96.2" customHeight="1" outlineLevel="6">
      <c r="A1500" s="52">
        <v>1157</v>
      </c>
      <c r="B1500" s="26" t="s">
        <v>4904</v>
      </c>
      <c r="C1500" s="66" t="s">
        <v>4905</v>
      </c>
      <c r="D1500" s="66"/>
      <c r="E1500" s="66"/>
      <c r="F1500" s="66"/>
      <c r="G1500" s="27" t="s">
        <v>4906</v>
      </c>
      <c r="H1500" s="33">
        <v>191</v>
      </c>
      <c r="I1500" s="29"/>
      <c r="J1500" s="25">
        <v>5</v>
      </c>
      <c r="K1500" s="30">
        <v>138.34</v>
      </c>
      <c r="L1500" s="17"/>
      <c r="M1500" s="29">
        <f t="shared" si="66"/>
        <v>0</v>
      </c>
      <c r="N1500" s="31">
        <f>0.038*L1500</f>
        <v>0</v>
      </c>
      <c r="O1500" s="32">
        <f>0.00054*L1500</f>
        <v>0</v>
      </c>
      <c r="P1500" s="36"/>
      <c r="Q1500" s="29" t="s">
        <v>4907</v>
      </c>
      <c r="R1500" s="29"/>
      <c r="S1500" s="26" t="str">
        <f>HYPERLINK("https://miland.ru/api/getInfo/image/9eca6c30-9723-11ed-a22d-00155d82e902")</f>
        <v>https://miland.ru/api/getInfo/image/9eca6c30-9723-11ed-a22d-00155d82e902</v>
      </c>
    </row>
    <row r="1501" spans="1:19" s="1" customFormat="1" ht="12" customHeight="1" outlineLevel="5">
      <c r="A1501" s="64" t="s">
        <v>4908</v>
      </c>
      <c r="B1501" s="64"/>
      <c r="C1501" s="64"/>
      <c r="D1501" s="64"/>
      <c r="E1501" s="64"/>
      <c r="F1501" s="64"/>
      <c r="G1501" s="8"/>
      <c r="H1501" s="12"/>
      <c r="I1501" s="2"/>
      <c r="J1501" s="2"/>
      <c r="K1501" s="13"/>
      <c r="L1501" s="2"/>
      <c r="M1501" s="2"/>
      <c r="N1501" s="2"/>
      <c r="O1501" s="2"/>
      <c r="P1501" s="2"/>
      <c r="Q1501" s="2"/>
      <c r="R1501" s="2"/>
      <c r="S1501" s="2"/>
    </row>
    <row r="1502" spans="1:19" s="1" customFormat="1" ht="12" customHeight="1" outlineLevel="6">
      <c r="A1502" s="64" t="s">
        <v>4909</v>
      </c>
      <c r="B1502" s="64"/>
      <c r="C1502" s="64"/>
      <c r="D1502" s="64"/>
      <c r="E1502" s="64"/>
      <c r="F1502" s="64"/>
      <c r="G1502" s="8"/>
      <c r="H1502" s="12"/>
      <c r="I1502" s="2"/>
      <c r="J1502" s="2"/>
      <c r="K1502" s="13"/>
      <c r="L1502" s="2"/>
      <c r="M1502" s="2"/>
      <c r="N1502" s="2"/>
      <c r="O1502" s="2"/>
      <c r="P1502" s="2"/>
      <c r="Q1502" s="2"/>
      <c r="R1502" s="2"/>
      <c r="S1502" s="2"/>
    </row>
    <row r="1503" spans="1:19" s="2" customFormat="1" ht="96.2" customHeight="1" outlineLevel="7">
      <c r="A1503" s="53">
        <v>1158</v>
      </c>
      <c r="B1503" s="10" t="s">
        <v>4910</v>
      </c>
      <c r="C1503" s="65" t="s">
        <v>4911</v>
      </c>
      <c r="D1503" s="65"/>
      <c r="E1503" s="65"/>
      <c r="F1503" s="65"/>
      <c r="G1503" s="11" t="s">
        <v>4912</v>
      </c>
      <c r="H1503" s="14">
        <v>13</v>
      </c>
      <c r="I1503" s="15"/>
      <c r="J1503" s="9">
        <v>1</v>
      </c>
      <c r="K1503" s="22">
        <v>1293.53</v>
      </c>
      <c r="L1503" s="17"/>
      <c r="M1503" s="15">
        <f>K1503*L1503</f>
        <v>0</v>
      </c>
      <c r="N1503" s="18">
        <f>0.396*L1503</f>
        <v>0</v>
      </c>
      <c r="O1503" s="19">
        <f>0.00957*L1503</f>
        <v>0</v>
      </c>
      <c r="P1503" s="24" t="s">
        <v>26</v>
      </c>
      <c r="Q1503" s="15" t="s">
        <v>4913</v>
      </c>
      <c r="R1503" s="15"/>
      <c r="S1503" s="10" t="str">
        <f>HYPERLINK("https://miland.ru/api/getInfo/image/fc27bb5f-2777-11f1-a291-00155d82e908")</f>
        <v>https://miland.ru/api/getInfo/image/fc27bb5f-2777-11f1-a291-00155d82e908</v>
      </c>
    </row>
    <row r="1504" spans="1:19" s="2" customFormat="1" ht="96.2" customHeight="1" outlineLevel="7">
      <c r="A1504" s="53">
        <v>1159</v>
      </c>
      <c r="B1504" s="10" t="s">
        <v>4914</v>
      </c>
      <c r="C1504" s="65" t="s">
        <v>4915</v>
      </c>
      <c r="D1504" s="65"/>
      <c r="E1504" s="65"/>
      <c r="F1504" s="65"/>
      <c r="G1504" s="11" t="s">
        <v>4916</v>
      </c>
      <c r="H1504" s="14">
        <v>36</v>
      </c>
      <c r="I1504" s="15"/>
      <c r="J1504" s="9">
        <v>1</v>
      </c>
      <c r="K1504" s="22">
        <v>1293.53</v>
      </c>
      <c r="L1504" s="17"/>
      <c r="M1504" s="15">
        <f>K1504*L1504</f>
        <v>0</v>
      </c>
      <c r="N1504" s="18">
        <f>0.398*L1504</f>
        <v>0</v>
      </c>
      <c r="O1504" s="19">
        <f>0.00861*L1504</f>
        <v>0</v>
      </c>
      <c r="P1504" s="24" t="s">
        <v>26</v>
      </c>
      <c r="Q1504" s="15" t="s">
        <v>4917</v>
      </c>
      <c r="R1504" s="15"/>
      <c r="S1504" s="10" t="str">
        <f>HYPERLINK("https://miland.ru/api/getInfo/image/599e2018-2778-11f1-a291-00155d82e908")</f>
        <v>https://miland.ru/api/getInfo/image/599e2018-2778-11f1-a291-00155d82e908</v>
      </c>
    </row>
    <row r="1505" spans="1:19" s="1" customFormat="1" ht="12" customHeight="1" outlineLevel="4">
      <c r="A1505" s="64" t="s">
        <v>4918</v>
      </c>
      <c r="B1505" s="64"/>
      <c r="C1505" s="64"/>
      <c r="D1505" s="64"/>
      <c r="E1505" s="64"/>
      <c r="F1505" s="64"/>
      <c r="G1505" s="8"/>
      <c r="H1505" s="12"/>
      <c r="I1505" s="2"/>
      <c r="J1505" s="2"/>
      <c r="K1505" s="13"/>
      <c r="L1505" s="2"/>
      <c r="M1505" s="2"/>
      <c r="N1505" s="2"/>
      <c r="O1505" s="2"/>
      <c r="P1505" s="2"/>
      <c r="Q1505" s="2"/>
      <c r="R1505" s="2"/>
      <c r="S1505" s="2"/>
    </row>
    <row r="1506" spans="1:19" s="1" customFormat="1" ht="12" customHeight="1" outlineLevel="5">
      <c r="A1506" s="64" t="s">
        <v>4919</v>
      </c>
      <c r="B1506" s="64"/>
      <c r="C1506" s="64"/>
      <c r="D1506" s="64"/>
      <c r="E1506" s="64"/>
      <c r="F1506" s="64"/>
      <c r="G1506" s="8"/>
      <c r="H1506" s="12"/>
      <c r="I1506" s="2"/>
      <c r="J1506" s="2"/>
      <c r="K1506" s="13"/>
      <c r="L1506" s="2"/>
      <c r="M1506" s="2"/>
      <c r="N1506" s="2"/>
      <c r="O1506" s="2"/>
      <c r="P1506" s="2"/>
      <c r="Q1506" s="2"/>
      <c r="R1506" s="2"/>
      <c r="S1506" s="2"/>
    </row>
    <row r="1507" spans="1:19" s="2" customFormat="1" ht="96.2" customHeight="1" outlineLevel="6">
      <c r="A1507" s="52">
        <v>1160</v>
      </c>
      <c r="B1507" s="26" t="s">
        <v>4920</v>
      </c>
      <c r="C1507" s="66" t="s">
        <v>4921</v>
      </c>
      <c r="D1507" s="66"/>
      <c r="E1507" s="66"/>
      <c r="F1507" s="66"/>
      <c r="G1507" s="27" t="s">
        <v>4922</v>
      </c>
      <c r="H1507" s="33">
        <v>1</v>
      </c>
      <c r="I1507" s="29"/>
      <c r="J1507" s="25">
        <v>1</v>
      </c>
      <c r="K1507" s="37">
        <v>2818.57</v>
      </c>
      <c r="L1507" s="17"/>
      <c r="M1507" s="29">
        <f>K1507*L1507</f>
        <v>0</v>
      </c>
      <c r="N1507" s="31">
        <f>0.754*L1507</f>
        <v>0</v>
      </c>
      <c r="O1507" s="32">
        <f>0.00778*L1507</f>
        <v>0</v>
      </c>
      <c r="P1507" s="36"/>
      <c r="Q1507" s="29" t="s">
        <v>4923</v>
      </c>
      <c r="R1507" s="29"/>
      <c r="S1507" s="26" t="str">
        <f>HYPERLINK("https://miland.ru/api/getInfo/image/3a9834ae-21b1-11f0-a279-00155d82e908")</f>
        <v>https://miland.ru/api/getInfo/image/3a9834ae-21b1-11f0-a279-00155d82e908</v>
      </c>
    </row>
    <row r="1508" spans="1:19" s="2" customFormat="1" ht="96.2" customHeight="1" outlineLevel="6">
      <c r="A1508" s="52">
        <v>1161</v>
      </c>
      <c r="B1508" s="26" t="s">
        <v>4924</v>
      </c>
      <c r="C1508" s="66" t="s">
        <v>4925</v>
      </c>
      <c r="D1508" s="66"/>
      <c r="E1508" s="66"/>
      <c r="F1508" s="66"/>
      <c r="G1508" s="27" t="s">
        <v>4926</v>
      </c>
      <c r="H1508" s="33">
        <v>1</v>
      </c>
      <c r="I1508" s="29"/>
      <c r="J1508" s="25">
        <v>1</v>
      </c>
      <c r="K1508" s="37">
        <v>3781.97</v>
      </c>
      <c r="L1508" s="17"/>
      <c r="M1508" s="29">
        <f>K1508*L1508</f>
        <v>0</v>
      </c>
      <c r="N1508" s="31">
        <f>0.857*L1508</f>
        <v>0</v>
      </c>
      <c r="O1508" s="32">
        <f>0.00983*L1508</f>
        <v>0</v>
      </c>
      <c r="P1508" s="36"/>
      <c r="Q1508" s="29" t="s">
        <v>4927</v>
      </c>
      <c r="R1508" s="29" t="s">
        <v>611</v>
      </c>
      <c r="S1508" s="26" t="str">
        <f>HYPERLINK("https://miland.ru/api/getInfo/image/2288ac17-21b2-11f0-a279-00155d82e908")</f>
        <v>https://miland.ru/api/getInfo/image/2288ac17-21b2-11f0-a279-00155d82e908</v>
      </c>
    </row>
    <row r="1509" spans="1:19" s="2" customFormat="1" ht="96.2" customHeight="1" outlineLevel="6">
      <c r="A1509" s="52">
        <v>1162</v>
      </c>
      <c r="B1509" s="26" t="s">
        <v>4928</v>
      </c>
      <c r="C1509" s="66" t="s">
        <v>4929</v>
      </c>
      <c r="D1509" s="66"/>
      <c r="E1509" s="66"/>
      <c r="F1509" s="66"/>
      <c r="G1509" s="27" t="s">
        <v>4930</v>
      </c>
      <c r="H1509" s="33">
        <v>2</v>
      </c>
      <c r="I1509" s="29"/>
      <c r="J1509" s="25">
        <v>1</v>
      </c>
      <c r="K1509" s="37">
        <v>2818.57</v>
      </c>
      <c r="L1509" s="17"/>
      <c r="M1509" s="29">
        <f>K1509*L1509</f>
        <v>0</v>
      </c>
      <c r="N1509" s="31">
        <f>0.726*L1509</f>
        <v>0</v>
      </c>
      <c r="O1509" s="32">
        <f>0.00836*L1509</f>
        <v>0</v>
      </c>
      <c r="P1509" s="36"/>
      <c r="Q1509" s="29" t="s">
        <v>4931</v>
      </c>
      <c r="R1509" s="29" t="s">
        <v>611</v>
      </c>
      <c r="S1509" s="26" t="str">
        <f>HYPERLINK("https://miland.ru/api/getInfo/image/dce912d5-21b1-11f0-a279-00155d82e908")</f>
        <v>https://miland.ru/api/getInfo/image/dce912d5-21b1-11f0-a279-00155d82e908</v>
      </c>
    </row>
    <row r="1510" spans="1:19" s="1" customFormat="1" ht="12" customHeight="1" outlineLevel="5">
      <c r="A1510" s="64" t="s">
        <v>4932</v>
      </c>
      <c r="B1510" s="64"/>
      <c r="C1510" s="64"/>
      <c r="D1510" s="64"/>
      <c r="E1510" s="64"/>
      <c r="F1510" s="64"/>
      <c r="G1510" s="8"/>
      <c r="H1510" s="12"/>
      <c r="I1510" s="2"/>
      <c r="J1510" s="2"/>
      <c r="K1510" s="13"/>
      <c r="L1510" s="2"/>
      <c r="M1510" s="2"/>
      <c r="N1510" s="2"/>
      <c r="O1510" s="2"/>
      <c r="P1510" s="2"/>
      <c r="Q1510" s="2"/>
      <c r="R1510" s="2"/>
      <c r="S1510" s="2"/>
    </row>
    <row r="1511" spans="1:19" s="1" customFormat="1" ht="12" customHeight="1" outlineLevel="6">
      <c r="A1511" s="64" t="s">
        <v>4933</v>
      </c>
      <c r="B1511" s="64"/>
      <c r="C1511" s="64"/>
      <c r="D1511" s="64"/>
      <c r="E1511" s="64"/>
      <c r="F1511" s="64"/>
      <c r="G1511" s="8"/>
      <c r="H1511" s="12"/>
      <c r="I1511" s="2"/>
      <c r="J1511" s="2"/>
      <c r="K1511" s="13"/>
      <c r="L1511" s="2"/>
      <c r="M1511" s="2"/>
      <c r="N1511" s="2"/>
      <c r="O1511" s="2"/>
      <c r="P1511" s="2"/>
      <c r="Q1511" s="2"/>
      <c r="R1511" s="2"/>
      <c r="S1511" s="2"/>
    </row>
    <row r="1512" spans="1:19" s="2" customFormat="1" ht="96.2" customHeight="1" outlineLevel="7">
      <c r="A1512" s="52">
        <v>1163</v>
      </c>
      <c r="B1512" s="26" t="s">
        <v>4934</v>
      </c>
      <c r="C1512" s="66" t="s">
        <v>4935</v>
      </c>
      <c r="D1512" s="66"/>
      <c r="E1512" s="66"/>
      <c r="F1512" s="66"/>
      <c r="G1512" s="27" t="s">
        <v>4936</v>
      </c>
      <c r="H1512" s="28" t="s">
        <v>44</v>
      </c>
      <c r="I1512" s="29"/>
      <c r="J1512" s="25">
        <v>1</v>
      </c>
      <c r="K1512" s="37">
        <v>1463.94</v>
      </c>
      <c r="L1512" s="17"/>
      <c r="M1512" s="29">
        <f>K1512*L1512</f>
        <v>0</v>
      </c>
      <c r="N1512" s="31">
        <f>0.807*L1512</f>
        <v>0</v>
      </c>
      <c r="O1512" s="32">
        <f>0.00862*L1512</f>
        <v>0</v>
      </c>
      <c r="P1512" s="36"/>
      <c r="Q1512" s="29" t="s">
        <v>4937</v>
      </c>
      <c r="R1512" s="29"/>
      <c r="S1512" s="26" t="str">
        <f>HYPERLINK("https://miland.ru/api/getInfo/image/e535b07d-325b-11f0-a27c-00155d82e908")</f>
        <v>https://miland.ru/api/getInfo/image/e535b07d-325b-11f0-a27c-00155d82e908</v>
      </c>
    </row>
    <row r="1513" spans="1:19" s="2" customFormat="1" ht="96.2" customHeight="1" outlineLevel="7">
      <c r="A1513" s="52">
        <v>1164</v>
      </c>
      <c r="B1513" s="26" t="s">
        <v>4938</v>
      </c>
      <c r="C1513" s="66" t="s">
        <v>4939</v>
      </c>
      <c r="D1513" s="66"/>
      <c r="E1513" s="66"/>
      <c r="F1513" s="66"/>
      <c r="G1513" s="27" t="s">
        <v>4940</v>
      </c>
      <c r="H1513" s="28" t="s">
        <v>44</v>
      </c>
      <c r="I1513" s="29"/>
      <c r="J1513" s="25">
        <v>1</v>
      </c>
      <c r="K1513" s="37">
        <v>2166.39</v>
      </c>
      <c r="L1513" s="17"/>
      <c r="M1513" s="29">
        <f>K1513*L1513</f>
        <v>0</v>
      </c>
      <c r="N1513" s="31">
        <f>1.574*L1513</f>
        <v>0</v>
      </c>
      <c r="O1513" s="32">
        <f>0.01406*L1513</f>
        <v>0</v>
      </c>
      <c r="P1513" s="36"/>
      <c r="Q1513" s="29" t="s">
        <v>4941</v>
      </c>
      <c r="R1513" s="29"/>
      <c r="S1513" s="26" t="str">
        <f>HYPERLINK("https://miland.ru/api/getInfo/image/487f43c4-325c-11f0-a27c-00155d82e908")</f>
        <v>https://miland.ru/api/getInfo/image/487f43c4-325c-11f0-a27c-00155d82e908</v>
      </c>
    </row>
    <row r="1514" spans="1:19" s="1" customFormat="1" ht="12" customHeight="1" outlineLevel="6">
      <c r="A1514" s="64" t="s">
        <v>4942</v>
      </c>
      <c r="B1514" s="64"/>
      <c r="C1514" s="64"/>
      <c r="D1514" s="64"/>
      <c r="E1514" s="64"/>
      <c r="F1514" s="64"/>
      <c r="G1514" s="8"/>
      <c r="H1514" s="12"/>
      <c r="I1514" s="2"/>
      <c r="J1514" s="2"/>
      <c r="K1514" s="13"/>
      <c r="L1514" s="2"/>
      <c r="M1514" s="2"/>
      <c r="N1514" s="2"/>
      <c r="O1514" s="2"/>
      <c r="P1514" s="2"/>
      <c r="Q1514" s="2"/>
      <c r="R1514" s="2"/>
      <c r="S1514" s="2"/>
    </row>
    <row r="1515" spans="1:19" s="2" customFormat="1" ht="96.2" customHeight="1" outlineLevel="7">
      <c r="A1515" s="52">
        <v>1165</v>
      </c>
      <c r="B1515" s="26" t="s">
        <v>4943</v>
      </c>
      <c r="C1515" s="66" t="s">
        <v>4944</v>
      </c>
      <c r="D1515" s="66"/>
      <c r="E1515" s="66"/>
      <c r="F1515" s="66"/>
      <c r="G1515" s="27" t="s">
        <v>4945</v>
      </c>
      <c r="H1515" s="33">
        <v>179</v>
      </c>
      <c r="I1515" s="29"/>
      <c r="J1515" s="25">
        <v>1</v>
      </c>
      <c r="K1515" s="37">
        <v>2484.79</v>
      </c>
      <c r="L1515" s="17"/>
      <c r="M1515" s="29">
        <f t="shared" ref="M1515:M1524" si="67">K1515*L1515</f>
        <v>0</v>
      </c>
      <c r="N1515" s="31">
        <f>1.625*L1515</f>
        <v>0</v>
      </c>
      <c r="O1515" s="35">
        <f>0.0131*L1515</f>
        <v>0</v>
      </c>
      <c r="P1515" s="36"/>
      <c r="Q1515" s="29" t="s">
        <v>4946</v>
      </c>
      <c r="R1515" s="29"/>
      <c r="S1515" s="26" t="str">
        <f>HYPERLINK("https://miland.ru/api/getInfo/image/8da90101-e200-11ee-a25a-00155d82e908")</f>
        <v>https://miland.ru/api/getInfo/image/8da90101-e200-11ee-a25a-00155d82e908</v>
      </c>
    </row>
    <row r="1516" spans="1:19" s="2" customFormat="1" ht="96.2" customHeight="1" outlineLevel="7">
      <c r="A1516" s="52">
        <v>1166</v>
      </c>
      <c r="B1516" s="26" t="s">
        <v>4947</v>
      </c>
      <c r="C1516" s="66" t="s">
        <v>4948</v>
      </c>
      <c r="D1516" s="66"/>
      <c r="E1516" s="66"/>
      <c r="F1516" s="66"/>
      <c r="G1516" s="27" t="s">
        <v>4949</v>
      </c>
      <c r="H1516" s="33">
        <v>276</v>
      </c>
      <c r="I1516" s="29"/>
      <c r="J1516" s="25">
        <v>1</v>
      </c>
      <c r="K1516" s="37">
        <v>2563.84</v>
      </c>
      <c r="L1516" s="17"/>
      <c r="M1516" s="29">
        <f t="shared" si="67"/>
        <v>0</v>
      </c>
      <c r="N1516" s="31">
        <f>1.877*L1516</f>
        <v>0</v>
      </c>
      <c r="O1516" s="32">
        <f>0.01524*L1516</f>
        <v>0</v>
      </c>
      <c r="P1516" s="36"/>
      <c r="Q1516" s="29" t="s">
        <v>4950</v>
      </c>
      <c r="R1516" s="29"/>
      <c r="S1516" s="26" t="str">
        <f>HYPERLINK("https://miland.ru/api/getInfo/image/d52641c1-e200-11ee-a25a-00155d82e908")</f>
        <v>https://miland.ru/api/getInfo/image/d52641c1-e200-11ee-a25a-00155d82e908</v>
      </c>
    </row>
    <row r="1517" spans="1:19" s="2" customFormat="1" ht="96.2" customHeight="1" outlineLevel="7">
      <c r="A1517" s="52">
        <v>1167</v>
      </c>
      <c r="B1517" s="26" t="s">
        <v>4951</v>
      </c>
      <c r="C1517" s="66" t="s">
        <v>4952</v>
      </c>
      <c r="D1517" s="66"/>
      <c r="E1517" s="66"/>
      <c r="F1517" s="66"/>
      <c r="G1517" s="27" t="s">
        <v>4953</v>
      </c>
      <c r="H1517" s="33">
        <v>438</v>
      </c>
      <c r="I1517" s="29"/>
      <c r="J1517" s="25">
        <v>1</v>
      </c>
      <c r="K1517" s="30">
        <v>685.92</v>
      </c>
      <c r="L1517" s="17"/>
      <c r="M1517" s="29">
        <f t="shared" si="67"/>
        <v>0</v>
      </c>
      <c r="N1517" s="34">
        <f>0.39*L1517</f>
        <v>0</v>
      </c>
      <c r="O1517" s="32">
        <f>0.00412*L1517</f>
        <v>0</v>
      </c>
      <c r="P1517" s="36"/>
      <c r="Q1517" s="29" t="s">
        <v>4954</v>
      </c>
      <c r="R1517" s="29" t="s">
        <v>611</v>
      </c>
      <c r="S1517" s="26" t="str">
        <f>HYPERLINK("https://miland.ru/api/getInfo/image/50b8094b-e201-11ee-a25a-00155d82e908")</f>
        <v>https://miland.ru/api/getInfo/image/50b8094b-e201-11ee-a25a-00155d82e908</v>
      </c>
    </row>
    <row r="1518" spans="1:19" s="2" customFormat="1" ht="96.2" customHeight="1" outlineLevel="7">
      <c r="A1518" s="52">
        <v>1168</v>
      </c>
      <c r="B1518" s="26" t="s">
        <v>4955</v>
      </c>
      <c r="C1518" s="66" t="s">
        <v>4956</v>
      </c>
      <c r="D1518" s="66"/>
      <c r="E1518" s="66"/>
      <c r="F1518" s="66"/>
      <c r="G1518" s="27" t="s">
        <v>4957</v>
      </c>
      <c r="H1518" s="33">
        <v>2</v>
      </c>
      <c r="I1518" s="29"/>
      <c r="J1518" s="25">
        <v>1</v>
      </c>
      <c r="K1518" s="30">
        <v>675.2</v>
      </c>
      <c r="L1518" s="17"/>
      <c r="M1518" s="29">
        <f t="shared" si="67"/>
        <v>0</v>
      </c>
      <c r="N1518" s="31">
        <f>0.421*L1518</f>
        <v>0</v>
      </c>
      <c r="O1518" s="32">
        <f>0.00552*L1518</f>
        <v>0</v>
      </c>
      <c r="P1518" s="36"/>
      <c r="Q1518" s="29" t="s">
        <v>4958</v>
      </c>
      <c r="R1518" s="29" t="s">
        <v>611</v>
      </c>
      <c r="S1518" s="26" t="str">
        <f>HYPERLINK("https://miland.ru/api/getInfo/image/a1fa524c-e201-11ee-a25a-00155d82e908")</f>
        <v>https://miland.ru/api/getInfo/image/a1fa524c-e201-11ee-a25a-00155d82e908</v>
      </c>
    </row>
    <row r="1519" spans="1:19" s="2" customFormat="1" ht="96.2" customHeight="1" outlineLevel="7">
      <c r="A1519" s="52">
        <v>1169</v>
      </c>
      <c r="B1519" s="26" t="s">
        <v>4959</v>
      </c>
      <c r="C1519" s="66" t="s">
        <v>4960</v>
      </c>
      <c r="D1519" s="66"/>
      <c r="E1519" s="66"/>
      <c r="F1519" s="66"/>
      <c r="G1519" s="27" t="s">
        <v>4961</v>
      </c>
      <c r="H1519" s="28" t="s">
        <v>44</v>
      </c>
      <c r="I1519" s="29"/>
      <c r="J1519" s="25">
        <v>1</v>
      </c>
      <c r="K1519" s="30">
        <v>556.79999999999995</v>
      </c>
      <c r="L1519" s="17"/>
      <c r="M1519" s="29">
        <f t="shared" si="67"/>
        <v>0</v>
      </c>
      <c r="N1519" s="31">
        <f>0.328*L1519</f>
        <v>0</v>
      </c>
      <c r="O1519" s="32">
        <f>0.00316*L1519</f>
        <v>0</v>
      </c>
      <c r="P1519" s="36"/>
      <c r="Q1519" s="29" t="s">
        <v>4962</v>
      </c>
      <c r="R1519" s="29"/>
      <c r="S1519" s="26" t="str">
        <f>HYPERLINK("https://miland.ru/api/getInfo/image/de70a6fb-e201-11ee-a25a-00155d82e908")</f>
        <v>https://miland.ru/api/getInfo/image/de70a6fb-e201-11ee-a25a-00155d82e908</v>
      </c>
    </row>
    <row r="1520" spans="1:19" s="2" customFormat="1" ht="96.2" customHeight="1" outlineLevel="7">
      <c r="A1520" s="52">
        <v>1170</v>
      </c>
      <c r="B1520" s="26" t="s">
        <v>4963</v>
      </c>
      <c r="C1520" s="66" t="s">
        <v>4964</v>
      </c>
      <c r="D1520" s="66"/>
      <c r="E1520" s="66"/>
      <c r="F1520" s="66"/>
      <c r="G1520" s="27" t="s">
        <v>4965</v>
      </c>
      <c r="H1520" s="33">
        <v>58</v>
      </c>
      <c r="I1520" s="29"/>
      <c r="J1520" s="25">
        <v>1</v>
      </c>
      <c r="K1520" s="37">
        <v>1102.99</v>
      </c>
      <c r="L1520" s="17"/>
      <c r="M1520" s="29">
        <f t="shared" si="67"/>
        <v>0</v>
      </c>
      <c r="N1520" s="31">
        <f>0.812*L1520</f>
        <v>0</v>
      </c>
      <c r="O1520" s="35">
        <f>0.0094*L1520</f>
        <v>0</v>
      </c>
      <c r="P1520" s="36"/>
      <c r="Q1520" s="29" t="s">
        <v>4966</v>
      </c>
      <c r="R1520" s="29"/>
      <c r="S1520" s="26" t="str">
        <f>HYPERLINK("https://miland.ru/api/getInfo/image/21e7209d-e209-11ee-a25a-00155d82e908")</f>
        <v>https://miland.ru/api/getInfo/image/21e7209d-e209-11ee-a25a-00155d82e908</v>
      </c>
    </row>
    <row r="1521" spans="1:19" s="2" customFormat="1" ht="96.2" customHeight="1" outlineLevel="7">
      <c r="A1521" s="52">
        <v>1171</v>
      </c>
      <c r="B1521" s="26" t="s">
        <v>4967</v>
      </c>
      <c r="C1521" s="66" t="s">
        <v>4968</v>
      </c>
      <c r="D1521" s="66"/>
      <c r="E1521" s="66"/>
      <c r="F1521" s="66"/>
      <c r="G1521" s="27" t="s">
        <v>4969</v>
      </c>
      <c r="H1521" s="33">
        <v>10</v>
      </c>
      <c r="I1521" s="29"/>
      <c r="J1521" s="25">
        <v>1</v>
      </c>
      <c r="K1521" s="37">
        <v>2305.09</v>
      </c>
      <c r="L1521" s="17"/>
      <c r="M1521" s="29">
        <f t="shared" si="67"/>
        <v>0</v>
      </c>
      <c r="N1521" s="31">
        <f>1.114*L1521</f>
        <v>0</v>
      </c>
      <c r="O1521" s="32">
        <f>0.01982*L1521</f>
        <v>0</v>
      </c>
      <c r="P1521" s="36"/>
      <c r="Q1521" s="29" t="s">
        <v>4970</v>
      </c>
      <c r="R1521" s="29" t="s">
        <v>611</v>
      </c>
      <c r="S1521" s="26" t="str">
        <f>HYPERLINK("https://miland.ru/api/getInfo/image/53d747ea-e209-11ee-a25a-00155d82e908")</f>
        <v>https://miland.ru/api/getInfo/image/53d747ea-e209-11ee-a25a-00155d82e908</v>
      </c>
    </row>
    <row r="1522" spans="1:19" s="2" customFormat="1" ht="96.2" customHeight="1" outlineLevel="7">
      <c r="A1522" s="52">
        <v>1172</v>
      </c>
      <c r="B1522" s="26" t="s">
        <v>4971</v>
      </c>
      <c r="C1522" s="66" t="s">
        <v>4972</v>
      </c>
      <c r="D1522" s="66"/>
      <c r="E1522" s="66"/>
      <c r="F1522" s="66"/>
      <c r="G1522" s="27" t="s">
        <v>4973</v>
      </c>
      <c r="H1522" s="33">
        <v>3</v>
      </c>
      <c r="I1522" s="29"/>
      <c r="J1522" s="25">
        <v>1</v>
      </c>
      <c r="K1522" s="37">
        <v>1271.03</v>
      </c>
      <c r="L1522" s="17"/>
      <c r="M1522" s="29">
        <f t="shared" si="67"/>
        <v>0</v>
      </c>
      <c r="N1522" s="31">
        <f>0.808*L1522</f>
        <v>0</v>
      </c>
      <c r="O1522" s="32">
        <f>0.00941*L1522</f>
        <v>0</v>
      </c>
      <c r="P1522" s="36"/>
      <c r="Q1522" s="29" t="s">
        <v>4974</v>
      </c>
      <c r="R1522" s="29"/>
      <c r="S1522" s="26" t="str">
        <f>HYPERLINK("https://miland.ru/api/getInfo/image/e5286e6d-e209-11ee-a25a-00155d82e908")</f>
        <v>https://miland.ru/api/getInfo/image/e5286e6d-e209-11ee-a25a-00155d82e908</v>
      </c>
    </row>
    <row r="1523" spans="1:19" s="2" customFormat="1" ht="96.2" customHeight="1" outlineLevel="7">
      <c r="A1523" s="52">
        <v>1173</v>
      </c>
      <c r="B1523" s="26" t="s">
        <v>4975</v>
      </c>
      <c r="C1523" s="66" t="s">
        <v>4976</v>
      </c>
      <c r="D1523" s="66"/>
      <c r="E1523" s="66"/>
      <c r="F1523" s="66"/>
      <c r="G1523" s="27" t="s">
        <v>4977</v>
      </c>
      <c r="H1523" s="33">
        <v>222</v>
      </c>
      <c r="I1523" s="29"/>
      <c r="J1523" s="25">
        <v>1</v>
      </c>
      <c r="K1523" s="37">
        <v>1098.69</v>
      </c>
      <c r="L1523" s="17"/>
      <c r="M1523" s="29">
        <f t="shared" si="67"/>
        <v>0</v>
      </c>
      <c r="N1523" s="31">
        <f>0.761*L1523</f>
        <v>0</v>
      </c>
      <c r="O1523" s="32">
        <f>0.00912*L1523</f>
        <v>0</v>
      </c>
      <c r="P1523" s="36"/>
      <c r="Q1523" s="29" t="s">
        <v>4978</v>
      </c>
      <c r="R1523" s="29"/>
      <c r="S1523" s="26" t="str">
        <f>HYPERLINK("https://miland.ru/api/getInfo/image/d106b9d7-e208-11ee-a25a-00155d82e908")</f>
        <v>https://miland.ru/api/getInfo/image/d106b9d7-e208-11ee-a25a-00155d82e908</v>
      </c>
    </row>
    <row r="1524" spans="1:19" s="2" customFormat="1" ht="96.2" customHeight="1" outlineLevel="7">
      <c r="A1524" s="52">
        <v>1174</v>
      </c>
      <c r="B1524" s="26" t="s">
        <v>4979</v>
      </c>
      <c r="C1524" s="66" t="s">
        <v>4980</v>
      </c>
      <c r="D1524" s="66"/>
      <c r="E1524" s="66"/>
      <c r="F1524" s="66"/>
      <c r="G1524" s="27" t="s">
        <v>4981</v>
      </c>
      <c r="H1524" s="33">
        <v>77</v>
      </c>
      <c r="I1524" s="29"/>
      <c r="J1524" s="25">
        <v>1</v>
      </c>
      <c r="K1524" s="37">
        <v>2326.63</v>
      </c>
      <c r="L1524" s="17"/>
      <c r="M1524" s="29">
        <f t="shared" si="67"/>
        <v>0</v>
      </c>
      <c r="N1524" s="31">
        <f>1.422*L1524</f>
        <v>0</v>
      </c>
      <c r="O1524" s="32">
        <f>0.01897*L1524</f>
        <v>0</v>
      </c>
      <c r="P1524" s="36"/>
      <c r="Q1524" s="29" t="s">
        <v>4982</v>
      </c>
      <c r="R1524" s="29" t="s">
        <v>611</v>
      </c>
      <c r="S1524" s="26" t="str">
        <f>HYPERLINK("https://miland.ru/api/getInfo/image/abb662ad-e209-11ee-a25a-00155d82e908")</f>
        <v>https://miland.ru/api/getInfo/image/abb662ad-e209-11ee-a25a-00155d82e908</v>
      </c>
    </row>
    <row r="1525" spans="1:19" s="1" customFormat="1" ht="12" customHeight="1" outlineLevel="4">
      <c r="A1525" s="64" t="s">
        <v>4983</v>
      </c>
      <c r="B1525" s="64"/>
      <c r="C1525" s="64"/>
      <c r="D1525" s="64"/>
      <c r="E1525" s="64"/>
      <c r="F1525" s="64"/>
      <c r="G1525" s="8"/>
      <c r="H1525" s="12"/>
      <c r="I1525" s="2"/>
      <c r="J1525" s="2"/>
      <c r="K1525" s="13"/>
      <c r="L1525" s="2"/>
      <c r="M1525" s="2"/>
      <c r="N1525" s="2"/>
      <c r="O1525" s="2"/>
      <c r="P1525" s="2"/>
      <c r="Q1525" s="2"/>
      <c r="R1525" s="2"/>
      <c r="S1525" s="2"/>
    </row>
    <row r="1526" spans="1:19" s="1" customFormat="1" ht="12" customHeight="1" outlineLevel="5">
      <c r="A1526" s="64" t="s">
        <v>4984</v>
      </c>
      <c r="B1526" s="64"/>
      <c r="C1526" s="64"/>
      <c r="D1526" s="64"/>
      <c r="E1526" s="64"/>
      <c r="F1526" s="64"/>
      <c r="G1526" s="8"/>
      <c r="H1526" s="12"/>
      <c r="I1526" s="2"/>
      <c r="J1526" s="2"/>
      <c r="K1526" s="13"/>
      <c r="L1526" s="2"/>
      <c r="M1526" s="2"/>
      <c r="N1526" s="2"/>
      <c r="O1526" s="2"/>
      <c r="P1526" s="2"/>
      <c r="Q1526" s="2"/>
      <c r="R1526" s="2"/>
      <c r="S1526" s="2"/>
    </row>
    <row r="1527" spans="1:19" s="2" customFormat="1" ht="96.2" customHeight="1" outlineLevel="6">
      <c r="A1527" s="52">
        <v>1175</v>
      </c>
      <c r="B1527" s="26" t="s">
        <v>4985</v>
      </c>
      <c r="C1527" s="66" t="s">
        <v>4986</v>
      </c>
      <c r="D1527" s="66"/>
      <c r="E1527" s="66"/>
      <c r="F1527" s="66"/>
      <c r="G1527" s="27" t="s">
        <v>4987</v>
      </c>
      <c r="H1527" s="33">
        <v>495</v>
      </c>
      <c r="I1527" s="29"/>
      <c r="J1527" s="25">
        <v>1</v>
      </c>
      <c r="K1527" s="37">
        <v>1254.22</v>
      </c>
      <c r="L1527" s="17"/>
      <c r="M1527" s="29">
        <f>K1527*L1527</f>
        <v>0</v>
      </c>
      <c r="N1527" s="31">
        <f>0.369*L1527</f>
        <v>0</v>
      </c>
      <c r="O1527" s="32">
        <f>0.00481*L1527</f>
        <v>0</v>
      </c>
      <c r="P1527" s="36"/>
      <c r="Q1527" s="29" t="s">
        <v>4988</v>
      </c>
      <c r="R1527" s="29" t="s">
        <v>611</v>
      </c>
      <c r="S1527" s="26" t="str">
        <f>HYPERLINK("https://miland.ru/api/getInfo/image/28766726-e202-11ee-a25a-00155d82e908")</f>
        <v>https://miland.ru/api/getInfo/image/28766726-e202-11ee-a25a-00155d82e908</v>
      </c>
    </row>
    <row r="1528" spans="1:19" s="2" customFormat="1" ht="96.2" customHeight="1" outlineLevel="6">
      <c r="A1528" s="52">
        <v>1176</v>
      </c>
      <c r="B1528" s="26" t="s">
        <v>4989</v>
      </c>
      <c r="C1528" s="66" t="s">
        <v>4990</v>
      </c>
      <c r="D1528" s="66"/>
      <c r="E1528" s="66"/>
      <c r="F1528" s="66"/>
      <c r="G1528" s="27" t="s">
        <v>4991</v>
      </c>
      <c r="H1528" s="33">
        <v>225</v>
      </c>
      <c r="I1528" s="29"/>
      <c r="J1528" s="25">
        <v>1</v>
      </c>
      <c r="K1528" s="37">
        <v>1298.3900000000001</v>
      </c>
      <c r="L1528" s="17"/>
      <c r="M1528" s="29">
        <f>K1528*L1528</f>
        <v>0</v>
      </c>
      <c r="N1528" s="31">
        <f>0.365*L1528</f>
        <v>0</v>
      </c>
      <c r="O1528" s="32">
        <f>0.00464*L1528</f>
        <v>0</v>
      </c>
      <c r="P1528" s="36"/>
      <c r="Q1528" s="29" t="s">
        <v>4992</v>
      </c>
      <c r="R1528" s="29"/>
      <c r="S1528" s="26" t="str">
        <f>HYPERLINK("https://miland.ru/api/getInfo/image/d4021dbc-e203-11ee-a25a-00155d82e908")</f>
        <v>https://miland.ru/api/getInfo/image/d4021dbc-e203-11ee-a25a-00155d82e908</v>
      </c>
    </row>
    <row r="1529" spans="1:19" s="2" customFormat="1" ht="96.2" customHeight="1" outlineLevel="6">
      <c r="A1529" s="52">
        <v>1177</v>
      </c>
      <c r="B1529" s="26" t="s">
        <v>4993</v>
      </c>
      <c r="C1529" s="66" t="s">
        <v>4994</v>
      </c>
      <c r="D1529" s="66"/>
      <c r="E1529" s="66"/>
      <c r="F1529" s="66"/>
      <c r="G1529" s="27" t="s">
        <v>4995</v>
      </c>
      <c r="H1529" s="33">
        <v>218</v>
      </c>
      <c r="I1529" s="29"/>
      <c r="J1529" s="25">
        <v>1</v>
      </c>
      <c r="K1529" s="37">
        <v>2561.44</v>
      </c>
      <c r="L1529" s="17"/>
      <c r="M1529" s="29">
        <f>K1529*L1529</f>
        <v>0</v>
      </c>
      <c r="N1529" s="31">
        <f>1.357*L1529</f>
        <v>0</v>
      </c>
      <c r="O1529" s="32">
        <f>0.02513*L1529</f>
        <v>0</v>
      </c>
      <c r="P1529" s="36"/>
      <c r="Q1529" s="29" t="s">
        <v>4996</v>
      </c>
      <c r="R1529" s="29"/>
      <c r="S1529" s="26" t="str">
        <f>HYPERLINK("https://miland.ru/api/getInfo/image/15b6c3bf-e204-11ee-a25a-00155d82e908")</f>
        <v>https://miland.ru/api/getInfo/image/15b6c3bf-e204-11ee-a25a-00155d82e908</v>
      </c>
    </row>
    <row r="1530" spans="1:19" s="2" customFormat="1" ht="96.2" customHeight="1" outlineLevel="6">
      <c r="A1530" s="52">
        <v>1178</v>
      </c>
      <c r="B1530" s="26" t="s">
        <v>4997</v>
      </c>
      <c r="C1530" s="66" t="s">
        <v>4998</v>
      </c>
      <c r="D1530" s="66"/>
      <c r="E1530" s="66"/>
      <c r="F1530" s="66"/>
      <c r="G1530" s="27" t="s">
        <v>4999</v>
      </c>
      <c r="H1530" s="33">
        <v>8</v>
      </c>
      <c r="I1530" s="29"/>
      <c r="J1530" s="25">
        <v>1</v>
      </c>
      <c r="K1530" s="37">
        <v>1943.16</v>
      </c>
      <c r="L1530" s="17"/>
      <c r="M1530" s="29">
        <f>K1530*L1530</f>
        <v>0</v>
      </c>
      <c r="N1530" s="34">
        <f>0.68*L1530</f>
        <v>0</v>
      </c>
      <c r="O1530" s="32">
        <f>0.01062*L1530</f>
        <v>0</v>
      </c>
      <c r="P1530" s="36"/>
      <c r="Q1530" s="29" t="s">
        <v>5000</v>
      </c>
      <c r="R1530" s="29" t="s">
        <v>611</v>
      </c>
      <c r="S1530" s="26" t="str">
        <f>HYPERLINK("https://miland.ru/api/getInfo/image/64d0b1d1-e208-11ee-a25a-00155d82e908")</f>
        <v>https://miland.ru/api/getInfo/image/64d0b1d1-e208-11ee-a25a-00155d82e908</v>
      </c>
    </row>
    <row r="1531" spans="1:19" s="2" customFormat="1" ht="96.2" customHeight="1" outlineLevel="6">
      <c r="A1531" s="52">
        <v>1179</v>
      </c>
      <c r="B1531" s="26" t="s">
        <v>5001</v>
      </c>
      <c r="C1531" s="66" t="s">
        <v>5002</v>
      </c>
      <c r="D1531" s="66"/>
      <c r="E1531" s="66"/>
      <c r="F1531" s="66"/>
      <c r="G1531" s="27" t="s">
        <v>5003</v>
      </c>
      <c r="H1531" s="33">
        <v>4</v>
      </c>
      <c r="I1531" s="29"/>
      <c r="J1531" s="25">
        <v>1</v>
      </c>
      <c r="K1531" s="37">
        <v>1987.33</v>
      </c>
      <c r="L1531" s="17"/>
      <c r="M1531" s="29">
        <f>K1531*L1531</f>
        <v>0</v>
      </c>
      <c r="N1531" s="31">
        <f>0.709*L1531</f>
        <v>0</v>
      </c>
      <c r="O1531" s="32">
        <f>0.01154*L1531</f>
        <v>0</v>
      </c>
      <c r="P1531" s="36"/>
      <c r="Q1531" s="29" t="s">
        <v>5004</v>
      </c>
      <c r="R1531" s="29"/>
      <c r="S1531" s="26" t="str">
        <f>HYPERLINK("https://miland.ru/api/getInfo/image/f4a7cc9f-e207-11ee-a25a-00155d82e908")</f>
        <v>https://miland.ru/api/getInfo/image/f4a7cc9f-e207-11ee-a25a-00155d82e908</v>
      </c>
    </row>
    <row r="1532" spans="1:19" s="1" customFormat="1" ht="12" customHeight="1" outlineLevel="5">
      <c r="A1532" s="64" t="s">
        <v>5005</v>
      </c>
      <c r="B1532" s="64"/>
      <c r="C1532" s="64"/>
      <c r="D1532" s="64"/>
      <c r="E1532" s="64"/>
      <c r="F1532" s="64"/>
      <c r="G1532" s="8"/>
      <c r="H1532" s="12"/>
      <c r="I1532" s="2"/>
      <c r="J1532" s="2"/>
      <c r="K1532" s="13"/>
      <c r="L1532" s="2"/>
      <c r="M1532" s="2"/>
      <c r="N1532" s="2"/>
      <c r="O1532" s="2"/>
      <c r="P1532" s="2"/>
      <c r="Q1532" s="2"/>
      <c r="R1532" s="2"/>
      <c r="S1532" s="2"/>
    </row>
    <row r="1533" spans="1:19" s="2" customFormat="1" ht="96.2" customHeight="1" outlineLevel="6">
      <c r="A1533" s="52">
        <v>1180</v>
      </c>
      <c r="B1533" s="26" t="s">
        <v>5006</v>
      </c>
      <c r="C1533" s="66" t="s">
        <v>5007</v>
      </c>
      <c r="D1533" s="66"/>
      <c r="E1533" s="66"/>
      <c r="F1533" s="66"/>
      <c r="G1533" s="27" t="s">
        <v>5008</v>
      </c>
      <c r="H1533" s="33">
        <v>2</v>
      </c>
      <c r="I1533" s="29"/>
      <c r="J1533" s="25">
        <v>1</v>
      </c>
      <c r="K1533" s="30">
        <v>560.41</v>
      </c>
      <c r="L1533" s="17"/>
      <c r="M1533" s="29">
        <f t="shared" ref="M1533:M1541" si="68">K1533*L1533</f>
        <v>0</v>
      </c>
      <c r="N1533" s="31">
        <f>0.128*L1533</f>
        <v>0</v>
      </c>
      <c r="O1533" s="32">
        <f>0.00178*L1533</f>
        <v>0</v>
      </c>
      <c r="P1533" s="36"/>
      <c r="Q1533" s="29" t="s">
        <v>5009</v>
      </c>
      <c r="R1533" s="29" t="s">
        <v>611</v>
      </c>
      <c r="S1533" s="26" t="str">
        <f>HYPERLINK("https://miland.ru/api/getInfo/image/895b40f9-8062-11ed-a22a-00155d82e902")</f>
        <v>https://miland.ru/api/getInfo/image/895b40f9-8062-11ed-a22a-00155d82e902</v>
      </c>
    </row>
    <row r="1534" spans="1:19" s="2" customFormat="1" ht="96.2" customHeight="1" outlineLevel="6">
      <c r="A1534" s="52">
        <v>1181</v>
      </c>
      <c r="B1534" s="26" t="s">
        <v>5010</v>
      </c>
      <c r="C1534" s="66" t="s">
        <v>5011</v>
      </c>
      <c r="D1534" s="66"/>
      <c r="E1534" s="66"/>
      <c r="F1534" s="66"/>
      <c r="G1534" s="27" t="s">
        <v>5012</v>
      </c>
      <c r="H1534" s="33">
        <v>2</v>
      </c>
      <c r="I1534" s="29"/>
      <c r="J1534" s="25">
        <v>1</v>
      </c>
      <c r="K1534" s="30">
        <v>560.41</v>
      </c>
      <c r="L1534" s="17"/>
      <c r="M1534" s="29">
        <f t="shared" si="68"/>
        <v>0</v>
      </c>
      <c r="N1534" s="34">
        <f>0.13*L1534</f>
        <v>0</v>
      </c>
      <c r="O1534" s="32">
        <f>0.00109*L1534</f>
        <v>0</v>
      </c>
      <c r="P1534" s="36"/>
      <c r="Q1534" s="29" t="s">
        <v>5013</v>
      </c>
      <c r="R1534" s="29" t="s">
        <v>611</v>
      </c>
      <c r="S1534" s="26" t="str">
        <f>HYPERLINK("https://miland.ru/api/getInfo/image/0d8f0752-8063-11ed-a22a-00155d82e902")</f>
        <v>https://miland.ru/api/getInfo/image/0d8f0752-8063-11ed-a22a-00155d82e902</v>
      </c>
    </row>
    <row r="1535" spans="1:19" s="2" customFormat="1" ht="96.2" customHeight="1" outlineLevel="6">
      <c r="A1535" s="52">
        <v>1182</v>
      </c>
      <c r="B1535" s="26" t="s">
        <v>5014</v>
      </c>
      <c r="C1535" s="66" t="s">
        <v>5015</v>
      </c>
      <c r="D1535" s="66"/>
      <c r="E1535" s="66"/>
      <c r="F1535" s="66"/>
      <c r="G1535" s="27" t="s">
        <v>5016</v>
      </c>
      <c r="H1535" s="33">
        <v>9</v>
      </c>
      <c r="I1535" s="29"/>
      <c r="J1535" s="25">
        <v>1</v>
      </c>
      <c r="K1535" s="30">
        <v>545.79</v>
      </c>
      <c r="L1535" s="17"/>
      <c r="M1535" s="29">
        <f t="shared" si="68"/>
        <v>0</v>
      </c>
      <c r="N1535" s="31">
        <f>0.137*L1535</f>
        <v>0</v>
      </c>
      <c r="O1535" s="35">
        <f>0.0016*L1535</f>
        <v>0</v>
      </c>
      <c r="P1535" s="36"/>
      <c r="Q1535" s="29" t="s">
        <v>5017</v>
      </c>
      <c r="R1535" s="29" t="s">
        <v>611</v>
      </c>
      <c r="S1535" s="26" t="str">
        <f>HYPERLINK("https://miland.ru/api/getInfo/image/b7246507-8065-11ed-a22a-00155d82e902")</f>
        <v>https://miland.ru/api/getInfo/image/b7246507-8065-11ed-a22a-00155d82e902</v>
      </c>
    </row>
    <row r="1536" spans="1:19" s="2" customFormat="1" ht="96.2" customHeight="1" outlineLevel="6">
      <c r="A1536" s="52">
        <v>1183</v>
      </c>
      <c r="B1536" s="26" t="s">
        <v>5018</v>
      </c>
      <c r="C1536" s="66" t="s">
        <v>5019</v>
      </c>
      <c r="D1536" s="66"/>
      <c r="E1536" s="66"/>
      <c r="F1536" s="66"/>
      <c r="G1536" s="27" t="s">
        <v>5020</v>
      </c>
      <c r="H1536" s="33">
        <v>6</v>
      </c>
      <c r="I1536" s="29"/>
      <c r="J1536" s="25">
        <v>4</v>
      </c>
      <c r="K1536" s="30">
        <v>174.75</v>
      </c>
      <c r="L1536" s="17"/>
      <c r="M1536" s="29">
        <f t="shared" si="68"/>
        <v>0</v>
      </c>
      <c r="N1536" s="31">
        <f>0.039*L1536</f>
        <v>0</v>
      </c>
      <c r="O1536" s="32">
        <f>0.00147*L1536</f>
        <v>0</v>
      </c>
      <c r="P1536" s="36"/>
      <c r="Q1536" s="29" t="s">
        <v>5021</v>
      </c>
      <c r="R1536" s="29"/>
      <c r="S1536" s="26" t="str">
        <f>HYPERLINK("https://miland.ru/api/getInfo/image/f836dbf2-88d4-11ec-a211-ac1f6b442185")</f>
        <v>https://miland.ru/api/getInfo/image/f836dbf2-88d4-11ec-a211-ac1f6b442185</v>
      </c>
    </row>
    <row r="1537" spans="1:19" s="2" customFormat="1" ht="96.2" customHeight="1" outlineLevel="6">
      <c r="A1537" s="52">
        <v>1184</v>
      </c>
      <c r="B1537" s="26" t="s">
        <v>5022</v>
      </c>
      <c r="C1537" s="66" t="s">
        <v>5023</v>
      </c>
      <c r="D1537" s="66"/>
      <c r="E1537" s="66"/>
      <c r="F1537" s="66"/>
      <c r="G1537" s="27" t="s">
        <v>5024</v>
      </c>
      <c r="H1537" s="28" t="s">
        <v>44</v>
      </c>
      <c r="I1537" s="29"/>
      <c r="J1537" s="25">
        <v>3</v>
      </c>
      <c r="K1537" s="30">
        <v>231.48</v>
      </c>
      <c r="L1537" s="17"/>
      <c r="M1537" s="29">
        <f t="shared" si="68"/>
        <v>0</v>
      </c>
      <c r="N1537" s="31">
        <f>0.074*L1537</f>
        <v>0</v>
      </c>
      <c r="O1537" s="35">
        <f>0.0016*L1537</f>
        <v>0</v>
      </c>
      <c r="P1537" s="36"/>
      <c r="Q1537" s="29" t="s">
        <v>5025</v>
      </c>
      <c r="R1537" s="29"/>
      <c r="S1537" s="26" t="str">
        <f>HYPERLINK("https://miland.ru/api/getInfo/image/979bd13f-88d5-11ec-a211-ac1f6b442185")</f>
        <v>https://miland.ru/api/getInfo/image/979bd13f-88d5-11ec-a211-ac1f6b442185</v>
      </c>
    </row>
    <row r="1538" spans="1:19" s="2" customFormat="1" ht="96.2" customHeight="1" outlineLevel="6">
      <c r="A1538" s="52">
        <v>1185</v>
      </c>
      <c r="B1538" s="26" t="s">
        <v>5026</v>
      </c>
      <c r="C1538" s="66" t="s">
        <v>5027</v>
      </c>
      <c r="D1538" s="66"/>
      <c r="E1538" s="66"/>
      <c r="F1538" s="66"/>
      <c r="G1538" s="27" t="s">
        <v>5028</v>
      </c>
      <c r="H1538" s="33">
        <v>424</v>
      </c>
      <c r="I1538" s="29"/>
      <c r="J1538" s="25">
        <v>2</v>
      </c>
      <c r="K1538" s="30">
        <v>389.82</v>
      </c>
      <c r="L1538" s="17"/>
      <c r="M1538" s="29">
        <f t="shared" si="68"/>
        <v>0</v>
      </c>
      <c r="N1538" s="31">
        <f>7.645*L1538</f>
        <v>0</v>
      </c>
      <c r="O1538" s="35">
        <f>0.0865*L1538</f>
        <v>0</v>
      </c>
      <c r="P1538" s="36"/>
      <c r="Q1538" s="29" t="s">
        <v>5029</v>
      </c>
      <c r="R1538" s="29"/>
      <c r="S1538" s="26" t="str">
        <f>HYPERLINK("https://miland.ru/api/getInfo/image/01c574e8-88d6-11ec-a211-ac1f6b442185")</f>
        <v>https://miland.ru/api/getInfo/image/01c574e8-88d6-11ec-a211-ac1f6b442185</v>
      </c>
    </row>
    <row r="1539" spans="1:19" s="2" customFormat="1" ht="96.2" customHeight="1" outlineLevel="6">
      <c r="A1539" s="52">
        <v>1186</v>
      </c>
      <c r="B1539" s="26" t="s">
        <v>5030</v>
      </c>
      <c r="C1539" s="66" t="s">
        <v>5031</v>
      </c>
      <c r="D1539" s="66"/>
      <c r="E1539" s="66"/>
      <c r="F1539" s="66"/>
      <c r="G1539" s="27" t="s">
        <v>5032</v>
      </c>
      <c r="H1539" s="33">
        <v>295</v>
      </c>
      <c r="I1539" s="29"/>
      <c r="J1539" s="25">
        <v>2</v>
      </c>
      <c r="K1539" s="30">
        <v>302.45</v>
      </c>
      <c r="L1539" s="17"/>
      <c r="M1539" s="29">
        <f t="shared" si="68"/>
        <v>0</v>
      </c>
      <c r="N1539" s="31">
        <f>0.072*L1539</f>
        <v>0</v>
      </c>
      <c r="O1539" s="32">
        <f>0.00129*L1539</f>
        <v>0</v>
      </c>
      <c r="P1539" s="36"/>
      <c r="Q1539" s="29" t="s">
        <v>5033</v>
      </c>
      <c r="R1539" s="29"/>
      <c r="S1539" s="26" t="str">
        <f>HYPERLINK("https://miland.ru/api/getInfo/image/666de74f-88d6-11ec-a211-ac1f6b442185")</f>
        <v>https://miland.ru/api/getInfo/image/666de74f-88d6-11ec-a211-ac1f6b442185</v>
      </c>
    </row>
    <row r="1540" spans="1:19" s="2" customFormat="1" ht="96.2" customHeight="1" outlineLevel="6">
      <c r="A1540" s="52">
        <v>1187</v>
      </c>
      <c r="B1540" s="26" t="s">
        <v>5034</v>
      </c>
      <c r="C1540" s="66" t="s">
        <v>5035</v>
      </c>
      <c r="D1540" s="66"/>
      <c r="E1540" s="66"/>
      <c r="F1540" s="66"/>
      <c r="G1540" s="27" t="s">
        <v>5036</v>
      </c>
      <c r="H1540" s="33">
        <v>45</v>
      </c>
      <c r="I1540" s="29"/>
      <c r="J1540" s="25">
        <v>4</v>
      </c>
      <c r="K1540" s="30">
        <v>174.75</v>
      </c>
      <c r="L1540" s="17"/>
      <c r="M1540" s="29">
        <f t="shared" si="68"/>
        <v>0</v>
      </c>
      <c r="N1540" s="31">
        <f>0.042*L1540</f>
        <v>0</v>
      </c>
      <c r="O1540" s="32">
        <f>0.00079*L1540</f>
        <v>0</v>
      </c>
      <c r="P1540" s="36"/>
      <c r="Q1540" s="29" t="s">
        <v>5037</v>
      </c>
      <c r="R1540" s="29"/>
      <c r="S1540" s="26" t="str">
        <f>HYPERLINK("https://miland.ru/api/getInfo/image/b989d861-88d7-11ec-a211-ac1f6b442185")</f>
        <v>https://miland.ru/api/getInfo/image/b989d861-88d7-11ec-a211-ac1f6b442185</v>
      </c>
    </row>
    <row r="1541" spans="1:19" s="2" customFormat="1" ht="96.2" customHeight="1" outlineLevel="6">
      <c r="A1541" s="52">
        <v>1188</v>
      </c>
      <c r="B1541" s="26" t="s">
        <v>5038</v>
      </c>
      <c r="C1541" s="66" t="s">
        <v>5039</v>
      </c>
      <c r="D1541" s="66"/>
      <c r="E1541" s="66"/>
      <c r="F1541" s="66"/>
      <c r="G1541" s="27" t="s">
        <v>5040</v>
      </c>
      <c r="H1541" s="33">
        <v>343</v>
      </c>
      <c r="I1541" s="29"/>
      <c r="J1541" s="25">
        <v>2</v>
      </c>
      <c r="K1541" s="30">
        <v>389.82</v>
      </c>
      <c r="L1541" s="17"/>
      <c r="M1541" s="29">
        <f t="shared" si="68"/>
        <v>0</v>
      </c>
      <c r="N1541" s="31">
        <f>0.202*L1541</f>
        <v>0</v>
      </c>
      <c r="O1541" s="32">
        <f>0.00247*L1541</f>
        <v>0</v>
      </c>
      <c r="P1541" s="36"/>
      <c r="Q1541" s="29" t="s">
        <v>5041</v>
      </c>
      <c r="R1541" s="29"/>
      <c r="S1541" s="26" t="str">
        <f>HYPERLINK("https://miland.ru/api/getInfo/image/8beb9102-88d8-11ec-a211-ac1f6b442185")</f>
        <v>https://miland.ru/api/getInfo/image/8beb9102-88d8-11ec-a211-ac1f6b442185</v>
      </c>
    </row>
    <row r="1542" spans="1:19" s="1" customFormat="1" ht="12" customHeight="1" outlineLevel="5">
      <c r="A1542" s="64" t="s">
        <v>1720</v>
      </c>
      <c r="B1542" s="64"/>
      <c r="C1542" s="64"/>
      <c r="D1542" s="64"/>
      <c r="E1542" s="64"/>
      <c r="F1542" s="64"/>
      <c r="G1542" s="8"/>
      <c r="H1542" s="12"/>
      <c r="I1542" s="2"/>
      <c r="J1542" s="2"/>
      <c r="K1542" s="13"/>
      <c r="L1542" s="2"/>
      <c r="M1542" s="2"/>
      <c r="N1542" s="2"/>
      <c r="O1542" s="2"/>
      <c r="P1542" s="2"/>
      <c r="Q1542" s="2"/>
      <c r="R1542" s="2"/>
      <c r="S1542" s="2"/>
    </row>
    <row r="1543" spans="1:19" s="2" customFormat="1" ht="96.2" customHeight="1" outlineLevel="6">
      <c r="A1543" s="52">
        <v>1189</v>
      </c>
      <c r="B1543" s="26" t="s">
        <v>5042</v>
      </c>
      <c r="C1543" s="66" t="s">
        <v>5043</v>
      </c>
      <c r="D1543" s="66"/>
      <c r="E1543" s="66"/>
      <c r="F1543" s="66"/>
      <c r="G1543" s="27" t="s">
        <v>5044</v>
      </c>
      <c r="H1543" s="33">
        <v>77</v>
      </c>
      <c r="I1543" s="29"/>
      <c r="J1543" s="25">
        <v>4</v>
      </c>
      <c r="K1543" s="30">
        <v>145.88999999999999</v>
      </c>
      <c r="L1543" s="17"/>
      <c r="M1543" s="29">
        <f t="shared" ref="M1543:M1553" si="69">K1543*L1543</f>
        <v>0</v>
      </c>
      <c r="N1543" s="31">
        <f>0.043*L1543</f>
        <v>0</v>
      </c>
      <c r="O1543" s="32">
        <f>0.00271*L1543</f>
        <v>0</v>
      </c>
      <c r="P1543" s="36"/>
      <c r="Q1543" s="29" t="s">
        <v>5045</v>
      </c>
      <c r="R1543" s="29"/>
      <c r="S1543" s="26" t="str">
        <f>HYPERLINK("https://miland.ru/api/getInfo/image/b4f053f5-5aba-11e9-a222-ac1f6b442184")</f>
        <v>https://miland.ru/api/getInfo/image/b4f053f5-5aba-11e9-a222-ac1f6b442184</v>
      </c>
    </row>
    <row r="1544" spans="1:19" s="2" customFormat="1" ht="96.2" customHeight="1" outlineLevel="6">
      <c r="A1544" s="52">
        <v>1190</v>
      </c>
      <c r="B1544" s="26" t="s">
        <v>5046</v>
      </c>
      <c r="C1544" s="66" t="s">
        <v>5047</v>
      </c>
      <c r="D1544" s="66"/>
      <c r="E1544" s="66"/>
      <c r="F1544" s="66"/>
      <c r="G1544" s="27" t="s">
        <v>5048</v>
      </c>
      <c r="H1544" s="33">
        <v>300</v>
      </c>
      <c r="I1544" s="29"/>
      <c r="J1544" s="25">
        <v>4</v>
      </c>
      <c r="K1544" s="30">
        <v>145.88999999999999</v>
      </c>
      <c r="L1544" s="17"/>
      <c r="M1544" s="29">
        <f t="shared" si="69"/>
        <v>0</v>
      </c>
      <c r="N1544" s="31">
        <f>0.037*L1544</f>
        <v>0</v>
      </c>
      <c r="O1544" s="32">
        <f>0.00252*L1544</f>
        <v>0</v>
      </c>
      <c r="P1544" s="36"/>
      <c r="Q1544" s="29" t="s">
        <v>5049</v>
      </c>
      <c r="R1544" s="29" t="s">
        <v>611</v>
      </c>
      <c r="S1544" s="26" t="str">
        <f>HYPERLINK("https://miland.ru/api/getInfo/image/4a675f18-5aba-11e9-a222-ac1f6b442184")</f>
        <v>https://miland.ru/api/getInfo/image/4a675f18-5aba-11e9-a222-ac1f6b442184</v>
      </c>
    </row>
    <row r="1545" spans="1:19" s="2" customFormat="1" ht="96.2" customHeight="1" outlineLevel="6">
      <c r="A1545" s="52">
        <v>1191</v>
      </c>
      <c r="B1545" s="26" t="s">
        <v>5050</v>
      </c>
      <c r="C1545" s="66" t="s">
        <v>5051</v>
      </c>
      <c r="D1545" s="66"/>
      <c r="E1545" s="66"/>
      <c r="F1545" s="66"/>
      <c r="G1545" s="27" t="s">
        <v>5052</v>
      </c>
      <c r="H1545" s="28" t="s">
        <v>44</v>
      </c>
      <c r="I1545" s="29"/>
      <c r="J1545" s="25">
        <v>5</v>
      </c>
      <c r="K1545" s="30">
        <v>85.57</v>
      </c>
      <c r="L1545" s="17"/>
      <c r="M1545" s="29">
        <f t="shared" si="69"/>
        <v>0</v>
      </c>
      <c r="N1545" s="31">
        <f>0.037*L1545</f>
        <v>0</v>
      </c>
      <c r="O1545" s="32">
        <f>0.00235*L1545</f>
        <v>0</v>
      </c>
      <c r="P1545" s="36"/>
      <c r="Q1545" s="29" t="s">
        <v>5053</v>
      </c>
      <c r="R1545" s="29"/>
      <c r="S1545" s="26" t="str">
        <f>HYPERLINK("https://miland.ru/api/getInfo/image/8394ba48-5abb-11e9-a222-ac1f6b442184")</f>
        <v>https://miland.ru/api/getInfo/image/8394ba48-5abb-11e9-a222-ac1f6b442184</v>
      </c>
    </row>
    <row r="1546" spans="1:19" s="2" customFormat="1" ht="96.2" customHeight="1" outlineLevel="6">
      <c r="A1546" s="52">
        <v>1192</v>
      </c>
      <c r="B1546" s="26" t="s">
        <v>5054</v>
      </c>
      <c r="C1546" s="66" t="s">
        <v>5055</v>
      </c>
      <c r="D1546" s="66"/>
      <c r="E1546" s="66"/>
      <c r="F1546" s="66"/>
      <c r="G1546" s="27" t="s">
        <v>5056</v>
      </c>
      <c r="H1546" s="28" t="s">
        <v>44</v>
      </c>
      <c r="I1546" s="29"/>
      <c r="J1546" s="25">
        <v>7</v>
      </c>
      <c r="K1546" s="30">
        <v>90.73</v>
      </c>
      <c r="L1546" s="17"/>
      <c r="M1546" s="29">
        <f t="shared" si="69"/>
        <v>0</v>
      </c>
      <c r="N1546" s="31">
        <f>0.034*L1546</f>
        <v>0</v>
      </c>
      <c r="O1546" s="32">
        <f>0.00097*L1546</f>
        <v>0</v>
      </c>
      <c r="P1546" s="36"/>
      <c r="Q1546" s="29" t="s">
        <v>5057</v>
      </c>
      <c r="R1546" s="29"/>
      <c r="S1546" s="26" t="str">
        <f>HYPERLINK("https://miland.ru/api/getInfo/image/6efd22bf-3931-11e7-977d-5cf3fc4a2490")</f>
        <v>https://miland.ru/api/getInfo/image/6efd22bf-3931-11e7-977d-5cf3fc4a2490</v>
      </c>
    </row>
    <row r="1547" spans="1:19" s="2" customFormat="1" ht="96.2" customHeight="1" outlineLevel="6">
      <c r="A1547" s="52">
        <v>1193</v>
      </c>
      <c r="B1547" s="26" t="s">
        <v>5058</v>
      </c>
      <c r="C1547" s="66" t="s">
        <v>5059</v>
      </c>
      <c r="D1547" s="66"/>
      <c r="E1547" s="66"/>
      <c r="F1547" s="66"/>
      <c r="G1547" s="27" t="s">
        <v>5060</v>
      </c>
      <c r="H1547" s="33">
        <v>435</v>
      </c>
      <c r="I1547" s="29"/>
      <c r="J1547" s="25">
        <v>4</v>
      </c>
      <c r="K1547" s="30">
        <v>145.88999999999999</v>
      </c>
      <c r="L1547" s="17"/>
      <c r="M1547" s="29">
        <f t="shared" si="69"/>
        <v>0</v>
      </c>
      <c r="N1547" s="31">
        <f>0.046*L1547</f>
        <v>0</v>
      </c>
      <c r="O1547" s="32">
        <f>0.00269*L1547</f>
        <v>0</v>
      </c>
      <c r="P1547" s="36"/>
      <c r="Q1547" s="29" t="s">
        <v>5061</v>
      </c>
      <c r="R1547" s="29"/>
      <c r="S1547" s="26" t="str">
        <f>HYPERLINK("https://miland.ru/api/getInfo/image/18a3203d-5abb-11e9-a222-ac1f6b442184")</f>
        <v>https://miland.ru/api/getInfo/image/18a3203d-5abb-11e9-a222-ac1f6b442184</v>
      </c>
    </row>
    <row r="1548" spans="1:19" s="2" customFormat="1" ht="96.2" customHeight="1" outlineLevel="6">
      <c r="A1548" s="52">
        <v>1194</v>
      </c>
      <c r="B1548" s="26" t="s">
        <v>5062</v>
      </c>
      <c r="C1548" s="66" t="s">
        <v>5063</v>
      </c>
      <c r="D1548" s="66"/>
      <c r="E1548" s="66"/>
      <c r="F1548" s="66"/>
      <c r="G1548" s="27" t="s">
        <v>5064</v>
      </c>
      <c r="H1548" s="33">
        <v>332</v>
      </c>
      <c r="I1548" s="29"/>
      <c r="J1548" s="25">
        <v>4</v>
      </c>
      <c r="K1548" s="30">
        <v>145.88999999999999</v>
      </c>
      <c r="L1548" s="17"/>
      <c r="M1548" s="29">
        <f t="shared" si="69"/>
        <v>0</v>
      </c>
      <c r="N1548" s="34">
        <f>0.04*L1548</f>
        <v>0</v>
      </c>
      <c r="O1548" s="32">
        <f>0.00139*L1548</f>
        <v>0</v>
      </c>
      <c r="P1548" s="36"/>
      <c r="Q1548" s="29" t="s">
        <v>5065</v>
      </c>
      <c r="R1548" s="29"/>
      <c r="S1548" s="26" t="str">
        <f>HYPERLINK("https://miland.ru/api/getInfo/image/354239bd-5298-11e8-b825-5cf3fc4a2490")</f>
        <v>https://miland.ru/api/getInfo/image/354239bd-5298-11e8-b825-5cf3fc4a2490</v>
      </c>
    </row>
    <row r="1549" spans="1:19" s="2" customFormat="1" ht="96.2" customHeight="1" outlineLevel="6">
      <c r="A1549" s="52">
        <v>1195</v>
      </c>
      <c r="B1549" s="26" t="s">
        <v>5066</v>
      </c>
      <c r="C1549" s="66" t="s">
        <v>5067</v>
      </c>
      <c r="D1549" s="66"/>
      <c r="E1549" s="66"/>
      <c r="F1549" s="66"/>
      <c r="G1549" s="27" t="s">
        <v>5068</v>
      </c>
      <c r="H1549" s="28" t="s">
        <v>44</v>
      </c>
      <c r="I1549" s="29"/>
      <c r="J1549" s="25">
        <v>4</v>
      </c>
      <c r="K1549" s="30">
        <v>177.91</v>
      </c>
      <c r="L1549" s="17"/>
      <c r="M1549" s="29">
        <f t="shared" si="69"/>
        <v>0</v>
      </c>
      <c r="N1549" s="31">
        <f>0.043*L1549</f>
        <v>0</v>
      </c>
      <c r="O1549" s="32">
        <f>0.04154*L1549</f>
        <v>0</v>
      </c>
      <c r="P1549" s="36"/>
      <c r="Q1549" s="29" t="s">
        <v>5069</v>
      </c>
      <c r="R1549" s="29"/>
      <c r="S1549" s="26" t="str">
        <f>HYPERLINK("https://miland.ru/api/getInfo/image/5894bc16-5298-11e8-b825-5cf3fc4a2490")</f>
        <v>https://miland.ru/api/getInfo/image/5894bc16-5298-11e8-b825-5cf3fc4a2490</v>
      </c>
    </row>
    <row r="1550" spans="1:19" s="2" customFormat="1" ht="96.2" customHeight="1" outlineLevel="6">
      <c r="A1550" s="52">
        <v>1196</v>
      </c>
      <c r="B1550" s="26" t="s">
        <v>5070</v>
      </c>
      <c r="C1550" s="66" t="s">
        <v>5071</v>
      </c>
      <c r="D1550" s="66"/>
      <c r="E1550" s="66"/>
      <c r="F1550" s="66"/>
      <c r="G1550" s="27" t="s">
        <v>5072</v>
      </c>
      <c r="H1550" s="28" t="s">
        <v>44</v>
      </c>
      <c r="I1550" s="29"/>
      <c r="J1550" s="25">
        <v>4</v>
      </c>
      <c r="K1550" s="30">
        <v>177.91</v>
      </c>
      <c r="L1550" s="17"/>
      <c r="M1550" s="29">
        <f t="shared" si="69"/>
        <v>0</v>
      </c>
      <c r="N1550" s="31">
        <f>0.049*L1550</f>
        <v>0</v>
      </c>
      <c r="O1550" s="32">
        <f>0.00012*L1550</f>
        <v>0</v>
      </c>
      <c r="P1550" s="36"/>
      <c r="Q1550" s="29" t="s">
        <v>5073</v>
      </c>
      <c r="R1550" s="29"/>
      <c r="S1550" s="26" t="str">
        <f>HYPERLINK("https://miland.ru/api/getInfo/image/3fd29dde-5298-11e8-b825-5cf3fc4a2490")</f>
        <v>https://miland.ru/api/getInfo/image/3fd29dde-5298-11e8-b825-5cf3fc4a2490</v>
      </c>
    </row>
    <row r="1551" spans="1:19" s="2" customFormat="1" ht="96.2" customHeight="1" outlineLevel="6">
      <c r="A1551" s="52">
        <v>1197</v>
      </c>
      <c r="B1551" s="26" t="s">
        <v>5074</v>
      </c>
      <c r="C1551" s="66" t="s">
        <v>5075</v>
      </c>
      <c r="D1551" s="66"/>
      <c r="E1551" s="66"/>
      <c r="F1551" s="66"/>
      <c r="G1551" s="27" t="s">
        <v>5076</v>
      </c>
      <c r="H1551" s="33">
        <v>207</v>
      </c>
      <c r="I1551" s="29"/>
      <c r="J1551" s="25">
        <v>4</v>
      </c>
      <c r="K1551" s="30">
        <v>163.09</v>
      </c>
      <c r="L1551" s="17"/>
      <c r="M1551" s="29">
        <f t="shared" si="69"/>
        <v>0</v>
      </c>
      <c r="N1551" s="31">
        <f>0.039*L1551</f>
        <v>0</v>
      </c>
      <c r="O1551" s="32">
        <f>0.00466*L1551</f>
        <v>0</v>
      </c>
      <c r="P1551" s="36"/>
      <c r="Q1551" s="29" t="s">
        <v>5077</v>
      </c>
      <c r="R1551" s="29"/>
      <c r="S1551" s="26" t="str">
        <f>HYPERLINK("https://miland.ru/api/getInfo/image/2634b506-5298-11e8-b825-5cf3fc4a2490")</f>
        <v>https://miland.ru/api/getInfo/image/2634b506-5298-11e8-b825-5cf3fc4a2490</v>
      </c>
    </row>
    <row r="1552" spans="1:19" s="2" customFormat="1" ht="96.2" customHeight="1" outlineLevel="6">
      <c r="A1552" s="52">
        <v>1198</v>
      </c>
      <c r="B1552" s="26" t="s">
        <v>5078</v>
      </c>
      <c r="C1552" s="66" t="s">
        <v>5079</v>
      </c>
      <c r="D1552" s="66"/>
      <c r="E1552" s="66"/>
      <c r="F1552" s="66"/>
      <c r="G1552" s="27" t="s">
        <v>5080</v>
      </c>
      <c r="H1552" s="28" t="s">
        <v>44</v>
      </c>
      <c r="I1552" s="29"/>
      <c r="J1552" s="25">
        <v>3</v>
      </c>
      <c r="K1552" s="30">
        <v>194.24</v>
      </c>
      <c r="L1552" s="17"/>
      <c r="M1552" s="29">
        <f t="shared" si="69"/>
        <v>0</v>
      </c>
      <c r="N1552" s="34">
        <f>0.05*L1552</f>
        <v>0</v>
      </c>
      <c r="O1552" s="32">
        <f>0.00204*L1552</f>
        <v>0</v>
      </c>
      <c r="P1552" s="36"/>
      <c r="Q1552" s="29" t="s">
        <v>5081</v>
      </c>
      <c r="R1552" s="29"/>
      <c r="S1552" s="26" t="str">
        <f>HYPERLINK("https://miland.ru/api/getInfo/image/fbe1903f-9773-11eb-a200-ac1f6b442185")</f>
        <v>https://miland.ru/api/getInfo/image/fbe1903f-9773-11eb-a200-ac1f6b442185</v>
      </c>
    </row>
    <row r="1553" spans="1:19" s="2" customFormat="1" ht="96.2" customHeight="1" outlineLevel="6">
      <c r="A1553" s="52">
        <v>1199</v>
      </c>
      <c r="B1553" s="26" t="s">
        <v>5082</v>
      </c>
      <c r="C1553" s="66" t="s">
        <v>5083</v>
      </c>
      <c r="D1553" s="66"/>
      <c r="E1553" s="66"/>
      <c r="F1553" s="66"/>
      <c r="G1553" s="27" t="s">
        <v>5084</v>
      </c>
      <c r="H1553" s="33">
        <v>190</v>
      </c>
      <c r="I1553" s="29"/>
      <c r="J1553" s="25">
        <v>3</v>
      </c>
      <c r="K1553" s="30">
        <v>208.75</v>
      </c>
      <c r="L1553" s="17"/>
      <c r="M1553" s="29">
        <f t="shared" si="69"/>
        <v>0</v>
      </c>
      <c r="N1553" s="31">
        <f>0.054*L1553</f>
        <v>0</v>
      </c>
      <c r="O1553" s="32">
        <f>0.00047*L1553</f>
        <v>0</v>
      </c>
      <c r="P1553" s="36"/>
      <c r="Q1553" s="29" t="s">
        <v>5085</v>
      </c>
      <c r="R1553" s="29"/>
      <c r="S1553" s="26" t="str">
        <f>HYPERLINK("https://miland.ru/api/getInfo/image/7179cf9a-9773-11eb-a200-ac1f6b442185")</f>
        <v>https://miland.ru/api/getInfo/image/7179cf9a-9773-11eb-a200-ac1f6b442185</v>
      </c>
    </row>
    <row r="1554" spans="1:19" s="1" customFormat="1" ht="12" customHeight="1" outlineLevel="4">
      <c r="A1554" s="64" t="s">
        <v>5086</v>
      </c>
      <c r="B1554" s="64"/>
      <c r="C1554" s="64"/>
      <c r="D1554" s="64"/>
      <c r="E1554" s="64"/>
      <c r="F1554" s="64"/>
      <c r="G1554" s="8"/>
      <c r="H1554" s="12"/>
      <c r="I1554" s="2"/>
      <c r="J1554" s="2"/>
      <c r="K1554" s="13"/>
      <c r="L1554" s="2"/>
      <c r="M1554" s="2"/>
      <c r="N1554" s="2"/>
      <c r="O1554" s="2"/>
      <c r="P1554" s="2"/>
      <c r="Q1554" s="2"/>
      <c r="R1554" s="2"/>
      <c r="S1554" s="2"/>
    </row>
    <row r="1555" spans="1:19" s="2" customFormat="1" ht="96.2" customHeight="1" outlineLevel="5">
      <c r="A1555" s="52">
        <v>1200</v>
      </c>
      <c r="B1555" s="26" t="s">
        <v>5087</v>
      </c>
      <c r="C1555" s="66" t="s">
        <v>5088</v>
      </c>
      <c r="D1555" s="66"/>
      <c r="E1555" s="66"/>
      <c r="F1555" s="66"/>
      <c r="G1555" s="27" t="s">
        <v>5089</v>
      </c>
      <c r="H1555" s="28" t="s">
        <v>44</v>
      </c>
      <c r="I1555" s="29"/>
      <c r="J1555" s="25">
        <v>10</v>
      </c>
      <c r="K1555" s="30">
        <v>76.75</v>
      </c>
      <c r="L1555" s="17"/>
      <c r="M1555" s="29">
        <f t="shared" ref="M1555:M1560" si="70">K1555*L1555</f>
        <v>0</v>
      </c>
      <c r="N1555" s="31">
        <f>0.007*L1555</f>
        <v>0</v>
      </c>
      <c r="O1555" s="32">
        <f>0.00015*L1555</f>
        <v>0</v>
      </c>
      <c r="P1555" s="36"/>
      <c r="Q1555" s="29" t="s">
        <v>5090</v>
      </c>
      <c r="R1555" s="29" t="s">
        <v>611</v>
      </c>
      <c r="S1555" s="26" t="str">
        <f>HYPERLINK("https://miland.ru/api/getInfo/image/42895343-88bf-11ec-a211-ac1f6b442185")</f>
        <v>https://miland.ru/api/getInfo/image/42895343-88bf-11ec-a211-ac1f6b442185</v>
      </c>
    </row>
    <row r="1556" spans="1:19" s="2" customFormat="1" ht="96.2" customHeight="1" outlineLevel="5">
      <c r="A1556" s="52">
        <v>1201</v>
      </c>
      <c r="B1556" s="26" t="s">
        <v>5091</v>
      </c>
      <c r="C1556" s="66" t="s">
        <v>5092</v>
      </c>
      <c r="D1556" s="66"/>
      <c r="E1556" s="66"/>
      <c r="F1556" s="66"/>
      <c r="G1556" s="27" t="s">
        <v>5093</v>
      </c>
      <c r="H1556" s="28" t="s">
        <v>44</v>
      </c>
      <c r="I1556" s="29"/>
      <c r="J1556" s="25">
        <v>10</v>
      </c>
      <c r="K1556" s="30">
        <v>76.75</v>
      </c>
      <c r="L1556" s="17"/>
      <c r="M1556" s="29">
        <f t="shared" si="70"/>
        <v>0</v>
      </c>
      <c r="N1556" s="31">
        <f>0.006*L1556</f>
        <v>0</v>
      </c>
      <c r="O1556" s="32">
        <f>0.00015*L1556</f>
        <v>0</v>
      </c>
      <c r="P1556" s="36"/>
      <c r="Q1556" s="29" t="s">
        <v>5094</v>
      </c>
      <c r="R1556" s="29" t="s">
        <v>611</v>
      </c>
      <c r="S1556" s="26" t="str">
        <f>HYPERLINK("https://miland.ru/api/getInfo/image/f472d7dc-88bd-11ec-a211-ac1f6b442185")</f>
        <v>https://miland.ru/api/getInfo/image/f472d7dc-88bd-11ec-a211-ac1f6b442185</v>
      </c>
    </row>
    <row r="1557" spans="1:19" s="2" customFormat="1" ht="96.2" customHeight="1" outlineLevel="5">
      <c r="A1557" s="52">
        <v>1202</v>
      </c>
      <c r="B1557" s="26" t="s">
        <v>5095</v>
      </c>
      <c r="C1557" s="66" t="s">
        <v>5096</v>
      </c>
      <c r="D1557" s="66"/>
      <c r="E1557" s="66"/>
      <c r="F1557" s="66"/>
      <c r="G1557" s="27" t="s">
        <v>5097</v>
      </c>
      <c r="H1557" s="28" t="s">
        <v>44</v>
      </c>
      <c r="I1557" s="29"/>
      <c r="J1557" s="25">
        <v>10</v>
      </c>
      <c r="K1557" s="30">
        <v>76.75</v>
      </c>
      <c r="L1557" s="17"/>
      <c r="M1557" s="29">
        <f t="shared" si="70"/>
        <v>0</v>
      </c>
      <c r="N1557" s="31">
        <f>0.017*L1557</f>
        <v>0</v>
      </c>
      <c r="O1557" s="35">
        <f>0.0006*L1557</f>
        <v>0</v>
      </c>
      <c r="P1557" s="36"/>
      <c r="Q1557" s="29" t="s">
        <v>5098</v>
      </c>
      <c r="R1557" s="29" t="s">
        <v>611</v>
      </c>
      <c r="S1557" s="26" t="str">
        <f>HYPERLINK("https://miland.ru/api/getInfo/image/a273f8ff-88bf-11ec-a211-ac1f6b442185")</f>
        <v>https://miland.ru/api/getInfo/image/a273f8ff-88bf-11ec-a211-ac1f6b442185</v>
      </c>
    </row>
    <row r="1558" spans="1:19" s="2" customFormat="1" ht="96.2" customHeight="1" outlineLevel="5">
      <c r="A1558" s="52">
        <v>1203</v>
      </c>
      <c r="B1558" s="26" t="s">
        <v>5099</v>
      </c>
      <c r="C1558" s="66" t="s">
        <v>5100</v>
      </c>
      <c r="D1558" s="66"/>
      <c r="E1558" s="66"/>
      <c r="F1558" s="66"/>
      <c r="G1558" s="27" t="s">
        <v>5101</v>
      </c>
      <c r="H1558" s="28" t="s">
        <v>44</v>
      </c>
      <c r="I1558" s="29"/>
      <c r="J1558" s="25">
        <v>10</v>
      </c>
      <c r="K1558" s="30">
        <v>76.75</v>
      </c>
      <c r="L1558" s="17"/>
      <c r="M1558" s="29">
        <f t="shared" si="70"/>
        <v>0</v>
      </c>
      <c r="N1558" s="31">
        <f>0.007*L1558</f>
        <v>0</v>
      </c>
      <c r="O1558" s="32">
        <f>0.00015*L1558</f>
        <v>0</v>
      </c>
      <c r="P1558" s="36"/>
      <c r="Q1558" s="29" t="s">
        <v>5102</v>
      </c>
      <c r="R1558" s="29" t="s">
        <v>611</v>
      </c>
      <c r="S1558" s="26" t="str">
        <f>HYPERLINK("https://miland.ru/api/getInfo/image/5da45cce-88be-11ec-a211-ac1f6b442185")</f>
        <v>https://miland.ru/api/getInfo/image/5da45cce-88be-11ec-a211-ac1f6b442185</v>
      </c>
    </row>
    <row r="1559" spans="1:19" s="2" customFormat="1" ht="96.2" customHeight="1" outlineLevel="5">
      <c r="A1559" s="52">
        <v>1204</v>
      </c>
      <c r="B1559" s="26" t="s">
        <v>5103</v>
      </c>
      <c r="C1559" s="66" t="s">
        <v>5104</v>
      </c>
      <c r="D1559" s="66"/>
      <c r="E1559" s="66"/>
      <c r="F1559" s="66"/>
      <c r="G1559" s="27" t="s">
        <v>5105</v>
      </c>
      <c r="H1559" s="28" t="s">
        <v>44</v>
      </c>
      <c r="I1559" s="29"/>
      <c r="J1559" s="25">
        <v>10</v>
      </c>
      <c r="K1559" s="30">
        <v>76.75</v>
      </c>
      <c r="L1559" s="17"/>
      <c r="M1559" s="29">
        <f t="shared" si="70"/>
        <v>0</v>
      </c>
      <c r="N1559" s="31">
        <f>0.007*L1559</f>
        <v>0</v>
      </c>
      <c r="O1559" s="32">
        <f>0.00015*L1559</f>
        <v>0</v>
      </c>
      <c r="P1559" s="36"/>
      <c r="Q1559" s="29" t="s">
        <v>5106</v>
      </c>
      <c r="R1559" s="29" t="s">
        <v>611</v>
      </c>
      <c r="S1559" s="26" t="str">
        <f>HYPERLINK("https://miland.ru/api/getInfo/image/3b54ef0d-88bb-11ec-a211-ac1f6b442185")</f>
        <v>https://miland.ru/api/getInfo/image/3b54ef0d-88bb-11ec-a211-ac1f6b442185</v>
      </c>
    </row>
    <row r="1560" spans="1:19" s="2" customFormat="1" ht="96.2" customHeight="1" outlineLevel="5">
      <c r="A1560" s="52">
        <v>1205</v>
      </c>
      <c r="B1560" s="26" t="s">
        <v>5107</v>
      </c>
      <c r="C1560" s="66" t="s">
        <v>5108</v>
      </c>
      <c r="D1560" s="66"/>
      <c r="E1560" s="66"/>
      <c r="F1560" s="66"/>
      <c r="G1560" s="27" t="s">
        <v>5109</v>
      </c>
      <c r="H1560" s="28" t="s">
        <v>44</v>
      </c>
      <c r="I1560" s="29"/>
      <c r="J1560" s="25">
        <v>10</v>
      </c>
      <c r="K1560" s="30">
        <v>91.9</v>
      </c>
      <c r="L1560" s="17"/>
      <c r="M1560" s="29">
        <f t="shared" si="70"/>
        <v>0</v>
      </c>
      <c r="N1560" s="31">
        <f>0.011*L1560</f>
        <v>0</v>
      </c>
      <c r="O1560" s="32">
        <f>0.01418*L1560</f>
        <v>0</v>
      </c>
      <c r="P1560" s="36"/>
      <c r="Q1560" s="29" t="s">
        <v>5110</v>
      </c>
      <c r="R1560" s="29"/>
      <c r="S1560" s="26" t="str">
        <f>HYPERLINK("https://miland.ru/api/getInfo/image/e32daa97-88be-11ec-a211-ac1f6b442185")</f>
        <v>https://miland.ru/api/getInfo/image/e32daa97-88be-11ec-a211-ac1f6b442185</v>
      </c>
    </row>
    <row r="1561" spans="1:19" s="1" customFormat="1" ht="12" customHeight="1" outlineLevel="4">
      <c r="A1561" s="64" t="s">
        <v>5111</v>
      </c>
      <c r="B1561" s="64"/>
      <c r="C1561" s="64"/>
      <c r="D1561" s="64"/>
      <c r="E1561" s="64"/>
      <c r="F1561" s="64"/>
      <c r="G1561" s="8"/>
      <c r="H1561" s="12"/>
      <c r="I1561" s="2"/>
      <c r="J1561" s="2"/>
      <c r="K1561" s="13"/>
      <c r="L1561" s="2"/>
      <c r="M1561" s="2"/>
      <c r="N1561" s="2"/>
      <c r="O1561" s="2"/>
      <c r="P1561" s="2"/>
      <c r="Q1561" s="2"/>
      <c r="R1561" s="2"/>
      <c r="S1561" s="2"/>
    </row>
    <row r="1562" spans="1:19" s="2" customFormat="1" ht="96.2" customHeight="1" outlineLevel="5">
      <c r="A1562" s="52">
        <v>1206</v>
      </c>
      <c r="B1562" s="26" t="s">
        <v>5112</v>
      </c>
      <c r="C1562" s="66" t="s">
        <v>5113</v>
      </c>
      <c r="D1562" s="66"/>
      <c r="E1562" s="66"/>
      <c r="F1562" s="66"/>
      <c r="G1562" s="27" t="s">
        <v>5114</v>
      </c>
      <c r="H1562" s="28" t="s">
        <v>44</v>
      </c>
      <c r="I1562" s="29"/>
      <c r="J1562" s="25">
        <v>5</v>
      </c>
      <c r="K1562" s="30">
        <v>117.9</v>
      </c>
      <c r="L1562" s="17"/>
      <c r="M1562" s="29">
        <f t="shared" ref="M1562:M1585" si="71">K1562*L1562</f>
        <v>0</v>
      </c>
      <c r="N1562" s="31">
        <f>0.041*L1562</f>
        <v>0</v>
      </c>
      <c r="O1562" s="32">
        <f>0.00087*L1562</f>
        <v>0</v>
      </c>
      <c r="P1562" s="36"/>
      <c r="Q1562" s="29" t="s">
        <v>5115</v>
      </c>
      <c r="R1562" s="29"/>
      <c r="S1562" s="26" t="str">
        <f>HYPERLINK("https://miland.ru/api/getInfo/image/cd7228b1-88ad-11ec-a211-ac1f6b442185")</f>
        <v>https://miland.ru/api/getInfo/image/cd7228b1-88ad-11ec-a211-ac1f6b442185</v>
      </c>
    </row>
    <row r="1563" spans="1:19" s="2" customFormat="1" ht="96.2" customHeight="1" outlineLevel="5">
      <c r="A1563" s="52">
        <v>1207</v>
      </c>
      <c r="B1563" s="26" t="s">
        <v>5116</v>
      </c>
      <c r="C1563" s="66" t="s">
        <v>5117</v>
      </c>
      <c r="D1563" s="66"/>
      <c r="E1563" s="66"/>
      <c r="F1563" s="66"/>
      <c r="G1563" s="27" t="s">
        <v>5118</v>
      </c>
      <c r="H1563" s="33">
        <v>109</v>
      </c>
      <c r="I1563" s="29"/>
      <c r="J1563" s="25">
        <v>10</v>
      </c>
      <c r="K1563" s="30">
        <v>88.17</v>
      </c>
      <c r="L1563" s="17"/>
      <c r="M1563" s="29">
        <f t="shared" si="71"/>
        <v>0</v>
      </c>
      <c r="N1563" s="31">
        <f>0.026*L1563</f>
        <v>0</v>
      </c>
      <c r="O1563" s="32">
        <f>0.00095*L1563</f>
        <v>0</v>
      </c>
      <c r="P1563" s="36"/>
      <c r="Q1563" s="29" t="s">
        <v>5119</v>
      </c>
      <c r="R1563" s="29"/>
      <c r="S1563" s="26" t="str">
        <f>HYPERLINK("https://miland.ru/api/getInfo/image/d80cf4d8-88a7-11ec-a211-ac1f6b442185")</f>
        <v>https://miland.ru/api/getInfo/image/d80cf4d8-88a7-11ec-a211-ac1f6b442185</v>
      </c>
    </row>
    <row r="1564" spans="1:19" s="2" customFormat="1" ht="96.2" customHeight="1" outlineLevel="5">
      <c r="A1564" s="52">
        <v>1208</v>
      </c>
      <c r="B1564" s="26" t="s">
        <v>5120</v>
      </c>
      <c r="C1564" s="66" t="s">
        <v>5121</v>
      </c>
      <c r="D1564" s="66"/>
      <c r="E1564" s="66"/>
      <c r="F1564" s="66"/>
      <c r="G1564" s="27" t="s">
        <v>5122</v>
      </c>
      <c r="H1564" s="33">
        <v>28</v>
      </c>
      <c r="I1564" s="29"/>
      <c r="J1564" s="25">
        <v>5</v>
      </c>
      <c r="K1564" s="30">
        <v>117.9</v>
      </c>
      <c r="L1564" s="17"/>
      <c r="M1564" s="29">
        <f t="shared" si="71"/>
        <v>0</v>
      </c>
      <c r="N1564" s="31">
        <f>0.052*L1564</f>
        <v>0</v>
      </c>
      <c r="O1564" s="32">
        <f>0.00092*L1564</f>
        <v>0</v>
      </c>
      <c r="P1564" s="36"/>
      <c r="Q1564" s="29" t="s">
        <v>5123</v>
      </c>
      <c r="R1564" s="29"/>
      <c r="S1564" s="26" t="str">
        <f>HYPERLINK("https://miland.ru/api/getInfo/image/c9666d42-880d-11ec-a211-ac1f6b442185")</f>
        <v>https://miland.ru/api/getInfo/image/c9666d42-880d-11ec-a211-ac1f6b442185</v>
      </c>
    </row>
    <row r="1565" spans="1:19" s="2" customFormat="1" ht="96.2" customHeight="1" outlineLevel="5">
      <c r="A1565" s="52">
        <v>1209</v>
      </c>
      <c r="B1565" s="26" t="s">
        <v>5124</v>
      </c>
      <c r="C1565" s="66" t="s">
        <v>5125</v>
      </c>
      <c r="D1565" s="66"/>
      <c r="E1565" s="66"/>
      <c r="F1565" s="66"/>
      <c r="G1565" s="27" t="s">
        <v>5126</v>
      </c>
      <c r="H1565" s="28" t="s">
        <v>44</v>
      </c>
      <c r="I1565" s="29"/>
      <c r="J1565" s="25">
        <v>10</v>
      </c>
      <c r="K1565" s="30">
        <v>88.17</v>
      </c>
      <c r="L1565" s="17"/>
      <c r="M1565" s="29">
        <f t="shared" si="71"/>
        <v>0</v>
      </c>
      <c r="N1565" s="31">
        <f>0.036*L1565</f>
        <v>0</v>
      </c>
      <c r="O1565" s="32">
        <f>0.00071*L1565</f>
        <v>0</v>
      </c>
      <c r="P1565" s="36"/>
      <c r="Q1565" s="29" t="s">
        <v>5127</v>
      </c>
      <c r="R1565" s="29" t="s">
        <v>611</v>
      </c>
      <c r="S1565" s="26" t="str">
        <f>HYPERLINK("https://miland.ru/api/getInfo/image/cc1f5d16-880b-11ec-a211-ac1f6b442185")</f>
        <v>https://miland.ru/api/getInfo/image/cc1f5d16-880b-11ec-a211-ac1f6b442185</v>
      </c>
    </row>
    <row r="1566" spans="1:19" s="2" customFormat="1" ht="96.2" customHeight="1" outlineLevel="5">
      <c r="A1566" s="52">
        <v>1210</v>
      </c>
      <c r="B1566" s="26" t="s">
        <v>5128</v>
      </c>
      <c r="C1566" s="66" t="s">
        <v>5129</v>
      </c>
      <c r="D1566" s="66"/>
      <c r="E1566" s="66"/>
      <c r="F1566" s="66"/>
      <c r="G1566" s="27" t="s">
        <v>5130</v>
      </c>
      <c r="H1566" s="33">
        <v>111</v>
      </c>
      <c r="I1566" s="29"/>
      <c r="J1566" s="25">
        <v>5</v>
      </c>
      <c r="K1566" s="30">
        <v>145.78</v>
      </c>
      <c r="L1566" s="17"/>
      <c r="M1566" s="29">
        <f t="shared" si="71"/>
        <v>0</v>
      </c>
      <c r="N1566" s="31">
        <f>0.057*L1566</f>
        <v>0</v>
      </c>
      <c r="O1566" s="32">
        <f>0.00102*L1566</f>
        <v>0</v>
      </c>
      <c r="P1566" s="36"/>
      <c r="Q1566" s="29" t="s">
        <v>5131</v>
      </c>
      <c r="R1566" s="29"/>
      <c r="S1566" s="26" t="str">
        <f>HYPERLINK("https://miland.ru/api/getInfo/image/4c511101-88af-11ec-a211-ac1f6b442185")</f>
        <v>https://miland.ru/api/getInfo/image/4c511101-88af-11ec-a211-ac1f6b442185</v>
      </c>
    </row>
    <row r="1567" spans="1:19" s="2" customFormat="1" ht="96.2" customHeight="1" outlineLevel="5">
      <c r="A1567" s="52">
        <v>1211</v>
      </c>
      <c r="B1567" s="26" t="s">
        <v>5132</v>
      </c>
      <c r="C1567" s="66" t="s">
        <v>5133</v>
      </c>
      <c r="D1567" s="66"/>
      <c r="E1567" s="66"/>
      <c r="F1567" s="66"/>
      <c r="G1567" s="27" t="s">
        <v>5134</v>
      </c>
      <c r="H1567" s="28" t="s">
        <v>44</v>
      </c>
      <c r="I1567" s="29"/>
      <c r="J1567" s="25">
        <v>10</v>
      </c>
      <c r="K1567" s="30">
        <v>106.46</v>
      </c>
      <c r="L1567" s="17"/>
      <c r="M1567" s="29">
        <f t="shared" si="71"/>
        <v>0</v>
      </c>
      <c r="N1567" s="31">
        <f>0.038*L1567</f>
        <v>0</v>
      </c>
      <c r="O1567" s="32">
        <f>0.00069*L1567</f>
        <v>0</v>
      </c>
      <c r="P1567" s="36"/>
      <c r="Q1567" s="29" t="s">
        <v>5135</v>
      </c>
      <c r="R1567" s="29"/>
      <c r="S1567" s="26" t="str">
        <f>HYPERLINK("https://miland.ru/api/getInfo/image/d96b3b19-88ae-11ec-a211-ac1f6b442185")</f>
        <v>https://miland.ru/api/getInfo/image/d96b3b19-88ae-11ec-a211-ac1f6b442185</v>
      </c>
    </row>
    <row r="1568" spans="1:19" s="2" customFormat="1" ht="96.2" customHeight="1" outlineLevel="5">
      <c r="A1568" s="52">
        <v>1212</v>
      </c>
      <c r="B1568" s="26" t="s">
        <v>5136</v>
      </c>
      <c r="C1568" s="66" t="s">
        <v>5137</v>
      </c>
      <c r="D1568" s="66"/>
      <c r="E1568" s="66"/>
      <c r="F1568" s="66"/>
      <c r="G1568" s="27" t="s">
        <v>5138</v>
      </c>
      <c r="H1568" s="28" t="s">
        <v>44</v>
      </c>
      <c r="I1568" s="29"/>
      <c r="J1568" s="25">
        <v>5</v>
      </c>
      <c r="K1568" s="30">
        <v>117.9</v>
      </c>
      <c r="L1568" s="17"/>
      <c r="M1568" s="29">
        <f t="shared" si="71"/>
        <v>0</v>
      </c>
      <c r="N1568" s="31">
        <f>0.042*L1568</f>
        <v>0</v>
      </c>
      <c r="O1568" s="32">
        <f>0.00087*L1568</f>
        <v>0</v>
      </c>
      <c r="P1568" s="36"/>
      <c r="Q1568" s="29" t="s">
        <v>5139</v>
      </c>
      <c r="R1568" s="29"/>
      <c r="S1568" s="26" t="str">
        <f>HYPERLINK("https://miland.ru/api/getInfo/image/cfb44e1e-8825-11ec-a211-ac1f6b442185")</f>
        <v>https://miland.ru/api/getInfo/image/cfb44e1e-8825-11ec-a211-ac1f6b442185</v>
      </c>
    </row>
    <row r="1569" spans="1:19" s="2" customFormat="1" ht="96.2" customHeight="1" outlineLevel="5">
      <c r="A1569" s="52">
        <v>1213</v>
      </c>
      <c r="B1569" s="26" t="s">
        <v>5140</v>
      </c>
      <c r="C1569" s="66" t="s">
        <v>5141</v>
      </c>
      <c r="D1569" s="66"/>
      <c r="E1569" s="66"/>
      <c r="F1569" s="66"/>
      <c r="G1569" s="27" t="s">
        <v>5142</v>
      </c>
      <c r="H1569" s="28" t="s">
        <v>44</v>
      </c>
      <c r="I1569" s="29"/>
      <c r="J1569" s="25">
        <v>10</v>
      </c>
      <c r="K1569" s="30">
        <v>63.29</v>
      </c>
      <c r="L1569" s="17"/>
      <c r="M1569" s="29">
        <f t="shared" si="71"/>
        <v>0</v>
      </c>
      <c r="N1569" s="31">
        <f>0.024*L1569</f>
        <v>0</v>
      </c>
      <c r="O1569" s="35">
        <f>0.0007*L1569</f>
        <v>0</v>
      </c>
      <c r="P1569" s="36"/>
      <c r="Q1569" s="29" t="s">
        <v>5143</v>
      </c>
      <c r="R1569" s="29"/>
      <c r="S1569" s="26" t="str">
        <f>HYPERLINK("https://miland.ru/api/getInfo/image/b71f728b-8824-11ec-a211-ac1f6b442185")</f>
        <v>https://miland.ru/api/getInfo/image/b71f728b-8824-11ec-a211-ac1f6b442185</v>
      </c>
    </row>
    <row r="1570" spans="1:19" s="2" customFormat="1" ht="96.2" customHeight="1" outlineLevel="5">
      <c r="A1570" s="52">
        <v>1214</v>
      </c>
      <c r="B1570" s="26" t="s">
        <v>5144</v>
      </c>
      <c r="C1570" s="66" t="s">
        <v>5145</v>
      </c>
      <c r="D1570" s="66"/>
      <c r="E1570" s="66"/>
      <c r="F1570" s="66"/>
      <c r="G1570" s="27" t="s">
        <v>5146</v>
      </c>
      <c r="H1570" s="33">
        <v>2</v>
      </c>
      <c r="I1570" s="29"/>
      <c r="J1570" s="25">
        <v>2</v>
      </c>
      <c r="K1570" s="30">
        <v>88.17</v>
      </c>
      <c r="L1570" s="17"/>
      <c r="M1570" s="29">
        <f t="shared" si="71"/>
        <v>0</v>
      </c>
      <c r="N1570" s="31">
        <f>0.034*L1570</f>
        <v>0</v>
      </c>
      <c r="O1570" s="32">
        <f>0.00053*L1570</f>
        <v>0</v>
      </c>
      <c r="P1570" s="36"/>
      <c r="Q1570" s="29" t="s">
        <v>5147</v>
      </c>
      <c r="R1570" s="29" t="s">
        <v>611</v>
      </c>
      <c r="S1570" s="26" t="str">
        <f>HYPERLINK("https://miland.ru/api/getInfo/image/3fa8b59b-8825-11ec-a211-ac1f6b442185")</f>
        <v>https://miland.ru/api/getInfo/image/3fa8b59b-8825-11ec-a211-ac1f6b442185</v>
      </c>
    </row>
    <row r="1571" spans="1:19" s="2" customFormat="1" ht="96.2" customHeight="1" outlineLevel="5">
      <c r="A1571" s="52">
        <v>1215</v>
      </c>
      <c r="B1571" s="26" t="s">
        <v>5148</v>
      </c>
      <c r="C1571" s="66" t="s">
        <v>5149</v>
      </c>
      <c r="D1571" s="66"/>
      <c r="E1571" s="66"/>
      <c r="F1571" s="66"/>
      <c r="G1571" s="27" t="s">
        <v>5150</v>
      </c>
      <c r="H1571" s="28" t="s">
        <v>44</v>
      </c>
      <c r="I1571" s="29"/>
      <c r="J1571" s="25">
        <v>5</v>
      </c>
      <c r="K1571" s="30">
        <v>117.9</v>
      </c>
      <c r="L1571" s="17"/>
      <c r="M1571" s="29">
        <f t="shared" si="71"/>
        <v>0</v>
      </c>
      <c r="N1571" s="31">
        <f>0.042*L1571</f>
        <v>0</v>
      </c>
      <c r="O1571" s="32">
        <f>0.00107*L1571</f>
        <v>0</v>
      </c>
      <c r="P1571" s="36"/>
      <c r="Q1571" s="29" t="s">
        <v>5151</v>
      </c>
      <c r="R1571" s="29"/>
      <c r="S1571" s="26" t="str">
        <f>HYPERLINK("https://miland.ru/api/getInfo/image/7852d3ba-8811-11ec-a211-ac1f6b442185")</f>
        <v>https://miland.ru/api/getInfo/image/7852d3ba-8811-11ec-a211-ac1f6b442185</v>
      </c>
    </row>
    <row r="1572" spans="1:19" s="2" customFormat="1" ht="96.2" customHeight="1" outlineLevel="5">
      <c r="A1572" s="52">
        <v>1216</v>
      </c>
      <c r="B1572" s="26" t="s">
        <v>5152</v>
      </c>
      <c r="C1572" s="66" t="s">
        <v>5153</v>
      </c>
      <c r="D1572" s="66"/>
      <c r="E1572" s="66"/>
      <c r="F1572" s="66"/>
      <c r="G1572" s="27" t="s">
        <v>5154</v>
      </c>
      <c r="H1572" s="28" t="s">
        <v>44</v>
      </c>
      <c r="I1572" s="29"/>
      <c r="J1572" s="25">
        <v>10</v>
      </c>
      <c r="K1572" s="30">
        <v>88.17</v>
      </c>
      <c r="L1572" s="17"/>
      <c r="M1572" s="29">
        <f t="shared" si="71"/>
        <v>0</v>
      </c>
      <c r="N1572" s="31">
        <f>0.029*L1572</f>
        <v>0</v>
      </c>
      <c r="O1572" s="32">
        <f>0.00089*L1572</f>
        <v>0</v>
      </c>
      <c r="P1572" s="36"/>
      <c r="Q1572" s="29" t="s">
        <v>5155</v>
      </c>
      <c r="R1572" s="29"/>
      <c r="S1572" s="26" t="str">
        <f>HYPERLINK("https://miland.ru/api/getInfo/image/09abe590-8811-11ec-a211-ac1f6b442185")</f>
        <v>https://miland.ru/api/getInfo/image/09abe590-8811-11ec-a211-ac1f6b442185</v>
      </c>
    </row>
    <row r="1573" spans="1:19" s="2" customFormat="1" ht="96.2" customHeight="1" outlineLevel="5">
      <c r="A1573" s="52">
        <v>1217</v>
      </c>
      <c r="B1573" s="26" t="s">
        <v>5156</v>
      </c>
      <c r="C1573" s="66" t="s">
        <v>5157</v>
      </c>
      <c r="D1573" s="66"/>
      <c r="E1573" s="66"/>
      <c r="F1573" s="66"/>
      <c r="G1573" s="27" t="s">
        <v>5158</v>
      </c>
      <c r="H1573" s="28" t="s">
        <v>44</v>
      </c>
      <c r="I1573" s="29"/>
      <c r="J1573" s="25">
        <v>10</v>
      </c>
      <c r="K1573" s="30">
        <v>88.17</v>
      </c>
      <c r="L1573" s="17"/>
      <c r="M1573" s="29">
        <f t="shared" si="71"/>
        <v>0</v>
      </c>
      <c r="N1573" s="31">
        <f>0.032*L1573</f>
        <v>0</v>
      </c>
      <c r="O1573" s="35">
        <f>0.0011*L1573</f>
        <v>0</v>
      </c>
      <c r="P1573" s="36"/>
      <c r="Q1573" s="29" t="s">
        <v>5159</v>
      </c>
      <c r="R1573" s="29"/>
      <c r="S1573" s="26" t="str">
        <f>HYPERLINK("https://miland.ru/api/getInfo/image/aad08d68-8821-11ec-a211-ac1f6b442185")</f>
        <v>https://miland.ru/api/getInfo/image/aad08d68-8821-11ec-a211-ac1f6b442185</v>
      </c>
    </row>
    <row r="1574" spans="1:19" s="2" customFormat="1" ht="96.2" customHeight="1" outlineLevel="5">
      <c r="A1574" s="52">
        <v>1218</v>
      </c>
      <c r="B1574" s="26" t="s">
        <v>5160</v>
      </c>
      <c r="C1574" s="66" t="s">
        <v>5161</v>
      </c>
      <c r="D1574" s="66"/>
      <c r="E1574" s="66"/>
      <c r="F1574" s="66"/>
      <c r="G1574" s="27" t="s">
        <v>5162</v>
      </c>
      <c r="H1574" s="33">
        <v>5</v>
      </c>
      <c r="I1574" s="29"/>
      <c r="J1574" s="25">
        <v>5</v>
      </c>
      <c r="K1574" s="30">
        <v>107.17</v>
      </c>
      <c r="L1574" s="17"/>
      <c r="M1574" s="29">
        <f t="shared" si="71"/>
        <v>0</v>
      </c>
      <c r="N1574" s="31">
        <f>0.036*L1574</f>
        <v>0</v>
      </c>
      <c r="O1574" s="35">
        <f>0.0015*L1574</f>
        <v>0</v>
      </c>
      <c r="P1574" s="36"/>
      <c r="Q1574" s="29" t="s">
        <v>5163</v>
      </c>
      <c r="R1574" s="29" t="s">
        <v>611</v>
      </c>
      <c r="S1574" s="26" t="str">
        <f>HYPERLINK("https://miland.ru/api/getInfo/image/6aae8674-88a6-11ec-a211-ac1f6b442185")</f>
        <v>https://miland.ru/api/getInfo/image/6aae8674-88a6-11ec-a211-ac1f6b442185</v>
      </c>
    </row>
    <row r="1575" spans="1:19" s="2" customFormat="1" ht="96.2" customHeight="1" outlineLevel="5">
      <c r="A1575" s="52">
        <v>1219</v>
      </c>
      <c r="B1575" s="26" t="s">
        <v>5164</v>
      </c>
      <c r="C1575" s="66" t="s">
        <v>5165</v>
      </c>
      <c r="D1575" s="66"/>
      <c r="E1575" s="66"/>
      <c r="F1575" s="66"/>
      <c r="G1575" s="27" t="s">
        <v>5166</v>
      </c>
      <c r="H1575" s="33">
        <v>5</v>
      </c>
      <c r="I1575" s="29"/>
      <c r="J1575" s="25">
        <v>5</v>
      </c>
      <c r="K1575" s="30">
        <v>60.82</v>
      </c>
      <c r="L1575" s="17"/>
      <c r="M1575" s="29">
        <f t="shared" si="71"/>
        <v>0</v>
      </c>
      <c r="N1575" s="31">
        <f>0.027*L1575</f>
        <v>0</v>
      </c>
      <c r="O1575" s="35">
        <f>0.0008*L1575</f>
        <v>0</v>
      </c>
      <c r="P1575" s="36"/>
      <c r="Q1575" s="29" t="s">
        <v>5167</v>
      </c>
      <c r="R1575" s="29" t="s">
        <v>611</v>
      </c>
      <c r="S1575" s="26" t="str">
        <f>HYPERLINK("https://miland.ru/api/getInfo/image/d8b1f1d7-88a5-11ec-a211-ac1f6b442185")</f>
        <v>https://miland.ru/api/getInfo/image/d8b1f1d7-88a5-11ec-a211-ac1f6b442185</v>
      </c>
    </row>
    <row r="1576" spans="1:19" s="2" customFormat="1" ht="96.2" customHeight="1" outlineLevel="5">
      <c r="A1576" s="52">
        <v>1220</v>
      </c>
      <c r="B1576" s="26" t="s">
        <v>5168</v>
      </c>
      <c r="C1576" s="66" t="s">
        <v>5169</v>
      </c>
      <c r="D1576" s="66"/>
      <c r="E1576" s="66"/>
      <c r="F1576" s="66"/>
      <c r="G1576" s="27" t="s">
        <v>5170</v>
      </c>
      <c r="H1576" s="33">
        <v>6</v>
      </c>
      <c r="I1576" s="29"/>
      <c r="J1576" s="25">
        <v>6</v>
      </c>
      <c r="K1576" s="30">
        <v>50.02</v>
      </c>
      <c r="L1576" s="17"/>
      <c r="M1576" s="29">
        <f t="shared" si="71"/>
        <v>0</v>
      </c>
      <c r="N1576" s="31">
        <f>0.016*L1576</f>
        <v>0</v>
      </c>
      <c r="O1576" s="32">
        <f>0.00052*L1576</f>
        <v>0</v>
      </c>
      <c r="P1576" s="36"/>
      <c r="Q1576" s="29" t="s">
        <v>5171</v>
      </c>
      <c r="R1576" s="29" t="s">
        <v>611</v>
      </c>
      <c r="S1576" s="26" t="str">
        <f>HYPERLINK("https://miland.ru/api/getInfo/image/5a532383-0122-11ee-a23a-00155d82e902")</f>
        <v>https://miland.ru/api/getInfo/image/5a532383-0122-11ee-a23a-00155d82e902</v>
      </c>
    </row>
    <row r="1577" spans="1:19" s="2" customFormat="1" ht="96.2" customHeight="1" outlineLevel="5">
      <c r="A1577" s="52">
        <v>1221</v>
      </c>
      <c r="B1577" s="26" t="s">
        <v>5172</v>
      </c>
      <c r="C1577" s="66" t="s">
        <v>5173</v>
      </c>
      <c r="D1577" s="66"/>
      <c r="E1577" s="66"/>
      <c r="F1577" s="66"/>
      <c r="G1577" s="27" t="s">
        <v>5174</v>
      </c>
      <c r="H1577" s="28" t="s">
        <v>44</v>
      </c>
      <c r="I1577" s="29"/>
      <c r="J1577" s="25">
        <v>5</v>
      </c>
      <c r="K1577" s="30">
        <v>107.17</v>
      </c>
      <c r="L1577" s="17"/>
      <c r="M1577" s="29">
        <f t="shared" si="71"/>
        <v>0</v>
      </c>
      <c r="N1577" s="31">
        <f>0.044*L1577</f>
        <v>0</v>
      </c>
      <c r="O1577" s="32">
        <f>0.00082*L1577</f>
        <v>0</v>
      </c>
      <c r="P1577" s="36"/>
      <c r="Q1577" s="29" t="s">
        <v>5175</v>
      </c>
      <c r="R1577" s="29" t="s">
        <v>611</v>
      </c>
      <c r="S1577" s="26" t="str">
        <f>HYPERLINK("https://miland.ru/api/getInfo/image/738046fb-88a8-11ec-a211-ac1f6b442185")</f>
        <v>https://miland.ru/api/getInfo/image/738046fb-88a8-11ec-a211-ac1f6b442185</v>
      </c>
    </row>
    <row r="1578" spans="1:19" s="2" customFormat="1" ht="96.2" customHeight="1" outlineLevel="5">
      <c r="A1578" s="52">
        <v>1222</v>
      </c>
      <c r="B1578" s="26" t="s">
        <v>5176</v>
      </c>
      <c r="C1578" s="66" t="s">
        <v>5177</v>
      </c>
      <c r="D1578" s="66"/>
      <c r="E1578" s="66"/>
      <c r="F1578" s="66"/>
      <c r="G1578" s="27" t="s">
        <v>5178</v>
      </c>
      <c r="H1578" s="33">
        <v>416</v>
      </c>
      <c r="I1578" s="29"/>
      <c r="J1578" s="25">
        <v>5</v>
      </c>
      <c r="K1578" s="30">
        <v>117.9</v>
      </c>
      <c r="L1578" s="17"/>
      <c r="M1578" s="29">
        <f t="shared" si="71"/>
        <v>0</v>
      </c>
      <c r="N1578" s="31">
        <f>0.041*L1578</f>
        <v>0</v>
      </c>
      <c r="O1578" s="32">
        <f>0.00101*L1578</f>
        <v>0</v>
      </c>
      <c r="P1578" s="36"/>
      <c r="Q1578" s="29" t="s">
        <v>5179</v>
      </c>
      <c r="R1578" s="29"/>
      <c r="S1578" s="26" t="str">
        <f>HYPERLINK("https://miland.ru/api/getInfo/image/6f9f6177-88a7-11ec-a211-ac1f6b442185")</f>
        <v>https://miland.ru/api/getInfo/image/6f9f6177-88a7-11ec-a211-ac1f6b442185</v>
      </c>
    </row>
    <row r="1579" spans="1:19" s="2" customFormat="1" ht="96.2" customHeight="1" outlineLevel="5">
      <c r="A1579" s="52">
        <v>1223</v>
      </c>
      <c r="B1579" s="26" t="s">
        <v>5180</v>
      </c>
      <c r="C1579" s="66" t="s">
        <v>5181</v>
      </c>
      <c r="D1579" s="66"/>
      <c r="E1579" s="66"/>
      <c r="F1579" s="66"/>
      <c r="G1579" s="27" t="s">
        <v>5182</v>
      </c>
      <c r="H1579" s="28" t="s">
        <v>44</v>
      </c>
      <c r="I1579" s="29"/>
      <c r="J1579" s="25">
        <v>5</v>
      </c>
      <c r="K1579" s="30">
        <v>117.9</v>
      </c>
      <c r="L1579" s="17"/>
      <c r="M1579" s="29">
        <f t="shared" si="71"/>
        <v>0</v>
      </c>
      <c r="N1579" s="31">
        <f>0.037*L1579</f>
        <v>0</v>
      </c>
      <c r="O1579" s="31">
        <f>0.001*L1579</f>
        <v>0</v>
      </c>
      <c r="P1579" s="36"/>
      <c r="Q1579" s="29" t="s">
        <v>5183</v>
      </c>
      <c r="R1579" s="29"/>
      <c r="S1579" s="26" t="str">
        <f>HYPERLINK("https://miland.ru/api/getInfo/image/66519d8a-88ab-11ec-a211-ac1f6b442185")</f>
        <v>https://miland.ru/api/getInfo/image/66519d8a-88ab-11ec-a211-ac1f6b442185</v>
      </c>
    </row>
    <row r="1580" spans="1:19" s="2" customFormat="1" ht="96.2" customHeight="1" outlineLevel="5">
      <c r="A1580" s="52">
        <v>1224</v>
      </c>
      <c r="B1580" s="26" t="s">
        <v>5184</v>
      </c>
      <c r="C1580" s="66" t="s">
        <v>5185</v>
      </c>
      <c r="D1580" s="66"/>
      <c r="E1580" s="66"/>
      <c r="F1580" s="66"/>
      <c r="G1580" s="27" t="s">
        <v>5186</v>
      </c>
      <c r="H1580" s="28" t="s">
        <v>44</v>
      </c>
      <c r="I1580" s="29"/>
      <c r="J1580" s="25">
        <v>5</v>
      </c>
      <c r="K1580" s="30">
        <v>117.9</v>
      </c>
      <c r="L1580" s="17"/>
      <c r="M1580" s="29">
        <f t="shared" si="71"/>
        <v>0</v>
      </c>
      <c r="N1580" s="31">
        <f>0.038*L1580</f>
        <v>0</v>
      </c>
      <c r="O1580" s="32">
        <f>0.00088*L1580</f>
        <v>0</v>
      </c>
      <c r="P1580" s="36"/>
      <c r="Q1580" s="29" t="s">
        <v>5187</v>
      </c>
      <c r="R1580" s="29"/>
      <c r="S1580" s="26" t="str">
        <f>HYPERLINK("https://miland.ru/api/getInfo/image/91b4b483-88aa-11ec-a211-ac1f6b442185")</f>
        <v>https://miland.ru/api/getInfo/image/91b4b483-88aa-11ec-a211-ac1f6b442185</v>
      </c>
    </row>
    <row r="1581" spans="1:19" s="2" customFormat="1" ht="96.2" customHeight="1" outlineLevel="5">
      <c r="A1581" s="52">
        <v>1225</v>
      </c>
      <c r="B1581" s="26" t="s">
        <v>5188</v>
      </c>
      <c r="C1581" s="66" t="s">
        <v>5189</v>
      </c>
      <c r="D1581" s="66"/>
      <c r="E1581" s="66"/>
      <c r="F1581" s="66"/>
      <c r="G1581" s="27" t="s">
        <v>5190</v>
      </c>
      <c r="H1581" s="28" t="s">
        <v>44</v>
      </c>
      <c r="I1581" s="29"/>
      <c r="J1581" s="25">
        <v>10</v>
      </c>
      <c r="K1581" s="30">
        <v>58.4</v>
      </c>
      <c r="L1581" s="17"/>
      <c r="M1581" s="29">
        <f t="shared" si="71"/>
        <v>0</v>
      </c>
      <c r="N1581" s="31">
        <f>0.011*L1581</f>
        <v>0</v>
      </c>
      <c r="O1581" s="32">
        <f>0.00016*L1581</f>
        <v>0</v>
      </c>
      <c r="P1581" s="36"/>
      <c r="Q1581" s="29" t="s">
        <v>5191</v>
      </c>
      <c r="R1581" s="29"/>
      <c r="S1581" s="26" t="str">
        <f>HYPERLINK("https://miland.ru/api/getInfo/image/5614e24e-88a9-11ec-a211-ac1f6b442185")</f>
        <v>https://miland.ru/api/getInfo/image/5614e24e-88a9-11ec-a211-ac1f6b442185</v>
      </c>
    </row>
    <row r="1582" spans="1:19" s="2" customFormat="1" ht="96.2" customHeight="1" outlineLevel="5">
      <c r="A1582" s="52">
        <v>1226</v>
      </c>
      <c r="B1582" s="26" t="s">
        <v>5192</v>
      </c>
      <c r="C1582" s="66" t="s">
        <v>5193</v>
      </c>
      <c r="D1582" s="66"/>
      <c r="E1582" s="66"/>
      <c r="F1582" s="66"/>
      <c r="G1582" s="27" t="s">
        <v>5194</v>
      </c>
      <c r="H1582" s="33">
        <v>5</v>
      </c>
      <c r="I1582" s="29"/>
      <c r="J1582" s="25">
        <v>5</v>
      </c>
      <c r="K1582" s="30">
        <v>63.29</v>
      </c>
      <c r="L1582" s="17"/>
      <c r="M1582" s="29">
        <f t="shared" si="71"/>
        <v>0</v>
      </c>
      <c r="N1582" s="31">
        <f>0.019*L1582</f>
        <v>0</v>
      </c>
      <c r="O1582" s="32">
        <f>0.00085*L1582</f>
        <v>0</v>
      </c>
      <c r="P1582" s="36"/>
      <c r="Q1582" s="29" t="s">
        <v>5195</v>
      </c>
      <c r="R1582" s="29"/>
      <c r="S1582" s="26" t="str">
        <f>HYPERLINK("https://miland.ru/api/getInfo/image/c0414e15-88a9-11ec-a211-ac1f6b442185")</f>
        <v>https://miland.ru/api/getInfo/image/c0414e15-88a9-11ec-a211-ac1f6b442185</v>
      </c>
    </row>
    <row r="1583" spans="1:19" s="2" customFormat="1" ht="96.2" customHeight="1" outlineLevel="5">
      <c r="A1583" s="52">
        <v>1227</v>
      </c>
      <c r="B1583" s="26" t="s">
        <v>5196</v>
      </c>
      <c r="C1583" s="66" t="s">
        <v>5197</v>
      </c>
      <c r="D1583" s="66"/>
      <c r="E1583" s="66"/>
      <c r="F1583" s="66"/>
      <c r="G1583" s="27" t="s">
        <v>5198</v>
      </c>
      <c r="H1583" s="28" t="s">
        <v>44</v>
      </c>
      <c r="I1583" s="29"/>
      <c r="J1583" s="25">
        <v>10</v>
      </c>
      <c r="K1583" s="30">
        <v>88.17</v>
      </c>
      <c r="L1583" s="17"/>
      <c r="M1583" s="29">
        <f t="shared" si="71"/>
        <v>0</v>
      </c>
      <c r="N1583" s="31">
        <f>0.029*L1583</f>
        <v>0</v>
      </c>
      <c r="O1583" s="32">
        <f>0.00107*L1583</f>
        <v>0</v>
      </c>
      <c r="P1583" s="36"/>
      <c r="Q1583" s="29" t="s">
        <v>5199</v>
      </c>
      <c r="R1583" s="29"/>
      <c r="S1583" s="26" t="str">
        <f>HYPERLINK("https://miland.ru/api/getInfo/image/26d39c07-88aa-11ec-a211-ac1f6b442185")</f>
        <v>https://miland.ru/api/getInfo/image/26d39c07-88aa-11ec-a211-ac1f6b442185</v>
      </c>
    </row>
    <row r="1584" spans="1:19" s="2" customFormat="1" ht="96.2" customHeight="1" outlineLevel="5">
      <c r="A1584" s="52">
        <v>1228</v>
      </c>
      <c r="B1584" s="26" t="s">
        <v>5200</v>
      </c>
      <c r="C1584" s="66" t="s">
        <v>5201</v>
      </c>
      <c r="D1584" s="66"/>
      <c r="E1584" s="66"/>
      <c r="F1584" s="66"/>
      <c r="G1584" s="27" t="s">
        <v>5202</v>
      </c>
      <c r="H1584" s="28" t="s">
        <v>44</v>
      </c>
      <c r="I1584" s="29"/>
      <c r="J1584" s="25">
        <v>10</v>
      </c>
      <c r="K1584" s="30">
        <v>63.29</v>
      </c>
      <c r="L1584" s="17"/>
      <c r="M1584" s="29">
        <f t="shared" si="71"/>
        <v>0</v>
      </c>
      <c r="N1584" s="31">
        <f>0.021*L1584</f>
        <v>0</v>
      </c>
      <c r="O1584" s="32">
        <f>0.00081*L1584</f>
        <v>0</v>
      </c>
      <c r="P1584" s="36"/>
      <c r="Q1584" s="29" t="s">
        <v>5203</v>
      </c>
      <c r="R1584" s="29" t="s">
        <v>611</v>
      </c>
      <c r="S1584" s="26" t="str">
        <f>HYPERLINK("https://miland.ru/api/getInfo/image/d6a0e2c7-88ab-11ec-a211-ac1f6b442185")</f>
        <v>https://miland.ru/api/getInfo/image/d6a0e2c7-88ab-11ec-a211-ac1f6b442185</v>
      </c>
    </row>
    <row r="1585" spans="1:19" s="2" customFormat="1" ht="96.2" customHeight="1" outlineLevel="5">
      <c r="A1585" s="52">
        <v>1229</v>
      </c>
      <c r="B1585" s="26" t="s">
        <v>5204</v>
      </c>
      <c r="C1585" s="66" t="s">
        <v>5205</v>
      </c>
      <c r="D1585" s="66"/>
      <c r="E1585" s="66"/>
      <c r="F1585" s="66"/>
      <c r="G1585" s="27" t="s">
        <v>5206</v>
      </c>
      <c r="H1585" s="28" t="s">
        <v>44</v>
      </c>
      <c r="I1585" s="29"/>
      <c r="J1585" s="25">
        <v>10</v>
      </c>
      <c r="K1585" s="30">
        <v>88.17</v>
      </c>
      <c r="L1585" s="17"/>
      <c r="M1585" s="29">
        <f t="shared" si="71"/>
        <v>0</v>
      </c>
      <c r="N1585" s="31">
        <f>0.031*L1585</f>
        <v>0</v>
      </c>
      <c r="O1585" s="32">
        <f>0.00116*L1585</f>
        <v>0</v>
      </c>
      <c r="P1585" s="36"/>
      <c r="Q1585" s="29" t="s">
        <v>5207</v>
      </c>
      <c r="R1585" s="29"/>
      <c r="S1585" s="26" t="str">
        <f>HYPERLINK("https://miland.ru/api/getInfo/image/0c097719-88ad-11ec-a211-ac1f6b442185")</f>
        <v>https://miland.ru/api/getInfo/image/0c097719-88ad-11ec-a211-ac1f6b442185</v>
      </c>
    </row>
    <row r="1586" spans="1:19" s="1" customFormat="1" ht="12" customHeight="1" outlineLevel="4">
      <c r="A1586" s="64" t="s">
        <v>5208</v>
      </c>
      <c r="B1586" s="64"/>
      <c r="C1586" s="64"/>
      <c r="D1586" s="64"/>
      <c r="E1586" s="64"/>
      <c r="F1586" s="64"/>
      <c r="G1586" s="8"/>
      <c r="H1586" s="12"/>
      <c r="I1586" s="2"/>
      <c r="J1586" s="2"/>
      <c r="K1586" s="13"/>
      <c r="L1586" s="2"/>
      <c r="M1586" s="2"/>
      <c r="N1586" s="2"/>
      <c r="O1586" s="2"/>
      <c r="P1586" s="2"/>
      <c r="Q1586" s="2"/>
      <c r="R1586" s="2"/>
      <c r="S1586" s="2"/>
    </row>
    <row r="1587" spans="1:19" s="1" customFormat="1" ht="12" customHeight="1" outlineLevel="5">
      <c r="A1587" s="64" t="s">
        <v>5209</v>
      </c>
      <c r="B1587" s="64"/>
      <c r="C1587" s="64"/>
      <c r="D1587" s="64"/>
      <c r="E1587" s="64"/>
      <c r="F1587" s="64"/>
      <c r="G1587" s="8"/>
      <c r="H1587" s="12"/>
      <c r="I1587" s="2"/>
      <c r="J1587" s="2"/>
      <c r="K1587" s="13"/>
      <c r="L1587" s="2"/>
      <c r="M1587" s="2"/>
      <c r="N1587" s="2"/>
      <c r="O1587" s="2"/>
      <c r="P1587" s="2"/>
      <c r="Q1587" s="2"/>
      <c r="R1587" s="2"/>
      <c r="S1587" s="2"/>
    </row>
    <row r="1588" spans="1:19" s="2" customFormat="1" ht="96.2" customHeight="1" outlineLevel="6">
      <c r="A1588" s="52">
        <v>1230</v>
      </c>
      <c r="B1588" s="26" t="s">
        <v>5210</v>
      </c>
      <c r="C1588" s="66" t="s">
        <v>5211</v>
      </c>
      <c r="D1588" s="66"/>
      <c r="E1588" s="66"/>
      <c r="F1588" s="66"/>
      <c r="G1588" s="27" t="s">
        <v>5212</v>
      </c>
      <c r="H1588" s="33">
        <v>345</v>
      </c>
      <c r="I1588" s="29"/>
      <c r="J1588" s="25">
        <v>4</v>
      </c>
      <c r="K1588" s="30">
        <v>185.15</v>
      </c>
      <c r="L1588" s="17"/>
      <c r="M1588" s="29">
        <f t="shared" ref="M1588:M1610" si="72">K1588*L1588</f>
        <v>0</v>
      </c>
      <c r="N1588" s="31">
        <f>0.158*L1588</f>
        <v>0</v>
      </c>
      <c r="O1588" s="32">
        <f>0.00098*L1588</f>
        <v>0</v>
      </c>
      <c r="P1588" s="36"/>
      <c r="Q1588" s="29" t="s">
        <v>5213</v>
      </c>
      <c r="R1588" s="29"/>
      <c r="S1588" s="26" t="str">
        <f>HYPERLINK("https://miland.ru/api/getInfo/image/257f8211-5f7b-11e9-a224-ac1f6b442184")</f>
        <v>https://miland.ru/api/getInfo/image/257f8211-5f7b-11e9-a224-ac1f6b442184</v>
      </c>
    </row>
    <row r="1589" spans="1:19" s="2" customFormat="1" ht="96.2" customHeight="1" outlineLevel="6">
      <c r="A1589" s="52">
        <v>1231</v>
      </c>
      <c r="B1589" s="26" t="s">
        <v>5214</v>
      </c>
      <c r="C1589" s="66" t="s">
        <v>5215</v>
      </c>
      <c r="D1589" s="66"/>
      <c r="E1589" s="66"/>
      <c r="F1589" s="66"/>
      <c r="G1589" s="27" t="s">
        <v>5216</v>
      </c>
      <c r="H1589" s="28" t="s">
        <v>44</v>
      </c>
      <c r="I1589" s="29"/>
      <c r="J1589" s="25">
        <v>4</v>
      </c>
      <c r="K1589" s="30">
        <v>185.15</v>
      </c>
      <c r="L1589" s="17"/>
      <c r="M1589" s="29">
        <f t="shared" si="72"/>
        <v>0</v>
      </c>
      <c r="N1589" s="31">
        <f>16.445*L1589</f>
        <v>0</v>
      </c>
      <c r="O1589" s="32">
        <f>0.03953*L1589</f>
        <v>0</v>
      </c>
      <c r="P1589" s="36"/>
      <c r="Q1589" s="29" t="s">
        <v>5217</v>
      </c>
      <c r="R1589" s="29"/>
      <c r="S1589" s="26" t="str">
        <f>HYPERLINK("https://miland.ru/api/getInfo/image/39f56f72-5f7a-11e9-a224-ac1f6b442184")</f>
        <v>https://miland.ru/api/getInfo/image/39f56f72-5f7a-11e9-a224-ac1f6b442184</v>
      </c>
    </row>
    <row r="1590" spans="1:19" s="2" customFormat="1" ht="96.2" customHeight="1" outlineLevel="6">
      <c r="A1590" s="52">
        <v>1232</v>
      </c>
      <c r="B1590" s="26" t="s">
        <v>5218</v>
      </c>
      <c r="C1590" s="66" t="s">
        <v>5219</v>
      </c>
      <c r="D1590" s="66"/>
      <c r="E1590" s="66"/>
      <c r="F1590" s="66"/>
      <c r="G1590" s="27" t="s">
        <v>5220</v>
      </c>
      <c r="H1590" s="33">
        <v>311</v>
      </c>
      <c r="I1590" s="29"/>
      <c r="J1590" s="25">
        <v>4</v>
      </c>
      <c r="K1590" s="30">
        <v>159.83000000000001</v>
      </c>
      <c r="L1590" s="17"/>
      <c r="M1590" s="29">
        <f t="shared" si="72"/>
        <v>0</v>
      </c>
      <c r="N1590" s="31">
        <f>0.179*L1590</f>
        <v>0</v>
      </c>
      <c r="O1590" s="35">
        <f>0.0009*L1590</f>
        <v>0</v>
      </c>
      <c r="P1590" s="36"/>
      <c r="Q1590" s="29" t="s">
        <v>5221</v>
      </c>
      <c r="R1590" s="29" t="s">
        <v>611</v>
      </c>
      <c r="S1590" s="26" t="str">
        <f>HYPERLINK("https://miland.ru/api/getInfo/image/fdd1350d-5f7a-11e9-a224-ac1f6b442184")</f>
        <v>https://miland.ru/api/getInfo/image/fdd1350d-5f7a-11e9-a224-ac1f6b442184</v>
      </c>
    </row>
    <row r="1591" spans="1:19" s="2" customFormat="1" ht="96.2" customHeight="1" outlineLevel="6">
      <c r="A1591" s="52">
        <v>1233</v>
      </c>
      <c r="B1591" s="26" t="s">
        <v>5222</v>
      </c>
      <c r="C1591" s="66" t="s">
        <v>5223</v>
      </c>
      <c r="D1591" s="66"/>
      <c r="E1591" s="66"/>
      <c r="F1591" s="66"/>
      <c r="G1591" s="27" t="s">
        <v>5224</v>
      </c>
      <c r="H1591" s="28" t="s">
        <v>44</v>
      </c>
      <c r="I1591" s="29"/>
      <c r="J1591" s="25">
        <v>3</v>
      </c>
      <c r="K1591" s="30">
        <v>185.15</v>
      </c>
      <c r="L1591" s="17"/>
      <c r="M1591" s="29">
        <f t="shared" si="72"/>
        <v>0</v>
      </c>
      <c r="N1591" s="31">
        <f>0.151*L1591</f>
        <v>0</v>
      </c>
      <c r="O1591" s="32">
        <f>0.00067*L1591</f>
        <v>0</v>
      </c>
      <c r="P1591" s="36"/>
      <c r="Q1591" s="29" t="s">
        <v>5225</v>
      </c>
      <c r="R1591" s="29"/>
      <c r="S1591" s="26" t="str">
        <f>HYPERLINK("https://miland.ru/api/getInfo/image/e67e6413-8b3f-11ec-a211-ac1f6b442185")</f>
        <v>https://miland.ru/api/getInfo/image/e67e6413-8b3f-11ec-a211-ac1f6b442185</v>
      </c>
    </row>
    <row r="1592" spans="1:19" s="2" customFormat="1" ht="96.2" customHeight="1" outlineLevel="6">
      <c r="A1592" s="52">
        <v>1234</v>
      </c>
      <c r="B1592" s="26" t="s">
        <v>5226</v>
      </c>
      <c r="C1592" s="66" t="s">
        <v>5227</v>
      </c>
      <c r="D1592" s="66"/>
      <c r="E1592" s="66"/>
      <c r="F1592" s="66"/>
      <c r="G1592" s="27" t="s">
        <v>5228</v>
      </c>
      <c r="H1592" s="28" t="s">
        <v>44</v>
      </c>
      <c r="I1592" s="29"/>
      <c r="J1592" s="25">
        <v>6</v>
      </c>
      <c r="K1592" s="30">
        <v>91.37</v>
      </c>
      <c r="L1592" s="17"/>
      <c r="M1592" s="29">
        <f t="shared" si="72"/>
        <v>0</v>
      </c>
      <c r="N1592" s="41">
        <f>0.1*L1592</f>
        <v>0</v>
      </c>
      <c r="O1592" s="32">
        <f>0.00055*L1592</f>
        <v>0</v>
      </c>
      <c r="P1592" s="36"/>
      <c r="Q1592" s="29" t="s">
        <v>5229</v>
      </c>
      <c r="R1592" s="29" t="s">
        <v>611</v>
      </c>
      <c r="S1592" s="26" t="str">
        <f>HYPERLINK("https://miland.ru/api/getInfo/image/457ebcbf-5f79-11e9-a224-ac1f6b442184")</f>
        <v>https://miland.ru/api/getInfo/image/457ebcbf-5f79-11e9-a224-ac1f6b442184</v>
      </c>
    </row>
    <row r="1593" spans="1:19" s="2" customFormat="1" ht="96.2" customHeight="1" outlineLevel="6">
      <c r="A1593" s="52">
        <v>1235</v>
      </c>
      <c r="B1593" s="26" t="s">
        <v>5230</v>
      </c>
      <c r="C1593" s="66" t="s">
        <v>5231</v>
      </c>
      <c r="D1593" s="66"/>
      <c r="E1593" s="66"/>
      <c r="F1593" s="66"/>
      <c r="G1593" s="27" t="s">
        <v>5232</v>
      </c>
      <c r="H1593" s="28" t="s">
        <v>44</v>
      </c>
      <c r="I1593" s="29"/>
      <c r="J1593" s="25">
        <v>6</v>
      </c>
      <c r="K1593" s="30">
        <v>93.61</v>
      </c>
      <c r="L1593" s="17"/>
      <c r="M1593" s="29">
        <f t="shared" si="72"/>
        <v>0</v>
      </c>
      <c r="N1593" s="34">
        <f>0.08*L1593</f>
        <v>0</v>
      </c>
      <c r="O1593" s="32">
        <f>0.00105*L1593</f>
        <v>0</v>
      </c>
      <c r="P1593" s="36"/>
      <c r="Q1593" s="29" t="s">
        <v>5233</v>
      </c>
      <c r="R1593" s="29"/>
      <c r="S1593" s="26" t="str">
        <f>HYPERLINK("https://miland.ru/api/getInfo/image/e6232d51-5f79-11e9-a224-ac1f6b442184")</f>
        <v>https://miland.ru/api/getInfo/image/e6232d51-5f79-11e9-a224-ac1f6b442184</v>
      </c>
    </row>
    <row r="1594" spans="1:19" s="2" customFormat="1" ht="96.2" customHeight="1" outlineLevel="6">
      <c r="A1594" s="52">
        <v>1236</v>
      </c>
      <c r="B1594" s="26" t="s">
        <v>5234</v>
      </c>
      <c r="C1594" s="66" t="s">
        <v>5235</v>
      </c>
      <c r="D1594" s="66"/>
      <c r="E1594" s="66"/>
      <c r="F1594" s="66"/>
      <c r="G1594" s="27" t="s">
        <v>5236</v>
      </c>
      <c r="H1594" s="28" t="s">
        <v>44</v>
      </c>
      <c r="I1594" s="29"/>
      <c r="J1594" s="25">
        <v>6</v>
      </c>
      <c r="K1594" s="30">
        <v>93.61</v>
      </c>
      <c r="L1594" s="17"/>
      <c r="M1594" s="29">
        <f t="shared" si="72"/>
        <v>0</v>
      </c>
      <c r="N1594" s="31">
        <f>0.085*L1594</f>
        <v>0</v>
      </c>
      <c r="O1594" s="32">
        <f>0.00065*L1594</f>
        <v>0</v>
      </c>
      <c r="P1594" s="36"/>
      <c r="Q1594" s="29" t="s">
        <v>5237</v>
      </c>
      <c r="R1594" s="29"/>
      <c r="S1594" s="26" t="str">
        <f>HYPERLINK("https://miland.ru/api/getInfo/image/f11b0f3f-5f78-11e9-a224-ac1f6b442184")</f>
        <v>https://miland.ru/api/getInfo/image/f11b0f3f-5f78-11e9-a224-ac1f6b442184</v>
      </c>
    </row>
    <row r="1595" spans="1:19" s="2" customFormat="1" ht="96.2" customHeight="1" outlineLevel="6">
      <c r="A1595" s="52">
        <v>1237</v>
      </c>
      <c r="B1595" s="26" t="s">
        <v>5238</v>
      </c>
      <c r="C1595" s="66" t="s">
        <v>5239</v>
      </c>
      <c r="D1595" s="66"/>
      <c r="E1595" s="66"/>
      <c r="F1595" s="66"/>
      <c r="G1595" s="27" t="s">
        <v>5240</v>
      </c>
      <c r="H1595" s="33">
        <v>303</v>
      </c>
      <c r="I1595" s="29"/>
      <c r="J1595" s="25">
        <v>6</v>
      </c>
      <c r="K1595" s="30">
        <v>93.61</v>
      </c>
      <c r="L1595" s="17"/>
      <c r="M1595" s="29">
        <f t="shared" si="72"/>
        <v>0</v>
      </c>
      <c r="N1595" s="31">
        <f>0.084*L1595</f>
        <v>0</v>
      </c>
      <c r="O1595" s="32">
        <f>0.00114*L1595</f>
        <v>0</v>
      </c>
      <c r="P1595" s="36"/>
      <c r="Q1595" s="29" t="s">
        <v>5241</v>
      </c>
      <c r="R1595" s="29"/>
      <c r="S1595" s="26" t="str">
        <f>HYPERLINK("https://miland.ru/api/getInfo/image/a9f00c0a-5f78-11e9-a224-ac1f6b442184")</f>
        <v>https://miland.ru/api/getInfo/image/a9f00c0a-5f78-11e9-a224-ac1f6b442184</v>
      </c>
    </row>
    <row r="1596" spans="1:19" s="2" customFormat="1" ht="96.2" customHeight="1" outlineLevel="6">
      <c r="A1596" s="52">
        <v>1238</v>
      </c>
      <c r="B1596" s="26" t="s">
        <v>5242</v>
      </c>
      <c r="C1596" s="66" t="s">
        <v>5243</v>
      </c>
      <c r="D1596" s="66"/>
      <c r="E1596" s="66"/>
      <c r="F1596" s="66"/>
      <c r="G1596" s="27" t="s">
        <v>5244</v>
      </c>
      <c r="H1596" s="33">
        <v>487</v>
      </c>
      <c r="I1596" s="29"/>
      <c r="J1596" s="25">
        <v>6</v>
      </c>
      <c r="K1596" s="30">
        <v>93.61</v>
      </c>
      <c r="L1596" s="17"/>
      <c r="M1596" s="29">
        <f t="shared" si="72"/>
        <v>0</v>
      </c>
      <c r="N1596" s="31">
        <f>0.079*L1596</f>
        <v>0</v>
      </c>
      <c r="O1596" s="32">
        <f>0.00085*L1596</f>
        <v>0</v>
      </c>
      <c r="P1596" s="36"/>
      <c r="Q1596" s="29" t="s">
        <v>5245</v>
      </c>
      <c r="R1596" s="29"/>
      <c r="S1596" s="26" t="str">
        <f>HYPERLINK("https://miland.ru/api/getInfo/image/bc49ba41-5f79-11e9-a224-ac1f6b442184")</f>
        <v>https://miland.ru/api/getInfo/image/bc49ba41-5f79-11e9-a224-ac1f6b442184</v>
      </c>
    </row>
    <row r="1597" spans="1:19" s="2" customFormat="1" ht="96.2" customHeight="1" outlineLevel="6">
      <c r="A1597" s="52">
        <v>1239</v>
      </c>
      <c r="B1597" s="26" t="s">
        <v>5246</v>
      </c>
      <c r="C1597" s="66" t="s">
        <v>5247</v>
      </c>
      <c r="D1597" s="66"/>
      <c r="E1597" s="66"/>
      <c r="F1597" s="66"/>
      <c r="G1597" s="27" t="s">
        <v>5248</v>
      </c>
      <c r="H1597" s="33">
        <v>446</v>
      </c>
      <c r="I1597" s="29"/>
      <c r="J1597" s="25">
        <v>6</v>
      </c>
      <c r="K1597" s="30">
        <v>102.31</v>
      </c>
      <c r="L1597" s="17"/>
      <c r="M1597" s="29">
        <f t="shared" si="72"/>
        <v>0</v>
      </c>
      <c r="N1597" s="31">
        <f>0.085*L1597</f>
        <v>0</v>
      </c>
      <c r="O1597" s="32">
        <f>0.00075*L1597</f>
        <v>0</v>
      </c>
      <c r="P1597" s="36"/>
      <c r="Q1597" s="29" t="s">
        <v>5249</v>
      </c>
      <c r="R1597" s="29"/>
      <c r="S1597" s="26" t="str">
        <f>HYPERLINK("https://miland.ru/api/getInfo/image/9eee6634-5f79-11e9-a224-ac1f6b442184")</f>
        <v>https://miland.ru/api/getInfo/image/9eee6634-5f79-11e9-a224-ac1f6b442184</v>
      </c>
    </row>
    <row r="1598" spans="1:19" s="2" customFormat="1" ht="96.2" customHeight="1" outlineLevel="6">
      <c r="A1598" s="52">
        <v>1240</v>
      </c>
      <c r="B1598" s="26" t="s">
        <v>5250</v>
      </c>
      <c r="C1598" s="66" t="s">
        <v>5251</v>
      </c>
      <c r="D1598" s="66"/>
      <c r="E1598" s="66"/>
      <c r="F1598" s="66"/>
      <c r="G1598" s="27" t="s">
        <v>5252</v>
      </c>
      <c r="H1598" s="28" t="s">
        <v>44</v>
      </c>
      <c r="I1598" s="29"/>
      <c r="J1598" s="25">
        <v>12</v>
      </c>
      <c r="K1598" s="30">
        <v>49.34</v>
      </c>
      <c r="L1598" s="17"/>
      <c r="M1598" s="29">
        <f t="shared" si="72"/>
        <v>0</v>
      </c>
      <c r="N1598" s="31">
        <f>0.024*L1598</f>
        <v>0</v>
      </c>
      <c r="O1598" s="32">
        <f>0.00003*L1598</f>
        <v>0</v>
      </c>
      <c r="P1598" s="36"/>
      <c r="Q1598" s="29" t="s">
        <v>5253</v>
      </c>
      <c r="R1598" s="29"/>
      <c r="S1598" s="26" t="str">
        <f>HYPERLINK("https://miland.ru/api/getInfo/image/7cc9308a-8b41-11ec-a211-ac1f6b442185")</f>
        <v>https://miland.ru/api/getInfo/image/7cc9308a-8b41-11ec-a211-ac1f6b442185</v>
      </c>
    </row>
    <row r="1599" spans="1:19" s="2" customFormat="1" ht="96.2" customHeight="1" outlineLevel="6">
      <c r="A1599" s="52">
        <v>1241</v>
      </c>
      <c r="B1599" s="26" t="s">
        <v>5254</v>
      </c>
      <c r="C1599" s="66" t="s">
        <v>5255</v>
      </c>
      <c r="D1599" s="66"/>
      <c r="E1599" s="66"/>
      <c r="F1599" s="66"/>
      <c r="G1599" s="27" t="s">
        <v>5256</v>
      </c>
      <c r="H1599" s="28" t="s">
        <v>44</v>
      </c>
      <c r="I1599" s="29"/>
      <c r="J1599" s="25">
        <v>6</v>
      </c>
      <c r="K1599" s="30">
        <v>109.64</v>
      </c>
      <c r="L1599" s="17"/>
      <c r="M1599" s="29">
        <f t="shared" si="72"/>
        <v>0</v>
      </c>
      <c r="N1599" s="31">
        <f>0.038*L1599</f>
        <v>0</v>
      </c>
      <c r="O1599" s="32">
        <f>0.00045*L1599</f>
        <v>0</v>
      </c>
      <c r="P1599" s="36"/>
      <c r="Q1599" s="29" t="s">
        <v>5257</v>
      </c>
      <c r="R1599" s="29"/>
      <c r="S1599" s="26" t="str">
        <f>HYPERLINK("https://miland.ru/api/getInfo/image/b06c91c1-8b40-11ec-a211-ac1f6b442185")</f>
        <v>https://miland.ru/api/getInfo/image/b06c91c1-8b40-11ec-a211-ac1f6b442185</v>
      </c>
    </row>
    <row r="1600" spans="1:19" s="2" customFormat="1" ht="96.2" customHeight="1" outlineLevel="6">
      <c r="A1600" s="52">
        <v>1242</v>
      </c>
      <c r="B1600" s="26" t="s">
        <v>5258</v>
      </c>
      <c r="C1600" s="66" t="s">
        <v>5259</v>
      </c>
      <c r="D1600" s="66"/>
      <c r="E1600" s="66"/>
      <c r="F1600" s="66"/>
      <c r="G1600" s="27" t="s">
        <v>5260</v>
      </c>
      <c r="H1600" s="28" t="s">
        <v>44</v>
      </c>
      <c r="I1600" s="29"/>
      <c r="J1600" s="25">
        <v>12</v>
      </c>
      <c r="K1600" s="30">
        <v>49.34</v>
      </c>
      <c r="L1600" s="17"/>
      <c r="M1600" s="29">
        <f t="shared" si="72"/>
        <v>0</v>
      </c>
      <c r="N1600" s="31">
        <f>0.031*L1600</f>
        <v>0</v>
      </c>
      <c r="O1600" s="32">
        <f>0.00018*L1600</f>
        <v>0</v>
      </c>
      <c r="P1600" s="36"/>
      <c r="Q1600" s="29" t="s">
        <v>5261</v>
      </c>
      <c r="R1600" s="29"/>
      <c r="S1600" s="26" t="str">
        <f>HYPERLINK("https://miland.ru/api/getInfo/image/1983df0c-8b41-11ec-a211-ac1f6b442185")</f>
        <v>https://miland.ru/api/getInfo/image/1983df0c-8b41-11ec-a211-ac1f6b442185</v>
      </c>
    </row>
    <row r="1601" spans="1:19" s="2" customFormat="1" ht="96.2" customHeight="1" outlineLevel="6">
      <c r="A1601" s="52">
        <v>1243</v>
      </c>
      <c r="B1601" s="26" t="s">
        <v>5262</v>
      </c>
      <c r="C1601" s="66" t="s">
        <v>5263</v>
      </c>
      <c r="D1601" s="66"/>
      <c r="E1601" s="66"/>
      <c r="F1601" s="66"/>
      <c r="G1601" s="27" t="s">
        <v>5264</v>
      </c>
      <c r="H1601" s="28" t="s">
        <v>44</v>
      </c>
      <c r="I1601" s="29"/>
      <c r="J1601" s="25">
        <v>5</v>
      </c>
      <c r="K1601" s="30">
        <v>132.43</v>
      </c>
      <c r="L1601" s="17"/>
      <c r="M1601" s="29">
        <f t="shared" si="72"/>
        <v>0</v>
      </c>
      <c r="N1601" s="31">
        <f>0.063*L1601</f>
        <v>0</v>
      </c>
      <c r="O1601" s="32">
        <f>0.00032*L1601</f>
        <v>0</v>
      </c>
      <c r="P1601" s="36"/>
      <c r="Q1601" s="29" t="s">
        <v>5265</v>
      </c>
      <c r="R1601" s="29"/>
      <c r="S1601" s="26" t="str">
        <f>HYPERLINK("https://miland.ru/api/getInfo/image/c0a17934-23d0-11e6-b4ab-5cf3fc4a2490")</f>
        <v>https://miland.ru/api/getInfo/image/c0a17934-23d0-11e6-b4ab-5cf3fc4a2490</v>
      </c>
    </row>
    <row r="1602" spans="1:19" s="2" customFormat="1" ht="96.2" customHeight="1" outlineLevel="6">
      <c r="A1602" s="52">
        <v>1244</v>
      </c>
      <c r="B1602" s="26" t="s">
        <v>5266</v>
      </c>
      <c r="C1602" s="66" t="s">
        <v>5267</v>
      </c>
      <c r="D1602" s="66"/>
      <c r="E1602" s="66"/>
      <c r="F1602" s="66"/>
      <c r="G1602" s="27" t="s">
        <v>5268</v>
      </c>
      <c r="H1602" s="28" t="s">
        <v>44</v>
      </c>
      <c r="I1602" s="29"/>
      <c r="J1602" s="25">
        <v>6</v>
      </c>
      <c r="K1602" s="30">
        <v>102.5</v>
      </c>
      <c r="L1602" s="17"/>
      <c r="M1602" s="29">
        <f t="shared" si="72"/>
        <v>0</v>
      </c>
      <c r="N1602" s="31">
        <f>0.043*L1602</f>
        <v>0</v>
      </c>
      <c r="O1602" s="35">
        <f>0.0001*L1602</f>
        <v>0</v>
      </c>
      <c r="P1602" s="36"/>
      <c r="Q1602" s="29" t="s">
        <v>5269</v>
      </c>
      <c r="R1602" s="29"/>
      <c r="S1602" s="26" t="str">
        <f>HYPERLINK("https://miland.ru/api/getInfo/image/496f1e93-23cf-11e6-b4ab-5cf3fc4a2490")</f>
        <v>https://miland.ru/api/getInfo/image/496f1e93-23cf-11e6-b4ab-5cf3fc4a2490</v>
      </c>
    </row>
    <row r="1603" spans="1:19" s="2" customFormat="1" ht="96.2" customHeight="1" outlineLevel="6">
      <c r="A1603" s="52">
        <v>1245</v>
      </c>
      <c r="B1603" s="26" t="s">
        <v>5270</v>
      </c>
      <c r="C1603" s="66" t="s">
        <v>5271</v>
      </c>
      <c r="D1603" s="66"/>
      <c r="E1603" s="66"/>
      <c r="F1603" s="66"/>
      <c r="G1603" s="27" t="s">
        <v>5272</v>
      </c>
      <c r="H1603" s="28" t="s">
        <v>44</v>
      </c>
      <c r="I1603" s="29"/>
      <c r="J1603" s="25">
        <v>6</v>
      </c>
      <c r="K1603" s="30">
        <v>97.38</v>
      </c>
      <c r="L1603" s="17"/>
      <c r="M1603" s="29">
        <f t="shared" si="72"/>
        <v>0</v>
      </c>
      <c r="N1603" s="31">
        <f>0.037*L1603</f>
        <v>0</v>
      </c>
      <c r="O1603" s="35">
        <f>0.0006*L1603</f>
        <v>0</v>
      </c>
      <c r="P1603" s="36"/>
      <c r="Q1603" s="29" t="s">
        <v>5273</v>
      </c>
      <c r="R1603" s="29"/>
      <c r="S1603" s="26" t="str">
        <f>HYPERLINK("https://miland.ru/api/getInfo/image/010bee33-23cf-11e6-b4ab-5cf3fc4a2490")</f>
        <v>https://miland.ru/api/getInfo/image/010bee33-23cf-11e6-b4ab-5cf3fc4a2490</v>
      </c>
    </row>
    <row r="1604" spans="1:19" s="2" customFormat="1" ht="96.2" customHeight="1" outlineLevel="6">
      <c r="A1604" s="52">
        <v>1246</v>
      </c>
      <c r="B1604" s="26" t="s">
        <v>5274</v>
      </c>
      <c r="C1604" s="66" t="s">
        <v>5275</v>
      </c>
      <c r="D1604" s="66"/>
      <c r="E1604" s="66"/>
      <c r="F1604" s="66"/>
      <c r="G1604" s="27" t="s">
        <v>5276</v>
      </c>
      <c r="H1604" s="28" t="s">
        <v>44</v>
      </c>
      <c r="I1604" s="29"/>
      <c r="J1604" s="25">
        <v>12</v>
      </c>
      <c r="K1604" s="30">
        <v>53.77</v>
      </c>
      <c r="L1604" s="17"/>
      <c r="M1604" s="29">
        <f t="shared" si="72"/>
        <v>0</v>
      </c>
      <c r="N1604" s="31">
        <f>0.038*L1604</f>
        <v>0</v>
      </c>
      <c r="O1604" s="32">
        <f>0.00012*L1604</f>
        <v>0</v>
      </c>
      <c r="P1604" s="36"/>
      <c r="Q1604" s="29" t="s">
        <v>5277</v>
      </c>
      <c r="R1604" s="29"/>
      <c r="S1604" s="26" t="str">
        <f>HYPERLINK("https://miland.ru/api/getInfo/image/7a441313-23cd-11e6-b4ab-5cf3fc4a2490")</f>
        <v>https://miland.ru/api/getInfo/image/7a441313-23cd-11e6-b4ab-5cf3fc4a2490</v>
      </c>
    </row>
    <row r="1605" spans="1:19" s="2" customFormat="1" ht="96.2" customHeight="1" outlineLevel="6">
      <c r="A1605" s="52">
        <v>1247</v>
      </c>
      <c r="B1605" s="26" t="s">
        <v>5278</v>
      </c>
      <c r="C1605" s="66" t="s">
        <v>5279</v>
      </c>
      <c r="D1605" s="66"/>
      <c r="E1605" s="66"/>
      <c r="F1605" s="66"/>
      <c r="G1605" s="27" t="s">
        <v>5280</v>
      </c>
      <c r="H1605" s="28" t="s">
        <v>44</v>
      </c>
      <c r="I1605" s="29"/>
      <c r="J1605" s="25">
        <v>6</v>
      </c>
      <c r="K1605" s="30">
        <v>109.64</v>
      </c>
      <c r="L1605" s="17"/>
      <c r="M1605" s="29">
        <f t="shared" si="72"/>
        <v>0</v>
      </c>
      <c r="N1605" s="31">
        <f>0.038*L1605</f>
        <v>0</v>
      </c>
      <c r="O1605" s="32">
        <f>0.00009*L1605</f>
        <v>0</v>
      </c>
      <c r="P1605" s="36"/>
      <c r="Q1605" s="29" t="s">
        <v>5281</v>
      </c>
      <c r="R1605" s="29"/>
      <c r="S1605" s="26" t="str">
        <f>HYPERLINK("https://miland.ru/api/getInfo/image/a1cdca13-23ce-11e6-b4ab-5cf3fc4a2490")</f>
        <v>https://miland.ru/api/getInfo/image/a1cdca13-23ce-11e6-b4ab-5cf3fc4a2490</v>
      </c>
    </row>
    <row r="1606" spans="1:19" s="2" customFormat="1" ht="96.2" customHeight="1" outlineLevel="6">
      <c r="A1606" s="52">
        <v>1248</v>
      </c>
      <c r="B1606" s="26" t="s">
        <v>5282</v>
      </c>
      <c r="C1606" s="66" t="s">
        <v>5283</v>
      </c>
      <c r="D1606" s="66"/>
      <c r="E1606" s="66"/>
      <c r="F1606" s="66"/>
      <c r="G1606" s="27" t="s">
        <v>5284</v>
      </c>
      <c r="H1606" s="28" t="s">
        <v>44</v>
      </c>
      <c r="I1606" s="29"/>
      <c r="J1606" s="25">
        <v>12</v>
      </c>
      <c r="K1606" s="30">
        <v>49.34</v>
      </c>
      <c r="L1606" s="17"/>
      <c r="M1606" s="29">
        <f t="shared" si="72"/>
        <v>0</v>
      </c>
      <c r="N1606" s="31">
        <f>0.024*L1606</f>
        <v>0</v>
      </c>
      <c r="O1606" s="32">
        <f>0.00014*L1606</f>
        <v>0</v>
      </c>
      <c r="P1606" s="36"/>
      <c r="Q1606" s="29" t="s">
        <v>5285</v>
      </c>
      <c r="R1606" s="29"/>
      <c r="S1606" s="26" t="str">
        <f>HYPERLINK("https://miland.ru/api/getInfo/image/b39dd393-23cc-11e6-b4ab-5cf3fc4a2490")</f>
        <v>https://miland.ru/api/getInfo/image/b39dd393-23cc-11e6-b4ab-5cf3fc4a2490</v>
      </c>
    </row>
    <row r="1607" spans="1:19" s="2" customFormat="1" ht="96.2" customHeight="1" outlineLevel="6">
      <c r="A1607" s="52">
        <v>1249</v>
      </c>
      <c r="B1607" s="26" t="s">
        <v>5286</v>
      </c>
      <c r="C1607" s="66" t="s">
        <v>5287</v>
      </c>
      <c r="D1607" s="66"/>
      <c r="E1607" s="66"/>
      <c r="F1607" s="66"/>
      <c r="G1607" s="27" t="s">
        <v>5288</v>
      </c>
      <c r="H1607" s="28" t="s">
        <v>44</v>
      </c>
      <c r="I1607" s="29"/>
      <c r="J1607" s="25">
        <v>6</v>
      </c>
      <c r="K1607" s="30">
        <v>102.5</v>
      </c>
      <c r="L1607" s="17"/>
      <c r="M1607" s="29">
        <f t="shared" si="72"/>
        <v>0</v>
      </c>
      <c r="N1607" s="31">
        <f>0.043*L1607</f>
        <v>0</v>
      </c>
      <c r="O1607" s="32">
        <f>0.00081*L1607</f>
        <v>0</v>
      </c>
      <c r="P1607" s="36"/>
      <c r="Q1607" s="29" t="s">
        <v>5289</v>
      </c>
      <c r="R1607" s="29"/>
      <c r="S1607" s="26" t="str">
        <f>HYPERLINK("https://miland.ru/api/getInfo/image/757fb2b3-23cf-11e6-b4ab-5cf3fc4a2490")</f>
        <v>https://miland.ru/api/getInfo/image/757fb2b3-23cf-11e6-b4ab-5cf3fc4a2490</v>
      </c>
    </row>
    <row r="1608" spans="1:19" s="2" customFormat="1" ht="96.2" customHeight="1" outlineLevel="6">
      <c r="A1608" s="52">
        <v>1250</v>
      </c>
      <c r="B1608" s="26" t="s">
        <v>5290</v>
      </c>
      <c r="C1608" s="66" t="s">
        <v>5291</v>
      </c>
      <c r="D1608" s="66"/>
      <c r="E1608" s="66"/>
      <c r="F1608" s="66"/>
      <c r="G1608" s="27" t="s">
        <v>5292</v>
      </c>
      <c r="H1608" s="28" t="s">
        <v>44</v>
      </c>
      <c r="I1608" s="29"/>
      <c r="J1608" s="25">
        <v>12</v>
      </c>
      <c r="K1608" s="30">
        <v>49.34</v>
      </c>
      <c r="L1608" s="17"/>
      <c r="M1608" s="29">
        <f t="shared" si="72"/>
        <v>0</v>
      </c>
      <c r="N1608" s="31">
        <f>0.038*L1608</f>
        <v>0</v>
      </c>
      <c r="O1608" s="32">
        <f>0.00041*L1608</f>
        <v>0</v>
      </c>
      <c r="P1608" s="36"/>
      <c r="Q1608" s="29" t="s">
        <v>5293</v>
      </c>
      <c r="R1608" s="29"/>
      <c r="S1608" s="26" t="str">
        <f>HYPERLINK("https://miland.ru/api/getInfo/image/b148baf3-23cd-11e6-b4ab-5cf3fc4a2490")</f>
        <v>https://miland.ru/api/getInfo/image/b148baf3-23cd-11e6-b4ab-5cf3fc4a2490</v>
      </c>
    </row>
    <row r="1609" spans="1:19" s="2" customFormat="1" ht="96.2" customHeight="1" outlineLevel="6">
      <c r="A1609" s="52">
        <v>1251</v>
      </c>
      <c r="B1609" s="26" t="s">
        <v>5294</v>
      </c>
      <c r="C1609" s="66" t="s">
        <v>5295</v>
      </c>
      <c r="D1609" s="66"/>
      <c r="E1609" s="66"/>
      <c r="F1609" s="66"/>
      <c r="G1609" s="27" t="s">
        <v>5296</v>
      </c>
      <c r="H1609" s="28" t="s">
        <v>44</v>
      </c>
      <c r="I1609" s="29"/>
      <c r="J1609" s="25">
        <v>5</v>
      </c>
      <c r="K1609" s="30">
        <v>132.43</v>
      </c>
      <c r="L1609" s="17"/>
      <c r="M1609" s="29">
        <f t="shared" si="72"/>
        <v>0</v>
      </c>
      <c r="N1609" s="31">
        <f>0.059*L1609</f>
        <v>0</v>
      </c>
      <c r="O1609" s="35">
        <f>0.0002*L1609</f>
        <v>0</v>
      </c>
      <c r="P1609" s="36"/>
      <c r="Q1609" s="29" t="s">
        <v>5297</v>
      </c>
      <c r="R1609" s="29"/>
      <c r="S1609" s="26" t="str">
        <f>HYPERLINK("https://miland.ru/api/getInfo/image/dff4f194-23d0-11e6-b4ab-5cf3fc4a2490")</f>
        <v>https://miland.ru/api/getInfo/image/dff4f194-23d0-11e6-b4ab-5cf3fc4a2490</v>
      </c>
    </row>
    <row r="1610" spans="1:19" s="2" customFormat="1" ht="96.2" customHeight="1" outlineLevel="6">
      <c r="A1610" s="52">
        <v>1252</v>
      </c>
      <c r="B1610" s="26" t="s">
        <v>5298</v>
      </c>
      <c r="C1610" s="66" t="s">
        <v>5299</v>
      </c>
      <c r="D1610" s="66"/>
      <c r="E1610" s="66"/>
      <c r="F1610" s="66"/>
      <c r="G1610" s="27" t="s">
        <v>5300</v>
      </c>
      <c r="H1610" s="28" t="s">
        <v>44</v>
      </c>
      <c r="I1610" s="29"/>
      <c r="J1610" s="25">
        <v>6</v>
      </c>
      <c r="K1610" s="30">
        <v>102.5</v>
      </c>
      <c r="L1610" s="17"/>
      <c r="M1610" s="29">
        <f t="shared" si="72"/>
        <v>0</v>
      </c>
      <c r="N1610" s="31">
        <f>0.048*L1610</f>
        <v>0</v>
      </c>
      <c r="O1610" s="32">
        <f>0.00025*L1610</f>
        <v>0</v>
      </c>
      <c r="P1610" s="36"/>
      <c r="Q1610" s="29" t="s">
        <v>5301</v>
      </c>
      <c r="R1610" s="29"/>
      <c r="S1610" s="26" t="str">
        <f>HYPERLINK("https://miland.ru/api/getInfo/image/ac7d3673-23cf-11e6-b4ab-5cf3fc4a2490")</f>
        <v>https://miland.ru/api/getInfo/image/ac7d3673-23cf-11e6-b4ab-5cf3fc4a2490</v>
      </c>
    </row>
    <row r="1611" spans="1:19" s="1" customFormat="1" ht="12" customHeight="1" outlineLevel="5">
      <c r="A1611" s="64" t="s">
        <v>5302</v>
      </c>
      <c r="B1611" s="64"/>
      <c r="C1611" s="64"/>
      <c r="D1611" s="64"/>
      <c r="E1611" s="64"/>
      <c r="F1611" s="64"/>
      <c r="G1611" s="8"/>
      <c r="H1611" s="12"/>
      <c r="I1611" s="2"/>
      <c r="J1611" s="2"/>
      <c r="K1611" s="13"/>
      <c r="L1611" s="2"/>
      <c r="M1611" s="2"/>
      <c r="N1611" s="2"/>
      <c r="O1611" s="2"/>
      <c r="P1611" s="2"/>
      <c r="Q1611" s="2"/>
      <c r="R1611" s="2"/>
      <c r="S1611" s="2"/>
    </row>
    <row r="1612" spans="1:19" s="2" customFormat="1" ht="96.2" customHeight="1" outlineLevel="6">
      <c r="A1612" s="52">
        <v>1253</v>
      </c>
      <c r="B1612" s="26" t="s">
        <v>5303</v>
      </c>
      <c r="C1612" s="66" t="s">
        <v>5304</v>
      </c>
      <c r="D1612" s="66"/>
      <c r="E1612" s="66"/>
      <c r="F1612" s="66"/>
      <c r="G1612" s="27" t="s">
        <v>5305</v>
      </c>
      <c r="H1612" s="33">
        <v>321</v>
      </c>
      <c r="I1612" s="29"/>
      <c r="J1612" s="25">
        <v>2</v>
      </c>
      <c r="K1612" s="30">
        <v>269.89</v>
      </c>
      <c r="L1612" s="17"/>
      <c r="M1612" s="29">
        <f t="shared" ref="M1612:M1634" si="73">K1612*L1612</f>
        <v>0</v>
      </c>
      <c r="N1612" s="31">
        <f>0.053*L1612</f>
        <v>0</v>
      </c>
      <c r="O1612" s="32">
        <f>0.00032*L1612</f>
        <v>0</v>
      </c>
      <c r="P1612" s="36"/>
      <c r="Q1612" s="29" t="s">
        <v>5306</v>
      </c>
      <c r="R1612" s="29"/>
      <c r="S1612" s="26" t="str">
        <f>HYPERLINK("https://miland.ru/api/getInfo/image/46547ae1-9589-11ed-a22d-00155d82e902")</f>
        <v>https://miland.ru/api/getInfo/image/46547ae1-9589-11ed-a22d-00155d82e902</v>
      </c>
    </row>
    <row r="1613" spans="1:19" s="2" customFormat="1" ht="96.2" customHeight="1" outlineLevel="6">
      <c r="A1613" s="52">
        <v>1254</v>
      </c>
      <c r="B1613" s="26" t="s">
        <v>5307</v>
      </c>
      <c r="C1613" s="66" t="s">
        <v>5308</v>
      </c>
      <c r="D1613" s="66"/>
      <c r="E1613" s="66"/>
      <c r="F1613" s="66"/>
      <c r="G1613" s="27" t="s">
        <v>5309</v>
      </c>
      <c r="H1613" s="33">
        <v>422</v>
      </c>
      <c r="I1613" s="29"/>
      <c r="J1613" s="25">
        <v>3</v>
      </c>
      <c r="K1613" s="30">
        <v>212.34</v>
      </c>
      <c r="L1613" s="17"/>
      <c r="M1613" s="29">
        <f t="shared" si="73"/>
        <v>0</v>
      </c>
      <c r="N1613" s="31">
        <f>0.173*L1613</f>
        <v>0</v>
      </c>
      <c r="O1613" s="35">
        <f>0.0006*L1613</f>
        <v>0</v>
      </c>
      <c r="P1613" s="36"/>
      <c r="Q1613" s="29" t="s">
        <v>5310</v>
      </c>
      <c r="R1613" s="29"/>
      <c r="S1613" s="26" t="str">
        <f>HYPERLINK("https://miland.ru/api/getInfo/image/c2683523-9580-11ed-a22d-00155d82e902")</f>
        <v>https://miland.ru/api/getInfo/image/c2683523-9580-11ed-a22d-00155d82e902</v>
      </c>
    </row>
    <row r="1614" spans="1:19" s="2" customFormat="1" ht="96.2" customHeight="1" outlineLevel="6">
      <c r="A1614" s="52">
        <v>1255</v>
      </c>
      <c r="B1614" s="26" t="s">
        <v>5311</v>
      </c>
      <c r="C1614" s="66" t="s">
        <v>5312</v>
      </c>
      <c r="D1614" s="66"/>
      <c r="E1614" s="66"/>
      <c r="F1614" s="66"/>
      <c r="G1614" s="27" t="s">
        <v>5313</v>
      </c>
      <c r="H1614" s="33">
        <v>498</v>
      </c>
      <c r="I1614" s="29"/>
      <c r="J1614" s="25">
        <v>1</v>
      </c>
      <c r="K1614" s="30">
        <v>486.66</v>
      </c>
      <c r="L1614" s="17"/>
      <c r="M1614" s="29">
        <f t="shared" si="73"/>
        <v>0</v>
      </c>
      <c r="N1614" s="31">
        <f>0.446*L1614</f>
        <v>0</v>
      </c>
      <c r="O1614" s="32">
        <f>0.00132*L1614</f>
        <v>0</v>
      </c>
      <c r="P1614" s="36"/>
      <c r="Q1614" s="29" t="s">
        <v>5314</v>
      </c>
      <c r="R1614" s="29"/>
      <c r="S1614" s="26" t="str">
        <f>HYPERLINK("https://miland.ru/api/getInfo/image/9209de2b-9585-11ed-a22d-00155d82e902")</f>
        <v>https://miland.ru/api/getInfo/image/9209de2b-9585-11ed-a22d-00155d82e902</v>
      </c>
    </row>
    <row r="1615" spans="1:19" s="2" customFormat="1" ht="96.2" customHeight="1" outlineLevel="6">
      <c r="A1615" s="52">
        <v>1256</v>
      </c>
      <c r="B1615" s="26" t="s">
        <v>5315</v>
      </c>
      <c r="C1615" s="66" t="s">
        <v>5316</v>
      </c>
      <c r="D1615" s="66"/>
      <c r="E1615" s="66"/>
      <c r="F1615" s="66"/>
      <c r="G1615" s="27" t="s">
        <v>5317</v>
      </c>
      <c r="H1615" s="33">
        <v>249</v>
      </c>
      <c r="I1615" s="29"/>
      <c r="J1615" s="25">
        <v>2</v>
      </c>
      <c r="K1615" s="30">
        <v>269.89</v>
      </c>
      <c r="L1615" s="17"/>
      <c r="M1615" s="29">
        <f t="shared" si="73"/>
        <v>0</v>
      </c>
      <c r="N1615" s="31">
        <f>0.051*L1615</f>
        <v>0</v>
      </c>
      <c r="O1615" s="32">
        <f>0.00038*L1615</f>
        <v>0</v>
      </c>
      <c r="P1615" s="36"/>
      <c r="Q1615" s="29" t="s">
        <v>5318</v>
      </c>
      <c r="R1615" s="29"/>
      <c r="S1615" s="26" t="str">
        <f>HYPERLINK("https://miland.ru/api/getInfo/image/7d144972-9588-11ed-a22d-00155d82e902")</f>
        <v>https://miland.ru/api/getInfo/image/7d144972-9588-11ed-a22d-00155d82e902</v>
      </c>
    </row>
    <row r="1616" spans="1:19" s="2" customFormat="1" ht="96.2" customHeight="1" outlineLevel="6">
      <c r="A1616" s="52">
        <v>1257</v>
      </c>
      <c r="B1616" s="26" t="s">
        <v>5319</v>
      </c>
      <c r="C1616" s="66" t="s">
        <v>5320</v>
      </c>
      <c r="D1616" s="66"/>
      <c r="E1616" s="66"/>
      <c r="F1616" s="66"/>
      <c r="G1616" s="27" t="s">
        <v>5321</v>
      </c>
      <c r="H1616" s="28" t="s">
        <v>44</v>
      </c>
      <c r="I1616" s="29"/>
      <c r="J1616" s="25">
        <v>5</v>
      </c>
      <c r="K1616" s="30">
        <v>136.99</v>
      </c>
      <c r="L1616" s="17"/>
      <c r="M1616" s="29">
        <f t="shared" si="73"/>
        <v>0</v>
      </c>
      <c r="N1616" s="31">
        <f>0.107*L1616</f>
        <v>0</v>
      </c>
      <c r="O1616" s="32">
        <f>0.00007*L1616</f>
        <v>0</v>
      </c>
      <c r="P1616" s="36"/>
      <c r="Q1616" s="29" t="s">
        <v>5322</v>
      </c>
      <c r="R1616" s="29"/>
      <c r="S1616" s="26" t="str">
        <f>HYPERLINK("https://miland.ru/api/getInfo/image/32fa755f-957d-11ed-a22d-00155d82e902")</f>
        <v>https://miland.ru/api/getInfo/image/32fa755f-957d-11ed-a22d-00155d82e902</v>
      </c>
    </row>
    <row r="1617" spans="1:19" s="2" customFormat="1" ht="96.2" customHeight="1" outlineLevel="6">
      <c r="A1617" s="52">
        <v>1258</v>
      </c>
      <c r="B1617" s="26" t="s">
        <v>5323</v>
      </c>
      <c r="C1617" s="66" t="s">
        <v>5324</v>
      </c>
      <c r="D1617" s="66"/>
      <c r="E1617" s="66"/>
      <c r="F1617" s="66"/>
      <c r="G1617" s="27" t="s">
        <v>5325</v>
      </c>
      <c r="H1617" s="28" t="s">
        <v>44</v>
      </c>
      <c r="I1617" s="29"/>
      <c r="J1617" s="25">
        <v>2</v>
      </c>
      <c r="K1617" s="30">
        <v>333.35</v>
      </c>
      <c r="L1617" s="17"/>
      <c r="M1617" s="29">
        <f t="shared" si="73"/>
        <v>0</v>
      </c>
      <c r="N1617" s="31">
        <f>0.268*L1617</f>
        <v>0</v>
      </c>
      <c r="O1617" s="32">
        <f>0.00083*L1617</f>
        <v>0</v>
      </c>
      <c r="P1617" s="36"/>
      <c r="Q1617" s="29" t="s">
        <v>5326</v>
      </c>
      <c r="R1617" s="29"/>
      <c r="S1617" s="26" t="str">
        <f>HYPERLINK("https://miland.ru/api/getInfo/image/ebe21114-9578-11ed-a22d-00155d82e902")</f>
        <v>https://miland.ru/api/getInfo/image/ebe21114-9578-11ed-a22d-00155d82e902</v>
      </c>
    </row>
    <row r="1618" spans="1:19" s="2" customFormat="1" ht="96.2" customHeight="1" outlineLevel="6">
      <c r="A1618" s="52">
        <v>1259</v>
      </c>
      <c r="B1618" s="26" t="s">
        <v>5327</v>
      </c>
      <c r="C1618" s="66" t="s">
        <v>5328</v>
      </c>
      <c r="D1618" s="66"/>
      <c r="E1618" s="66"/>
      <c r="F1618" s="66"/>
      <c r="G1618" s="27" t="s">
        <v>5329</v>
      </c>
      <c r="H1618" s="28" t="s">
        <v>44</v>
      </c>
      <c r="I1618" s="29"/>
      <c r="J1618" s="25">
        <v>2</v>
      </c>
      <c r="K1618" s="30">
        <v>333.35</v>
      </c>
      <c r="L1618" s="17"/>
      <c r="M1618" s="29">
        <f t="shared" si="73"/>
        <v>0</v>
      </c>
      <c r="N1618" s="31">
        <f>0.312*L1618</f>
        <v>0</v>
      </c>
      <c r="O1618" s="32">
        <f>0.00089*L1618</f>
        <v>0</v>
      </c>
      <c r="P1618" s="36"/>
      <c r="Q1618" s="29" t="s">
        <v>5330</v>
      </c>
      <c r="R1618" s="29"/>
      <c r="S1618" s="26" t="str">
        <f>HYPERLINK("https://miland.ru/api/getInfo/image/8084a744-9583-11ed-a22d-00155d82e902")</f>
        <v>https://miland.ru/api/getInfo/image/8084a744-9583-11ed-a22d-00155d82e902</v>
      </c>
    </row>
    <row r="1619" spans="1:19" s="2" customFormat="1" ht="96.2" customHeight="1" outlineLevel="6">
      <c r="A1619" s="52">
        <v>1260</v>
      </c>
      <c r="B1619" s="26" t="s">
        <v>5331</v>
      </c>
      <c r="C1619" s="66" t="s">
        <v>5332</v>
      </c>
      <c r="D1619" s="66"/>
      <c r="E1619" s="66"/>
      <c r="F1619" s="66"/>
      <c r="G1619" s="27" t="s">
        <v>5333</v>
      </c>
      <c r="H1619" s="28" t="s">
        <v>44</v>
      </c>
      <c r="I1619" s="29"/>
      <c r="J1619" s="25">
        <v>2</v>
      </c>
      <c r="K1619" s="30">
        <v>333.35</v>
      </c>
      <c r="L1619" s="17"/>
      <c r="M1619" s="29">
        <f t="shared" si="73"/>
        <v>0</v>
      </c>
      <c r="N1619" s="31">
        <f>0.266*L1619</f>
        <v>0</v>
      </c>
      <c r="O1619" s="32">
        <f>0.00075*L1619</f>
        <v>0</v>
      </c>
      <c r="P1619" s="36"/>
      <c r="Q1619" s="29" t="s">
        <v>5334</v>
      </c>
      <c r="R1619" s="29"/>
      <c r="S1619" s="26" t="str">
        <f>HYPERLINK("https://miland.ru/api/getInfo/image/24ca64fc-957a-11ed-a22d-00155d82e902")</f>
        <v>https://miland.ru/api/getInfo/image/24ca64fc-957a-11ed-a22d-00155d82e902</v>
      </c>
    </row>
    <row r="1620" spans="1:19" s="2" customFormat="1" ht="96.2" customHeight="1" outlineLevel="6">
      <c r="A1620" s="52">
        <v>1261</v>
      </c>
      <c r="B1620" s="26" t="s">
        <v>5335</v>
      </c>
      <c r="C1620" s="66" t="s">
        <v>5336</v>
      </c>
      <c r="D1620" s="66"/>
      <c r="E1620" s="66"/>
      <c r="F1620" s="66"/>
      <c r="G1620" s="27" t="s">
        <v>5337</v>
      </c>
      <c r="H1620" s="33">
        <v>448</v>
      </c>
      <c r="I1620" s="29"/>
      <c r="J1620" s="25">
        <v>1</v>
      </c>
      <c r="K1620" s="30">
        <v>486.66</v>
      </c>
      <c r="L1620" s="17"/>
      <c r="M1620" s="29">
        <f t="shared" si="73"/>
        <v>0</v>
      </c>
      <c r="N1620" s="31">
        <f>0.408*L1620</f>
        <v>0</v>
      </c>
      <c r="O1620" s="32">
        <f>0.00106*L1620</f>
        <v>0</v>
      </c>
      <c r="P1620" s="36"/>
      <c r="Q1620" s="29" t="s">
        <v>5338</v>
      </c>
      <c r="R1620" s="29"/>
      <c r="S1620" s="26" t="str">
        <f>HYPERLINK("https://miland.ru/api/getInfo/image/32891e8f-9586-11ed-a22d-00155d82e902")</f>
        <v>https://miland.ru/api/getInfo/image/32891e8f-9586-11ed-a22d-00155d82e902</v>
      </c>
    </row>
    <row r="1621" spans="1:19" s="2" customFormat="1" ht="96.2" customHeight="1" outlineLevel="6">
      <c r="A1621" s="52">
        <v>1262</v>
      </c>
      <c r="B1621" s="26" t="s">
        <v>5339</v>
      </c>
      <c r="C1621" s="66" t="s">
        <v>5340</v>
      </c>
      <c r="D1621" s="66"/>
      <c r="E1621" s="66"/>
      <c r="F1621" s="66"/>
      <c r="G1621" s="27" t="s">
        <v>5341</v>
      </c>
      <c r="H1621" s="28" t="s">
        <v>44</v>
      </c>
      <c r="I1621" s="29"/>
      <c r="J1621" s="25">
        <v>4</v>
      </c>
      <c r="K1621" s="30">
        <v>136.99</v>
      </c>
      <c r="L1621" s="17"/>
      <c r="M1621" s="29">
        <f t="shared" si="73"/>
        <v>0</v>
      </c>
      <c r="N1621" s="31">
        <f>0.094*L1621</f>
        <v>0</v>
      </c>
      <c r="O1621" s="32">
        <f>0.00035*L1621</f>
        <v>0</v>
      </c>
      <c r="P1621" s="36"/>
      <c r="Q1621" s="29" t="s">
        <v>5342</v>
      </c>
      <c r="R1621" s="29"/>
      <c r="S1621" s="26" t="str">
        <f>HYPERLINK("https://miland.ru/api/getInfo/image/e48bc4f7-957d-11ed-a22d-00155d82e902")</f>
        <v>https://miland.ru/api/getInfo/image/e48bc4f7-957d-11ed-a22d-00155d82e902</v>
      </c>
    </row>
    <row r="1622" spans="1:19" s="2" customFormat="1" ht="96.2" customHeight="1" outlineLevel="6">
      <c r="A1622" s="52">
        <v>1263</v>
      </c>
      <c r="B1622" s="26" t="s">
        <v>5343</v>
      </c>
      <c r="C1622" s="66" t="s">
        <v>5344</v>
      </c>
      <c r="D1622" s="66"/>
      <c r="E1622" s="66"/>
      <c r="F1622" s="66"/>
      <c r="G1622" s="27" t="s">
        <v>5345</v>
      </c>
      <c r="H1622" s="28" t="s">
        <v>44</v>
      </c>
      <c r="I1622" s="29"/>
      <c r="J1622" s="25">
        <v>3</v>
      </c>
      <c r="K1622" s="30">
        <v>212.34</v>
      </c>
      <c r="L1622" s="17"/>
      <c r="M1622" s="29">
        <f t="shared" si="73"/>
        <v>0</v>
      </c>
      <c r="N1622" s="31">
        <f>0.172*L1622</f>
        <v>0</v>
      </c>
      <c r="O1622" s="32">
        <f>0.00051*L1622</f>
        <v>0</v>
      </c>
      <c r="P1622" s="36"/>
      <c r="Q1622" s="29" t="s">
        <v>5346</v>
      </c>
      <c r="R1622" s="29"/>
      <c r="S1622" s="26" t="str">
        <f>HYPERLINK("https://miland.ru/api/getInfo/image/55a8cf56-9581-11ed-a22d-00155d82e902")</f>
        <v>https://miland.ru/api/getInfo/image/55a8cf56-9581-11ed-a22d-00155d82e902</v>
      </c>
    </row>
    <row r="1623" spans="1:19" s="2" customFormat="1" ht="96.2" customHeight="1" outlineLevel="6">
      <c r="A1623" s="52">
        <v>1264</v>
      </c>
      <c r="B1623" s="26" t="s">
        <v>5347</v>
      </c>
      <c r="C1623" s="66" t="s">
        <v>5348</v>
      </c>
      <c r="D1623" s="66"/>
      <c r="E1623" s="66"/>
      <c r="F1623" s="66"/>
      <c r="G1623" s="27" t="s">
        <v>5349</v>
      </c>
      <c r="H1623" s="28" t="s">
        <v>44</v>
      </c>
      <c r="I1623" s="29"/>
      <c r="J1623" s="25">
        <v>2</v>
      </c>
      <c r="K1623" s="30">
        <v>333.35</v>
      </c>
      <c r="L1623" s="17"/>
      <c r="M1623" s="29">
        <f t="shared" si="73"/>
        <v>0</v>
      </c>
      <c r="N1623" s="31">
        <f>0.316*L1623</f>
        <v>0</v>
      </c>
      <c r="O1623" s="32">
        <f>0.00131*L1623</f>
        <v>0</v>
      </c>
      <c r="P1623" s="36"/>
      <c r="Q1623" s="29" t="s">
        <v>5350</v>
      </c>
      <c r="R1623" s="29"/>
      <c r="S1623" s="26" t="str">
        <f>HYPERLINK("https://miland.ru/api/getInfo/image/16a925fc-9584-11ed-a22d-00155d82e902")</f>
        <v>https://miland.ru/api/getInfo/image/16a925fc-9584-11ed-a22d-00155d82e902</v>
      </c>
    </row>
    <row r="1624" spans="1:19" s="2" customFormat="1" ht="96.2" customHeight="1" outlineLevel="6">
      <c r="A1624" s="52">
        <v>1265</v>
      </c>
      <c r="B1624" s="26" t="s">
        <v>5351</v>
      </c>
      <c r="C1624" s="66" t="s">
        <v>5352</v>
      </c>
      <c r="D1624" s="66"/>
      <c r="E1624" s="66"/>
      <c r="F1624" s="66"/>
      <c r="G1624" s="27" t="s">
        <v>5353</v>
      </c>
      <c r="H1624" s="28" t="s">
        <v>44</v>
      </c>
      <c r="I1624" s="29"/>
      <c r="J1624" s="25">
        <v>1</v>
      </c>
      <c r="K1624" s="30">
        <v>486.66</v>
      </c>
      <c r="L1624" s="17"/>
      <c r="M1624" s="29">
        <f t="shared" si="73"/>
        <v>0</v>
      </c>
      <c r="N1624" s="31">
        <f>0.444*L1624</f>
        <v>0</v>
      </c>
      <c r="O1624" s="32">
        <f>0.00111*L1624</f>
        <v>0</v>
      </c>
      <c r="P1624" s="36"/>
      <c r="Q1624" s="29" t="s">
        <v>5354</v>
      </c>
      <c r="R1624" s="29"/>
      <c r="S1624" s="26" t="str">
        <f>HYPERLINK("https://miland.ru/api/getInfo/image/3c9dbca3-9587-11ed-a22d-00155d82e902")</f>
        <v>https://miland.ru/api/getInfo/image/3c9dbca3-9587-11ed-a22d-00155d82e902</v>
      </c>
    </row>
    <row r="1625" spans="1:19" s="2" customFormat="1" ht="96.2" customHeight="1" outlineLevel="6">
      <c r="A1625" s="52">
        <v>1266</v>
      </c>
      <c r="B1625" s="26" t="s">
        <v>5355</v>
      </c>
      <c r="C1625" s="66" t="s">
        <v>5356</v>
      </c>
      <c r="D1625" s="66"/>
      <c r="E1625" s="66"/>
      <c r="F1625" s="66"/>
      <c r="G1625" s="27" t="s">
        <v>5357</v>
      </c>
      <c r="H1625" s="33">
        <v>209</v>
      </c>
      <c r="I1625" s="29"/>
      <c r="J1625" s="25">
        <v>2</v>
      </c>
      <c r="K1625" s="30">
        <v>269.89</v>
      </c>
      <c r="L1625" s="17"/>
      <c r="M1625" s="29">
        <f t="shared" si="73"/>
        <v>0</v>
      </c>
      <c r="N1625" s="31">
        <f>0.055*L1625</f>
        <v>0</v>
      </c>
      <c r="O1625" s="32">
        <f>0.00034*L1625</f>
        <v>0</v>
      </c>
      <c r="P1625" s="36"/>
      <c r="Q1625" s="29" t="s">
        <v>5358</v>
      </c>
      <c r="R1625" s="29"/>
      <c r="S1625" s="26" t="str">
        <f>HYPERLINK("https://miland.ru/api/getInfo/image/ea791b88-9588-11ed-a22d-00155d82e902")</f>
        <v>https://miland.ru/api/getInfo/image/ea791b88-9588-11ed-a22d-00155d82e902</v>
      </c>
    </row>
    <row r="1626" spans="1:19" s="2" customFormat="1" ht="96.2" customHeight="1" outlineLevel="6">
      <c r="A1626" s="52">
        <v>1267</v>
      </c>
      <c r="B1626" s="26" t="s">
        <v>5359</v>
      </c>
      <c r="C1626" s="66" t="s">
        <v>5360</v>
      </c>
      <c r="D1626" s="66"/>
      <c r="E1626" s="66"/>
      <c r="F1626" s="66"/>
      <c r="G1626" s="27" t="s">
        <v>5361</v>
      </c>
      <c r="H1626" s="28" t="s">
        <v>44</v>
      </c>
      <c r="I1626" s="29"/>
      <c r="J1626" s="25">
        <v>4</v>
      </c>
      <c r="K1626" s="30">
        <v>136.99</v>
      </c>
      <c r="L1626" s="17"/>
      <c r="M1626" s="29">
        <f t="shared" si="73"/>
        <v>0</v>
      </c>
      <c r="N1626" s="41">
        <f>0.1*L1626</f>
        <v>0</v>
      </c>
      <c r="O1626" s="32">
        <f>0.00046*L1626</f>
        <v>0</v>
      </c>
      <c r="P1626" s="36"/>
      <c r="Q1626" s="29" t="s">
        <v>5362</v>
      </c>
      <c r="R1626" s="29"/>
      <c r="S1626" s="26" t="str">
        <f>HYPERLINK("https://miland.ru/api/getInfo/image/3536c6f7-957f-11ed-a22d-00155d82e902")</f>
        <v>https://miland.ru/api/getInfo/image/3536c6f7-957f-11ed-a22d-00155d82e902</v>
      </c>
    </row>
    <row r="1627" spans="1:19" s="2" customFormat="1" ht="96.2" customHeight="1" outlineLevel="6">
      <c r="A1627" s="52">
        <v>1268</v>
      </c>
      <c r="B1627" s="26" t="s">
        <v>5363</v>
      </c>
      <c r="C1627" s="66" t="s">
        <v>5364</v>
      </c>
      <c r="D1627" s="66"/>
      <c r="E1627" s="66"/>
      <c r="F1627" s="66"/>
      <c r="G1627" s="27" t="s">
        <v>5365</v>
      </c>
      <c r="H1627" s="33">
        <v>420</v>
      </c>
      <c r="I1627" s="29"/>
      <c r="J1627" s="25">
        <v>3</v>
      </c>
      <c r="K1627" s="30">
        <v>212.34</v>
      </c>
      <c r="L1627" s="17"/>
      <c r="M1627" s="29">
        <f t="shared" si="73"/>
        <v>0</v>
      </c>
      <c r="N1627" s="31">
        <f>0.179*L1627</f>
        <v>0</v>
      </c>
      <c r="O1627" s="32">
        <f>0.00053*L1627</f>
        <v>0</v>
      </c>
      <c r="P1627" s="36"/>
      <c r="Q1627" s="29" t="s">
        <v>5366</v>
      </c>
      <c r="R1627" s="29"/>
      <c r="S1627" s="26" t="str">
        <f>HYPERLINK("https://miland.ru/api/getInfo/image/ef3521af-9581-11ed-a22d-00155d82e902")</f>
        <v>https://miland.ru/api/getInfo/image/ef3521af-9581-11ed-a22d-00155d82e902</v>
      </c>
    </row>
    <row r="1628" spans="1:19" s="2" customFormat="1" ht="96.2" customHeight="1" outlineLevel="6">
      <c r="A1628" s="52">
        <v>1269</v>
      </c>
      <c r="B1628" s="26" t="s">
        <v>5367</v>
      </c>
      <c r="C1628" s="66" t="s">
        <v>5368</v>
      </c>
      <c r="D1628" s="66"/>
      <c r="E1628" s="66"/>
      <c r="F1628" s="66"/>
      <c r="G1628" s="27" t="s">
        <v>5369</v>
      </c>
      <c r="H1628" s="28" t="s">
        <v>44</v>
      </c>
      <c r="I1628" s="29"/>
      <c r="J1628" s="25">
        <v>2</v>
      </c>
      <c r="K1628" s="30">
        <v>333.35</v>
      </c>
      <c r="L1628" s="17"/>
      <c r="M1628" s="29">
        <f t="shared" si="73"/>
        <v>0</v>
      </c>
      <c r="N1628" s="31">
        <f>0.299*L1628</f>
        <v>0</v>
      </c>
      <c r="O1628" s="32">
        <f>0.00101*L1628</f>
        <v>0</v>
      </c>
      <c r="P1628" s="36"/>
      <c r="Q1628" s="29" t="s">
        <v>5370</v>
      </c>
      <c r="R1628" s="29"/>
      <c r="S1628" s="26" t="str">
        <f>HYPERLINK("https://miland.ru/api/getInfo/image/9c6fd07b-9584-11ed-a22d-00155d82e902")</f>
        <v>https://miland.ru/api/getInfo/image/9c6fd07b-9584-11ed-a22d-00155d82e902</v>
      </c>
    </row>
    <row r="1629" spans="1:19" s="2" customFormat="1" ht="96.2" customHeight="1" outlineLevel="6">
      <c r="A1629" s="52">
        <v>1270</v>
      </c>
      <c r="B1629" s="26" t="s">
        <v>5371</v>
      </c>
      <c r="C1629" s="66" t="s">
        <v>5372</v>
      </c>
      <c r="D1629" s="66"/>
      <c r="E1629" s="66"/>
      <c r="F1629" s="66"/>
      <c r="G1629" s="27" t="s">
        <v>5373</v>
      </c>
      <c r="H1629" s="28" t="s">
        <v>44</v>
      </c>
      <c r="I1629" s="29"/>
      <c r="J1629" s="25">
        <v>2</v>
      </c>
      <c r="K1629" s="30">
        <v>333.35</v>
      </c>
      <c r="L1629" s="17"/>
      <c r="M1629" s="29">
        <f t="shared" si="73"/>
        <v>0</v>
      </c>
      <c r="N1629" s="34">
        <f>0.26*L1629</f>
        <v>0</v>
      </c>
      <c r="O1629" s="32">
        <f>0.00089*L1629</f>
        <v>0</v>
      </c>
      <c r="P1629" s="36"/>
      <c r="Q1629" s="29" t="s">
        <v>5374</v>
      </c>
      <c r="R1629" s="29"/>
      <c r="S1629" s="26" t="str">
        <f>HYPERLINK("https://miland.ru/api/getInfo/image/33fbf192-957b-11ed-a22d-00155d82e902")</f>
        <v>https://miland.ru/api/getInfo/image/33fbf192-957b-11ed-a22d-00155d82e902</v>
      </c>
    </row>
    <row r="1630" spans="1:19" s="2" customFormat="1" ht="96.2" customHeight="1" outlineLevel="6">
      <c r="A1630" s="52">
        <v>1271</v>
      </c>
      <c r="B1630" s="26" t="s">
        <v>5375</v>
      </c>
      <c r="C1630" s="66" t="s">
        <v>5376</v>
      </c>
      <c r="D1630" s="66"/>
      <c r="E1630" s="66"/>
      <c r="F1630" s="66"/>
      <c r="G1630" s="27" t="s">
        <v>5377</v>
      </c>
      <c r="H1630" s="33">
        <v>39</v>
      </c>
      <c r="I1630" s="29"/>
      <c r="J1630" s="25">
        <v>1</v>
      </c>
      <c r="K1630" s="30">
        <v>486.66</v>
      </c>
      <c r="L1630" s="17"/>
      <c r="M1630" s="29">
        <f t="shared" si="73"/>
        <v>0</v>
      </c>
      <c r="N1630" s="31">
        <f>0.474*L1630</f>
        <v>0</v>
      </c>
      <c r="O1630" s="32">
        <f>0.00146*L1630</f>
        <v>0</v>
      </c>
      <c r="P1630" s="36"/>
      <c r="Q1630" s="29" t="s">
        <v>5378</v>
      </c>
      <c r="R1630" s="29" t="s">
        <v>611</v>
      </c>
      <c r="S1630" s="26" t="str">
        <f>HYPERLINK("https://miland.ru/api/getInfo/image/b604004a-9587-11ed-a22d-00155d82e902")</f>
        <v>https://miland.ru/api/getInfo/image/b604004a-9587-11ed-a22d-00155d82e902</v>
      </c>
    </row>
    <row r="1631" spans="1:19" s="2" customFormat="1" ht="96.2" customHeight="1" outlineLevel="6">
      <c r="A1631" s="52">
        <v>1272</v>
      </c>
      <c r="B1631" s="26" t="s">
        <v>5379</v>
      </c>
      <c r="C1631" s="66" t="s">
        <v>5380</v>
      </c>
      <c r="D1631" s="66"/>
      <c r="E1631" s="66"/>
      <c r="F1631" s="66"/>
      <c r="G1631" s="27" t="s">
        <v>5381</v>
      </c>
      <c r="H1631" s="28" t="s">
        <v>44</v>
      </c>
      <c r="I1631" s="29"/>
      <c r="J1631" s="25">
        <v>4</v>
      </c>
      <c r="K1631" s="30">
        <v>136.99</v>
      </c>
      <c r="L1631" s="17"/>
      <c r="M1631" s="29">
        <f t="shared" si="73"/>
        <v>0</v>
      </c>
      <c r="N1631" s="31">
        <f>0.109*L1631</f>
        <v>0</v>
      </c>
      <c r="O1631" s="35">
        <f>0.0005*L1631</f>
        <v>0</v>
      </c>
      <c r="P1631" s="36"/>
      <c r="Q1631" s="29" t="s">
        <v>5382</v>
      </c>
      <c r="R1631" s="29"/>
      <c r="S1631" s="26" t="str">
        <f>HYPERLINK("https://miland.ru/api/getInfo/image/34dd1df2-9580-11ed-a22d-00155d82e902")</f>
        <v>https://miland.ru/api/getInfo/image/34dd1df2-9580-11ed-a22d-00155d82e902</v>
      </c>
    </row>
    <row r="1632" spans="1:19" s="2" customFormat="1" ht="96.2" customHeight="1" outlineLevel="6">
      <c r="A1632" s="52">
        <v>1273</v>
      </c>
      <c r="B1632" s="26" t="s">
        <v>5383</v>
      </c>
      <c r="C1632" s="66" t="s">
        <v>5384</v>
      </c>
      <c r="D1632" s="66"/>
      <c r="E1632" s="66"/>
      <c r="F1632" s="66"/>
      <c r="G1632" s="27" t="s">
        <v>5385</v>
      </c>
      <c r="H1632" s="28" t="s">
        <v>44</v>
      </c>
      <c r="I1632" s="29"/>
      <c r="J1632" s="25">
        <v>3</v>
      </c>
      <c r="K1632" s="30">
        <v>212.34</v>
      </c>
      <c r="L1632" s="17"/>
      <c r="M1632" s="29">
        <f t="shared" si="73"/>
        <v>0</v>
      </c>
      <c r="N1632" s="31">
        <f>0.191*L1632</f>
        <v>0</v>
      </c>
      <c r="O1632" s="32">
        <f>0.00054*L1632</f>
        <v>0</v>
      </c>
      <c r="P1632" s="36"/>
      <c r="Q1632" s="29" t="s">
        <v>5386</v>
      </c>
      <c r="R1632" s="29"/>
      <c r="S1632" s="26" t="str">
        <f>HYPERLINK("https://miland.ru/api/getInfo/image/702feec3-9582-11ed-a22d-00155d82e902")</f>
        <v>https://miland.ru/api/getInfo/image/702feec3-9582-11ed-a22d-00155d82e902</v>
      </c>
    </row>
    <row r="1633" spans="1:19" s="2" customFormat="1" ht="96.2" customHeight="1" outlineLevel="6">
      <c r="A1633" s="52">
        <v>1274</v>
      </c>
      <c r="B1633" s="26" t="s">
        <v>5387</v>
      </c>
      <c r="C1633" s="66" t="s">
        <v>5388</v>
      </c>
      <c r="D1633" s="66"/>
      <c r="E1633" s="66"/>
      <c r="F1633" s="66"/>
      <c r="G1633" s="27" t="s">
        <v>5389</v>
      </c>
      <c r="H1633" s="28" t="s">
        <v>44</v>
      </c>
      <c r="I1633" s="29"/>
      <c r="J1633" s="25">
        <v>2</v>
      </c>
      <c r="K1633" s="30">
        <v>333.35</v>
      </c>
      <c r="L1633" s="17"/>
      <c r="M1633" s="29">
        <f t="shared" si="73"/>
        <v>0</v>
      </c>
      <c r="N1633" s="31">
        <f>0.322*L1633</f>
        <v>0</v>
      </c>
      <c r="O1633" s="32">
        <f>0.00094*L1633</f>
        <v>0</v>
      </c>
      <c r="P1633" s="36"/>
      <c r="Q1633" s="29" t="s">
        <v>5390</v>
      </c>
      <c r="R1633" s="29"/>
      <c r="S1633" s="26" t="str">
        <f>HYPERLINK("https://miland.ru/api/getInfo/image/3bd027d8-957c-11ed-a22d-00155d82e902")</f>
        <v>https://miland.ru/api/getInfo/image/3bd027d8-957c-11ed-a22d-00155d82e902</v>
      </c>
    </row>
    <row r="1634" spans="1:19" s="2" customFormat="1" ht="96.2" customHeight="1" outlineLevel="6">
      <c r="A1634" s="52">
        <v>1275</v>
      </c>
      <c r="B1634" s="26" t="s">
        <v>5391</v>
      </c>
      <c r="C1634" s="66" t="s">
        <v>5392</v>
      </c>
      <c r="D1634" s="66"/>
      <c r="E1634" s="66"/>
      <c r="F1634" s="66"/>
      <c r="G1634" s="27" t="s">
        <v>5393</v>
      </c>
      <c r="H1634" s="28" t="s">
        <v>44</v>
      </c>
      <c r="I1634" s="29"/>
      <c r="J1634" s="25">
        <v>2</v>
      </c>
      <c r="K1634" s="30">
        <v>333.35</v>
      </c>
      <c r="L1634" s="17"/>
      <c r="M1634" s="29">
        <f t="shared" si="73"/>
        <v>0</v>
      </c>
      <c r="N1634" s="31">
        <f>0.326*L1634</f>
        <v>0</v>
      </c>
      <c r="O1634" s="32">
        <f>0.00079*L1634</f>
        <v>0</v>
      </c>
      <c r="P1634" s="36"/>
      <c r="Q1634" s="29" t="s">
        <v>5394</v>
      </c>
      <c r="R1634" s="29"/>
      <c r="S1634" s="26" t="str">
        <f>HYPERLINK("https://miland.ru/api/getInfo/image/f915e28b-9584-11ed-a22d-00155d82e902")</f>
        <v>https://miland.ru/api/getInfo/image/f915e28b-9584-11ed-a22d-00155d82e902</v>
      </c>
    </row>
    <row r="1635" spans="1:19" s="1" customFormat="1" ht="12" customHeight="1" outlineLevel="4">
      <c r="A1635" s="64" t="s">
        <v>5395</v>
      </c>
      <c r="B1635" s="64"/>
      <c r="C1635" s="64"/>
      <c r="D1635" s="64"/>
      <c r="E1635" s="64"/>
      <c r="F1635" s="64"/>
      <c r="G1635" s="8"/>
      <c r="H1635" s="12"/>
      <c r="I1635" s="2"/>
      <c r="J1635" s="2"/>
      <c r="K1635" s="13"/>
      <c r="L1635" s="2"/>
      <c r="M1635" s="2"/>
      <c r="N1635" s="2"/>
      <c r="O1635" s="2"/>
      <c r="P1635" s="2"/>
      <c r="Q1635" s="2"/>
      <c r="R1635" s="2"/>
      <c r="S1635" s="2"/>
    </row>
    <row r="1636" spans="1:19" s="2" customFormat="1" ht="96.2" customHeight="1" outlineLevel="5">
      <c r="A1636" s="52">
        <v>1276</v>
      </c>
      <c r="B1636" s="26" t="s">
        <v>5396</v>
      </c>
      <c r="C1636" s="66" t="s">
        <v>5397</v>
      </c>
      <c r="D1636" s="66"/>
      <c r="E1636" s="66"/>
      <c r="F1636" s="66"/>
      <c r="G1636" s="27" t="s">
        <v>5398</v>
      </c>
      <c r="H1636" s="33">
        <v>3</v>
      </c>
      <c r="I1636" s="29"/>
      <c r="J1636" s="25">
        <v>1</v>
      </c>
      <c r="K1636" s="37">
        <v>2815.84</v>
      </c>
      <c r="L1636" s="17"/>
      <c r="M1636" s="29">
        <f t="shared" ref="M1636:M1645" si="74">K1636*L1636</f>
        <v>0</v>
      </c>
      <c r="N1636" s="34">
        <f>0.98*L1636</f>
        <v>0</v>
      </c>
      <c r="O1636" s="32">
        <f>0.00933*L1636</f>
        <v>0</v>
      </c>
      <c r="P1636" s="36"/>
      <c r="Q1636" s="29" t="s">
        <v>5399</v>
      </c>
      <c r="R1636" s="29" t="s">
        <v>611</v>
      </c>
      <c r="S1636" s="26" t="str">
        <f>HYPERLINK("https://miland.ru/api/getInfo/image/a4ddfe9f-977f-11eb-a200-ac1f6b442185")</f>
        <v>https://miland.ru/api/getInfo/image/a4ddfe9f-977f-11eb-a200-ac1f6b442185</v>
      </c>
    </row>
    <row r="1637" spans="1:19" s="2" customFormat="1" ht="96.2" customHeight="1" outlineLevel="5">
      <c r="A1637" s="52">
        <v>1277</v>
      </c>
      <c r="B1637" s="26" t="s">
        <v>5400</v>
      </c>
      <c r="C1637" s="66" t="s">
        <v>5401</v>
      </c>
      <c r="D1637" s="66"/>
      <c r="E1637" s="66"/>
      <c r="F1637" s="66"/>
      <c r="G1637" s="27" t="s">
        <v>5402</v>
      </c>
      <c r="H1637" s="33">
        <v>1</v>
      </c>
      <c r="I1637" s="29"/>
      <c r="J1637" s="25">
        <v>1</v>
      </c>
      <c r="K1637" s="37">
        <v>2791.54</v>
      </c>
      <c r="L1637" s="17"/>
      <c r="M1637" s="29">
        <f t="shared" si="74"/>
        <v>0</v>
      </c>
      <c r="N1637" s="34">
        <f>0.81*L1637</f>
        <v>0</v>
      </c>
      <c r="O1637" s="32">
        <f>0.00717*L1637</f>
        <v>0</v>
      </c>
      <c r="P1637" s="36"/>
      <c r="Q1637" s="29" t="s">
        <v>5403</v>
      </c>
      <c r="R1637" s="29" t="s">
        <v>611</v>
      </c>
      <c r="S1637" s="26" t="str">
        <f>HYPERLINK("https://miland.ru/api/getInfo/image/973e72c4-9785-11eb-a200-ac1f6b442185")</f>
        <v>https://miland.ru/api/getInfo/image/973e72c4-9785-11eb-a200-ac1f6b442185</v>
      </c>
    </row>
    <row r="1638" spans="1:19" s="2" customFormat="1" ht="96.2" customHeight="1" outlineLevel="5">
      <c r="A1638" s="52">
        <v>1278</v>
      </c>
      <c r="B1638" s="26" t="s">
        <v>5404</v>
      </c>
      <c r="C1638" s="66" t="s">
        <v>5405</v>
      </c>
      <c r="D1638" s="66"/>
      <c r="E1638" s="66"/>
      <c r="F1638" s="66"/>
      <c r="G1638" s="27" t="s">
        <v>5406</v>
      </c>
      <c r="H1638" s="28" t="s">
        <v>44</v>
      </c>
      <c r="I1638" s="29"/>
      <c r="J1638" s="25">
        <v>6</v>
      </c>
      <c r="K1638" s="30">
        <v>116.23</v>
      </c>
      <c r="L1638" s="17"/>
      <c r="M1638" s="29">
        <f t="shared" si="74"/>
        <v>0</v>
      </c>
      <c r="N1638" s="31">
        <f>0.034*L1638</f>
        <v>0</v>
      </c>
      <c r="O1638" s="32">
        <f>0.00054*L1638</f>
        <v>0</v>
      </c>
      <c r="P1638" s="36"/>
      <c r="Q1638" s="29" t="s">
        <v>5407</v>
      </c>
      <c r="R1638" s="29"/>
      <c r="S1638" s="26" t="str">
        <f>HYPERLINK("https://miland.ru/api/getInfo/image/3199c361-b8d8-11ed-a230-00155d82e902")</f>
        <v>https://miland.ru/api/getInfo/image/3199c361-b8d8-11ed-a230-00155d82e902</v>
      </c>
    </row>
    <row r="1639" spans="1:19" s="2" customFormat="1" ht="96.2" customHeight="1" outlineLevel="5">
      <c r="A1639" s="52">
        <v>1279</v>
      </c>
      <c r="B1639" s="26" t="s">
        <v>5408</v>
      </c>
      <c r="C1639" s="66" t="s">
        <v>5409</v>
      </c>
      <c r="D1639" s="66"/>
      <c r="E1639" s="66"/>
      <c r="F1639" s="66"/>
      <c r="G1639" s="27" t="s">
        <v>5410</v>
      </c>
      <c r="H1639" s="28" t="s">
        <v>44</v>
      </c>
      <c r="I1639" s="29"/>
      <c r="J1639" s="25">
        <v>10</v>
      </c>
      <c r="K1639" s="30">
        <v>79.2</v>
      </c>
      <c r="L1639" s="17"/>
      <c r="M1639" s="29">
        <f t="shared" si="74"/>
        <v>0</v>
      </c>
      <c r="N1639" s="31">
        <f>0.026*L1639</f>
        <v>0</v>
      </c>
      <c r="O1639" s="32">
        <f>0.00031*L1639</f>
        <v>0</v>
      </c>
      <c r="P1639" s="36"/>
      <c r="Q1639" s="29" t="s">
        <v>5411</v>
      </c>
      <c r="R1639" s="29"/>
      <c r="S1639" s="26" t="str">
        <f>HYPERLINK("https://miland.ru/api/getInfo/image/f371f42e-b8d5-11ed-a230-00155d82e902")</f>
        <v>https://miland.ru/api/getInfo/image/f371f42e-b8d5-11ed-a230-00155d82e902</v>
      </c>
    </row>
    <row r="1640" spans="1:19" s="2" customFormat="1" ht="96.2" customHeight="1" outlineLevel="5">
      <c r="A1640" s="52">
        <v>1280</v>
      </c>
      <c r="B1640" s="26" t="s">
        <v>5412</v>
      </c>
      <c r="C1640" s="66" t="s">
        <v>5413</v>
      </c>
      <c r="D1640" s="66"/>
      <c r="E1640" s="66"/>
      <c r="F1640" s="66"/>
      <c r="G1640" s="27" t="s">
        <v>5414</v>
      </c>
      <c r="H1640" s="28" t="s">
        <v>44</v>
      </c>
      <c r="I1640" s="29"/>
      <c r="J1640" s="25">
        <v>6</v>
      </c>
      <c r="K1640" s="30">
        <v>116.23</v>
      </c>
      <c r="L1640" s="17"/>
      <c r="M1640" s="29">
        <f t="shared" si="74"/>
        <v>0</v>
      </c>
      <c r="N1640" s="31">
        <f>0.033*L1640</f>
        <v>0</v>
      </c>
      <c r="O1640" s="32">
        <f>0.00052*L1640</f>
        <v>0</v>
      </c>
      <c r="P1640" s="36"/>
      <c r="Q1640" s="29" t="s">
        <v>5415</v>
      </c>
      <c r="R1640" s="29"/>
      <c r="S1640" s="26" t="str">
        <f>HYPERLINK("https://miland.ru/api/getInfo/image/082954a5-b8d7-11ed-a230-00155d82e902")</f>
        <v>https://miland.ru/api/getInfo/image/082954a5-b8d7-11ed-a230-00155d82e902</v>
      </c>
    </row>
    <row r="1641" spans="1:19" s="2" customFormat="1" ht="96.2" customHeight="1" outlineLevel="5">
      <c r="A1641" s="52">
        <v>1281</v>
      </c>
      <c r="B1641" s="26" t="s">
        <v>5416</v>
      </c>
      <c r="C1641" s="66" t="s">
        <v>5417</v>
      </c>
      <c r="D1641" s="66"/>
      <c r="E1641" s="66"/>
      <c r="F1641" s="66"/>
      <c r="G1641" s="27" t="s">
        <v>5418</v>
      </c>
      <c r="H1641" s="28" t="s">
        <v>44</v>
      </c>
      <c r="I1641" s="29"/>
      <c r="J1641" s="25">
        <v>5</v>
      </c>
      <c r="K1641" s="30">
        <v>147.15</v>
      </c>
      <c r="L1641" s="17"/>
      <c r="M1641" s="29">
        <f t="shared" si="74"/>
        <v>0</v>
      </c>
      <c r="N1641" s="31">
        <f>0.042*L1641</f>
        <v>0</v>
      </c>
      <c r="O1641" s="32">
        <f>0.00074*L1641</f>
        <v>0</v>
      </c>
      <c r="P1641" s="36"/>
      <c r="Q1641" s="29" t="s">
        <v>5419</v>
      </c>
      <c r="R1641" s="29"/>
      <c r="S1641" s="26" t="str">
        <f>HYPERLINK("https://miland.ru/api/getInfo/image/7553af91-b8d8-11ed-a230-00155d82e902")</f>
        <v>https://miland.ru/api/getInfo/image/7553af91-b8d8-11ed-a230-00155d82e902</v>
      </c>
    </row>
    <row r="1642" spans="1:19" s="2" customFormat="1" ht="96.2" customHeight="1" outlineLevel="5">
      <c r="A1642" s="52">
        <v>1282</v>
      </c>
      <c r="B1642" s="26" t="s">
        <v>5420</v>
      </c>
      <c r="C1642" s="66" t="s">
        <v>5421</v>
      </c>
      <c r="D1642" s="66"/>
      <c r="E1642" s="66"/>
      <c r="F1642" s="66"/>
      <c r="G1642" s="27" t="s">
        <v>5422</v>
      </c>
      <c r="H1642" s="28" t="s">
        <v>44</v>
      </c>
      <c r="I1642" s="29"/>
      <c r="J1642" s="25">
        <v>5</v>
      </c>
      <c r="K1642" s="30">
        <v>147.15</v>
      </c>
      <c r="L1642" s="17"/>
      <c r="M1642" s="29">
        <f t="shared" si="74"/>
        <v>0</v>
      </c>
      <c r="N1642" s="31">
        <f>0.046*L1642</f>
        <v>0</v>
      </c>
      <c r="O1642" s="32">
        <f>0.00075*L1642</f>
        <v>0</v>
      </c>
      <c r="P1642" s="36"/>
      <c r="Q1642" s="29" t="s">
        <v>5423</v>
      </c>
      <c r="R1642" s="29"/>
      <c r="S1642" s="26" t="str">
        <f>HYPERLINK("https://miland.ru/api/getInfo/image/c50a10f2-b8d8-11ed-a230-00155d82e902")</f>
        <v>https://miland.ru/api/getInfo/image/c50a10f2-b8d8-11ed-a230-00155d82e902</v>
      </c>
    </row>
    <row r="1643" spans="1:19" s="2" customFormat="1" ht="96.2" customHeight="1" outlineLevel="5">
      <c r="A1643" s="52">
        <v>1283</v>
      </c>
      <c r="B1643" s="26" t="s">
        <v>5424</v>
      </c>
      <c r="C1643" s="66" t="s">
        <v>5425</v>
      </c>
      <c r="D1643" s="66"/>
      <c r="E1643" s="66"/>
      <c r="F1643" s="66"/>
      <c r="G1643" s="27" t="s">
        <v>5426</v>
      </c>
      <c r="H1643" s="28" t="s">
        <v>44</v>
      </c>
      <c r="I1643" s="29"/>
      <c r="J1643" s="25">
        <v>10</v>
      </c>
      <c r="K1643" s="30">
        <v>103.57</v>
      </c>
      <c r="L1643" s="17"/>
      <c r="M1643" s="29">
        <f t="shared" si="74"/>
        <v>0</v>
      </c>
      <c r="N1643" s="34">
        <f>0.03*L1643</f>
        <v>0</v>
      </c>
      <c r="O1643" s="32">
        <f>0.00029*L1643</f>
        <v>0</v>
      </c>
      <c r="P1643" s="36"/>
      <c r="Q1643" s="29" t="s">
        <v>5427</v>
      </c>
      <c r="R1643" s="29"/>
      <c r="S1643" s="26" t="str">
        <f>HYPERLINK("https://miland.ru/api/getInfo/image/261c9836-b8d9-11ed-a230-00155d82e902")</f>
        <v>https://miland.ru/api/getInfo/image/261c9836-b8d9-11ed-a230-00155d82e902</v>
      </c>
    </row>
    <row r="1644" spans="1:19" s="2" customFormat="1" ht="96.2" customHeight="1" outlineLevel="5">
      <c r="A1644" s="52">
        <v>1284</v>
      </c>
      <c r="B1644" s="26" t="s">
        <v>5428</v>
      </c>
      <c r="C1644" s="66" t="s">
        <v>5429</v>
      </c>
      <c r="D1644" s="66"/>
      <c r="E1644" s="66"/>
      <c r="F1644" s="66"/>
      <c r="G1644" s="27" t="s">
        <v>5430</v>
      </c>
      <c r="H1644" s="28" t="s">
        <v>44</v>
      </c>
      <c r="I1644" s="29"/>
      <c r="J1644" s="25">
        <v>10</v>
      </c>
      <c r="K1644" s="30">
        <v>85.3</v>
      </c>
      <c r="L1644" s="17"/>
      <c r="M1644" s="29">
        <f t="shared" si="74"/>
        <v>0</v>
      </c>
      <c r="N1644" s="31">
        <f>0.027*L1644</f>
        <v>0</v>
      </c>
      <c r="O1644" s="32">
        <f>0.00027*L1644</f>
        <v>0</v>
      </c>
      <c r="P1644" s="36"/>
      <c r="Q1644" s="29" t="s">
        <v>5431</v>
      </c>
      <c r="R1644" s="29"/>
      <c r="S1644" s="26" t="str">
        <f>HYPERLINK("https://miland.ru/api/getInfo/image/6ff9afe3-b8d9-11ed-a230-00155d82e902")</f>
        <v>https://miland.ru/api/getInfo/image/6ff9afe3-b8d9-11ed-a230-00155d82e902</v>
      </c>
    </row>
    <row r="1645" spans="1:19" s="2" customFormat="1" ht="96.2" customHeight="1" outlineLevel="5">
      <c r="A1645" s="52">
        <v>1285</v>
      </c>
      <c r="B1645" s="26" t="s">
        <v>5432</v>
      </c>
      <c r="C1645" s="66" t="s">
        <v>5433</v>
      </c>
      <c r="D1645" s="66"/>
      <c r="E1645" s="66"/>
      <c r="F1645" s="66"/>
      <c r="G1645" s="27" t="s">
        <v>5434</v>
      </c>
      <c r="H1645" s="28" t="s">
        <v>44</v>
      </c>
      <c r="I1645" s="29"/>
      <c r="J1645" s="25">
        <v>6</v>
      </c>
      <c r="K1645" s="30">
        <v>116.23</v>
      </c>
      <c r="L1645" s="17"/>
      <c r="M1645" s="29">
        <f t="shared" si="74"/>
        <v>0</v>
      </c>
      <c r="N1645" s="31">
        <f>0.037*L1645</f>
        <v>0</v>
      </c>
      <c r="O1645" s="32">
        <f>0.00065*L1645</f>
        <v>0</v>
      </c>
      <c r="P1645" s="36"/>
      <c r="Q1645" s="29" t="s">
        <v>5435</v>
      </c>
      <c r="R1645" s="29"/>
      <c r="S1645" s="26" t="str">
        <f>HYPERLINK("https://miland.ru/api/getInfo/image/da405ff9-b8d7-11ed-a230-00155d82e902")</f>
        <v>https://miland.ru/api/getInfo/image/da405ff9-b8d7-11ed-a230-00155d82e902</v>
      </c>
    </row>
    <row r="1646" spans="1:19" s="1" customFormat="1" ht="12" customHeight="1" outlineLevel="4">
      <c r="A1646" s="64" t="s">
        <v>5436</v>
      </c>
      <c r="B1646" s="64"/>
      <c r="C1646" s="64"/>
      <c r="D1646" s="64"/>
      <c r="E1646" s="64"/>
      <c r="F1646" s="64"/>
      <c r="G1646" s="8"/>
      <c r="H1646" s="12"/>
      <c r="I1646" s="2"/>
      <c r="J1646" s="2"/>
      <c r="K1646" s="13"/>
      <c r="L1646" s="2"/>
      <c r="M1646" s="2"/>
      <c r="N1646" s="2"/>
      <c r="O1646" s="2"/>
      <c r="P1646" s="2"/>
      <c r="Q1646" s="2"/>
      <c r="R1646" s="2"/>
      <c r="S1646" s="2"/>
    </row>
    <row r="1647" spans="1:19" s="1" customFormat="1" ht="12" customHeight="1" outlineLevel="5">
      <c r="A1647" s="64" t="s">
        <v>5437</v>
      </c>
      <c r="B1647" s="64"/>
      <c r="C1647" s="64"/>
      <c r="D1647" s="64"/>
      <c r="E1647" s="64"/>
      <c r="F1647" s="64"/>
      <c r="G1647" s="8"/>
      <c r="H1647" s="12"/>
      <c r="I1647" s="2"/>
      <c r="J1647" s="2"/>
      <c r="K1647" s="13"/>
      <c r="L1647" s="2"/>
      <c r="M1647" s="2"/>
      <c r="N1647" s="2"/>
      <c r="O1647" s="2"/>
      <c r="P1647" s="2"/>
      <c r="Q1647" s="2"/>
      <c r="R1647" s="2"/>
      <c r="S1647" s="2"/>
    </row>
    <row r="1648" spans="1:19" s="2" customFormat="1" ht="96.2" customHeight="1" outlineLevel="6">
      <c r="A1648" s="53">
        <v>1286</v>
      </c>
      <c r="B1648" s="10" t="s">
        <v>5438</v>
      </c>
      <c r="C1648" s="65" t="s">
        <v>5439</v>
      </c>
      <c r="D1648" s="65"/>
      <c r="E1648" s="65"/>
      <c r="F1648" s="65"/>
      <c r="G1648" s="11" t="s">
        <v>5440</v>
      </c>
      <c r="H1648" s="21" t="s">
        <v>44</v>
      </c>
      <c r="I1648" s="15"/>
      <c r="J1648" s="9">
        <v>10</v>
      </c>
      <c r="K1648" s="16">
        <v>87.62</v>
      </c>
      <c r="L1648" s="17"/>
      <c r="M1648" s="15">
        <f t="shared" ref="M1648:M1656" si="75">K1648*L1648</f>
        <v>0</v>
      </c>
      <c r="N1648" s="18">
        <f>0.017*L1648</f>
        <v>0</v>
      </c>
      <c r="O1648" s="19">
        <f>0.00047*L1648</f>
        <v>0</v>
      </c>
      <c r="P1648" s="24" t="s">
        <v>26</v>
      </c>
      <c r="Q1648" s="15" t="s">
        <v>5441</v>
      </c>
      <c r="R1648" s="15"/>
      <c r="S1648" s="10" t="str">
        <f>HYPERLINK("https://miland.ru/api/getInfo/image/dc2387ed-58fe-11f1-a295-00155d82e908")</f>
        <v>https://miland.ru/api/getInfo/image/dc2387ed-58fe-11f1-a295-00155d82e908</v>
      </c>
    </row>
    <row r="1649" spans="1:19" s="2" customFormat="1" ht="96.2" customHeight="1" outlineLevel="6">
      <c r="A1649" s="52">
        <v>1287</v>
      </c>
      <c r="B1649" s="26" t="s">
        <v>5442</v>
      </c>
      <c r="C1649" s="66" t="s">
        <v>5443</v>
      </c>
      <c r="D1649" s="66"/>
      <c r="E1649" s="66"/>
      <c r="F1649" s="66"/>
      <c r="G1649" s="27" t="s">
        <v>5444</v>
      </c>
      <c r="H1649" s="33">
        <v>254</v>
      </c>
      <c r="I1649" s="29"/>
      <c r="J1649" s="25">
        <v>3</v>
      </c>
      <c r="K1649" s="30">
        <v>182.45</v>
      </c>
      <c r="L1649" s="17"/>
      <c r="M1649" s="29">
        <f t="shared" si="75"/>
        <v>0</v>
      </c>
      <c r="N1649" s="34">
        <f>0.05*L1649</f>
        <v>0</v>
      </c>
      <c r="O1649" s="32">
        <f>0.00248*L1649</f>
        <v>0</v>
      </c>
      <c r="P1649" s="36"/>
      <c r="Q1649" s="29" t="s">
        <v>5445</v>
      </c>
      <c r="R1649" s="29" t="s">
        <v>611</v>
      </c>
      <c r="S1649" s="26" t="str">
        <f>HYPERLINK("https://miland.ru/api/getInfo/image/a41d1992-9901-11eb-a201-ac1f6b442185")</f>
        <v>https://miland.ru/api/getInfo/image/a41d1992-9901-11eb-a201-ac1f6b442185</v>
      </c>
    </row>
    <row r="1650" spans="1:19" s="2" customFormat="1" ht="96.2" customHeight="1" outlineLevel="6">
      <c r="A1650" s="52">
        <v>1288</v>
      </c>
      <c r="B1650" s="26" t="s">
        <v>5446</v>
      </c>
      <c r="C1650" s="66" t="s">
        <v>5447</v>
      </c>
      <c r="D1650" s="66"/>
      <c r="E1650" s="66"/>
      <c r="F1650" s="66"/>
      <c r="G1650" s="27" t="s">
        <v>5448</v>
      </c>
      <c r="H1650" s="33">
        <v>337</v>
      </c>
      <c r="I1650" s="29"/>
      <c r="J1650" s="25">
        <v>5</v>
      </c>
      <c r="K1650" s="30">
        <v>129.05000000000001</v>
      </c>
      <c r="L1650" s="17"/>
      <c r="M1650" s="29">
        <f t="shared" si="75"/>
        <v>0</v>
      </c>
      <c r="N1650" s="31">
        <f>0.024*L1650</f>
        <v>0</v>
      </c>
      <c r="O1650" s="35">
        <f>0.0001*L1650</f>
        <v>0</v>
      </c>
      <c r="P1650" s="36"/>
      <c r="Q1650" s="29" t="s">
        <v>5449</v>
      </c>
      <c r="R1650" s="29" t="s">
        <v>611</v>
      </c>
      <c r="S1650" s="26" t="str">
        <f>HYPERLINK("https://miland.ru/api/getInfo/image/22124ef1-9901-11eb-a201-ac1f6b442185")</f>
        <v>https://miland.ru/api/getInfo/image/22124ef1-9901-11eb-a201-ac1f6b442185</v>
      </c>
    </row>
    <row r="1651" spans="1:19" s="2" customFormat="1" ht="96.2" customHeight="1" outlineLevel="6">
      <c r="A1651" s="52">
        <v>1289</v>
      </c>
      <c r="B1651" s="26" t="s">
        <v>5450</v>
      </c>
      <c r="C1651" s="66" t="s">
        <v>5451</v>
      </c>
      <c r="D1651" s="66"/>
      <c r="E1651" s="66"/>
      <c r="F1651" s="66"/>
      <c r="G1651" s="27" t="s">
        <v>5452</v>
      </c>
      <c r="H1651" s="33">
        <v>5</v>
      </c>
      <c r="I1651" s="29"/>
      <c r="J1651" s="25">
        <v>5</v>
      </c>
      <c r="K1651" s="30">
        <v>118.72</v>
      </c>
      <c r="L1651" s="17"/>
      <c r="M1651" s="29">
        <f t="shared" si="75"/>
        <v>0</v>
      </c>
      <c r="N1651" s="34">
        <f>0.01*L1651</f>
        <v>0</v>
      </c>
      <c r="O1651" s="32">
        <f>0.00102*L1651</f>
        <v>0</v>
      </c>
      <c r="P1651" s="36"/>
      <c r="Q1651" s="29" t="s">
        <v>5453</v>
      </c>
      <c r="R1651" s="29" t="s">
        <v>611</v>
      </c>
      <c r="S1651" s="26" t="str">
        <f>HYPERLINK("https://miland.ru/api/getInfo/image/4ea9ee5d-9901-11eb-a201-ac1f6b442185")</f>
        <v>https://miland.ru/api/getInfo/image/4ea9ee5d-9901-11eb-a201-ac1f6b442185</v>
      </c>
    </row>
    <row r="1652" spans="1:19" s="2" customFormat="1" ht="96.2" customHeight="1" outlineLevel="6">
      <c r="A1652" s="52">
        <v>1290</v>
      </c>
      <c r="B1652" s="26" t="s">
        <v>5454</v>
      </c>
      <c r="C1652" s="66" t="s">
        <v>5455</v>
      </c>
      <c r="D1652" s="66"/>
      <c r="E1652" s="66"/>
      <c r="F1652" s="66"/>
      <c r="G1652" s="27" t="s">
        <v>5456</v>
      </c>
      <c r="H1652" s="28" t="s">
        <v>44</v>
      </c>
      <c r="I1652" s="29"/>
      <c r="J1652" s="25">
        <v>3</v>
      </c>
      <c r="K1652" s="30">
        <v>262.56</v>
      </c>
      <c r="L1652" s="17"/>
      <c r="M1652" s="29">
        <f t="shared" si="75"/>
        <v>0</v>
      </c>
      <c r="N1652" s="34">
        <f>0.07*L1652</f>
        <v>0</v>
      </c>
      <c r="O1652" s="32">
        <f>0.00588*L1652</f>
        <v>0</v>
      </c>
      <c r="P1652" s="36"/>
      <c r="Q1652" s="29" t="s">
        <v>5457</v>
      </c>
      <c r="R1652" s="29" t="s">
        <v>611</v>
      </c>
      <c r="S1652" s="26" t="str">
        <f>HYPERLINK("https://miland.ru/api/getInfo/image/28774029-9900-11eb-a201-ac1f6b442185")</f>
        <v>https://miland.ru/api/getInfo/image/28774029-9900-11eb-a201-ac1f6b442185</v>
      </c>
    </row>
    <row r="1653" spans="1:19" s="2" customFormat="1" ht="96.2" customHeight="1" outlineLevel="6">
      <c r="A1653" s="53">
        <v>1291</v>
      </c>
      <c r="B1653" s="10" t="s">
        <v>5458</v>
      </c>
      <c r="C1653" s="65" t="s">
        <v>5459</v>
      </c>
      <c r="D1653" s="65"/>
      <c r="E1653" s="65"/>
      <c r="F1653" s="65"/>
      <c r="G1653" s="11" t="s">
        <v>5460</v>
      </c>
      <c r="H1653" s="21" t="s">
        <v>44</v>
      </c>
      <c r="I1653" s="15"/>
      <c r="J1653" s="9">
        <v>10</v>
      </c>
      <c r="K1653" s="16">
        <v>87.62</v>
      </c>
      <c r="L1653" s="17"/>
      <c r="M1653" s="15">
        <f t="shared" si="75"/>
        <v>0</v>
      </c>
      <c r="N1653" s="18">
        <f>0.017*L1653</f>
        <v>0</v>
      </c>
      <c r="O1653" s="19">
        <f>0.00059*L1653</f>
        <v>0</v>
      </c>
      <c r="P1653" s="24" t="s">
        <v>26</v>
      </c>
      <c r="Q1653" s="15" t="s">
        <v>5461</v>
      </c>
      <c r="R1653" s="15"/>
      <c r="S1653" s="10" t="str">
        <f>HYPERLINK("https://miland.ru/api/getInfo/image/bbae748c-58fe-11f1-a295-00155d82e908")</f>
        <v>https://miland.ru/api/getInfo/image/bbae748c-58fe-11f1-a295-00155d82e908</v>
      </c>
    </row>
    <row r="1654" spans="1:19" s="2" customFormat="1" ht="96.2" customHeight="1" outlineLevel="6">
      <c r="A1654" s="52">
        <v>1292</v>
      </c>
      <c r="B1654" s="26" t="s">
        <v>5462</v>
      </c>
      <c r="C1654" s="66" t="s">
        <v>5463</v>
      </c>
      <c r="D1654" s="66"/>
      <c r="E1654" s="66"/>
      <c r="F1654" s="66"/>
      <c r="G1654" s="27" t="s">
        <v>5464</v>
      </c>
      <c r="H1654" s="33">
        <v>12</v>
      </c>
      <c r="I1654" s="29"/>
      <c r="J1654" s="25">
        <v>12</v>
      </c>
      <c r="K1654" s="30">
        <v>77.010000000000005</v>
      </c>
      <c r="L1654" s="17"/>
      <c r="M1654" s="29">
        <f t="shared" si="75"/>
        <v>0</v>
      </c>
      <c r="N1654" s="34">
        <f>0.01*L1654</f>
        <v>0</v>
      </c>
      <c r="O1654" s="32">
        <f>0.00024*L1654</f>
        <v>0</v>
      </c>
      <c r="P1654" s="36"/>
      <c r="Q1654" s="29" t="s">
        <v>5465</v>
      </c>
      <c r="R1654" s="29" t="s">
        <v>611</v>
      </c>
      <c r="S1654" s="26" t="str">
        <f>HYPERLINK("https://miland.ru/api/getInfo/image/d9989798-9902-11eb-a201-ac1f6b442185")</f>
        <v>https://miland.ru/api/getInfo/image/d9989798-9902-11eb-a201-ac1f6b442185</v>
      </c>
    </row>
    <row r="1655" spans="1:19" s="2" customFormat="1" ht="96.2" customHeight="1" outlineLevel="6">
      <c r="A1655" s="52">
        <v>1293</v>
      </c>
      <c r="B1655" s="26" t="s">
        <v>5466</v>
      </c>
      <c r="C1655" s="66" t="s">
        <v>5467</v>
      </c>
      <c r="D1655" s="66"/>
      <c r="E1655" s="66"/>
      <c r="F1655" s="66"/>
      <c r="G1655" s="27" t="s">
        <v>5468</v>
      </c>
      <c r="H1655" s="33">
        <v>349</v>
      </c>
      <c r="I1655" s="29"/>
      <c r="J1655" s="25">
        <v>6</v>
      </c>
      <c r="K1655" s="30">
        <v>93.46</v>
      </c>
      <c r="L1655" s="17"/>
      <c r="M1655" s="29">
        <f t="shared" si="75"/>
        <v>0</v>
      </c>
      <c r="N1655" s="34">
        <f>0.01*L1655</f>
        <v>0</v>
      </c>
      <c r="O1655" s="32">
        <f>0.00102*L1655</f>
        <v>0</v>
      </c>
      <c r="P1655" s="36"/>
      <c r="Q1655" s="29" t="s">
        <v>5469</v>
      </c>
      <c r="R1655" s="29" t="s">
        <v>611</v>
      </c>
      <c r="S1655" s="26" t="str">
        <f>HYPERLINK("https://miland.ru/api/getInfo/image/afc530d6-9902-11eb-a201-ac1f6b442185")</f>
        <v>https://miland.ru/api/getInfo/image/afc530d6-9902-11eb-a201-ac1f6b442185</v>
      </c>
    </row>
    <row r="1656" spans="1:19" s="2" customFormat="1" ht="96.2" customHeight="1" outlineLevel="6">
      <c r="A1656" s="53">
        <v>1294</v>
      </c>
      <c r="B1656" s="10" t="s">
        <v>5470</v>
      </c>
      <c r="C1656" s="65" t="s">
        <v>5471</v>
      </c>
      <c r="D1656" s="65"/>
      <c r="E1656" s="65"/>
      <c r="F1656" s="65"/>
      <c r="G1656" s="11" t="s">
        <v>5472</v>
      </c>
      <c r="H1656" s="21" t="s">
        <v>44</v>
      </c>
      <c r="I1656" s="15"/>
      <c r="J1656" s="9">
        <v>10</v>
      </c>
      <c r="K1656" s="16">
        <v>87.62</v>
      </c>
      <c r="L1656" s="17"/>
      <c r="M1656" s="15">
        <f t="shared" si="75"/>
        <v>0</v>
      </c>
      <c r="N1656" s="18">
        <f>0.017*L1656</f>
        <v>0</v>
      </c>
      <c r="O1656" s="19">
        <f>0.00072*L1656</f>
        <v>0</v>
      </c>
      <c r="P1656" s="24" t="s">
        <v>26</v>
      </c>
      <c r="Q1656" s="15" t="s">
        <v>5473</v>
      </c>
      <c r="R1656" s="15"/>
      <c r="S1656" s="10" t="str">
        <f>HYPERLINK("https://miland.ru/api/getInfo/image/64251af0-58fe-11f1-a295-00155d82e908")</f>
        <v>https://miland.ru/api/getInfo/image/64251af0-58fe-11f1-a295-00155d82e908</v>
      </c>
    </row>
    <row r="1657" spans="1:19" s="1" customFormat="1" ht="12" customHeight="1" outlineLevel="5">
      <c r="A1657" s="64" t="s">
        <v>5474</v>
      </c>
      <c r="B1657" s="64"/>
      <c r="C1657" s="64"/>
      <c r="D1657" s="64"/>
      <c r="E1657" s="64"/>
      <c r="F1657" s="64"/>
      <c r="G1657" s="8"/>
      <c r="H1657" s="12"/>
      <c r="I1657" s="2"/>
      <c r="J1657" s="2"/>
      <c r="K1657" s="13"/>
      <c r="L1657" s="2"/>
      <c r="M1657" s="2"/>
      <c r="N1657" s="2"/>
      <c r="O1657" s="2"/>
      <c r="P1657" s="2"/>
      <c r="Q1657" s="2"/>
      <c r="R1657" s="2"/>
      <c r="S1657" s="2"/>
    </row>
    <row r="1658" spans="1:19" s="2" customFormat="1" ht="96.2" customHeight="1" outlineLevel="6">
      <c r="A1658" s="52">
        <v>1295</v>
      </c>
      <c r="B1658" s="26" t="s">
        <v>5475</v>
      </c>
      <c r="C1658" s="66" t="s">
        <v>5476</v>
      </c>
      <c r="D1658" s="66"/>
      <c r="E1658" s="66"/>
      <c r="F1658" s="66"/>
      <c r="G1658" s="27" t="s">
        <v>5477</v>
      </c>
      <c r="H1658" s="28" t="s">
        <v>44</v>
      </c>
      <c r="I1658" s="29"/>
      <c r="J1658" s="25">
        <v>10</v>
      </c>
      <c r="K1658" s="30">
        <v>76.11</v>
      </c>
      <c r="L1658" s="17"/>
      <c r="M1658" s="29">
        <f t="shared" ref="M1658:M1679" si="76">K1658*L1658</f>
        <v>0</v>
      </c>
      <c r="N1658" s="31">
        <f>0.024*L1658</f>
        <v>0</v>
      </c>
      <c r="O1658" s="32">
        <f>0.00001*L1658</f>
        <v>0</v>
      </c>
      <c r="P1658" s="36"/>
      <c r="Q1658" s="29" t="s">
        <v>5478</v>
      </c>
      <c r="R1658" s="29"/>
      <c r="S1658" s="26" t="str">
        <f>HYPERLINK("https://miland.ru/api/getInfo/image/548c5cdf-7180-11ed-a22a-00155d82e902")</f>
        <v>https://miland.ru/api/getInfo/image/548c5cdf-7180-11ed-a22a-00155d82e902</v>
      </c>
    </row>
    <row r="1659" spans="1:19" s="2" customFormat="1" ht="96.2" customHeight="1" outlineLevel="6">
      <c r="A1659" s="52">
        <v>1296</v>
      </c>
      <c r="B1659" s="26" t="s">
        <v>5479</v>
      </c>
      <c r="C1659" s="66" t="s">
        <v>5480</v>
      </c>
      <c r="D1659" s="66"/>
      <c r="E1659" s="66"/>
      <c r="F1659" s="66"/>
      <c r="G1659" s="27" t="s">
        <v>5481</v>
      </c>
      <c r="H1659" s="28" t="s">
        <v>44</v>
      </c>
      <c r="I1659" s="29"/>
      <c r="J1659" s="25">
        <v>10</v>
      </c>
      <c r="K1659" s="30">
        <v>65.78</v>
      </c>
      <c r="L1659" s="17"/>
      <c r="M1659" s="29">
        <f t="shared" si="76"/>
        <v>0</v>
      </c>
      <c r="N1659" s="31">
        <f>0.017*L1659</f>
        <v>0</v>
      </c>
      <c r="O1659" s="32">
        <f>0.00011*L1659</f>
        <v>0</v>
      </c>
      <c r="P1659" s="36"/>
      <c r="Q1659" s="29" t="s">
        <v>5482</v>
      </c>
      <c r="R1659" s="29"/>
      <c r="S1659" s="26" t="str">
        <f>HYPERLINK("https://miland.ru/api/getInfo/image/4fb0cae5-3931-11e7-977d-5cf3fc4a2490")</f>
        <v>https://miland.ru/api/getInfo/image/4fb0cae5-3931-11e7-977d-5cf3fc4a2490</v>
      </c>
    </row>
    <row r="1660" spans="1:19" s="2" customFormat="1" ht="96.2" customHeight="1" outlineLevel="6">
      <c r="A1660" s="52">
        <v>1297</v>
      </c>
      <c r="B1660" s="26" t="s">
        <v>5483</v>
      </c>
      <c r="C1660" s="66" t="s">
        <v>5484</v>
      </c>
      <c r="D1660" s="66"/>
      <c r="E1660" s="66"/>
      <c r="F1660" s="66"/>
      <c r="G1660" s="27" t="s">
        <v>5485</v>
      </c>
      <c r="H1660" s="28" t="s">
        <v>44</v>
      </c>
      <c r="I1660" s="29"/>
      <c r="J1660" s="25">
        <v>6</v>
      </c>
      <c r="K1660" s="30">
        <v>93.2</v>
      </c>
      <c r="L1660" s="17"/>
      <c r="M1660" s="29">
        <f t="shared" si="76"/>
        <v>0</v>
      </c>
      <c r="N1660" s="31">
        <f>0.021*L1660</f>
        <v>0</v>
      </c>
      <c r="O1660" s="32">
        <f>0.00083*L1660</f>
        <v>0</v>
      </c>
      <c r="P1660" s="36"/>
      <c r="Q1660" s="29" t="s">
        <v>5486</v>
      </c>
      <c r="R1660" s="29"/>
      <c r="S1660" s="26" t="str">
        <f>HYPERLINK("https://miland.ru/api/getInfo/image/2a462998-3931-11e7-977d-5cf3fc4a2490")</f>
        <v>https://miland.ru/api/getInfo/image/2a462998-3931-11e7-977d-5cf3fc4a2490</v>
      </c>
    </row>
    <row r="1661" spans="1:19" s="2" customFormat="1" ht="96.2" customHeight="1" outlineLevel="6">
      <c r="A1661" s="52">
        <v>1298</v>
      </c>
      <c r="B1661" s="26" t="s">
        <v>5487</v>
      </c>
      <c r="C1661" s="66" t="s">
        <v>5488</v>
      </c>
      <c r="D1661" s="66"/>
      <c r="E1661" s="66"/>
      <c r="F1661" s="66"/>
      <c r="G1661" s="27" t="s">
        <v>5489</v>
      </c>
      <c r="H1661" s="33">
        <v>403</v>
      </c>
      <c r="I1661" s="29"/>
      <c r="J1661" s="25">
        <v>5</v>
      </c>
      <c r="K1661" s="30">
        <v>119.6</v>
      </c>
      <c r="L1661" s="17"/>
      <c r="M1661" s="29">
        <f t="shared" si="76"/>
        <v>0</v>
      </c>
      <c r="N1661" s="31">
        <f>0.026*L1661</f>
        <v>0</v>
      </c>
      <c r="O1661" s="32">
        <f>0.00071*L1661</f>
        <v>0</v>
      </c>
      <c r="P1661" s="36"/>
      <c r="Q1661" s="29" t="s">
        <v>5490</v>
      </c>
      <c r="R1661" s="29" t="s">
        <v>611</v>
      </c>
      <c r="S1661" s="26" t="str">
        <f>HYPERLINK("https://miland.ru/api/getInfo/image/8eaa87c7-7182-11ed-a22a-00155d82e902")</f>
        <v>https://miland.ru/api/getInfo/image/8eaa87c7-7182-11ed-a22a-00155d82e902</v>
      </c>
    </row>
    <row r="1662" spans="1:19" s="2" customFormat="1" ht="96.2" customHeight="1" outlineLevel="6">
      <c r="A1662" s="52">
        <v>1299</v>
      </c>
      <c r="B1662" s="26" t="s">
        <v>5491</v>
      </c>
      <c r="C1662" s="66" t="s">
        <v>5492</v>
      </c>
      <c r="D1662" s="66"/>
      <c r="E1662" s="66"/>
      <c r="F1662" s="66"/>
      <c r="G1662" s="27" t="s">
        <v>5493</v>
      </c>
      <c r="H1662" s="33">
        <v>364</v>
      </c>
      <c r="I1662" s="29"/>
      <c r="J1662" s="25">
        <v>5</v>
      </c>
      <c r="K1662" s="30">
        <v>119.6</v>
      </c>
      <c r="L1662" s="17"/>
      <c r="M1662" s="29">
        <f t="shared" si="76"/>
        <v>0</v>
      </c>
      <c r="N1662" s="31">
        <f>0.025*L1662</f>
        <v>0</v>
      </c>
      <c r="O1662" s="32">
        <f>0.00053*L1662</f>
        <v>0</v>
      </c>
      <c r="P1662" s="36"/>
      <c r="Q1662" s="29" t="s">
        <v>5494</v>
      </c>
      <c r="R1662" s="29"/>
      <c r="S1662" s="26" t="str">
        <f>HYPERLINK("https://miland.ru/api/getInfo/image/23271f69-7182-11ed-a22a-00155d82e902")</f>
        <v>https://miland.ru/api/getInfo/image/23271f69-7182-11ed-a22a-00155d82e902</v>
      </c>
    </row>
    <row r="1663" spans="1:19" s="2" customFormat="1" ht="96.2" customHeight="1" outlineLevel="6">
      <c r="A1663" s="52">
        <v>1300</v>
      </c>
      <c r="B1663" s="26" t="s">
        <v>5495</v>
      </c>
      <c r="C1663" s="66" t="s">
        <v>5496</v>
      </c>
      <c r="D1663" s="66"/>
      <c r="E1663" s="66"/>
      <c r="F1663" s="66"/>
      <c r="G1663" s="27" t="s">
        <v>5497</v>
      </c>
      <c r="H1663" s="28" t="s">
        <v>44</v>
      </c>
      <c r="I1663" s="29"/>
      <c r="J1663" s="25">
        <v>4</v>
      </c>
      <c r="K1663" s="30">
        <v>137.21</v>
      </c>
      <c r="L1663" s="17"/>
      <c r="M1663" s="29">
        <f t="shared" si="76"/>
        <v>0</v>
      </c>
      <c r="N1663" s="31">
        <f>0.022*L1663</f>
        <v>0</v>
      </c>
      <c r="O1663" s="32">
        <f>0.00059*L1663</f>
        <v>0</v>
      </c>
      <c r="P1663" s="36"/>
      <c r="Q1663" s="29" t="s">
        <v>5498</v>
      </c>
      <c r="R1663" s="29" t="s">
        <v>611</v>
      </c>
      <c r="S1663" s="26" t="str">
        <f>HYPERLINK("https://miland.ru/api/getInfo/image/b4932b23-7181-11ed-a22a-00155d82e902")</f>
        <v>https://miland.ru/api/getInfo/image/b4932b23-7181-11ed-a22a-00155d82e902</v>
      </c>
    </row>
    <row r="1664" spans="1:19" s="2" customFormat="1" ht="96.2" customHeight="1" outlineLevel="6">
      <c r="A1664" s="52">
        <v>1301</v>
      </c>
      <c r="B1664" s="26" t="s">
        <v>5499</v>
      </c>
      <c r="C1664" s="66" t="s">
        <v>5500</v>
      </c>
      <c r="D1664" s="66"/>
      <c r="E1664" s="66"/>
      <c r="F1664" s="66"/>
      <c r="G1664" s="27" t="s">
        <v>5501</v>
      </c>
      <c r="H1664" s="28" t="s">
        <v>44</v>
      </c>
      <c r="I1664" s="29"/>
      <c r="J1664" s="25">
        <v>4</v>
      </c>
      <c r="K1664" s="30">
        <v>137.21</v>
      </c>
      <c r="L1664" s="17"/>
      <c r="M1664" s="29">
        <f t="shared" si="76"/>
        <v>0</v>
      </c>
      <c r="N1664" s="31">
        <f>0.021*L1664</f>
        <v>0</v>
      </c>
      <c r="O1664" s="32">
        <f>0.00037*L1664</f>
        <v>0</v>
      </c>
      <c r="P1664" s="36"/>
      <c r="Q1664" s="29" t="s">
        <v>5502</v>
      </c>
      <c r="R1664" s="29"/>
      <c r="S1664" s="26" t="str">
        <f>HYPERLINK("https://miland.ru/api/getInfo/image/2277144e-7181-11ed-a22a-00155d82e902")</f>
        <v>https://miland.ru/api/getInfo/image/2277144e-7181-11ed-a22a-00155d82e902</v>
      </c>
    </row>
    <row r="1665" spans="1:19" s="2" customFormat="1" ht="96.2" customHeight="1" outlineLevel="6">
      <c r="A1665" s="52">
        <v>1302</v>
      </c>
      <c r="B1665" s="26" t="s">
        <v>5503</v>
      </c>
      <c r="C1665" s="66" t="s">
        <v>5504</v>
      </c>
      <c r="D1665" s="66"/>
      <c r="E1665" s="66"/>
      <c r="F1665" s="66"/>
      <c r="G1665" s="27" t="s">
        <v>5505</v>
      </c>
      <c r="H1665" s="33">
        <v>2</v>
      </c>
      <c r="I1665" s="29"/>
      <c r="J1665" s="25">
        <v>2</v>
      </c>
      <c r="K1665" s="30">
        <v>94.61</v>
      </c>
      <c r="L1665" s="17"/>
      <c r="M1665" s="29">
        <f t="shared" si="76"/>
        <v>0</v>
      </c>
      <c r="N1665" s="31">
        <f>0.027*L1665</f>
        <v>0</v>
      </c>
      <c r="O1665" s="32">
        <f>0.00043*L1665</f>
        <v>0</v>
      </c>
      <c r="P1665" s="36"/>
      <c r="Q1665" s="29" t="s">
        <v>5506</v>
      </c>
      <c r="R1665" s="29" t="s">
        <v>611</v>
      </c>
      <c r="S1665" s="26" t="str">
        <f>HYPERLINK("https://miland.ru/api/getInfo/image/00d600fe-a552-11ee-a258-00155d82e908")</f>
        <v>https://miland.ru/api/getInfo/image/00d600fe-a552-11ee-a258-00155d82e908</v>
      </c>
    </row>
    <row r="1666" spans="1:19" s="2" customFormat="1" ht="96.2" customHeight="1" outlineLevel="6">
      <c r="A1666" s="52">
        <v>1303</v>
      </c>
      <c r="B1666" s="26" t="s">
        <v>5507</v>
      </c>
      <c r="C1666" s="66" t="s">
        <v>5508</v>
      </c>
      <c r="D1666" s="66"/>
      <c r="E1666" s="66"/>
      <c r="F1666" s="66"/>
      <c r="G1666" s="27" t="s">
        <v>5509</v>
      </c>
      <c r="H1666" s="33">
        <v>364</v>
      </c>
      <c r="I1666" s="29"/>
      <c r="J1666" s="25">
        <v>1</v>
      </c>
      <c r="K1666" s="30">
        <v>119.6</v>
      </c>
      <c r="L1666" s="17"/>
      <c r="M1666" s="29">
        <f t="shared" si="76"/>
        <v>0</v>
      </c>
      <c r="N1666" s="31">
        <f>0.021*L1666</f>
        <v>0</v>
      </c>
      <c r="O1666" s="32">
        <f>0.00036*L1666</f>
        <v>0</v>
      </c>
      <c r="P1666" s="36"/>
      <c r="Q1666" s="29" t="s">
        <v>5510</v>
      </c>
      <c r="R1666" s="29"/>
      <c r="S1666" s="26" t="str">
        <f>HYPERLINK("https://miland.ru/api/getInfo/image/aabcff65-a79a-11f1-a29f-00155d82e908")</f>
        <v>https://miland.ru/api/getInfo/image/aabcff65-a79a-11f1-a29f-00155d82e908</v>
      </c>
    </row>
    <row r="1667" spans="1:19" s="2" customFormat="1" ht="96.2" customHeight="1" outlineLevel="6">
      <c r="A1667" s="52">
        <v>1304</v>
      </c>
      <c r="B1667" s="26" t="s">
        <v>5511</v>
      </c>
      <c r="C1667" s="66" t="s">
        <v>5512</v>
      </c>
      <c r="D1667" s="66"/>
      <c r="E1667" s="66"/>
      <c r="F1667" s="66"/>
      <c r="G1667" s="27" t="s">
        <v>5513</v>
      </c>
      <c r="H1667" s="33">
        <v>453</v>
      </c>
      <c r="I1667" s="29"/>
      <c r="J1667" s="25">
        <v>1</v>
      </c>
      <c r="K1667" s="30">
        <v>137.21</v>
      </c>
      <c r="L1667" s="17"/>
      <c r="M1667" s="29">
        <f t="shared" si="76"/>
        <v>0</v>
      </c>
      <c r="N1667" s="31">
        <f>0.021*L1667</f>
        <v>0</v>
      </c>
      <c r="O1667" s="32">
        <f>0.00028*L1667</f>
        <v>0</v>
      </c>
      <c r="P1667" s="36"/>
      <c r="Q1667" s="29" t="s">
        <v>5514</v>
      </c>
      <c r="R1667" s="29"/>
      <c r="S1667" s="26" t="str">
        <f>HYPERLINK("https://miland.ru/api/getInfo/image/bb57f559-a76f-11f1-a29f-00155d82e908")</f>
        <v>https://miland.ru/api/getInfo/image/bb57f559-a76f-11f1-a29f-00155d82e908</v>
      </c>
    </row>
    <row r="1668" spans="1:19" s="2" customFormat="1" ht="96.2" customHeight="1" outlineLevel="6">
      <c r="A1668" s="52">
        <v>1305</v>
      </c>
      <c r="B1668" s="26" t="s">
        <v>5515</v>
      </c>
      <c r="C1668" s="66" t="s">
        <v>5516</v>
      </c>
      <c r="D1668" s="66"/>
      <c r="E1668" s="66"/>
      <c r="F1668" s="66"/>
      <c r="G1668" s="27" t="s">
        <v>5517</v>
      </c>
      <c r="H1668" s="28" t="s">
        <v>44</v>
      </c>
      <c r="I1668" s="29"/>
      <c r="J1668" s="25">
        <v>4</v>
      </c>
      <c r="K1668" s="30">
        <v>170.87</v>
      </c>
      <c r="L1668" s="17"/>
      <c r="M1668" s="29">
        <f t="shared" si="76"/>
        <v>0</v>
      </c>
      <c r="N1668" s="31">
        <f>0.033*L1668</f>
        <v>0</v>
      </c>
      <c r="O1668" s="32">
        <f>0.00043*L1668</f>
        <v>0</v>
      </c>
      <c r="P1668" s="36"/>
      <c r="Q1668" s="29" t="s">
        <v>5518</v>
      </c>
      <c r="R1668" s="29"/>
      <c r="S1668" s="26" t="str">
        <f>HYPERLINK("https://miland.ru/api/getInfo/image/a4933f98-7184-11ed-a22a-00155d82e902")</f>
        <v>https://miland.ru/api/getInfo/image/a4933f98-7184-11ed-a22a-00155d82e902</v>
      </c>
    </row>
    <row r="1669" spans="1:19" s="2" customFormat="1" ht="96.2" customHeight="1" outlineLevel="6">
      <c r="A1669" s="52">
        <v>1306</v>
      </c>
      <c r="B1669" s="26" t="s">
        <v>5519</v>
      </c>
      <c r="C1669" s="66" t="s">
        <v>5520</v>
      </c>
      <c r="D1669" s="66"/>
      <c r="E1669" s="66"/>
      <c r="F1669" s="66"/>
      <c r="G1669" s="27" t="s">
        <v>5521</v>
      </c>
      <c r="H1669" s="28" t="s">
        <v>44</v>
      </c>
      <c r="I1669" s="29"/>
      <c r="J1669" s="25">
        <v>10</v>
      </c>
      <c r="K1669" s="30">
        <v>78.83</v>
      </c>
      <c r="L1669" s="17"/>
      <c r="M1669" s="29">
        <f t="shared" si="76"/>
        <v>0</v>
      </c>
      <c r="N1669" s="31">
        <f>15.449*L1669</f>
        <v>0</v>
      </c>
      <c r="O1669" s="32">
        <f>0.00031*L1669</f>
        <v>0</v>
      </c>
      <c r="P1669" s="36"/>
      <c r="Q1669" s="29" t="s">
        <v>5522</v>
      </c>
      <c r="R1669" s="29"/>
      <c r="S1669" s="26" t="str">
        <f>HYPERLINK("https://miland.ru/api/getInfo/image/b253681a-717e-11ed-a22a-00155d82e902")</f>
        <v>https://miland.ru/api/getInfo/image/b253681a-717e-11ed-a22a-00155d82e902</v>
      </c>
    </row>
    <row r="1670" spans="1:19" s="2" customFormat="1" ht="96.2" customHeight="1" outlineLevel="6">
      <c r="A1670" s="52">
        <v>1307</v>
      </c>
      <c r="B1670" s="26" t="s">
        <v>5523</v>
      </c>
      <c r="C1670" s="66" t="s">
        <v>5524</v>
      </c>
      <c r="D1670" s="66"/>
      <c r="E1670" s="66"/>
      <c r="F1670" s="66"/>
      <c r="G1670" s="27" t="s">
        <v>5525</v>
      </c>
      <c r="H1670" s="28" t="s">
        <v>44</v>
      </c>
      <c r="I1670" s="29"/>
      <c r="J1670" s="25">
        <v>6</v>
      </c>
      <c r="K1670" s="30">
        <v>98.38</v>
      </c>
      <c r="L1670" s="17"/>
      <c r="M1670" s="29">
        <f t="shared" si="76"/>
        <v>0</v>
      </c>
      <c r="N1670" s="31">
        <f>0.026*L1670</f>
        <v>0</v>
      </c>
      <c r="O1670" s="32">
        <f>0.02839*L1670</f>
        <v>0</v>
      </c>
      <c r="P1670" s="36"/>
      <c r="Q1670" s="29" t="s">
        <v>5526</v>
      </c>
      <c r="R1670" s="29"/>
      <c r="S1670" s="26" t="str">
        <f>HYPERLINK("https://miland.ru/api/getInfo/image/b763f3d6-7180-11ed-a22a-00155d82e902")</f>
        <v>https://miland.ru/api/getInfo/image/b763f3d6-7180-11ed-a22a-00155d82e902</v>
      </c>
    </row>
    <row r="1671" spans="1:19" s="2" customFormat="1" ht="96.2" customHeight="1" outlineLevel="6">
      <c r="A1671" s="52">
        <v>1308</v>
      </c>
      <c r="B1671" s="26" t="s">
        <v>5527</v>
      </c>
      <c r="C1671" s="66" t="s">
        <v>5528</v>
      </c>
      <c r="D1671" s="66"/>
      <c r="E1671" s="66"/>
      <c r="F1671" s="66"/>
      <c r="G1671" s="27" t="s">
        <v>5529</v>
      </c>
      <c r="H1671" s="28" t="s">
        <v>44</v>
      </c>
      <c r="I1671" s="29"/>
      <c r="J1671" s="25">
        <v>10</v>
      </c>
      <c r="K1671" s="30">
        <v>85.43</v>
      </c>
      <c r="L1671" s="17"/>
      <c r="M1671" s="29">
        <f t="shared" si="76"/>
        <v>0</v>
      </c>
      <c r="N1671" s="31">
        <f>0.026*L1671</f>
        <v>0</v>
      </c>
      <c r="O1671" s="32">
        <f>0.00071*L1671</f>
        <v>0</v>
      </c>
      <c r="P1671" s="36"/>
      <c r="Q1671" s="29" t="s">
        <v>5530</v>
      </c>
      <c r="R1671" s="29"/>
      <c r="S1671" s="26" t="str">
        <f>HYPERLINK("https://miland.ru/api/getInfo/image/39129f9a-7184-11ed-a22a-00155d82e902")</f>
        <v>https://miland.ru/api/getInfo/image/39129f9a-7184-11ed-a22a-00155d82e902</v>
      </c>
    </row>
    <row r="1672" spans="1:19" s="2" customFormat="1" ht="96.2" customHeight="1" outlineLevel="6">
      <c r="A1672" s="52">
        <v>1309</v>
      </c>
      <c r="B1672" s="26" t="s">
        <v>5531</v>
      </c>
      <c r="C1672" s="66" t="s">
        <v>5532</v>
      </c>
      <c r="D1672" s="66"/>
      <c r="E1672" s="66"/>
      <c r="F1672" s="66"/>
      <c r="G1672" s="27" t="s">
        <v>5533</v>
      </c>
      <c r="H1672" s="33">
        <v>493</v>
      </c>
      <c r="I1672" s="29"/>
      <c r="J1672" s="25">
        <v>10</v>
      </c>
      <c r="K1672" s="30">
        <v>56.96</v>
      </c>
      <c r="L1672" s="17"/>
      <c r="M1672" s="29">
        <f t="shared" si="76"/>
        <v>0</v>
      </c>
      <c r="N1672" s="31">
        <f>0.022*L1672</f>
        <v>0</v>
      </c>
      <c r="O1672" s="32">
        <f>0.00046*L1672</f>
        <v>0</v>
      </c>
      <c r="P1672" s="36"/>
      <c r="Q1672" s="29" t="s">
        <v>5534</v>
      </c>
      <c r="R1672" s="29"/>
      <c r="S1672" s="26" t="str">
        <f>HYPERLINK("https://miland.ru/api/getInfo/image/fd8474a9-717d-11ed-a22a-00155d82e902")</f>
        <v>https://miland.ru/api/getInfo/image/fd8474a9-717d-11ed-a22a-00155d82e902</v>
      </c>
    </row>
    <row r="1673" spans="1:19" s="2" customFormat="1" ht="96.2" customHeight="1" outlineLevel="6">
      <c r="A1673" s="52">
        <v>1310</v>
      </c>
      <c r="B1673" s="26" t="s">
        <v>5535</v>
      </c>
      <c r="C1673" s="66" t="s">
        <v>5536</v>
      </c>
      <c r="D1673" s="66"/>
      <c r="E1673" s="66"/>
      <c r="F1673" s="66"/>
      <c r="G1673" s="27" t="s">
        <v>5537</v>
      </c>
      <c r="H1673" s="33">
        <v>150</v>
      </c>
      <c r="I1673" s="29"/>
      <c r="J1673" s="25">
        <v>10</v>
      </c>
      <c r="K1673" s="30">
        <v>64.53</v>
      </c>
      <c r="L1673" s="17"/>
      <c r="M1673" s="29">
        <f t="shared" si="76"/>
        <v>0</v>
      </c>
      <c r="N1673" s="31">
        <f>0.018*L1673</f>
        <v>0</v>
      </c>
      <c r="O1673" s="32">
        <f>0.00043*L1673</f>
        <v>0</v>
      </c>
      <c r="P1673" s="36"/>
      <c r="Q1673" s="29" t="s">
        <v>5538</v>
      </c>
      <c r="R1673" s="29" t="s">
        <v>611</v>
      </c>
      <c r="S1673" s="26" t="str">
        <f>HYPERLINK("https://miland.ru/api/getInfo/image/63f1d1d4-9903-11eb-a201-ac1f6b442185")</f>
        <v>https://miland.ru/api/getInfo/image/63f1d1d4-9903-11eb-a201-ac1f6b442185</v>
      </c>
    </row>
    <row r="1674" spans="1:19" s="2" customFormat="1" ht="96.2" customHeight="1" outlineLevel="6">
      <c r="A1674" s="52">
        <v>1311</v>
      </c>
      <c r="B1674" s="26" t="s">
        <v>5539</v>
      </c>
      <c r="C1674" s="66" t="s">
        <v>5540</v>
      </c>
      <c r="D1674" s="66"/>
      <c r="E1674" s="66"/>
      <c r="F1674" s="66"/>
      <c r="G1674" s="27" t="s">
        <v>5541</v>
      </c>
      <c r="H1674" s="28" t="s">
        <v>44</v>
      </c>
      <c r="I1674" s="29"/>
      <c r="J1674" s="25">
        <v>10</v>
      </c>
      <c r="K1674" s="30">
        <v>65.78</v>
      </c>
      <c r="L1674" s="17"/>
      <c r="M1674" s="29">
        <f t="shared" si="76"/>
        <v>0</v>
      </c>
      <c r="N1674" s="31">
        <f>0.012*L1674</f>
        <v>0</v>
      </c>
      <c r="O1674" s="32">
        <f>0.00045*L1674</f>
        <v>0</v>
      </c>
      <c r="P1674" s="36"/>
      <c r="Q1674" s="29" t="s">
        <v>5542</v>
      </c>
      <c r="R1674" s="29"/>
      <c r="S1674" s="26" t="str">
        <f>HYPERLINK("https://miland.ru/api/getInfo/image/97ce91bc-a54a-11ee-a258-00155d82e908")</f>
        <v>https://miland.ru/api/getInfo/image/97ce91bc-a54a-11ee-a258-00155d82e908</v>
      </c>
    </row>
    <row r="1675" spans="1:19" s="2" customFormat="1" ht="96.2" customHeight="1" outlineLevel="6">
      <c r="A1675" s="52">
        <v>1312</v>
      </c>
      <c r="B1675" s="26" t="s">
        <v>5543</v>
      </c>
      <c r="C1675" s="66" t="s">
        <v>5544</v>
      </c>
      <c r="D1675" s="66"/>
      <c r="E1675" s="66"/>
      <c r="F1675" s="66"/>
      <c r="G1675" s="27" t="s">
        <v>5545</v>
      </c>
      <c r="H1675" s="28" t="s">
        <v>44</v>
      </c>
      <c r="I1675" s="29"/>
      <c r="J1675" s="25">
        <v>10</v>
      </c>
      <c r="K1675" s="30">
        <v>65.78</v>
      </c>
      <c r="L1675" s="17"/>
      <c r="M1675" s="29">
        <f t="shared" si="76"/>
        <v>0</v>
      </c>
      <c r="N1675" s="31">
        <f>0.013*L1675</f>
        <v>0</v>
      </c>
      <c r="O1675" s="32">
        <f>0.00208*L1675</f>
        <v>0</v>
      </c>
      <c r="P1675" s="36"/>
      <c r="Q1675" s="29" t="s">
        <v>5546</v>
      </c>
      <c r="R1675" s="29"/>
      <c r="S1675" s="26" t="str">
        <f>HYPERLINK("https://miland.ru/api/getInfo/image/12180e81-a54e-11ee-a258-00155d82e908")</f>
        <v>https://miland.ru/api/getInfo/image/12180e81-a54e-11ee-a258-00155d82e908</v>
      </c>
    </row>
    <row r="1676" spans="1:19" s="2" customFormat="1" ht="96.2" customHeight="1" outlineLevel="6">
      <c r="A1676" s="52">
        <v>1313</v>
      </c>
      <c r="B1676" s="26" t="s">
        <v>5547</v>
      </c>
      <c r="C1676" s="66" t="s">
        <v>5548</v>
      </c>
      <c r="D1676" s="66"/>
      <c r="E1676" s="66"/>
      <c r="F1676" s="66"/>
      <c r="G1676" s="27" t="s">
        <v>5549</v>
      </c>
      <c r="H1676" s="28" t="s">
        <v>44</v>
      </c>
      <c r="I1676" s="29"/>
      <c r="J1676" s="25">
        <v>10</v>
      </c>
      <c r="K1676" s="30">
        <v>65.78</v>
      </c>
      <c r="L1676" s="17"/>
      <c r="M1676" s="29">
        <f t="shared" si="76"/>
        <v>0</v>
      </c>
      <c r="N1676" s="31">
        <f>0.013*L1676</f>
        <v>0</v>
      </c>
      <c r="O1676" s="32">
        <f>0.03621*L1676</f>
        <v>0</v>
      </c>
      <c r="P1676" s="36"/>
      <c r="Q1676" s="29" t="s">
        <v>5550</v>
      </c>
      <c r="R1676" s="29"/>
      <c r="S1676" s="26" t="str">
        <f>HYPERLINK("https://miland.ru/api/getInfo/image/e1224339-a54d-11ee-a258-00155d82e908")</f>
        <v>https://miland.ru/api/getInfo/image/e1224339-a54d-11ee-a258-00155d82e908</v>
      </c>
    </row>
    <row r="1677" spans="1:19" s="2" customFormat="1" ht="96.2" customHeight="1" outlineLevel="6">
      <c r="A1677" s="52">
        <v>1314</v>
      </c>
      <c r="B1677" s="26" t="s">
        <v>5551</v>
      </c>
      <c r="C1677" s="66" t="s">
        <v>5552</v>
      </c>
      <c r="D1677" s="66"/>
      <c r="E1677" s="66"/>
      <c r="F1677" s="66"/>
      <c r="G1677" s="27" t="s">
        <v>5553</v>
      </c>
      <c r="H1677" s="33">
        <v>4</v>
      </c>
      <c r="I1677" s="29"/>
      <c r="J1677" s="25">
        <v>4</v>
      </c>
      <c r="K1677" s="30">
        <v>86.8</v>
      </c>
      <c r="L1677" s="17"/>
      <c r="M1677" s="29">
        <f t="shared" si="76"/>
        <v>0</v>
      </c>
      <c r="N1677" s="31">
        <f>0.023*L1677</f>
        <v>0</v>
      </c>
      <c r="O1677" s="32">
        <f>0.00108*L1677</f>
        <v>0</v>
      </c>
      <c r="P1677" s="36"/>
      <c r="Q1677" s="29" t="s">
        <v>5554</v>
      </c>
      <c r="R1677" s="29" t="s">
        <v>611</v>
      </c>
      <c r="S1677" s="26" t="str">
        <f>HYPERLINK("https://miland.ru/api/getInfo/image/c0170d4d-9903-11eb-a201-ac1f6b442185")</f>
        <v>https://miland.ru/api/getInfo/image/c0170d4d-9903-11eb-a201-ac1f6b442185</v>
      </c>
    </row>
    <row r="1678" spans="1:19" s="2" customFormat="1" ht="96.2" customHeight="1" outlineLevel="6">
      <c r="A1678" s="52">
        <v>1315</v>
      </c>
      <c r="B1678" s="26" t="s">
        <v>5555</v>
      </c>
      <c r="C1678" s="66" t="s">
        <v>5556</v>
      </c>
      <c r="D1678" s="66"/>
      <c r="E1678" s="66"/>
      <c r="F1678" s="66"/>
      <c r="G1678" s="27" t="s">
        <v>5557</v>
      </c>
      <c r="H1678" s="33">
        <v>221</v>
      </c>
      <c r="I1678" s="29"/>
      <c r="J1678" s="25">
        <v>10</v>
      </c>
      <c r="K1678" s="30">
        <v>59.8</v>
      </c>
      <c r="L1678" s="17"/>
      <c r="M1678" s="29">
        <f t="shared" si="76"/>
        <v>0</v>
      </c>
      <c r="N1678" s="31">
        <f>0.031*L1678</f>
        <v>0</v>
      </c>
      <c r="O1678" s="35">
        <f>0.0006*L1678</f>
        <v>0</v>
      </c>
      <c r="P1678" s="36"/>
      <c r="Q1678" s="29" t="s">
        <v>5558</v>
      </c>
      <c r="R1678" s="29"/>
      <c r="S1678" s="26" t="str">
        <f>HYPERLINK("https://miland.ru/api/getInfo/image/f5185636-52b1-11e8-b825-5cf3fc4a2490")</f>
        <v>https://miland.ru/api/getInfo/image/f5185636-52b1-11e8-b825-5cf3fc4a2490</v>
      </c>
    </row>
    <row r="1679" spans="1:19" s="2" customFormat="1" ht="96.2" customHeight="1" outlineLevel="6">
      <c r="A1679" s="52">
        <v>1316</v>
      </c>
      <c r="B1679" s="26" t="s">
        <v>5559</v>
      </c>
      <c r="C1679" s="66" t="s">
        <v>5560</v>
      </c>
      <c r="D1679" s="66"/>
      <c r="E1679" s="66"/>
      <c r="F1679" s="66"/>
      <c r="G1679" s="27" t="s">
        <v>5561</v>
      </c>
      <c r="H1679" s="28" t="s">
        <v>44</v>
      </c>
      <c r="I1679" s="29"/>
      <c r="J1679" s="25">
        <v>10</v>
      </c>
      <c r="K1679" s="30">
        <v>68.77</v>
      </c>
      <c r="L1679" s="17"/>
      <c r="M1679" s="29">
        <f t="shared" si="76"/>
        <v>0</v>
      </c>
      <c r="N1679" s="34">
        <f>0.02*L1679</f>
        <v>0</v>
      </c>
      <c r="O1679" s="32">
        <f>0.00011*L1679</f>
        <v>0</v>
      </c>
      <c r="P1679" s="36"/>
      <c r="Q1679" s="29" t="s">
        <v>5562</v>
      </c>
      <c r="R1679" s="29"/>
      <c r="S1679" s="26" t="str">
        <f>HYPERLINK("https://miland.ru/api/getInfo/image/242826b1-52b7-11e8-b825-5cf3fc4a2490")</f>
        <v>https://miland.ru/api/getInfo/image/242826b1-52b7-11e8-b825-5cf3fc4a2490</v>
      </c>
    </row>
    <row r="1680" spans="1:19" s="1" customFormat="1" ht="12" customHeight="1" outlineLevel="4">
      <c r="A1680" s="64" t="s">
        <v>5563</v>
      </c>
      <c r="B1680" s="64"/>
      <c r="C1680" s="64"/>
      <c r="D1680" s="64"/>
      <c r="E1680" s="64"/>
      <c r="F1680" s="64"/>
      <c r="G1680" s="8"/>
      <c r="H1680" s="12"/>
      <c r="I1680" s="2"/>
      <c r="J1680" s="2"/>
      <c r="K1680" s="13"/>
      <c r="L1680" s="2"/>
      <c r="M1680" s="2"/>
      <c r="N1680" s="2"/>
      <c r="O1680" s="2"/>
      <c r="P1680" s="2"/>
      <c r="Q1680" s="2"/>
      <c r="R1680" s="2"/>
      <c r="S1680" s="2"/>
    </row>
    <row r="1681" spans="1:19" s="2" customFormat="1" ht="96.2" customHeight="1" outlineLevel="5">
      <c r="A1681" s="52">
        <v>1317</v>
      </c>
      <c r="B1681" s="26" t="s">
        <v>5564</v>
      </c>
      <c r="C1681" s="66" t="s">
        <v>5565</v>
      </c>
      <c r="D1681" s="66"/>
      <c r="E1681" s="66"/>
      <c r="F1681" s="66"/>
      <c r="G1681" s="27" t="s">
        <v>5566</v>
      </c>
      <c r="H1681" s="28" t="s">
        <v>44</v>
      </c>
      <c r="I1681" s="29"/>
      <c r="J1681" s="25">
        <v>5</v>
      </c>
      <c r="K1681" s="30">
        <v>151.54</v>
      </c>
      <c r="L1681" s="17"/>
      <c r="M1681" s="29">
        <f t="shared" ref="M1681:M1691" si="77">K1681*L1681</f>
        <v>0</v>
      </c>
      <c r="N1681" s="31">
        <f>0.051*L1681</f>
        <v>0</v>
      </c>
      <c r="O1681" s="32">
        <f>0.00035*L1681</f>
        <v>0</v>
      </c>
      <c r="P1681" s="36"/>
      <c r="Q1681" s="29" t="s">
        <v>5567</v>
      </c>
      <c r="R1681" s="29"/>
      <c r="S1681" s="26" t="str">
        <f>HYPERLINK("https://miland.ru/api/getInfo/image/41d97b55-f8a2-11ee-a25d-00155d82e908")</f>
        <v>https://miland.ru/api/getInfo/image/41d97b55-f8a2-11ee-a25d-00155d82e908</v>
      </c>
    </row>
    <row r="1682" spans="1:19" s="2" customFormat="1" ht="96.2" customHeight="1" outlineLevel="5">
      <c r="A1682" s="52">
        <v>1318</v>
      </c>
      <c r="B1682" s="26" t="s">
        <v>5568</v>
      </c>
      <c r="C1682" s="66" t="s">
        <v>5569</v>
      </c>
      <c r="D1682" s="66"/>
      <c r="E1682" s="66"/>
      <c r="F1682" s="66"/>
      <c r="G1682" s="27" t="s">
        <v>5570</v>
      </c>
      <c r="H1682" s="28" t="s">
        <v>44</v>
      </c>
      <c r="I1682" s="29"/>
      <c r="J1682" s="25">
        <v>10</v>
      </c>
      <c r="K1682" s="30">
        <v>59.14</v>
      </c>
      <c r="L1682" s="17"/>
      <c r="M1682" s="29">
        <f t="shared" si="77"/>
        <v>0</v>
      </c>
      <c r="N1682" s="31">
        <f>0.041*L1682</f>
        <v>0</v>
      </c>
      <c r="O1682" s="32">
        <f>0.00027*L1682</f>
        <v>0</v>
      </c>
      <c r="P1682" s="36"/>
      <c r="Q1682" s="29" t="s">
        <v>5571</v>
      </c>
      <c r="R1682" s="29"/>
      <c r="S1682" s="26" t="str">
        <f>HYPERLINK("https://miland.ru/api/getInfo/image/368357ff-c701-11ed-a230-00155d82e902")</f>
        <v>https://miland.ru/api/getInfo/image/368357ff-c701-11ed-a230-00155d82e902</v>
      </c>
    </row>
    <row r="1683" spans="1:19" s="2" customFormat="1" ht="96.2" customHeight="1" outlineLevel="5">
      <c r="A1683" s="52">
        <v>1319</v>
      </c>
      <c r="B1683" s="26" t="s">
        <v>5572</v>
      </c>
      <c r="C1683" s="66" t="s">
        <v>5573</v>
      </c>
      <c r="D1683" s="66"/>
      <c r="E1683" s="66"/>
      <c r="F1683" s="66"/>
      <c r="G1683" s="27" t="s">
        <v>5574</v>
      </c>
      <c r="H1683" s="33">
        <v>310</v>
      </c>
      <c r="I1683" s="29"/>
      <c r="J1683" s="25">
        <v>10</v>
      </c>
      <c r="K1683" s="30">
        <v>59.14</v>
      </c>
      <c r="L1683" s="17"/>
      <c r="M1683" s="29">
        <f t="shared" si="77"/>
        <v>0</v>
      </c>
      <c r="N1683" s="34">
        <f>0.02*L1683</f>
        <v>0</v>
      </c>
      <c r="O1683" s="35">
        <f>0.0002*L1683</f>
        <v>0</v>
      </c>
      <c r="P1683" s="36"/>
      <c r="Q1683" s="29" t="s">
        <v>5575</v>
      </c>
      <c r="R1683" s="29"/>
      <c r="S1683" s="26" t="str">
        <f>HYPERLINK("https://miland.ru/api/getInfo/image/33d16a3f-c700-11ed-a230-00155d82e902")</f>
        <v>https://miland.ru/api/getInfo/image/33d16a3f-c700-11ed-a230-00155d82e902</v>
      </c>
    </row>
    <row r="1684" spans="1:19" s="2" customFormat="1" ht="96.2" customHeight="1" outlineLevel="5">
      <c r="A1684" s="52">
        <v>1320</v>
      </c>
      <c r="B1684" s="26" t="s">
        <v>5576</v>
      </c>
      <c r="C1684" s="66" t="s">
        <v>5577</v>
      </c>
      <c r="D1684" s="66"/>
      <c r="E1684" s="66"/>
      <c r="F1684" s="66"/>
      <c r="G1684" s="27" t="s">
        <v>5578</v>
      </c>
      <c r="H1684" s="33">
        <v>113</v>
      </c>
      <c r="I1684" s="29"/>
      <c r="J1684" s="25">
        <v>10</v>
      </c>
      <c r="K1684" s="30">
        <v>59.14</v>
      </c>
      <c r="L1684" s="17"/>
      <c r="M1684" s="29">
        <f t="shared" si="77"/>
        <v>0</v>
      </c>
      <c r="N1684" s="31">
        <f>0.022*L1684</f>
        <v>0</v>
      </c>
      <c r="O1684" s="32">
        <f>0.00023*L1684</f>
        <v>0</v>
      </c>
      <c r="P1684" s="36"/>
      <c r="Q1684" s="29" t="s">
        <v>5579</v>
      </c>
      <c r="R1684" s="29"/>
      <c r="S1684" s="26" t="str">
        <f>HYPERLINK("https://miland.ru/api/getInfo/image/2dffc063-c6fe-11ed-a230-00155d82e902")</f>
        <v>https://miland.ru/api/getInfo/image/2dffc063-c6fe-11ed-a230-00155d82e902</v>
      </c>
    </row>
    <row r="1685" spans="1:19" s="2" customFormat="1" ht="96.2" customHeight="1" outlineLevel="5">
      <c r="A1685" s="52">
        <v>1321</v>
      </c>
      <c r="B1685" s="26" t="s">
        <v>5580</v>
      </c>
      <c r="C1685" s="66" t="s">
        <v>5581</v>
      </c>
      <c r="D1685" s="66"/>
      <c r="E1685" s="66"/>
      <c r="F1685" s="66"/>
      <c r="G1685" s="27" t="s">
        <v>5582</v>
      </c>
      <c r="H1685" s="33">
        <v>454</v>
      </c>
      <c r="I1685" s="29"/>
      <c r="J1685" s="25">
        <v>6</v>
      </c>
      <c r="K1685" s="30">
        <v>96.78</v>
      </c>
      <c r="L1685" s="17"/>
      <c r="M1685" s="29">
        <f t="shared" si="77"/>
        <v>0</v>
      </c>
      <c r="N1685" s="31">
        <f>0.035*L1685</f>
        <v>0</v>
      </c>
      <c r="O1685" s="32">
        <f>0.00024*L1685</f>
        <v>0</v>
      </c>
      <c r="P1685" s="36"/>
      <c r="Q1685" s="29" t="s">
        <v>5583</v>
      </c>
      <c r="R1685" s="29"/>
      <c r="S1685" s="26" t="str">
        <f>HYPERLINK("https://miland.ru/api/getInfo/image/cb133606-c700-11ed-a230-00155d82e902")</f>
        <v>https://miland.ru/api/getInfo/image/cb133606-c700-11ed-a230-00155d82e902</v>
      </c>
    </row>
    <row r="1686" spans="1:19" s="2" customFormat="1" ht="96.2" customHeight="1" outlineLevel="5">
      <c r="A1686" s="52">
        <v>1322</v>
      </c>
      <c r="B1686" s="26" t="s">
        <v>5584</v>
      </c>
      <c r="C1686" s="66" t="s">
        <v>5585</v>
      </c>
      <c r="D1686" s="66"/>
      <c r="E1686" s="66"/>
      <c r="F1686" s="66"/>
      <c r="G1686" s="27" t="s">
        <v>5586</v>
      </c>
      <c r="H1686" s="33">
        <v>336</v>
      </c>
      <c r="I1686" s="29"/>
      <c r="J1686" s="25">
        <v>10</v>
      </c>
      <c r="K1686" s="30">
        <v>89.97</v>
      </c>
      <c r="L1686" s="17"/>
      <c r="M1686" s="29">
        <f t="shared" si="77"/>
        <v>0</v>
      </c>
      <c r="N1686" s="31">
        <f>0.029*L1686</f>
        <v>0</v>
      </c>
      <c r="O1686" s="32">
        <f>0.00026*L1686</f>
        <v>0</v>
      </c>
      <c r="P1686" s="36"/>
      <c r="Q1686" s="29" t="s">
        <v>5587</v>
      </c>
      <c r="R1686" s="29"/>
      <c r="S1686" s="26" t="str">
        <f>HYPERLINK("https://miland.ru/api/getInfo/image/ac744466-f8a1-11ee-a25d-00155d82e908")</f>
        <v>https://miland.ru/api/getInfo/image/ac744466-f8a1-11ee-a25d-00155d82e908</v>
      </c>
    </row>
    <row r="1687" spans="1:19" s="2" customFormat="1" ht="96.2" customHeight="1" outlineLevel="5">
      <c r="A1687" s="52">
        <v>1323</v>
      </c>
      <c r="B1687" s="26" t="s">
        <v>5588</v>
      </c>
      <c r="C1687" s="66" t="s">
        <v>5589</v>
      </c>
      <c r="D1687" s="66"/>
      <c r="E1687" s="66"/>
      <c r="F1687" s="66"/>
      <c r="G1687" s="27" t="s">
        <v>5590</v>
      </c>
      <c r="H1687" s="28" t="s">
        <v>44</v>
      </c>
      <c r="I1687" s="29"/>
      <c r="J1687" s="25">
        <v>10</v>
      </c>
      <c r="K1687" s="30">
        <v>89.97</v>
      </c>
      <c r="L1687" s="17"/>
      <c r="M1687" s="29">
        <f t="shared" si="77"/>
        <v>0</v>
      </c>
      <c r="N1687" s="34">
        <f>0.03*L1687</f>
        <v>0</v>
      </c>
      <c r="O1687" s="32">
        <f>0.00027*L1687</f>
        <v>0</v>
      </c>
      <c r="P1687" s="36"/>
      <c r="Q1687" s="29" t="s">
        <v>5591</v>
      </c>
      <c r="R1687" s="29"/>
      <c r="S1687" s="26" t="str">
        <f>HYPERLINK("https://miland.ru/api/getInfo/image/bdd5374d-f8a1-11ee-a25d-00155d82e908")</f>
        <v>https://miland.ru/api/getInfo/image/bdd5374d-f8a1-11ee-a25d-00155d82e908</v>
      </c>
    </row>
    <row r="1688" spans="1:19" s="2" customFormat="1" ht="96.2" customHeight="1" outlineLevel="5">
      <c r="A1688" s="52">
        <v>1324</v>
      </c>
      <c r="B1688" s="26" t="s">
        <v>5592</v>
      </c>
      <c r="C1688" s="66" t="s">
        <v>5593</v>
      </c>
      <c r="D1688" s="66"/>
      <c r="E1688" s="66"/>
      <c r="F1688" s="66"/>
      <c r="G1688" s="27" t="s">
        <v>5594</v>
      </c>
      <c r="H1688" s="28" t="s">
        <v>44</v>
      </c>
      <c r="I1688" s="29"/>
      <c r="J1688" s="25">
        <v>10</v>
      </c>
      <c r="K1688" s="30">
        <v>89.97</v>
      </c>
      <c r="L1688" s="17"/>
      <c r="M1688" s="29">
        <f t="shared" si="77"/>
        <v>0</v>
      </c>
      <c r="N1688" s="31">
        <f>0.029*L1688</f>
        <v>0</v>
      </c>
      <c r="O1688" s="32">
        <f>0.00026*L1688</f>
        <v>0</v>
      </c>
      <c r="P1688" s="36"/>
      <c r="Q1688" s="29" t="s">
        <v>5595</v>
      </c>
      <c r="R1688" s="29"/>
      <c r="S1688" s="26" t="str">
        <f>HYPERLINK("https://miland.ru/api/getInfo/image/59f4e141-f8a1-11ee-a25d-00155d82e908")</f>
        <v>https://miland.ru/api/getInfo/image/59f4e141-f8a1-11ee-a25d-00155d82e908</v>
      </c>
    </row>
    <row r="1689" spans="1:19" s="2" customFormat="1" ht="96.2" customHeight="1" outlineLevel="5">
      <c r="A1689" s="52">
        <v>1325</v>
      </c>
      <c r="B1689" s="26" t="s">
        <v>5596</v>
      </c>
      <c r="C1689" s="66" t="s">
        <v>5597</v>
      </c>
      <c r="D1689" s="66"/>
      <c r="E1689" s="66"/>
      <c r="F1689" s="66"/>
      <c r="G1689" s="27" t="s">
        <v>5598</v>
      </c>
      <c r="H1689" s="28" t="s">
        <v>44</v>
      </c>
      <c r="I1689" s="29"/>
      <c r="J1689" s="25">
        <v>6</v>
      </c>
      <c r="K1689" s="30">
        <v>137.51</v>
      </c>
      <c r="L1689" s="17"/>
      <c r="M1689" s="29">
        <f t="shared" si="77"/>
        <v>0</v>
      </c>
      <c r="N1689" s="31">
        <f>0.035*L1689</f>
        <v>0</v>
      </c>
      <c r="O1689" s="32">
        <f>0.00031*L1689</f>
        <v>0</v>
      </c>
      <c r="P1689" s="36"/>
      <c r="Q1689" s="29" t="s">
        <v>5599</v>
      </c>
      <c r="R1689" s="29"/>
      <c r="S1689" s="26" t="str">
        <f>HYPERLINK("https://miland.ru/api/getInfo/image/052c5299-f8a2-11ee-a25d-00155d82e908")</f>
        <v>https://miland.ru/api/getInfo/image/052c5299-f8a2-11ee-a25d-00155d82e908</v>
      </c>
    </row>
    <row r="1690" spans="1:19" s="2" customFormat="1" ht="96.2" customHeight="1" outlineLevel="5">
      <c r="A1690" s="52">
        <v>1326</v>
      </c>
      <c r="B1690" s="26" t="s">
        <v>5600</v>
      </c>
      <c r="C1690" s="66" t="s">
        <v>5601</v>
      </c>
      <c r="D1690" s="66"/>
      <c r="E1690" s="66"/>
      <c r="F1690" s="66"/>
      <c r="G1690" s="27" t="s">
        <v>5602</v>
      </c>
      <c r="H1690" s="28" t="s">
        <v>44</v>
      </c>
      <c r="I1690" s="29"/>
      <c r="J1690" s="25">
        <v>5</v>
      </c>
      <c r="K1690" s="30">
        <v>137.51</v>
      </c>
      <c r="L1690" s="17"/>
      <c r="M1690" s="29">
        <f t="shared" si="77"/>
        <v>0</v>
      </c>
      <c r="N1690" s="31">
        <f>0.042*L1690</f>
        <v>0</v>
      </c>
      <c r="O1690" s="32">
        <f>0.00026*L1690</f>
        <v>0</v>
      </c>
      <c r="P1690" s="36"/>
      <c r="Q1690" s="29" t="s">
        <v>5603</v>
      </c>
      <c r="R1690" s="29"/>
      <c r="S1690" s="26" t="str">
        <f>HYPERLINK("https://miland.ru/api/getInfo/image/1c478d7f-f8a2-11ee-a25d-00155d82e908")</f>
        <v>https://miland.ru/api/getInfo/image/1c478d7f-f8a2-11ee-a25d-00155d82e908</v>
      </c>
    </row>
    <row r="1691" spans="1:19" s="2" customFormat="1" ht="96.2" customHeight="1" outlineLevel="5">
      <c r="A1691" s="52">
        <v>1327</v>
      </c>
      <c r="B1691" s="26" t="s">
        <v>5604</v>
      </c>
      <c r="C1691" s="66" t="s">
        <v>5605</v>
      </c>
      <c r="D1691" s="66"/>
      <c r="E1691" s="66"/>
      <c r="F1691" s="66"/>
      <c r="G1691" s="27" t="s">
        <v>5606</v>
      </c>
      <c r="H1691" s="28" t="s">
        <v>44</v>
      </c>
      <c r="I1691" s="29"/>
      <c r="J1691" s="25">
        <v>6</v>
      </c>
      <c r="K1691" s="30">
        <v>137.51</v>
      </c>
      <c r="L1691" s="17"/>
      <c r="M1691" s="29">
        <f t="shared" si="77"/>
        <v>0</v>
      </c>
      <c r="N1691" s="31">
        <f>0.043*L1691</f>
        <v>0</v>
      </c>
      <c r="O1691" s="32">
        <f>0.00027*L1691</f>
        <v>0</v>
      </c>
      <c r="P1691" s="36"/>
      <c r="Q1691" s="29" t="s">
        <v>5607</v>
      </c>
      <c r="R1691" s="29"/>
      <c r="S1691" s="26" t="str">
        <f>HYPERLINK("https://miland.ru/api/getInfo/image/e0d2b738-f8a1-11ee-a25d-00155d82e908")</f>
        <v>https://miland.ru/api/getInfo/image/e0d2b738-f8a1-11ee-a25d-00155d82e908</v>
      </c>
    </row>
    <row r="1692" spans="1:19" s="1" customFormat="1" ht="12" customHeight="1" outlineLevel="3">
      <c r="A1692" s="64" t="s">
        <v>5608</v>
      </c>
      <c r="B1692" s="64"/>
      <c r="C1692" s="64"/>
      <c r="D1692" s="64"/>
      <c r="E1692" s="64"/>
      <c r="F1692" s="64"/>
      <c r="G1692" s="8"/>
      <c r="H1692" s="12"/>
      <c r="I1692" s="2"/>
      <c r="J1692" s="2"/>
      <c r="K1692" s="13"/>
      <c r="L1692" s="2"/>
      <c r="M1692" s="2"/>
      <c r="N1692" s="2"/>
      <c r="O1692" s="2"/>
      <c r="P1692" s="2"/>
      <c r="Q1692" s="2"/>
      <c r="R1692" s="2"/>
      <c r="S1692" s="2"/>
    </row>
    <row r="1693" spans="1:19" s="1" customFormat="1" ht="12" customHeight="1" outlineLevel="4">
      <c r="A1693" s="64" t="s">
        <v>5609</v>
      </c>
      <c r="B1693" s="64"/>
      <c r="C1693" s="64"/>
      <c r="D1693" s="64"/>
      <c r="E1693" s="64"/>
      <c r="F1693" s="64"/>
      <c r="G1693" s="8"/>
      <c r="H1693" s="12"/>
      <c r="I1693" s="2"/>
      <c r="J1693" s="2"/>
      <c r="K1693" s="13"/>
      <c r="L1693" s="2"/>
      <c r="M1693" s="2"/>
      <c r="N1693" s="2"/>
      <c r="O1693" s="2"/>
      <c r="P1693" s="2"/>
      <c r="Q1693" s="2"/>
      <c r="R1693" s="2"/>
      <c r="S1693" s="2"/>
    </row>
    <row r="1694" spans="1:19" s="1" customFormat="1" ht="12" customHeight="1" outlineLevel="5">
      <c r="A1694" s="64" t="s">
        <v>5610</v>
      </c>
      <c r="B1694" s="64"/>
      <c r="C1694" s="64"/>
      <c r="D1694" s="64"/>
      <c r="E1694" s="64"/>
      <c r="F1694" s="64"/>
      <c r="G1694" s="8"/>
      <c r="H1694" s="12"/>
      <c r="I1694" s="2"/>
      <c r="J1694" s="2"/>
      <c r="K1694" s="13"/>
      <c r="L1694" s="2"/>
      <c r="M1694" s="2"/>
      <c r="N1694" s="2"/>
      <c r="O1694" s="2"/>
      <c r="P1694" s="2"/>
      <c r="Q1694" s="2"/>
      <c r="R1694" s="2"/>
      <c r="S1694" s="2"/>
    </row>
    <row r="1695" spans="1:19" s="2" customFormat="1" ht="96.2" customHeight="1" outlineLevel="6">
      <c r="A1695" s="52">
        <v>1328</v>
      </c>
      <c r="B1695" s="26" t="s">
        <v>5611</v>
      </c>
      <c r="C1695" s="66" t="s">
        <v>5612</v>
      </c>
      <c r="D1695" s="66"/>
      <c r="E1695" s="66"/>
      <c r="F1695" s="66"/>
      <c r="G1695" s="27" t="s">
        <v>5613</v>
      </c>
      <c r="H1695" s="28" t="s">
        <v>44</v>
      </c>
      <c r="I1695" s="29"/>
      <c r="J1695" s="25">
        <v>4</v>
      </c>
      <c r="K1695" s="30">
        <v>142.07</v>
      </c>
      <c r="L1695" s="17"/>
      <c r="M1695" s="29">
        <f t="shared" ref="M1695:M1720" si="78">K1695*L1695</f>
        <v>0</v>
      </c>
      <c r="N1695" s="31">
        <f>0.042*L1695</f>
        <v>0</v>
      </c>
      <c r="O1695" s="32">
        <f>0.00141*L1695</f>
        <v>0</v>
      </c>
      <c r="P1695" s="36"/>
      <c r="Q1695" s="29" t="s">
        <v>5614</v>
      </c>
      <c r="R1695" s="29"/>
      <c r="S1695" s="26" t="str">
        <f>HYPERLINK("https://miland.ru/api/getInfo/image/41da3a66-9635-11ed-a22d-00155d82e902")</f>
        <v>https://miland.ru/api/getInfo/image/41da3a66-9635-11ed-a22d-00155d82e902</v>
      </c>
    </row>
    <row r="1696" spans="1:19" s="2" customFormat="1" ht="96.2" customHeight="1" outlineLevel="6">
      <c r="A1696" s="52">
        <v>1329</v>
      </c>
      <c r="B1696" s="26" t="s">
        <v>5615</v>
      </c>
      <c r="C1696" s="66" t="s">
        <v>5616</v>
      </c>
      <c r="D1696" s="66"/>
      <c r="E1696" s="66"/>
      <c r="F1696" s="66"/>
      <c r="G1696" s="27" t="s">
        <v>5617</v>
      </c>
      <c r="H1696" s="33">
        <v>25</v>
      </c>
      <c r="I1696" s="29"/>
      <c r="J1696" s="25">
        <v>1</v>
      </c>
      <c r="K1696" s="30">
        <v>703.56</v>
      </c>
      <c r="L1696" s="17"/>
      <c r="M1696" s="29">
        <f t="shared" si="78"/>
        <v>0</v>
      </c>
      <c r="N1696" s="31">
        <f>0.143*L1696</f>
        <v>0</v>
      </c>
      <c r="O1696" s="35">
        <f>0.0083*L1696</f>
        <v>0</v>
      </c>
      <c r="P1696" s="36"/>
      <c r="Q1696" s="29" t="s">
        <v>5618</v>
      </c>
      <c r="R1696" s="29"/>
      <c r="S1696" s="26" t="str">
        <f>HYPERLINK("https://miland.ru/api/getInfo/image/b17bc4d5-bc3e-11ee-a25a-00155d82e908")</f>
        <v>https://miland.ru/api/getInfo/image/b17bc4d5-bc3e-11ee-a25a-00155d82e908</v>
      </c>
    </row>
    <row r="1697" spans="1:19" s="2" customFormat="1" ht="96.2" customHeight="1" outlineLevel="6">
      <c r="A1697" s="53">
        <v>1330</v>
      </c>
      <c r="B1697" s="10" t="s">
        <v>5619</v>
      </c>
      <c r="C1697" s="65" t="s">
        <v>5620</v>
      </c>
      <c r="D1697" s="65"/>
      <c r="E1697" s="65"/>
      <c r="F1697" s="65"/>
      <c r="G1697" s="11" t="s">
        <v>5621</v>
      </c>
      <c r="H1697" s="14">
        <v>90</v>
      </c>
      <c r="I1697" s="15"/>
      <c r="J1697" s="9">
        <v>5</v>
      </c>
      <c r="K1697" s="16">
        <v>123.04</v>
      </c>
      <c r="L1697" s="17"/>
      <c r="M1697" s="15">
        <f t="shared" si="78"/>
        <v>0</v>
      </c>
      <c r="N1697" s="18">
        <f>0.031*L1697</f>
        <v>0</v>
      </c>
      <c r="O1697" s="19">
        <f>0.00128*L1697</f>
        <v>0</v>
      </c>
      <c r="P1697" s="24" t="s">
        <v>26</v>
      </c>
      <c r="Q1697" s="15" t="s">
        <v>5622</v>
      </c>
      <c r="R1697" s="15"/>
      <c r="S1697" s="10" t="str">
        <f>HYPERLINK("https://miland.ru/api/getInfo/image/870c6706-2f54-11f1-a292-00155d82e908")</f>
        <v>https://miland.ru/api/getInfo/image/870c6706-2f54-11f1-a292-00155d82e908</v>
      </c>
    </row>
    <row r="1698" spans="1:19" s="2" customFormat="1" ht="96.2" customHeight="1" outlineLevel="6">
      <c r="A1698" s="52">
        <v>1331</v>
      </c>
      <c r="B1698" s="26" t="s">
        <v>5623</v>
      </c>
      <c r="C1698" s="66" t="s">
        <v>5624</v>
      </c>
      <c r="D1698" s="66"/>
      <c r="E1698" s="66"/>
      <c r="F1698" s="66"/>
      <c r="G1698" s="27" t="s">
        <v>5625</v>
      </c>
      <c r="H1698" s="33">
        <v>141</v>
      </c>
      <c r="I1698" s="29"/>
      <c r="J1698" s="25">
        <v>1</v>
      </c>
      <c r="K1698" s="30">
        <v>773.92</v>
      </c>
      <c r="L1698" s="17"/>
      <c r="M1698" s="29">
        <f t="shared" si="78"/>
        <v>0</v>
      </c>
      <c r="N1698" s="31">
        <f>0.171*L1698</f>
        <v>0</v>
      </c>
      <c r="O1698" s="32">
        <f>0.00753*L1698</f>
        <v>0</v>
      </c>
      <c r="P1698" s="36"/>
      <c r="Q1698" s="29" t="s">
        <v>5626</v>
      </c>
      <c r="R1698" s="29" t="s">
        <v>611</v>
      </c>
      <c r="S1698" s="26" t="str">
        <f>HYPERLINK("https://miland.ru/api/getInfo/image/9423b0f7-963b-11ed-a22d-00155d82e902")</f>
        <v>https://miland.ru/api/getInfo/image/9423b0f7-963b-11ed-a22d-00155d82e902</v>
      </c>
    </row>
    <row r="1699" spans="1:19" s="2" customFormat="1" ht="96.2" customHeight="1" outlineLevel="6">
      <c r="A1699" s="52">
        <v>1332</v>
      </c>
      <c r="B1699" s="26" t="s">
        <v>5627</v>
      </c>
      <c r="C1699" s="66" t="s">
        <v>5628</v>
      </c>
      <c r="D1699" s="66"/>
      <c r="E1699" s="66"/>
      <c r="F1699" s="66"/>
      <c r="G1699" s="27" t="s">
        <v>5629</v>
      </c>
      <c r="H1699" s="28" t="s">
        <v>44</v>
      </c>
      <c r="I1699" s="29"/>
      <c r="J1699" s="25">
        <v>4</v>
      </c>
      <c r="K1699" s="30">
        <v>146.37</v>
      </c>
      <c r="L1699" s="17"/>
      <c r="M1699" s="29">
        <f t="shared" si="78"/>
        <v>0</v>
      </c>
      <c r="N1699" s="31">
        <f>0.038*L1699</f>
        <v>0</v>
      </c>
      <c r="O1699" s="32">
        <f>0.00034*L1699</f>
        <v>0</v>
      </c>
      <c r="P1699" s="36"/>
      <c r="Q1699" s="29" t="s">
        <v>5630</v>
      </c>
      <c r="R1699" s="29"/>
      <c r="S1699" s="26" t="str">
        <f>HYPERLINK("https://miland.ru/api/getInfo/image/49b08c6f-b6cc-11ee-a25a-00155d82e908")</f>
        <v>https://miland.ru/api/getInfo/image/49b08c6f-b6cc-11ee-a25a-00155d82e908</v>
      </c>
    </row>
    <row r="1700" spans="1:19" s="2" customFormat="1" ht="96.2" customHeight="1" outlineLevel="6">
      <c r="A1700" s="52">
        <v>1333</v>
      </c>
      <c r="B1700" s="26" t="s">
        <v>5631</v>
      </c>
      <c r="C1700" s="66" t="s">
        <v>5632</v>
      </c>
      <c r="D1700" s="66"/>
      <c r="E1700" s="66"/>
      <c r="F1700" s="66"/>
      <c r="G1700" s="27" t="s">
        <v>5633</v>
      </c>
      <c r="H1700" s="33">
        <v>114</v>
      </c>
      <c r="I1700" s="29"/>
      <c r="J1700" s="25">
        <v>1</v>
      </c>
      <c r="K1700" s="30">
        <v>527.66999999999996</v>
      </c>
      <c r="L1700" s="17"/>
      <c r="M1700" s="29">
        <f t="shared" si="78"/>
        <v>0</v>
      </c>
      <c r="N1700" s="31">
        <f>0.136*L1700</f>
        <v>0</v>
      </c>
      <c r="O1700" s="35">
        <f>0.0045*L1700</f>
        <v>0</v>
      </c>
      <c r="P1700" s="36"/>
      <c r="Q1700" s="29" t="s">
        <v>5634</v>
      </c>
      <c r="R1700" s="29"/>
      <c r="S1700" s="26" t="str">
        <f>HYPERLINK("https://miland.ru/api/getInfo/image/87e32338-9641-11ed-a22d-00155d82e902")</f>
        <v>https://miland.ru/api/getInfo/image/87e32338-9641-11ed-a22d-00155d82e902</v>
      </c>
    </row>
    <row r="1701" spans="1:19" s="2" customFormat="1" ht="96.2" customHeight="1" outlineLevel="6">
      <c r="A1701" s="52">
        <v>1334</v>
      </c>
      <c r="B1701" s="26" t="s">
        <v>5635</v>
      </c>
      <c r="C1701" s="66" t="s">
        <v>5636</v>
      </c>
      <c r="D1701" s="66"/>
      <c r="E1701" s="66"/>
      <c r="F1701" s="66"/>
      <c r="G1701" s="27" t="s">
        <v>5637</v>
      </c>
      <c r="H1701" s="33">
        <v>19</v>
      </c>
      <c r="I1701" s="29"/>
      <c r="J1701" s="25">
        <v>1</v>
      </c>
      <c r="K1701" s="30">
        <v>829.19</v>
      </c>
      <c r="L1701" s="17"/>
      <c r="M1701" s="29">
        <f t="shared" si="78"/>
        <v>0</v>
      </c>
      <c r="N1701" s="31">
        <f>0.248*L1701</f>
        <v>0</v>
      </c>
      <c r="O1701" s="32">
        <f>0.00457*L1701</f>
        <v>0</v>
      </c>
      <c r="P1701" s="36"/>
      <c r="Q1701" s="29" t="s">
        <v>5638</v>
      </c>
      <c r="R1701" s="29" t="s">
        <v>611</v>
      </c>
      <c r="S1701" s="26" t="str">
        <f>HYPERLINK("https://miland.ru/api/getInfo/image/3b490bf2-963c-11ed-a22d-00155d82e902")</f>
        <v>https://miland.ru/api/getInfo/image/3b490bf2-963c-11ed-a22d-00155d82e902</v>
      </c>
    </row>
    <row r="1702" spans="1:19" s="2" customFormat="1" ht="96.2" customHeight="1" outlineLevel="6">
      <c r="A1702" s="52">
        <v>1335</v>
      </c>
      <c r="B1702" s="26" t="s">
        <v>5639</v>
      </c>
      <c r="C1702" s="66" t="s">
        <v>5640</v>
      </c>
      <c r="D1702" s="66"/>
      <c r="E1702" s="66"/>
      <c r="F1702" s="66"/>
      <c r="G1702" s="27" t="s">
        <v>5641</v>
      </c>
      <c r="H1702" s="33">
        <v>183</v>
      </c>
      <c r="I1702" s="29"/>
      <c r="J1702" s="25">
        <v>1</v>
      </c>
      <c r="K1702" s="30">
        <v>434.9</v>
      </c>
      <c r="L1702" s="17"/>
      <c r="M1702" s="29">
        <f t="shared" si="78"/>
        <v>0</v>
      </c>
      <c r="N1702" s="31">
        <f>0.094*L1702</f>
        <v>0</v>
      </c>
      <c r="O1702" s="32">
        <f>0.00254*L1702</f>
        <v>0</v>
      </c>
      <c r="P1702" s="36"/>
      <c r="Q1702" s="29" t="s">
        <v>5642</v>
      </c>
      <c r="R1702" s="29"/>
      <c r="S1702" s="26" t="str">
        <f>HYPERLINK("https://miland.ru/api/getInfo/image/846f2bea-963a-11ed-a22d-00155d82e902")</f>
        <v>https://miland.ru/api/getInfo/image/846f2bea-963a-11ed-a22d-00155d82e902</v>
      </c>
    </row>
    <row r="1703" spans="1:19" s="2" customFormat="1" ht="96.2" customHeight="1" outlineLevel="6">
      <c r="A1703" s="52">
        <v>1336</v>
      </c>
      <c r="B1703" s="26" t="s">
        <v>5643</v>
      </c>
      <c r="C1703" s="66" t="s">
        <v>5644</v>
      </c>
      <c r="D1703" s="66"/>
      <c r="E1703" s="66"/>
      <c r="F1703" s="66"/>
      <c r="G1703" s="27" t="s">
        <v>5645</v>
      </c>
      <c r="H1703" s="33">
        <v>4</v>
      </c>
      <c r="I1703" s="29"/>
      <c r="J1703" s="25">
        <v>1</v>
      </c>
      <c r="K1703" s="30">
        <v>829.19</v>
      </c>
      <c r="L1703" s="17"/>
      <c r="M1703" s="29">
        <f t="shared" si="78"/>
        <v>0</v>
      </c>
      <c r="N1703" s="31">
        <f>0.211*L1703</f>
        <v>0</v>
      </c>
      <c r="O1703" s="32">
        <f>0.00806*L1703</f>
        <v>0</v>
      </c>
      <c r="P1703" s="36"/>
      <c r="Q1703" s="29" t="s">
        <v>5646</v>
      </c>
      <c r="R1703" s="29" t="s">
        <v>611</v>
      </c>
      <c r="S1703" s="26" t="str">
        <f>HYPERLINK("https://miland.ru/api/getInfo/image/fc883321-963b-11ed-a22d-00155d82e902")</f>
        <v>https://miland.ru/api/getInfo/image/fc883321-963b-11ed-a22d-00155d82e902</v>
      </c>
    </row>
    <row r="1704" spans="1:19" s="2" customFormat="1" ht="96.2" customHeight="1" outlineLevel="6">
      <c r="A1704" s="52">
        <v>1337</v>
      </c>
      <c r="B1704" s="26" t="s">
        <v>5647</v>
      </c>
      <c r="C1704" s="66" t="s">
        <v>5648</v>
      </c>
      <c r="D1704" s="66"/>
      <c r="E1704" s="66"/>
      <c r="F1704" s="66"/>
      <c r="G1704" s="27" t="s">
        <v>5649</v>
      </c>
      <c r="H1704" s="28" t="s">
        <v>44</v>
      </c>
      <c r="I1704" s="29"/>
      <c r="J1704" s="25">
        <v>2</v>
      </c>
      <c r="K1704" s="30">
        <v>386.99</v>
      </c>
      <c r="L1704" s="17"/>
      <c r="M1704" s="29">
        <f t="shared" si="78"/>
        <v>0</v>
      </c>
      <c r="N1704" s="31">
        <f>0.149*L1704</f>
        <v>0</v>
      </c>
      <c r="O1704" s="32">
        <f>0.00264*L1704</f>
        <v>0</v>
      </c>
      <c r="P1704" s="36"/>
      <c r="Q1704" s="29" t="s">
        <v>5650</v>
      </c>
      <c r="R1704" s="29"/>
      <c r="S1704" s="26" t="str">
        <f>HYPERLINK("https://miland.ru/api/getInfo/image/09cffd98-5ab0-11e9-a222-ac1f6b442184")</f>
        <v>https://miland.ru/api/getInfo/image/09cffd98-5ab0-11e9-a222-ac1f6b442184</v>
      </c>
    </row>
    <row r="1705" spans="1:19" s="2" customFormat="1" ht="96.2" customHeight="1" outlineLevel="6">
      <c r="A1705" s="52">
        <v>1338</v>
      </c>
      <c r="B1705" s="26" t="s">
        <v>5651</v>
      </c>
      <c r="C1705" s="66" t="s">
        <v>5652</v>
      </c>
      <c r="D1705" s="66"/>
      <c r="E1705" s="66"/>
      <c r="F1705" s="66"/>
      <c r="G1705" s="27" t="s">
        <v>5653</v>
      </c>
      <c r="H1705" s="33">
        <v>94</v>
      </c>
      <c r="I1705" s="29"/>
      <c r="J1705" s="25">
        <v>2</v>
      </c>
      <c r="K1705" s="30">
        <v>278.8</v>
      </c>
      <c r="L1705" s="17"/>
      <c r="M1705" s="29">
        <f t="shared" si="78"/>
        <v>0</v>
      </c>
      <c r="N1705" s="31">
        <f>0.062*L1705</f>
        <v>0</v>
      </c>
      <c r="O1705" s="32">
        <f>0.00151*L1705</f>
        <v>0</v>
      </c>
      <c r="P1705" s="36"/>
      <c r="Q1705" s="29" t="s">
        <v>5654</v>
      </c>
      <c r="R1705" s="29"/>
      <c r="S1705" s="26" t="str">
        <f>HYPERLINK("https://miland.ru/api/getInfo/image/9b416d04-8a69-11ec-a211-ac1f6b442185")</f>
        <v>https://miland.ru/api/getInfo/image/9b416d04-8a69-11ec-a211-ac1f6b442185</v>
      </c>
    </row>
    <row r="1706" spans="1:19" s="2" customFormat="1" ht="96.2" customHeight="1" outlineLevel="6">
      <c r="A1706" s="52">
        <v>1339</v>
      </c>
      <c r="B1706" s="26" t="s">
        <v>5655</v>
      </c>
      <c r="C1706" s="66" t="s">
        <v>5656</v>
      </c>
      <c r="D1706" s="66"/>
      <c r="E1706" s="66"/>
      <c r="F1706" s="66"/>
      <c r="G1706" s="27" t="s">
        <v>5657</v>
      </c>
      <c r="H1706" s="33">
        <v>118</v>
      </c>
      <c r="I1706" s="29"/>
      <c r="J1706" s="25">
        <v>2</v>
      </c>
      <c r="K1706" s="30">
        <v>289.93</v>
      </c>
      <c r="L1706" s="17"/>
      <c r="M1706" s="29">
        <f t="shared" si="78"/>
        <v>0</v>
      </c>
      <c r="N1706" s="31">
        <f>0.132*L1706</f>
        <v>0</v>
      </c>
      <c r="O1706" s="35">
        <f>0.0042*L1706</f>
        <v>0</v>
      </c>
      <c r="P1706" s="36"/>
      <c r="Q1706" s="29" t="s">
        <v>5658</v>
      </c>
      <c r="R1706" s="29"/>
      <c r="S1706" s="26" t="str">
        <f>HYPERLINK("https://miland.ru/api/getInfo/image/d8cc5566-5295-11e8-b825-5cf3fc4a2490")</f>
        <v>https://miland.ru/api/getInfo/image/d8cc5566-5295-11e8-b825-5cf3fc4a2490</v>
      </c>
    </row>
    <row r="1707" spans="1:19" s="2" customFormat="1" ht="96.2" customHeight="1" outlineLevel="6">
      <c r="A1707" s="52">
        <v>1340</v>
      </c>
      <c r="B1707" s="26" t="s">
        <v>5659</v>
      </c>
      <c r="C1707" s="66" t="s">
        <v>5660</v>
      </c>
      <c r="D1707" s="66"/>
      <c r="E1707" s="66"/>
      <c r="F1707" s="66"/>
      <c r="G1707" s="27" t="s">
        <v>5661</v>
      </c>
      <c r="H1707" s="33">
        <v>38</v>
      </c>
      <c r="I1707" s="29"/>
      <c r="J1707" s="25">
        <v>3</v>
      </c>
      <c r="K1707" s="30">
        <v>207.57</v>
      </c>
      <c r="L1707" s="17"/>
      <c r="M1707" s="29">
        <f t="shared" si="78"/>
        <v>0</v>
      </c>
      <c r="N1707" s="34">
        <f>0.07*L1707</f>
        <v>0</v>
      </c>
      <c r="O1707" s="32">
        <f>0.00499*L1707</f>
        <v>0</v>
      </c>
      <c r="P1707" s="36"/>
      <c r="Q1707" s="29" t="s">
        <v>5662</v>
      </c>
      <c r="R1707" s="29" t="s">
        <v>611</v>
      </c>
      <c r="S1707" s="26" t="str">
        <f>HYPERLINK("https://miland.ru/api/getInfo/image/8115c4d8-5295-11e8-b825-5cf3fc4a2490")</f>
        <v>https://miland.ru/api/getInfo/image/8115c4d8-5295-11e8-b825-5cf3fc4a2490</v>
      </c>
    </row>
    <row r="1708" spans="1:19" s="2" customFormat="1" ht="96.2" customHeight="1" outlineLevel="6">
      <c r="A1708" s="52">
        <v>1341</v>
      </c>
      <c r="B1708" s="26" t="s">
        <v>5663</v>
      </c>
      <c r="C1708" s="66" t="s">
        <v>5664</v>
      </c>
      <c r="D1708" s="66"/>
      <c r="E1708" s="66"/>
      <c r="F1708" s="66"/>
      <c r="G1708" s="27" t="s">
        <v>5665</v>
      </c>
      <c r="H1708" s="33">
        <v>2</v>
      </c>
      <c r="I1708" s="29"/>
      <c r="J1708" s="25">
        <v>1</v>
      </c>
      <c r="K1708" s="30">
        <v>667.44</v>
      </c>
      <c r="L1708" s="17"/>
      <c r="M1708" s="29">
        <f t="shared" si="78"/>
        <v>0</v>
      </c>
      <c r="N1708" s="31">
        <f>0.177*L1708</f>
        <v>0</v>
      </c>
      <c r="O1708" s="32">
        <f>0.00445*L1708</f>
        <v>0</v>
      </c>
      <c r="P1708" s="36"/>
      <c r="Q1708" s="29" t="s">
        <v>5666</v>
      </c>
      <c r="R1708" s="29"/>
      <c r="S1708" s="26" t="str">
        <f>HYPERLINK("https://miland.ru/api/getInfo/image/3733a1ad-f01b-11ee-a25b-00155d82e908")</f>
        <v>https://miland.ru/api/getInfo/image/3733a1ad-f01b-11ee-a25b-00155d82e908</v>
      </c>
    </row>
    <row r="1709" spans="1:19" s="2" customFormat="1" ht="96.2" customHeight="1" outlineLevel="6">
      <c r="A1709" s="52">
        <v>1342</v>
      </c>
      <c r="B1709" s="26" t="s">
        <v>5667</v>
      </c>
      <c r="C1709" s="66" t="s">
        <v>5668</v>
      </c>
      <c r="D1709" s="66"/>
      <c r="E1709" s="66"/>
      <c r="F1709" s="66"/>
      <c r="G1709" s="27" t="s">
        <v>5669</v>
      </c>
      <c r="H1709" s="33">
        <v>106</v>
      </c>
      <c r="I1709" s="29"/>
      <c r="J1709" s="25">
        <v>1</v>
      </c>
      <c r="K1709" s="30">
        <v>667.44</v>
      </c>
      <c r="L1709" s="17"/>
      <c r="M1709" s="29">
        <f t="shared" si="78"/>
        <v>0</v>
      </c>
      <c r="N1709" s="31">
        <f>0.185*L1709</f>
        <v>0</v>
      </c>
      <c r="O1709" s="32">
        <f>0.00637*L1709</f>
        <v>0</v>
      </c>
      <c r="P1709" s="36"/>
      <c r="Q1709" s="29" t="s">
        <v>5670</v>
      </c>
      <c r="R1709" s="29"/>
      <c r="S1709" s="26" t="str">
        <f>HYPERLINK("https://miland.ru/api/getInfo/image/bc520102-f01a-11ee-a25b-00155d82e908")</f>
        <v>https://miland.ru/api/getInfo/image/bc520102-f01a-11ee-a25b-00155d82e908</v>
      </c>
    </row>
    <row r="1710" spans="1:19" s="2" customFormat="1" ht="96.2" customHeight="1" outlineLevel="6">
      <c r="A1710" s="52">
        <v>1343</v>
      </c>
      <c r="B1710" s="26" t="s">
        <v>5671</v>
      </c>
      <c r="C1710" s="66" t="s">
        <v>5672</v>
      </c>
      <c r="D1710" s="66"/>
      <c r="E1710" s="66"/>
      <c r="F1710" s="66"/>
      <c r="G1710" s="27" t="s">
        <v>5673</v>
      </c>
      <c r="H1710" s="33">
        <v>79</v>
      </c>
      <c r="I1710" s="29"/>
      <c r="J1710" s="25">
        <v>1</v>
      </c>
      <c r="K1710" s="30">
        <v>667.44</v>
      </c>
      <c r="L1710" s="17"/>
      <c r="M1710" s="29">
        <f t="shared" si="78"/>
        <v>0</v>
      </c>
      <c r="N1710" s="31">
        <f>0.193*L1710</f>
        <v>0</v>
      </c>
      <c r="O1710" s="32">
        <f>0.00657*L1710</f>
        <v>0</v>
      </c>
      <c r="P1710" s="36"/>
      <c r="Q1710" s="29" t="s">
        <v>5674</v>
      </c>
      <c r="R1710" s="29"/>
      <c r="S1710" s="26" t="str">
        <f>HYPERLINK("https://miland.ru/api/getInfo/image/f543454b-f01a-11ee-a25b-00155d82e908")</f>
        <v>https://miland.ru/api/getInfo/image/f543454b-f01a-11ee-a25b-00155d82e908</v>
      </c>
    </row>
    <row r="1711" spans="1:19" s="2" customFormat="1" ht="96.2" customHeight="1" outlineLevel="6">
      <c r="A1711" s="52">
        <v>1344</v>
      </c>
      <c r="B1711" s="26" t="s">
        <v>5675</v>
      </c>
      <c r="C1711" s="66" t="s">
        <v>5676</v>
      </c>
      <c r="D1711" s="66"/>
      <c r="E1711" s="66"/>
      <c r="F1711" s="66"/>
      <c r="G1711" s="27" t="s">
        <v>5677</v>
      </c>
      <c r="H1711" s="33">
        <v>116</v>
      </c>
      <c r="I1711" s="29"/>
      <c r="J1711" s="25">
        <v>1</v>
      </c>
      <c r="K1711" s="30">
        <v>911.02</v>
      </c>
      <c r="L1711" s="17"/>
      <c r="M1711" s="29">
        <f t="shared" si="78"/>
        <v>0</v>
      </c>
      <c r="N1711" s="31">
        <f>0.265*L1711</f>
        <v>0</v>
      </c>
      <c r="O1711" s="32">
        <f>0.01034*L1711</f>
        <v>0</v>
      </c>
      <c r="P1711" s="36"/>
      <c r="Q1711" s="29" t="s">
        <v>5678</v>
      </c>
      <c r="R1711" s="29"/>
      <c r="S1711" s="26" t="str">
        <f>HYPERLINK("https://miland.ru/api/getInfo/image/cb359bb8-f01b-11ee-a25b-00155d82e908")</f>
        <v>https://miland.ru/api/getInfo/image/cb359bb8-f01b-11ee-a25b-00155d82e908</v>
      </c>
    </row>
    <row r="1712" spans="1:19" s="2" customFormat="1" ht="96.2" customHeight="1" outlineLevel="6">
      <c r="A1712" s="52">
        <v>1345</v>
      </c>
      <c r="B1712" s="26" t="s">
        <v>5679</v>
      </c>
      <c r="C1712" s="66" t="s">
        <v>5680</v>
      </c>
      <c r="D1712" s="66"/>
      <c r="E1712" s="66"/>
      <c r="F1712" s="66"/>
      <c r="G1712" s="27" t="s">
        <v>5681</v>
      </c>
      <c r="H1712" s="33">
        <v>56</v>
      </c>
      <c r="I1712" s="29"/>
      <c r="J1712" s="25">
        <v>1</v>
      </c>
      <c r="K1712" s="37">
        <v>1233.52</v>
      </c>
      <c r="L1712" s="17"/>
      <c r="M1712" s="29">
        <f t="shared" si="78"/>
        <v>0</v>
      </c>
      <c r="N1712" s="31">
        <f>0.265*L1712</f>
        <v>0</v>
      </c>
      <c r="O1712" s="32">
        <f>0.00936*L1712</f>
        <v>0</v>
      </c>
      <c r="P1712" s="36"/>
      <c r="Q1712" s="29" t="s">
        <v>5682</v>
      </c>
      <c r="R1712" s="29"/>
      <c r="S1712" s="26" t="str">
        <f>HYPERLINK("https://miland.ru/api/getInfo/image/5b6bdbf7-f01b-11ee-a25b-00155d82e908")</f>
        <v>https://miland.ru/api/getInfo/image/5b6bdbf7-f01b-11ee-a25b-00155d82e908</v>
      </c>
    </row>
    <row r="1713" spans="1:19" s="2" customFormat="1" ht="96.2" customHeight="1" outlineLevel="6">
      <c r="A1713" s="52">
        <v>1346</v>
      </c>
      <c r="B1713" s="26" t="s">
        <v>5683</v>
      </c>
      <c r="C1713" s="66" t="s">
        <v>5684</v>
      </c>
      <c r="D1713" s="66"/>
      <c r="E1713" s="66"/>
      <c r="F1713" s="66"/>
      <c r="G1713" s="27" t="s">
        <v>5685</v>
      </c>
      <c r="H1713" s="33">
        <v>1</v>
      </c>
      <c r="I1713" s="29"/>
      <c r="J1713" s="25">
        <v>1</v>
      </c>
      <c r="K1713" s="37">
        <v>1233.52</v>
      </c>
      <c r="L1713" s="17"/>
      <c r="M1713" s="29">
        <f t="shared" si="78"/>
        <v>0</v>
      </c>
      <c r="N1713" s="41">
        <f>10.5*L1713</f>
        <v>0</v>
      </c>
      <c r="O1713" s="32">
        <f>0.16128*L1713</f>
        <v>0</v>
      </c>
      <c r="P1713" s="36"/>
      <c r="Q1713" s="29" t="s">
        <v>5686</v>
      </c>
      <c r="R1713" s="29"/>
      <c r="S1713" s="26" t="str">
        <f>HYPERLINK("https://miland.ru/api/getInfo/image/ad0b218f-f01b-11ee-a25b-00155d82e908")</f>
        <v>https://miland.ru/api/getInfo/image/ad0b218f-f01b-11ee-a25b-00155d82e908</v>
      </c>
    </row>
    <row r="1714" spans="1:19" s="2" customFormat="1" ht="96.2" customHeight="1" outlineLevel="6">
      <c r="A1714" s="52">
        <v>1347</v>
      </c>
      <c r="B1714" s="26" t="s">
        <v>5687</v>
      </c>
      <c r="C1714" s="66" t="s">
        <v>5688</v>
      </c>
      <c r="D1714" s="66"/>
      <c r="E1714" s="66"/>
      <c r="F1714" s="66"/>
      <c r="G1714" s="27" t="s">
        <v>5689</v>
      </c>
      <c r="H1714" s="33">
        <v>29</v>
      </c>
      <c r="I1714" s="29"/>
      <c r="J1714" s="25">
        <v>1</v>
      </c>
      <c r="K1714" s="37">
        <v>1233.52</v>
      </c>
      <c r="L1714" s="17"/>
      <c r="M1714" s="29">
        <f t="shared" si="78"/>
        <v>0</v>
      </c>
      <c r="N1714" s="31">
        <f>0.268*L1714</f>
        <v>0</v>
      </c>
      <c r="O1714" s="32">
        <f>0.00982*L1714</f>
        <v>0</v>
      </c>
      <c r="P1714" s="36"/>
      <c r="Q1714" s="29" t="s">
        <v>5690</v>
      </c>
      <c r="R1714" s="29"/>
      <c r="S1714" s="26" t="str">
        <f>HYPERLINK("https://miland.ru/api/getInfo/image/919fffde-f01b-11ee-a25b-00155d82e908")</f>
        <v>https://miland.ru/api/getInfo/image/919fffde-f01b-11ee-a25b-00155d82e908</v>
      </c>
    </row>
    <row r="1715" spans="1:19" s="2" customFormat="1" ht="96.2" customHeight="1" outlineLevel="6">
      <c r="A1715" s="52">
        <v>1348</v>
      </c>
      <c r="B1715" s="26" t="s">
        <v>5691</v>
      </c>
      <c r="C1715" s="66" t="s">
        <v>5692</v>
      </c>
      <c r="D1715" s="66"/>
      <c r="E1715" s="66"/>
      <c r="F1715" s="66"/>
      <c r="G1715" s="27" t="s">
        <v>5693</v>
      </c>
      <c r="H1715" s="33">
        <v>43</v>
      </c>
      <c r="I1715" s="29"/>
      <c r="J1715" s="25">
        <v>1</v>
      </c>
      <c r="K1715" s="37">
        <v>1322.15</v>
      </c>
      <c r="L1715" s="17"/>
      <c r="M1715" s="29">
        <f t="shared" si="78"/>
        <v>0</v>
      </c>
      <c r="N1715" s="31">
        <f>0.541*L1715</f>
        <v>0</v>
      </c>
      <c r="O1715" s="32">
        <f>0.01363*L1715</f>
        <v>0</v>
      </c>
      <c r="P1715" s="36"/>
      <c r="Q1715" s="29" t="s">
        <v>5694</v>
      </c>
      <c r="R1715" s="29"/>
      <c r="S1715" s="26" t="str">
        <f>HYPERLINK("https://miland.ru/api/getInfo/image/0edd9f9f-f01d-11ee-a25b-00155d82e908")</f>
        <v>https://miland.ru/api/getInfo/image/0edd9f9f-f01d-11ee-a25b-00155d82e908</v>
      </c>
    </row>
    <row r="1716" spans="1:19" s="2" customFormat="1" ht="96.2" customHeight="1" outlineLevel="6">
      <c r="A1716" s="52">
        <v>1349</v>
      </c>
      <c r="B1716" s="26" t="s">
        <v>5695</v>
      </c>
      <c r="C1716" s="66" t="s">
        <v>5696</v>
      </c>
      <c r="D1716" s="66"/>
      <c r="E1716" s="66"/>
      <c r="F1716" s="66"/>
      <c r="G1716" s="27" t="s">
        <v>5697</v>
      </c>
      <c r="H1716" s="33">
        <v>60</v>
      </c>
      <c r="I1716" s="29"/>
      <c r="J1716" s="25">
        <v>1</v>
      </c>
      <c r="K1716" s="37">
        <v>1790.17</v>
      </c>
      <c r="L1716" s="17"/>
      <c r="M1716" s="29">
        <f t="shared" si="78"/>
        <v>0</v>
      </c>
      <c r="N1716" s="34">
        <f>0.52*L1716</f>
        <v>0</v>
      </c>
      <c r="O1716" s="32">
        <f>0.01425*L1716</f>
        <v>0</v>
      </c>
      <c r="P1716" s="36"/>
      <c r="Q1716" s="29" t="s">
        <v>5698</v>
      </c>
      <c r="R1716" s="29"/>
      <c r="S1716" s="26" t="str">
        <f>HYPERLINK("https://miland.ru/api/getInfo/image/ef47e2fc-f01b-11ee-a25b-00155d82e908")</f>
        <v>https://miland.ru/api/getInfo/image/ef47e2fc-f01b-11ee-a25b-00155d82e908</v>
      </c>
    </row>
    <row r="1717" spans="1:19" s="2" customFormat="1" ht="96.2" customHeight="1" outlineLevel="6">
      <c r="A1717" s="52">
        <v>1350</v>
      </c>
      <c r="B1717" s="26" t="s">
        <v>5699</v>
      </c>
      <c r="C1717" s="66" t="s">
        <v>5700</v>
      </c>
      <c r="D1717" s="66"/>
      <c r="E1717" s="66"/>
      <c r="F1717" s="66"/>
      <c r="G1717" s="27" t="s">
        <v>5701</v>
      </c>
      <c r="H1717" s="33">
        <v>53</v>
      </c>
      <c r="I1717" s="29"/>
      <c r="J1717" s="25">
        <v>1</v>
      </c>
      <c r="K1717" s="37">
        <v>1790.17</v>
      </c>
      <c r="L1717" s="17"/>
      <c r="M1717" s="29">
        <f t="shared" si="78"/>
        <v>0</v>
      </c>
      <c r="N1717" s="31">
        <f>0.565*L1717</f>
        <v>0</v>
      </c>
      <c r="O1717" s="32">
        <f>0.01522*L1717</f>
        <v>0</v>
      </c>
      <c r="P1717" s="36"/>
      <c r="Q1717" s="29" t="s">
        <v>5702</v>
      </c>
      <c r="R1717" s="29"/>
      <c r="S1717" s="26" t="str">
        <f>HYPERLINK("https://miland.ru/api/getInfo/image/f4f4c6ee-f01c-11ee-a25b-00155d82e908")</f>
        <v>https://miland.ru/api/getInfo/image/f4f4c6ee-f01c-11ee-a25b-00155d82e908</v>
      </c>
    </row>
    <row r="1718" spans="1:19" s="2" customFormat="1" ht="96.2" customHeight="1" outlineLevel="6">
      <c r="A1718" s="52">
        <v>1351</v>
      </c>
      <c r="B1718" s="26" t="s">
        <v>5703</v>
      </c>
      <c r="C1718" s="66" t="s">
        <v>5704</v>
      </c>
      <c r="D1718" s="66"/>
      <c r="E1718" s="66"/>
      <c r="F1718" s="66"/>
      <c r="G1718" s="27" t="s">
        <v>5705</v>
      </c>
      <c r="H1718" s="33">
        <v>113</v>
      </c>
      <c r="I1718" s="29"/>
      <c r="J1718" s="25">
        <v>1</v>
      </c>
      <c r="K1718" s="37">
        <v>1790.17</v>
      </c>
      <c r="L1718" s="17"/>
      <c r="M1718" s="29">
        <f t="shared" si="78"/>
        <v>0</v>
      </c>
      <c r="N1718" s="31">
        <f>0.558*L1718</f>
        <v>0</v>
      </c>
      <c r="O1718" s="32">
        <f>0.01418*L1718</f>
        <v>0</v>
      </c>
      <c r="P1718" s="36"/>
      <c r="Q1718" s="29" t="s">
        <v>5706</v>
      </c>
      <c r="R1718" s="29"/>
      <c r="S1718" s="26" t="str">
        <f>HYPERLINK("https://miland.ru/api/getInfo/image/23b48d2c-f01c-11ee-a25b-00155d82e908")</f>
        <v>https://miland.ru/api/getInfo/image/23b48d2c-f01c-11ee-a25b-00155d82e908</v>
      </c>
    </row>
    <row r="1719" spans="1:19" s="2" customFormat="1" ht="96.2" customHeight="1" outlineLevel="6">
      <c r="A1719" s="52">
        <v>1352</v>
      </c>
      <c r="B1719" s="26" t="s">
        <v>5707</v>
      </c>
      <c r="C1719" s="66" t="s">
        <v>5708</v>
      </c>
      <c r="D1719" s="66"/>
      <c r="E1719" s="66"/>
      <c r="F1719" s="66"/>
      <c r="G1719" s="27" t="s">
        <v>5709</v>
      </c>
      <c r="H1719" s="28" t="s">
        <v>44</v>
      </c>
      <c r="I1719" s="29"/>
      <c r="J1719" s="25">
        <v>5</v>
      </c>
      <c r="K1719" s="30">
        <v>106.62</v>
      </c>
      <c r="L1719" s="17"/>
      <c r="M1719" s="29">
        <f t="shared" si="78"/>
        <v>0</v>
      </c>
      <c r="N1719" s="31">
        <f>0.022*L1719</f>
        <v>0</v>
      </c>
      <c r="O1719" s="32">
        <f>0.00202*L1719</f>
        <v>0</v>
      </c>
      <c r="P1719" s="36"/>
      <c r="Q1719" s="29" t="s">
        <v>5710</v>
      </c>
      <c r="R1719" s="29"/>
      <c r="S1719" s="26" t="str">
        <f>HYPERLINK("https://miland.ru/api/getInfo/image/84d6dd97-439e-11e8-b13b-5cf3fc4a2490")</f>
        <v>https://miland.ru/api/getInfo/image/84d6dd97-439e-11e8-b13b-5cf3fc4a2490</v>
      </c>
    </row>
    <row r="1720" spans="1:19" s="2" customFormat="1" ht="96.2" customHeight="1" outlineLevel="6">
      <c r="A1720" s="52">
        <v>1353</v>
      </c>
      <c r="B1720" s="26" t="s">
        <v>5711</v>
      </c>
      <c r="C1720" s="66" t="s">
        <v>5712</v>
      </c>
      <c r="D1720" s="66"/>
      <c r="E1720" s="66"/>
      <c r="F1720" s="66"/>
      <c r="G1720" s="27" t="s">
        <v>5713</v>
      </c>
      <c r="H1720" s="33">
        <v>378</v>
      </c>
      <c r="I1720" s="29"/>
      <c r="J1720" s="25">
        <v>3</v>
      </c>
      <c r="K1720" s="30">
        <v>205</v>
      </c>
      <c r="L1720" s="17"/>
      <c r="M1720" s="29">
        <f t="shared" si="78"/>
        <v>0</v>
      </c>
      <c r="N1720" s="31">
        <f>0.076*L1720</f>
        <v>0</v>
      </c>
      <c r="O1720" s="32">
        <f>0.00521*L1720</f>
        <v>0</v>
      </c>
      <c r="P1720" s="36"/>
      <c r="Q1720" s="29" t="s">
        <v>5714</v>
      </c>
      <c r="R1720" s="29"/>
      <c r="S1720" s="26" t="str">
        <f>HYPERLINK("https://miland.ru/api/getInfo/image/a7c5eb76-439e-11e8-b13b-5cf3fc4a2490")</f>
        <v>https://miland.ru/api/getInfo/image/a7c5eb76-439e-11e8-b13b-5cf3fc4a2490</v>
      </c>
    </row>
    <row r="1721" spans="1:19" s="1" customFormat="1" ht="12" customHeight="1" outlineLevel="5">
      <c r="A1721" s="64" t="s">
        <v>5715</v>
      </c>
      <c r="B1721" s="64"/>
      <c r="C1721" s="64"/>
      <c r="D1721" s="64"/>
      <c r="E1721" s="64"/>
      <c r="F1721" s="64"/>
      <c r="G1721" s="8"/>
      <c r="H1721" s="12"/>
      <c r="I1721" s="2"/>
      <c r="J1721" s="2"/>
      <c r="K1721" s="13"/>
      <c r="L1721" s="2"/>
      <c r="M1721" s="2"/>
      <c r="N1721" s="2"/>
      <c r="O1721" s="2"/>
      <c r="P1721" s="2"/>
      <c r="Q1721" s="2"/>
      <c r="R1721" s="2"/>
      <c r="S1721" s="2"/>
    </row>
    <row r="1722" spans="1:19" s="2" customFormat="1" ht="96.2" customHeight="1" outlineLevel="6">
      <c r="A1722" s="52">
        <v>1354</v>
      </c>
      <c r="B1722" s="26" t="s">
        <v>5716</v>
      </c>
      <c r="C1722" s="66" t="s">
        <v>5717</v>
      </c>
      <c r="D1722" s="66"/>
      <c r="E1722" s="66"/>
      <c r="F1722" s="66"/>
      <c r="G1722" s="27" t="s">
        <v>5718</v>
      </c>
      <c r="H1722" s="33">
        <v>1</v>
      </c>
      <c r="I1722" s="29"/>
      <c r="J1722" s="25">
        <v>1</v>
      </c>
      <c r="K1722" s="30">
        <v>398.68</v>
      </c>
      <c r="L1722" s="17"/>
      <c r="M1722" s="29">
        <f t="shared" ref="M1722:M1727" si="79">K1722*L1722</f>
        <v>0</v>
      </c>
      <c r="N1722" s="31">
        <f>0.083*L1722</f>
        <v>0</v>
      </c>
      <c r="O1722" s="32">
        <f>0.00588*L1722</f>
        <v>0</v>
      </c>
      <c r="P1722" s="36"/>
      <c r="Q1722" s="29" t="s">
        <v>5719</v>
      </c>
      <c r="R1722" s="29" t="s">
        <v>611</v>
      </c>
      <c r="S1722" s="26" t="str">
        <f>HYPERLINK("https://miland.ru/api/getInfo/image/d83aaf1a-9635-11ed-a22d-00155d82e902")</f>
        <v>https://miland.ru/api/getInfo/image/d83aaf1a-9635-11ed-a22d-00155d82e902</v>
      </c>
    </row>
    <row r="1723" spans="1:19" s="2" customFormat="1" ht="96.2" customHeight="1" outlineLevel="6">
      <c r="A1723" s="52">
        <v>1355</v>
      </c>
      <c r="B1723" s="26" t="s">
        <v>5720</v>
      </c>
      <c r="C1723" s="66" t="s">
        <v>5721</v>
      </c>
      <c r="D1723" s="66"/>
      <c r="E1723" s="66"/>
      <c r="F1723" s="66"/>
      <c r="G1723" s="27" t="s">
        <v>5722</v>
      </c>
      <c r="H1723" s="33">
        <v>272</v>
      </c>
      <c r="I1723" s="29"/>
      <c r="J1723" s="25">
        <v>2</v>
      </c>
      <c r="K1723" s="30">
        <v>335.56</v>
      </c>
      <c r="L1723" s="17"/>
      <c r="M1723" s="29">
        <f t="shared" si="79"/>
        <v>0</v>
      </c>
      <c r="N1723" s="31">
        <f>0.064*L1723</f>
        <v>0</v>
      </c>
      <c r="O1723" s="32">
        <f>0.00403*L1723</f>
        <v>0</v>
      </c>
      <c r="P1723" s="36"/>
      <c r="Q1723" s="29" t="s">
        <v>5723</v>
      </c>
      <c r="R1723" s="29" t="s">
        <v>611</v>
      </c>
      <c r="S1723" s="26" t="str">
        <f>HYPERLINK("https://miland.ru/api/getInfo/image/a742c401-b6cc-11ee-a25a-00155d82e908")</f>
        <v>https://miland.ru/api/getInfo/image/a742c401-b6cc-11ee-a25a-00155d82e908</v>
      </c>
    </row>
    <row r="1724" spans="1:19" s="2" customFormat="1" ht="96.2" customHeight="1" outlineLevel="6">
      <c r="A1724" s="52">
        <v>1356</v>
      </c>
      <c r="B1724" s="26" t="s">
        <v>5724</v>
      </c>
      <c r="C1724" s="66" t="s">
        <v>5725</v>
      </c>
      <c r="D1724" s="66"/>
      <c r="E1724" s="66"/>
      <c r="F1724" s="66"/>
      <c r="G1724" s="27" t="s">
        <v>5726</v>
      </c>
      <c r="H1724" s="33">
        <v>482</v>
      </c>
      <c r="I1724" s="29"/>
      <c r="J1724" s="25">
        <v>1</v>
      </c>
      <c r="K1724" s="30">
        <v>859.35</v>
      </c>
      <c r="L1724" s="17"/>
      <c r="M1724" s="29">
        <f t="shared" si="79"/>
        <v>0</v>
      </c>
      <c r="N1724" s="31">
        <f>0.205*L1724</f>
        <v>0</v>
      </c>
      <c r="O1724" s="32">
        <f>0.00398*L1724</f>
        <v>0</v>
      </c>
      <c r="P1724" s="36"/>
      <c r="Q1724" s="29" t="s">
        <v>5727</v>
      </c>
      <c r="R1724" s="29" t="s">
        <v>611</v>
      </c>
      <c r="S1724" s="26" t="str">
        <f>HYPERLINK("https://miland.ru/api/getInfo/image/1ca87031-963a-11ed-a22d-00155d82e902")</f>
        <v>https://miland.ru/api/getInfo/image/1ca87031-963a-11ed-a22d-00155d82e902</v>
      </c>
    </row>
    <row r="1725" spans="1:19" s="2" customFormat="1" ht="96.2" customHeight="1" outlineLevel="6">
      <c r="A1725" s="52">
        <v>1357</v>
      </c>
      <c r="B1725" s="26" t="s">
        <v>5728</v>
      </c>
      <c r="C1725" s="66" t="s">
        <v>5729</v>
      </c>
      <c r="D1725" s="66"/>
      <c r="E1725" s="66"/>
      <c r="F1725" s="66"/>
      <c r="G1725" s="27" t="s">
        <v>5730</v>
      </c>
      <c r="H1725" s="33">
        <v>113</v>
      </c>
      <c r="I1725" s="29"/>
      <c r="J1725" s="25">
        <v>2</v>
      </c>
      <c r="K1725" s="30">
        <v>354.67</v>
      </c>
      <c r="L1725" s="17"/>
      <c r="M1725" s="29">
        <f t="shared" si="79"/>
        <v>0</v>
      </c>
      <c r="N1725" s="34">
        <f>0.08*L1725</f>
        <v>0</v>
      </c>
      <c r="O1725" s="32">
        <f>0.00536*L1725</f>
        <v>0</v>
      </c>
      <c r="P1725" s="36"/>
      <c r="Q1725" s="29" t="s">
        <v>5731</v>
      </c>
      <c r="R1725" s="29" t="s">
        <v>611</v>
      </c>
      <c r="S1725" s="26" t="str">
        <f>HYPERLINK("https://miland.ru/api/getInfo/image/5794112c-9639-11ed-a22d-00155d82e902")</f>
        <v>https://miland.ru/api/getInfo/image/5794112c-9639-11ed-a22d-00155d82e902</v>
      </c>
    </row>
    <row r="1726" spans="1:19" s="2" customFormat="1" ht="96.2" customHeight="1" outlineLevel="6">
      <c r="A1726" s="52">
        <v>1358</v>
      </c>
      <c r="B1726" s="26" t="s">
        <v>5732</v>
      </c>
      <c r="C1726" s="66" t="s">
        <v>5733</v>
      </c>
      <c r="D1726" s="66"/>
      <c r="E1726" s="66"/>
      <c r="F1726" s="66"/>
      <c r="G1726" s="27" t="s">
        <v>5734</v>
      </c>
      <c r="H1726" s="33">
        <v>14</v>
      </c>
      <c r="I1726" s="29"/>
      <c r="J1726" s="25">
        <v>1</v>
      </c>
      <c r="K1726" s="30">
        <v>701.62</v>
      </c>
      <c r="L1726" s="17"/>
      <c r="M1726" s="29">
        <f t="shared" si="79"/>
        <v>0</v>
      </c>
      <c r="N1726" s="31">
        <f>0.126*L1726</f>
        <v>0</v>
      </c>
      <c r="O1726" s="32">
        <f>0.00191*L1726</f>
        <v>0</v>
      </c>
      <c r="P1726" s="36"/>
      <c r="Q1726" s="29" t="s">
        <v>5735</v>
      </c>
      <c r="R1726" s="29"/>
      <c r="S1726" s="26" t="str">
        <f>HYPERLINK("https://miland.ru/api/getInfo/image/ef6c56a3-9639-11ed-a22d-00155d82e902")</f>
        <v>https://miland.ru/api/getInfo/image/ef6c56a3-9639-11ed-a22d-00155d82e902</v>
      </c>
    </row>
    <row r="1727" spans="1:19" s="2" customFormat="1" ht="96.2" customHeight="1" outlineLevel="6">
      <c r="A1727" s="52">
        <v>1359</v>
      </c>
      <c r="B1727" s="26" t="s">
        <v>5736</v>
      </c>
      <c r="C1727" s="66" t="s">
        <v>5737</v>
      </c>
      <c r="D1727" s="66"/>
      <c r="E1727" s="66"/>
      <c r="F1727" s="66"/>
      <c r="G1727" s="27" t="s">
        <v>5738</v>
      </c>
      <c r="H1727" s="33">
        <v>5</v>
      </c>
      <c r="I1727" s="29"/>
      <c r="J1727" s="25">
        <v>1</v>
      </c>
      <c r="K1727" s="30">
        <v>988.4</v>
      </c>
      <c r="L1727" s="17"/>
      <c r="M1727" s="29">
        <f t="shared" si="79"/>
        <v>0</v>
      </c>
      <c r="N1727" s="31">
        <f>0.198*L1727</f>
        <v>0</v>
      </c>
      <c r="O1727" s="32">
        <f>0.00983*L1727</f>
        <v>0</v>
      </c>
      <c r="P1727" s="36"/>
      <c r="Q1727" s="29" t="s">
        <v>5739</v>
      </c>
      <c r="R1727" s="29" t="s">
        <v>611</v>
      </c>
      <c r="S1727" s="26" t="str">
        <f>HYPERLINK("https://miland.ru/api/getInfo/image/0e60b9a6-20db-11f0-a279-00155d82e908")</f>
        <v>https://miland.ru/api/getInfo/image/0e60b9a6-20db-11f0-a279-00155d82e908</v>
      </c>
    </row>
    <row r="1728" spans="1:19" s="1" customFormat="1" ht="12" customHeight="1" outlineLevel="4">
      <c r="A1728" s="64" t="s">
        <v>5740</v>
      </c>
      <c r="B1728" s="64"/>
      <c r="C1728" s="64"/>
      <c r="D1728" s="64"/>
      <c r="E1728" s="64"/>
      <c r="F1728" s="64"/>
      <c r="G1728" s="8"/>
      <c r="H1728" s="12"/>
      <c r="I1728" s="2"/>
      <c r="J1728" s="2"/>
      <c r="K1728" s="13"/>
      <c r="L1728" s="2"/>
      <c r="M1728" s="2"/>
      <c r="N1728" s="2"/>
      <c r="O1728" s="2"/>
      <c r="P1728" s="2"/>
      <c r="Q1728" s="2"/>
      <c r="R1728" s="2"/>
      <c r="S1728" s="2"/>
    </row>
    <row r="1729" spans="1:19" s="2" customFormat="1" ht="96.2" customHeight="1" outlineLevel="5">
      <c r="A1729" s="52">
        <v>1360</v>
      </c>
      <c r="B1729" s="26" t="s">
        <v>5741</v>
      </c>
      <c r="C1729" s="66" t="s">
        <v>5742</v>
      </c>
      <c r="D1729" s="66"/>
      <c r="E1729" s="66"/>
      <c r="F1729" s="66"/>
      <c r="G1729" s="27" t="s">
        <v>5743</v>
      </c>
      <c r="H1729" s="33">
        <v>31</v>
      </c>
      <c r="I1729" s="29"/>
      <c r="J1729" s="25">
        <v>1</v>
      </c>
      <c r="K1729" s="30">
        <v>957.87</v>
      </c>
      <c r="L1729" s="17"/>
      <c r="M1729" s="29">
        <f t="shared" ref="M1729:M1734" si="80">K1729*L1729</f>
        <v>0</v>
      </c>
      <c r="N1729" s="31">
        <f>0.215*L1729</f>
        <v>0</v>
      </c>
      <c r="O1729" s="32">
        <f>0.00345*L1729</f>
        <v>0</v>
      </c>
      <c r="P1729" s="36"/>
      <c r="Q1729" s="29" t="s">
        <v>5744</v>
      </c>
      <c r="R1729" s="29"/>
      <c r="S1729" s="26" t="str">
        <f>HYPERLINK("https://miland.ru/api/getInfo/image/2f6938da-f193-11ee-a25b-00155d82e908")</f>
        <v>https://miland.ru/api/getInfo/image/2f6938da-f193-11ee-a25b-00155d82e908</v>
      </c>
    </row>
    <row r="1730" spans="1:19" s="2" customFormat="1" ht="96.2" customHeight="1" outlineLevel="5">
      <c r="A1730" s="52">
        <v>1361</v>
      </c>
      <c r="B1730" s="26" t="s">
        <v>5745</v>
      </c>
      <c r="C1730" s="66" t="s">
        <v>5746</v>
      </c>
      <c r="D1730" s="66"/>
      <c r="E1730" s="66"/>
      <c r="F1730" s="66"/>
      <c r="G1730" s="27" t="s">
        <v>5747</v>
      </c>
      <c r="H1730" s="33">
        <v>40</v>
      </c>
      <c r="I1730" s="29"/>
      <c r="J1730" s="25">
        <v>1</v>
      </c>
      <c r="K1730" s="37">
        <v>1126.92</v>
      </c>
      <c r="L1730" s="17"/>
      <c r="M1730" s="29">
        <f t="shared" si="80"/>
        <v>0</v>
      </c>
      <c r="N1730" s="50">
        <f>1*L1730</f>
        <v>0</v>
      </c>
      <c r="O1730" s="32">
        <f>0.00233*L1730</f>
        <v>0</v>
      </c>
      <c r="P1730" s="36"/>
      <c r="Q1730" s="29" t="s">
        <v>5748</v>
      </c>
      <c r="R1730" s="29"/>
      <c r="S1730" s="26" t="str">
        <f>HYPERLINK("https://miland.ru/api/getInfo/image/5f7a2978-f193-11ee-a25b-00155d82e908")</f>
        <v>https://miland.ru/api/getInfo/image/5f7a2978-f193-11ee-a25b-00155d82e908</v>
      </c>
    </row>
    <row r="1731" spans="1:19" s="2" customFormat="1" ht="96.2" customHeight="1" outlineLevel="5">
      <c r="A1731" s="52">
        <v>1362</v>
      </c>
      <c r="B1731" s="26" t="s">
        <v>5749</v>
      </c>
      <c r="C1731" s="66" t="s">
        <v>5750</v>
      </c>
      <c r="D1731" s="66"/>
      <c r="E1731" s="66"/>
      <c r="F1731" s="66"/>
      <c r="G1731" s="27" t="s">
        <v>5751</v>
      </c>
      <c r="H1731" s="33">
        <v>28</v>
      </c>
      <c r="I1731" s="29"/>
      <c r="J1731" s="25">
        <v>1</v>
      </c>
      <c r="K1731" s="37">
        <v>1014.23</v>
      </c>
      <c r="L1731" s="17"/>
      <c r="M1731" s="29">
        <f t="shared" si="80"/>
        <v>0</v>
      </c>
      <c r="N1731" s="31">
        <f>0.303*L1731</f>
        <v>0</v>
      </c>
      <c r="O1731" s="32">
        <f>0.00248*L1731</f>
        <v>0</v>
      </c>
      <c r="P1731" s="36"/>
      <c r="Q1731" s="29" t="s">
        <v>5752</v>
      </c>
      <c r="R1731" s="29" t="s">
        <v>611</v>
      </c>
      <c r="S1731" s="26" t="str">
        <f>HYPERLINK("https://miland.ru/api/getInfo/image/86df31fa-f193-11ee-a25b-00155d82e908")</f>
        <v>https://miland.ru/api/getInfo/image/86df31fa-f193-11ee-a25b-00155d82e908</v>
      </c>
    </row>
    <row r="1732" spans="1:19" s="2" customFormat="1" ht="96.2" customHeight="1" outlineLevel="5">
      <c r="A1732" s="53">
        <v>1363</v>
      </c>
      <c r="B1732" s="10" t="s">
        <v>5753</v>
      </c>
      <c r="C1732" s="65" t="s">
        <v>5754</v>
      </c>
      <c r="D1732" s="65"/>
      <c r="E1732" s="65"/>
      <c r="F1732" s="65"/>
      <c r="G1732" s="11" t="s">
        <v>5755</v>
      </c>
      <c r="H1732" s="14">
        <v>14</v>
      </c>
      <c r="I1732" s="15"/>
      <c r="J1732" s="9">
        <v>1</v>
      </c>
      <c r="K1732" s="16">
        <v>455.45</v>
      </c>
      <c r="L1732" s="17"/>
      <c r="M1732" s="15">
        <f t="shared" si="80"/>
        <v>0</v>
      </c>
      <c r="N1732" s="18">
        <f>0.091*L1732</f>
        <v>0</v>
      </c>
      <c r="O1732" s="19">
        <f>0.00047*L1732</f>
        <v>0</v>
      </c>
      <c r="P1732" s="24" t="s">
        <v>26</v>
      </c>
      <c r="Q1732" s="15" t="s">
        <v>5756</v>
      </c>
      <c r="R1732" s="15"/>
      <c r="S1732" s="10" t="str">
        <f>HYPERLINK("https://miland.ru/api/getInfo/image/b9d479de-d5be-11f0-a28c-00155d82e908")</f>
        <v>https://miland.ru/api/getInfo/image/b9d479de-d5be-11f0-a28c-00155d82e908</v>
      </c>
    </row>
    <row r="1733" spans="1:19" s="2" customFormat="1" ht="96.2" customHeight="1" outlineLevel="5">
      <c r="A1733" s="53">
        <v>1364</v>
      </c>
      <c r="B1733" s="10" t="s">
        <v>5757</v>
      </c>
      <c r="C1733" s="65" t="s">
        <v>5758</v>
      </c>
      <c r="D1733" s="65"/>
      <c r="E1733" s="65"/>
      <c r="F1733" s="65"/>
      <c r="G1733" s="11" t="s">
        <v>5759</v>
      </c>
      <c r="H1733" s="14">
        <v>190</v>
      </c>
      <c r="I1733" s="15"/>
      <c r="J1733" s="9">
        <v>1</v>
      </c>
      <c r="K1733" s="16">
        <v>784.39</v>
      </c>
      <c r="L1733" s="17"/>
      <c r="M1733" s="15">
        <f t="shared" si="80"/>
        <v>0</v>
      </c>
      <c r="N1733" s="18">
        <f>0.208*L1733</f>
        <v>0</v>
      </c>
      <c r="O1733" s="19">
        <f>0.00129*L1733</f>
        <v>0</v>
      </c>
      <c r="P1733" s="24" t="s">
        <v>26</v>
      </c>
      <c r="Q1733" s="15" t="s">
        <v>5760</v>
      </c>
      <c r="R1733" s="15"/>
      <c r="S1733" s="10" t="str">
        <f>HYPERLINK("https://miland.ru/api/getInfo/image/f35c80cc-d5bd-11f0-a28c-00155d82e908")</f>
        <v>https://miland.ru/api/getInfo/image/f35c80cc-d5bd-11f0-a28c-00155d82e908</v>
      </c>
    </row>
    <row r="1734" spans="1:19" s="2" customFormat="1" ht="96.2" customHeight="1" outlineLevel="5">
      <c r="A1734" s="53">
        <v>1365</v>
      </c>
      <c r="B1734" s="10" t="s">
        <v>5761</v>
      </c>
      <c r="C1734" s="65" t="s">
        <v>5762</v>
      </c>
      <c r="D1734" s="65"/>
      <c r="E1734" s="65"/>
      <c r="F1734" s="65"/>
      <c r="G1734" s="11" t="s">
        <v>5763</v>
      </c>
      <c r="H1734" s="14">
        <v>216</v>
      </c>
      <c r="I1734" s="15"/>
      <c r="J1734" s="9">
        <v>1</v>
      </c>
      <c r="K1734" s="22">
        <v>1012.11</v>
      </c>
      <c r="L1734" s="17"/>
      <c r="M1734" s="15">
        <f t="shared" si="80"/>
        <v>0</v>
      </c>
      <c r="N1734" s="18">
        <f>0.297*L1734</f>
        <v>0</v>
      </c>
      <c r="O1734" s="19">
        <f>0.00231*L1734</f>
        <v>0</v>
      </c>
      <c r="P1734" s="24" t="s">
        <v>26</v>
      </c>
      <c r="Q1734" s="15" t="s">
        <v>5764</v>
      </c>
      <c r="R1734" s="15"/>
      <c r="S1734" s="10" t="str">
        <f>HYPERLINK("https://miland.ru/api/getInfo/image/6dc5119a-d5be-11f0-a28c-00155d82e908")</f>
        <v>https://miland.ru/api/getInfo/image/6dc5119a-d5be-11f0-a28c-00155d82e908</v>
      </c>
    </row>
    <row r="1735" spans="1:19" s="1" customFormat="1" ht="12" customHeight="1" outlineLevel="4">
      <c r="A1735" s="64" t="s">
        <v>5765</v>
      </c>
      <c r="B1735" s="64"/>
      <c r="C1735" s="64"/>
      <c r="D1735" s="64"/>
      <c r="E1735" s="64"/>
      <c r="F1735" s="64"/>
      <c r="G1735" s="8"/>
      <c r="H1735" s="12"/>
      <c r="I1735" s="2"/>
      <c r="J1735" s="2"/>
      <c r="K1735" s="13"/>
      <c r="L1735" s="2"/>
      <c r="M1735" s="2"/>
      <c r="N1735" s="2"/>
      <c r="O1735" s="2"/>
      <c r="P1735" s="2"/>
      <c r="Q1735" s="2"/>
      <c r="R1735" s="2"/>
      <c r="S1735" s="2"/>
    </row>
    <row r="1736" spans="1:19" s="2" customFormat="1" ht="96.2" customHeight="1" outlineLevel="5">
      <c r="A1736" s="52">
        <v>1366</v>
      </c>
      <c r="B1736" s="26" t="s">
        <v>5766</v>
      </c>
      <c r="C1736" s="66" t="s">
        <v>5767</v>
      </c>
      <c r="D1736" s="66"/>
      <c r="E1736" s="66"/>
      <c r="F1736" s="66"/>
      <c r="G1736" s="27" t="s">
        <v>5768</v>
      </c>
      <c r="H1736" s="33">
        <v>296</v>
      </c>
      <c r="I1736" s="29"/>
      <c r="J1736" s="25">
        <v>2</v>
      </c>
      <c r="K1736" s="30">
        <v>268.45999999999998</v>
      </c>
      <c r="L1736" s="17"/>
      <c r="M1736" s="29">
        <f>K1736*L1736</f>
        <v>0</v>
      </c>
      <c r="N1736" s="31">
        <f>0.059*L1736</f>
        <v>0</v>
      </c>
      <c r="O1736" s="32">
        <f>0.00051*L1736</f>
        <v>0</v>
      </c>
      <c r="P1736" s="36"/>
      <c r="Q1736" s="29" t="s">
        <v>5769</v>
      </c>
      <c r="R1736" s="29" t="s">
        <v>611</v>
      </c>
      <c r="S1736" s="26" t="str">
        <f>HYPERLINK("https://miland.ru/api/getInfo/image/8896399f-0acc-11f0-a279-00155d82e908")</f>
        <v>https://miland.ru/api/getInfo/image/8896399f-0acc-11f0-a279-00155d82e908</v>
      </c>
    </row>
    <row r="1737" spans="1:19" s="2" customFormat="1" ht="96.2" customHeight="1" outlineLevel="5">
      <c r="A1737" s="52">
        <v>1367</v>
      </c>
      <c r="B1737" s="26" t="s">
        <v>5770</v>
      </c>
      <c r="C1737" s="66" t="s">
        <v>5771</v>
      </c>
      <c r="D1737" s="66"/>
      <c r="E1737" s="66"/>
      <c r="F1737" s="66"/>
      <c r="G1737" s="27" t="s">
        <v>5772</v>
      </c>
      <c r="H1737" s="33">
        <v>78</v>
      </c>
      <c r="I1737" s="29"/>
      <c r="J1737" s="25">
        <v>3</v>
      </c>
      <c r="K1737" s="30">
        <v>239.55</v>
      </c>
      <c r="L1737" s="17"/>
      <c r="M1737" s="29">
        <f>K1737*L1737</f>
        <v>0</v>
      </c>
      <c r="N1737" s="31">
        <f>0.019*L1737</f>
        <v>0</v>
      </c>
      <c r="O1737" s="32">
        <f>0.00098*L1737</f>
        <v>0</v>
      </c>
      <c r="P1737" s="36"/>
      <c r="Q1737" s="29" t="s">
        <v>5773</v>
      </c>
      <c r="R1737" s="29" t="s">
        <v>611</v>
      </c>
      <c r="S1737" s="26" t="str">
        <f>HYPERLINK("https://miland.ru/api/getInfo/image/1369b320-0acd-11f0-a279-00155d82e908")</f>
        <v>https://miland.ru/api/getInfo/image/1369b320-0acd-11f0-a279-00155d82e908</v>
      </c>
    </row>
    <row r="1738" spans="1:19" s="2" customFormat="1" ht="96.2" customHeight="1" outlineLevel="5">
      <c r="A1738" s="52">
        <v>1368</v>
      </c>
      <c r="B1738" s="26" t="s">
        <v>5774</v>
      </c>
      <c r="C1738" s="66" t="s">
        <v>5775</v>
      </c>
      <c r="D1738" s="66"/>
      <c r="E1738" s="66"/>
      <c r="F1738" s="66"/>
      <c r="G1738" s="27" t="s">
        <v>5776</v>
      </c>
      <c r="H1738" s="33">
        <v>410</v>
      </c>
      <c r="I1738" s="29"/>
      <c r="J1738" s="25">
        <v>3</v>
      </c>
      <c r="K1738" s="30">
        <v>264.33</v>
      </c>
      <c r="L1738" s="17"/>
      <c r="M1738" s="29">
        <f>K1738*L1738</f>
        <v>0</v>
      </c>
      <c r="N1738" s="31">
        <f>0.048*L1738</f>
        <v>0</v>
      </c>
      <c r="O1738" s="32">
        <f>0.00124*L1738</f>
        <v>0</v>
      </c>
      <c r="P1738" s="36"/>
      <c r="Q1738" s="29" t="s">
        <v>5777</v>
      </c>
      <c r="R1738" s="29" t="s">
        <v>611</v>
      </c>
      <c r="S1738" s="26" t="str">
        <f>HYPERLINK("https://miland.ru/api/getInfo/image/675aa326-0acd-11f0-a279-00155d82e908")</f>
        <v>https://miland.ru/api/getInfo/image/675aa326-0acd-11f0-a279-00155d82e908</v>
      </c>
    </row>
    <row r="1739" spans="1:19" s="1" customFormat="1" ht="12" customHeight="1" outlineLevel="4">
      <c r="A1739" s="64" t="s">
        <v>5778</v>
      </c>
      <c r="B1739" s="64"/>
      <c r="C1739" s="64"/>
      <c r="D1739" s="64"/>
      <c r="E1739" s="64"/>
      <c r="F1739" s="64"/>
      <c r="G1739" s="8"/>
      <c r="H1739" s="12"/>
      <c r="I1739" s="2"/>
      <c r="J1739" s="2"/>
      <c r="K1739" s="13"/>
      <c r="L1739" s="2"/>
      <c r="M1739" s="2"/>
      <c r="N1739" s="2"/>
      <c r="O1739" s="2"/>
      <c r="P1739" s="2"/>
      <c r="Q1739" s="2"/>
      <c r="R1739" s="2"/>
      <c r="S1739" s="2"/>
    </row>
    <row r="1740" spans="1:19" s="2" customFormat="1" ht="96.2" customHeight="1" outlineLevel="5">
      <c r="A1740" s="52">
        <v>1369</v>
      </c>
      <c r="B1740" s="26" t="s">
        <v>5779</v>
      </c>
      <c r="C1740" s="66" t="s">
        <v>5780</v>
      </c>
      <c r="D1740" s="66"/>
      <c r="E1740" s="66"/>
      <c r="F1740" s="66"/>
      <c r="G1740" s="27" t="s">
        <v>5781</v>
      </c>
      <c r="H1740" s="33">
        <v>451</v>
      </c>
      <c r="I1740" s="29"/>
      <c r="J1740" s="25">
        <v>1</v>
      </c>
      <c r="K1740" s="37">
        <v>3284.29</v>
      </c>
      <c r="L1740" s="17"/>
      <c r="M1740" s="29">
        <f t="shared" ref="M1740:M1745" si="81">K1740*L1740</f>
        <v>0</v>
      </c>
      <c r="N1740" s="41">
        <f>4.7*L1740</f>
        <v>0</v>
      </c>
      <c r="O1740" s="32">
        <f>0.03069*L1740</f>
        <v>0</v>
      </c>
      <c r="P1740" s="36"/>
      <c r="Q1740" s="29" t="s">
        <v>5782</v>
      </c>
      <c r="R1740" s="29" t="s">
        <v>611</v>
      </c>
      <c r="S1740" s="26" t="str">
        <f>HYPERLINK("https://miland.ru/api/getInfo/image/fd53d209-ed29-11ef-a274-00155d82e908")</f>
        <v>https://miland.ru/api/getInfo/image/fd53d209-ed29-11ef-a274-00155d82e908</v>
      </c>
    </row>
    <row r="1741" spans="1:19" s="2" customFormat="1" ht="96.2" customHeight="1" outlineLevel="5">
      <c r="A1741" s="52">
        <v>1370</v>
      </c>
      <c r="B1741" s="26" t="s">
        <v>5783</v>
      </c>
      <c r="C1741" s="66" t="s">
        <v>5784</v>
      </c>
      <c r="D1741" s="66"/>
      <c r="E1741" s="66"/>
      <c r="F1741" s="66"/>
      <c r="G1741" s="27" t="s">
        <v>5785</v>
      </c>
      <c r="H1741" s="33">
        <v>19</v>
      </c>
      <c r="I1741" s="29"/>
      <c r="J1741" s="25">
        <v>1</v>
      </c>
      <c r="K1741" s="37">
        <v>2202.86</v>
      </c>
      <c r="L1741" s="17"/>
      <c r="M1741" s="29">
        <f t="shared" si="81"/>
        <v>0</v>
      </c>
      <c r="N1741" s="34">
        <f>1.46*L1741</f>
        <v>0</v>
      </c>
      <c r="O1741" s="32">
        <f>0.02851*L1741</f>
        <v>0</v>
      </c>
      <c r="P1741" s="36"/>
      <c r="Q1741" s="29"/>
      <c r="R1741" s="29" t="s">
        <v>611</v>
      </c>
      <c r="S1741" s="26" t="str">
        <f>HYPERLINK("https://miland.ru/api/getInfo/image/9df598dd-096c-11ec-a20e-ac1f6b442185")</f>
        <v>https://miland.ru/api/getInfo/image/9df598dd-096c-11ec-a20e-ac1f6b442185</v>
      </c>
    </row>
    <row r="1742" spans="1:19" s="2" customFormat="1" ht="96.2" customHeight="1" outlineLevel="5">
      <c r="A1742" s="52">
        <v>1371</v>
      </c>
      <c r="B1742" s="26" t="s">
        <v>5786</v>
      </c>
      <c r="C1742" s="66" t="s">
        <v>5787</v>
      </c>
      <c r="D1742" s="66"/>
      <c r="E1742" s="66"/>
      <c r="F1742" s="66"/>
      <c r="G1742" s="27" t="s">
        <v>5788</v>
      </c>
      <c r="H1742" s="33">
        <v>7</v>
      </c>
      <c r="I1742" s="29"/>
      <c r="J1742" s="25">
        <v>1</v>
      </c>
      <c r="K1742" s="37">
        <v>3120.7</v>
      </c>
      <c r="L1742" s="17"/>
      <c r="M1742" s="29">
        <f t="shared" si="81"/>
        <v>0</v>
      </c>
      <c r="N1742" s="34">
        <f>3.32*L1742</f>
        <v>0</v>
      </c>
      <c r="O1742" s="32">
        <f>0.03062*L1742</f>
        <v>0</v>
      </c>
      <c r="P1742" s="36"/>
      <c r="Q1742" s="29" t="s">
        <v>5789</v>
      </c>
      <c r="R1742" s="29" t="s">
        <v>611</v>
      </c>
      <c r="S1742" s="26" t="str">
        <f>HYPERLINK("https://miland.ru/api/getInfo/image/079988c7-8e35-11ec-a211-ac1f6b442185")</f>
        <v>https://miland.ru/api/getInfo/image/079988c7-8e35-11ec-a211-ac1f6b442185</v>
      </c>
    </row>
    <row r="1743" spans="1:19" s="2" customFormat="1" ht="96.2" customHeight="1" outlineLevel="5">
      <c r="A1743" s="52">
        <v>1372</v>
      </c>
      <c r="B1743" s="26" t="s">
        <v>5790</v>
      </c>
      <c r="C1743" s="66" t="s">
        <v>5791</v>
      </c>
      <c r="D1743" s="66"/>
      <c r="E1743" s="66"/>
      <c r="F1743" s="66"/>
      <c r="G1743" s="27" t="s">
        <v>5792</v>
      </c>
      <c r="H1743" s="33">
        <v>6</v>
      </c>
      <c r="I1743" s="29"/>
      <c r="J1743" s="25">
        <v>1</v>
      </c>
      <c r="K1743" s="37">
        <v>3766.36</v>
      </c>
      <c r="L1743" s="17"/>
      <c r="M1743" s="29">
        <f t="shared" si="81"/>
        <v>0</v>
      </c>
      <c r="N1743" s="34">
        <f>4.48*L1743</f>
        <v>0</v>
      </c>
      <c r="O1743" s="32">
        <f>0.04104*L1743</f>
        <v>0</v>
      </c>
      <c r="P1743" s="36"/>
      <c r="Q1743" s="29"/>
      <c r="R1743" s="29" t="s">
        <v>611</v>
      </c>
      <c r="S1743" s="26" t="str">
        <f>HYPERLINK("https://miland.ru/api/getInfo/image/8ce735ec-8e35-11ec-a211-ac1f6b442185")</f>
        <v>https://miland.ru/api/getInfo/image/8ce735ec-8e35-11ec-a211-ac1f6b442185</v>
      </c>
    </row>
    <row r="1744" spans="1:19" s="2" customFormat="1" ht="96.2" customHeight="1" outlineLevel="5">
      <c r="A1744" s="52">
        <v>1373</v>
      </c>
      <c r="B1744" s="26" t="s">
        <v>5793</v>
      </c>
      <c r="C1744" s="66" t="s">
        <v>5794</v>
      </c>
      <c r="D1744" s="66"/>
      <c r="E1744" s="66"/>
      <c r="F1744" s="66"/>
      <c r="G1744" s="27" t="s">
        <v>5795</v>
      </c>
      <c r="H1744" s="33">
        <v>8</v>
      </c>
      <c r="I1744" s="29"/>
      <c r="J1744" s="25">
        <v>1</v>
      </c>
      <c r="K1744" s="37">
        <v>4683.1899999999996</v>
      </c>
      <c r="L1744" s="17"/>
      <c r="M1744" s="29">
        <f t="shared" si="81"/>
        <v>0</v>
      </c>
      <c r="N1744" s="34">
        <f>4.56*L1744</f>
        <v>0</v>
      </c>
      <c r="O1744" s="31">
        <f>0.044*L1744</f>
        <v>0</v>
      </c>
      <c r="P1744" s="36"/>
      <c r="Q1744" s="29" t="s">
        <v>5796</v>
      </c>
      <c r="R1744" s="29" t="s">
        <v>611</v>
      </c>
      <c r="S1744" s="26" t="str">
        <f>HYPERLINK("https://miland.ru/api/getInfo/image/09b6a868-8e53-11ec-a211-ac1f6b442185")</f>
        <v>https://miland.ru/api/getInfo/image/09b6a868-8e53-11ec-a211-ac1f6b442185</v>
      </c>
    </row>
    <row r="1745" spans="1:19" s="2" customFormat="1" ht="96.2" customHeight="1" outlineLevel="5">
      <c r="A1745" s="52">
        <v>1374</v>
      </c>
      <c r="B1745" s="26" t="s">
        <v>5797</v>
      </c>
      <c r="C1745" s="66" t="s">
        <v>5798</v>
      </c>
      <c r="D1745" s="66"/>
      <c r="E1745" s="66"/>
      <c r="F1745" s="66"/>
      <c r="G1745" s="27" t="s">
        <v>5799</v>
      </c>
      <c r="H1745" s="33">
        <v>11</v>
      </c>
      <c r="I1745" s="29"/>
      <c r="J1745" s="25">
        <v>1</v>
      </c>
      <c r="K1745" s="37">
        <v>4139.83</v>
      </c>
      <c r="L1745" s="17"/>
      <c r="M1745" s="29">
        <f t="shared" si="81"/>
        <v>0</v>
      </c>
      <c r="N1745" s="41">
        <f>5.6*L1745</f>
        <v>0</v>
      </c>
      <c r="O1745" s="32">
        <f>0.05966*L1745</f>
        <v>0</v>
      </c>
      <c r="P1745" s="36"/>
      <c r="Q1745" s="29"/>
      <c r="R1745" s="29" t="s">
        <v>611</v>
      </c>
      <c r="S1745" s="26" t="str">
        <f>HYPERLINK("https://miland.ru/api/getInfo/image/90ca5e69-565b-11eb-a26d-ac1f6b442184")</f>
        <v>https://miland.ru/api/getInfo/image/90ca5e69-565b-11eb-a26d-ac1f6b442184</v>
      </c>
    </row>
    <row r="1746" spans="1:19" s="1" customFormat="1" ht="12" customHeight="1" outlineLevel="4">
      <c r="A1746" s="64" t="s">
        <v>5800</v>
      </c>
      <c r="B1746" s="64"/>
      <c r="C1746" s="64"/>
      <c r="D1746" s="64"/>
      <c r="E1746" s="64"/>
      <c r="F1746" s="64"/>
      <c r="G1746" s="8"/>
      <c r="H1746" s="12"/>
      <c r="I1746" s="2"/>
      <c r="J1746" s="2"/>
      <c r="K1746" s="13"/>
      <c r="L1746" s="2"/>
      <c r="M1746" s="2"/>
      <c r="N1746" s="2"/>
      <c r="O1746" s="2"/>
      <c r="P1746" s="2"/>
      <c r="Q1746" s="2"/>
      <c r="R1746" s="2"/>
      <c r="S1746" s="2"/>
    </row>
    <row r="1747" spans="1:19" s="2" customFormat="1" ht="96.2" customHeight="1" outlineLevel="5">
      <c r="A1747" s="52">
        <v>1375</v>
      </c>
      <c r="B1747" s="26" t="s">
        <v>5801</v>
      </c>
      <c r="C1747" s="66" t="s">
        <v>5802</v>
      </c>
      <c r="D1747" s="66"/>
      <c r="E1747" s="66"/>
      <c r="F1747" s="66"/>
      <c r="G1747" s="27" t="s">
        <v>5803</v>
      </c>
      <c r="H1747" s="33">
        <v>229</v>
      </c>
      <c r="I1747" s="29"/>
      <c r="J1747" s="25">
        <v>1</v>
      </c>
      <c r="K1747" s="30">
        <v>714.12</v>
      </c>
      <c r="L1747" s="17"/>
      <c r="M1747" s="29">
        <f t="shared" ref="M1747:M1755" si="82">K1747*L1747</f>
        <v>0</v>
      </c>
      <c r="N1747" s="31">
        <f>0.092*L1747</f>
        <v>0</v>
      </c>
      <c r="O1747" s="32">
        <f>0.00262*L1747</f>
        <v>0</v>
      </c>
      <c r="P1747" s="36"/>
      <c r="Q1747" s="29" t="s">
        <v>5804</v>
      </c>
      <c r="R1747" s="29" t="s">
        <v>611</v>
      </c>
      <c r="S1747" s="26" t="str">
        <f>HYPERLINK("https://miland.ru/api/getInfo/image/3e1a86d4-be95-11ee-a25a-00155d82e908")</f>
        <v>https://miland.ru/api/getInfo/image/3e1a86d4-be95-11ee-a25a-00155d82e908</v>
      </c>
    </row>
    <row r="1748" spans="1:19" s="2" customFormat="1" ht="96.2" customHeight="1" outlineLevel="5">
      <c r="A1748" s="52">
        <v>1376</v>
      </c>
      <c r="B1748" s="26" t="s">
        <v>5805</v>
      </c>
      <c r="C1748" s="66" t="s">
        <v>5806</v>
      </c>
      <c r="D1748" s="66"/>
      <c r="E1748" s="66"/>
      <c r="F1748" s="66"/>
      <c r="G1748" s="27" t="s">
        <v>5807</v>
      </c>
      <c r="H1748" s="33">
        <v>205</v>
      </c>
      <c r="I1748" s="29"/>
      <c r="J1748" s="25">
        <v>1</v>
      </c>
      <c r="K1748" s="30">
        <v>732.97</v>
      </c>
      <c r="L1748" s="17"/>
      <c r="M1748" s="29">
        <f t="shared" si="82"/>
        <v>0</v>
      </c>
      <c r="N1748" s="31">
        <f>0.217*L1748</f>
        <v>0</v>
      </c>
      <c r="O1748" s="32">
        <f>0.00272*L1748</f>
        <v>0</v>
      </c>
      <c r="P1748" s="36"/>
      <c r="Q1748" s="29" t="s">
        <v>5808</v>
      </c>
      <c r="R1748" s="29"/>
      <c r="S1748" s="26" t="str">
        <f>HYPERLINK("https://miland.ru/api/getInfo/image/73c1e6f0-7141-11ed-a22a-00155d82e902")</f>
        <v>https://miland.ru/api/getInfo/image/73c1e6f0-7141-11ed-a22a-00155d82e902</v>
      </c>
    </row>
    <row r="1749" spans="1:19" s="2" customFormat="1" ht="96.2" customHeight="1" outlineLevel="5">
      <c r="A1749" s="52">
        <v>1377</v>
      </c>
      <c r="B1749" s="26" t="s">
        <v>5809</v>
      </c>
      <c r="C1749" s="66" t="s">
        <v>5810</v>
      </c>
      <c r="D1749" s="66"/>
      <c r="E1749" s="66"/>
      <c r="F1749" s="66"/>
      <c r="G1749" s="27" t="s">
        <v>5811</v>
      </c>
      <c r="H1749" s="33">
        <v>61</v>
      </c>
      <c r="I1749" s="29"/>
      <c r="J1749" s="25">
        <v>1</v>
      </c>
      <c r="K1749" s="30">
        <v>771.97</v>
      </c>
      <c r="L1749" s="17"/>
      <c r="M1749" s="29">
        <f t="shared" si="82"/>
        <v>0</v>
      </c>
      <c r="N1749" s="34">
        <f>0.14*L1749</f>
        <v>0</v>
      </c>
      <c r="O1749" s="35">
        <f>0.0024*L1749</f>
        <v>0</v>
      </c>
      <c r="P1749" s="36"/>
      <c r="Q1749" s="29" t="s">
        <v>5812</v>
      </c>
      <c r="R1749" s="29" t="s">
        <v>611</v>
      </c>
      <c r="S1749" s="26" t="str">
        <f>HYPERLINK("https://miland.ru/api/getInfo/image/8939b94f-be95-11ee-a25a-00155d82e908")</f>
        <v>https://miland.ru/api/getInfo/image/8939b94f-be95-11ee-a25a-00155d82e908</v>
      </c>
    </row>
    <row r="1750" spans="1:19" s="2" customFormat="1" ht="96.2" customHeight="1" outlineLevel="5">
      <c r="A1750" s="52">
        <v>1378</v>
      </c>
      <c r="B1750" s="26" t="s">
        <v>5813</v>
      </c>
      <c r="C1750" s="66" t="s">
        <v>5814</v>
      </c>
      <c r="D1750" s="66"/>
      <c r="E1750" s="66"/>
      <c r="F1750" s="66"/>
      <c r="G1750" s="27" t="s">
        <v>5815</v>
      </c>
      <c r="H1750" s="28" t="s">
        <v>44</v>
      </c>
      <c r="I1750" s="29"/>
      <c r="J1750" s="25">
        <v>1</v>
      </c>
      <c r="K1750" s="30">
        <v>610.80999999999995</v>
      </c>
      <c r="L1750" s="17"/>
      <c r="M1750" s="29">
        <f t="shared" si="82"/>
        <v>0</v>
      </c>
      <c r="N1750" s="31">
        <f>0.183*L1750</f>
        <v>0</v>
      </c>
      <c r="O1750" s="32">
        <f>0.00291*L1750</f>
        <v>0</v>
      </c>
      <c r="P1750" s="36"/>
      <c r="Q1750" s="29" t="s">
        <v>5816</v>
      </c>
      <c r="R1750" s="29"/>
      <c r="S1750" s="26" t="str">
        <f>HYPERLINK("https://miland.ru/api/getInfo/image/bf166825-7140-11ed-a22a-00155d82e902")</f>
        <v>https://miland.ru/api/getInfo/image/bf166825-7140-11ed-a22a-00155d82e902</v>
      </c>
    </row>
    <row r="1751" spans="1:19" s="2" customFormat="1" ht="96.2" customHeight="1" outlineLevel="5">
      <c r="A1751" s="52">
        <v>1379</v>
      </c>
      <c r="B1751" s="26" t="s">
        <v>5817</v>
      </c>
      <c r="C1751" s="66" t="s">
        <v>5818</v>
      </c>
      <c r="D1751" s="66"/>
      <c r="E1751" s="66"/>
      <c r="F1751" s="66"/>
      <c r="G1751" s="27" t="s">
        <v>5819</v>
      </c>
      <c r="H1751" s="33">
        <v>237</v>
      </c>
      <c r="I1751" s="29"/>
      <c r="J1751" s="25">
        <v>1</v>
      </c>
      <c r="K1751" s="30">
        <v>599.17999999999995</v>
      </c>
      <c r="L1751" s="17"/>
      <c r="M1751" s="29">
        <f t="shared" si="82"/>
        <v>0</v>
      </c>
      <c r="N1751" s="31">
        <f>0.094*L1751</f>
        <v>0</v>
      </c>
      <c r="O1751" s="32">
        <f>0.00218*L1751</f>
        <v>0</v>
      </c>
      <c r="P1751" s="36"/>
      <c r="Q1751" s="29" t="s">
        <v>5820</v>
      </c>
      <c r="R1751" s="29"/>
      <c r="S1751" s="26" t="str">
        <f>HYPERLINK("https://miland.ru/api/getInfo/image/e3c1645e-be94-11ee-a25a-00155d82e908")</f>
        <v>https://miland.ru/api/getInfo/image/e3c1645e-be94-11ee-a25a-00155d82e908</v>
      </c>
    </row>
    <row r="1752" spans="1:19" s="2" customFormat="1" ht="96.2" customHeight="1" outlineLevel="5">
      <c r="A1752" s="52">
        <v>1380</v>
      </c>
      <c r="B1752" s="26" t="s">
        <v>5821</v>
      </c>
      <c r="C1752" s="66" t="s">
        <v>5822</v>
      </c>
      <c r="D1752" s="66"/>
      <c r="E1752" s="66"/>
      <c r="F1752" s="66"/>
      <c r="G1752" s="27" t="s">
        <v>5823</v>
      </c>
      <c r="H1752" s="33">
        <v>153</v>
      </c>
      <c r="I1752" s="29"/>
      <c r="J1752" s="25">
        <v>2</v>
      </c>
      <c r="K1752" s="30">
        <v>271.35000000000002</v>
      </c>
      <c r="L1752" s="17"/>
      <c r="M1752" s="29">
        <f t="shared" si="82"/>
        <v>0</v>
      </c>
      <c r="N1752" s="31">
        <f>0.084*L1752</f>
        <v>0</v>
      </c>
      <c r="O1752" s="32">
        <f>0.00722*L1752</f>
        <v>0</v>
      </c>
      <c r="P1752" s="36"/>
      <c r="Q1752" s="29" t="s">
        <v>5824</v>
      </c>
      <c r="R1752" s="29" t="s">
        <v>611</v>
      </c>
      <c r="S1752" s="26" t="str">
        <f>HYPERLINK("https://miland.ru/api/getInfo/image/197ba3e7-7141-11ed-a22a-00155d82e902")</f>
        <v>https://miland.ru/api/getInfo/image/197ba3e7-7141-11ed-a22a-00155d82e902</v>
      </c>
    </row>
    <row r="1753" spans="1:19" s="2" customFormat="1" ht="96.2" customHeight="1" outlineLevel="5">
      <c r="A1753" s="54">
        <v>1381</v>
      </c>
      <c r="B1753" s="39" t="s">
        <v>5825</v>
      </c>
      <c r="C1753" s="67" t="s">
        <v>5826</v>
      </c>
      <c r="D1753" s="67"/>
      <c r="E1753" s="67"/>
      <c r="F1753" s="67"/>
      <c r="G1753" s="40" t="s">
        <v>5827</v>
      </c>
      <c r="H1753" s="42">
        <v>3</v>
      </c>
      <c r="I1753" s="43"/>
      <c r="J1753" s="38">
        <v>1</v>
      </c>
      <c r="K1753" s="44">
        <v>472.42</v>
      </c>
      <c r="L1753" s="17"/>
      <c r="M1753" s="43">
        <f t="shared" si="82"/>
        <v>0</v>
      </c>
      <c r="N1753" s="47">
        <f>0.302*L1753</f>
        <v>0</v>
      </c>
      <c r="O1753" s="46">
        <f>0.00873*L1753</f>
        <v>0</v>
      </c>
      <c r="P1753" s="49"/>
      <c r="Q1753" s="43" t="s">
        <v>5828</v>
      </c>
      <c r="R1753" s="43" t="s">
        <v>611</v>
      </c>
      <c r="S1753" s="39" t="str">
        <f>HYPERLINK("https://miland.ru/api/getInfo/image/d23e933f-976b-11eb-a200-ac1f6b442185")</f>
        <v>https://miland.ru/api/getInfo/image/d23e933f-976b-11eb-a200-ac1f6b442185</v>
      </c>
    </row>
    <row r="1754" spans="1:19" s="2" customFormat="1" ht="96.2" customHeight="1" outlineLevel="5">
      <c r="A1754" s="53">
        <v>1382</v>
      </c>
      <c r="B1754" s="10" t="s">
        <v>5829</v>
      </c>
      <c r="C1754" s="65" t="s">
        <v>5830</v>
      </c>
      <c r="D1754" s="65"/>
      <c r="E1754" s="65"/>
      <c r="F1754" s="65"/>
      <c r="G1754" s="11" t="s">
        <v>5831</v>
      </c>
      <c r="H1754" s="14">
        <v>319</v>
      </c>
      <c r="I1754" s="15"/>
      <c r="J1754" s="9">
        <v>1</v>
      </c>
      <c r="K1754" s="16">
        <v>749.44</v>
      </c>
      <c r="L1754" s="17"/>
      <c r="M1754" s="15">
        <f t="shared" si="82"/>
        <v>0</v>
      </c>
      <c r="N1754" s="18">
        <f>0.213*L1754</f>
        <v>0</v>
      </c>
      <c r="O1754" s="19">
        <f>0.00306*L1754</f>
        <v>0</v>
      </c>
      <c r="P1754" s="24" t="s">
        <v>26</v>
      </c>
      <c r="Q1754" s="15" t="s">
        <v>5832</v>
      </c>
      <c r="R1754" s="15"/>
      <c r="S1754" s="10" t="str">
        <f>HYPERLINK("https://miland.ru/api/getInfo/image/900054d0-58fd-11f1-a295-00155d82e908")</f>
        <v>https://miland.ru/api/getInfo/image/900054d0-58fd-11f1-a295-00155d82e908</v>
      </c>
    </row>
    <row r="1755" spans="1:19" s="2" customFormat="1" ht="96.2" customHeight="1" outlineLevel="5">
      <c r="A1755" s="53">
        <v>1383</v>
      </c>
      <c r="B1755" s="10" t="s">
        <v>5833</v>
      </c>
      <c r="C1755" s="65" t="s">
        <v>5834</v>
      </c>
      <c r="D1755" s="65"/>
      <c r="E1755" s="65"/>
      <c r="F1755" s="65"/>
      <c r="G1755" s="11" t="s">
        <v>5835</v>
      </c>
      <c r="H1755" s="14">
        <v>161</v>
      </c>
      <c r="I1755" s="15"/>
      <c r="J1755" s="9">
        <v>1</v>
      </c>
      <c r="K1755" s="22">
        <v>1045.8599999999999</v>
      </c>
      <c r="L1755" s="17"/>
      <c r="M1755" s="15">
        <f t="shared" si="82"/>
        <v>0</v>
      </c>
      <c r="N1755" s="18">
        <f>0.301*L1755</f>
        <v>0</v>
      </c>
      <c r="O1755" s="19">
        <f>0.00375*L1755</f>
        <v>0</v>
      </c>
      <c r="P1755" s="24" t="s">
        <v>26</v>
      </c>
      <c r="Q1755" s="15" t="s">
        <v>5836</v>
      </c>
      <c r="R1755" s="15"/>
      <c r="S1755" s="10" t="str">
        <f>HYPERLINK("https://miland.ru/api/getInfo/image/bbaea159-58fd-11f1-a295-00155d82e908")</f>
        <v>https://miland.ru/api/getInfo/image/bbaea159-58fd-11f1-a295-00155d82e908</v>
      </c>
    </row>
    <row r="1756" spans="1:19" s="1" customFormat="1" ht="12" customHeight="1" outlineLevel="4">
      <c r="A1756" s="64" t="s">
        <v>5837</v>
      </c>
      <c r="B1756" s="64"/>
      <c r="C1756" s="64"/>
      <c r="D1756" s="64"/>
      <c r="E1756" s="64"/>
      <c r="F1756" s="64"/>
      <c r="G1756" s="8"/>
      <c r="H1756" s="12"/>
      <c r="I1756" s="2"/>
      <c r="J1756" s="2"/>
      <c r="K1756" s="13"/>
      <c r="L1756" s="2"/>
      <c r="M1756" s="2"/>
      <c r="N1756" s="2"/>
      <c r="O1756" s="2"/>
      <c r="P1756" s="2"/>
      <c r="Q1756" s="2"/>
      <c r="R1756" s="2"/>
      <c r="S1756" s="2"/>
    </row>
    <row r="1757" spans="1:19" s="2" customFormat="1" ht="96.2" customHeight="1" outlineLevel="5">
      <c r="A1757" s="53">
        <v>1384</v>
      </c>
      <c r="B1757" s="10" t="s">
        <v>5838</v>
      </c>
      <c r="C1757" s="65" t="s">
        <v>5839</v>
      </c>
      <c r="D1757" s="65"/>
      <c r="E1757" s="65"/>
      <c r="F1757" s="65"/>
      <c r="G1757" s="11" t="s">
        <v>5840</v>
      </c>
      <c r="H1757" s="14">
        <v>334</v>
      </c>
      <c r="I1757" s="15"/>
      <c r="J1757" s="9">
        <v>1</v>
      </c>
      <c r="K1757" s="16">
        <v>630.13</v>
      </c>
      <c r="L1757" s="17"/>
      <c r="M1757" s="15">
        <f>K1757*L1757</f>
        <v>0</v>
      </c>
      <c r="N1757" s="18">
        <f>0.242*L1757</f>
        <v>0</v>
      </c>
      <c r="O1757" s="19">
        <f>0.00255*L1757</f>
        <v>0</v>
      </c>
      <c r="P1757" s="24" t="s">
        <v>26</v>
      </c>
      <c r="Q1757" s="15" t="s">
        <v>5841</v>
      </c>
      <c r="R1757" s="15"/>
      <c r="S1757" s="10" t="str">
        <f>HYPERLINK("https://miland.ru/api/getInfo/image/f59727fb-58fd-11f1-a295-00155d82e908")</f>
        <v>https://miland.ru/api/getInfo/image/f59727fb-58fd-11f1-a295-00155d82e908</v>
      </c>
    </row>
    <row r="1758" spans="1:19" s="1" customFormat="1" ht="12" customHeight="1" outlineLevel="3">
      <c r="A1758" s="64" t="s">
        <v>5842</v>
      </c>
      <c r="B1758" s="64"/>
      <c r="C1758" s="64"/>
      <c r="D1758" s="64"/>
      <c r="E1758" s="64"/>
      <c r="F1758" s="64"/>
      <c r="G1758" s="8"/>
      <c r="H1758" s="12"/>
      <c r="I1758" s="2"/>
      <c r="J1758" s="2"/>
      <c r="K1758" s="13"/>
      <c r="L1758" s="2"/>
      <c r="M1758" s="2"/>
      <c r="N1758" s="2"/>
      <c r="O1758" s="2"/>
      <c r="P1758" s="2"/>
      <c r="Q1758" s="2"/>
      <c r="R1758" s="2"/>
      <c r="S1758" s="2"/>
    </row>
    <row r="1759" spans="1:19" s="1" customFormat="1" ht="12" customHeight="1" outlineLevel="4">
      <c r="A1759" s="64" t="s">
        <v>5843</v>
      </c>
      <c r="B1759" s="64"/>
      <c r="C1759" s="64"/>
      <c r="D1759" s="64"/>
      <c r="E1759" s="64"/>
      <c r="F1759" s="64"/>
      <c r="G1759" s="8"/>
      <c r="H1759" s="12"/>
      <c r="I1759" s="2"/>
      <c r="J1759" s="2"/>
      <c r="K1759" s="13"/>
      <c r="L1759" s="2"/>
      <c r="M1759" s="2"/>
      <c r="N1759" s="2"/>
      <c r="O1759" s="2"/>
      <c r="P1759" s="2"/>
      <c r="Q1759" s="2"/>
      <c r="R1759" s="2"/>
      <c r="S1759" s="2"/>
    </row>
    <row r="1760" spans="1:19" s="1" customFormat="1" ht="12" customHeight="1" outlineLevel="5">
      <c r="A1760" s="64" t="s">
        <v>5844</v>
      </c>
      <c r="B1760" s="64"/>
      <c r="C1760" s="64"/>
      <c r="D1760" s="64"/>
      <c r="E1760" s="64"/>
      <c r="F1760" s="64"/>
      <c r="G1760" s="8"/>
      <c r="H1760" s="12"/>
      <c r="I1760" s="2"/>
      <c r="J1760" s="2"/>
      <c r="K1760" s="13"/>
      <c r="L1760" s="2"/>
      <c r="M1760" s="2"/>
      <c r="N1760" s="2"/>
      <c r="O1760" s="2"/>
      <c r="P1760" s="2"/>
      <c r="Q1760" s="2"/>
      <c r="R1760" s="2"/>
      <c r="S1760" s="2"/>
    </row>
    <row r="1761" spans="1:19" s="1" customFormat="1" ht="12" customHeight="1" outlineLevel="6">
      <c r="A1761" s="64" t="s">
        <v>5845</v>
      </c>
      <c r="B1761" s="64"/>
      <c r="C1761" s="64"/>
      <c r="D1761" s="64"/>
      <c r="E1761" s="64"/>
      <c r="F1761" s="64"/>
      <c r="G1761" s="8"/>
      <c r="H1761" s="12"/>
      <c r="I1761" s="2"/>
      <c r="J1761" s="2"/>
      <c r="K1761" s="13"/>
      <c r="L1761" s="2"/>
      <c r="M1761" s="2"/>
      <c r="N1761" s="2"/>
      <c r="O1761" s="2"/>
      <c r="P1761" s="2"/>
      <c r="Q1761" s="2"/>
      <c r="R1761" s="2"/>
      <c r="S1761" s="2"/>
    </row>
    <row r="1762" spans="1:19" s="2" customFormat="1" ht="96.2" customHeight="1" outlineLevel="7">
      <c r="A1762" s="52">
        <v>1385</v>
      </c>
      <c r="B1762" s="26" t="s">
        <v>5846</v>
      </c>
      <c r="C1762" s="66" t="s">
        <v>5847</v>
      </c>
      <c r="D1762" s="66"/>
      <c r="E1762" s="66"/>
      <c r="F1762" s="66"/>
      <c r="G1762" s="27" t="s">
        <v>5848</v>
      </c>
      <c r="H1762" s="33">
        <v>103</v>
      </c>
      <c r="I1762" s="29"/>
      <c r="J1762" s="25">
        <v>1</v>
      </c>
      <c r="K1762" s="37">
        <v>1887.37</v>
      </c>
      <c r="L1762" s="17"/>
      <c r="M1762" s="29">
        <f t="shared" ref="M1762:M1770" si="83">K1762*L1762</f>
        <v>0</v>
      </c>
      <c r="N1762" s="34">
        <f>0.46*L1762</f>
        <v>0</v>
      </c>
      <c r="O1762" s="32">
        <f>0.00557*L1762</f>
        <v>0</v>
      </c>
      <c r="P1762" s="36"/>
      <c r="Q1762" s="29" t="s">
        <v>5849</v>
      </c>
      <c r="R1762" s="29"/>
      <c r="S1762" s="26" t="str">
        <f>HYPERLINK("https://miland.ru/api/getInfo/image/1eb65e08-bf60-11ee-a25a-00155d82e908")</f>
        <v>https://miland.ru/api/getInfo/image/1eb65e08-bf60-11ee-a25a-00155d82e908</v>
      </c>
    </row>
    <row r="1763" spans="1:19" s="2" customFormat="1" ht="96.2" customHeight="1" outlineLevel="7">
      <c r="A1763" s="53">
        <v>1386</v>
      </c>
      <c r="B1763" s="10" t="s">
        <v>5850</v>
      </c>
      <c r="C1763" s="65" t="s">
        <v>5851</v>
      </c>
      <c r="D1763" s="65"/>
      <c r="E1763" s="65"/>
      <c r="F1763" s="65"/>
      <c r="G1763" s="11" t="s">
        <v>5852</v>
      </c>
      <c r="H1763" s="14">
        <v>61</v>
      </c>
      <c r="I1763" s="15"/>
      <c r="J1763" s="9">
        <v>1</v>
      </c>
      <c r="K1763" s="22">
        <v>1883.14</v>
      </c>
      <c r="L1763" s="17"/>
      <c r="M1763" s="15">
        <f t="shared" si="83"/>
        <v>0</v>
      </c>
      <c r="N1763" s="18">
        <f>0.444*L1763</f>
        <v>0</v>
      </c>
      <c r="O1763" s="19">
        <f>0.00545*L1763</f>
        <v>0</v>
      </c>
      <c r="P1763" s="24" t="s">
        <v>26</v>
      </c>
      <c r="Q1763" s="15" t="s">
        <v>5853</v>
      </c>
      <c r="R1763" s="15"/>
      <c r="S1763" s="10" t="str">
        <f>HYPERLINK("https://miland.ru/api/getInfo/image/06454380-2f3c-11f1-a292-00155d82e908")</f>
        <v>https://miland.ru/api/getInfo/image/06454380-2f3c-11f1-a292-00155d82e908</v>
      </c>
    </row>
    <row r="1764" spans="1:19" s="2" customFormat="1" ht="96.2" customHeight="1" outlineLevel="7">
      <c r="A1764" s="52">
        <v>1387</v>
      </c>
      <c r="B1764" s="26" t="s">
        <v>5854</v>
      </c>
      <c r="C1764" s="66" t="s">
        <v>5855</v>
      </c>
      <c r="D1764" s="66"/>
      <c r="E1764" s="66"/>
      <c r="F1764" s="66"/>
      <c r="G1764" s="27" t="s">
        <v>5856</v>
      </c>
      <c r="H1764" s="33">
        <v>232</v>
      </c>
      <c r="I1764" s="29"/>
      <c r="J1764" s="25">
        <v>1</v>
      </c>
      <c r="K1764" s="37">
        <v>1836.14</v>
      </c>
      <c r="L1764" s="17"/>
      <c r="M1764" s="29">
        <f t="shared" si="83"/>
        <v>0</v>
      </c>
      <c r="N1764" s="31">
        <f>0.464*L1764</f>
        <v>0</v>
      </c>
      <c r="O1764" s="32">
        <f>0.00575*L1764</f>
        <v>0</v>
      </c>
      <c r="P1764" s="36"/>
      <c r="Q1764" s="29" t="s">
        <v>5857</v>
      </c>
      <c r="R1764" s="29"/>
      <c r="S1764" s="26" t="str">
        <f>HYPERLINK("https://miland.ru/api/getInfo/image/b9e8f380-bf60-11ee-a25a-00155d82e908")</f>
        <v>https://miland.ru/api/getInfo/image/b9e8f380-bf60-11ee-a25a-00155d82e908</v>
      </c>
    </row>
    <row r="1765" spans="1:19" s="2" customFormat="1" ht="96.2" customHeight="1" outlineLevel="7">
      <c r="A1765" s="52">
        <v>1388</v>
      </c>
      <c r="B1765" s="26" t="s">
        <v>5858</v>
      </c>
      <c r="C1765" s="66" t="s">
        <v>5859</v>
      </c>
      <c r="D1765" s="66"/>
      <c r="E1765" s="66"/>
      <c r="F1765" s="66"/>
      <c r="G1765" s="27" t="s">
        <v>5860</v>
      </c>
      <c r="H1765" s="33">
        <v>241</v>
      </c>
      <c r="I1765" s="29"/>
      <c r="J1765" s="25">
        <v>1</v>
      </c>
      <c r="K1765" s="37">
        <v>1784.08</v>
      </c>
      <c r="L1765" s="17"/>
      <c r="M1765" s="29">
        <f t="shared" si="83"/>
        <v>0</v>
      </c>
      <c r="N1765" s="34">
        <f>0.52*L1765</f>
        <v>0</v>
      </c>
      <c r="O1765" s="32">
        <f>0.01029*L1765</f>
        <v>0</v>
      </c>
      <c r="P1765" s="36"/>
      <c r="Q1765" s="29" t="s">
        <v>5861</v>
      </c>
      <c r="R1765" s="29"/>
      <c r="S1765" s="26" t="str">
        <f>HYPERLINK("https://miland.ru/api/getInfo/image/b4fde417-8b0c-11ec-a211-ac1f6b442185")</f>
        <v>https://miland.ru/api/getInfo/image/b4fde417-8b0c-11ec-a211-ac1f6b442185</v>
      </c>
    </row>
    <row r="1766" spans="1:19" s="2" customFormat="1" ht="96.2" customHeight="1" outlineLevel="7">
      <c r="A1766" s="53">
        <v>1389</v>
      </c>
      <c r="B1766" s="10" t="s">
        <v>5862</v>
      </c>
      <c r="C1766" s="65" t="s">
        <v>5863</v>
      </c>
      <c r="D1766" s="65"/>
      <c r="E1766" s="65"/>
      <c r="F1766" s="65"/>
      <c r="G1766" s="11" t="s">
        <v>5864</v>
      </c>
      <c r="H1766" s="14">
        <v>162</v>
      </c>
      <c r="I1766" s="15"/>
      <c r="J1766" s="9">
        <v>1</v>
      </c>
      <c r="K1766" s="22">
        <v>1883.14</v>
      </c>
      <c r="L1766" s="17"/>
      <c r="M1766" s="15">
        <f t="shared" si="83"/>
        <v>0</v>
      </c>
      <c r="N1766" s="18">
        <f>0.442*L1766</f>
        <v>0</v>
      </c>
      <c r="O1766" s="19">
        <f>0.00537*L1766</f>
        <v>0</v>
      </c>
      <c r="P1766" s="24" t="s">
        <v>26</v>
      </c>
      <c r="Q1766" s="15" t="s">
        <v>5865</v>
      </c>
      <c r="R1766" s="15"/>
      <c r="S1766" s="10" t="str">
        <f>HYPERLINK("https://miland.ru/api/getInfo/image/9fa68434-2f3c-11f1-a292-00155d82e908")</f>
        <v>https://miland.ru/api/getInfo/image/9fa68434-2f3c-11f1-a292-00155d82e908</v>
      </c>
    </row>
    <row r="1767" spans="1:19" s="2" customFormat="1" ht="96.2" customHeight="1" outlineLevel="7">
      <c r="A1767" s="52">
        <v>1390</v>
      </c>
      <c r="B1767" s="26" t="s">
        <v>5866</v>
      </c>
      <c r="C1767" s="66" t="s">
        <v>5867</v>
      </c>
      <c r="D1767" s="66"/>
      <c r="E1767" s="66"/>
      <c r="F1767" s="66"/>
      <c r="G1767" s="27" t="s">
        <v>5868</v>
      </c>
      <c r="H1767" s="33">
        <v>316</v>
      </c>
      <c r="I1767" s="29"/>
      <c r="J1767" s="25">
        <v>1</v>
      </c>
      <c r="K1767" s="37">
        <v>2150.86</v>
      </c>
      <c r="L1767" s="17"/>
      <c r="M1767" s="29">
        <f t="shared" si="83"/>
        <v>0</v>
      </c>
      <c r="N1767" s="31">
        <f>0.481*L1767</f>
        <v>0</v>
      </c>
      <c r="O1767" s="32">
        <f>0.00605*L1767</f>
        <v>0</v>
      </c>
      <c r="P1767" s="36"/>
      <c r="Q1767" s="29" t="s">
        <v>5869</v>
      </c>
      <c r="R1767" s="29" t="s">
        <v>611</v>
      </c>
      <c r="S1767" s="26" t="str">
        <f>HYPERLINK("https://miland.ru/api/getInfo/image/95eb3835-bf5f-11ee-a25a-00155d82e908")</f>
        <v>https://miland.ru/api/getInfo/image/95eb3835-bf5f-11ee-a25a-00155d82e908</v>
      </c>
    </row>
    <row r="1768" spans="1:19" s="2" customFormat="1" ht="96.2" customHeight="1" outlineLevel="7">
      <c r="A1768" s="52">
        <v>1391</v>
      </c>
      <c r="B1768" s="26" t="s">
        <v>5870</v>
      </c>
      <c r="C1768" s="66" t="s">
        <v>5871</v>
      </c>
      <c r="D1768" s="66"/>
      <c r="E1768" s="66"/>
      <c r="F1768" s="66"/>
      <c r="G1768" s="27" t="s">
        <v>5872</v>
      </c>
      <c r="H1768" s="33">
        <v>11</v>
      </c>
      <c r="I1768" s="29"/>
      <c r="J1768" s="25">
        <v>1</v>
      </c>
      <c r="K1768" s="37">
        <v>1783.67</v>
      </c>
      <c r="L1768" s="17"/>
      <c r="M1768" s="29">
        <f t="shared" si="83"/>
        <v>0</v>
      </c>
      <c r="N1768" s="31">
        <f>0.271*L1768</f>
        <v>0</v>
      </c>
      <c r="O1768" s="32">
        <f>0.00529*L1768</f>
        <v>0</v>
      </c>
      <c r="P1768" s="36"/>
      <c r="Q1768" s="29" t="s">
        <v>5873</v>
      </c>
      <c r="R1768" s="29"/>
      <c r="S1768" s="26" t="str">
        <f>HYPERLINK("https://miland.ru/api/getInfo/image/88091cf3-8b0a-11ec-a211-ac1f6b442185")</f>
        <v>https://miland.ru/api/getInfo/image/88091cf3-8b0a-11ec-a211-ac1f6b442185</v>
      </c>
    </row>
    <row r="1769" spans="1:19" s="2" customFormat="1" ht="96.2" customHeight="1" outlineLevel="7">
      <c r="A1769" s="52">
        <v>1392</v>
      </c>
      <c r="B1769" s="26" t="s">
        <v>5874</v>
      </c>
      <c r="C1769" s="66" t="s">
        <v>5875</v>
      </c>
      <c r="D1769" s="66"/>
      <c r="E1769" s="66"/>
      <c r="F1769" s="66"/>
      <c r="G1769" s="27" t="s">
        <v>5876</v>
      </c>
      <c r="H1769" s="33">
        <v>310</v>
      </c>
      <c r="I1769" s="29"/>
      <c r="J1769" s="25">
        <v>1</v>
      </c>
      <c r="K1769" s="37">
        <v>1832.83</v>
      </c>
      <c r="L1769" s="17"/>
      <c r="M1769" s="29">
        <f t="shared" si="83"/>
        <v>0</v>
      </c>
      <c r="N1769" s="31">
        <f>0.454*L1769</f>
        <v>0</v>
      </c>
      <c r="O1769" s="32">
        <f>0.00495*L1769</f>
        <v>0</v>
      </c>
      <c r="P1769" s="36"/>
      <c r="Q1769" s="29" t="s">
        <v>5877</v>
      </c>
      <c r="R1769" s="29" t="s">
        <v>611</v>
      </c>
      <c r="S1769" s="26" t="str">
        <f>HYPERLINK("https://miland.ru/api/getInfo/image/06530a21-8b0c-11ec-a211-ac1f6b442185")</f>
        <v>https://miland.ru/api/getInfo/image/06530a21-8b0c-11ec-a211-ac1f6b442185</v>
      </c>
    </row>
    <row r="1770" spans="1:19" s="2" customFormat="1" ht="96.2" customHeight="1" outlineLevel="7">
      <c r="A1770" s="52">
        <v>1393</v>
      </c>
      <c r="B1770" s="26" t="s">
        <v>5878</v>
      </c>
      <c r="C1770" s="66" t="s">
        <v>5879</v>
      </c>
      <c r="D1770" s="66"/>
      <c r="E1770" s="66"/>
      <c r="F1770" s="66"/>
      <c r="G1770" s="27" t="s">
        <v>5880</v>
      </c>
      <c r="H1770" s="33">
        <v>494</v>
      </c>
      <c r="I1770" s="29"/>
      <c r="J1770" s="25">
        <v>1</v>
      </c>
      <c r="K1770" s="37">
        <v>1883.14</v>
      </c>
      <c r="L1770" s="17"/>
      <c r="M1770" s="29">
        <f t="shared" si="83"/>
        <v>0</v>
      </c>
      <c r="N1770" s="31">
        <f>0.493*L1770</f>
        <v>0</v>
      </c>
      <c r="O1770" s="32">
        <f>0.00593*L1770</f>
        <v>0</v>
      </c>
      <c r="P1770" s="36"/>
      <c r="Q1770" s="29" t="s">
        <v>5881</v>
      </c>
      <c r="R1770" s="29" t="s">
        <v>611</v>
      </c>
      <c r="S1770" s="26" t="str">
        <f>HYPERLINK("https://miland.ru/api/getInfo/image/059741e3-bf5f-11ee-a25a-00155d82e908")</f>
        <v>https://miland.ru/api/getInfo/image/059741e3-bf5f-11ee-a25a-00155d82e908</v>
      </c>
    </row>
    <row r="1771" spans="1:19" s="1" customFormat="1" ht="12" customHeight="1" outlineLevel="6">
      <c r="A1771" s="64" t="s">
        <v>5882</v>
      </c>
      <c r="B1771" s="64"/>
      <c r="C1771" s="64"/>
      <c r="D1771" s="64"/>
      <c r="E1771" s="64"/>
      <c r="F1771" s="64"/>
      <c r="G1771" s="8"/>
      <c r="H1771" s="12"/>
      <c r="I1771" s="2"/>
      <c r="J1771" s="2"/>
      <c r="K1771" s="13"/>
      <c r="L1771" s="2"/>
      <c r="M1771" s="2"/>
      <c r="N1771" s="2"/>
      <c r="O1771" s="2"/>
      <c r="P1771" s="2"/>
      <c r="Q1771" s="2"/>
      <c r="R1771" s="2"/>
      <c r="S1771" s="2"/>
    </row>
    <row r="1772" spans="1:19" s="2" customFormat="1" ht="96.2" customHeight="1" outlineLevel="7">
      <c r="A1772" s="52">
        <v>1394</v>
      </c>
      <c r="B1772" s="26" t="s">
        <v>5883</v>
      </c>
      <c r="C1772" s="66" t="s">
        <v>5884</v>
      </c>
      <c r="D1772" s="66"/>
      <c r="E1772" s="66"/>
      <c r="F1772" s="66"/>
      <c r="G1772" s="27" t="s">
        <v>5885</v>
      </c>
      <c r="H1772" s="33">
        <v>119</v>
      </c>
      <c r="I1772" s="29"/>
      <c r="J1772" s="25">
        <v>1</v>
      </c>
      <c r="K1772" s="37">
        <v>2525.54</v>
      </c>
      <c r="L1772" s="17"/>
      <c r="M1772" s="29">
        <f t="shared" ref="M1772:M1780" si="84">K1772*L1772</f>
        <v>0</v>
      </c>
      <c r="N1772" s="31">
        <f>0.582*L1772</f>
        <v>0</v>
      </c>
      <c r="O1772" s="32">
        <f>0.01083*L1772</f>
        <v>0</v>
      </c>
      <c r="P1772" s="36"/>
      <c r="Q1772" s="29" t="s">
        <v>5886</v>
      </c>
      <c r="R1772" s="29"/>
      <c r="S1772" s="26" t="str">
        <f>HYPERLINK("https://miland.ru/api/getInfo/image/54dc33e4-bf60-11ee-a25a-00155d82e908")</f>
        <v>https://miland.ru/api/getInfo/image/54dc33e4-bf60-11ee-a25a-00155d82e908</v>
      </c>
    </row>
    <row r="1773" spans="1:19" s="2" customFormat="1" ht="96.2" customHeight="1" outlineLevel="7">
      <c r="A1773" s="53">
        <v>1395</v>
      </c>
      <c r="B1773" s="10" t="s">
        <v>5887</v>
      </c>
      <c r="C1773" s="65" t="s">
        <v>5888</v>
      </c>
      <c r="D1773" s="65"/>
      <c r="E1773" s="65"/>
      <c r="F1773" s="65"/>
      <c r="G1773" s="11" t="s">
        <v>5889</v>
      </c>
      <c r="H1773" s="14">
        <v>307</v>
      </c>
      <c r="I1773" s="15"/>
      <c r="J1773" s="9">
        <v>1</v>
      </c>
      <c r="K1773" s="22">
        <v>2477.38</v>
      </c>
      <c r="L1773" s="17"/>
      <c r="M1773" s="15">
        <f t="shared" si="84"/>
        <v>0</v>
      </c>
      <c r="N1773" s="18">
        <f>0.582*L1773</f>
        <v>0</v>
      </c>
      <c r="O1773" s="19">
        <f>0.01052*L1773</f>
        <v>0</v>
      </c>
      <c r="P1773" s="24" t="s">
        <v>26</v>
      </c>
      <c r="Q1773" s="15" t="s">
        <v>5890</v>
      </c>
      <c r="R1773" s="15"/>
      <c r="S1773" s="10" t="str">
        <f>HYPERLINK("https://miland.ru/api/getInfo/image/6c998bf7-2f3d-11f1-a292-00155d82e908")</f>
        <v>https://miland.ru/api/getInfo/image/6c998bf7-2f3d-11f1-a292-00155d82e908</v>
      </c>
    </row>
    <row r="1774" spans="1:19" s="2" customFormat="1" ht="96.2" customHeight="1" outlineLevel="7">
      <c r="A1774" s="52">
        <v>1396</v>
      </c>
      <c r="B1774" s="26" t="s">
        <v>5891</v>
      </c>
      <c r="C1774" s="66" t="s">
        <v>5892</v>
      </c>
      <c r="D1774" s="66"/>
      <c r="E1774" s="66"/>
      <c r="F1774" s="66"/>
      <c r="G1774" s="27" t="s">
        <v>5893</v>
      </c>
      <c r="H1774" s="33">
        <v>23</v>
      </c>
      <c r="I1774" s="29"/>
      <c r="J1774" s="25">
        <v>1</v>
      </c>
      <c r="K1774" s="37">
        <v>2477.38</v>
      </c>
      <c r="L1774" s="17"/>
      <c r="M1774" s="29">
        <f t="shared" si="84"/>
        <v>0</v>
      </c>
      <c r="N1774" s="31">
        <f>0.567*L1774</f>
        <v>0</v>
      </c>
      <c r="O1774" s="32">
        <f>0.01064*L1774</f>
        <v>0</v>
      </c>
      <c r="P1774" s="36"/>
      <c r="Q1774" s="29" t="s">
        <v>5894</v>
      </c>
      <c r="R1774" s="29"/>
      <c r="S1774" s="26" t="str">
        <f>HYPERLINK("https://miland.ru/api/getInfo/image/d778742f-bf60-11ee-a25a-00155d82e908")</f>
        <v>https://miland.ru/api/getInfo/image/d778742f-bf60-11ee-a25a-00155d82e908</v>
      </c>
    </row>
    <row r="1775" spans="1:19" s="2" customFormat="1" ht="96.2" customHeight="1" outlineLevel="7">
      <c r="A1775" s="52">
        <v>1397</v>
      </c>
      <c r="B1775" s="26" t="s">
        <v>5895</v>
      </c>
      <c r="C1775" s="66" t="s">
        <v>5896</v>
      </c>
      <c r="D1775" s="66"/>
      <c r="E1775" s="66"/>
      <c r="F1775" s="66"/>
      <c r="G1775" s="27" t="s">
        <v>5897</v>
      </c>
      <c r="H1775" s="28" t="s">
        <v>44</v>
      </c>
      <c r="I1775" s="29"/>
      <c r="J1775" s="25">
        <v>1</v>
      </c>
      <c r="K1775" s="37">
        <v>2402.14</v>
      </c>
      <c r="L1775" s="17"/>
      <c r="M1775" s="29">
        <f t="shared" si="84"/>
        <v>0</v>
      </c>
      <c r="N1775" s="31">
        <f>0.561*L1775</f>
        <v>0</v>
      </c>
      <c r="O1775" s="32">
        <f>0.01029*L1775</f>
        <v>0</v>
      </c>
      <c r="P1775" s="36"/>
      <c r="Q1775" s="29" t="s">
        <v>5898</v>
      </c>
      <c r="R1775" s="29"/>
      <c r="S1775" s="26" t="str">
        <f>HYPERLINK("https://miland.ru/api/getInfo/image/5cf6d392-8b0c-11ec-a211-ac1f6b442185")</f>
        <v>https://miland.ru/api/getInfo/image/5cf6d392-8b0c-11ec-a211-ac1f6b442185</v>
      </c>
    </row>
    <row r="1776" spans="1:19" s="2" customFormat="1" ht="96.2" customHeight="1" outlineLevel="7">
      <c r="A1776" s="53">
        <v>1398</v>
      </c>
      <c r="B1776" s="10" t="s">
        <v>5899</v>
      </c>
      <c r="C1776" s="65" t="s">
        <v>5900</v>
      </c>
      <c r="D1776" s="65"/>
      <c r="E1776" s="65"/>
      <c r="F1776" s="65"/>
      <c r="G1776" s="11" t="s">
        <v>5901</v>
      </c>
      <c r="H1776" s="14">
        <v>376</v>
      </c>
      <c r="I1776" s="15"/>
      <c r="J1776" s="9">
        <v>1</v>
      </c>
      <c r="K1776" s="22">
        <v>2477.38</v>
      </c>
      <c r="L1776" s="17"/>
      <c r="M1776" s="15">
        <f t="shared" si="84"/>
        <v>0</v>
      </c>
      <c r="N1776" s="18">
        <f>0.569*L1776</f>
        <v>0</v>
      </c>
      <c r="O1776" s="19">
        <f>0.01077*L1776</f>
        <v>0</v>
      </c>
      <c r="P1776" s="24" t="s">
        <v>26</v>
      </c>
      <c r="Q1776" s="15" t="s">
        <v>5902</v>
      </c>
      <c r="R1776" s="15"/>
      <c r="S1776" s="10" t="str">
        <f>HYPERLINK("https://miland.ru/api/getInfo/image/1fabffb7-2f3d-11f1-a292-00155d82e908")</f>
        <v>https://miland.ru/api/getInfo/image/1fabffb7-2f3d-11f1-a292-00155d82e908</v>
      </c>
    </row>
    <row r="1777" spans="1:19" s="2" customFormat="1" ht="96.2" customHeight="1" outlineLevel="7">
      <c r="A1777" s="52">
        <v>1399</v>
      </c>
      <c r="B1777" s="26" t="s">
        <v>5903</v>
      </c>
      <c r="C1777" s="66" t="s">
        <v>5904</v>
      </c>
      <c r="D1777" s="66"/>
      <c r="E1777" s="66"/>
      <c r="F1777" s="66"/>
      <c r="G1777" s="27" t="s">
        <v>5905</v>
      </c>
      <c r="H1777" s="28" t="s">
        <v>44</v>
      </c>
      <c r="I1777" s="29"/>
      <c r="J1777" s="25">
        <v>1</v>
      </c>
      <c r="K1777" s="37">
        <v>3050.91</v>
      </c>
      <c r="L1777" s="17"/>
      <c r="M1777" s="29">
        <f t="shared" si="84"/>
        <v>0</v>
      </c>
      <c r="N1777" s="34">
        <f>0.58*L1777</f>
        <v>0</v>
      </c>
      <c r="O1777" s="35">
        <f>0.0106*L1777</f>
        <v>0</v>
      </c>
      <c r="P1777" s="36"/>
      <c r="Q1777" s="29" t="s">
        <v>5906</v>
      </c>
      <c r="R1777" s="29" t="s">
        <v>611</v>
      </c>
      <c r="S1777" s="26" t="str">
        <f>HYPERLINK("https://miland.ru/api/getInfo/image/c5f9b2c4-bf5f-11ee-a25a-00155d82e908")</f>
        <v>https://miland.ru/api/getInfo/image/c5f9b2c4-bf5f-11ee-a25a-00155d82e908</v>
      </c>
    </row>
    <row r="1778" spans="1:19" s="2" customFormat="1" ht="96.2" customHeight="1" outlineLevel="7">
      <c r="A1778" s="52">
        <v>1400</v>
      </c>
      <c r="B1778" s="26" t="s">
        <v>5907</v>
      </c>
      <c r="C1778" s="66" t="s">
        <v>5908</v>
      </c>
      <c r="D1778" s="66"/>
      <c r="E1778" s="66"/>
      <c r="F1778" s="66"/>
      <c r="G1778" s="27" t="s">
        <v>5909</v>
      </c>
      <c r="H1778" s="28" t="s">
        <v>44</v>
      </c>
      <c r="I1778" s="29"/>
      <c r="J1778" s="25">
        <v>1</v>
      </c>
      <c r="K1778" s="37">
        <v>2401.87</v>
      </c>
      <c r="L1778" s="17"/>
      <c r="M1778" s="29">
        <f t="shared" si="84"/>
        <v>0</v>
      </c>
      <c r="N1778" s="34">
        <f>0.55*L1778</f>
        <v>0</v>
      </c>
      <c r="O1778" s="35">
        <f>0.0111*L1778</f>
        <v>0</v>
      </c>
      <c r="P1778" s="36"/>
      <c r="Q1778" s="29" t="s">
        <v>5910</v>
      </c>
      <c r="R1778" s="29"/>
      <c r="S1778" s="26" t="str">
        <f>HYPERLINK("https://miland.ru/api/getInfo/image/1b841828-4439-11eb-a25e-ac1f6b442184")</f>
        <v>https://miland.ru/api/getInfo/image/1b841828-4439-11eb-a25e-ac1f6b442184</v>
      </c>
    </row>
    <row r="1779" spans="1:19" s="2" customFormat="1" ht="96.2" customHeight="1" outlineLevel="7">
      <c r="A1779" s="52">
        <v>1401</v>
      </c>
      <c r="B1779" s="26" t="s">
        <v>5911</v>
      </c>
      <c r="C1779" s="66" t="s">
        <v>5912</v>
      </c>
      <c r="D1779" s="66"/>
      <c r="E1779" s="66"/>
      <c r="F1779" s="66"/>
      <c r="G1779" s="27" t="s">
        <v>5913</v>
      </c>
      <c r="H1779" s="28" t="s">
        <v>44</v>
      </c>
      <c r="I1779" s="29"/>
      <c r="J1779" s="25">
        <v>1</v>
      </c>
      <c r="K1779" s="37">
        <v>2473.89</v>
      </c>
      <c r="L1779" s="17"/>
      <c r="M1779" s="29">
        <f t="shared" si="84"/>
        <v>0</v>
      </c>
      <c r="N1779" s="34">
        <f>0.54*L1779</f>
        <v>0</v>
      </c>
      <c r="O1779" s="32">
        <f>0.00971*L1779</f>
        <v>0</v>
      </c>
      <c r="P1779" s="36"/>
      <c r="Q1779" s="29" t="s">
        <v>5914</v>
      </c>
      <c r="R1779" s="29"/>
      <c r="S1779" s="26" t="str">
        <f>HYPERLINK("https://miland.ru/api/getInfo/image/ae38b646-8b0b-11ec-a211-ac1f6b442185")</f>
        <v>https://miland.ru/api/getInfo/image/ae38b646-8b0b-11ec-a211-ac1f6b442185</v>
      </c>
    </row>
    <row r="1780" spans="1:19" s="2" customFormat="1" ht="96.2" customHeight="1" outlineLevel="7">
      <c r="A1780" s="52">
        <v>1402</v>
      </c>
      <c r="B1780" s="26" t="s">
        <v>5915</v>
      </c>
      <c r="C1780" s="66" t="s">
        <v>5916</v>
      </c>
      <c r="D1780" s="66"/>
      <c r="E1780" s="66"/>
      <c r="F1780" s="66"/>
      <c r="G1780" s="27" t="s">
        <v>5917</v>
      </c>
      <c r="H1780" s="28" t="s">
        <v>44</v>
      </c>
      <c r="I1780" s="29"/>
      <c r="J1780" s="25">
        <v>1</v>
      </c>
      <c r="K1780" s="37">
        <v>2524.63</v>
      </c>
      <c r="L1780" s="17"/>
      <c r="M1780" s="29">
        <f t="shared" si="84"/>
        <v>0</v>
      </c>
      <c r="N1780" s="31">
        <f>0.633*L1780</f>
        <v>0</v>
      </c>
      <c r="O1780" s="32">
        <f>0.01094*L1780</f>
        <v>0</v>
      </c>
      <c r="P1780" s="36"/>
      <c r="Q1780" s="29" t="s">
        <v>5918</v>
      </c>
      <c r="R1780" s="29" t="s">
        <v>611</v>
      </c>
      <c r="S1780" s="26" t="str">
        <f>HYPERLINK("https://miland.ru/api/getInfo/image/378e7e7d-bf5f-11ee-a25a-00155d82e908")</f>
        <v>https://miland.ru/api/getInfo/image/378e7e7d-bf5f-11ee-a25a-00155d82e908</v>
      </c>
    </row>
    <row r="1781" spans="1:19" s="1" customFormat="1" ht="12" customHeight="1" outlineLevel="5">
      <c r="A1781" s="64" t="s">
        <v>5919</v>
      </c>
      <c r="B1781" s="64"/>
      <c r="C1781" s="64"/>
      <c r="D1781" s="64"/>
      <c r="E1781" s="64"/>
      <c r="F1781" s="64"/>
      <c r="G1781" s="8"/>
      <c r="H1781" s="12"/>
      <c r="I1781" s="2"/>
      <c r="J1781" s="2"/>
      <c r="K1781" s="13"/>
      <c r="L1781" s="2"/>
      <c r="M1781" s="2"/>
      <c r="N1781" s="2"/>
      <c r="O1781" s="2"/>
      <c r="P1781" s="2"/>
      <c r="Q1781" s="2"/>
      <c r="R1781" s="2"/>
      <c r="S1781" s="2"/>
    </row>
    <row r="1782" spans="1:19" s="1" customFormat="1" ht="12" customHeight="1" outlineLevel="6">
      <c r="A1782" s="64" t="s">
        <v>5845</v>
      </c>
      <c r="B1782" s="64"/>
      <c r="C1782" s="64"/>
      <c r="D1782" s="64"/>
      <c r="E1782" s="64"/>
      <c r="F1782" s="64"/>
      <c r="G1782" s="8"/>
      <c r="H1782" s="12"/>
      <c r="I1782" s="2"/>
      <c r="J1782" s="2"/>
      <c r="K1782" s="13"/>
      <c r="L1782" s="2"/>
      <c r="M1782" s="2"/>
      <c r="N1782" s="2"/>
      <c r="O1782" s="2"/>
      <c r="P1782" s="2"/>
      <c r="Q1782" s="2"/>
      <c r="R1782" s="2"/>
      <c r="S1782" s="2"/>
    </row>
    <row r="1783" spans="1:19" s="2" customFormat="1" ht="96.2" customHeight="1" outlineLevel="7">
      <c r="A1783" s="53">
        <v>1403</v>
      </c>
      <c r="B1783" s="10" t="s">
        <v>5920</v>
      </c>
      <c r="C1783" s="65" t="s">
        <v>5921</v>
      </c>
      <c r="D1783" s="65"/>
      <c r="E1783" s="65"/>
      <c r="F1783" s="65"/>
      <c r="G1783" s="11" t="s">
        <v>5922</v>
      </c>
      <c r="H1783" s="21" t="s">
        <v>44</v>
      </c>
      <c r="I1783" s="15"/>
      <c r="J1783" s="9">
        <v>1</v>
      </c>
      <c r="K1783" s="22">
        <v>1883.14</v>
      </c>
      <c r="L1783" s="17"/>
      <c r="M1783" s="15">
        <f t="shared" ref="M1783:M1788" si="85">K1783*L1783</f>
        <v>0</v>
      </c>
      <c r="N1783" s="18">
        <f>0.446*L1783</f>
        <v>0</v>
      </c>
      <c r="O1783" s="19">
        <f>0.00542*L1783</f>
        <v>0</v>
      </c>
      <c r="P1783" s="24" t="s">
        <v>26</v>
      </c>
      <c r="Q1783" s="15" t="s">
        <v>5923</v>
      </c>
      <c r="R1783" s="15"/>
      <c r="S1783" s="10" t="str">
        <f>HYPERLINK("https://miland.ru/api/getInfo/image/124f4bff-2f3f-11f1-a292-00155d82e908")</f>
        <v>https://miland.ru/api/getInfo/image/124f4bff-2f3f-11f1-a292-00155d82e908</v>
      </c>
    </row>
    <row r="1784" spans="1:19" s="2" customFormat="1" ht="96.2" customHeight="1" outlineLevel="7">
      <c r="A1784" s="52">
        <v>1404</v>
      </c>
      <c r="B1784" s="26" t="s">
        <v>5924</v>
      </c>
      <c r="C1784" s="66" t="s">
        <v>5925</v>
      </c>
      <c r="D1784" s="66"/>
      <c r="E1784" s="66"/>
      <c r="F1784" s="66"/>
      <c r="G1784" s="27" t="s">
        <v>5926</v>
      </c>
      <c r="H1784" s="33">
        <v>5</v>
      </c>
      <c r="I1784" s="29"/>
      <c r="J1784" s="25">
        <v>1</v>
      </c>
      <c r="K1784" s="37">
        <v>1983.8</v>
      </c>
      <c r="L1784" s="17"/>
      <c r="M1784" s="29">
        <f t="shared" si="85"/>
        <v>0</v>
      </c>
      <c r="N1784" s="31">
        <f>0.418*L1784</f>
        <v>0</v>
      </c>
      <c r="O1784" s="32">
        <f>0.00583*L1784</f>
        <v>0</v>
      </c>
      <c r="P1784" s="36"/>
      <c r="Q1784" s="29" t="s">
        <v>5927</v>
      </c>
      <c r="R1784" s="29" t="s">
        <v>611</v>
      </c>
      <c r="S1784" s="26" t="str">
        <f>HYPERLINK("https://miland.ru/api/getInfo/image/0ba4b379-bf61-11ee-a25a-00155d82e908")</f>
        <v>https://miland.ru/api/getInfo/image/0ba4b379-bf61-11ee-a25a-00155d82e908</v>
      </c>
    </row>
    <row r="1785" spans="1:19" s="2" customFormat="1" ht="96.2" customHeight="1" outlineLevel="7">
      <c r="A1785" s="52">
        <v>1405</v>
      </c>
      <c r="B1785" s="26" t="s">
        <v>5928</v>
      </c>
      <c r="C1785" s="66" t="s">
        <v>5929</v>
      </c>
      <c r="D1785" s="66"/>
      <c r="E1785" s="66"/>
      <c r="F1785" s="66"/>
      <c r="G1785" s="27" t="s">
        <v>5930</v>
      </c>
      <c r="H1785" s="33">
        <v>39</v>
      </c>
      <c r="I1785" s="29"/>
      <c r="J1785" s="25">
        <v>1</v>
      </c>
      <c r="K1785" s="37">
        <v>1983.8</v>
      </c>
      <c r="L1785" s="17"/>
      <c r="M1785" s="29">
        <f t="shared" si="85"/>
        <v>0</v>
      </c>
      <c r="N1785" s="34">
        <f>0.42*L1785</f>
        <v>0</v>
      </c>
      <c r="O1785" s="32">
        <f>0.00584*L1785</f>
        <v>0</v>
      </c>
      <c r="P1785" s="36"/>
      <c r="Q1785" s="29" t="s">
        <v>5931</v>
      </c>
      <c r="R1785" s="29" t="s">
        <v>611</v>
      </c>
      <c r="S1785" s="26" t="str">
        <f>HYPERLINK("https://miland.ru/api/getInfo/image/49108152-bf61-11ee-a25a-00155d82e908")</f>
        <v>https://miland.ru/api/getInfo/image/49108152-bf61-11ee-a25a-00155d82e908</v>
      </c>
    </row>
    <row r="1786" spans="1:19" s="2" customFormat="1" ht="96.2" customHeight="1" outlineLevel="7">
      <c r="A1786" s="52">
        <v>1406</v>
      </c>
      <c r="B1786" s="26" t="s">
        <v>5932</v>
      </c>
      <c r="C1786" s="66" t="s">
        <v>5933</v>
      </c>
      <c r="D1786" s="66"/>
      <c r="E1786" s="66"/>
      <c r="F1786" s="66"/>
      <c r="G1786" s="27" t="s">
        <v>5934</v>
      </c>
      <c r="H1786" s="33">
        <v>410</v>
      </c>
      <c r="I1786" s="29"/>
      <c r="J1786" s="25">
        <v>1</v>
      </c>
      <c r="K1786" s="37">
        <v>1810.22</v>
      </c>
      <c r="L1786" s="17"/>
      <c r="M1786" s="29">
        <f t="shared" si="85"/>
        <v>0</v>
      </c>
      <c r="N1786" s="31">
        <f>0.436*L1786</f>
        <v>0</v>
      </c>
      <c r="O1786" s="32">
        <f>0.00512*L1786</f>
        <v>0</v>
      </c>
      <c r="P1786" s="36"/>
      <c r="Q1786" s="29" t="s">
        <v>5935</v>
      </c>
      <c r="R1786" s="29" t="s">
        <v>611</v>
      </c>
      <c r="S1786" s="26" t="str">
        <f>HYPERLINK("https://miland.ru/api/getInfo/image/254e5cfc-8b0a-11ec-a211-ac1f6b442185")</f>
        <v>https://miland.ru/api/getInfo/image/254e5cfc-8b0a-11ec-a211-ac1f6b442185</v>
      </c>
    </row>
    <row r="1787" spans="1:19" s="2" customFormat="1" ht="96.2" customHeight="1" outlineLevel="7">
      <c r="A1787" s="52">
        <v>1407</v>
      </c>
      <c r="B1787" s="26" t="s">
        <v>5936</v>
      </c>
      <c r="C1787" s="66" t="s">
        <v>5937</v>
      </c>
      <c r="D1787" s="66"/>
      <c r="E1787" s="66"/>
      <c r="F1787" s="66"/>
      <c r="G1787" s="27" t="s">
        <v>5938</v>
      </c>
      <c r="H1787" s="33">
        <v>326</v>
      </c>
      <c r="I1787" s="29"/>
      <c r="J1787" s="25">
        <v>1</v>
      </c>
      <c r="K1787" s="37">
        <v>2414.59</v>
      </c>
      <c r="L1787" s="17"/>
      <c r="M1787" s="29">
        <f t="shared" si="85"/>
        <v>0</v>
      </c>
      <c r="N1787" s="31">
        <f>0.476*L1787</f>
        <v>0</v>
      </c>
      <c r="O1787" s="32">
        <f>0.00539*L1787</f>
        <v>0</v>
      </c>
      <c r="P1787" s="36"/>
      <c r="Q1787" s="29" t="s">
        <v>5939</v>
      </c>
      <c r="R1787" s="29" t="s">
        <v>611</v>
      </c>
      <c r="S1787" s="26" t="str">
        <f>HYPERLINK("https://miland.ru/api/getInfo/image/19e20cdd-97cd-11ed-a22d-00155d82e902")</f>
        <v>https://miland.ru/api/getInfo/image/19e20cdd-97cd-11ed-a22d-00155d82e902</v>
      </c>
    </row>
    <row r="1788" spans="1:19" s="2" customFormat="1" ht="96.2" customHeight="1" outlineLevel="7">
      <c r="A1788" s="52">
        <v>1408</v>
      </c>
      <c r="B1788" s="26" t="s">
        <v>5940</v>
      </c>
      <c r="C1788" s="66" t="s">
        <v>5941</v>
      </c>
      <c r="D1788" s="66"/>
      <c r="E1788" s="66"/>
      <c r="F1788" s="66"/>
      <c r="G1788" s="27" t="s">
        <v>5942</v>
      </c>
      <c r="H1788" s="33">
        <v>265</v>
      </c>
      <c r="I1788" s="29"/>
      <c r="J1788" s="25">
        <v>1</v>
      </c>
      <c r="K1788" s="37">
        <v>1879.89</v>
      </c>
      <c r="L1788" s="17"/>
      <c r="M1788" s="29">
        <f t="shared" si="85"/>
        <v>0</v>
      </c>
      <c r="N1788" s="31">
        <f>0.447*L1788</f>
        <v>0</v>
      </c>
      <c r="O1788" s="32">
        <f>0.00556*L1788</f>
        <v>0</v>
      </c>
      <c r="P1788" s="36"/>
      <c r="Q1788" s="29" t="s">
        <v>5943</v>
      </c>
      <c r="R1788" s="29"/>
      <c r="S1788" s="26" t="str">
        <f>HYPERLINK("https://miland.ru/api/getInfo/image/41359317-8b0b-11ec-a211-ac1f6b442185")</f>
        <v>https://miland.ru/api/getInfo/image/41359317-8b0b-11ec-a211-ac1f6b442185</v>
      </c>
    </row>
    <row r="1789" spans="1:19" s="1" customFormat="1" ht="12" customHeight="1" outlineLevel="6">
      <c r="A1789" s="64" t="s">
        <v>5882</v>
      </c>
      <c r="B1789" s="64"/>
      <c r="C1789" s="64"/>
      <c r="D1789" s="64"/>
      <c r="E1789" s="64"/>
      <c r="F1789" s="64"/>
      <c r="G1789" s="8"/>
      <c r="H1789" s="12"/>
      <c r="I1789" s="2"/>
      <c r="J1789" s="2"/>
      <c r="K1789" s="13"/>
      <c r="L1789" s="2"/>
      <c r="M1789" s="2"/>
      <c r="N1789" s="2"/>
      <c r="O1789" s="2"/>
      <c r="P1789" s="2"/>
      <c r="Q1789" s="2"/>
      <c r="R1789" s="2"/>
      <c r="S1789" s="2"/>
    </row>
    <row r="1790" spans="1:19" s="2" customFormat="1" ht="96.2" customHeight="1" outlineLevel="7">
      <c r="A1790" s="53">
        <v>1409</v>
      </c>
      <c r="B1790" s="10" t="s">
        <v>5944</v>
      </c>
      <c r="C1790" s="65" t="s">
        <v>5945</v>
      </c>
      <c r="D1790" s="65"/>
      <c r="E1790" s="65"/>
      <c r="F1790" s="65"/>
      <c r="G1790" s="11" t="s">
        <v>5946</v>
      </c>
      <c r="H1790" s="21" t="s">
        <v>44</v>
      </c>
      <c r="I1790" s="15"/>
      <c r="J1790" s="9">
        <v>1</v>
      </c>
      <c r="K1790" s="22">
        <v>2472.9699999999998</v>
      </c>
      <c r="L1790" s="17"/>
      <c r="M1790" s="15">
        <f t="shared" ref="M1790:M1797" si="86">K1790*L1790</f>
        <v>0</v>
      </c>
      <c r="N1790" s="18">
        <f>0.646*L1790</f>
        <v>0</v>
      </c>
      <c r="O1790" s="20">
        <f>0.0106*L1790</f>
        <v>0</v>
      </c>
      <c r="P1790" s="24" t="s">
        <v>26</v>
      </c>
      <c r="Q1790" s="15" t="s">
        <v>5947</v>
      </c>
      <c r="R1790" s="15"/>
      <c r="S1790" s="10" t="str">
        <f>HYPERLINK("https://miland.ru/api/getInfo/image/b909b08b-2f3f-11f1-a292-00155d82e908")</f>
        <v>https://miland.ru/api/getInfo/image/b909b08b-2f3f-11f1-a292-00155d82e908</v>
      </c>
    </row>
    <row r="1791" spans="1:19" s="2" customFormat="1" ht="96.2" customHeight="1" outlineLevel="7">
      <c r="A1791" s="53">
        <v>1410</v>
      </c>
      <c r="B1791" s="10" t="s">
        <v>5948</v>
      </c>
      <c r="C1791" s="65" t="s">
        <v>5949</v>
      </c>
      <c r="D1791" s="65"/>
      <c r="E1791" s="65"/>
      <c r="F1791" s="65"/>
      <c r="G1791" s="11" t="s">
        <v>5950</v>
      </c>
      <c r="H1791" s="21" t="s">
        <v>44</v>
      </c>
      <c r="I1791" s="15"/>
      <c r="J1791" s="9">
        <v>1</v>
      </c>
      <c r="K1791" s="22">
        <v>2472.9699999999998</v>
      </c>
      <c r="L1791" s="17"/>
      <c r="M1791" s="15">
        <f t="shared" si="86"/>
        <v>0</v>
      </c>
      <c r="N1791" s="18">
        <f>0.671*L1791</f>
        <v>0</v>
      </c>
      <c r="O1791" s="19">
        <f>0.01073*L1791</f>
        <v>0</v>
      </c>
      <c r="P1791" s="24" t="s">
        <v>26</v>
      </c>
      <c r="Q1791" s="15" t="s">
        <v>5951</v>
      </c>
      <c r="R1791" s="15"/>
      <c r="S1791" s="10" t="str">
        <f>HYPERLINK("https://miland.ru/api/getInfo/image/2645f933-2f40-11f1-a292-00155d82e908")</f>
        <v>https://miland.ru/api/getInfo/image/2645f933-2f40-11f1-a292-00155d82e908</v>
      </c>
    </row>
    <row r="1792" spans="1:19" s="2" customFormat="1" ht="96.2" customHeight="1" outlineLevel="7">
      <c r="A1792" s="52">
        <v>1411</v>
      </c>
      <c r="B1792" s="26" t="s">
        <v>5952</v>
      </c>
      <c r="C1792" s="66" t="s">
        <v>5953</v>
      </c>
      <c r="D1792" s="66"/>
      <c r="E1792" s="66"/>
      <c r="F1792" s="66"/>
      <c r="G1792" s="27" t="s">
        <v>5954</v>
      </c>
      <c r="H1792" s="33">
        <v>89</v>
      </c>
      <c r="I1792" s="29"/>
      <c r="J1792" s="25">
        <v>1</v>
      </c>
      <c r="K1792" s="37">
        <v>2436.14</v>
      </c>
      <c r="L1792" s="17"/>
      <c r="M1792" s="29">
        <f t="shared" si="86"/>
        <v>0</v>
      </c>
      <c r="N1792" s="34">
        <f>0.61*L1792</f>
        <v>0</v>
      </c>
      <c r="O1792" s="32">
        <f>0.00971*L1792</f>
        <v>0</v>
      </c>
      <c r="P1792" s="36"/>
      <c r="Q1792" s="29" t="s">
        <v>5955</v>
      </c>
      <c r="R1792" s="29" t="s">
        <v>611</v>
      </c>
      <c r="S1792" s="26" t="str">
        <f>HYPERLINK("https://miland.ru/api/getInfo/image/be030039-4438-11eb-a25e-ac1f6b442184")</f>
        <v>https://miland.ru/api/getInfo/image/be030039-4438-11eb-a25e-ac1f6b442184</v>
      </c>
    </row>
    <row r="1793" spans="1:19" s="2" customFormat="1" ht="96.2" customHeight="1" outlineLevel="7">
      <c r="A1793" s="52">
        <v>1412</v>
      </c>
      <c r="B1793" s="26" t="s">
        <v>5956</v>
      </c>
      <c r="C1793" s="66" t="s">
        <v>5957</v>
      </c>
      <c r="D1793" s="66"/>
      <c r="E1793" s="66"/>
      <c r="F1793" s="66"/>
      <c r="G1793" s="27" t="s">
        <v>5958</v>
      </c>
      <c r="H1793" s="33">
        <v>48</v>
      </c>
      <c r="I1793" s="29"/>
      <c r="J1793" s="25">
        <v>1</v>
      </c>
      <c r="K1793" s="37">
        <v>2472.9699999999998</v>
      </c>
      <c r="L1793" s="17"/>
      <c r="M1793" s="29">
        <f t="shared" si="86"/>
        <v>0</v>
      </c>
      <c r="N1793" s="31">
        <f>0.622*L1793</f>
        <v>0</v>
      </c>
      <c r="O1793" s="32">
        <f>0.01091*L1793</f>
        <v>0</v>
      </c>
      <c r="P1793" s="36"/>
      <c r="Q1793" s="29" t="s">
        <v>5959</v>
      </c>
      <c r="R1793" s="29" t="s">
        <v>611</v>
      </c>
      <c r="S1793" s="26" t="str">
        <f>HYPERLINK("https://miland.ru/api/getInfo/image/2c6f789c-bf61-11ee-a25a-00155d82e908")</f>
        <v>https://miland.ru/api/getInfo/image/2c6f789c-bf61-11ee-a25a-00155d82e908</v>
      </c>
    </row>
    <row r="1794" spans="1:19" s="2" customFormat="1" ht="96.2" customHeight="1" outlineLevel="7">
      <c r="A1794" s="52">
        <v>1413</v>
      </c>
      <c r="B1794" s="26" t="s">
        <v>5960</v>
      </c>
      <c r="C1794" s="66" t="s">
        <v>5961</v>
      </c>
      <c r="D1794" s="66"/>
      <c r="E1794" s="66"/>
      <c r="F1794" s="66"/>
      <c r="G1794" s="27" t="s">
        <v>5962</v>
      </c>
      <c r="H1794" s="33">
        <v>3</v>
      </c>
      <c r="I1794" s="29"/>
      <c r="J1794" s="25">
        <v>1</v>
      </c>
      <c r="K1794" s="37">
        <v>2472.9699999999998</v>
      </c>
      <c r="L1794" s="17"/>
      <c r="M1794" s="29">
        <f t="shared" si="86"/>
        <v>0</v>
      </c>
      <c r="N1794" s="31">
        <f>0.624*L1794</f>
        <v>0</v>
      </c>
      <c r="O1794" s="32">
        <f>0.01066*L1794</f>
        <v>0</v>
      </c>
      <c r="P1794" s="36"/>
      <c r="Q1794" s="29" t="s">
        <v>5963</v>
      </c>
      <c r="R1794" s="29" t="s">
        <v>611</v>
      </c>
      <c r="S1794" s="26" t="str">
        <f>HYPERLINK("https://miland.ru/api/getInfo/image/6bd97f04-bf61-11ee-a25a-00155d82e908")</f>
        <v>https://miland.ru/api/getInfo/image/6bd97f04-bf61-11ee-a25a-00155d82e908</v>
      </c>
    </row>
    <row r="1795" spans="1:19" s="2" customFormat="1" ht="96.2" customHeight="1" outlineLevel="7">
      <c r="A1795" s="52">
        <v>1414</v>
      </c>
      <c r="B1795" s="26" t="s">
        <v>5964</v>
      </c>
      <c r="C1795" s="66" t="s">
        <v>5965</v>
      </c>
      <c r="D1795" s="66"/>
      <c r="E1795" s="66"/>
      <c r="F1795" s="66"/>
      <c r="G1795" s="27" t="s">
        <v>5966</v>
      </c>
      <c r="H1795" s="28" t="s">
        <v>44</v>
      </c>
      <c r="I1795" s="29"/>
      <c r="J1795" s="25">
        <v>1</v>
      </c>
      <c r="K1795" s="37">
        <v>3236.03</v>
      </c>
      <c r="L1795" s="17"/>
      <c r="M1795" s="29">
        <f t="shared" si="86"/>
        <v>0</v>
      </c>
      <c r="N1795" s="31">
        <f>0.715*L1795</f>
        <v>0</v>
      </c>
      <c r="O1795" s="32">
        <f>0.01064*L1795</f>
        <v>0</v>
      </c>
      <c r="P1795" s="36"/>
      <c r="Q1795" s="29" t="s">
        <v>5967</v>
      </c>
      <c r="R1795" s="29" t="s">
        <v>611</v>
      </c>
      <c r="S1795" s="26" t="str">
        <f>HYPERLINK("https://miland.ru/api/getInfo/image/5d24f892-97cd-11ed-a22d-00155d82e902")</f>
        <v>https://miland.ru/api/getInfo/image/5d24f892-97cd-11ed-a22d-00155d82e902</v>
      </c>
    </row>
    <row r="1796" spans="1:19" s="2" customFormat="1" ht="96.2" customHeight="1" outlineLevel="7">
      <c r="A1796" s="52">
        <v>1415</v>
      </c>
      <c r="B1796" s="26" t="s">
        <v>5968</v>
      </c>
      <c r="C1796" s="66" t="s">
        <v>5969</v>
      </c>
      <c r="D1796" s="66"/>
      <c r="E1796" s="66"/>
      <c r="F1796" s="66"/>
      <c r="G1796" s="27" t="s">
        <v>5970</v>
      </c>
      <c r="H1796" s="33">
        <v>172</v>
      </c>
      <c r="I1796" s="29"/>
      <c r="J1796" s="25">
        <v>1</v>
      </c>
      <c r="K1796" s="37">
        <v>2472.9699999999998</v>
      </c>
      <c r="L1796" s="17"/>
      <c r="M1796" s="29">
        <f t="shared" si="86"/>
        <v>0</v>
      </c>
      <c r="N1796" s="31">
        <f>0.677*L1796</f>
        <v>0</v>
      </c>
      <c r="O1796" s="32">
        <f>0.01067*L1796</f>
        <v>0</v>
      </c>
      <c r="P1796" s="36"/>
      <c r="Q1796" s="29" t="s">
        <v>5971</v>
      </c>
      <c r="R1796" s="29"/>
      <c r="S1796" s="26" t="str">
        <f>HYPERLINK("https://miland.ru/api/getInfo/image/ea0c4322-8b0a-11ec-a211-ac1f6b442185")</f>
        <v>https://miland.ru/api/getInfo/image/ea0c4322-8b0a-11ec-a211-ac1f6b442185</v>
      </c>
    </row>
    <row r="1797" spans="1:19" s="2" customFormat="1" ht="96.2" customHeight="1" outlineLevel="7">
      <c r="A1797" s="54">
        <v>1416</v>
      </c>
      <c r="B1797" s="39" t="s">
        <v>5972</v>
      </c>
      <c r="C1797" s="67" t="s">
        <v>5973</v>
      </c>
      <c r="D1797" s="67"/>
      <c r="E1797" s="67"/>
      <c r="F1797" s="67"/>
      <c r="G1797" s="40" t="s">
        <v>5974</v>
      </c>
      <c r="H1797" s="42">
        <v>1</v>
      </c>
      <c r="I1797" s="43"/>
      <c r="J1797" s="38">
        <v>1</v>
      </c>
      <c r="K1797" s="44">
        <v>725.82</v>
      </c>
      <c r="L1797" s="17"/>
      <c r="M1797" s="43">
        <f t="shared" si="86"/>
        <v>0</v>
      </c>
      <c r="N1797" s="45">
        <f>0.61*L1797</f>
        <v>0</v>
      </c>
      <c r="O1797" s="46">
        <f>0.00971*L1797</f>
        <v>0</v>
      </c>
      <c r="P1797" s="49"/>
      <c r="Q1797" s="43" t="s">
        <v>5975</v>
      </c>
      <c r="R1797" s="43" t="s">
        <v>611</v>
      </c>
      <c r="S1797" s="39" t="str">
        <f>HYPERLINK("https://miland.ru/api/getInfo/image/6e7b4f65-4436-11eb-a25e-ac1f6b442184")</f>
        <v>https://miland.ru/api/getInfo/image/6e7b4f65-4436-11eb-a25e-ac1f6b442184</v>
      </c>
    </row>
    <row r="1798" spans="1:19" s="1" customFormat="1" ht="12" customHeight="1" outlineLevel="6">
      <c r="A1798" s="64" t="s">
        <v>5976</v>
      </c>
      <c r="B1798" s="64"/>
      <c r="C1798" s="64"/>
      <c r="D1798" s="64"/>
      <c r="E1798" s="64"/>
      <c r="F1798" s="64"/>
      <c r="G1798" s="8"/>
      <c r="H1798" s="12"/>
      <c r="I1798" s="2"/>
      <c r="J1798" s="2"/>
      <c r="K1798" s="13"/>
      <c r="L1798" s="2"/>
      <c r="M1798" s="2"/>
      <c r="N1798" s="2"/>
      <c r="O1798" s="2"/>
      <c r="P1798" s="2"/>
      <c r="Q1798" s="2"/>
      <c r="R1798" s="2"/>
      <c r="S1798" s="2"/>
    </row>
    <row r="1799" spans="1:19" s="2" customFormat="1" ht="96.2" customHeight="1" outlineLevel="7">
      <c r="A1799" s="52">
        <v>1417</v>
      </c>
      <c r="B1799" s="26" t="s">
        <v>5977</v>
      </c>
      <c r="C1799" s="66" t="s">
        <v>5978</v>
      </c>
      <c r="D1799" s="66"/>
      <c r="E1799" s="66"/>
      <c r="F1799" s="66"/>
      <c r="G1799" s="27" t="s">
        <v>5979</v>
      </c>
      <c r="H1799" s="33">
        <v>174</v>
      </c>
      <c r="I1799" s="29"/>
      <c r="J1799" s="25">
        <v>1</v>
      </c>
      <c r="K1799" s="37">
        <v>7925.2</v>
      </c>
      <c r="L1799" s="17"/>
      <c r="M1799" s="29">
        <f>K1799*L1799</f>
        <v>0</v>
      </c>
      <c r="N1799" s="31">
        <f>1.122*L1799</f>
        <v>0</v>
      </c>
      <c r="O1799" s="32">
        <f>0.03859*L1799</f>
        <v>0</v>
      </c>
      <c r="P1799" s="36"/>
      <c r="Q1799" s="29" t="s">
        <v>5980</v>
      </c>
      <c r="R1799" s="29"/>
      <c r="S1799" s="26" t="str">
        <f>HYPERLINK("https://miland.ru/api/getInfo/image/3330ef62-bf62-11ee-a25a-00155d82e908")</f>
        <v>https://miland.ru/api/getInfo/image/3330ef62-bf62-11ee-a25a-00155d82e908</v>
      </c>
    </row>
    <row r="1800" spans="1:19" s="1" customFormat="1" ht="12" customHeight="1" outlineLevel="5">
      <c r="A1800" s="64" t="s">
        <v>5981</v>
      </c>
      <c r="B1800" s="64"/>
      <c r="C1800" s="64"/>
      <c r="D1800" s="64"/>
      <c r="E1800" s="64"/>
      <c r="F1800" s="64"/>
      <c r="G1800" s="8"/>
      <c r="H1800" s="12"/>
      <c r="I1800" s="2"/>
      <c r="J1800" s="2"/>
      <c r="K1800" s="13"/>
      <c r="L1800" s="2"/>
      <c r="M1800" s="2"/>
      <c r="N1800" s="2"/>
      <c r="O1800" s="2"/>
      <c r="P1800" s="2"/>
      <c r="Q1800" s="2"/>
      <c r="R1800" s="2"/>
      <c r="S1800" s="2"/>
    </row>
    <row r="1801" spans="1:19" s="2" customFormat="1" ht="96.2" customHeight="1" outlineLevel="6">
      <c r="A1801" s="53">
        <v>1418</v>
      </c>
      <c r="B1801" s="10" t="s">
        <v>5982</v>
      </c>
      <c r="C1801" s="65" t="s">
        <v>5983</v>
      </c>
      <c r="D1801" s="65"/>
      <c r="E1801" s="65"/>
      <c r="F1801" s="65"/>
      <c r="G1801" s="11" t="s">
        <v>5984</v>
      </c>
      <c r="H1801" s="14">
        <v>3</v>
      </c>
      <c r="I1801" s="15"/>
      <c r="J1801" s="9">
        <v>1</v>
      </c>
      <c r="K1801" s="22">
        <v>3828</v>
      </c>
      <c r="L1801" s="17"/>
      <c r="M1801" s="15">
        <f>K1801*L1801</f>
        <v>0</v>
      </c>
      <c r="N1801" s="18">
        <f>0.902*L1801</f>
        <v>0</v>
      </c>
      <c r="O1801" s="19">
        <f>0.01315*L1801</f>
        <v>0</v>
      </c>
      <c r="P1801" s="24" t="s">
        <v>26</v>
      </c>
      <c r="Q1801" s="15" t="s">
        <v>5985</v>
      </c>
      <c r="R1801" s="15"/>
      <c r="S1801" s="10" t="str">
        <f>HYPERLINK("https://miland.ru/api/getInfo/image/f6889a90-2f40-11f1-a292-00155d82e908")</f>
        <v>https://miland.ru/api/getInfo/image/f6889a90-2f40-11f1-a292-00155d82e908</v>
      </c>
    </row>
    <row r="1802" spans="1:19" s="2" customFormat="1" ht="96.2" customHeight="1" outlineLevel="6">
      <c r="A1802" s="53">
        <v>1419</v>
      </c>
      <c r="B1802" s="10" t="s">
        <v>5986</v>
      </c>
      <c r="C1802" s="65" t="s">
        <v>5987</v>
      </c>
      <c r="D1802" s="65"/>
      <c r="E1802" s="65"/>
      <c r="F1802" s="65"/>
      <c r="G1802" s="11" t="s">
        <v>5988</v>
      </c>
      <c r="H1802" s="14">
        <v>467</v>
      </c>
      <c r="I1802" s="15"/>
      <c r="J1802" s="9">
        <v>1</v>
      </c>
      <c r="K1802" s="22">
        <v>5254.21</v>
      </c>
      <c r="L1802" s="17"/>
      <c r="M1802" s="15">
        <f>K1802*L1802</f>
        <v>0</v>
      </c>
      <c r="N1802" s="18">
        <f>1.136*L1802</f>
        <v>0</v>
      </c>
      <c r="O1802" s="19">
        <f>0.02079*L1802</f>
        <v>0</v>
      </c>
      <c r="P1802" s="24" t="s">
        <v>26</v>
      </c>
      <c r="Q1802" s="15" t="s">
        <v>5989</v>
      </c>
      <c r="R1802" s="15"/>
      <c r="S1802" s="10" t="str">
        <f>HYPERLINK("https://miland.ru/api/getInfo/image/42f7db4d-2f41-11f1-a292-00155d82e908")</f>
        <v>https://miland.ru/api/getInfo/image/42f7db4d-2f41-11f1-a292-00155d82e908</v>
      </c>
    </row>
    <row r="1803" spans="1:19" s="2" customFormat="1" ht="96.2" customHeight="1" outlineLevel="6">
      <c r="A1803" s="53">
        <v>1420</v>
      </c>
      <c r="B1803" s="10" t="s">
        <v>5990</v>
      </c>
      <c r="C1803" s="65" t="s">
        <v>5991</v>
      </c>
      <c r="D1803" s="65"/>
      <c r="E1803" s="65"/>
      <c r="F1803" s="65"/>
      <c r="G1803" s="11" t="s">
        <v>5992</v>
      </c>
      <c r="H1803" s="14">
        <v>218</v>
      </c>
      <c r="I1803" s="15"/>
      <c r="J1803" s="9">
        <v>1</v>
      </c>
      <c r="K1803" s="22">
        <v>6078.09</v>
      </c>
      <c r="L1803" s="17"/>
      <c r="M1803" s="15">
        <f>K1803*L1803</f>
        <v>0</v>
      </c>
      <c r="N1803" s="18">
        <f>1.236*L1803</f>
        <v>0</v>
      </c>
      <c r="O1803" s="19">
        <f>0.02074*L1803</f>
        <v>0</v>
      </c>
      <c r="P1803" s="24" t="s">
        <v>26</v>
      </c>
      <c r="Q1803" s="15" t="s">
        <v>5993</v>
      </c>
      <c r="R1803" s="15"/>
      <c r="S1803" s="10" t="str">
        <f>HYPERLINK("https://miland.ru/api/getInfo/image/606023b2-2f41-11f1-a292-00155d82e908")</f>
        <v>https://miland.ru/api/getInfo/image/606023b2-2f41-11f1-a292-00155d82e908</v>
      </c>
    </row>
    <row r="1804" spans="1:19" s="1" customFormat="1" ht="12" customHeight="1" outlineLevel="4">
      <c r="A1804" s="64" t="s">
        <v>5994</v>
      </c>
      <c r="B1804" s="64"/>
      <c r="C1804" s="64"/>
      <c r="D1804" s="64"/>
      <c r="E1804" s="64"/>
      <c r="F1804" s="64"/>
      <c r="G1804" s="8"/>
      <c r="H1804" s="12"/>
      <c r="I1804" s="2"/>
      <c r="J1804" s="2"/>
      <c r="K1804" s="13"/>
      <c r="L1804" s="2"/>
      <c r="M1804" s="2"/>
      <c r="N1804" s="2"/>
      <c r="O1804" s="2"/>
      <c r="P1804" s="2"/>
      <c r="Q1804" s="2"/>
      <c r="R1804" s="2"/>
      <c r="S1804" s="2"/>
    </row>
    <row r="1805" spans="1:19" s="1" customFormat="1" ht="12" customHeight="1" outlineLevel="5">
      <c r="A1805" s="64" t="s">
        <v>5844</v>
      </c>
      <c r="B1805" s="64"/>
      <c r="C1805" s="64"/>
      <c r="D1805" s="64"/>
      <c r="E1805" s="64"/>
      <c r="F1805" s="64"/>
      <c r="G1805" s="8"/>
      <c r="H1805" s="12"/>
      <c r="I1805" s="2"/>
      <c r="J1805" s="2"/>
      <c r="K1805" s="13"/>
      <c r="L1805" s="2"/>
      <c r="M1805" s="2"/>
      <c r="N1805" s="2"/>
      <c r="O1805" s="2"/>
      <c r="P1805" s="2"/>
      <c r="Q1805" s="2"/>
      <c r="R1805" s="2"/>
      <c r="S1805" s="2"/>
    </row>
    <row r="1806" spans="1:19" s="1" customFormat="1" ht="12" customHeight="1" outlineLevel="6">
      <c r="A1806" s="64" t="s">
        <v>5995</v>
      </c>
      <c r="B1806" s="64"/>
      <c r="C1806" s="64"/>
      <c r="D1806" s="64"/>
      <c r="E1806" s="64"/>
      <c r="F1806" s="64"/>
      <c r="G1806" s="8"/>
      <c r="H1806" s="12"/>
      <c r="I1806" s="2"/>
      <c r="J1806" s="2"/>
      <c r="K1806" s="13"/>
      <c r="L1806" s="2"/>
      <c r="M1806" s="2"/>
      <c r="N1806" s="2"/>
      <c r="O1806" s="2"/>
      <c r="P1806" s="2"/>
      <c r="Q1806" s="2"/>
      <c r="R1806" s="2"/>
      <c r="S1806" s="2"/>
    </row>
    <row r="1807" spans="1:19" s="2" customFormat="1" ht="96.2" customHeight="1" outlineLevel="7">
      <c r="A1807" s="52">
        <v>1421</v>
      </c>
      <c r="B1807" s="26" t="s">
        <v>5996</v>
      </c>
      <c r="C1807" s="66" t="s">
        <v>5997</v>
      </c>
      <c r="D1807" s="66"/>
      <c r="E1807" s="66"/>
      <c r="F1807" s="66"/>
      <c r="G1807" s="27" t="s">
        <v>5998</v>
      </c>
      <c r="H1807" s="33">
        <v>84</v>
      </c>
      <c r="I1807" s="29"/>
      <c r="J1807" s="25">
        <v>1</v>
      </c>
      <c r="K1807" s="37">
        <v>1870.83</v>
      </c>
      <c r="L1807" s="17"/>
      <c r="M1807" s="29">
        <f>K1807*L1807</f>
        <v>0</v>
      </c>
      <c r="N1807" s="31">
        <f>0.228*L1807</f>
        <v>0</v>
      </c>
      <c r="O1807" s="32">
        <f>0.00453*L1807</f>
        <v>0</v>
      </c>
      <c r="P1807" s="36"/>
      <c r="Q1807" s="29" t="s">
        <v>5999</v>
      </c>
      <c r="R1807" s="29" t="s">
        <v>611</v>
      </c>
      <c r="S1807" s="26" t="str">
        <f>HYPERLINK("https://miland.ru/api/getInfo/image/d2a724e9-b925-11ee-a25a-00155d82e908")</f>
        <v>https://miland.ru/api/getInfo/image/d2a724e9-b925-11ee-a25a-00155d82e908</v>
      </c>
    </row>
    <row r="1808" spans="1:19" s="2" customFormat="1" ht="96.2" customHeight="1" outlineLevel="7">
      <c r="A1808" s="52">
        <v>1422</v>
      </c>
      <c r="B1808" s="26" t="s">
        <v>6000</v>
      </c>
      <c r="C1808" s="66" t="s">
        <v>6001</v>
      </c>
      <c r="D1808" s="66"/>
      <c r="E1808" s="66"/>
      <c r="F1808" s="66"/>
      <c r="G1808" s="27" t="s">
        <v>6002</v>
      </c>
      <c r="H1808" s="33">
        <v>68</v>
      </c>
      <c r="I1808" s="29"/>
      <c r="J1808" s="25">
        <v>1</v>
      </c>
      <c r="K1808" s="37">
        <v>1870.83</v>
      </c>
      <c r="L1808" s="17"/>
      <c r="M1808" s="29">
        <f>K1808*L1808</f>
        <v>0</v>
      </c>
      <c r="N1808" s="41">
        <f>0.3*L1808</f>
        <v>0</v>
      </c>
      <c r="O1808" s="35">
        <f>0.0053*L1808</f>
        <v>0</v>
      </c>
      <c r="P1808" s="36"/>
      <c r="Q1808" s="29" t="s">
        <v>6003</v>
      </c>
      <c r="R1808" s="29" t="s">
        <v>611</v>
      </c>
      <c r="S1808" s="26" t="str">
        <f>HYPERLINK("https://miland.ru/api/getInfo/image/9285711a-b925-11ee-a25a-00155d82e908")</f>
        <v>https://miland.ru/api/getInfo/image/9285711a-b925-11ee-a25a-00155d82e908</v>
      </c>
    </row>
    <row r="1809" spans="1:19" s="2" customFormat="1" ht="96.2" customHeight="1" outlineLevel="7">
      <c r="A1809" s="52">
        <v>1423</v>
      </c>
      <c r="B1809" s="26" t="s">
        <v>6004</v>
      </c>
      <c r="C1809" s="66" t="s">
        <v>6005</v>
      </c>
      <c r="D1809" s="66"/>
      <c r="E1809" s="66"/>
      <c r="F1809" s="66"/>
      <c r="G1809" s="27" t="s">
        <v>6006</v>
      </c>
      <c r="H1809" s="33">
        <v>5</v>
      </c>
      <c r="I1809" s="29"/>
      <c r="J1809" s="25">
        <v>1</v>
      </c>
      <c r="K1809" s="37">
        <v>1547.44</v>
      </c>
      <c r="L1809" s="17"/>
      <c r="M1809" s="29">
        <f>K1809*L1809</f>
        <v>0</v>
      </c>
      <c r="N1809" s="31">
        <f>0.319*L1809</f>
        <v>0</v>
      </c>
      <c r="O1809" s="32">
        <f>0.00535*L1809</f>
        <v>0</v>
      </c>
      <c r="P1809" s="36"/>
      <c r="Q1809" s="29" t="s">
        <v>6007</v>
      </c>
      <c r="R1809" s="29"/>
      <c r="S1809" s="26" t="str">
        <f>HYPERLINK("https://miland.ru/api/getInfo/image/3f158c5c-bf5b-11ee-a25a-00155d82e908")</f>
        <v>https://miland.ru/api/getInfo/image/3f158c5c-bf5b-11ee-a25a-00155d82e908</v>
      </c>
    </row>
    <row r="1810" spans="1:19" s="2" customFormat="1" ht="96.2" customHeight="1" outlineLevel="7">
      <c r="A1810" s="52">
        <v>1424</v>
      </c>
      <c r="B1810" s="26" t="s">
        <v>6008</v>
      </c>
      <c r="C1810" s="66" t="s">
        <v>6009</v>
      </c>
      <c r="D1810" s="66"/>
      <c r="E1810" s="66"/>
      <c r="F1810" s="66"/>
      <c r="G1810" s="27" t="s">
        <v>6010</v>
      </c>
      <c r="H1810" s="33">
        <v>421</v>
      </c>
      <c r="I1810" s="29"/>
      <c r="J1810" s="25">
        <v>1</v>
      </c>
      <c r="K1810" s="37">
        <v>1870.83</v>
      </c>
      <c r="L1810" s="17"/>
      <c r="M1810" s="29">
        <f>K1810*L1810</f>
        <v>0</v>
      </c>
      <c r="N1810" s="34">
        <f>0.25*L1810</f>
        <v>0</v>
      </c>
      <c r="O1810" s="35">
        <f>0.0046*L1810</f>
        <v>0</v>
      </c>
      <c r="P1810" s="36"/>
      <c r="Q1810" s="29" t="s">
        <v>6011</v>
      </c>
      <c r="R1810" s="29"/>
      <c r="S1810" s="26" t="str">
        <f>HYPERLINK("https://miland.ru/api/getInfo/image/195acd7d-97d2-11ed-a22d-00155d82e902")</f>
        <v>https://miland.ru/api/getInfo/image/195acd7d-97d2-11ed-a22d-00155d82e902</v>
      </c>
    </row>
    <row r="1811" spans="1:19" s="1" customFormat="1" ht="12" customHeight="1" outlineLevel="6">
      <c r="A1811" s="64" t="s">
        <v>6012</v>
      </c>
      <c r="B1811" s="64"/>
      <c r="C1811" s="64"/>
      <c r="D1811" s="64"/>
      <c r="E1811" s="64"/>
      <c r="F1811" s="64"/>
      <c r="G1811" s="8"/>
      <c r="H1811" s="12"/>
      <c r="I1811" s="2"/>
      <c r="J1811" s="2"/>
      <c r="K1811" s="13"/>
      <c r="L1811" s="2"/>
      <c r="M1811" s="2"/>
      <c r="N1811" s="2"/>
      <c r="O1811" s="2"/>
      <c r="P1811" s="2"/>
      <c r="Q1811" s="2"/>
      <c r="R1811" s="2"/>
      <c r="S1811" s="2"/>
    </row>
    <row r="1812" spans="1:19" s="2" customFormat="1" ht="96.2" customHeight="1" outlineLevel="7">
      <c r="A1812" s="52">
        <v>1425</v>
      </c>
      <c r="B1812" s="26" t="s">
        <v>6013</v>
      </c>
      <c r="C1812" s="66" t="s">
        <v>6014</v>
      </c>
      <c r="D1812" s="66"/>
      <c r="E1812" s="66"/>
      <c r="F1812" s="66"/>
      <c r="G1812" s="27" t="s">
        <v>6015</v>
      </c>
      <c r="H1812" s="33">
        <v>1</v>
      </c>
      <c r="I1812" s="29"/>
      <c r="J1812" s="25">
        <v>1</v>
      </c>
      <c r="K1812" s="37">
        <v>2380.5</v>
      </c>
      <c r="L1812" s="17"/>
      <c r="M1812" s="29">
        <f>K1812*L1812</f>
        <v>0</v>
      </c>
      <c r="N1812" s="34">
        <f>0.37*L1812</f>
        <v>0</v>
      </c>
      <c r="O1812" s="32">
        <f>0.00835*L1812</f>
        <v>0</v>
      </c>
      <c r="P1812" s="36"/>
      <c r="Q1812" s="29" t="s">
        <v>6016</v>
      </c>
      <c r="R1812" s="29" t="s">
        <v>611</v>
      </c>
      <c r="S1812" s="26" t="str">
        <f>HYPERLINK("https://miland.ru/api/getInfo/image/43daadde-b926-11ee-a25a-00155d82e908")</f>
        <v>https://miland.ru/api/getInfo/image/43daadde-b926-11ee-a25a-00155d82e908</v>
      </c>
    </row>
    <row r="1813" spans="1:19" s="2" customFormat="1" ht="96.2" customHeight="1" outlineLevel="7">
      <c r="A1813" s="52">
        <v>1426</v>
      </c>
      <c r="B1813" s="26" t="s">
        <v>6017</v>
      </c>
      <c r="C1813" s="66" t="s">
        <v>6018</v>
      </c>
      <c r="D1813" s="66"/>
      <c r="E1813" s="66"/>
      <c r="F1813" s="66"/>
      <c r="G1813" s="27" t="s">
        <v>6019</v>
      </c>
      <c r="H1813" s="33">
        <v>313</v>
      </c>
      <c r="I1813" s="29"/>
      <c r="J1813" s="25">
        <v>1</v>
      </c>
      <c r="K1813" s="37">
        <v>2577.96</v>
      </c>
      <c r="L1813" s="17"/>
      <c r="M1813" s="29">
        <f>K1813*L1813</f>
        <v>0</v>
      </c>
      <c r="N1813" s="31">
        <f>0.293*L1813</f>
        <v>0</v>
      </c>
      <c r="O1813" s="32">
        <f>0.00944*L1813</f>
        <v>0</v>
      </c>
      <c r="P1813" s="36"/>
      <c r="Q1813" s="29" t="s">
        <v>6020</v>
      </c>
      <c r="R1813" s="29"/>
      <c r="S1813" s="26" t="str">
        <f>HYPERLINK("https://miland.ru/api/getInfo/image/b4d39265-97d1-11ed-a22d-00155d82e902")</f>
        <v>https://miland.ru/api/getInfo/image/b4d39265-97d1-11ed-a22d-00155d82e902</v>
      </c>
    </row>
    <row r="1814" spans="1:19" s="2" customFormat="1" ht="96.2" customHeight="1" outlineLevel="7">
      <c r="A1814" s="52">
        <v>1427</v>
      </c>
      <c r="B1814" s="26" t="s">
        <v>6021</v>
      </c>
      <c r="C1814" s="66" t="s">
        <v>6022</v>
      </c>
      <c r="D1814" s="66"/>
      <c r="E1814" s="66"/>
      <c r="F1814" s="66"/>
      <c r="G1814" s="27" t="s">
        <v>6023</v>
      </c>
      <c r="H1814" s="33">
        <v>141</v>
      </c>
      <c r="I1814" s="29"/>
      <c r="J1814" s="25">
        <v>1</v>
      </c>
      <c r="K1814" s="37">
        <v>2380.5</v>
      </c>
      <c r="L1814" s="17"/>
      <c r="M1814" s="29">
        <f>K1814*L1814</f>
        <v>0</v>
      </c>
      <c r="N1814" s="31">
        <f>0.406*L1814</f>
        <v>0</v>
      </c>
      <c r="O1814" s="32">
        <f>0.00886*L1814</f>
        <v>0</v>
      </c>
      <c r="P1814" s="36"/>
      <c r="Q1814" s="29" t="s">
        <v>6024</v>
      </c>
      <c r="R1814" s="29" t="s">
        <v>611</v>
      </c>
      <c r="S1814" s="26" t="str">
        <f>HYPERLINK("https://miland.ru/api/getInfo/image/2063be8f-b926-11ee-a25a-00155d82e908")</f>
        <v>https://miland.ru/api/getInfo/image/2063be8f-b926-11ee-a25a-00155d82e908</v>
      </c>
    </row>
    <row r="1815" spans="1:19" s="2" customFormat="1" ht="96.2" customHeight="1" outlineLevel="7">
      <c r="A1815" s="52">
        <v>1428</v>
      </c>
      <c r="B1815" s="26" t="s">
        <v>6025</v>
      </c>
      <c r="C1815" s="66" t="s">
        <v>6026</v>
      </c>
      <c r="D1815" s="66"/>
      <c r="E1815" s="66"/>
      <c r="F1815" s="66"/>
      <c r="G1815" s="27" t="s">
        <v>6027</v>
      </c>
      <c r="H1815" s="33">
        <v>215</v>
      </c>
      <c r="I1815" s="29"/>
      <c r="J1815" s="25">
        <v>1</v>
      </c>
      <c r="K1815" s="37">
        <v>2380.5</v>
      </c>
      <c r="L1815" s="17"/>
      <c r="M1815" s="29">
        <f>K1815*L1815</f>
        <v>0</v>
      </c>
      <c r="N1815" s="31">
        <f>0.313*L1815</f>
        <v>0</v>
      </c>
      <c r="O1815" s="32">
        <f>0.00872*L1815</f>
        <v>0</v>
      </c>
      <c r="P1815" s="36"/>
      <c r="Q1815" s="29" t="s">
        <v>6028</v>
      </c>
      <c r="R1815" s="29" t="s">
        <v>611</v>
      </c>
      <c r="S1815" s="26" t="str">
        <f>HYPERLINK("https://miland.ru/api/getInfo/image/4470318f-97d2-11ed-a22d-00155d82e902")</f>
        <v>https://miland.ru/api/getInfo/image/4470318f-97d2-11ed-a22d-00155d82e902</v>
      </c>
    </row>
    <row r="1816" spans="1:19" s="1" customFormat="1" ht="12" customHeight="1" outlineLevel="6">
      <c r="A1816" s="64" t="s">
        <v>6029</v>
      </c>
      <c r="B1816" s="64"/>
      <c r="C1816" s="64"/>
      <c r="D1816" s="64"/>
      <c r="E1816" s="64"/>
      <c r="F1816" s="64"/>
      <c r="G1816" s="8"/>
      <c r="H1816" s="12"/>
      <c r="I1816" s="2"/>
      <c r="J1816" s="2"/>
      <c r="K1816" s="13"/>
      <c r="L1816" s="2"/>
      <c r="M1816" s="2"/>
      <c r="N1816" s="2"/>
      <c r="O1816" s="2"/>
      <c r="P1816" s="2"/>
      <c r="Q1816" s="2"/>
      <c r="R1816" s="2"/>
      <c r="S1816" s="2"/>
    </row>
    <row r="1817" spans="1:19" s="2" customFormat="1" ht="96.2" customHeight="1" outlineLevel="7">
      <c r="A1817" s="52">
        <v>1429</v>
      </c>
      <c r="B1817" s="26" t="s">
        <v>6030</v>
      </c>
      <c r="C1817" s="66" t="s">
        <v>6031</v>
      </c>
      <c r="D1817" s="66"/>
      <c r="E1817" s="66"/>
      <c r="F1817" s="66"/>
      <c r="G1817" s="27" t="s">
        <v>6032</v>
      </c>
      <c r="H1817" s="33">
        <v>271</v>
      </c>
      <c r="I1817" s="29"/>
      <c r="J1817" s="25">
        <v>1</v>
      </c>
      <c r="K1817" s="37">
        <v>3998.46</v>
      </c>
      <c r="L1817" s="17"/>
      <c r="M1817" s="29">
        <f>K1817*L1817</f>
        <v>0</v>
      </c>
      <c r="N1817" s="31">
        <f>0.534*L1817</f>
        <v>0</v>
      </c>
      <c r="O1817" s="32">
        <f>0.01669*L1817</f>
        <v>0</v>
      </c>
      <c r="P1817" s="36"/>
      <c r="Q1817" s="29" t="s">
        <v>6033</v>
      </c>
      <c r="R1817" s="29"/>
      <c r="S1817" s="26" t="str">
        <f>HYPERLINK("https://miland.ru/api/getInfo/image/ebcd96d5-97d1-11ed-a22d-00155d82e902")</f>
        <v>https://miland.ru/api/getInfo/image/ebcd96d5-97d1-11ed-a22d-00155d82e902</v>
      </c>
    </row>
    <row r="1818" spans="1:19" s="2" customFormat="1" ht="96.2" customHeight="1" outlineLevel="7">
      <c r="A1818" s="52">
        <v>1430</v>
      </c>
      <c r="B1818" s="26" t="s">
        <v>6034</v>
      </c>
      <c r="C1818" s="66" t="s">
        <v>6035</v>
      </c>
      <c r="D1818" s="66"/>
      <c r="E1818" s="66"/>
      <c r="F1818" s="66"/>
      <c r="G1818" s="27" t="s">
        <v>6036</v>
      </c>
      <c r="H1818" s="33">
        <v>69</v>
      </c>
      <c r="I1818" s="29"/>
      <c r="J1818" s="25">
        <v>1</v>
      </c>
      <c r="K1818" s="37">
        <v>4082.97</v>
      </c>
      <c r="L1818" s="17"/>
      <c r="M1818" s="29">
        <f>K1818*L1818</f>
        <v>0</v>
      </c>
      <c r="N1818" s="31">
        <f>0.702*L1818</f>
        <v>0</v>
      </c>
      <c r="O1818" s="32">
        <f>0.01649*L1818</f>
        <v>0</v>
      </c>
      <c r="P1818" s="36"/>
      <c r="Q1818" s="29" t="s">
        <v>6037</v>
      </c>
      <c r="R1818" s="29"/>
      <c r="S1818" s="26" t="str">
        <f>HYPERLINK("https://miland.ru/api/getInfo/image/6f672234-b926-11ee-a25a-00155d82e908")</f>
        <v>https://miland.ru/api/getInfo/image/6f672234-b926-11ee-a25a-00155d82e908</v>
      </c>
    </row>
    <row r="1819" spans="1:19" s="2" customFormat="1" ht="96.2" customHeight="1" outlineLevel="7">
      <c r="A1819" s="52">
        <v>1431</v>
      </c>
      <c r="B1819" s="26" t="s">
        <v>6038</v>
      </c>
      <c r="C1819" s="66" t="s">
        <v>6039</v>
      </c>
      <c r="D1819" s="66"/>
      <c r="E1819" s="66"/>
      <c r="F1819" s="66"/>
      <c r="G1819" s="27" t="s">
        <v>6040</v>
      </c>
      <c r="H1819" s="28" t="s">
        <v>44</v>
      </c>
      <c r="I1819" s="29"/>
      <c r="J1819" s="25">
        <v>1</v>
      </c>
      <c r="K1819" s="37">
        <v>3998.46</v>
      </c>
      <c r="L1819" s="17"/>
      <c r="M1819" s="29">
        <f>K1819*L1819</f>
        <v>0</v>
      </c>
      <c r="N1819" s="31">
        <f>0.778*L1819</f>
        <v>0</v>
      </c>
      <c r="O1819" s="32">
        <f>0.01752*L1819</f>
        <v>0</v>
      </c>
      <c r="P1819" s="36"/>
      <c r="Q1819" s="29" t="s">
        <v>6041</v>
      </c>
      <c r="R1819" s="29"/>
      <c r="S1819" s="26" t="str">
        <f>HYPERLINK("https://miland.ru/api/getInfo/image/7f36fa18-97d2-11ed-a22d-00155d82e902")</f>
        <v>https://miland.ru/api/getInfo/image/7f36fa18-97d2-11ed-a22d-00155d82e902</v>
      </c>
    </row>
    <row r="1820" spans="1:19" s="1" customFormat="1" ht="12" customHeight="1" outlineLevel="6">
      <c r="A1820" s="64" t="s">
        <v>6042</v>
      </c>
      <c r="B1820" s="64"/>
      <c r="C1820" s="64"/>
      <c r="D1820" s="64"/>
      <c r="E1820" s="64"/>
      <c r="F1820" s="64"/>
      <c r="G1820" s="8"/>
      <c r="H1820" s="12"/>
      <c r="I1820" s="2"/>
      <c r="J1820" s="2"/>
      <c r="K1820" s="13"/>
      <c r="L1820" s="2"/>
      <c r="M1820" s="2"/>
      <c r="N1820" s="2"/>
      <c r="O1820" s="2"/>
      <c r="P1820" s="2"/>
      <c r="Q1820" s="2"/>
      <c r="R1820" s="2"/>
      <c r="S1820" s="2"/>
    </row>
    <row r="1821" spans="1:19" s="2" customFormat="1" ht="96.2" customHeight="1" outlineLevel="7">
      <c r="A1821" s="52">
        <v>1432</v>
      </c>
      <c r="B1821" s="26" t="s">
        <v>6043</v>
      </c>
      <c r="C1821" s="66" t="s">
        <v>6044</v>
      </c>
      <c r="D1821" s="66"/>
      <c r="E1821" s="66"/>
      <c r="F1821" s="66"/>
      <c r="G1821" s="27" t="s">
        <v>6045</v>
      </c>
      <c r="H1821" s="33">
        <v>6</v>
      </c>
      <c r="I1821" s="29"/>
      <c r="J1821" s="25">
        <v>1</v>
      </c>
      <c r="K1821" s="37">
        <v>6102.91</v>
      </c>
      <c r="L1821" s="17"/>
      <c r="M1821" s="29">
        <f>K1821*L1821</f>
        <v>0</v>
      </c>
      <c r="N1821" s="41">
        <f>0.5*L1821</f>
        <v>0</v>
      </c>
      <c r="O1821" s="32">
        <f>0.03188*L1821</f>
        <v>0</v>
      </c>
      <c r="P1821" s="36"/>
      <c r="Q1821" s="29" t="s">
        <v>6046</v>
      </c>
      <c r="R1821" s="29"/>
      <c r="S1821" s="26" t="str">
        <f>HYPERLINK("https://miland.ru/api/getInfo/image/cc86b4cf-b926-11ee-a25a-00155d82e908")</f>
        <v>https://miland.ru/api/getInfo/image/cc86b4cf-b926-11ee-a25a-00155d82e908</v>
      </c>
    </row>
    <row r="1822" spans="1:19" s="2" customFormat="1" ht="96.2" customHeight="1" outlineLevel="7">
      <c r="A1822" s="52">
        <v>1433</v>
      </c>
      <c r="B1822" s="26" t="s">
        <v>6047</v>
      </c>
      <c r="C1822" s="66" t="s">
        <v>6048</v>
      </c>
      <c r="D1822" s="66"/>
      <c r="E1822" s="66"/>
      <c r="F1822" s="66"/>
      <c r="G1822" s="27" t="s">
        <v>6049</v>
      </c>
      <c r="H1822" s="33">
        <v>182</v>
      </c>
      <c r="I1822" s="29"/>
      <c r="J1822" s="25">
        <v>1</v>
      </c>
      <c r="K1822" s="37">
        <v>6312.08</v>
      </c>
      <c r="L1822" s="17"/>
      <c r="M1822" s="29">
        <f>K1822*L1822</f>
        <v>0</v>
      </c>
      <c r="N1822" s="34">
        <f>1.25*L1822</f>
        <v>0</v>
      </c>
      <c r="O1822" s="32">
        <f>0.03188*L1822</f>
        <v>0</v>
      </c>
      <c r="P1822" s="36"/>
      <c r="Q1822" s="29" t="s">
        <v>6050</v>
      </c>
      <c r="R1822" s="29"/>
      <c r="S1822" s="26" t="str">
        <f>HYPERLINK("https://miland.ru/api/getInfo/image/b19e98d9-97d2-11ed-a22d-00155d82e902")</f>
        <v>https://miland.ru/api/getInfo/image/b19e98d9-97d2-11ed-a22d-00155d82e902</v>
      </c>
    </row>
    <row r="1823" spans="1:19" s="1" customFormat="1" ht="12" customHeight="1" outlineLevel="6">
      <c r="A1823" s="64" t="s">
        <v>6051</v>
      </c>
      <c r="B1823" s="64"/>
      <c r="C1823" s="64"/>
      <c r="D1823" s="64"/>
      <c r="E1823" s="64"/>
      <c r="F1823" s="64"/>
      <c r="G1823" s="8"/>
      <c r="H1823" s="12"/>
      <c r="I1823" s="2"/>
      <c r="J1823" s="2"/>
      <c r="K1823" s="13"/>
      <c r="L1823" s="2"/>
      <c r="M1823" s="2"/>
      <c r="N1823" s="2"/>
      <c r="O1823" s="2"/>
      <c r="P1823" s="2"/>
      <c r="Q1823" s="2"/>
      <c r="R1823" s="2"/>
      <c r="S1823" s="2"/>
    </row>
    <row r="1824" spans="1:19" s="2" customFormat="1" ht="96.2" customHeight="1" outlineLevel="7">
      <c r="A1824" s="52">
        <v>1434</v>
      </c>
      <c r="B1824" s="26" t="s">
        <v>6052</v>
      </c>
      <c r="C1824" s="66" t="s">
        <v>6053</v>
      </c>
      <c r="D1824" s="66"/>
      <c r="E1824" s="66"/>
      <c r="F1824" s="66"/>
      <c r="G1824" s="27" t="s">
        <v>6054</v>
      </c>
      <c r="H1824" s="33">
        <v>153</v>
      </c>
      <c r="I1824" s="29"/>
      <c r="J1824" s="25">
        <v>1</v>
      </c>
      <c r="K1824" s="37">
        <v>7926.51</v>
      </c>
      <c r="L1824" s="17"/>
      <c r="M1824" s="29">
        <f>K1824*L1824</f>
        <v>0</v>
      </c>
      <c r="N1824" s="34">
        <f>2.75*L1824</f>
        <v>0</v>
      </c>
      <c r="O1824" s="35">
        <f>0.0405*L1824</f>
        <v>0</v>
      </c>
      <c r="P1824" s="36"/>
      <c r="Q1824" s="29" t="s">
        <v>6055</v>
      </c>
      <c r="R1824" s="29"/>
      <c r="S1824" s="26" t="str">
        <f>HYPERLINK("https://miland.ru/api/getInfo/image/aea21040-bf5e-11ee-a25a-00155d82e908")</f>
        <v>https://miland.ru/api/getInfo/image/aea21040-bf5e-11ee-a25a-00155d82e908</v>
      </c>
    </row>
    <row r="1825" spans="1:19" s="1" customFormat="1" ht="12" customHeight="1" outlineLevel="5">
      <c r="A1825" s="64" t="s">
        <v>5919</v>
      </c>
      <c r="B1825" s="64"/>
      <c r="C1825" s="64"/>
      <c r="D1825" s="64"/>
      <c r="E1825" s="64"/>
      <c r="F1825" s="64"/>
      <c r="G1825" s="8"/>
      <c r="H1825" s="12"/>
      <c r="I1825" s="2"/>
      <c r="J1825" s="2"/>
      <c r="K1825" s="13"/>
      <c r="L1825" s="2"/>
      <c r="M1825" s="2"/>
      <c r="N1825" s="2"/>
      <c r="O1825" s="2"/>
      <c r="P1825" s="2"/>
      <c r="Q1825" s="2"/>
      <c r="R1825" s="2"/>
      <c r="S1825" s="2"/>
    </row>
    <row r="1826" spans="1:19" s="1" customFormat="1" ht="12" customHeight="1" outlineLevel="6">
      <c r="A1826" s="64" t="s">
        <v>5995</v>
      </c>
      <c r="B1826" s="64"/>
      <c r="C1826" s="64"/>
      <c r="D1826" s="64"/>
      <c r="E1826" s="64"/>
      <c r="F1826" s="64"/>
      <c r="G1826" s="8"/>
      <c r="H1826" s="12"/>
      <c r="I1826" s="2"/>
      <c r="J1826" s="2"/>
      <c r="K1826" s="13"/>
      <c r="L1826" s="2"/>
      <c r="M1826" s="2"/>
      <c r="N1826" s="2"/>
      <c r="O1826" s="2"/>
      <c r="P1826" s="2"/>
      <c r="Q1826" s="2"/>
      <c r="R1826" s="2"/>
      <c r="S1826" s="2"/>
    </row>
    <row r="1827" spans="1:19" s="2" customFormat="1" ht="96.2" customHeight="1" outlineLevel="7">
      <c r="A1827" s="52">
        <v>1435</v>
      </c>
      <c r="B1827" s="26" t="s">
        <v>6056</v>
      </c>
      <c r="C1827" s="66" t="s">
        <v>6057</v>
      </c>
      <c r="D1827" s="66"/>
      <c r="E1827" s="66"/>
      <c r="F1827" s="66"/>
      <c r="G1827" s="27" t="s">
        <v>6058</v>
      </c>
      <c r="H1827" s="33">
        <v>79</v>
      </c>
      <c r="I1827" s="29"/>
      <c r="J1827" s="25">
        <v>1</v>
      </c>
      <c r="K1827" s="37">
        <v>1921.47</v>
      </c>
      <c r="L1827" s="17"/>
      <c r="M1827" s="29">
        <f>K1827*L1827</f>
        <v>0</v>
      </c>
      <c r="N1827" s="31">
        <f>0.285*L1827</f>
        <v>0</v>
      </c>
      <c r="O1827" s="32">
        <f>0.00638*L1827</f>
        <v>0</v>
      </c>
      <c r="P1827" s="36"/>
      <c r="Q1827" s="29" t="s">
        <v>6059</v>
      </c>
      <c r="R1827" s="29" t="s">
        <v>611</v>
      </c>
      <c r="S1827" s="26" t="str">
        <f>HYPERLINK("https://miland.ru/api/getInfo/image/94b727f0-b922-11ee-a25a-00155d82e908")</f>
        <v>https://miland.ru/api/getInfo/image/94b727f0-b922-11ee-a25a-00155d82e908</v>
      </c>
    </row>
    <row r="1828" spans="1:19" s="2" customFormat="1" ht="96.2" customHeight="1" outlineLevel="7">
      <c r="A1828" s="52">
        <v>1436</v>
      </c>
      <c r="B1828" s="26" t="s">
        <v>6060</v>
      </c>
      <c r="C1828" s="66" t="s">
        <v>6061</v>
      </c>
      <c r="D1828" s="66"/>
      <c r="E1828" s="66"/>
      <c r="F1828" s="66"/>
      <c r="G1828" s="27" t="s">
        <v>6062</v>
      </c>
      <c r="H1828" s="33">
        <v>12</v>
      </c>
      <c r="I1828" s="29"/>
      <c r="J1828" s="25">
        <v>1</v>
      </c>
      <c r="K1828" s="37">
        <v>1921.47</v>
      </c>
      <c r="L1828" s="17"/>
      <c r="M1828" s="29">
        <f>K1828*L1828</f>
        <v>0</v>
      </c>
      <c r="N1828" s="31">
        <f>0.247*L1828</f>
        <v>0</v>
      </c>
      <c r="O1828" s="32">
        <f>0.00651*L1828</f>
        <v>0</v>
      </c>
      <c r="P1828" s="36"/>
      <c r="Q1828" s="29" t="s">
        <v>6063</v>
      </c>
      <c r="R1828" s="29" t="s">
        <v>611</v>
      </c>
      <c r="S1828" s="26" t="str">
        <f>HYPERLINK("https://miland.ru/api/getInfo/image/5f016ae2-b922-11ee-a25a-00155d82e908")</f>
        <v>https://miland.ru/api/getInfo/image/5f016ae2-b922-11ee-a25a-00155d82e908</v>
      </c>
    </row>
    <row r="1829" spans="1:19" s="2" customFormat="1" ht="96.2" customHeight="1" outlineLevel="7">
      <c r="A1829" s="52">
        <v>1437</v>
      </c>
      <c r="B1829" s="26" t="s">
        <v>6064</v>
      </c>
      <c r="C1829" s="66" t="s">
        <v>6065</v>
      </c>
      <c r="D1829" s="66"/>
      <c r="E1829" s="66"/>
      <c r="F1829" s="66"/>
      <c r="G1829" s="27" t="s">
        <v>6066</v>
      </c>
      <c r="H1829" s="33">
        <v>204</v>
      </c>
      <c r="I1829" s="29"/>
      <c r="J1829" s="25">
        <v>1</v>
      </c>
      <c r="K1829" s="37">
        <v>1921.47</v>
      </c>
      <c r="L1829" s="17"/>
      <c r="M1829" s="29">
        <f>K1829*L1829</f>
        <v>0</v>
      </c>
      <c r="N1829" s="34">
        <f>0.25*L1829</f>
        <v>0</v>
      </c>
      <c r="O1829" s="32">
        <f>0.00648*L1829</f>
        <v>0</v>
      </c>
      <c r="P1829" s="36"/>
      <c r="Q1829" s="29" t="s">
        <v>6067</v>
      </c>
      <c r="R1829" s="29" t="s">
        <v>611</v>
      </c>
      <c r="S1829" s="26" t="str">
        <f>HYPERLINK("https://miland.ru/api/getInfo/image/6838c851-88e4-11ec-a211-ac1f6b442185")</f>
        <v>https://miland.ru/api/getInfo/image/6838c851-88e4-11ec-a211-ac1f6b442185</v>
      </c>
    </row>
    <row r="1830" spans="1:19" s="2" customFormat="1" ht="96.2" customHeight="1" outlineLevel="7">
      <c r="A1830" s="52">
        <v>1438</v>
      </c>
      <c r="B1830" s="26" t="s">
        <v>6068</v>
      </c>
      <c r="C1830" s="66" t="s">
        <v>6069</v>
      </c>
      <c r="D1830" s="66"/>
      <c r="E1830" s="66"/>
      <c r="F1830" s="66"/>
      <c r="G1830" s="27" t="s">
        <v>6070</v>
      </c>
      <c r="H1830" s="28" t="s">
        <v>44</v>
      </c>
      <c r="I1830" s="29"/>
      <c r="J1830" s="25">
        <v>1</v>
      </c>
      <c r="K1830" s="37">
        <v>1547.63</v>
      </c>
      <c r="L1830" s="17"/>
      <c r="M1830" s="29">
        <f>K1830*L1830</f>
        <v>0</v>
      </c>
      <c r="N1830" s="31">
        <f>0.374*L1830</f>
        <v>0</v>
      </c>
      <c r="O1830" s="32">
        <f>0.00674*L1830</f>
        <v>0</v>
      </c>
      <c r="P1830" s="36"/>
      <c r="Q1830" s="29" t="s">
        <v>6071</v>
      </c>
      <c r="R1830" s="29"/>
      <c r="S1830" s="26" t="str">
        <f>HYPERLINK("https://miland.ru/api/getInfo/image/d1272d60-bf5d-11ee-a25a-00155d82e908")</f>
        <v>https://miland.ru/api/getInfo/image/d1272d60-bf5d-11ee-a25a-00155d82e908</v>
      </c>
    </row>
    <row r="1831" spans="1:19" s="2" customFormat="1" ht="96.2" customHeight="1" outlineLevel="7">
      <c r="A1831" s="52">
        <v>1439</v>
      </c>
      <c r="B1831" s="26" t="s">
        <v>6072</v>
      </c>
      <c r="C1831" s="66" t="s">
        <v>6073</v>
      </c>
      <c r="D1831" s="66"/>
      <c r="E1831" s="66"/>
      <c r="F1831" s="66"/>
      <c r="G1831" s="27" t="s">
        <v>6074</v>
      </c>
      <c r="H1831" s="28" t="s">
        <v>44</v>
      </c>
      <c r="I1831" s="29"/>
      <c r="J1831" s="25">
        <v>1</v>
      </c>
      <c r="K1831" s="37">
        <v>1547.63</v>
      </c>
      <c r="L1831" s="17"/>
      <c r="M1831" s="29">
        <f>K1831*L1831</f>
        <v>0</v>
      </c>
      <c r="N1831" s="31">
        <f>0.361*L1831</f>
        <v>0</v>
      </c>
      <c r="O1831" s="32">
        <f>0.00658*L1831</f>
        <v>0</v>
      </c>
      <c r="P1831" s="36"/>
      <c r="Q1831" s="29" t="s">
        <v>6075</v>
      </c>
      <c r="R1831" s="29"/>
      <c r="S1831" s="26" t="str">
        <f>HYPERLINK("https://miland.ru/api/getInfo/image/fe6ae42e-bf5b-11ee-a25a-00155d82e908")</f>
        <v>https://miland.ru/api/getInfo/image/fe6ae42e-bf5b-11ee-a25a-00155d82e908</v>
      </c>
    </row>
    <row r="1832" spans="1:19" s="1" customFormat="1" ht="12" customHeight="1" outlineLevel="6">
      <c r="A1832" s="64" t="s">
        <v>6012</v>
      </c>
      <c r="B1832" s="64"/>
      <c r="C1832" s="64"/>
      <c r="D1832" s="64"/>
      <c r="E1832" s="64"/>
      <c r="F1832" s="64"/>
      <c r="G1832" s="8"/>
      <c r="H1832" s="12"/>
      <c r="I1832" s="2"/>
      <c r="J1832" s="2"/>
      <c r="K1832" s="13"/>
      <c r="L1832" s="2"/>
      <c r="M1832" s="2"/>
      <c r="N1832" s="2"/>
      <c r="O1832" s="2"/>
      <c r="P1832" s="2"/>
      <c r="Q1832" s="2"/>
      <c r="R1832" s="2"/>
      <c r="S1832" s="2"/>
    </row>
    <row r="1833" spans="1:19" s="2" customFormat="1" ht="96.2" customHeight="1" outlineLevel="7">
      <c r="A1833" s="52">
        <v>1440</v>
      </c>
      <c r="B1833" s="26" t="s">
        <v>6076</v>
      </c>
      <c r="C1833" s="66" t="s">
        <v>6077</v>
      </c>
      <c r="D1833" s="66"/>
      <c r="E1833" s="66"/>
      <c r="F1833" s="66"/>
      <c r="G1833" s="27" t="s">
        <v>6078</v>
      </c>
      <c r="H1833" s="33">
        <v>9</v>
      </c>
      <c r="I1833" s="29"/>
      <c r="J1833" s="25">
        <v>1</v>
      </c>
      <c r="K1833" s="37">
        <v>2262.86</v>
      </c>
      <c r="L1833" s="17"/>
      <c r="M1833" s="29">
        <f>K1833*L1833</f>
        <v>0</v>
      </c>
      <c r="N1833" s="31">
        <f>0.618*L1833</f>
        <v>0</v>
      </c>
      <c r="O1833" s="32">
        <f>0.01207*L1833</f>
        <v>0</v>
      </c>
      <c r="P1833" s="36"/>
      <c r="Q1833" s="29" t="s">
        <v>6079</v>
      </c>
      <c r="R1833" s="29"/>
      <c r="S1833" s="26" t="str">
        <f>HYPERLINK("https://miland.ru/api/getInfo/image/16dd09d8-bf5e-11ee-a25a-00155d82e908")</f>
        <v>https://miland.ru/api/getInfo/image/16dd09d8-bf5e-11ee-a25a-00155d82e908</v>
      </c>
    </row>
    <row r="1834" spans="1:19" s="1" customFormat="1" ht="12" customHeight="1" outlineLevel="6">
      <c r="A1834" s="64" t="s">
        <v>6080</v>
      </c>
      <c r="B1834" s="64"/>
      <c r="C1834" s="64"/>
      <c r="D1834" s="64"/>
      <c r="E1834" s="64"/>
      <c r="F1834" s="64"/>
      <c r="G1834" s="8"/>
      <c r="H1834" s="12"/>
      <c r="I1834" s="2"/>
      <c r="J1834" s="2"/>
      <c r="K1834" s="13"/>
      <c r="L1834" s="2"/>
      <c r="M1834" s="2"/>
      <c r="N1834" s="2"/>
      <c r="O1834" s="2"/>
      <c r="P1834" s="2"/>
      <c r="Q1834" s="2"/>
      <c r="R1834" s="2"/>
      <c r="S1834" s="2"/>
    </row>
    <row r="1835" spans="1:19" s="2" customFormat="1" ht="96.2" customHeight="1" outlineLevel="7">
      <c r="A1835" s="52">
        <v>1441</v>
      </c>
      <c r="B1835" s="26" t="s">
        <v>6081</v>
      </c>
      <c r="C1835" s="66" t="s">
        <v>6082</v>
      </c>
      <c r="D1835" s="66"/>
      <c r="E1835" s="66"/>
      <c r="F1835" s="66"/>
      <c r="G1835" s="27" t="s">
        <v>6083</v>
      </c>
      <c r="H1835" s="33">
        <v>75</v>
      </c>
      <c r="I1835" s="29"/>
      <c r="J1835" s="25">
        <v>1</v>
      </c>
      <c r="K1835" s="37">
        <v>2724.36</v>
      </c>
      <c r="L1835" s="17"/>
      <c r="M1835" s="29">
        <f>K1835*L1835</f>
        <v>0</v>
      </c>
      <c r="N1835" s="31">
        <f>0.492*L1835</f>
        <v>0</v>
      </c>
      <c r="O1835" s="32">
        <f>0.01665*L1835</f>
        <v>0</v>
      </c>
      <c r="P1835" s="36"/>
      <c r="Q1835" s="29" t="s">
        <v>6084</v>
      </c>
      <c r="R1835" s="29" t="s">
        <v>611</v>
      </c>
      <c r="S1835" s="26" t="str">
        <f>HYPERLINK("https://miland.ru/api/getInfo/image/8f185318-b923-11ee-a25a-00155d82e908")</f>
        <v>https://miland.ru/api/getInfo/image/8f185318-b923-11ee-a25a-00155d82e908</v>
      </c>
    </row>
    <row r="1836" spans="1:19" s="2" customFormat="1" ht="96.2" customHeight="1" outlineLevel="7">
      <c r="A1836" s="52">
        <v>1442</v>
      </c>
      <c r="B1836" s="26" t="s">
        <v>6085</v>
      </c>
      <c r="C1836" s="66" t="s">
        <v>6086</v>
      </c>
      <c r="D1836" s="66"/>
      <c r="E1836" s="66"/>
      <c r="F1836" s="66"/>
      <c r="G1836" s="27" t="s">
        <v>6087</v>
      </c>
      <c r="H1836" s="33">
        <v>122</v>
      </c>
      <c r="I1836" s="29"/>
      <c r="J1836" s="25">
        <v>1</v>
      </c>
      <c r="K1836" s="37">
        <v>2724.36</v>
      </c>
      <c r="L1836" s="17"/>
      <c r="M1836" s="29">
        <f>K1836*L1836</f>
        <v>0</v>
      </c>
      <c r="N1836" s="31">
        <f>0.833*L1836</f>
        <v>0</v>
      </c>
      <c r="O1836" s="35">
        <f>0.0123*L1836</f>
        <v>0</v>
      </c>
      <c r="P1836" s="36"/>
      <c r="Q1836" s="29" t="s">
        <v>6088</v>
      </c>
      <c r="R1836" s="29"/>
      <c r="S1836" s="26" t="str">
        <f>HYPERLINK("https://miland.ru/api/getInfo/image/0aa52b8b-97d3-11ed-a22d-00155d82e902")</f>
        <v>https://miland.ru/api/getInfo/image/0aa52b8b-97d3-11ed-a22d-00155d82e902</v>
      </c>
    </row>
    <row r="1837" spans="1:19" s="2" customFormat="1" ht="96.2" customHeight="1" outlineLevel="7">
      <c r="A1837" s="52">
        <v>1443</v>
      </c>
      <c r="B1837" s="26" t="s">
        <v>6089</v>
      </c>
      <c r="C1837" s="66" t="s">
        <v>6090</v>
      </c>
      <c r="D1837" s="66"/>
      <c r="E1837" s="66"/>
      <c r="F1837" s="66"/>
      <c r="G1837" s="27" t="s">
        <v>6091</v>
      </c>
      <c r="H1837" s="33">
        <v>17</v>
      </c>
      <c r="I1837" s="29"/>
      <c r="J1837" s="25">
        <v>1</v>
      </c>
      <c r="K1837" s="37">
        <v>2724.36</v>
      </c>
      <c r="L1837" s="17"/>
      <c r="M1837" s="29">
        <f>K1837*L1837</f>
        <v>0</v>
      </c>
      <c r="N1837" s="34">
        <f>0.25*L1837</f>
        <v>0</v>
      </c>
      <c r="O1837" s="32">
        <f>0.01604*L1837</f>
        <v>0</v>
      </c>
      <c r="P1837" s="36"/>
      <c r="Q1837" s="29" t="s">
        <v>6092</v>
      </c>
      <c r="R1837" s="29"/>
      <c r="S1837" s="26" t="str">
        <f>HYPERLINK("https://miland.ru/api/getInfo/image/e90fb031-b923-11ee-a25a-00155d82e908")</f>
        <v>https://miland.ru/api/getInfo/image/e90fb031-b923-11ee-a25a-00155d82e908</v>
      </c>
    </row>
    <row r="1838" spans="1:19" s="1" customFormat="1" ht="12" customHeight="1" outlineLevel="6">
      <c r="A1838" s="64" t="s">
        <v>6093</v>
      </c>
      <c r="B1838" s="64"/>
      <c r="C1838" s="64"/>
      <c r="D1838" s="64"/>
      <c r="E1838" s="64"/>
      <c r="F1838" s="64"/>
      <c r="G1838" s="8"/>
      <c r="H1838" s="12"/>
      <c r="I1838" s="2"/>
      <c r="J1838" s="2"/>
      <c r="K1838" s="13"/>
      <c r="L1838" s="2"/>
      <c r="M1838" s="2"/>
      <c r="N1838" s="2"/>
      <c r="O1838" s="2"/>
      <c r="P1838" s="2"/>
      <c r="Q1838" s="2"/>
      <c r="R1838" s="2"/>
      <c r="S1838" s="2"/>
    </row>
    <row r="1839" spans="1:19" s="2" customFormat="1" ht="96.2" customHeight="1" outlineLevel="7">
      <c r="A1839" s="52">
        <v>1444</v>
      </c>
      <c r="B1839" s="26" t="s">
        <v>6094</v>
      </c>
      <c r="C1839" s="66" t="s">
        <v>6095</v>
      </c>
      <c r="D1839" s="66"/>
      <c r="E1839" s="66"/>
      <c r="F1839" s="66"/>
      <c r="G1839" s="27" t="s">
        <v>6096</v>
      </c>
      <c r="H1839" s="33">
        <v>6</v>
      </c>
      <c r="I1839" s="29"/>
      <c r="J1839" s="25">
        <v>1</v>
      </c>
      <c r="K1839" s="37">
        <v>4774.26</v>
      </c>
      <c r="L1839" s="17"/>
      <c r="M1839" s="29">
        <f>K1839*L1839</f>
        <v>0</v>
      </c>
      <c r="N1839" s="31">
        <f>0.927*L1839</f>
        <v>0</v>
      </c>
      <c r="O1839" s="32">
        <f>0.03148*L1839</f>
        <v>0</v>
      </c>
      <c r="P1839" s="36"/>
      <c r="Q1839" s="29" t="s">
        <v>6097</v>
      </c>
      <c r="R1839" s="29" t="s">
        <v>611</v>
      </c>
      <c r="S1839" s="26" t="str">
        <f>HYPERLINK("https://miland.ru/api/getInfo/image/c39d05f3-b921-11ee-a25a-00155d82e908")</f>
        <v>https://miland.ru/api/getInfo/image/c39d05f3-b921-11ee-a25a-00155d82e908</v>
      </c>
    </row>
    <row r="1840" spans="1:19" s="2" customFormat="1" ht="96.2" customHeight="1" outlineLevel="7">
      <c r="A1840" s="52">
        <v>1445</v>
      </c>
      <c r="B1840" s="26" t="s">
        <v>6098</v>
      </c>
      <c r="C1840" s="66" t="s">
        <v>6099</v>
      </c>
      <c r="D1840" s="66"/>
      <c r="E1840" s="66"/>
      <c r="F1840" s="66"/>
      <c r="G1840" s="27" t="s">
        <v>6100</v>
      </c>
      <c r="H1840" s="33">
        <v>43</v>
      </c>
      <c r="I1840" s="29"/>
      <c r="J1840" s="25">
        <v>1</v>
      </c>
      <c r="K1840" s="37">
        <v>4774.26</v>
      </c>
      <c r="L1840" s="17"/>
      <c r="M1840" s="29">
        <f>K1840*L1840</f>
        <v>0</v>
      </c>
      <c r="N1840" s="31">
        <f>0.957*L1840</f>
        <v>0</v>
      </c>
      <c r="O1840" s="32">
        <f>0.02915*L1840</f>
        <v>0</v>
      </c>
      <c r="P1840" s="36"/>
      <c r="Q1840" s="29" t="s">
        <v>6101</v>
      </c>
      <c r="R1840" s="29" t="s">
        <v>611</v>
      </c>
      <c r="S1840" s="26" t="str">
        <f>HYPERLINK("https://miland.ru/api/getInfo/image/3e38df2b-97d3-11ed-a22d-00155d82e902")</f>
        <v>https://miland.ru/api/getInfo/image/3e38df2b-97d3-11ed-a22d-00155d82e902</v>
      </c>
    </row>
    <row r="1841" spans="1:19" s="2" customFormat="1" ht="96.2" customHeight="1" outlineLevel="7">
      <c r="A1841" s="52">
        <v>1446</v>
      </c>
      <c r="B1841" s="26" t="s">
        <v>6102</v>
      </c>
      <c r="C1841" s="66" t="s">
        <v>6103</v>
      </c>
      <c r="D1841" s="66"/>
      <c r="E1841" s="66"/>
      <c r="F1841" s="66"/>
      <c r="G1841" s="27" t="s">
        <v>6104</v>
      </c>
      <c r="H1841" s="33">
        <v>25</v>
      </c>
      <c r="I1841" s="29"/>
      <c r="J1841" s="25">
        <v>1</v>
      </c>
      <c r="K1841" s="37">
        <v>4774.26</v>
      </c>
      <c r="L1841" s="17"/>
      <c r="M1841" s="29">
        <f>K1841*L1841</f>
        <v>0</v>
      </c>
      <c r="N1841" s="34">
        <f>0.91*L1841</f>
        <v>0</v>
      </c>
      <c r="O1841" s="32">
        <f>0.02871*L1841</f>
        <v>0</v>
      </c>
      <c r="P1841" s="36"/>
      <c r="Q1841" s="29" t="s">
        <v>6105</v>
      </c>
      <c r="R1841" s="29" t="s">
        <v>611</v>
      </c>
      <c r="S1841" s="26" t="str">
        <f>HYPERLINK("https://miland.ru/api/getInfo/image/3dacb861-88e5-11ec-a211-ac1f6b442185")</f>
        <v>https://miland.ru/api/getInfo/image/3dacb861-88e5-11ec-a211-ac1f6b442185</v>
      </c>
    </row>
    <row r="1842" spans="1:19" s="2" customFormat="1" ht="96.2" customHeight="1" outlineLevel="7">
      <c r="A1842" s="52">
        <v>1447</v>
      </c>
      <c r="B1842" s="26" t="s">
        <v>6106</v>
      </c>
      <c r="C1842" s="66" t="s">
        <v>6107</v>
      </c>
      <c r="D1842" s="66"/>
      <c r="E1842" s="66"/>
      <c r="F1842" s="66"/>
      <c r="G1842" s="27" t="s">
        <v>6108</v>
      </c>
      <c r="H1842" s="33">
        <v>5</v>
      </c>
      <c r="I1842" s="29"/>
      <c r="J1842" s="25">
        <v>1</v>
      </c>
      <c r="K1842" s="37">
        <v>4774.26</v>
      </c>
      <c r="L1842" s="17"/>
      <c r="M1842" s="29">
        <f>K1842*L1842</f>
        <v>0</v>
      </c>
      <c r="N1842" s="31">
        <f>0.962*L1842</f>
        <v>0</v>
      </c>
      <c r="O1842" s="32">
        <f>0.02946*L1842</f>
        <v>0</v>
      </c>
      <c r="P1842" s="36"/>
      <c r="Q1842" s="29" t="s">
        <v>6109</v>
      </c>
      <c r="R1842" s="29" t="s">
        <v>611</v>
      </c>
      <c r="S1842" s="26" t="str">
        <f>HYPERLINK("https://miland.ru/api/getInfo/image/af0a1b0f-88e5-11ec-a211-ac1f6b442185")</f>
        <v>https://miland.ru/api/getInfo/image/af0a1b0f-88e5-11ec-a211-ac1f6b442185</v>
      </c>
    </row>
    <row r="1843" spans="1:19" s="1" customFormat="1" ht="12" customHeight="1" outlineLevel="6">
      <c r="A1843" s="64" t="s">
        <v>6110</v>
      </c>
      <c r="B1843" s="64"/>
      <c r="C1843" s="64"/>
      <c r="D1843" s="64"/>
      <c r="E1843" s="64"/>
      <c r="F1843" s="64"/>
      <c r="G1843" s="8"/>
      <c r="H1843" s="12"/>
      <c r="I1843" s="2"/>
      <c r="J1843" s="2"/>
      <c r="K1843" s="13"/>
      <c r="L1843" s="2"/>
      <c r="M1843" s="2"/>
      <c r="N1843" s="2"/>
      <c r="O1843" s="2"/>
      <c r="P1843" s="2"/>
      <c r="Q1843" s="2"/>
      <c r="R1843" s="2"/>
      <c r="S1843" s="2"/>
    </row>
    <row r="1844" spans="1:19" s="2" customFormat="1" ht="96.2" customHeight="1" outlineLevel="7">
      <c r="A1844" s="52">
        <v>1448</v>
      </c>
      <c r="B1844" s="26" t="s">
        <v>6111</v>
      </c>
      <c r="C1844" s="66" t="s">
        <v>6112</v>
      </c>
      <c r="D1844" s="66"/>
      <c r="E1844" s="66"/>
      <c r="F1844" s="66"/>
      <c r="G1844" s="27" t="s">
        <v>6113</v>
      </c>
      <c r="H1844" s="33">
        <v>10</v>
      </c>
      <c r="I1844" s="29"/>
      <c r="J1844" s="25">
        <v>1</v>
      </c>
      <c r="K1844" s="37">
        <v>6860.96</v>
      </c>
      <c r="L1844" s="17"/>
      <c r="M1844" s="29">
        <f>K1844*L1844</f>
        <v>0</v>
      </c>
      <c r="N1844" s="34">
        <f>2.75*L1844</f>
        <v>0</v>
      </c>
      <c r="O1844" s="32">
        <f>0.06367*L1844</f>
        <v>0</v>
      </c>
      <c r="P1844" s="36"/>
      <c r="Q1844" s="29" t="s">
        <v>6114</v>
      </c>
      <c r="R1844" s="29"/>
      <c r="S1844" s="26" t="str">
        <f>HYPERLINK("https://miland.ru/api/getInfo/image/6b7e77c7-97d3-11ed-a22d-00155d82e902")</f>
        <v>https://miland.ru/api/getInfo/image/6b7e77c7-97d3-11ed-a22d-00155d82e902</v>
      </c>
    </row>
    <row r="1845" spans="1:19" s="2" customFormat="1" ht="96.2" customHeight="1" outlineLevel="7">
      <c r="A1845" s="52">
        <v>1449</v>
      </c>
      <c r="B1845" s="26" t="s">
        <v>6115</v>
      </c>
      <c r="C1845" s="66" t="s">
        <v>6116</v>
      </c>
      <c r="D1845" s="66"/>
      <c r="E1845" s="66"/>
      <c r="F1845" s="66"/>
      <c r="G1845" s="27" t="s">
        <v>6117</v>
      </c>
      <c r="H1845" s="33">
        <v>62</v>
      </c>
      <c r="I1845" s="29"/>
      <c r="J1845" s="25">
        <v>1</v>
      </c>
      <c r="K1845" s="37">
        <v>6860.96</v>
      </c>
      <c r="L1845" s="17"/>
      <c r="M1845" s="29">
        <f>K1845*L1845</f>
        <v>0</v>
      </c>
      <c r="N1845" s="34">
        <f>1.72*L1845</f>
        <v>0</v>
      </c>
      <c r="O1845" s="35">
        <f>0.0632*L1845</f>
        <v>0</v>
      </c>
      <c r="P1845" s="36"/>
      <c r="Q1845" s="29" t="s">
        <v>6118</v>
      </c>
      <c r="R1845" s="29" t="s">
        <v>611</v>
      </c>
      <c r="S1845" s="26" t="str">
        <f>HYPERLINK("https://miland.ru/api/getInfo/image/ca8a914d-88e4-11ec-a211-ac1f6b442185")</f>
        <v>https://miland.ru/api/getInfo/image/ca8a914d-88e4-11ec-a211-ac1f6b442185</v>
      </c>
    </row>
    <row r="1846" spans="1:19" s="2" customFormat="1" ht="96.2" customHeight="1" outlineLevel="7">
      <c r="A1846" s="52">
        <v>1450</v>
      </c>
      <c r="B1846" s="26" t="s">
        <v>6119</v>
      </c>
      <c r="C1846" s="66" t="s">
        <v>6120</v>
      </c>
      <c r="D1846" s="66"/>
      <c r="E1846" s="66"/>
      <c r="F1846" s="66"/>
      <c r="G1846" s="27" t="s">
        <v>6121</v>
      </c>
      <c r="H1846" s="33">
        <v>15</v>
      </c>
      <c r="I1846" s="29"/>
      <c r="J1846" s="25">
        <v>1</v>
      </c>
      <c r="K1846" s="37">
        <v>6860.96</v>
      </c>
      <c r="L1846" s="17"/>
      <c r="M1846" s="29">
        <f>K1846*L1846</f>
        <v>0</v>
      </c>
      <c r="N1846" s="31">
        <f>1.815*L1846</f>
        <v>0</v>
      </c>
      <c r="O1846" s="32">
        <f>0.06719*L1846</f>
        <v>0</v>
      </c>
      <c r="P1846" s="36"/>
      <c r="Q1846" s="29" t="s">
        <v>6122</v>
      </c>
      <c r="R1846" s="29" t="s">
        <v>611</v>
      </c>
      <c r="S1846" s="26" t="str">
        <f>HYPERLINK("https://miland.ru/api/getInfo/image/880f68be-88e6-11ec-a211-ac1f6b442185")</f>
        <v>https://miland.ru/api/getInfo/image/880f68be-88e6-11ec-a211-ac1f6b442185</v>
      </c>
    </row>
    <row r="1847" spans="1:19" s="1" customFormat="1" ht="12" customHeight="1" outlineLevel="6">
      <c r="A1847" s="64" t="s">
        <v>6123</v>
      </c>
      <c r="B1847" s="64"/>
      <c r="C1847" s="64"/>
      <c r="D1847" s="64"/>
      <c r="E1847" s="64"/>
      <c r="F1847" s="64"/>
      <c r="G1847" s="8"/>
      <c r="H1847" s="12"/>
      <c r="I1847" s="2"/>
      <c r="J1847" s="2"/>
      <c r="K1847" s="13"/>
      <c r="L1847" s="2"/>
      <c r="M1847" s="2"/>
      <c r="N1847" s="2"/>
      <c r="O1847" s="2"/>
      <c r="P1847" s="2"/>
      <c r="Q1847" s="2"/>
      <c r="R1847" s="2"/>
      <c r="S1847" s="2"/>
    </row>
    <row r="1848" spans="1:19" s="2" customFormat="1" ht="96.2" customHeight="1" outlineLevel="7">
      <c r="A1848" s="52">
        <v>1451</v>
      </c>
      <c r="B1848" s="26" t="s">
        <v>6124</v>
      </c>
      <c r="C1848" s="66" t="s">
        <v>6125</v>
      </c>
      <c r="D1848" s="66"/>
      <c r="E1848" s="66"/>
      <c r="F1848" s="66"/>
      <c r="G1848" s="27" t="s">
        <v>6126</v>
      </c>
      <c r="H1848" s="33">
        <v>2</v>
      </c>
      <c r="I1848" s="29"/>
      <c r="J1848" s="25">
        <v>1</v>
      </c>
      <c r="K1848" s="37">
        <v>9521.5300000000007</v>
      </c>
      <c r="L1848" s="17"/>
      <c r="M1848" s="29">
        <f>K1848*L1848</f>
        <v>0</v>
      </c>
      <c r="N1848" s="34">
        <f>3.89*L1848</f>
        <v>0</v>
      </c>
      <c r="O1848" s="32">
        <f>0.17738*L1848</f>
        <v>0</v>
      </c>
      <c r="P1848" s="36"/>
      <c r="Q1848" s="29" t="s">
        <v>6127</v>
      </c>
      <c r="R1848" s="29" t="s">
        <v>611</v>
      </c>
      <c r="S1848" s="26" t="str">
        <f>HYPERLINK("https://miland.ru/api/getInfo/image/56093a00-b924-11ee-a25a-00155d82e908")</f>
        <v>https://miland.ru/api/getInfo/image/56093a00-b924-11ee-a25a-00155d82e908</v>
      </c>
    </row>
    <row r="1849" spans="1:19" s="2" customFormat="1" ht="96.2" customHeight="1" outlineLevel="7">
      <c r="A1849" s="52">
        <v>1452</v>
      </c>
      <c r="B1849" s="26" t="s">
        <v>6128</v>
      </c>
      <c r="C1849" s="66" t="s">
        <v>6129</v>
      </c>
      <c r="D1849" s="66"/>
      <c r="E1849" s="66"/>
      <c r="F1849" s="66"/>
      <c r="G1849" s="27" t="s">
        <v>6130</v>
      </c>
      <c r="H1849" s="33">
        <v>248</v>
      </c>
      <c r="I1849" s="29"/>
      <c r="J1849" s="25">
        <v>1</v>
      </c>
      <c r="K1849" s="37">
        <v>9670.19</v>
      </c>
      <c r="L1849" s="17"/>
      <c r="M1849" s="29">
        <f>K1849*L1849</f>
        <v>0</v>
      </c>
      <c r="N1849" s="34">
        <f>3.47*L1849</f>
        <v>0</v>
      </c>
      <c r="O1849" s="32">
        <f>0.17002*L1849</f>
        <v>0</v>
      </c>
      <c r="P1849" s="36"/>
      <c r="Q1849" s="29" t="s">
        <v>6131</v>
      </c>
      <c r="R1849" s="29"/>
      <c r="S1849" s="26" t="str">
        <f>HYPERLINK("https://miland.ru/api/getInfo/image/5069200a-97d1-11ed-a22d-00155d82e902")</f>
        <v>https://miland.ru/api/getInfo/image/5069200a-97d1-11ed-a22d-00155d82e902</v>
      </c>
    </row>
    <row r="1850" spans="1:19" s="2" customFormat="1" ht="96.2" customHeight="1" outlineLevel="7">
      <c r="A1850" s="52">
        <v>1453</v>
      </c>
      <c r="B1850" s="26" t="s">
        <v>6132</v>
      </c>
      <c r="C1850" s="66" t="s">
        <v>6133</v>
      </c>
      <c r="D1850" s="66"/>
      <c r="E1850" s="66"/>
      <c r="F1850" s="66"/>
      <c r="G1850" s="27" t="s">
        <v>6134</v>
      </c>
      <c r="H1850" s="33">
        <v>26</v>
      </c>
      <c r="I1850" s="29"/>
      <c r="J1850" s="25">
        <v>1</v>
      </c>
      <c r="K1850" s="37">
        <v>9521.5300000000007</v>
      </c>
      <c r="L1850" s="17"/>
      <c r="M1850" s="29">
        <f>K1850*L1850</f>
        <v>0</v>
      </c>
      <c r="N1850" s="41">
        <f>3.8*L1850</f>
        <v>0</v>
      </c>
      <c r="O1850" s="32">
        <f>0.01834*L1850</f>
        <v>0</v>
      </c>
      <c r="P1850" s="36"/>
      <c r="Q1850" s="29" t="s">
        <v>6135</v>
      </c>
      <c r="R1850" s="29" t="s">
        <v>611</v>
      </c>
      <c r="S1850" s="26" t="str">
        <f>HYPERLINK("https://miland.ru/api/getInfo/image/1ec56031-b924-11ee-a25a-00155d82e908")</f>
        <v>https://miland.ru/api/getInfo/image/1ec56031-b924-11ee-a25a-00155d82e908</v>
      </c>
    </row>
    <row r="1851" spans="1:19" s="1" customFormat="1" ht="12" customHeight="1" outlineLevel="6">
      <c r="A1851" s="64" t="s">
        <v>6136</v>
      </c>
      <c r="B1851" s="64"/>
      <c r="C1851" s="64"/>
      <c r="D1851" s="64"/>
      <c r="E1851" s="64"/>
      <c r="F1851" s="64"/>
      <c r="G1851" s="8"/>
      <c r="H1851" s="12"/>
      <c r="I1851" s="2"/>
      <c r="J1851" s="2"/>
      <c r="K1851" s="13"/>
      <c r="L1851" s="2"/>
      <c r="M1851" s="2"/>
      <c r="N1851" s="2"/>
      <c r="O1851" s="2"/>
      <c r="P1851" s="2"/>
      <c r="Q1851" s="2"/>
      <c r="R1851" s="2"/>
      <c r="S1851" s="2"/>
    </row>
    <row r="1852" spans="1:19" s="2" customFormat="1" ht="96.2" customHeight="1" outlineLevel="7">
      <c r="A1852" s="52">
        <v>1454</v>
      </c>
      <c r="B1852" s="26" t="s">
        <v>6137</v>
      </c>
      <c r="C1852" s="66" t="s">
        <v>6138</v>
      </c>
      <c r="D1852" s="66"/>
      <c r="E1852" s="66"/>
      <c r="F1852" s="66"/>
      <c r="G1852" s="27" t="s">
        <v>6139</v>
      </c>
      <c r="H1852" s="33">
        <v>90</v>
      </c>
      <c r="I1852" s="29"/>
      <c r="J1852" s="25">
        <v>1</v>
      </c>
      <c r="K1852" s="37">
        <v>14586.74</v>
      </c>
      <c r="L1852" s="17"/>
      <c r="M1852" s="29">
        <f>K1852*L1852</f>
        <v>0</v>
      </c>
      <c r="N1852" s="34">
        <f>4.55*L1852</f>
        <v>0</v>
      </c>
      <c r="O1852" s="32">
        <f>0.19305*L1852</f>
        <v>0</v>
      </c>
      <c r="P1852" s="36"/>
      <c r="Q1852" s="29" t="s">
        <v>6140</v>
      </c>
      <c r="R1852" s="29" t="s">
        <v>611</v>
      </c>
      <c r="S1852" s="26" t="str">
        <f>HYPERLINK("https://miland.ru/api/getInfo/image/bfa3ae41-b924-11ee-a25a-00155d82e908")</f>
        <v>https://miland.ru/api/getInfo/image/bfa3ae41-b924-11ee-a25a-00155d82e908</v>
      </c>
    </row>
    <row r="1853" spans="1:19" s="1" customFormat="1" ht="12" customHeight="1" outlineLevel="6">
      <c r="A1853" s="64" t="s">
        <v>6141</v>
      </c>
      <c r="B1853" s="64"/>
      <c r="C1853" s="64"/>
      <c r="D1853" s="64"/>
      <c r="E1853" s="64"/>
      <c r="F1853" s="64"/>
      <c r="G1853" s="8"/>
      <c r="H1853" s="12"/>
      <c r="I1853" s="2"/>
      <c r="J1853" s="2"/>
      <c r="K1853" s="13"/>
      <c r="L1853" s="2"/>
      <c r="M1853" s="2"/>
      <c r="N1853" s="2"/>
      <c r="O1853" s="2"/>
      <c r="P1853" s="2"/>
      <c r="Q1853" s="2"/>
      <c r="R1853" s="2"/>
      <c r="S1853" s="2"/>
    </row>
    <row r="1854" spans="1:19" s="2" customFormat="1" ht="96.2" customHeight="1" outlineLevel="7">
      <c r="A1854" s="52">
        <v>1455</v>
      </c>
      <c r="B1854" s="26" t="s">
        <v>6142</v>
      </c>
      <c r="C1854" s="66" t="s">
        <v>6143</v>
      </c>
      <c r="D1854" s="66"/>
      <c r="E1854" s="66"/>
      <c r="F1854" s="66"/>
      <c r="G1854" s="27" t="s">
        <v>6144</v>
      </c>
      <c r="H1854" s="33">
        <v>1</v>
      </c>
      <c r="I1854" s="29"/>
      <c r="J1854" s="25">
        <v>1</v>
      </c>
      <c r="K1854" s="37">
        <v>21529.4</v>
      </c>
      <c r="L1854" s="17"/>
      <c r="M1854" s="29">
        <f>K1854*L1854</f>
        <v>0</v>
      </c>
      <c r="N1854" s="41">
        <f>6.9*L1854</f>
        <v>0</v>
      </c>
      <c r="O1854" s="32">
        <f>0.33784*L1854</f>
        <v>0</v>
      </c>
      <c r="P1854" s="36"/>
      <c r="Q1854" s="29" t="s">
        <v>6145</v>
      </c>
      <c r="R1854" s="29" t="s">
        <v>611</v>
      </c>
      <c r="S1854" s="26" t="str">
        <f>HYPERLINK("https://miland.ru/api/getInfo/image/320dba47-b925-11ee-a25a-00155d82e908")</f>
        <v>https://miland.ru/api/getInfo/image/320dba47-b925-11ee-a25a-00155d82e908</v>
      </c>
    </row>
    <row r="1855" spans="1:19" s="1" customFormat="1" ht="12" customHeight="1" outlineLevel="5">
      <c r="A1855" s="64" t="s">
        <v>6146</v>
      </c>
      <c r="B1855" s="64"/>
      <c r="C1855" s="64"/>
      <c r="D1855" s="64"/>
      <c r="E1855" s="64"/>
      <c r="F1855" s="64"/>
      <c r="G1855" s="8"/>
      <c r="H1855" s="12"/>
      <c r="I1855" s="2"/>
      <c r="J1855" s="2"/>
      <c r="K1855" s="13"/>
      <c r="L1855" s="2"/>
      <c r="M1855" s="2"/>
      <c r="N1855" s="2"/>
      <c r="O1855" s="2"/>
      <c r="P1855" s="2"/>
      <c r="Q1855" s="2"/>
      <c r="R1855" s="2"/>
      <c r="S1855" s="2"/>
    </row>
    <row r="1856" spans="1:19" s="2" customFormat="1" ht="96.2" customHeight="1" outlineLevel="6">
      <c r="A1856" s="53">
        <v>1456</v>
      </c>
      <c r="B1856" s="10" t="s">
        <v>6147</v>
      </c>
      <c r="C1856" s="65" t="s">
        <v>6148</v>
      </c>
      <c r="D1856" s="65"/>
      <c r="E1856" s="65"/>
      <c r="F1856" s="65"/>
      <c r="G1856" s="11" t="s">
        <v>6149</v>
      </c>
      <c r="H1856" s="14">
        <v>383</v>
      </c>
      <c r="I1856" s="15"/>
      <c r="J1856" s="9">
        <v>1</v>
      </c>
      <c r="K1856" s="22">
        <v>4913.43</v>
      </c>
      <c r="L1856" s="17"/>
      <c r="M1856" s="15">
        <f>K1856*L1856</f>
        <v>0</v>
      </c>
      <c r="N1856" s="55">
        <f>1.4*L1856</f>
        <v>0</v>
      </c>
      <c r="O1856" s="19">
        <f>0.02256*L1856</f>
        <v>0</v>
      </c>
      <c r="P1856" s="24" t="s">
        <v>26</v>
      </c>
      <c r="Q1856" s="15" t="s">
        <v>6150</v>
      </c>
      <c r="R1856" s="15"/>
      <c r="S1856" s="10" t="str">
        <f>HYPERLINK("https://miland.ru/api/getInfo/image/55a81da6-033e-11f1-a28e-00155d82e908")</f>
        <v>https://miland.ru/api/getInfo/image/55a81da6-033e-11f1-a28e-00155d82e908</v>
      </c>
    </row>
    <row r="1857" spans="1:19" s="2" customFormat="1" ht="96.2" customHeight="1" outlineLevel="6">
      <c r="A1857" s="53">
        <v>1457</v>
      </c>
      <c r="B1857" s="10" t="s">
        <v>6151</v>
      </c>
      <c r="C1857" s="65" t="s">
        <v>6152</v>
      </c>
      <c r="D1857" s="65"/>
      <c r="E1857" s="65"/>
      <c r="F1857" s="65"/>
      <c r="G1857" s="11" t="s">
        <v>6153</v>
      </c>
      <c r="H1857" s="14">
        <v>453</v>
      </c>
      <c r="I1857" s="15"/>
      <c r="J1857" s="9">
        <v>1</v>
      </c>
      <c r="K1857" s="22">
        <v>4696.8100000000004</v>
      </c>
      <c r="L1857" s="17"/>
      <c r="M1857" s="15">
        <f>K1857*L1857</f>
        <v>0</v>
      </c>
      <c r="N1857" s="18">
        <f>0.904*L1857</f>
        <v>0</v>
      </c>
      <c r="O1857" s="19">
        <f>0.02298*L1857</f>
        <v>0</v>
      </c>
      <c r="P1857" s="24" t="s">
        <v>26</v>
      </c>
      <c r="Q1857" s="15" t="s">
        <v>6154</v>
      </c>
      <c r="R1857" s="15"/>
      <c r="S1857" s="10" t="str">
        <f>HYPERLINK("https://miland.ru/api/getInfo/image/06a16a0c-423e-11f1-a294-00155d82e908")</f>
        <v>https://miland.ru/api/getInfo/image/06a16a0c-423e-11f1-a294-00155d82e908</v>
      </c>
    </row>
    <row r="1858" spans="1:19" s="2" customFormat="1" ht="96.2" customHeight="1" outlineLevel="6">
      <c r="A1858" s="53">
        <v>1458</v>
      </c>
      <c r="B1858" s="10" t="s">
        <v>6155</v>
      </c>
      <c r="C1858" s="65" t="s">
        <v>6156</v>
      </c>
      <c r="D1858" s="65"/>
      <c r="E1858" s="65"/>
      <c r="F1858" s="65"/>
      <c r="G1858" s="11" t="s">
        <v>6157</v>
      </c>
      <c r="H1858" s="14">
        <v>208</v>
      </c>
      <c r="I1858" s="15"/>
      <c r="J1858" s="9">
        <v>1</v>
      </c>
      <c r="K1858" s="22">
        <v>3819.12</v>
      </c>
      <c r="L1858" s="17"/>
      <c r="M1858" s="15">
        <f>K1858*L1858</f>
        <v>0</v>
      </c>
      <c r="N1858" s="18">
        <f>0.649*L1858</f>
        <v>0</v>
      </c>
      <c r="O1858" s="19">
        <f>0.01226*L1858</f>
        <v>0</v>
      </c>
      <c r="P1858" s="24" t="s">
        <v>26</v>
      </c>
      <c r="Q1858" s="15" t="s">
        <v>6158</v>
      </c>
      <c r="R1858" s="15"/>
      <c r="S1858" s="10" t="str">
        <f>HYPERLINK("https://miland.ru/api/getInfo/image/787ec552-423e-11f1-a294-00155d82e908")</f>
        <v>https://miland.ru/api/getInfo/image/787ec552-423e-11f1-a294-00155d82e908</v>
      </c>
    </row>
    <row r="1859" spans="1:19" s="2" customFormat="1" ht="96.2" customHeight="1" outlineLevel="6">
      <c r="A1859" s="53">
        <v>1459</v>
      </c>
      <c r="B1859" s="10" t="s">
        <v>6159</v>
      </c>
      <c r="C1859" s="65" t="s">
        <v>6160</v>
      </c>
      <c r="D1859" s="65"/>
      <c r="E1859" s="65"/>
      <c r="F1859" s="65"/>
      <c r="G1859" s="11" t="s">
        <v>6161</v>
      </c>
      <c r="H1859" s="14">
        <v>212</v>
      </c>
      <c r="I1859" s="15"/>
      <c r="J1859" s="9">
        <v>1</v>
      </c>
      <c r="K1859" s="22">
        <v>5579.52</v>
      </c>
      <c r="L1859" s="17"/>
      <c r="M1859" s="15">
        <f>K1859*L1859</f>
        <v>0</v>
      </c>
      <c r="N1859" s="18">
        <f>1.078*L1859</f>
        <v>0</v>
      </c>
      <c r="O1859" s="19">
        <f>0.02245*L1859</f>
        <v>0</v>
      </c>
      <c r="P1859" s="24" t="s">
        <v>26</v>
      </c>
      <c r="Q1859" s="15" t="s">
        <v>6162</v>
      </c>
      <c r="R1859" s="15"/>
      <c r="S1859" s="10" t="str">
        <f>HYPERLINK("https://miland.ru/api/getInfo/image/bee1632c-423e-11f1-a294-00155d82e908")</f>
        <v>https://miland.ru/api/getInfo/image/bee1632c-423e-11f1-a294-00155d82e908</v>
      </c>
    </row>
    <row r="1860" spans="1:19" s="1" customFormat="1" ht="12" customHeight="1" outlineLevel="5">
      <c r="A1860" s="64" t="s">
        <v>6163</v>
      </c>
      <c r="B1860" s="64"/>
      <c r="C1860" s="64"/>
      <c r="D1860" s="64"/>
      <c r="E1860" s="64"/>
      <c r="F1860" s="64"/>
      <c r="G1860" s="8"/>
      <c r="H1860" s="12"/>
      <c r="I1860" s="2"/>
      <c r="J1860" s="2"/>
      <c r="K1860" s="13"/>
      <c r="L1860" s="2"/>
      <c r="M1860" s="2"/>
      <c r="N1860" s="2"/>
      <c r="O1860" s="2"/>
      <c r="P1860" s="2"/>
      <c r="Q1860" s="2"/>
      <c r="R1860" s="2"/>
      <c r="S1860" s="2"/>
    </row>
    <row r="1861" spans="1:19" s="1" customFormat="1" ht="12" customHeight="1" outlineLevel="6">
      <c r="A1861" s="64" t="s">
        <v>5995</v>
      </c>
      <c r="B1861" s="64"/>
      <c r="C1861" s="64"/>
      <c r="D1861" s="64"/>
      <c r="E1861" s="64"/>
      <c r="F1861" s="64"/>
      <c r="G1861" s="8"/>
      <c r="H1861" s="12"/>
      <c r="I1861" s="2"/>
      <c r="J1861" s="2"/>
      <c r="K1861" s="13"/>
      <c r="L1861" s="2"/>
      <c r="M1861" s="2"/>
      <c r="N1861" s="2"/>
      <c r="O1861" s="2"/>
      <c r="P1861" s="2"/>
      <c r="Q1861" s="2"/>
      <c r="R1861" s="2"/>
      <c r="S1861" s="2"/>
    </row>
    <row r="1862" spans="1:19" s="2" customFormat="1" ht="96.2" customHeight="1" outlineLevel="7">
      <c r="A1862" s="52">
        <v>1460</v>
      </c>
      <c r="B1862" s="26" t="s">
        <v>6164</v>
      </c>
      <c r="C1862" s="66" t="s">
        <v>6165</v>
      </c>
      <c r="D1862" s="66"/>
      <c r="E1862" s="66"/>
      <c r="F1862" s="66"/>
      <c r="G1862" s="27" t="s">
        <v>6166</v>
      </c>
      <c r="H1862" s="33">
        <v>393</v>
      </c>
      <c r="I1862" s="29"/>
      <c r="J1862" s="25">
        <v>1</v>
      </c>
      <c r="K1862" s="37">
        <v>1121.71</v>
      </c>
      <c r="L1862" s="17"/>
      <c r="M1862" s="29">
        <f t="shared" ref="M1862:M1869" si="87">K1862*L1862</f>
        <v>0</v>
      </c>
      <c r="N1862" s="31">
        <f>0.283*L1862</f>
        <v>0</v>
      </c>
      <c r="O1862" s="32">
        <f>0.00596*L1862</f>
        <v>0</v>
      </c>
      <c r="P1862" s="36"/>
      <c r="Q1862" s="29" t="s">
        <v>6167</v>
      </c>
      <c r="R1862" s="29" t="s">
        <v>611</v>
      </c>
      <c r="S1862" s="26" t="str">
        <f>HYPERLINK("https://miland.ru/api/getInfo/image/598ee1cf-b694-11ee-a25a-00155d82e908")</f>
        <v>https://miland.ru/api/getInfo/image/598ee1cf-b694-11ee-a25a-00155d82e908</v>
      </c>
    </row>
    <row r="1863" spans="1:19" s="2" customFormat="1" ht="96.2" customHeight="1" outlineLevel="7">
      <c r="A1863" s="52">
        <v>1461</v>
      </c>
      <c r="B1863" s="26" t="s">
        <v>6168</v>
      </c>
      <c r="C1863" s="66" t="s">
        <v>6169</v>
      </c>
      <c r="D1863" s="66"/>
      <c r="E1863" s="66"/>
      <c r="F1863" s="66"/>
      <c r="G1863" s="27" t="s">
        <v>6170</v>
      </c>
      <c r="H1863" s="28" t="s">
        <v>44</v>
      </c>
      <c r="I1863" s="29"/>
      <c r="J1863" s="25">
        <v>1</v>
      </c>
      <c r="K1863" s="37">
        <v>1420.51</v>
      </c>
      <c r="L1863" s="17"/>
      <c r="M1863" s="29">
        <f t="shared" si="87"/>
        <v>0</v>
      </c>
      <c r="N1863" s="31">
        <f>0.268*L1863</f>
        <v>0</v>
      </c>
      <c r="O1863" s="32">
        <f>0.00709*L1863</f>
        <v>0</v>
      </c>
      <c r="P1863" s="36"/>
      <c r="Q1863" s="29" t="s">
        <v>6171</v>
      </c>
      <c r="R1863" s="29"/>
      <c r="S1863" s="26" t="str">
        <f>HYPERLINK("https://miland.ru/api/getInfo/image/bee70bdf-b693-11ee-a25a-00155d82e908")</f>
        <v>https://miland.ru/api/getInfo/image/bee70bdf-b693-11ee-a25a-00155d82e908</v>
      </c>
    </row>
    <row r="1864" spans="1:19" s="2" customFormat="1" ht="96.2" customHeight="1" outlineLevel="7">
      <c r="A1864" s="52">
        <v>1462</v>
      </c>
      <c r="B1864" s="26" t="s">
        <v>6172</v>
      </c>
      <c r="C1864" s="66" t="s">
        <v>6173</v>
      </c>
      <c r="D1864" s="66"/>
      <c r="E1864" s="66"/>
      <c r="F1864" s="66"/>
      <c r="G1864" s="27" t="s">
        <v>6174</v>
      </c>
      <c r="H1864" s="33">
        <v>482</v>
      </c>
      <c r="I1864" s="29"/>
      <c r="J1864" s="25">
        <v>1</v>
      </c>
      <c r="K1864" s="37">
        <v>1420.51</v>
      </c>
      <c r="L1864" s="17"/>
      <c r="M1864" s="29">
        <f t="shared" si="87"/>
        <v>0</v>
      </c>
      <c r="N1864" s="31">
        <f>0.216*L1864</f>
        <v>0</v>
      </c>
      <c r="O1864" s="32">
        <f>0.00673*L1864</f>
        <v>0</v>
      </c>
      <c r="P1864" s="36"/>
      <c r="Q1864" s="29" t="s">
        <v>6175</v>
      </c>
      <c r="R1864" s="29"/>
      <c r="S1864" s="26" t="str">
        <f>HYPERLINK("https://miland.ru/api/getInfo/image/67f016ed-b694-11ee-a25a-00155d82e908")</f>
        <v>https://miland.ru/api/getInfo/image/67f016ed-b694-11ee-a25a-00155d82e908</v>
      </c>
    </row>
    <row r="1865" spans="1:19" s="2" customFormat="1" ht="96.2" customHeight="1" outlineLevel="7">
      <c r="A1865" s="52">
        <v>1463</v>
      </c>
      <c r="B1865" s="26" t="s">
        <v>6176</v>
      </c>
      <c r="C1865" s="66" t="s">
        <v>6177</v>
      </c>
      <c r="D1865" s="66"/>
      <c r="E1865" s="66"/>
      <c r="F1865" s="66"/>
      <c r="G1865" s="27" t="s">
        <v>6178</v>
      </c>
      <c r="H1865" s="28" t="s">
        <v>44</v>
      </c>
      <c r="I1865" s="29"/>
      <c r="J1865" s="25">
        <v>1</v>
      </c>
      <c r="K1865" s="37">
        <v>1121.71</v>
      </c>
      <c r="L1865" s="17"/>
      <c r="M1865" s="29">
        <f t="shared" si="87"/>
        <v>0</v>
      </c>
      <c r="N1865" s="31">
        <f>0.244*L1865</f>
        <v>0</v>
      </c>
      <c r="O1865" s="32">
        <f>0.00687*L1865</f>
        <v>0</v>
      </c>
      <c r="P1865" s="36"/>
      <c r="Q1865" s="29" t="s">
        <v>6179</v>
      </c>
      <c r="R1865" s="29"/>
      <c r="S1865" s="26" t="str">
        <f>HYPERLINK("https://miland.ru/api/getInfo/image/20e30e2c-b694-11ee-a25a-00155d82e908")</f>
        <v>https://miland.ru/api/getInfo/image/20e30e2c-b694-11ee-a25a-00155d82e908</v>
      </c>
    </row>
    <row r="1866" spans="1:19" s="2" customFormat="1" ht="96.2" customHeight="1" outlineLevel="7">
      <c r="A1866" s="52">
        <v>1464</v>
      </c>
      <c r="B1866" s="26" t="s">
        <v>6180</v>
      </c>
      <c r="C1866" s="66" t="s">
        <v>6181</v>
      </c>
      <c r="D1866" s="66"/>
      <c r="E1866" s="66"/>
      <c r="F1866" s="66"/>
      <c r="G1866" s="27" t="s">
        <v>6182</v>
      </c>
      <c r="H1866" s="33">
        <v>9</v>
      </c>
      <c r="I1866" s="29"/>
      <c r="J1866" s="25">
        <v>1</v>
      </c>
      <c r="K1866" s="37">
        <v>1742.5</v>
      </c>
      <c r="L1866" s="17"/>
      <c r="M1866" s="29">
        <f t="shared" si="87"/>
        <v>0</v>
      </c>
      <c r="N1866" s="31">
        <f>0.237*L1866</f>
        <v>0</v>
      </c>
      <c r="O1866" s="32">
        <f>0.00689*L1866</f>
        <v>0</v>
      </c>
      <c r="P1866" s="36"/>
      <c r="Q1866" s="29" t="s">
        <v>6183</v>
      </c>
      <c r="R1866" s="29" t="s">
        <v>611</v>
      </c>
      <c r="S1866" s="26" t="str">
        <f>HYPERLINK("https://miland.ru/api/getInfo/image/e488788f-88e2-11ec-a211-ac1f6b442185")</f>
        <v>https://miland.ru/api/getInfo/image/e488788f-88e2-11ec-a211-ac1f6b442185</v>
      </c>
    </row>
    <row r="1867" spans="1:19" s="2" customFormat="1" ht="96.2" customHeight="1" outlineLevel="7">
      <c r="A1867" s="52">
        <v>1465</v>
      </c>
      <c r="B1867" s="26" t="s">
        <v>6184</v>
      </c>
      <c r="C1867" s="66" t="s">
        <v>6185</v>
      </c>
      <c r="D1867" s="66"/>
      <c r="E1867" s="66"/>
      <c r="F1867" s="66"/>
      <c r="G1867" s="27" t="s">
        <v>6186</v>
      </c>
      <c r="H1867" s="28" t="s">
        <v>44</v>
      </c>
      <c r="I1867" s="29"/>
      <c r="J1867" s="25">
        <v>1</v>
      </c>
      <c r="K1867" s="37">
        <v>1121.71</v>
      </c>
      <c r="L1867" s="17"/>
      <c r="M1867" s="29">
        <f t="shared" si="87"/>
        <v>0</v>
      </c>
      <c r="N1867" s="41">
        <f>0.3*L1867</f>
        <v>0</v>
      </c>
      <c r="O1867" s="32">
        <f>0.00651*L1867</f>
        <v>0</v>
      </c>
      <c r="P1867" s="36"/>
      <c r="Q1867" s="29" t="s">
        <v>6187</v>
      </c>
      <c r="R1867" s="29" t="s">
        <v>611</v>
      </c>
      <c r="S1867" s="26" t="str">
        <f>HYPERLINK("https://miland.ru/api/getInfo/image/2e726ebf-b694-11ee-a25a-00155d82e908")</f>
        <v>https://miland.ru/api/getInfo/image/2e726ebf-b694-11ee-a25a-00155d82e908</v>
      </c>
    </row>
    <row r="1868" spans="1:19" s="2" customFormat="1" ht="96.2" customHeight="1" outlineLevel="7">
      <c r="A1868" s="52">
        <v>1466</v>
      </c>
      <c r="B1868" s="26" t="s">
        <v>6188</v>
      </c>
      <c r="C1868" s="66" t="s">
        <v>6189</v>
      </c>
      <c r="D1868" s="66"/>
      <c r="E1868" s="66"/>
      <c r="F1868" s="66"/>
      <c r="G1868" s="27" t="s">
        <v>6190</v>
      </c>
      <c r="H1868" s="33">
        <v>377</v>
      </c>
      <c r="I1868" s="29"/>
      <c r="J1868" s="25">
        <v>1</v>
      </c>
      <c r="K1868" s="37">
        <v>1420.51</v>
      </c>
      <c r="L1868" s="17"/>
      <c r="M1868" s="29">
        <f t="shared" si="87"/>
        <v>0</v>
      </c>
      <c r="N1868" s="34">
        <f>0.28*L1868</f>
        <v>0</v>
      </c>
      <c r="O1868" s="32">
        <f>0.00687*L1868</f>
        <v>0</v>
      </c>
      <c r="P1868" s="36"/>
      <c r="Q1868" s="29" t="s">
        <v>6191</v>
      </c>
      <c r="R1868" s="29"/>
      <c r="S1868" s="26" t="str">
        <f>HYPERLINK("https://miland.ru/api/getInfo/image/4c1753c0-b694-11ee-a25a-00155d82e908")</f>
        <v>https://miland.ru/api/getInfo/image/4c1753c0-b694-11ee-a25a-00155d82e908</v>
      </c>
    </row>
    <row r="1869" spans="1:19" s="2" customFormat="1" ht="96.2" customHeight="1" outlineLevel="7">
      <c r="A1869" s="52">
        <v>1467</v>
      </c>
      <c r="B1869" s="26" t="s">
        <v>6192</v>
      </c>
      <c r="C1869" s="66" t="s">
        <v>6193</v>
      </c>
      <c r="D1869" s="66"/>
      <c r="E1869" s="66"/>
      <c r="F1869" s="66"/>
      <c r="G1869" s="27" t="s">
        <v>6194</v>
      </c>
      <c r="H1869" s="33">
        <v>184</v>
      </c>
      <c r="I1869" s="29"/>
      <c r="J1869" s="25">
        <v>1</v>
      </c>
      <c r="K1869" s="37">
        <v>1420.51</v>
      </c>
      <c r="L1869" s="17"/>
      <c r="M1869" s="29">
        <f t="shared" si="87"/>
        <v>0</v>
      </c>
      <c r="N1869" s="31">
        <f>0.268*L1869</f>
        <v>0</v>
      </c>
      <c r="O1869" s="32">
        <f>0.00682*L1869</f>
        <v>0</v>
      </c>
      <c r="P1869" s="36"/>
      <c r="Q1869" s="29" t="s">
        <v>6195</v>
      </c>
      <c r="R1869" s="29"/>
      <c r="S1869" s="26" t="str">
        <f>HYPERLINK("https://miland.ru/api/getInfo/image/3bb0c005-b694-11ee-a25a-00155d82e908")</f>
        <v>https://miland.ru/api/getInfo/image/3bb0c005-b694-11ee-a25a-00155d82e908</v>
      </c>
    </row>
    <row r="1870" spans="1:19" s="1" customFormat="1" ht="12" customHeight="1" outlineLevel="6">
      <c r="A1870" s="64" t="s">
        <v>6080</v>
      </c>
      <c r="B1870" s="64"/>
      <c r="C1870" s="64"/>
      <c r="D1870" s="64"/>
      <c r="E1870" s="64"/>
      <c r="F1870" s="64"/>
      <c r="G1870" s="8"/>
      <c r="H1870" s="12"/>
      <c r="I1870" s="2"/>
      <c r="J1870" s="2"/>
      <c r="K1870" s="13"/>
      <c r="L1870" s="2"/>
      <c r="M1870" s="2"/>
      <c r="N1870" s="2"/>
      <c r="O1870" s="2"/>
      <c r="P1870" s="2"/>
      <c r="Q1870" s="2"/>
      <c r="R1870" s="2"/>
      <c r="S1870" s="2"/>
    </row>
    <row r="1871" spans="1:19" s="2" customFormat="1" ht="96.2" customHeight="1" outlineLevel="7">
      <c r="A1871" s="52">
        <v>1468</v>
      </c>
      <c r="B1871" s="26" t="s">
        <v>6196</v>
      </c>
      <c r="C1871" s="66" t="s">
        <v>6197</v>
      </c>
      <c r="D1871" s="66"/>
      <c r="E1871" s="66"/>
      <c r="F1871" s="66"/>
      <c r="G1871" s="27" t="s">
        <v>6198</v>
      </c>
      <c r="H1871" s="33">
        <v>5</v>
      </c>
      <c r="I1871" s="29"/>
      <c r="J1871" s="25">
        <v>1</v>
      </c>
      <c r="K1871" s="37">
        <v>2206.62</v>
      </c>
      <c r="L1871" s="17"/>
      <c r="M1871" s="29">
        <f>K1871*L1871</f>
        <v>0</v>
      </c>
      <c r="N1871" s="41">
        <f>0.6*L1871</f>
        <v>0</v>
      </c>
      <c r="O1871" s="32">
        <f>0.01693*L1871</f>
        <v>0</v>
      </c>
      <c r="P1871" s="36"/>
      <c r="Q1871" s="29" t="s">
        <v>6199</v>
      </c>
      <c r="R1871" s="29" t="s">
        <v>611</v>
      </c>
      <c r="S1871" s="26" t="str">
        <f>HYPERLINK("https://miland.ru/api/getInfo/image/9dfdecb5-49c3-11eb-a25e-ac1f6b442184")</f>
        <v>https://miland.ru/api/getInfo/image/9dfdecb5-49c3-11eb-a25e-ac1f6b442184</v>
      </c>
    </row>
    <row r="1872" spans="1:19" s="1" customFormat="1" ht="12" customHeight="1" outlineLevel="6">
      <c r="A1872" s="64" t="s">
        <v>6093</v>
      </c>
      <c r="B1872" s="64"/>
      <c r="C1872" s="64"/>
      <c r="D1872" s="64"/>
      <c r="E1872" s="64"/>
      <c r="F1872" s="64"/>
      <c r="G1872" s="8"/>
      <c r="H1872" s="12"/>
      <c r="I1872" s="2"/>
      <c r="J1872" s="2"/>
      <c r="K1872" s="13"/>
      <c r="L1872" s="2"/>
      <c r="M1872" s="2"/>
      <c r="N1872" s="2"/>
      <c r="O1872" s="2"/>
      <c r="P1872" s="2"/>
      <c r="Q1872" s="2"/>
      <c r="R1872" s="2"/>
      <c r="S1872" s="2"/>
    </row>
    <row r="1873" spans="1:19" s="2" customFormat="1" ht="96.2" customHeight="1" outlineLevel="7">
      <c r="A1873" s="52">
        <v>1469</v>
      </c>
      <c r="B1873" s="26" t="s">
        <v>6200</v>
      </c>
      <c r="C1873" s="66" t="s">
        <v>6201</v>
      </c>
      <c r="D1873" s="66"/>
      <c r="E1873" s="66"/>
      <c r="F1873" s="66"/>
      <c r="G1873" s="27" t="s">
        <v>6202</v>
      </c>
      <c r="H1873" s="33">
        <v>49</v>
      </c>
      <c r="I1873" s="29"/>
      <c r="J1873" s="25">
        <v>1</v>
      </c>
      <c r="K1873" s="37">
        <v>4082.97</v>
      </c>
      <c r="L1873" s="17"/>
      <c r="M1873" s="29">
        <f t="shared" ref="M1873:M1878" si="88">K1873*L1873</f>
        <v>0</v>
      </c>
      <c r="N1873" s="31">
        <f>0.956*L1873</f>
        <v>0</v>
      </c>
      <c r="O1873" s="32">
        <f>0.03121*L1873</f>
        <v>0</v>
      </c>
      <c r="P1873" s="36"/>
      <c r="Q1873" s="29" t="s">
        <v>6203</v>
      </c>
      <c r="R1873" s="29"/>
      <c r="S1873" s="26" t="str">
        <f>HYPERLINK("https://miland.ru/api/getInfo/image/55526799-49c4-11eb-a25e-ac1f6b442184")</f>
        <v>https://miland.ru/api/getInfo/image/55526799-49c4-11eb-a25e-ac1f6b442184</v>
      </c>
    </row>
    <row r="1874" spans="1:19" s="2" customFormat="1" ht="96.2" customHeight="1" outlineLevel="7">
      <c r="A1874" s="52">
        <v>1470</v>
      </c>
      <c r="B1874" s="26" t="s">
        <v>6204</v>
      </c>
      <c r="C1874" s="66" t="s">
        <v>6205</v>
      </c>
      <c r="D1874" s="66"/>
      <c r="E1874" s="66"/>
      <c r="F1874" s="66"/>
      <c r="G1874" s="27" t="s">
        <v>6206</v>
      </c>
      <c r="H1874" s="33">
        <v>23</v>
      </c>
      <c r="I1874" s="29"/>
      <c r="J1874" s="25">
        <v>1</v>
      </c>
      <c r="K1874" s="37">
        <v>3997.9</v>
      </c>
      <c r="L1874" s="17"/>
      <c r="M1874" s="29">
        <f t="shared" si="88"/>
        <v>0</v>
      </c>
      <c r="N1874" s="31">
        <f>1.024*L1874</f>
        <v>0</v>
      </c>
      <c r="O1874" s="32">
        <f>0.02954*L1874</f>
        <v>0</v>
      </c>
      <c r="P1874" s="36"/>
      <c r="Q1874" s="29" t="s">
        <v>6207</v>
      </c>
      <c r="R1874" s="29" t="s">
        <v>611</v>
      </c>
      <c r="S1874" s="26" t="str">
        <f>HYPERLINK("https://miland.ru/api/getInfo/image/5129b74d-88e7-11ec-a211-ac1f6b442185")</f>
        <v>https://miland.ru/api/getInfo/image/5129b74d-88e7-11ec-a211-ac1f6b442185</v>
      </c>
    </row>
    <row r="1875" spans="1:19" s="2" customFormat="1" ht="96.2" customHeight="1" outlineLevel="7">
      <c r="A1875" s="52">
        <v>1471</v>
      </c>
      <c r="B1875" s="26" t="s">
        <v>6208</v>
      </c>
      <c r="C1875" s="66" t="s">
        <v>6209</v>
      </c>
      <c r="D1875" s="66"/>
      <c r="E1875" s="66"/>
      <c r="F1875" s="66"/>
      <c r="G1875" s="27" t="s">
        <v>6210</v>
      </c>
      <c r="H1875" s="33">
        <v>157</v>
      </c>
      <c r="I1875" s="29"/>
      <c r="J1875" s="25">
        <v>1</v>
      </c>
      <c r="K1875" s="37">
        <v>4082.97</v>
      </c>
      <c r="L1875" s="17"/>
      <c r="M1875" s="29">
        <f t="shared" si="88"/>
        <v>0</v>
      </c>
      <c r="N1875" s="31">
        <f>0.997*L1875</f>
        <v>0</v>
      </c>
      <c r="O1875" s="32">
        <f>0.03266*L1875</f>
        <v>0</v>
      </c>
      <c r="P1875" s="36"/>
      <c r="Q1875" s="29" t="s">
        <v>6211</v>
      </c>
      <c r="R1875" s="29"/>
      <c r="S1875" s="26" t="str">
        <f>HYPERLINK("https://miland.ru/api/getInfo/image/c60f68ca-49b7-11eb-a25e-ac1f6b442184")</f>
        <v>https://miland.ru/api/getInfo/image/c60f68ca-49b7-11eb-a25e-ac1f6b442184</v>
      </c>
    </row>
    <row r="1876" spans="1:19" s="2" customFormat="1" ht="96.2" customHeight="1" outlineLevel="7">
      <c r="A1876" s="52">
        <v>1472</v>
      </c>
      <c r="B1876" s="26" t="s">
        <v>6212</v>
      </c>
      <c r="C1876" s="66" t="s">
        <v>6213</v>
      </c>
      <c r="D1876" s="66"/>
      <c r="E1876" s="66"/>
      <c r="F1876" s="66"/>
      <c r="G1876" s="27" t="s">
        <v>6214</v>
      </c>
      <c r="H1876" s="33">
        <v>184</v>
      </c>
      <c r="I1876" s="29"/>
      <c r="J1876" s="25">
        <v>1</v>
      </c>
      <c r="K1876" s="37">
        <v>4082.97</v>
      </c>
      <c r="L1876" s="17"/>
      <c r="M1876" s="29">
        <f t="shared" si="88"/>
        <v>0</v>
      </c>
      <c r="N1876" s="31">
        <f>0.942*L1876</f>
        <v>0</v>
      </c>
      <c r="O1876" s="35">
        <f>0.0307*L1876</f>
        <v>0</v>
      </c>
      <c r="P1876" s="36"/>
      <c r="Q1876" s="29" t="s">
        <v>6215</v>
      </c>
      <c r="R1876" s="29"/>
      <c r="S1876" s="26" t="str">
        <f>HYPERLINK("https://miland.ru/api/getInfo/image/d7a84d23-49c2-11eb-a25e-ac1f6b442184")</f>
        <v>https://miland.ru/api/getInfo/image/d7a84d23-49c2-11eb-a25e-ac1f6b442184</v>
      </c>
    </row>
    <row r="1877" spans="1:19" s="2" customFormat="1" ht="96.2" customHeight="1" outlineLevel="7">
      <c r="A1877" s="52">
        <v>1473</v>
      </c>
      <c r="B1877" s="26" t="s">
        <v>6216</v>
      </c>
      <c r="C1877" s="66" t="s">
        <v>6217</v>
      </c>
      <c r="D1877" s="66"/>
      <c r="E1877" s="66"/>
      <c r="F1877" s="66"/>
      <c r="G1877" s="27" t="s">
        <v>6218</v>
      </c>
      <c r="H1877" s="33">
        <v>69</v>
      </c>
      <c r="I1877" s="29"/>
      <c r="J1877" s="25">
        <v>1</v>
      </c>
      <c r="K1877" s="37">
        <v>4082.97</v>
      </c>
      <c r="L1877" s="17"/>
      <c r="M1877" s="29">
        <f t="shared" si="88"/>
        <v>0</v>
      </c>
      <c r="N1877" s="31">
        <f>0.992*L1877</f>
        <v>0</v>
      </c>
      <c r="O1877" s="32">
        <f>0.03119*L1877</f>
        <v>0</v>
      </c>
      <c r="P1877" s="36"/>
      <c r="Q1877" s="29" t="s">
        <v>6219</v>
      </c>
      <c r="R1877" s="29"/>
      <c r="S1877" s="26" t="str">
        <f>HYPERLINK("https://miland.ru/api/getInfo/image/f0576b18-88e6-11ec-a211-ac1f6b442185")</f>
        <v>https://miland.ru/api/getInfo/image/f0576b18-88e6-11ec-a211-ac1f6b442185</v>
      </c>
    </row>
    <row r="1878" spans="1:19" s="2" customFormat="1" ht="96.2" customHeight="1" outlineLevel="7">
      <c r="A1878" s="52">
        <v>1474</v>
      </c>
      <c r="B1878" s="26" t="s">
        <v>6220</v>
      </c>
      <c r="C1878" s="66" t="s">
        <v>6221</v>
      </c>
      <c r="D1878" s="66"/>
      <c r="E1878" s="66"/>
      <c r="F1878" s="66"/>
      <c r="G1878" s="27" t="s">
        <v>6222</v>
      </c>
      <c r="H1878" s="33">
        <v>183</v>
      </c>
      <c r="I1878" s="29"/>
      <c r="J1878" s="25">
        <v>1</v>
      </c>
      <c r="K1878" s="37">
        <v>3997.9</v>
      </c>
      <c r="L1878" s="17"/>
      <c r="M1878" s="29">
        <f t="shared" si="88"/>
        <v>0</v>
      </c>
      <c r="N1878" s="31">
        <f>1.075*L1878</f>
        <v>0</v>
      </c>
      <c r="O1878" s="32">
        <f>0.02806*L1878</f>
        <v>0</v>
      </c>
      <c r="P1878" s="36"/>
      <c r="Q1878" s="29" t="s">
        <v>6223</v>
      </c>
      <c r="R1878" s="29" t="s">
        <v>611</v>
      </c>
      <c r="S1878" s="26" t="str">
        <f>HYPERLINK("https://miland.ru/api/getInfo/image/dff3d0e3-49b9-11eb-a25e-ac1f6b442184")</f>
        <v>https://miland.ru/api/getInfo/image/dff3d0e3-49b9-11eb-a25e-ac1f6b442184</v>
      </c>
    </row>
    <row r="1879" spans="1:19" s="1" customFormat="1" ht="12" customHeight="1" outlineLevel="6">
      <c r="A1879" s="64" t="s">
        <v>6110</v>
      </c>
      <c r="B1879" s="64"/>
      <c r="C1879" s="64"/>
      <c r="D1879" s="64"/>
      <c r="E1879" s="64"/>
      <c r="F1879" s="64"/>
      <c r="G1879" s="8"/>
      <c r="H1879" s="12"/>
      <c r="I1879" s="2"/>
      <c r="J1879" s="2"/>
      <c r="K1879" s="13"/>
      <c r="L1879" s="2"/>
      <c r="M1879" s="2"/>
      <c r="N1879" s="2"/>
      <c r="O1879" s="2"/>
      <c r="P1879" s="2"/>
      <c r="Q1879" s="2"/>
      <c r="R1879" s="2"/>
      <c r="S1879" s="2"/>
    </row>
    <row r="1880" spans="1:19" s="2" customFormat="1" ht="96.2" customHeight="1" outlineLevel="7">
      <c r="A1880" s="52">
        <v>1475</v>
      </c>
      <c r="B1880" s="26" t="s">
        <v>6224</v>
      </c>
      <c r="C1880" s="66" t="s">
        <v>6225</v>
      </c>
      <c r="D1880" s="66"/>
      <c r="E1880" s="66"/>
      <c r="F1880" s="66"/>
      <c r="G1880" s="27" t="s">
        <v>6226</v>
      </c>
      <c r="H1880" s="33">
        <v>188</v>
      </c>
      <c r="I1880" s="29"/>
      <c r="J1880" s="25">
        <v>1</v>
      </c>
      <c r="K1880" s="37">
        <v>6598.68</v>
      </c>
      <c r="L1880" s="17"/>
      <c r="M1880" s="29">
        <f>K1880*L1880</f>
        <v>0</v>
      </c>
      <c r="N1880" s="31">
        <f>1.884*L1880</f>
        <v>0</v>
      </c>
      <c r="O1880" s="32">
        <f>0.02727*L1880</f>
        <v>0</v>
      </c>
      <c r="P1880" s="36"/>
      <c r="Q1880" s="29" t="s">
        <v>6227</v>
      </c>
      <c r="R1880" s="29" t="s">
        <v>611</v>
      </c>
      <c r="S1880" s="26" t="str">
        <f>HYPERLINK("https://miland.ru/api/getInfo/image/e96f3b63-49c4-11eb-a25e-ac1f6b442184")</f>
        <v>https://miland.ru/api/getInfo/image/e96f3b63-49c4-11eb-a25e-ac1f6b442184</v>
      </c>
    </row>
    <row r="1881" spans="1:19" s="2" customFormat="1" ht="96.2" customHeight="1" outlineLevel="7">
      <c r="A1881" s="52">
        <v>1476</v>
      </c>
      <c r="B1881" s="26" t="s">
        <v>6228</v>
      </c>
      <c r="C1881" s="66" t="s">
        <v>6229</v>
      </c>
      <c r="D1881" s="66"/>
      <c r="E1881" s="66"/>
      <c r="F1881" s="66"/>
      <c r="G1881" s="27" t="s">
        <v>6230</v>
      </c>
      <c r="H1881" s="33">
        <v>277</v>
      </c>
      <c r="I1881" s="29"/>
      <c r="J1881" s="25">
        <v>1</v>
      </c>
      <c r="K1881" s="37">
        <v>6598.68</v>
      </c>
      <c r="L1881" s="17"/>
      <c r="M1881" s="29">
        <f>K1881*L1881</f>
        <v>0</v>
      </c>
      <c r="N1881" s="31">
        <f>1.868*L1881</f>
        <v>0</v>
      </c>
      <c r="O1881" s="32">
        <f>0.07053*L1881</f>
        <v>0</v>
      </c>
      <c r="P1881" s="36"/>
      <c r="Q1881" s="29" t="s">
        <v>6231</v>
      </c>
      <c r="R1881" s="29"/>
      <c r="S1881" s="26" t="str">
        <f>HYPERLINK("https://miland.ru/api/getInfo/image/01c804da-49b9-11eb-a25e-ac1f6b442184")</f>
        <v>https://miland.ru/api/getInfo/image/01c804da-49b9-11eb-a25e-ac1f6b442184</v>
      </c>
    </row>
    <row r="1882" spans="1:19" s="2" customFormat="1" ht="96.2" customHeight="1" outlineLevel="7">
      <c r="A1882" s="52">
        <v>1477</v>
      </c>
      <c r="B1882" s="26" t="s">
        <v>6232</v>
      </c>
      <c r="C1882" s="66" t="s">
        <v>6233</v>
      </c>
      <c r="D1882" s="66"/>
      <c r="E1882" s="66"/>
      <c r="F1882" s="66"/>
      <c r="G1882" s="27" t="s">
        <v>6234</v>
      </c>
      <c r="H1882" s="33">
        <v>309</v>
      </c>
      <c r="I1882" s="29"/>
      <c r="J1882" s="25">
        <v>1</v>
      </c>
      <c r="K1882" s="37">
        <v>6598.68</v>
      </c>
      <c r="L1882" s="17"/>
      <c r="M1882" s="29">
        <f>K1882*L1882</f>
        <v>0</v>
      </c>
      <c r="N1882" s="31">
        <f>1.699*L1882</f>
        <v>0</v>
      </c>
      <c r="O1882" s="32">
        <f>0.06281*L1882</f>
        <v>0</v>
      </c>
      <c r="P1882" s="36"/>
      <c r="Q1882" s="29" t="s">
        <v>6235</v>
      </c>
      <c r="R1882" s="29" t="s">
        <v>611</v>
      </c>
      <c r="S1882" s="26" t="str">
        <f>HYPERLINK("https://miland.ru/api/getInfo/image/a9719f17-88e7-11ec-a211-ac1f6b442185")</f>
        <v>https://miland.ru/api/getInfo/image/a9719f17-88e7-11ec-a211-ac1f6b442185</v>
      </c>
    </row>
    <row r="1883" spans="1:19" s="2" customFormat="1" ht="96.2" customHeight="1" outlineLevel="7">
      <c r="A1883" s="52">
        <v>1478</v>
      </c>
      <c r="B1883" s="26" t="s">
        <v>6236</v>
      </c>
      <c r="C1883" s="66" t="s">
        <v>6237</v>
      </c>
      <c r="D1883" s="66"/>
      <c r="E1883" s="66"/>
      <c r="F1883" s="66"/>
      <c r="G1883" s="27" t="s">
        <v>6238</v>
      </c>
      <c r="H1883" s="33">
        <v>319</v>
      </c>
      <c r="I1883" s="29"/>
      <c r="J1883" s="25">
        <v>1</v>
      </c>
      <c r="K1883" s="37">
        <v>6598.68</v>
      </c>
      <c r="L1883" s="17"/>
      <c r="M1883" s="29">
        <f>K1883*L1883</f>
        <v>0</v>
      </c>
      <c r="N1883" s="31">
        <f>1.838*L1883</f>
        <v>0</v>
      </c>
      <c r="O1883" s="32">
        <f>0.06716*L1883</f>
        <v>0</v>
      </c>
      <c r="P1883" s="36"/>
      <c r="Q1883" s="29" t="s">
        <v>6239</v>
      </c>
      <c r="R1883" s="29" t="s">
        <v>611</v>
      </c>
      <c r="S1883" s="26" t="str">
        <f>HYPERLINK("https://miland.ru/api/getInfo/image/fcbf201a-88e3-11ec-a211-ac1f6b442185")</f>
        <v>https://miland.ru/api/getInfo/image/fcbf201a-88e3-11ec-a211-ac1f6b442185</v>
      </c>
    </row>
    <row r="1884" spans="1:19" s="1" customFormat="1" ht="12" customHeight="1" outlineLevel="5">
      <c r="A1884" s="64" t="s">
        <v>6240</v>
      </c>
      <c r="B1884" s="64"/>
      <c r="C1884" s="64"/>
      <c r="D1884" s="64"/>
      <c r="E1884" s="64"/>
      <c r="F1884" s="64"/>
      <c r="G1884" s="8"/>
      <c r="H1884" s="12"/>
      <c r="I1884" s="2"/>
      <c r="J1884" s="2"/>
      <c r="K1884" s="13"/>
      <c r="L1884" s="2"/>
      <c r="M1884" s="2"/>
      <c r="N1884" s="2"/>
      <c r="O1884" s="2"/>
      <c r="P1884" s="2"/>
      <c r="Q1884" s="2"/>
      <c r="R1884" s="2"/>
      <c r="S1884" s="2"/>
    </row>
    <row r="1885" spans="1:19" s="1" customFormat="1" ht="12" customHeight="1" outlineLevel="6">
      <c r="A1885" s="64" t="s">
        <v>6241</v>
      </c>
      <c r="B1885" s="64"/>
      <c r="C1885" s="64"/>
      <c r="D1885" s="64"/>
      <c r="E1885" s="64"/>
      <c r="F1885" s="64"/>
      <c r="G1885" s="8"/>
      <c r="H1885" s="12"/>
      <c r="I1885" s="2"/>
      <c r="J1885" s="2"/>
      <c r="K1885" s="13"/>
      <c r="L1885" s="2"/>
      <c r="M1885" s="2"/>
      <c r="N1885" s="2"/>
      <c r="O1885" s="2"/>
      <c r="P1885" s="2"/>
      <c r="Q1885" s="2"/>
      <c r="R1885" s="2"/>
      <c r="S1885" s="2"/>
    </row>
    <row r="1886" spans="1:19" s="2" customFormat="1" ht="96.2" customHeight="1" outlineLevel="7">
      <c r="A1886" s="52">
        <v>1479</v>
      </c>
      <c r="B1886" s="26" t="s">
        <v>6242</v>
      </c>
      <c r="C1886" s="66" t="s">
        <v>6243</v>
      </c>
      <c r="D1886" s="66"/>
      <c r="E1886" s="66"/>
      <c r="F1886" s="66"/>
      <c r="G1886" s="27" t="s">
        <v>6244</v>
      </c>
      <c r="H1886" s="28" t="s">
        <v>44</v>
      </c>
      <c r="I1886" s="29"/>
      <c r="J1886" s="25">
        <v>1</v>
      </c>
      <c r="K1886" s="37">
        <v>1799.32</v>
      </c>
      <c r="L1886" s="17"/>
      <c r="M1886" s="29">
        <f>K1886*L1886</f>
        <v>0</v>
      </c>
      <c r="N1886" s="31">
        <f>0.252*L1886</f>
        <v>0</v>
      </c>
      <c r="O1886" s="35">
        <f>0.0077*L1886</f>
        <v>0</v>
      </c>
      <c r="P1886" s="36"/>
      <c r="Q1886" s="29" t="s">
        <v>6245</v>
      </c>
      <c r="R1886" s="29"/>
      <c r="S1886" s="26" t="str">
        <f>HYPERLINK("https://miland.ru/api/getInfo/image/b3c6deed-0fbe-11f0-a279-00155d82e908")</f>
        <v>https://miland.ru/api/getInfo/image/b3c6deed-0fbe-11f0-a279-00155d82e908</v>
      </c>
    </row>
    <row r="1887" spans="1:19" s="2" customFormat="1" ht="96.2" customHeight="1" outlineLevel="7">
      <c r="A1887" s="52">
        <v>1480</v>
      </c>
      <c r="B1887" s="26" t="s">
        <v>6246</v>
      </c>
      <c r="C1887" s="66" t="s">
        <v>6243</v>
      </c>
      <c r="D1887" s="66"/>
      <c r="E1887" s="66"/>
      <c r="F1887" s="66"/>
      <c r="G1887" s="27" t="s">
        <v>6247</v>
      </c>
      <c r="H1887" s="28" t="s">
        <v>44</v>
      </c>
      <c r="I1887" s="29"/>
      <c r="J1887" s="25">
        <v>1</v>
      </c>
      <c r="K1887" s="37">
        <v>2588.85</v>
      </c>
      <c r="L1887" s="17"/>
      <c r="M1887" s="29">
        <f>K1887*L1887</f>
        <v>0</v>
      </c>
      <c r="N1887" s="31">
        <f>0.408*L1887</f>
        <v>0</v>
      </c>
      <c r="O1887" s="32">
        <f>0.01244*L1887</f>
        <v>0</v>
      </c>
      <c r="P1887" s="36"/>
      <c r="Q1887" s="29" t="s">
        <v>6248</v>
      </c>
      <c r="R1887" s="29"/>
      <c r="S1887" s="26" t="str">
        <f>HYPERLINK("https://miland.ru/api/getInfo/image/5c71c63b-0fc0-11f0-a279-00155d82e908")</f>
        <v>https://miland.ru/api/getInfo/image/5c71c63b-0fc0-11f0-a279-00155d82e908</v>
      </c>
    </row>
    <row r="1888" spans="1:19" s="2" customFormat="1" ht="96.2" customHeight="1" outlineLevel="7">
      <c r="A1888" s="52">
        <v>1481</v>
      </c>
      <c r="B1888" s="26" t="s">
        <v>6249</v>
      </c>
      <c r="C1888" s="66" t="s">
        <v>6250</v>
      </c>
      <c r="D1888" s="66"/>
      <c r="E1888" s="66"/>
      <c r="F1888" s="66"/>
      <c r="G1888" s="27" t="s">
        <v>6251</v>
      </c>
      <c r="H1888" s="33">
        <v>189</v>
      </c>
      <c r="I1888" s="29"/>
      <c r="J1888" s="25">
        <v>1</v>
      </c>
      <c r="K1888" s="37">
        <v>1799.32</v>
      </c>
      <c r="L1888" s="17"/>
      <c r="M1888" s="29">
        <f>K1888*L1888</f>
        <v>0</v>
      </c>
      <c r="N1888" s="31">
        <f>0.253*L1888</f>
        <v>0</v>
      </c>
      <c r="O1888" s="32">
        <f>0.00738*L1888</f>
        <v>0</v>
      </c>
      <c r="P1888" s="36"/>
      <c r="Q1888" s="29" t="s">
        <v>6252</v>
      </c>
      <c r="R1888" s="29"/>
      <c r="S1888" s="26" t="str">
        <f>HYPERLINK("https://miland.ru/api/getInfo/image/5aab8c6d-0fc1-11f0-a279-00155d82e908")</f>
        <v>https://miland.ru/api/getInfo/image/5aab8c6d-0fc1-11f0-a279-00155d82e908</v>
      </c>
    </row>
    <row r="1889" spans="1:19" s="2" customFormat="1" ht="96.2" customHeight="1" outlineLevel="7">
      <c r="A1889" s="52">
        <v>1482</v>
      </c>
      <c r="B1889" s="26" t="s">
        <v>6253</v>
      </c>
      <c r="C1889" s="66" t="s">
        <v>6254</v>
      </c>
      <c r="D1889" s="66"/>
      <c r="E1889" s="66"/>
      <c r="F1889" s="66"/>
      <c r="G1889" s="27" t="s">
        <v>6255</v>
      </c>
      <c r="H1889" s="33">
        <v>179</v>
      </c>
      <c r="I1889" s="29"/>
      <c r="J1889" s="25">
        <v>1</v>
      </c>
      <c r="K1889" s="37">
        <v>2588.85</v>
      </c>
      <c r="L1889" s="17"/>
      <c r="M1889" s="29">
        <f>K1889*L1889</f>
        <v>0</v>
      </c>
      <c r="N1889" s="31">
        <f>0.436*L1889</f>
        <v>0</v>
      </c>
      <c r="O1889" s="32">
        <f>0.01262*L1889</f>
        <v>0</v>
      </c>
      <c r="P1889" s="36"/>
      <c r="Q1889" s="29" t="s">
        <v>6256</v>
      </c>
      <c r="R1889" s="29"/>
      <c r="S1889" s="26" t="str">
        <f>HYPERLINK("https://miland.ru/api/getInfo/image/d5f99d09-0fc1-11f0-a279-00155d82e908")</f>
        <v>https://miland.ru/api/getInfo/image/d5f99d09-0fc1-11f0-a279-00155d82e908</v>
      </c>
    </row>
    <row r="1890" spans="1:19" s="1" customFormat="1" ht="12" customHeight="1" outlineLevel="6">
      <c r="A1890" s="64" t="s">
        <v>6257</v>
      </c>
      <c r="B1890" s="64"/>
      <c r="C1890" s="64"/>
      <c r="D1890" s="64"/>
      <c r="E1890" s="64"/>
      <c r="F1890" s="64"/>
      <c r="G1890" s="8"/>
      <c r="H1890" s="12"/>
      <c r="I1890" s="2"/>
      <c r="J1890" s="2"/>
      <c r="K1890" s="13"/>
      <c r="L1890" s="2"/>
      <c r="M1890" s="2"/>
      <c r="N1890" s="2"/>
      <c r="O1890" s="2"/>
      <c r="P1890" s="2"/>
      <c r="Q1890" s="2"/>
      <c r="R1890" s="2"/>
      <c r="S1890" s="2"/>
    </row>
    <row r="1891" spans="1:19" s="2" customFormat="1" ht="96.2" customHeight="1" outlineLevel="7">
      <c r="A1891" s="52">
        <v>1483</v>
      </c>
      <c r="B1891" s="26" t="s">
        <v>6258</v>
      </c>
      <c r="C1891" s="66" t="s">
        <v>6259</v>
      </c>
      <c r="D1891" s="66"/>
      <c r="E1891" s="66"/>
      <c r="F1891" s="66"/>
      <c r="G1891" s="27" t="s">
        <v>6260</v>
      </c>
      <c r="H1891" s="28" t="s">
        <v>44</v>
      </c>
      <c r="I1891" s="29"/>
      <c r="J1891" s="25">
        <v>1</v>
      </c>
      <c r="K1891" s="37">
        <v>2626.19</v>
      </c>
      <c r="L1891" s="17"/>
      <c r="M1891" s="29">
        <f>K1891*L1891</f>
        <v>0</v>
      </c>
      <c r="N1891" s="34">
        <f>0.34*L1891</f>
        <v>0</v>
      </c>
      <c r="O1891" s="32">
        <f>0.01153*L1891</f>
        <v>0</v>
      </c>
      <c r="P1891" s="36"/>
      <c r="Q1891" s="29" t="s">
        <v>6261</v>
      </c>
      <c r="R1891" s="29"/>
      <c r="S1891" s="26" t="str">
        <f>HYPERLINK("https://miland.ru/api/getInfo/image/2114a651-0fc3-11f0-a279-00155d82e908")</f>
        <v>https://miland.ru/api/getInfo/image/2114a651-0fc3-11f0-a279-00155d82e908</v>
      </c>
    </row>
    <row r="1892" spans="1:19" s="2" customFormat="1" ht="96.2" customHeight="1" outlineLevel="7">
      <c r="A1892" s="52">
        <v>1484</v>
      </c>
      <c r="B1892" s="26" t="s">
        <v>6262</v>
      </c>
      <c r="C1892" s="66" t="s">
        <v>6263</v>
      </c>
      <c r="D1892" s="66"/>
      <c r="E1892" s="66"/>
      <c r="F1892" s="66"/>
      <c r="G1892" s="27" t="s">
        <v>6264</v>
      </c>
      <c r="H1892" s="33">
        <v>456</v>
      </c>
      <c r="I1892" s="29"/>
      <c r="J1892" s="25">
        <v>1</v>
      </c>
      <c r="K1892" s="37">
        <v>1871.95</v>
      </c>
      <c r="L1892" s="17"/>
      <c r="M1892" s="29">
        <f>K1892*L1892</f>
        <v>0</v>
      </c>
      <c r="N1892" s="31">
        <f>0.225*L1892</f>
        <v>0</v>
      </c>
      <c r="O1892" s="32">
        <f>0.00754*L1892</f>
        <v>0</v>
      </c>
      <c r="P1892" s="36"/>
      <c r="Q1892" s="29" t="s">
        <v>6265</v>
      </c>
      <c r="R1892" s="29"/>
      <c r="S1892" s="26" t="str">
        <f>HYPERLINK("https://miland.ru/api/getInfo/image/d304d92e-0fc2-11f0-a279-00155d82e908")</f>
        <v>https://miland.ru/api/getInfo/image/d304d92e-0fc2-11f0-a279-00155d82e908</v>
      </c>
    </row>
    <row r="1893" spans="1:19" s="2" customFormat="1" ht="96.2" customHeight="1" outlineLevel="7">
      <c r="A1893" s="52">
        <v>1485</v>
      </c>
      <c r="B1893" s="26" t="s">
        <v>6266</v>
      </c>
      <c r="C1893" s="66" t="s">
        <v>6267</v>
      </c>
      <c r="D1893" s="66"/>
      <c r="E1893" s="66"/>
      <c r="F1893" s="66"/>
      <c r="G1893" s="27" t="s">
        <v>6268</v>
      </c>
      <c r="H1893" s="33">
        <v>173</v>
      </c>
      <c r="I1893" s="29"/>
      <c r="J1893" s="25">
        <v>1</v>
      </c>
      <c r="K1893" s="37">
        <v>1871.95</v>
      </c>
      <c r="L1893" s="17"/>
      <c r="M1893" s="29">
        <f>K1893*L1893</f>
        <v>0</v>
      </c>
      <c r="N1893" s="31">
        <f>0.222*L1893</f>
        <v>0</v>
      </c>
      <c r="O1893" s="32">
        <f>0.00763*L1893</f>
        <v>0</v>
      </c>
      <c r="P1893" s="36"/>
      <c r="Q1893" s="29" t="s">
        <v>6269</v>
      </c>
      <c r="R1893" s="29"/>
      <c r="S1893" s="26" t="str">
        <f>HYPERLINK("https://miland.ru/api/getInfo/image/67ef32dc-0fc3-11f0-a279-00155d82e908")</f>
        <v>https://miland.ru/api/getInfo/image/67ef32dc-0fc3-11f0-a279-00155d82e908</v>
      </c>
    </row>
    <row r="1894" spans="1:19" s="2" customFormat="1" ht="96.2" customHeight="1" outlineLevel="7">
      <c r="A1894" s="52">
        <v>1486</v>
      </c>
      <c r="B1894" s="26" t="s">
        <v>6270</v>
      </c>
      <c r="C1894" s="66" t="s">
        <v>6271</v>
      </c>
      <c r="D1894" s="66"/>
      <c r="E1894" s="66"/>
      <c r="F1894" s="66"/>
      <c r="G1894" s="27" t="s">
        <v>6272</v>
      </c>
      <c r="H1894" s="33">
        <v>140</v>
      </c>
      <c r="I1894" s="29"/>
      <c r="J1894" s="25">
        <v>1</v>
      </c>
      <c r="K1894" s="37">
        <v>2626.19</v>
      </c>
      <c r="L1894" s="17"/>
      <c r="M1894" s="29">
        <f>K1894*L1894</f>
        <v>0</v>
      </c>
      <c r="N1894" s="31">
        <f>0.348*L1894</f>
        <v>0</v>
      </c>
      <c r="O1894" s="32">
        <f>0.00971*L1894</f>
        <v>0</v>
      </c>
      <c r="P1894" s="36"/>
      <c r="Q1894" s="29" t="s">
        <v>6273</v>
      </c>
      <c r="R1894" s="29"/>
      <c r="S1894" s="26" t="str">
        <f>HYPERLINK("https://miland.ru/api/getInfo/image/aecbb0d0-0fc3-11f0-a279-00155d82e908")</f>
        <v>https://miland.ru/api/getInfo/image/aecbb0d0-0fc3-11f0-a279-00155d82e908</v>
      </c>
    </row>
    <row r="1895" spans="1:19" s="1" customFormat="1" ht="12" customHeight="1" outlineLevel="6">
      <c r="A1895" s="64" t="s">
        <v>6274</v>
      </c>
      <c r="B1895" s="64"/>
      <c r="C1895" s="64"/>
      <c r="D1895" s="64"/>
      <c r="E1895" s="64"/>
      <c r="F1895" s="64"/>
      <c r="G1895" s="8"/>
      <c r="H1895" s="12"/>
      <c r="I1895" s="2"/>
      <c r="J1895" s="2"/>
      <c r="K1895" s="13"/>
      <c r="L1895" s="2"/>
      <c r="M1895" s="2"/>
      <c r="N1895" s="2"/>
      <c r="O1895" s="2"/>
      <c r="P1895" s="2"/>
      <c r="Q1895" s="2"/>
      <c r="R1895" s="2"/>
      <c r="S1895" s="2"/>
    </row>
    <row r="1896" spans="1:19" s="2" customFormat="1" ht="96.2" customHeight="1" outlineLevel="7">
      <c r="A1896" s="52">
        <v>1487</v>
      </c>
      <c r="B1896" s="26" t="s">
        <v>6275</v>
      </c>
      <c r="C1896" s="66" t="s">
        <v>6276</v>
      </c>
      <c r="D1896" s="66"/>
      <c r="E1896" s="66"/>
      <c r="F1896" s="66"/>
      <c r="G1896" s="27" t="s">
        <v>6277</v>
      </c>
      <c r="H1896" s="33">
        <v>48</v>
      </c>
      <c r="I1896" s="29"/>
      <c r="J1896" s="25">
        <v>1</v>
      </c>
      <c r="K1896" s="37">
        <v>1799.32</v>
      </c>
      <c r="L1896" s="17"/>
      <c r="M1896" s="29">
        <f>K1896*L1896</f>
        <v>0</v>
      </c>
      <c r="N1896" s="31">
        <f>0.256*L1896</f>
        <v>0</v>
      </c>
      <c r="O1896" s="32">
        <f>0.00759*L1896</f>
        <v>0</v>
      </c>
      <c r="P1896" s="36"/>
      <c r="Q1896" s="29" t="s">
        <v>6278</v>
      </c>
      <c r="R1896" s="29"/>
      <c r="S1896" s="26" t="str">
        <f>HYPERLINK("https://miland.ru/api/getInfo/image/2e66bdff-0fc2-11f0-a279-00155d82e908")</f>
        <v>https://miland.ru/api/getInfo/image/2e66bdff-0fc2-11f0-a279-00155d82e908</v>
      </c>
    </row>
    <row r="1897" spans="1:19" s="2" customFormat="1" ht="96.2" customHeight="1" outlineLevel="7">
      <c r="A1897" s="52">
        <v>1488</v>
      </c>
      <c r="B1897" s="26" t="s">
        <v>6279</v>
      </c>
      <c r="C1897" s="66" t="s">
        <v>6280</v>
      </c>
      <c r="D1897" s="66"/>
      <c r="E1897" s="66"/>
      <c r="F1897" s="66"/>
      <c r="G1897" s="27" t="s">
        <v>6281</v>
      </c>
      <c r="H1897" s="33">
        <v>168</v>
      </c>
      <c r="I1897" s="29"/>
      <c r="J1897" s="25">
        <v>1</v>
      </c>
      <c r="K1897" s="37">
        <v>2588.85</v>
      </c>
      <c r="L1897" s="17"/>
      <c r="M1897" s="29">
        <f>K1897*L1897</f>
        <v>0</v>
      </c>
      <c r="N1897" s="31">
        <f>0.421*L1897</f>
        <v>0</v>
      </c>
      <c r="O1897" s="32">
        <f>0.01261*L1897</f>
        <v>0</v>
      </c>
      <c r="P1897" s="36"/>
      <c r="Q1897" s="29" t="s">
        <v>6282</v>
      </c>
      <c r="R1897" s="29"/>
      <c r="S1897" s="26" t="str">
        <f>HYPERLINK("https://miland.ru/api/getInfo/image/7da38fa8-0fc2-11f0-a279-00155d82e908")</f>
        <v>https://miland.ru/api/getInfo/image/7da38fa8-0fc2-11f0-a279-00155d82e908</v>
      </c>
    </row>
    <row r="1898" spans="1:19" s="1" customFormat="1" ht="12" customHeight="1" outlineLevel="6">
      <c r="A1898" s="64" t="s">
        <v>6283</v>
      </c>
      <c r="B1898" s="64"/>
      <c r="C1898" s="64"/>
      <c r="D1898" s="64"/>
      <c r="E1898" s="64"/>
      <c r="F1898" s="64"/>
      <c r="G1898" s="8"/>
      <c r="H1898" s="12"/>
      <c r="I1898" s="2"/>
      <c r="J1898" s="2"/>
      <c r="K1898" s="13"/>
      <c r="L1898" s="2"/>
      <c r="M1898" s="2"/>
      <c r="N1898" s="2"/>
      <c r="O1898" s="2"/>
      <c r="P1898" s="2"/>
      <c r="Q1898" s="2"/>
      <c r="R1898" s="2"/>
      <c r="S1898" s="2"/>
    </row>
    <row r="1899" spans="1:19" s="2" customFormat="1" ht="96.2" customHeight="1" outlineLevel="7">
      <c r="A1899" s="52">
        <v>1489</v>
      </c>
      <c r="B1899" s="26" t="s">
        <v>6284</v>
      </c>
      <c r="C1899" s="66" t="s">
        <v>6285</v>
      </c>
      <c r="D1899" s="66"/>
      <c r="E1899" s="66"/>
      <c r="F1899" s="66"/>
      <c r="G1899" s="27" t="s">
        <v>6286</v>
      </c>
      <c r="H1899" s="33">
        <v>77</v>
      </c>
      <c r="I1899" s="29"/>
      <c r="J1899" s="25">
        <v>1</v>
      </c>
      <c r="K1899" s="37">
        <v>1513.28</v>
      </c>
      <c r="L1899" s="17"/>
      <c r="M1899" s="29">
        <f>K1899*L1899</f>
        <v>0</v>
      </c>
      <c r="N1899" s="31">
        <f>0.122*L1899</f>
        <v>0</v>
      </c>
      <c r="O1899" s="32">
        <f>0.00298*L1899</f>
        <v>0</v>
      </c>
      <c r="P1899" s="36"/>
      <c r="Q1899" s="29" t="s">
        <v>6287</v>
      </c>
      <c r="R1899" s="29" t="s">
        <v>611</v>
      </c>
      <c r="S1899" s="26" t="str">
        <f>HYPERLINK("https://miland.ru/api/getInfo/image/be3a1718-ccc3-11ee-a25a-00155d82e908")</f>
        <v>https://miland.ru/api/getInfo/image/be3a1718-ccc3-11ee-a25a-00155d82e908</v>
      </c>
    </row>
    <row r="1900" spans="1:19" s="1" customFormat="1" ht="12" customHeight="1" outlineLevel="5">
      <c r="A1900" s="64" t="s">
        <v>6288</v>
      </c>
      <c r="B1900" s="64"/>
      <c r="C1900" s="64"/>
      <c r="D1900" s="64"/>
      <c r="E1900" s="64"/>
      <c r="F1900" s="64"/>
      <c r="G1900" s="8"/>
      <c r="H1900" s="12"/>
      <c r="I1900" s="2"/>
      <c r="J1900" s="2"/>
      <c r="K1900" s="13"/>
      <c r="L1900" s="2"/>
      <c r="M1900" s="2"/>
      <c r="N1900" s="2"/>
      <c r="O1900" s="2"/>
      <c r="P1900" s="2"/>
      <c r="Q1900" s="2"/>
      <c r="R1900" s="2"/>
      <c r="S1900" s="2"/>
    </row>
    <row r="1901" spans="1:19" s="1" customFormat="1" ht="12" customHeight="1" outlineLevel="6">
      <c r="A1901" s="64" t="s">
        <v>6289</v>
      </c>
      <c r="B1901" s="64"/>
      <c r="C1901" s="64"/>
      <c r="D1901" s="64"/>
      <c r="E1901" s="64"/>
      <c r="F1901" s="64"/>
      <c r="G1901" s="8"/>
      <c r="H1901" s="12"/>
      <c r="I1901" s="2"/>
      <c r="J1901" s="2"/>
      <c r="K1901" s="13"/>
      <c r="L1901" s="2"/>
      <c r="M1901" s="2"/>
      <c r="N1901" s="2"/>
      <c r="O1901" s="2"/>
      <c r="P1901" s="2"/>
      <c r="Q1901" s="2"/>
      <c r="R1901" s="2"/>
      <c r="S1901" s="2"/>
    </row>
    <row r="1902" spans="1:19" s="2" customFormat="1" ht="96.2" customHeight="1" outlineLevel="7">
      <c r="A1902" s="53">
        <v>1490</v>
      </c>
      <c r="B1902" s="10" t="s">
        <v>6290</v>
      </c>
      <c r="C1902" s="65" t="s">
        <v>6291</v>
      </c>
      <c r="D1902" s="65"/>
      <c r="E1902" s="65"/>
      <c r="F1902" s="65"/>
      <c r="G1902" s="11" t="s">
        <v>6292</v>
      </c>
      <c r="H1902" s="14">
        <v>354</v>
      </c>
      <c r="I1902" s="15"/>
      <c r="J1902" s="9">
        <v>1</v>
      </c>
      <c r="K1902" s="16">
        <v>665.66</v>
      </c>
      <c r="L1902" s="17"/>
      <c r="M1902" s="15">
        <f>K1902*L1902</f>
        <v>0</v>
      </c>
      <c r="N1902" s="18">
        <f>0.318*L1902</f>
        <v>0</v>
      </c>
      <c r="O1902" s="19">
        <f>0.00268*L1902</f>
        <v>0</v>
      </c>
      <c r="P1902" s="24" t="s">
        <v>26</v>
      </c>
      <c r="Q1902" s="15" t="s">
        <v>6293</v>
      </c>
      <c r="R1902" s="15"/>
      <c r="S1902" s="10" t="str">
        <f>HYPERLINK("https://miland.ru/api/getInfo/image/5638fc37-d5c1-11f0-a28c-00155d82e908")</f>
        <v>https://miland.ru/api/getInfo/image/5638fc37-d5c1-11f0-a28c-00155d82e908</v>
      </c>
    </row>
    <row r="1903" spans="1:19" s="1" customFormat="1" ht="12" customHeight="1" outlineLevel="6">
      <c r="A1903" s="64" t="s">
        <v>6294</v>
      </c>
      <c r="B1903" s="64"/>
      <c r="C1903" s="64"/>
      <c r="D1903" s="64"/>
      <c r="E1903" s="64"/>
      <c r="F1903" s="64"/>
      <c r="G1903" s="8"/>
      <c r="H1903" s="12"/>
      <c r="I1903" s="2"/>
      <c r="J1903" s="2"/>
      <c r="K1903" s="13"/>
      <c r="L1903" s="2"/>
      <c r="M1903" s="2"/>
      <c r="N1903" s="2"/>
      <c r="O1903" s="2"/>
      <c r="P1903" s="2"/>
      <c r="Q1903" s="2"/>
      <c r="R1903" s="2"/>
      <c r="S1903" s="2"/>
    </row>
    <row r="1904" spans="1:19" s="2" customFormat="1" ht="96.2" customHeight="1" outlineLevel="7">
      <c r="A1904" s="53">
        <v>1491</v>
      </c>
      <c r="B1904" s="10" t="s">
        <v>6295</v>
      </c>
      <c r="C1904" s="65" t="s">
        <v>6296</v>
      </c>
      <c r="D1904" s="65"/>
      <c r="E1904" s="65"/>
      <c r="F1904" s="65"/>
      <c r="G1904" s="11" t="s">
        <v>6297</v>
      </c>
      <c r="H1904" s="14">
        <v>264</v>
      </c>
      <c r="I1904" s="15"/>
      <c r="J1904" s="9">
        <v>1</v>
      </c>
      <c r="K1904" s="16">
        <v>622.58000000000004</v>
      </c>
      <c r="L1904" s="17"/>
      <c r="M1904" s="15">
        <f t="shared" ref="M1904:M1909" si="89">K1904*L1904</f>
        <v>0</v>
      </c>
      <c r="N1904" s="18">
        <f>0.161*L1904</f>
        <v>0</v>
      </c>
      <c r="O1904" s="19">
        <f>0.00392*L1904</f>
        <v>0</v>
      </c>
      <c r="P1904" s="24" t="s">
        <v>26</v>
      </c>
      <c r="Q1904" s="15" t="s">
        <v>6298</v>
      </c>
      <c r="R1904" s="15"/>
      <c r="S1904" s="10" t="str">
        <f>HYPERLINK("https://miland.ru/api/getInfo/image/77b8fcae-3e0d-11f1-a294-00155d82e908")</f>
        <v>https://miland.ru/api/getInfo/image/77b8fcae-3e0d-11f1-a294-00155d82e908</v>
      </c>
    </row>
    <row r="1905" spans="1:19" s="2" customFormat="1" ht="96.2" customHeight="1" outlineLevel="7">
      <c r="A1905" s="53">
        <v>1492</v>
      </c>
      <c r="B1905" s="10" t="s">
        <v>6299</v>
      </c>
      <c r="C1905" s="65" t="s">
        <v>6300</v>
      </c>
      <c r="D1905" s="65"/>
      <c r="E1905" s="65"/>
      <c r="F1905" s="65"/>
      <c r="G1905" s="11" t="s">
        <v>6301</v>
      </c>
      <c r="H1905" s="14">
        <v>109</v>
      </c>
      <c r="I1905" s="15"/>
      <c r="J1905" s="9">
        <v>1</v>
      </c>
      <c r="K1905" s="16">
        <v>622.58000000000004</v>
      </c>
      <c r="L1905" s="17"/>
      <c r="M1905" s="15">
        <f t="shared" si="89"/>
        <v>0</v>
      </c>
      <c r="N1905" s="18">
        <f>0.163*L1905</f>
        <v>0</v>
      </c>
      <c r="O1905" s="20">
        <f>0.0012*L1905</f>
        <v>0</v>
      </c>
      <c r="P1905" s="24" t="s">
        <v>26</v>
      </c>
      <c r="Q1905" s="15" t="s">
        <v>6302</v>
      </c>
      <c r="R1905" s="15"/>
      <c r="S1905" s="10" t="str">
        <f>HYPERLINK("https://miland.ru/api/getInfo/image/93c5a3bd-3e0d-11f1-a294-00155d82e908")</f>
        <v>https://miland.ru/api/getInfo/image/93c5a3bd-3e0d-11f1-a294-00155d82e908</v>
      </c>
    </row>
    <row r="1906" spans="1:19" s="2" customFormat="1" ht="96.2" customHeight="1" outlineLevel="7">
      <c r="A1906" s="53">
        <v>1493</v>
      </c>
      <c r="B1906" s="10" t="s">
        <v>6303</v>
      </c>
      <c r="C1906" s="65" t="s">
        <v>6304</v>
      </c>
      <c r="D1906" s="65"/>
      <c r="E1906" s="65"/>
      <c r="F1906" s="65"/>
      <c r="G1906" s="11" t="s">
        <v>6305</v>
      </c>
      <c r="H1906" s="14">
        <v>115</v>
      </c>
      <c r="I1906" s="15"/>
      <c r="J1906" s="9">
        <v>1</v>
      </c>
      <c r="K1906" s="16">
        <v>622.58000000000004</v>
      </c>
      <c r="L1906" s="17"/>
      <c r="M1906" s="15">
        <f t="shared" si="89"/>
        <v>0</v>
      </c>
      <c r="N1906" s="18">
        <f>0.231*L1906</f>
        <v>0</v>
      </c>
      <c r="O1906" s="19">
        <f>0.00345*L1906</f>
        <v>0</v>
      </c>
      <c r="P1906" s="24" t="s">
        <v>26</v>
      </c>
      <c r="Q1906" s="15" t="s">
        <v>6306</v>
      </c>
      <c r="R1906" s="15"/>
      <c r="S1906" s="10" t="str">
        <f>HYPERLINK("https://miland.ru/api/getInfo/image/01ecad23-3e0e-11f1-a294-00155d82e908")</f>
        <v>https://miland.ru/api/getInfo/image/01ecad23-3e0e-11f1-a294-00155d82e908</v>
      </c>
    </row>
    <row r="1907" spans="1:19" s="2" customFormat="1" ht="96.2" customHeight="1" outlineLevel="7">
      <c r="A1907" s="53">
        <v>1494</v>
      </c>
      <c r="B1907" s="10" t="s">
        <v>6307</v>
      </c>
      <c r="C1907" s="65" t="s">
        <v>6308</v>
      </c>
      <c r="D1907" s="65"/>
      <c r="E1907" s="65"/>
      <c r="F1907" s="65"/>
      <c r="G1907" s="11" t="s">
        <v>6309</v>
      </c>
      <c r="H1907" s="14">
        <v>114</v>
      </c>
      <c r="I1907" s="15"/>
      <c r="J1907" s="9">
        <v>1</v>
      </c>
      <c r="K1907" s="16">
        <v>622.58000000000004</v>
      </c>
      <c r="L1907" s="17"/>
      <c r="M1907" s="15">
        <f t="shared" si="89"/>
        <v>0</v>
      </c>
      <c r="N1907" s="18">
        <f>0.179*L1907</f>
        <v>0</v>
      </c>
      <c r="O1907" s="19">
        <f>0.00007*L1907</f>
        <v>0</v>
      </c>
      <c r="P1907" s="24" t="s">
        <v>26</v>
      </c>
      <c r="Q1907" s="15" t="s">
        <v>6310</v>
      </c>
      <c r="R1907" s="15"/>
      <c r="S1907" s="10" t="str">
        <f>HYPERLINK("https://miland.ru/api/getInfo/image/aa861c87-3e0d-11f1-a294-00155d82e908")</f>
        <v>https://miland.ru/api/getInfo/image/aa861c87-3e0d-11f1-a294-00155d82e908</v>
      </c>
    </row>
    <row r="1908" spans="1:19" s="2" customFormat="1" ht="96.2" customHeight="1" outlineLevel="7">
      <c r="A1908" s="53">
        <v>1495</v>
      </c>
      <c r="B1908" s="10" t="s">
        <v>6311</v>
      </c>
      <c r="C1908" s="65" t="s">
        <v>6312</v>
      </c>
      <c r="D1908" s="65"/>
      <c r="E1908" s="65"/>
      <c r="F1908" s="65"/>
      <c r="G1908" s="11" t="s">
        <v>6313</v>
      </c>
      <c r="H1908" s="14">
        <v>116</v>
      </c>
      <c r="I1908" s="15"/>
      <c r="J1908" s="9">
        <v>1</v>
      </c>
      <c r="K1908" s="16">
        <v>622.58000000000004</v>
      </c>
      <c r="L1908" s="17"/>
      <c r="M1908" s="15">
        <f t="shared" si="89"/>
        <v>0</v>
      </c>
      <c r="N1908" s="18">
        <f>0.151*L1908</f>
        <v>0</v>
      </c>
      <c r="O1908" s="19">
        <f>0.00144*L1908</f>
        <v>0</v>
      </c>
      <c r="P1908" s="24" t="s">
        <v>26</v>
      </c>
      <c r="Q1908" s="15" t="s">
        <v>6314</v>
      </c>
      <c r="R1908" s="15"/>
      <c r="S1908" s="10" t="str">
        <f>HYPERLINK("https://miland.ru/api/getInfo/image/5fc7c14d-3e0d-11f1-a294-00155d82e908")</f>
        <v>https://miland.ru/api/getInfo/image/5fc7c14d-3e0d-11f1-a294-00155d82e908</v>
      </c>
    </row>
    <row r="1909" spans="1:19" s="2" customFormat="1" ht="96.2" customHeight="1" outlineLevel="7">
      <c r="A1909" s="53">
        <v>1496</v>
      </c>
      <c r="B1909" s="10" t="s">
        <v>6315</v>
      </c>
      <c r="C1909" s="65" t="s">
        <v>6316</v>
      </c>
      <c r="D1909" s="65"/>
      <c r="E1909" s="65"/>
      <c r="F1909" s="65"/>
      <c r="G1909" s="11" t="s">
        <v>6317</v>
      </c>
      <c r="H1909" s="14">
        <v>152</v>
      </c>
      <c r="I1909" s="15"/>
      <c r="J1909" s="9">
        <v>1</v>
      </c>
      <c r="K1909" s="16">
        <v>622.58000000000004</v>
      </c>
      <c r="L1909" s="17"/>
      <c r="M1909" s="15">
        <f t="shared" si="89"/>
        <v>0</v>
      </c>
      <c r="N1909" s="18">
        <f>0.245*L1909</f>
        <v>0</v>
      </c>
      <c r="O1909" s="19">
        <f>0.00547*L1909</f>
        <v>0</v>
      </c>
      <c r="P1909" s="24" t="s">
        <v>26</v>
      </c>
      <c r="Q1909" s="15" t="s">
        <v>6318</v>
      </c>
      <c r="R1909" s="15"/>
      <c r="S1909" s="10" t="str">
        <f>HYPERLINK("https://miland.ru/api/getInfo/image/1bc2f00e-3e0e-11f1-a294-00155d82e908")</f>
        <v>https://miland.ru/api/getInfo/image/1bc2f00e-3e0e-11f1-a294-00155d82e908</v>
      </c>
    </row>
    <row r="1910" spans="1:19" s="1" customFormat="1" ht="12" customHeight="1" outlineLevel="6">
      <c r="A1910" s="64" t="s">
        <v>6319</v>
      </c>
      <c r="B1910" s="64"/>
      <c r="C1910" s="64"/>
      <c r="D1910" s="64"/>
      <c r="E1910" s="64"/>
      <c r="F1910" s="64"/>
      <c r="G1910" s="8"/>
      <c r="H1910" s="12"/>
      <c r="I1910" s="2"/>
      <c r="J1910" s="2"/>
      <c r="K1910" s="13"/>
      <c r="L1910" s="2"/>
      <c r="M1910" s="2"/>
      <c r="N1910" s="2"/>
      <c r="O1910" s="2"/>
      <c r="P1910" s="2"/>
      <c r="Q1910" s="2"/>
      <c r="R1910" s="2"/>
      <c r="S1910" s="2"/>
    </row>
    <row r="1911" spans="1:19" s="2" customFormat="1" ht="96.2" customHeight="1" outlineLevel="7">
      <c r="A1911" s="53">
        <v>1497</v>
      </c>
      <c r="B1911" s="10" t="s">
        <v>6320</v>
      </c>
      <c r="C1911" s="65" t="s">
        <v>6321</v>
      </c>
      <c r="D1911" s="65"/>
      <c r="E1911" s="65"/>
      <c r="F1911" s="65"/>
      <c r="G1911" s="11" t="s">
        <v>6322</v>
      </c>
      <c r="H1911" s="14">
        <v>353</v>
      </c>
      <c r="I1911" s="15"/>
      <c r="J1911" s="9">
        <v>1</v>
      </c>
      <c r="K1911" s="16">
        <v>969.02</v>
      </c>
      <c r="L1911" s="17"/>
      <c r="M1911" s="15">
        <f>K1911*L1911</f>
        <v>0</v>
      </c>
      <c r="N1911" s="18">
        <f>0.444*L1911</f>
        <v>0</v>
      </c>
      <c r="O1911" s="19">
        <f>0.00543*L1911</f>
        <v>0</v>
      </c>
      <c r="P1911" s="24" t="s">
        <v>26</v>
      </c>
      <c r="Q1911" s="15" t="s">
        <v>6323</v>
      </c>
      <c r="R1911" s="15"/>
      <c r="S1911" s="10" t="str">
        <f>HYPERLINK("https://miland.ru/api/getInfo/image/8c6d32de-d5c6-11f0-a28c-00155d82e908")</f>
        <v>https://miland.ru/api/getInfo/image/8c6d32de-d5c6-11f0-a28c-00155d82e908</v>
      </c>
    </row>
    <row r="1912" spans="1:19" s="1" customFormat="1" ht="12" customHeight="1" outlineLevel="6">
      <c r="A1912" s="64" t="s">
        <v>6324</v>
      </c>
      <c r="B1912" s="64"/>
      <c r="C1912" s="64"/>
      <c r="D1912" s="64"/>
      <c r="E1912" s="64"/>
      <c r="F1912" s="64"/>
      <c r="G1912" s="8"/>
      <c r="H1912" s="12"/>
      <c r="I1912" s="2"/>
      <c r="J1912" s="2"/>
      <c r="K1912" s="13"/>
      <c r="L1912" s="2"/>
      <c r="M1912" s="2"/>
      <c r="N1912" s="2"/>
      <c r="O1912" s="2"/>
      <c r="P1912" s="2"/>
      <c r="Q1912" s="2"/>
      <c r="R1912" s="2"/>
      <c r="S1912" s="2"/>
    </row>
    <row r="1913" spans="1:19" s="2" customFormat="1" ht="96.2" customHeight="1" outlineLevel="7">
      <c r="A1913" s="53">
        <v>1498</v>
      </c>
      <c r="B1913" s="10" t="s">
        <v>6325</v>
      </c>
      <c r="C1913" s="65" t="s">
        <v>6326</v>
      </c>
      <c r="D1913" s="65"/>
      <c r="E1913" s="65"/>
      <c r="F1913" s="65"/>
      <c r="G1913" s="11" t="s">
        <v>6327</v>
      </c>
      <c r="H1913" s="14">
        <v>348</v>
      </c>
      <c r="I1913" s="15"/>
      <c r="J1913" s="9">
        <v>1</v>
      </c>
      <c r="K1913" s="22">
        <v>1478.3</v>
      </c>
      <c r="L1913" s="17"/>
      <c r="M1913" s="15">
        <f>K1913*L1913</f>
        <v>0</v>
      </c>
      <c r="N1913" s="18">
        <f>0.397*L1913</f>
        <v>0</v>
      </c>
      <c r="O1913" s="19">
        <f>0.00785*L1913</f>
        <v>0</v>
      </c>
      <c r="P1913" s="24" t="s">
        <v>26</v>
      </c>
      <c r="Q1913" s="15" t="s">
        <v>6328</v>
      </c>
      <c r="R1913" s="15"/>
      <c r="S1913" s="10" t="str">
        <f>HYPERLINK("https://miland.ru/api/getInfo/image/b28d0b8d-d5c2-11f0-a28c-00155d82e908")</f>
        <v>https://miland.ru/api/getInfo/image/b28d0b8d-d5c2-11f0-a28c-00155d82e908</v>
      </c>
    </row>
    <row r="1914" spans="1:19" s="2" customFormat="1" ht="96.2" customHeight="1" outlineLevel="7">
      <c r="A1914" s="53">
        <v>1499</v>
      </c>
      <c r="B1914" s="10" t="s">
        <v>6329</v>
      </c>
      <c r="C1914" s="65" t="s">
        <v>6330</v>
      </c>
      <c r="D1914" s="65"/>
      <c r="E1914" s="65"/>
      <c r="F1914" s="65"/>
      <c r="G1914" s="11" t="s">
        <v>6331</v>
      </c>
      <c r="H1914" s="14">
        <v>324</v>
      </c>
      <c r="I1914" s="15"/>
      <c r="J1914" s="9">
        <v>1</v>
      </c>
      <c r="K1914" s="22">
        <v>1478.3</v>
      </c>
      <c r="L1914" s="17"/>
      <c r="M1914" s="15">
        <f>K1914*L1914</f>
        <v>0</v>
      </c>
      <c r="N1914" s="18">
        <f>0.361*L1914</f>
        <v>0</v>
      </c>
      <c r="O1914" s="19">
        <f>0.00583*L1914</f>
        <v>0</v>
      </c>
      <c r="P1914" s="24" t="s">
        <v>26</v>
      </c>
      <c r="Q1914" s="15" t="s">
        <v>6332</v>
      </c>
      <c r="R1914" s="15"/>
      <c r="S1914" s="10" t="str">
        <f>HYPERLINK("https://miland.ru/api/getInfo/image/ef8cae79-d5c2-11f0-a28c-00155d82e908")</f>
        <v>https://miland.ru/api/getInfo/image/ef8cae79-d5c2-11f0-a28c-00155d82e908</v>
      </c>
    </row>
    <row r="1915" spans="1:19" s="2" customFormat="1" ht="96.2" customHeight="1" outlineLevel="7">
      <c r="A1915" s="53">
        <v>1500</v>
      </c>
      <c r="B1915" s="10" t="s">
        <v>6333</v>
      </c>
      <c r="C1915" s="65" t="s">
        <v>6334</v>
      </c>
      <c r="D1915" s="65"/>
      <c r="E1915" s="65"/>
      <c r="F1915" s="65"/>
      <c r="G1915" s="11" t="s">
        <v>6335</v>
      </c>
      <c r="H1915" s="14">
        <v>344</v>
      </c>
      <c r="I1915" s="15"/>
      <c r="J1915" s="9">
        <v>1</v>
      </c>
      <c r="K1915" s="22">
        <v>1289.3800000000001</v>
      </c>
      <c r="L1915" s="17"/>
      <c r="M1915" s="15">
        <f>K1915*L1915</f>
        <v>0</v>
      </c>
      <c r="N1915" s="18">
        <f>0.317*L1915</f>
        <v>0</v>
      </c>
      <c r="O1915" s="20">
        <f>0.0027*L1915</f>
        <v>0</v>
      </c>
      <c r="P1915" s="24" t="s">
        <v>26</v>
      </c>
      <c r="Q1915" s="15" t="s">
        <v>6336</v>
      </c>
      <c r="R1915" s="15"/>
      <c r="S1915" s="10" t="str">
        <f>HYPERLINK("https://miland.ru/api/getInfo/image/6daeee44-d5c2-11f0-a28c-00155d82e908")</f>
        <v>https://miland.ru/api/getInfo/image/6daeee44-d5c2-11f0-a28c-00155d82e908</v>
      </c>
    </row>
    <row r="1916" spans="1:19" s="2" customFormat="1" ht="96.2" customHeight="1" outlineLevel="7">
      <c r="A1916" s="53">
        <v>1501</v>
      </c>
      <c r="B1916" s="10" t="s">
        <v>6337</v>
      </c>
      <c r="C1916" s="65" t="s">
        <v>6338</v>
      </c>
      <c r="D1916" s="65"/>
      <c r="E1916" s="65"/>
      <c r="F1916" s="65"/>
      <c r="G1916" s="11" t="s">
        <v>6339</v>
      </c>
      <c r="H1916" s="14">
        <v>344</v>
      </c>
      <c r="I1916" s="15"/>
      <c r="J1916" s="9">
        <v>1</v>
      </c>
      <c r="K1916" s="22">
        <v>1289.3800000000001</v>
      </c>
      <c r="L1916" s="17"/>
      <c r="M1916" s="15">
        <f>K1916*L1916</f>
        <v>0</v>
      </c>
      <c r="N1916" s="18">
        <f>0.293*L1916</f>
        <v>0</v>
      </c>
      <c r="O1916" s="19">
        <f>0.00552*L1916</f>
        <v>0</v>
      </c>
      <c r="P1916" s="24" t="s">
        <v>26</v>
      </c>
      <c r="Q1916" s="15" t="s">
        <v>6340</v>
      </c>
      <c r="R1916" s="15"/>
      <c r="S1916" s="10" t="str">
        <f>HYPERLINK("https://miland.ru/api/getInfo/image/b19cac03-d5c1-11f0-a28c-00155d82e908")</f>
        <v>https://miland.ru/api/getInfo/image/b19cac03-d5c1-11f0-a28c-00155d82e908</v>
      </c>
    </row>
    <row r="1917" spans="1:19" s="1" customFormat="1" ht="12" customHeight="1" outlineLevel="6">
      <c r="A1917" s="64" t="s">
        <v>6341</v>
      </c>
      <c r="B1917" s="64"/>
      <c r="C1917" s="64"/>
      <c r="D1917" s="64"/>
      <c r="E1917" s="64"/>
      <c r="F1917" s="64"/>
      <c r="G1917" s="8"/>
      <c r="H1917" s="12"/>
      <c r="I1917" s="2"/>
      <c r="J1917" s="2"/>
      <c r="K1917" s="13"/>
      <c r="L1917" s="2"/>
      <c r="M1917" s="2"/>
      <c r="N1917" s="2"/>
      <c r="O1917" s="2"/>
      <c r="P1917" s="2"/>
      <c r="Q1917" s="2"/>
      <c r="R1917" s="2"/>
      <c r="S1917" s="2"/>
    </row>
    <row r="1918" spans="1:19" s="2" customFormat="1" ht="96.2" customHeight="1" outlineLevel="7">
      <c r="A1918" s="53">
        <v>1502</v>
      </c>
      <c r="B1918" s="10" t="s">
        <v>6342</v>
      </c>
      <c r="C1918" s="65" t="s">
        <v>6343</v>
      </c>
      <c r="D1918" s="65"/>
      <c r="E1918" s="65"/>
      <c r="F1918" s="65"/>
      <c r="G1918" s="11" t="s">
        <v>6344</v>
      </c>
      <c r="H1918" s="14">
        <v>186</v>
      </c>
      <c r="I1918" s="15"/>
      <c r="J1918" s="9">
        <v>1</v>
      </c>
      <c r="K1918" s="22">
        <v>1501.19</v>
      </c>
      <c r="L1918" s="17"/>
      <c r="M1918" s="15">
        <f>K1918*L1918</f>
        <v>0</v>
      </c>
      <c r="N1918" s="18">
        <f>0.488*L1918</f>
        <v>0</v>
      </c>
      <c r="O1918" s="19">
        <f>0.00752*L1918</f>
        <v>0</v>
      </c>
      <c r="P1918" s="24" t="s">
        <v>26</v>
      </c>
      <c r="Q1918" s="15" t="s">
        <v>6345</v>
      </c>
      <c r="R1918" s="15"/>
      <c r="S1918" s="10" t="str">
        <f>HYPERLINK("https://miland.ru/api/getInfo/image/d653d1cf-d5c3-11f0-a28c-00155d82e908")</f>
        <v>https://miland.ru/api/getInfo/image/d653d1cf-d5c3-11f0-a28c-00155d82e908</v>
      </c>
    </row>
    <row r="1919" spans="1:19" s="2" customFormat="1" ht="96.2" customHeight="1" outlineLevel="7">
      <c r="A1919" s="53">
        <v>1503</v>
      </c>
      <c r="B1919" s="10" t="s">
        <v>6346</v>
      </c>
      <c r="C1919" s="65" t="s">
        <v>6347</v>
      </c>
      <c r="D1919" s="65"/>
      <c r="E1919" s="65"/>
      <c r="F1919" s="65"/>
      <c r="G1919" s="11" t="s">
        <v>6348</v>
      </c>
      <c r="H1919" s="14">
        <v>217</v>
      </c>
      <c r="I1919" s="15"/>
      <c r="J1919" s="9">
        <v>1</v>
      </c>
      <c r="K1919" s="22">
        <v>1501.19</v>
      </c>
      <c r="L1919" s="17"/>
      <c r="M1919" s="15">
        <f>K1919*L1919</f>
        <v>0</v>
      </c>
      <c r="N1919" s="18">
        <f>0.476*L1919</f>
        <v>0</v>
      </c>
      <c r="O1919" s="19">
        <f>0.00751*L1919</f>
        <v>0</v>
      </c>
      <c r="P1919" s="24" t="s">
        <v>26</v>
      </c>
      <c r="Q1919" s="15" t="s">
        <v>6349</v>
      </c>
      <c r="R1919" s="15"/>
      <c r="S1919" s="10" t="str">
        <f>HYPERLINK("https://miland.ru/api/getInfo/image/12e20d21-d5c4-11f0-a28c-00155d82e908")</f>
        <v>https://miland.ru/api/getInfo/image/12e20d21-d5c4-11f0-a28c-00155d82e908</v>
      </c>
    </row>
    <row r="1920" spans="1:19" s="2" customFormat="1" ht="96.2" customHeight="1" outlineLevel="7">
      <c r="A1920" s="53">
        <v>1504</v>
      </c>
      <c r="B1920" s="10" t="s">
        <v>6350</v>
      </c>
      <c r="C1920" s="65" t="s">
        <v>6351</v>
      </c>
      <c r="D1920" s="65"/>
      <c r="E1920" s="65"/>
      <c r="F1920" s="65"/>
      <c r="G1920" s="11" t="s">
        <v>6352</v>
      </c>
      <c r="H1920" s="14">
        <v>327</v>
      </c>
      <c r="I1920" s="15"/>
      <c r="J1920" s="9">
        <v>1</v>
      </c>
      <c r="K1920" s="22">
        <v>1249.51</v>
      </c>
      <c r="L1920" s="17"/>
      <c r="M1920" s="15">
        <f>K1920*L1920</f>
        <v>0</v>
      </c>
      <c r="N1920" s="18">
        <f>0.371*L1920</f>
        <v>0</v>
      </c>
      <c r="O1920" s="19">
        <f>0.00477*L1920</f>
        <v>0</v>
      </c>
      <c r="P1920" s="24" t="s">
        <v>26</v>
      </c>
      <c r="Q1920" s="15" t="s">
        <v>6353</v>
      </c>
      <c r="R1920" s="15"/>
      <c r="S1920" s="10" t="str">
        <f>HYPERLINK("https://miland.ru/api/getInfo/image/592a34f0-d5c3-11f0-a28c-00155d82e908")</f>
        <v>https://miland.ru/api/getInfo/image/592a34f0-d5c3-11f0-a28c-00155d82e908</v>
      </c>
    </row>
    <row r="1921" spans="1:19" s="2" customFormat="1" ht="96.2" customHeight="1" outlineLevel="7">
      <c r="A1921" s="53">
        <v>1505</v>
      </c>
      <c r="B1921" s="10" t="s">
        <v>6354</v>
      </c>
      <c r="C1921" s="65" t="s">
        <v>6355</v>
      </c>
      <c r="D1921" s="65"/>
      <c r="E1921" s="65"/>
      <c r="F1921" s="65"/>
      <c r="G1921" s="11" t="s">
        <v>6356</v>
      </c>
      <c r="H1921" s="14">
        <v>327</v>
      </c>
      <c r="I1921" s="15"/>
      <c r="J1921" s="9">
        <v>1</v>
      </c>
      <c r="K1921" s="22">
        <v>1249.4100000000001</v>
      </c>
      <c r="L1921" s="17"/>
      <c r="M1921" s="15">
        <f>K1921*L1921</f>
        <v>0</v>
      </c>
      <c r="N1921" s="18">
        <f>0.356*L1921</f>
        <v>0</v>
      </c>
      <c r="O1921" s="19">
        <f>0.00407*L1921</f>
        <v>0</v>
      </c>
      <c r="P1921" s="24" t="s">
        <v>26</v>
      </c>
      <c r="Q1921" s="15" t="s">
        <v>6357</v>
      </c>
      <c r="R1921" s="15"/>
      <c r="S1921" s="10" t="str">
        <f>HYPERLINK("https://miland.ru/api/getInfo/image/9d8a9743-d5c3-11f0-a28c-00155d82e908")</f>
        <v>https://miland.ru/api/getInfo/image/9d8a9743-d5c3-11f0-a28c-00155d82e908</v>
      </c>
    </row>
    <row r="1922" spans="1:19" s="1" customFormat="1" ht="12" customHeight="1" outlineLevel="6">
      <c r="A1922" s="64" t="s">
        <v>2832</v>
      </c>
      <c r="B1922" s="64"/>
      <c r="C1922" s="64"/>
      <c r="D1922" s="64"/>
      <c r="E1922" s="64"/>
      <c r="F1922" s="64"/>
      <c r="G1922" s="8"/>
      <c r="H1922" s="12"/>
      <c r="I1922" s="2"/>
      <c r="J1922" s="2"/>
      <c r="K1922" s="13"/>
      <c r="L1922" s="2"/>
      <c r="M1922" s="2"/>
      <c r="N1922" s="2"/>
      <c r="O1922" s="2"/>
      <c r="P1922" s="2"/>
      <c r="Q1922" s="2"/>
      <c r="R1922" s="2"/>
      <c r="S1922" s="2"/>
    </row>
    <row r="1923" spans="1:19" s="2" customFormat="1" ht="96.2" customHeight="1" outlineLevel="7">
      <c r="A1923" s="53">
        <v>1506</v>
      </c>
      <c r="B1923" s="10" t="s">
        <v>6358</v>
      </c>
      <c r="C1923" s="65" t="s">
        <v>6359</v>
      </c>
      <c r="D1923" s="65"/>
      <c r="E1923" s="65"/>
      <c r="F1923" s="65"/>
      <c r="G1923" s="11" t="s">
        <v>6360</v>
      </c>
      <c r="H1923" s="14">
        <v>362</v>
      </c>
      <c r="I1923" s="15"/>
      <c r="J1923" s="9">
        <v>1</v>
      </c>
      <c r="K1923" s="22">
        <v>1106.82</v>
      </c>
      <c r="L1923" s="17"/>
      <c r="M1923" s="15">
        <f>K1923*L1923</f>
        <v>0</v>
      </c>
      <c r="N1923" s="18">
        <f>0.166*L1923</f>
        <v>0</v>
      </c>
      <c r="O1923" s="19">
        <f>0.00531*L1923</f>
        <v>0</v>
      </c>
      <c r="P1923" s="24" t="s">
        <v>26</v>
      </c>
      <c r="Q1923" s="15" t="s">
        <v>6361</v>
      </c>
      <c r="R1923" s="15"/>
      <c r="S1923" s="10" t="str">
        <f>HYPERLINK("https://miland.ru/api/getInfo/image/e3e67a16-3e0b-11f1-a294-00155d82e908")</f>
        <v>https://miland.ru/api/getInfo/image/e3e67a16-3e0b-11f1-a294-00155d82e908</v>
      </c>
    </row>
    <row r="1924" spans="1:19" s="2" customFormat="1" ht="96.2" customHeight="1" outlineLevel="7">
      <c r="A1924" s="53">
        <v>1507</v>
      </c>
      <c r="B1924" s="10" t="s">
        <v>6362</v>
      </c>
      <c r="C1924" s="65" t="s">
        <v>6363</v>
      </c>
      <c r="D1924" s="65"/>
      <c r="E1924" s="65"/>
      <c r="F1924" s="65"/>
      <c r="G1924" s="11" t="s">
        <v>6364</v>
      </c>
      <c r="H1924" s="14">
        <v>356</v>
      </c>
      <c r="I1924" s="15"/>
      <c r="J1924" s="9">
        <v>1</v>
      </c>
      <c r="K1924" s="22">
        <v>1106.82</v>
      </c>
      <c r="L1924" s="17"/>
      <c r="M1924" s="15">
        <f>K1924*L1924</f>
        <v>0</v>
      </c>
      <c r="N1924" s="18">
        <f>0.192*L1924</f>
        <v>0</v>
      </c>
      <c r="O1924" s="18">
        <f>0.007*L1924</f>
        <v>0</v>
      </c>
      <c r="P1924" s="24" t="s">
        <v>26</v>
      </c>
      <c r="Q1924" s="15" t="s">
        <v>6365</v>
      </c>
      <c r="R1924" s="15"/>
      <c r="S1924" s="10" t="str">
        <f>HYPERLINK("https://miland.ru/api/getInfo/image/28808a47-3e0c-11f1-a294-00155d82e908")</f>
        <v>https://miland.ru/api/getInfo/image/28808a47-3e0c-11f1-a294-00155d82e908</v>
      </c>
    </row>
    <row r="1925" spans="1:19" s="1" customFormat="1" ht="12" customHeight="1" outlineLevel="6">
      <c r="A1925" s="64" t="s">
        <v>6366</v>
      </c>
      <c r="B1925" s="64"/>
      <c r="C1925" s="64"/>
      <c r="D1925" s="64"/>
      <c r="E1925" s="64"/>
      <c r="F1925" s="64"/>
      <c r="G1925" s="8"/>
      <c r="H1925" s="12"/>
      <c r="I1925" s="2"/>
      <c r="J1925" s="2"/>
      <c r="K1925" s="13"/>
      <c r="L1925" s="2"/>
      <c r="M1925" s="2"/>
      <c r="N1925" s="2"/>
      <c r="O1925" s="2"/>
      <c r="P1925" s="2"/>
      <c r="Q1925" s="2"/>
      <c r="R1925" s="2"/>
      <c r="S1925" s="2"/>
    </row>
    <row r="1926" spans="1:19" s="2" customFormat="1" ht="96.2" customHeight="1" outlineLevel="7">
      <c r="A1926" s="53">
        <v>1508</v>
      </c>
      <c r="B1926" s="10" t="s">
        <v>6367</v>
      </c>
      <c r="C1926" s="65" t="s">
        <v>6368</v>
      </c>
      <c r="D1926" s="65"/>
      <c r="E1926" s="65"/>
      <c r="F1926" s="65"/>
      <c r="G1926" s="11" t="s">
        <v>6369</v>
      </c>
      <c r="H1926" s="14">
        <v>254</v>
      </c>
      <c r="I1926" s="15"/>
      <c r="J1926" s="9">
        <v>1</v>
      </c>
      <c r="K1926" s="16">
        <v>553.41</v>
      </c>
      <c r="L1926" s="17"/>
      <c r="M1926" s="15">
        <f t="shared" ref="M1926:M1939" si="90">K1926*L1926</f>
        <v>0</v>
      </c>
      <c r="N1926" s="18">
        <f>0.187*L1926</f>
        <v>0</v>
      </c>
      <c r="O1926" s="20">
        <f>0.0079*L1926</f>
        <v>0</v>
      </c>
      <c r="P1926" s="24" t="s">
        <v>26</v>
      </c>
      <c r="Q1926" s="15" t="s">
        <v>6370</v>
      </c>
      <c r="R1926" s="15"/>
      <c r="S1926" s="10" t="str">
        <f>HYPERLINK("https://miland.ru/api/getInfo/image/122dc82d-3e0c-11f1-a294-00155d82e908")</f>
        <v>https://miland.ru/api/getInfo/image/122dc82d-3e0c-11f1-a294-00155d82e908</v>
      </c>
    </row>
    <row r="1927" spans="1:19" s="2" customFormat="1" ht="96.2" customHeight="1" outlineLevel="7">
      <c r="A1927" s="53">
        <v>1509</v>
      </c>
      <c r="B1927" s="10" t="s">
        <v>6371</v>
      </c>
      <c r="C1927" s="65" t="s">
        <v>6372</v>
      </c>
      <c r="D1927" s="65"/>
      <c r="E1927" s="65"/>
      <c r="F1927" s="65"/>
      <c r="G1927" s="11" t="s">
        <v>6373</v>
      </c>
      <c r="H1927" s="14">
        <v>299</v>
      </c>
      <c r="I1927" s="15"/>
      <c r="J1927" s="9">
        <v>1</v>
      </c>
      <c r="K1927" s="22">
        <v>1587.23</v>
      </c>
      <c r="L1927" s="17"/>
      <c r="M1927" s="15">
        <f t="shared" si="90"/>
        <v>0</v>
      </c>
      <c r="N1927" s="18">
        <f>0.425*L1927</f>
        <v>0</v>
      </c>
      <c r="O1927" s="19">
        <f>0.01204*L1927</f>
        <v>0</v>
      </c>
      <c r="P1927" s="24" t="s">
        <v>26</v>
      </c>
      <c r="Q1927" s="15" t="s">
        <v>6374</v>
      </c>
      <c r="R1927" s="15"/>
      <c r="S1927" s="10" t="str">
        <f>HYPERLINK("https://miland.ru/api/getInfo/image/bc5e874f-d5c5-11f0-a28c-00155d82e908")</f>
        <v>https://miland.ru/api/getInfo/image/bc5e874f-d5c5-11f0-a28c-00155d82e908</v>
      </c>
    </row>
    <row r="1928" spans="1:19" s="2" customFormat="1" ht="96.2" customHeight="1" outlineLevel="7">
      <c r="A1928" s="52">
        <v>1510</v>
      </c>
      <c r="B1928" s="26" t="s">
        <v>6375</v>
      </c>
      <c r="C1928" s="66" t="s">
        <v>6376</v>
      </c>
      <c r="D1928" s="66"/>
      <c r="E1928" s="66"/>
      <c r="F1928" s="66"/>
      <c r="G1928" s="27" t="s">
        <v>6377</v>
      </c>
      <c r="H1928" s="33">
        <v>52</v>
      </c>
      <c r="I1928" s="29"/>
      <c r="J1928" s="25">
        <v>1</v>
      </c>
      <c r="K1928" s="37">
        <v>1970.77</v>
      </c>
      <c r="L1928" s="17"/>
      <c r="M1928" s="29">
        <f t="shared" si="90"/>
        <v>0</v>
      </c>
      <c r="N1928" s="31">
        <f>0.561*L1928</f>
        <v>0</v>
      </c>
      <c r="O1928" s="32">
        <f>0.00709*L1928</f>
        <v>0</v>
      </c>
      <c r="P1928" s="36"/>
      <c r="Q1928" s="29" t="s">
        <v>6378</v>
      </c>
      <c r="R1928" s="29" t="s">
        <v>611</v>
      </c>
      <c r="S1928" s="26" t="str">
        <f>HYPERLINK("https://miland.ru/api/getInfo/image/d393ba95-c0da-11ee-a25a-00155d82e908")</f>
        <v>https://miland.ru/api/getInfo/image/d393ba95-c0da-11ee-a25a-00155d82e908</v>
      </c>
    </row>
    <row r="1929" spans="1:19" s="2" customFormat="1" ht="96.2" customHeight="1" outlineLevel="7">
      <c r="A1929" s="53">
        <v>1511</v>
      </c>
      <c r="B1929" s="10" t="s">
        <v>6379</v>
      </c>
      <c r="C1929" s="65" t="s">
        <v>6380</v>
      </c>
      <c r="D1929" s="65"/>
      <c r="E1929" s="65"/>
      <c r="F1929" s="65"/>
      <c r="G1929" s="11" t="s">
        <v>6381</v>
      </c>
      <c r="H1929" s="14">
        <v>324</v>
      </c>
      <c r="I1929" s="15"/>
      <c r="J1929" s="9">
        <v>1</v>
      </c>
      <c r="K1929" s="22">
        <v>1833.08</v>
      </c>
      <c r="L1929" s="17"/>
      <c r="M1929" s="15">
        <f t="shared" si="90"/>
        <v>0</v>
      </c>
      <c r="N1929" s="18">
        <f>0.482*L1929</f>
        <v>0</v>
      </c>
      <c r="O1929" s="19">
        <f>0.01101*L1929</f>
        <v>0</v>
      </c>
      <c r="P1929" s="24" t="s">
        <v>26</v>
      </c>
      <c r="Q1929" s="15" t="s">
        <v>6382</v>
      </c>
      <c r="R1929" s="15"/>
      <c r="S1929" s="10" t="str">
        <f>HYPERLINK("https://miland.ru/api/getInfo/image/8c63db70-d5bf-11f0-a28c-00155d82e908")</f>
        <v>https://miland.ru/api/getInfo/image/8c63db70-d5bf-11f0-a28c-00155d82e908</v>
      </c>
    </row>
    <row r="1930" spans="1:19" s="2" customFormat="1" ht="96.2" customHeight="1" outlineLevel="7">
      <c r="A1930" s="53">
        <v>1512</v>
      </c>
      <c r="B1930" s="10" t="s">
        <v>6383</v>
      </c>
      <c r="C1930" s="65" t="s">
        <v>6384</v>
      </c>
      <c r="D1930" s="65"/>
      <c r="E1930" s="65"/>
      <c r="F1930" s="65"/>
      <c r="G1930" s="11" t="s">
        <v>6385</v>
      </c>
      <c r="H1930" s="14">
        <v>411</v>
      </c>
      <c r="I1930" s="15"/>
      <c r="J1930" s="9">
        <v>1</v>
      </c>
      <c r="K1930" s="22">
        <v>1821.63</v>
      </c>
      <c r="L1930" s="17"/>
      <c r="M1930" s="15">
        <f t="shared" si="90"/>
        <v>0</v>
      </c>
      <c r="N1930" s="23">
        <f>0.45*L1930</f>
        <v>0</v>
      </c>
      <c r="O1930" s="19">
        <f>0.02151*L1930</f>
        <v>0</v>
      </c>
      <c r="P1930" s="24" t="s">
        <v>26</v>
      </c>
      <c r="Q1930" s="15" t="s">
        <v>6386</v>
      </c>
      <c r="R1930" s="15"/>
      <c r="S1930" s="10" t="str">
        <f>HYPERLINK("https://miland.ru/api/getInfo/image/bdfea502-d5c7-11f0-a28c-00155d82e908")</f>
        <v>https://miland.ru/api/getInfo/image/bdfea502-d5c7-11f0-a28c-00155d82e908</v>
      </c>
    </row>
    <row r="1931" spans="1:19" s="2" customFormat="1" ht="96.2" customHeight="1" outlineLevel="7">
      <c r="A1931" s="53">
        <v>1513</v>
      </c>
      <c r="B1931" s="10" t="s">
        <v>6387</v>
      </c>
      <c r="C1931" s="65" t="s">
        <v>6388</v>
      </c>
      <c r="D1931" s="65"/>
      <c r="E1931" s="65"/>
      <c r="F1931" s="65"/>
      <c r="G1931" s="11" t="s">
        <v>6389</v>
      </c>
      <c r="H1931" s="14">
        <v>418</v>
      </c>
      <c r="I1931" s="15"/>
      <c r="J1931" s="9">
        <v>1</v>
      </c>
      <c r="K1931" s="22">
        <v>1518.36</v>
      </c>
      <c r="L1931" s="17"/>
      <c r="M1931" s="15">
        <f t="shared" si="90"/>
        <v>0</v>
      </c>
      <c r="N1931" s="18">
        <f>0.555*L1931</f>
        <v>0</v>
      </c>
      <c r="O1931" s="19">
        <f>0.00803*L1931</f>
        <v>0</v>
      </c>
      <c r="P1931" s="24" t="s">
        <v>26</v>
      </c>
      <c r="Q1931" s="15" t="s">
        <v>6390</v>
      </c>
      <c r="R1931" s="15"/>
      <c r="S1931" s="10" t="str">
        <f>HYPERLINK("https://miland.ru/api/getInfo/image/886ba6d6-d5c7-11f0-a28c-00155d82e908")</f>
        <v>https://miland.ru/api/getInfo/image/886ba6d6-d5c7-11f0-a28c-00155d82e908</v>
      </c>
    </row>
    <row r="1932" spans="1:19" s="2" customFormat="1" ht="96.2" customHeight="1" outlineLevel="7">
      <c r="A1932" s="53">
        <v>1514</v>
      </c>
      <c r="B1932" s="10" t="s">
        <v>6391</v>
      </c>
      <c r="C1932" s="65" t="s">
        <v>6392</v>
      </c>
      <c r="D1932" s="65"/>
      <c r="E1932" s="65"/>
      <c r="F1932" s="65"/>
      <c r="G1932" s="11" t="s">
        <v>6393</v>
      </c>
      <c r="H1932" s="14">
        <v>313</v>
      </c>
      <c r="I1932" s="15"/>
      <c r="J1932" s="9">
        <v>1</v>
      </c>
      <c r="K1932" s="22">
        <v>1377.17</v>
      </c>
      <c r="L1932" s="17"/>
      <c r="M1932" s="15">
        <f t="shared" si="90"/>
        <v>0</v>
      </c>
      <c r="N1932" s="18">
        <f>0.721*L1932</f>
        <v>0</v>
      </c>
      <c r="O1932" s="19">
        <f>0.01653*L1932</f>
        <v>0</v>
      </c>
      <c r="P1932" s="24" t="s">
        <v>26</v>
      </c>
      <c r="Q1932" s="15" t="s">
        <v>6394</v>
      </c>
      <c r="R1932" s="15"/>
      <c r="S1932" s="10" t="str">
        <f>HYPERLINK("https://miland.ru/api/getInfo/image/32c8e53c-d5c0-11f0-a28c-00155d82e908")</f>
        <v>https://miland.ru/api/getInfo/image/32c8e53c-d5c0-11f0-a28c-00155d82e908</v>
      </c>
    </row>
    <row r="1933" spans="1:19" s="2" customFormat="1" ht="96.2" customHeight="1" outlineLevel="7">
      <c r="A1933" s="53">
        <v>1515</v>
      </c>
      <c r="B1933" s="10" t="s">
        <v>6395</v>
      </c>
      <c r="C1933" s="65" t="s">
        <v>6396</v>
      </c>
      <c r="D1933" s="65"/>
      <c r="E1933" s="65"/>
      <c r="F1933" s="65"/>
      <c r="G1933" s="11" t="s">
        <v>6397</v>
      </c>
      <c r="H1933" s="14">
        <v>325</v>
      </c>
      <c r="I1933" s="15"/>
      <c r="J1933" s="9">
        <v>1</v>
      </c>
      <c r="K1933" s="22">
        <v>1377.17</v>
      </c>
      <c r="L1933" s="17"/>
      <c r="M1933" s="15">
        <f t="shared" si="90"/>
        <v>0</v>
      </c>
      <c r="N1933" s="23">
        <f>0.73*L1933</f>
        <v>0</v>
      </c>
      <c r="O1933" s="19">
        <f>0.02089*L1933</f>
        <v>0</v>
      </c>
      <c r="P1933" s="24" t="s">
        <v>26</v>
      </c>
      <c r="Q1933" s="15" t="s">
        <v>6398</v>
      </c>
      <c r="R1933" s="15"/>
      <c r="S1933" s="10" t="str">
        <f>HYPERLINK("https://miland.ru/api/getInfo/image/f75252d8-d5bf-11f0-a28c-00155d82e908")</f>
        <v>https://miland.ru/api/getInfo/image/f75252d8-d5bf-11f0-a28c-00155d82e908</v>
      </c>
    </row>
    <row r="1934" spans="1:19" s="2" customFormat="1" ht="96.2" customHeight="1" outlineLevel="7">
      <c r="A1934" s="53">
        <v>1516</v>
      </c>
      <c r="B1934" s="10" t="s">
        <v>6399</v>
      </c>
      <c r="C1934" s="65" t="s">
        <v>6400</v>
      </c>
      <c r="D1934" s="65"/>
      <c r="E1934" s="65"/>
      <c r="F1934" s="65"/>
      <c r="G1934" s="11" t="s">
        <v>6401</v>
      </c>
      <c r="H1934" s="14">
        <v>391</v>
      </c>
      <c r="I1934" s="15"/>
      <c r="J1934" s="9">
        <v>1</v>
      </c>
      <c r="K1934" s="22">
        <v>1707.19</v>
      </c>
      <c r="L1934" s="17"/>
      <c r="M1934" s="15">
        <f t="shared" si="90"/>
        <v>0</v>
      </c>
      <c r="N1934" s="18">
        <f>0.487*L1934</f>
        <v>0</v>
      </c>
      <c r="O1934" s="19">
        <f>0.01464*L1934</f>
        <v>0</v>
      </c>
      <c r="P1934" s="24" t="s">
        <v>26</v>
      </c>
      <c r="Q1934" s="15" t="s">
        <v>6402</v>
      </c>
      <c r="R1934" s="15"/>
      <c r="S1934" s="10" t="str">
        <f>HYPERLINK("https://miland.ru/api/getInfo/image/4c8d040a-d5c7-11f0-a28c-00155d82e908")</f>
        <v>https://miland.ru/api/getInfo/image/4c8d040a-d5c7-11f0-a28c-00155d82e908</v>
      </c>
    </row>
    <row r="1935" spans="1:19" s="2" customFormat="1" ht="96.2" customHeight="1" outlineLevel="7">
      <c r="A1935" s="53">
        <v>1517</v>
      </c>
      <c r="B1935" s="10" t="s">
        <v>6403</v>
      </c>
      <c r="C1935" s="65" t="s">
        <v>6404</v>
      </c>
      <c r="D1935" s="65"/>
      <c r="E1935" s="65"/>
      <c r="F1935" s="65"/>
      <c r="G1935" s="11" t="s">
        <v>6405</v>
      </c>
      <c r="H1935" s="14">
        <v>337</v>
      </c>
      <c r="I1935" s="15"/>
      <c r="J1935" s="9">
        <v>1</v>
      </c>
      <c r="K1935" s="22">
        <v>1363.86</v>
      </c>
      <c r="L1935" s="17"/>
      <c r="M1935" s="15">
        <f t="shared" si="90"/>
        <v>0</v>
      </c>
      <c r="N1935" s="18">
        <f>0.438*L1935</f>
        <v>0</v>
      </c>
      <c r="O1935" s="19">
        <f>0.00579*L1935</f>
        <v>0</v>
      </c>
      <c r="P1935" s="24" t="s">
        <v>26</v>
      </c>
      <c r="Q1935" s="15" t="s">
        <v>6406</v>
      </c>
      <c r="R1935" s="15"/>
      <c r="S1935" s="10" t="str">
        <f>HYPERLINK("https://miland.ru/api/getInfo/image/f1eca372-d5c5-11f0-a28c-00155d82e908")</f>
        <v>https://miland.ru/api/getInfo/image/f1eca372-d5c5-11f0-a28c-00155d82e908</v>
      </c>
    </row>
    <row r="1936" spans="1:19" s="2" customFormat="1" ht="96.2" customHeight="1" outlineLevel="7">
      <c r="A1936" s="52">
        <v>1518</v>
      </c>
      <c r="B1936" s="26" t="s">
        <v>6407</v>
      </c>
      <c r="C1936" s="66" t="s">
        <v>6408</v>
      </c>
      <c r="D1936" s="66"/>
      <c r="E1936" s="66"/>
      <c r="F1936" s="66"/>
      <c r="G1936" s="27" t="s">
        <v>6409</v>
      </c>
      <c r="H1936" s="33">
        <v>64</v>
      </c>
      <c r="I1936" s="29"/>
      <c r="J1936" s="25">
        <v>1</v>
      </c>
      <c r="K1936" s="37">
        <v>1553.32</v>
      </c>
      <c r="L1936" s="17"/>
      <c r="M1936" s="29">
        <f t="shared" si="90"/>
        <v>0</v>
      </c>
      <c r="N1936" s="31">
        <f>0.416*L1936</f>
        <v>0</v>
      </c>
      <c r="O1936" s="32">
        <f>0.00566*L1936</f>
        <v>0</v>
      </c>
      <c r="P1936" s="36"/>
      <c r="Q1936" s="29" t="s">
        <v>6410</v>
      </c>
      <c r="R1936" s="29" t="s">
        <v>611</v>
      </c>
      <c r="S1936" s="26" t="str">
        <f>HYPERLINK("https://miland.ru/api/getInfo/image/a032177f-c0da-11ee-a25a-00155d82e908")</f>
        <v>https://miland.ru/api/getInfo/image/a032177f-c0da-11ee-a25a-00155d82e908</v>
      </c>
    </row>
    <row r="1937" spans="1:19" s="2" customFormat="1" ht="96.2" customHeight="1" outlineLevel="7">
      <c r="A1937" s="53">
        <v>1519</v>
      </c>
      <c r="B1937" s="10" t="s">
        <v>6411</v>
      </c>
      <c r="C1937" s="65" t="s">
        <v>6412</v>
      </c>
      <c r="D1937" s="65"/>
      <c r="E1937" s="65"/>
      <c r="F1937" s="65"/>
      <c r="G1937" s="11" t="s">
        <v>6413</v>
      </c>
      <c r="H1937" s="14">
        <v>358</v>
      </c>
      <c r="I1937" s="15"/>
      <c r="J1937" s="9">
        <v>1</v>
      </c>
      <c r="K1937" s="22">
        <v>1707.19</v>
      </c>
      <c r="L1937" s="17"/>
      <c r="M1937" s="15">
        <f t="shared" si="90"/>
        <v>0</v>
      </c>
      <c r="N1937" s="18">
        <f>0.472*L1937</f>
        <v>0</v>
      </c>
      <c r="O1937" s="19">
        <f>0.02011*L1937</f>
        <v>0</v>
      </c>
      <c r="P1937" s="24" t="s">
        <v>26</v>
      </c>
      <c r="Q1937" s="15" t="s">
        <v>6414</v>
      </c>
      <c r="R1937" s="15"/>
      <c r="S1937" s="10" t="str">
        <f>HYPERLINK("https://miland.ru/api/getInfo/image/13a81a63-d5c7-11f0-a28c-00155d82e908")</f>
        <v>https://miland.ru/api/getInfo/image/13a81a63-d5c7-11f0-a28c-00155d82e908</v>
      </c>
    </row>
    <row r="1938" spans="1:19" s="2" customFormat="1" ht="96.2" customHeight="1" outlineLevel="7">
      <c r="A1938" s="53">
        <v>1520</v>
      </c>
      <c r="B1938" s="10" t="s">
        <v>6415</v>
      </c>
      <c r="C1938" s="65" t="s">
        <v>6416</v>
      </c>
      <c r="D1938" s="65"/>
      <c r="E1938" s="65"/>
      <c r="F1938" s="65"/>
      <c r="G1938" s="11" t="s">
        <v>6417</v>
      </c>
      <c r="H1938" s="14">
        <v>258</v>
      </c>
      <c r="I1938" s="15"/>
      <c r="J1938" s="9">
        <v>1</v>
      </c>
      <c r="K1938" s="22">
        <v>1759.21</v>
      </c>
      <c r="L1938" s="17"/>
      <c r="M1938" s="15">
        <f t="shared" si="90"/>
        <v>0</v>
      </c>
      <c r="N1938" s="18">
        <f>0.933*L1938</f>
        <v>0</v>
      </c>
      <c r="O1938" s="19">
        <f>0.01078*L1938</f>
        <v>0</v>
      </c>
      <c r="P1938" s="24" t="s">
        <v>26</v>
      </c>
      <c r="Q1938" s="15" t="s">
        <v>6418</v>
      </c>
      <c r="R1938" s="15"/>
      <c r="S1938" s="10" t="str">
        <f>HYPERLINK("https://miland.ru/api/getInfo/image/00ec6063-d5c1-11f0-a28c-00155d82e908")</f>
        <v>https://miland.ru/api/getInfo/image/00ec6063-d5c1-11f0-a28c-00155d82e908</v>
      </c>
    </row>
    <row r="1939" spans="1:19" s="2" customFormat="1" ht="96.2" customHeight="1" outlineLevel="7">
      <c r="A1939" s="53">
        <v>1521</v>
      </c>
      <c r="B1939" s="10" t="s">
        <v>6419</v>
      </c>
      <c r="C1939" s="65" t="s">
        <v>6420</v>
      </c>
      <c r="D1939" s="65"/>
      <c r="E1939" s="65"/>
      <c r="F1939" s="65"/>
      <c r="G1939" s="11" t="s">
        <v>6421</v>
      </c>
      <c r="H1939" s="14">
        <v>336</v>
      </c>
      <c r="I1939" s="15"/>
      <c r="J1939" s="9">
        <v>1</v>
      </c>
      <c r="K1939" s="22">
        <v>1759.21</v>
      </c>
      <c r="L1939" s="17"/>
      <c r="M1939" s="15">
        <f t="shared" si="90"/>
        <v>0</v>
      </c>
      <c r="N1939" s="18">
        <f>0.943*L1939</f>
        <v>0</v>
      </c>
      <c r="O1939" s="19">
        <f>0.01982*L1939</f>
        <v>0</v>
      </c>
      <c r="P1939" s="24" t="s">
        <v>26</v>
      </c>
      <c r="Q1939" s="15" t="s">
        <v>6422</v>
      </c>
      <c r="R1939" s="15"/>
      <c r="S1939" s="10" t="str">
        <f>HYPERLINK("https://miland.ru/api/getInfo/image/a8dce5ab-d5c0-11f0-a28c-00155d82e908")</f>
        <v>https://miland.ru/api/getInfo/image/a8dce5ab-d5c0-11f0-a28c-00155d82e908</v>
      </c>
    </row>
    <row r="1940" spans="1:19" s="1" customFormat="1" ht="12" customHeight="1" outlineLevel="6">
      <c r="A1940" s="64" t="s">
        <v>6423</v>
      </c>
      <c r="B1940" s="64"/>
      <c r="C1940" s="64"/>
      <c r="D1940" s="64"/>
      <c r="E1940" s="64"/>
      <c r="F1940" s="64"/>
      <c r="G1940" s="8"/>
      <c r="H1940" s="12"/>
      <c r="I1940" s="2"/>
      <c r="J1940" s="2"/>
      <c r="K1940" s="13"/>
      <c r="L1940" s="2"/>
      <c r="M1940" s="2"/>
      <c r="N1940" s="2"/>
      <c r="O1940" s="2"/>
      <c r="P1940" s="2"/>
      <c r="Q1940" s="2"/>
      <c r="R1940" s="2"/>
      <c r="S1940" s="2"/>
    </row>
    <row r="1941" spans="1:19" s="2" customFormat="1" ht="96.2" customHeight="1" outlineLevel="7">
      <c r="A1941" s="53">
        <v>1522</v>
      </c>
      <c r="B1941" s="10" t="s">
        <v>6424</v>
      </c>
      <c r="C1941" s="65" t="s">
        <v>6425</v>
      </c>
      <c r="D1941" s="65"/>
      <c r="E1941" s="65"/>
      <c r="F1941" s="65"/>
      <c r="G1941" s="11" t="s">
        <v>6426</v>
      </c>
      <c r="H1941" s="14">
        <v>153</v>
      </c>
      <c r="I1941" s="15"/>
      <c r="J1941" s="9">
        <v>1</v>
      </c>
      <c r="K1941" s="16">
        <v>553.41</v>
      </c>
      <c r="L1941" s="17"/>
      <c r="M1941" s="15">
        <f>K1941*L1941</f>
        <v>0</v>
      </c>
      <c r="N1941" s="18">
        <f>0.175*L1941</f>
        <v>0</v>
      </c>
      <c r="O1941" s="19">
        <f>0.00507*L1941</f>
        <v>0</v>
      </c>
      <c r="P1941" s="24" t="s">
        <v>26</v>
      </c>
      <c r="Q1941" s="15" t="s">
        <v>6427</v>
      </c>
      <c r="R1941" s="15"/>
      <c r="S1941" s="10" t="str">
        <f>HYPERLINK("https://miland.ru/api/getInfo/image/fd331caf-3e0b-11f1-a294-00155d82e908")</f>
        <v>https://miland.ru/api/getInfo/image/fd331caf-3e0b-11f1-a294-00155d82e908</v>
      </c>
    </row>
    <row r="1942" spans="1:19" s="2" customFormat="1" ht="96.2" customHeight="1" outlineLevel="7">
      <c r="A1942" s="52">
        <v>1523</v>
      </c>
      <c r="B1942" s="26" t="s">
        <v>6428</v>
      </c>
      <c r="C1942" s="66" t="s">
        <v>6429</v>
      </c>
      <c r="D1942" s="66"/>
      <c r="E1942" s="66"/>
      <c r="F1942" s="66"/>
      <c r="G1942" s="27" t="s">
        <v>6430</v>
      </c>
      <c r="H1942" s="33">
        <v>18</v>
      </c>
      <c r="I1942" s="29"/>
      <c r="J1942" s="25">
        <v>1</v>
      </c>
      <c r="K1942" s="37">
        <v>2132</v>
      </c>
      <c r="L1942" s="17"/>
      <c r="M1942" s="29">
        <f>K1942*L1942</f>
        <v>0</v>
      </c>
      <c r="N1942" s="31">
        <f>0.487*L1942</f>
        <v>0</v>
      </c>
      <c r="O1942" s="32">
        <f>0.00841*L1942</f>
        <v>0</v>
      </c>
      <c r="P1942" s="36"/>
      <c r="Q1942" s="29" t="s">
        <v>6431</v>
      </c>
      <c r="R1942" s="29" t="s">
        <v>611</v>
      </c>
      <c r="S1942" s="26" t="str">
        <f>HYPERLINK("https://miland.ru/api/getInfo/image/b055c708-f89a-11ee-a25d-00155d82e908")</f>
        <v>https://miland.ru/api/getInfo/image/b055c708-f89a-11ee-a25d-00155d82e908</v>
      </c>
    </row>
    <row r="1943" spans="1:19" s="2" customFormat="1" ht="96.2" customHeight="1" outlineLevel="7">
      <c r="A1943" s="52">
        <v>1524</v>
      </c>
      <c r="B1943" s="26" t="s">
        <v>6432</v>
      </c>
      <c r="C1943" s="66" t="s">
        <v>6433</v>
      </c>
      <c r="D1943" s="66"/>
      <c r="E1943" s="66"/>
      <c r="F1943" s="66"/>
      <c r="G1943" s="27" t="s">
        <v>6434</v>
      </c>
      <c r="H1943" s="33">
        <v>6</v>
      </c>
      <c r="I1943" s="29"/>
      <c r="J1943" s="25">
        <v>1</v>
      </c>
      <c r="K1943" s="37">
        <v>2132</v>
      </c>
      <c r="L1943" s="17"/>
      <c r="M1943" s="29">
        <f>K1943*L1943</f>
        <v>0</v>
      </c>
      <c r="N1943" s="34">
        <f>0.49*L1943</f>
        <v>0</v>
      </c>
      <c r="O1943" s="32">
        <f>0.00633*L1943</f>
        <v>0</v>
      </c>
      <c r="P1943" s="36"/>
      <c r="Q1943" s="29" t="s">
        <v>6435</v>
      </c>
      <c r="R1943" s="29" t="s">
        <v>611</v>
      </c>
      <c r="S1943" s="26" t="str">
        <f>HYPERLINK("https://miland.ru/api/getInfo/image/96e6862e-f89a-11ee-a25d-00155d82e908")</f>
        <v>https://miland.ru/api/getInfo/image/96e6862e-f89a-11ee-a25d-00155d82e908</v>
      </c>
    </row>
    <row r="1944" spans="1:19" s="2" customFormat="1" ht="96.2" customHeight="1" outlineLevel="7">
      <c r="A1944" s="52">
        <v>1525</v>
      </c>
      <c r="B1944" s="26" t="s">
        <v>6436</v>
      </c>
      <c r="C1944" s="66" t="s">
        <v>6437</v>
      </c>
      <c r="D1944" s="66"/>
      <c r="E1944" s="66"/>
      <c r="F1944" s="66"/>
      <c r="G1944" s="27" t="s">
        <v>6438</v>
      </c>
      <c r="H1944" s="33">
        <v>2</v>
      </c>
      <c r="I1944" s="29"/>
      <c r="J1944" s="25">
        <v>1</v>
      </c>
      <c r="K1944" s="37">
        <v>1812.2</v>
      </c>
      <c r="L1944" s="17"/>
      <c r="M1944" s="29">
        <f>K1944*L1944</f>
        <v>0</v>
      </c>
      <c r="N1944" s="31">
        <f>0.522*L1944</f>
        <v>0</v>
      </c>
      <c r="O1944" s="32">
        <f>0.00826*L1944</f>
        <v>0</v>
      </c>
      <c r="P1944" s="36"/>
      <c r="Q1944" s="29" t="s">
        <v>6439</v>
      </c>
      <c r="R1944" s="29" t="s">
        <v>611</v>
      </c>
      <c r="S1944" s="26" t="str">
        <f>HYPERLINK("https://miland.ru/api/getInfo/image/0b1ef859-f89b-11ee-a25d-00155d82e908")</f>
        <v>https://miland.ru/api/getInfo/image/0b1ef859-f89b-11ee-a25d-00155d82e908</v>
      </c>
    </row>
    <row r="1945" spans="1:19" s="1" customFormat="1" ht="12" customHeight="1" outlineLevel="6">
      <c r="A1945" s="64" t="s">
        <v>6440</v>
      </c>
      <c r="B1945" s="64"/>
      <c r="C1945" s="64"/>
      <c r="D1945" s="64"/>
      <c r="E1945" s="64"/>
      <c r="F1945" s="64"/>
      <c r="G1945" s="8"/>
      <c r="H1945" s="12"/>
      <c r="I1945" s="2"/>
      <c r="J1945" s="2"/>
      <c r="K1945" s="13"/>
      <c r="L1945" s="2"/>
      <c r="M1945" s="2"/>
      <c r="N1945" s="2"/>
      <c r="O1945" s="2"/>
      <c r="P1945" s="2"/>
      <c r="Q1945" s="2"/>
      <c r="R1945" s="2"/>
      <c r="S1945" s="2"/>
    </row>
    <row r="1946" spans="1:19" s="2" customFormat="1" ht="96.2" customHeight="1" outlineLevel="7">
      <c r="A1946" s="53">
        <v>1526</v>
      </c>
      <c r="B1946" s="10" t="s">
        <v>6441</v>
      </c>
      <c r="C1946" s="65" t="s">
        <v>6442</v>
      </c>
      <c r="D1946" s="65"/>
      <c r="E1946" s="65"/>
      <c r="F1946" s="65"/>
      <c r="G1946" s="11" t="s">
        <v>6443</v>
      </c>
      <c r="H1946" s="14">
        <v>309</v>
      </c>
      <c r="I1946" s="15"/>
      <c r="J1946" s="9">
        <v>1</v>
      </c>
      <c r="K1946" s="22">
        <v>1363.86</v>
      </c>
      <c r="L1946" s="17"/>
      <c r="M1946" s="15">
        <f>K1946*L1946</f>
        <v>0</v>
      </c>
      <c r="N1946" s="18">
        <f>0.562*L1946</f>
        <v>0</v>
      </c>
      <c r="O1946" s="19">
        <f>0.00866*L1946</f>
        <v>0</v>
      </c>
      <c r="P1946" s="24" t="s">
        <v>26</v>
      </c>
      <c r="Q1946" s="15" t="s">
        <v>6444</v>
      </c>
      <c r="R1946" s="15"/>
      <c r="S1946" s="10" t="str">
        <f>HYPERLINK("https://miland.ru/api/getInfo/image/cc142a03-d5c6-11f0-a28c-00155d82e908")</f>
        <v>https://miland.ru/api/getInfo/image/cc142a03-d5c6-11f0-a28c-00155d82e908</v>
      </c>
    </row>
    <row r="1947" spans="1:19" s="1" customFormat="1" ht="12" customHeight="1" outlineLevel="6">
      <c r="A1947" s="64" t="s">
        <v>6445</v>
      </c>
      <c r="B1947" s="64"/>
      <c r="C1947" s="64"/>
      <c r="D1947" s="64"/>
      <c r="E1947" s="64"/>
      <c r="F1947" s="64"/>
      <c r="G1947" s="8"/>
      <c r="H1947" s="12"/>
      <c r="I1947" s="2"/>
      <c r="J1947" s="2"/>
      <c r="K1947" s="13"/>
      <c r="L1947" s="2"/>
      <c r="M1947" s="2"/>
      <c r="N1947" s="2"/>
      <c r="O1947" s="2"/>
      <c r="P1947" s="2"/>
      <c r="Q1947" s="2"/>
      <c r="R1947" s="2"/>
      <c r="S1947" s="2"/>
    </row>
    <row r="1948" spans="1:19" s="2" customFormat="1" ht="96.2" customHeight="1" outlineLevel="7">
      <c r="A1948" s="52">
        <v>1527</v>
      </c>
      <c r="B1948" s="26" t="s">
        <v>6446</v>
      </c>
      <c r="C1948" s="66" t="s">
        <v>6447</v>
      </c>
      <c r="D1948" s="66"/>
      <c r="E1948" s="66"/>
      <c r="F1948" s="66"/>
      <c r="G1948" s="27" t="s">
        <v>6448</v>
      </c>
      <c r="H1948" s="33">
        <v>93</v>
      </c>
      <c r="I1948" s="29"/>
      <c r="J1948" s="25">
        <v>1</v>
      </c>
      <c r="K1948" s="37">
        <v>1700.92</v>
      </c>
      <c r="L1948" s="17"/>
      <c r="M1948" s="29">
        <f>K1948*L1948</f>
        <v>0</v>
      </c>
      <c r="N1948" s="31">
        <f>0.429*L1948</f>
        <v>0</v>
      </c>
      <c r="O1948" s="32">
        <f>0.00705*L1948</f>
        <v>0</v>
      </c>
      <c r="P1948" s="36"/>
      <c r="Q1948" s="29" t="s">
        <v>6449</v>
      </c>
      <c r="R1948" s="29" t="s">
        <v>611</v>
      </c>
      <c r="S1948" s="26" t="str">
        <f>HYPERLINK("https://miland.ru/api/getInfo/image/3f35cf22-f89b-11ee-a25d-00155d82e908")</f>
        <v>https://miland.ru/api/getInfo/image/3f35cf22-f89b-11ee-a25d-00155d82e908</v>
      </c>
    </row>
    <row r="1949" spans="1:19" s="2" customFormat="1" ht="96.2" customHeight="1" outlineLevel="7">
      <c r="A1949" s="52">
        <v>1528</v>
      </c>
      <c r="B1949" s="26" t="s">
        <v>6450</v>
      </c>
      <c r="C1949" s="66" t="s">
        <v>6451</v>
      </c>
      <c r="D1949" s="66"/>
      <c r="E1949" s="66"/>
      <c r="F1949" s="66"/>
      <c r="G1949" s="27" t="s">
        <v>6452</v>
      </c>
      <c r="H1949" s="33">
        <v>134</v>
      </c>
      <c r="I1949" s="29"/>
      <c r="J1949" s="25">
        <v>1</v>
      </c>
      <c r="K1949" s="37">
        <v>1700.92</v>
      </c>
      <c r="L1949" s="17"/>
      <c r="M1949" s="29">
        <f>K1949*L1949</f>
        <v>0</v>
      </c>
      <c r="N1949" s="31">
        <f>0.426*L1949</f>
        <v>0</v>
      </c>
      <c r="O1949" s="32">
        <f>0.00562*L1949</f>
        <v>0</v>
      </c>
      <c r="P1949" s="36"/>
      <c r="Q1949" s="29" t="s">
        <v>6453</v>
      </c>
      <c r="R1949" s="29" t="s">
        <v>611</v>
      </c>
      <c r="S1949" s="26" t="str">
        <f>HYPERLINK("https://miland.ru/api/getInfo/image/29175441-f89b-11ee-a25d-00155d82e908")</f>
        <v>https://miland.ru/api/getInfo/image/29175441-f89b-11ee-a25d-00155d82e908</v>
      </c>
    </row>
    <row r="1950" spans="1:19" s="2" customFormat="1" ht="96.2" customHeight="1" outlineLevel="7">
      <c r="A1950" s="52">
        <v>1529</v>
      </c>
      <c r="B1950" s="26" t="s">
        <v>6454</v>
      </c>
      <c r="C1950" s="66" t="s">
        <v>6455</v>
      </c>
      <c r="D1950" s="66"/>
      <c r="E1950" s="66"/>
      <c r="F1950" s="66"/>
      <c r="G1950" s="27" t="s">
        <v>6456</v>
      </c>
      <c r="H1950" s="33">
        <v>74</v>
      </c>
      <c r="I1950" s="29"/>
      <c r="J1950" s="25">
        <v>1</v>
      </c>
      <c r="K1950" s="37">
        <v>1889.88</v>
      </c>
      <c r="L1950" s="17"/>
      <c r="M1950" s="29">
        <f>K1950*L1950</f>
        <v>0</v>
      </c>
      <c r="N1950" s="31">
        <f>0.286*L1950</f>
        <v>0</v>
      </c>
      <c r="O1950" s="32">
        <f>0.00612*L1950</f>
        <v>0</v>
      </c>
      <c r="P1950" s="36"/>
      <c r="Q1950" s="29" t="s">
        <v>6457</v>
      </c>
      <c r="R1950" s="29" t="s">
        <v>611</v>
      </c>
      <c r="S1950" s="26" t="str">
        <f>HYPERLINK("https://miland.ru/api/getInfo/image/0442ace2-f89e-11ee-a25d-00155d82e908")</f>
        <v>https://miland.ru/api/getInfo/image/0442ace2-f89e-11ee-a25d-00155d82e908</v>
      </c>
    </row>
    <row r="1951" spans="1:19" s="2" customFormat="1" ht="96.2" customHeight="1" outlineLevel="7">
      <c r="A1951" s="52">
        <v>1530</v>
      </c>
      <c r="B1951" s="26" t="s">
        <v>6458</v>
      </c>
      <c r="C1951" s="66" t="s">
        <v>6459</v>
      </c>
      <c r="D1951" s="66"/>
      <c r="E1951" s="66"/>
      <c r="F1951" s="66"/>
      <c r="G1951" s="27" t="s">
        <v>6460</v>
      </c>
      <c r="H1951" s="33">
        <v>80</v>
      </c>
      <c r="I1951" s="29"/>
      <c r="J1951" s="25">
        <v>1</v>
      </c>
      <c r="K1951" s="37">
        <v>1700.92</v>
      </c>
      <c r="L1951" s="17"/>
      <c r="M1951" s="29">
        <f>K1951*L1951</f>
        <v>0</v>
      </c>
      <c r="N1951" s="31">
        <f>0.411*L1951</f>
        <v>0</v>
      </c>
      <c r="O1951" s="32">
        <f>0.00733*L1951</f>
        <v>0</v>
      </c>
      <c r="P1951" s="36"/>
      <c r="Q1951" s="29" t="s">
        <v>6461</v>
      </c>
      <c r="R1951" s="29" t="s">
        <v>611</v>
      </c>
      <c r="S1951" s="26" t="str">
        <f>HYPERLINK("https://miland.ru/api/getInfo/image/202e8e25-f89e-11ee-a25d-00155d82e908")</f>
        <v>https://miland.ru/api/getInfo/image/202e8e25-f89e-11ee-a25d-00155d82e908</v>
      </c>
    </row>
    <row r="1952" spans="1:19" s="1" customFormat="1" ht="12" customHeight="1" outlineLevel="6">
      <c r="A1952" s="64" t="s">
        <v>6462</v>
      </c>
      <c r="B1952" s="64"/>
      <c r="C1952" s="64"/>
      <c r="D1952" s="64"/>
      <c r="E1952" s="64"/>
      <c r="F1952" s="64"/>
      <c r="G1952" s="8"/>
      <c r="H1952" s="12"/>
      <c r="I1952" s="2"/>
      <c r="J1952" s="2"/>
      <c r="K1952" s="13"/>
      <c r="L1952" s="2"/>
      <c r="M1952" s="2"/>
      <c r="N1952" s="2"/>
      <c r="O1952" s="2"/>
      <c r="P1952" s="2"/>
      <c r="Q1952" s="2"/>
      <c r="R1952" s="2"/>
      <c r="S1952" s="2"/>
    </row>
    <row r="1953" spans="1:19" s="2" customFormat="1" ht="96.2" customHeight="1" outlineLevel="7">
      <c r="A1953" s="53">
        <v>1531</v>
      </c>
      <c r="B1953" s="10" t="s">
        <v>6463</v>
      </c>
      <c r="C1953" s="65" t="s">
        <v>6464</v>
      </c>
      <c r="D1953" s="65"/>
      <c r="E1953" s="65"/>
      <c r="F1953" s="65"/>
      <c r="G1953" s="11" t="s">
        <v>6465</v>
      </c>
      <c r="H1953" s="14">
        <v>225</v>
      </c>
      <c r="I1953" s="15"/>
      <c r="J1953" s="9">
        <v>1</v>
      </c>
      <c r="K1953" s="16">
        <v>906.08</v>
      </c>
      <c r="L1953" s="17"/>
      <c r="M1953" s="15">
        <f t="shared" ref="M1953:M1964" si="91">K1953*L1953</f>
        <v>0</v>
      </c>
      <c r="N1953" s="18">
        <f>0.285*L1953</f>
        <v>0</v>
      </c>
      <c r="O1953" s="18">
        <f>0.002*L1953</f>
        <v>0</v>
      </c>
      <c r="P1953" s="24" t="s">
        <v>26</v>
      </c>
      <c r="Q1953" s="15" t="s">
        <v>6466</v>
      </c>
      <c r="R1953" s="15"/>
      <c r="S1953" s="10" t="str">
        <f>HYPERLINK("https://miland.ru/api/getInfo/image/31f96165-d5c6-11f0-a28c-00155d82e908")</f>
        <v>https://miland.ru/api/getInfo/image/31f96165-d5c6-11f0-a28c-00155d82e908</v>
      </c>
    </row>
    <row r="1954" spans="1:19" s="2" customFormat="1" ht="96.2" customHeight="1" outlineLevel="7">
      <c r="A1954" s="52">
        <v>1532</v>
      </c>
      <c r="B1954" s="26" t="s">
        <v>6467</v>
      </c>
      <c r="C1954" s="66" t="s">
        <v>6468</v>
      </c>
      <c r="D1954" s="66"/>
      <c r="E1954" s="66"/>
      <c r="F1954" s="66"/>
      <c r="G1954" s="27" t="s">
        <v>6469</v>
      </c>
      <c r="H1954" s="33">
        <v>9</v>
      </c>
      <c r="I1954" s="29"/>
      <c r="J1954" s="25">
        <v>1</v>
      </c>
      <c r="K1954" s="37">
        <v>1972.1</v>
      </c>
      <c r="L1954" s="17"/>
      <c r="M1954" s="29">
        <f t="shared" si="91"/>
        <v>0</v>
      </c>
      <c r="N1954" s="31">
        <f>0.151*L1954</f>
        <v>0</v>
      </c>
      <c r="O1954" s="32">
        <f>0.00653*L1954</f>
        <v>0</v>
      </c>
      <c r="P1954" s="36"/>
      <c r="Q1954" s="29" t="s">
        <v>6470</v>
      </c>
      <c r="R1954" s="29" t="s">
        <v>611</v>
      </c>
      <c r="S1954" s="26" t="str">
        <f>HYPERLINK("https://miland.ru/api/getInfo/image/9b0b5e6c-f897-11ee-a25d-00155d82e908")</f>
        <v>https://miland.ru/api/getInfo/image/9b0b5e6c-f897-11ee-a25d-00155d82e908</v>
      </c>
    </row>
    <row r="1955" spans="1:19" s="2" customFormat="1" ht="96.2" customHeight="1" outlineLevel="7">
      <c r="A1955" s="52">
        <v>1533</v>
      </c>
      <c r="B1955" s="26" t="s">
        <v>6471</v>
      </c>
      <c r="C1955" s="66" t="s">
        <v>6472</v>
      </c>
      <c r="D1955" s="66"/>
      <c r="E1955" s="66"/>
      <c r="F1955" s="66"/>
      <c r="G1955" s="27" t="s">
        <v>6473</v>
      </c>
      <c r="H1955" s="33">
        <v>3</v>
      </c>
      <c r="I1955" s="29"/>
      <c r="J1955" s="25">
        <v>1</v>
      </c>
      <c r="K1955" s="37">
        <v>1748.15</v>
      </c>
      <c r="L1955" s="17"/>
      <c r="M1955" s="29">
        <f t="shared" si="91"/>
        <v>0</v>
      </c>
      <c r="N1955" s="31">
        <f>0.159*L1955</f>
        <v>0</v>
      </c>
      <c r="O1955" s="32">
        <f>0.00489*L1955</f>
        <v>0</v>
      </c>
      <c r="P1955" s="36"/>
      <c r="Q1955" s="29" t="s">
        <v>6474</v>
      </c>
      <c r="R1955" s="29" t="s">
        <v>611</v>
      </c>
      <c r="S1955" s="26" t="str">
        <f>HYPERLINK("https://miland.ru/api/getInfo/image/e1b46af0-f897-11ee-a25d-00155d82e908")</f>
        <v>https://miland.ru/api/getInfo/image/e1b46af0-f897-11ee-a25d-00155d82e908</v>
      </c>
    </row>
    <row r="1956" spans="1:19" s="2" customFormat="1" ht="96.2" customHeight="1" outlineLevel="7">
      <c r="A1956" s="52">
        <v>1534</v>
      </c>
      <c r="B1956" s="26" t="s">
        <v>6475</v>
      </c>
      <c r="C1956" s="66" t="s">
        <v>6476</v>
      </c>
      <c r="D1956" s="66"/>
      <c r="E1956" s="66"/>
      <c r="F1956" s="66"/>
      <c r="G1956" s="27" t="s">
        <v>6477</v>
      </c>
      <c r="H1956" s="33">
        <v>7</v>
      </c>
      <c r="I1956" s="29"/>
      <c r="J1956" s="25">
        <v>1</v>
      </c>
      <c r="K1956" s="37">
        <v>1748.15</v>
      </c>
      <c r="L1956" s="17"/>
      <c r="M1956" s="29">
        <f t="shared" si="91"/>
        <v>0</v>
      </c>
      <c r="N1956" s="31">
        <f>0.158*L1956</f>
        <v>0</v>
      </c>
      <c r="O1956" s="32">
        <f>0.00635*L1956</f>
        <v>0</v>
      </c>
      <c r="P1956" s="36"/>
      <c r="Q1956" s="29" t="s">
        <v>6478</v>
      </c>
      <c r="R1956" s="29" t="s">
        <v>611</v>
      </c>
      <c r="S1956" s="26" t="str">
        <f>HYPERLINK("https://miland.ru/api/getInfo/image/fcb442e6-f897-11ee-a25d-00155d82e908")</f>
        <v>https://miland.ru/api/getInfo/image/fcb442e6-f897-11ee-a25d-00155d82e908</v>
      </c>
    </row>
    <row r="1957" spans="1:19" s="2" customFormat="1" ht="96.2" customHeight="1" outlineLevel="7">
      <c r="A1957" s="52">
        <v>1535</v>
      </c>
      <c r="B1957" s="26" t="s">
        <v>6479</v>
      </c>
      <c r="C1957" s="66" t="s">
        <v>6480</v>
      </c>
      <c r="D1957" s="66"/>
      <c r="E1957" s="66"/>
      <c r="F1957" s="66"/>
      <c r="G1957" s="27" t="s">
        <v>6481</v>
      </c>
      <c r="H1957" s="33">
        <v>24</v>
      </c>
      <c r="I1957" s="29"/>
      <c r="J1957" s="25">
        <v>1</v>
      </c>
      <c r="K1957" s="37">
        <v>1949.25</v>
      </c>
      <c r="L1957" s="17"/>
      <c r="M1957" s="29">
        <f t="shared" si="91"/>
        <v>0</v>
      </c>
      <c r="N1957" s="31">
        <f>0.305*L1957</f>
        <v>0</v>
      </c>
      <c r="O1957" s="32">
        <f>0.00521*L1957</f>
        <v>0</v>
      </c>
      <c r="P1957" s="36"/>
      <c r="Q1957" s="29" t="s">
        <v>6482</v>
      </c>
      <c r="R1957" s="29" t="s">
        <v>611</v>
      </c>
      <c r="S1957" s="26" t="str">
        <f>HYPERLINK("https://miland.ru/api/getInfo/image/d236535f-c65b-11ee-a25a-00155d82e908")</f>
        <v>https://miland.ru/api/getInfo/image/d236535f-c65b-11ee-a25a-00155d82e908</v>
      </c>
    </row>
    <row r="1958" spans="1:19" s="2" customFormat="1" ht="96.2" customHeight="1" outlineLevel="7">
      <c r="A1958" s="52">
        <v>1536</v>
      </c>
      <c r="B1958" s="26" t="s">
        <v>6483</v>
      </c>
      <c r="C1958" s="66" t="s">
        <v>6484</v>
      </c>
      <c r="D1958" s="66"/>
      <c r="E1958" s="66"/>
      <c r="F1958" s="66"/>
      <c r="G1958" s="27" t="s">
        <v>6485</v>
      </c>
      <c r="H1958" s="33">
        <v>59</v>
      </c>
      <c r="I1958" s="29"/>
      <c r="J1958" s="25">
        <v>1</v>
      </c>
      <c r="K1958" s="37">
        <v>1949.25</v>
      </c>
      <c r="L1958" s="17"/>
      <c r="M1958" s="29">
        <f t="shared" si="91"/>
        <v>0</v>
      </c>
      <c r="N1958" s="31">
        <f>0.332*L1958</f>
        <v>0</v>
      </c>
      <c r="O1958" s="32">
        <f>0.00494*L1958</f>
        <v>0</v>
      </c>
      <c r="P1958" s="36"/>
      <c r="Q1958" s="29" t="s">
        <v>6486</v>
      </c>
      <c r="R1958" s="29"/>
      <c r="S1958" s="26" t="str">
        <f>HYPERLINK("https://miland.ru/api/getInfo/image/ba1279d3-c65b-11ee-a25a-00155d82e908")</f>
        <v>https://miland.ru/api/getInfo/image/ba1279d3-c65b-11ee-a25a-00155d82e908</v>
      </c>
    </row>
    <row r="1959" spans="1:19" s="2" customFormat="1" ht="96.2" customHeight="1" outlineLevel="7">
      <c r="A1959" s="53">
        <v>1537</v>
      </c>
      <c r="B1959" s="10" t="s">
        <v>6487</v>
      </c>
      <c r="C1959" s="65" t="s">
        <v>6488</v>
      </c>
      <c r="D1959" s="65"/>
      <c r="E1959" s="65"/>
      <c r="F1959" s="65"/>
      <c r="G1959" s="11" t="s">
        <v>6489</v>
      </c>
      <c r="H1959" s="14">
        <v>176</v>
      </c>
      <c r="I1959" s="15"/>
      <c r="J1959" s="9">
        <v>1</v>
      </c>
      <c r="K1959" s="22">
        <v>1626.91</v>
      </c>
      <c r="L1959" s="17"/>
      <c r="M1959" s="15">
        <f t="shared" si="91"/>
        <v>0</v>
      </c>
      <c r="N1959" s="18">
        <f>0.344*L1959</f>
        <v>0</v>
      </c>
      <c r="O1959" s="19">
        <f>0.00449*L1959</f>
        <v>0</v>
      </c>
      <c r="P1959" s="24" t="s">
        <v>26</v>
      </c>
      <c r="Q1959" s="15" t="s">
        <v>6490</v>
      </c>
      <c r="R1959" s="15"/>
      <c r="S1959" s="10" t="str">
        <f>HYPERLINK("https://miland.ru/api/getInfo/image/e28a563a-e0c1-11f0-a28c-00155d82e908")</f>
        <v>https://miland.ru/api/getInfo/image/e28a563a-e0c1-11f0-a28c-00155d82e908</v>
      </c>
    </row>
    <row r="1960" spans="1:19" s="2" customFormat="1" ht="96.2" customHeight="1" outlineLevel="7">
      <c r="A1960" s="53">
        <v>1538</v>
      </c>
      <c r="B1960" s="10" t="s">
        <v>6491</v>
      </c>
      <c r="C1960" s="65" t="s">
        <v>6492</v>
      </c>
      <c r="D1960" s="65"/>
      <c r="E1960" s="65"/>
      <c r="F1960" s="65"/>
      <c r="G1960" s="11" t="s">
        <v>6493</v>
      </c>
      <c r="H1960" s="14">
        <v>205</v>
      </c>
      <c r="I1960" s="15"/>
      <c r="J1960" s="9">
        <v>1</v>
      </c>
      <c r="K1960" s="22">
        <v>1626.91</v>
      </c>
      <c r="L1960" s="17"/>
      <c r="M1960" s="15">
        <f t="shared" si="91"/>
        <v>0</v>
      </c>
      <c r="N1960" s="18">
        <f>0.364*L1960</f>
        <v>0</v>
      </c>
      <c r="O1960" s="19">
        <f>0.00456*L1960</f>
        <v>0</v>
      </c>
      <c r="P1960" s="24" t="s">
        <v>26</v>
      </c>
      <c r="Q1960" s="15" t="s">
        <v>6494</v>
      </c>
      <c r="R1960" s="15"/>
      <c r="S1960" s="10" t="str">
        <f>HYPERLINK("https://miland.ru/api/getInfo/image/f3875dd4-e0c2-11f0-a28c-00155d82e908")</f>
        <v>https://miland.ru/api/getInfo/image/f3875dd4-e0c2-11f0-a28c-00155d82e908</v>
      </c>
    </row>
    <row r="1961" spans="1:19" s="2" customFormat="1" ht="96.2" customHeight="1" outlineLevel="7">
      <c r="A1961" s="53">
        <v>1539</v>
      </c>
      <c r="B1961" s="10" t="s">
        <v>6495</v>
      </c>
      <c r="C1961" s="65" t="s">
        <v>6496</v>
      </c>
      <c r="D1961" s="65"/>
      <c r="E1961" s="65"/>
      <c r="F1961" s="65"/>
      <c r="G1961" s="11" t="s">
        <v>6497</v>
      </c>
      <c r="H1961" s="14">
        <v>349</v>
      </c>
      <c r="I1961" s="15"/>
      <c r="J1961" s="9">
        <v>1</v>
      </c>
      <c r="K1961" s="22">
        <v>1394.67</v>
      </c>
      <c r="L1961" s="17"/>
      <c r="M1961" s="15">
        <f t="shared" si="91"/>
        <v>0</v>
      </c>
      <c r="N1961" s="18">
        <f>0.345*L1961</f>
        <v>0</v>
      </c>
      <c r="O1961" s="20">
        <f>0.0078*L1961</f>
        <v>0</v>
      </c>
      <c r="P1961" s="24" t="s">
        <v>26</v>
      </c>
      <c r="Q1961" s="15" t="s">
        <v>6498</v>
      </c>
      <c r="R1961" s="15"/>
      <c r="S1961" s="10" t="str">
        <f>HYPERLINK("https://miland.ru/api/getInfo/image/328cfe8a-e0bf-11f0-a28c-00155d82e908")</f>
        <v>https://miland.ru/api/getInfo/image/328cfe8a-e0bf-11f0-a28c-00155d82e908</v>
      </c>
    </row>
    <row r="1962" spans="1:19" s="2" customFormat="1" ht="96.2" customHeight="1" outlineLevel="7">
      <c r="A1962" s="53">
        <v>1540</v>
      </c>
      <c r="B1962" s="10" t="s">
        <v>6499</v>
      </c>
      <c r="C1962" s="65" t="s">
        <v>6500</v>
      </c>
      <c r="D1962" s="65"/>
      <c r="E1962" s="65"/>
      <c r="F1962" s="65"/>
      <c r="G1962" s="11" t="s">
        <v>6501</v>
      </c>
      <c r="H1962" s="14">
        <v>201</v>
      </c>
      <c r="I1962" s="15"/>
      <c r="J1962" s="9">
        <v>1</v>
      </c>
      <c r="K1962" s="22">
        <v>1626.91</v>
      </c>
      <c r="L1962" s="17"/>
      <c r="M1962" s="15">
        <f t="shared" si="91"/>
        <v>0</v>
      </c>
      <c r="N1962" s="18">
        <f>0.342*L1962</f>
        <v>0</v>
      </c>
      <c r="O1962" s="19">
        <f>0.00426*L1962</f>
        <v>0</v>
      </c>
      <c r="P1962" s="24" t="s">
        <v>26</v>
      </c>
      <c r="Q1962" s="15" t="s">
        <v>6502</v>
      </c>
      <c r="R1962" s="15"/>
      <c r="S1962" s="10" t="str">
        <f>HYPERLINK("https://miland.ru/api/getInfo/image/b8ce4fc0-e0c2-11f0-a28c-00155d82e908")</f>
        <v>https://miland.ru/api/getInfo/image/b8ce4fc0-e0c2-11f0-a28c-00155d82e908</v>
      </c>
    </row>
    <row r="1963" spans="1:19" s="2" customFormat="1" ht="96.2" customHeight="1" outlineLevel="7">
      <c r="A1963" s="53">
        <v>1541</v>
      </c>
      <c r="B1963" s="10" t="s">
        <v>6503</v>
      </c>
      <c r="C1963" s="65" t="s">
        <v>6504</v>
      </c>
      <c r="D1963" s="65"/>
      <c r="E1963" s="65"/>
      <c r="F1963" s="65"/>
      <c r="G1963" s="11" t="s">
        <v>6505</v>
      </c>
      <c r="H1963" s="14">
        <v>150</v>
      </c>
      <c r="I1963" s="15"/>
      <c r="J1963" s="9">
        <v>1</v>
      </c>
      <c r="K1963" s="22">
        <v>1626.91</v>
      </c>
      <c r="L1963" s="17"/>
      <c r="M1963" s="15">
        <f t="shared" si="91"/>
        <v>0</v>
      </c>
      <c r="N1963" s="18">
        <f>0.367*L1963</f>
        <v>0</v>
      </c>
      <c r="O1963" s="20">
        <f>0.0056*L1963</f>
        <v>0</v>
      </c>
      <c r="P1963" s="24" t="s">
        <v>26</v>
      </c>
      <c r="Q1963" s="15" t="s">
        <v>6506</v>
      </c>
      <c r="R1963" s="15"/>
      <c r="S1963" s="10" t="str">
        <f>HYPERLINK("https://miland.ru/api/getInfo/image/07933c43-e0c3-11f0-a28c-00155d82e908")</f>
        <v>https://miland.ru/api/getInfo/image/07933c43-e0c3-11f0-a28c-00155d82e908</v>
      </c>
    </row>
    <row r="1964" spans="1:19" s="2" customFormat="1" ht="96.2" customHeight="1" outlineLevel="7">
      <c r="A1964" s="53">
        <v>1542</v>
      </c>
      <c r="B1964" s="10" t="s">
        <v>6507</v>
      </c>
      <c r="C1964" s="65" t="s">
        <v>6508</v>
      </c>
      <c r="D1964" s="65"/>
      <c r="E1964" s="65"/>
      <c r="F1964" s="65"/>
      <c r="G1964" s="11" t="s">
        <v>6509</v>
      </c>
      <c r="H1964" s="14">
        <v>333</v>
      </c>
      <c r="I1964" s="15"/>
      <c r="J1964" s="9">
        <v>1</v>
      </c>
      <c r="K1964" s="22">
        <v>1394.67</v>
      </c>
      <c r="L1964" s="17"/>
      <c r="M1964" s="15">
        <f t="shared" si="91"/>
        <v>0</v>
      </c>
      <c r="N1964" s="18">
        <f>0.342*L1964</f>
        <v>0</v>
      </c>
      <c r="O1964" s="19">
        <f>0.00918*L1964</f>
        <v>0</v>
      </c>
      <c r="P1964" s="24" t="s">
        <v>26</v>
      </c>
      <c r="Q1964" s="15" t="s">
        <v>6510</v>
      </c>
      <c r="R1964" s="15"/>
      <c r="S1964" s="10" t="str">
        <f>HYPERLINK("https://miland.ru/api/getInfo/image/c26cbe23-e0bf-11f0-a28c-00155d82e908")</f>
        <v>https://miland.ru/api/getInfo/image/c26cbe23-e0bf-11f0-a28c-00155d82e908</v>
      </c>
    </row>
    <row r="1965" spans="1:19" s="1" customFormat="1" ht="12" customHeight="1" outlineLevel="3">
      <c r="A1965" s="64" t="s">
        <v>6511</v>
      </c>
      <c r="B1965" s="64"/>
      <c r="C1965" s="64"/>
      <c r="D1965" s="64"/>
      <c r="E1965" s="64"/>
      <c r="F1965" s="64"/>
      <c r="G1965" s="8"/>
      <c r="H1965" s="12"/>
      <c r="I1965" s="2"/>
      <c r="J1965" s="2"/>
      <c r="K1965" s="13"/>
      <c r="L1965" s="2"/>
      <c r="M1965" s="2"/>
      <c r="N1965" s="2"/>
      <c r="O1965" s="2"/>
      <c r="P1965" s="2"/>
      <c r="Q1965" s="2"/>
      <c r="R1965" s="2"/>
      <c r="S1965" s="2"/>
    </row>
    <row r="1966" spans="1:19" s="1" customFormat="1" ht="12" customHeight="1" outlineLevel="4">
      <c r="A1966" s="64" t="s">
        <v>6512</v>
      </c>
      <c r="B1966" s="64"/>
      <c r="C1966" s="64"/>
      <c r="D1966" s="64"/>
      <c r="E1966" s="64"/>
      <c r="F1966" s="64"/>
      <c r="G1966" s="8"/>
      <c r="H1966" s="12"/>
      <c r="I1966" s="2"/>
      <c r="J1966" s="2"/>
      <c r="K1966" s="13"/>
      <c r="L1966" s="2"/>
      <c r="M1966" s="2"/>
      <c r="N1966" s="2"/>
      <c r="O1966" s="2"/>
      <c r="P1966" s="2"/>
      <c r="Q1966" s="2"/>
      <c r="R1966" s="2"/>
      <c r="S1966" s="2"/>
    </row>
    <row r="1967" spans="1:19" s="1" customFormat="1" ht="12" customHeight="1" outlineLevel="5">
      <c r="A1967" s="64" t="s">
        <v>6513</v>
      </c>
      <c r="B1967" s="64"/>
      <c r="C1967" s="64"/>
      <c r="D1967" s="64"/>
      <c r="E1967" s="64"/>
      <c r="F1967" s="64"/>
      <c r="G1967" s="8"/>
      <c r="H1967" s="12"/>
      <c r="I1967" s="2"/>
      <c r="J1967" s="2"/>
      <c r="K1967" s="13"/>
      <c r="L1967" s="2"/>
      <c r="M1967" s="2"/>
      <c r="N1967" s="2"/>
      <c r="O1967" s="2"/>
      <c r="P1967" s="2"/>
      <c r="Q1967" s="2"/>
      <c r="R1967" s="2"/>
      <c r="S1967" s="2"/>
    </row>
    <row r="1968" spans="1:19" s="1" customFormat="1" ht="12" customHeight="1" outlineLevel="6">
      <c r="A1968" s="64" t="s">
        <v>6514</v>
      </c>
      <c r="B1968" s="64"/>
      <c r="C1968" s="64"/>
      <c r="D1968" s="64"/>
      <c r="E1968" s="64"/>
      <c r="F1968" s="64"/>
      <c r="G1968" s="8"/>
      <c r="H1968" s="12"/>
      <c r="I1968" s="2"/>
      <c r="J1968" s="2"/>
      <c r="K1968" s="13"/>
      <c r="L1968" s="2"/>
      <c r="M1968" s="2"/>
      <c r="N1968" s="2"/>
      <c r="O1968" s="2"/>
      <c r="P1968" s="2"/>
      <c r="Q1968" s="2"/>
      <c r="R1968" s="2"/>
      <c r="S1968" s="2"/>
    </row>
    <row r="1969" spans="1:19" s="1" customFormat="1" ht="12" customHeight="1" outlineLevel="7">
      <c r="A1969" s="64" t="s">
        <v>6515</v>
      </c>
      <c r="B1969" s="64"/>
      <c r="C1969" s="64"/>
      <c r="D1969" s="64"/>
      <c r="E1969" s="64"/>
      <c r="F1969" s="64"/>
      <c r="G1969" s="8"/>
      <c r="H1969" s="12"/>
      <c r="I1969" s="2"/>
      <c r="J1969" s="2"/>
      <c r="K1969" s="13"/>
      <c r="L1969" s="2"/>
      <c r="M1969" s="2"/>
      <c r="N1969" s="2"/>
      <c r="O1969" s="2"/>
      <c r="P1969" s="2"/>
      <c r="Q1969" s="2"/>
      <c r="R1969" s="2"/>
      <c r="S1969" s="2"/>
    </row>
    <row r="1970" spans="1:19" s="2" customFormat="1" ht="96.2" customHeight="1" outlineLevel="7">
      <c r="A1970" s="52">
        <v>1543</v>
      </c>
      <c r="B1970" s="26" t="s">
        <v>6516</v>
      </c>
      <c r="C1970" s="66" t="s">
        <v>6517</v>
      </c>
      <c r="D1970" s="66"/>
      <c r="E1970" s="66"/>
      <c r="F1970" s="66"/>
      <c r="G1970" s="27" t="s">
        <v>6518</v>
      </c>
      <c r="H1970" s="33">
        <v>79</v>
      </c>
      <c r="I1970" s="29"/>
      <c r="J1970" s="25">
        <v>1</v>
      </c>
      <c r="K1970" s="37">
        <v>2279.63</v>
      </c>
      <c r="L1970" s="17"/>
      <c r="M1970" s="29">
        <f>K1970*L1970</f>
        <v>0</v>
      </c>
      <c r="N1970" s="31">
        <f>0.686*L1970</f>
        <v>0</v>
      </c>
      <c r="O1970" s="32">
        <f>0.00341*L1970</f>
        <v>0</v>
      </c>
      <c r="P1970" s="36"/>
      <c r="Q1970" s="29" t="s">
        <v>6519</v>
      </c>
      <c r="R1970" s="29"/>
      <c r="S1970" s="26" t="str">
        <f>HYPERLINK("https://miland.ru/api/getInfo/image/efdd6be9-0bc5-11f0-a279-00155d82e908")</f>
        <v>https://miland.ru/api/getInfo/image/efdd6be9-0bc5-11f0-a279-00155d82e908</v>
      </c>
    </row>
    <row r="1971" spans="1:19" s="2" customFormat="1" ht="96.2" customHeight="1" outlineLevel="7">
      <c r="A1971" s="52">
        <v>1544</v>
      </c>
      <c r="B1971" s="26" t="s">
        <v>6520</v>
      </c>
      <c r="C1971" s="66" t="s">
        <v>6521</v>
      </c>
      <c r="D1971" s="66"/>
      <c r="E1971" s="66"/>
      <c r="F1971" s="66"/>
      <c r="G1971" s="27" t="s">
        <v>6522</v>
      </c>
      <c r="H1971" s="33">
        <v>4</v>
      </c>
      <c r="I1971" s="29"/>
      <c r="J1971" s="25">
        <v>1</v>
      </c>
      <c r="K1971" s="37">
        <v>2353.16</v>
      </c>
      <c r="L1971" s="17"/>
      <c r="M1971" s="29">
        <f>K1971*L1971</f>
        <v>0</v>
      </c>
      <c r="N1971" s="31">
        <f>0.837*L1971</f>
        <v>0</v>
      </c>
      <c r="O1971" s="32">
        <f>0.00341*L1971</f>
        <v>0</v>
      </c>
      <c r="P1971" s="36"/>
      <c r="Q1971" s="29" t="s">
        <v>6523</v>
      </c>
      <c r="R1971" s="29"/>
      <c r="S1971" s="26" t="str">
        <f>HYPERLINK("https://miland.ru/api/getInfo/image/a2afe824-0bc5-11f0-a279-00155d82e908")</f>
        <v>https://miland.ru/api/getInfo/image/a2afe824-0bc5-11f0-a279-00155d82e908</v>
      </c>
    </row>
    <row r="1972" spans="1:19" s="1" customFormat="1" ht="12" customHeight="1" outlineLevel="7">
      <c r="A1972" s="64" t="s">
        <v>6524</v>
      </c>
      <c r="B1972" s="64"/>
      <c r="C1972" s="64"/>
      <c r="D1972" s="64"/>
      <c r="E1972" s="64"/>
      <c r="F1972" s="64"/>
      <c r="G1972" s="8"/>
      <c r="H1972" s="12"/>
      <c r="I1972" s="2"/>
      <c r="J1972" s="2"/>
      <c r="K1972" s="13"/>
      <c r="L1972" s="2"/>
      <c r="M1972" s="2"/>
      <c r="N1972" s="2"/>
      <c r="O1972" s="2"/>
      <c r="P1972" s="2"/>
      <c r="Q1972" s="2"/>
      <c r="R1972" s="2"/>
      <c r="S1972" s="2"/>
    </row>
    <row r="1973" spans="1:19" s="2" customFormat="1" ht="96.2" customHeight="1" outlineLevel="7">
      <c r="A1973" s="53">
        <v>1545</v>
      </c>
      <c r="B1973" s="10" t="s">
        <v>6525</v>
      </c>
      <c r="C1973" s="65" t="s">
        <v>6526</v>
      </c>
      <c r="D1973" s="65"/>
      <c r="E1973" s="65"/>
      <c r="F1973" s="65"/>
      <c r="G1973" s="11" t="s">
        <v>6527</v>
      </c>
      <c r="H1973" s="21" t="s">
        <v>44</v>
      </c>
      <c r="I1973" s="15"/>
      <c r="J1973" s="9">
        <v>1</v>
      </c>
      <c r="K1973" s="22">
        <v>1434.96</v>
      </c>
      <c r="L1973" s="17"/>
      <c r="M1973" s="15">
        <f>K1973*L1973</f>
        <v>0</v>
      </c>
      <c r="N1973" s="18">
        <f>0.877*L1973</f>
        <v>0</v>
      </c>
      <c r="O1973" s="19">
        <f>0.01093*L1973</f>
        <v>0</v>
      </c>
      <c r="P1973" s="24" t="s">
        <v>26</v>
      </c>
      <c r="Q1973" s="15" t="s">
        <v>6528</v>
      </c>
      <c r="R1973" s="15"/>
      <c r="S1973" s="10" t="str">
        <f>HYPERLINK("https://miland.ru/api/getInfo/image/3286cdd5-2d9e-11f1-a292-00155d82e908")</f>
        <v>https://miland.ru/api/getInfo/image/3286cdd5-2d9e-11f1-a292-00155d82e908</v>
      </c>
    </row>
    <row r="1974" spans="1:19" s="2" customFormat="1" ht="96.2" customHeight="1" outlineLevel="7">
      <c r="A1974" s="52">
        <v>1546</v>
      </c>
      <c r="B1974" s="26" t="s">
        <v>6529</v>
      </c>
      <c r="C1974" s="66" t="s">
        <v>6530</v>
      </c>
      <c r="D1974" s="66"/>
      <c r="E1974" s="66"/>
      <c r="F1974" s="66"/>
      <c r="G1974" s="27" t="s">
        <v>6531</v>
      </c>
      <c r="H1974" s="28" t="s">
        <v>44</v>
      </c>
      <c r="I1974" s="29"/>
      <c r="J1974" s="25">
        <v>1</v>
      </c>
      <c r="K1974" s="37">
        <v>1520.65</v>
      </c>
      <c r="L1974" s="17"/>
      <c r="M1974" s="29">
        <f>K1974*L1974</f>
        <v>0</v>
      </c>
      <c r="N1974" s="31">
        <f>0.784*L1974</f>
        <v>0</v>
      </c>
      <c r="O1974" s="32">
        <f>0.01086*L1974</f>
        <v>0</v>
      </c>
      <c r="P1974" s="36"/>
      <c r="Q1974" s="29" t="s">
        <v>6532</v>
      </c>
      <c r="R1974" s="29"/>
      <c r="S1974" s="26" t="str">
        <f>HYPERLINK("https://miland.ru/api/getInfo/image/55935791-beaf-11ee-a25a-00155d82e908")</f>
        <v>https://miland.ru/api/getInfo/image/55935791-beaf-11ee-a25a-00155d82e908</v>
      </c>
    </row>
    <row r="1975" spans="1:19" s="2" customFormat="1" ht="96.2" customHeight="1" outlineLevel="7">
      <c r="A1975" s="52">
        <v>1547</v>
      </c>
      <c r="B1975" s="26" t="s">
        <v>6533</v>
      </c>
      <c r="C1975" s="66" t="s">
        <v>6534</v>
      </c>
      <c r="D1975" s="66"/>
      <c r="E1975" s="66"/>
      <c r="F1975" s="66"/>
      <c r="G1975" s="27" t="s">
        <v>6535</v>
      </c>
      <c r="H1975" s="28" t="s">
        <v>44</v>
      </c>
      <c r="I1975" s="29"/>
      <c r="J1975" s="25">
        <v>1</v>
      </c>
      <c r="K1975" s="37">
        <v>1434.96</v>
      </c>
      <c r="L1975" s="17"/>
      <c r="M1975" s="29">
        <f>K1975*L1975</f>
        <v>0</v>
      </c>
      <c r="N1975" s="31">
        <f>0.731*L1975</f>
        <v>0</v>
      </c>
      <c r="O1975" s="32">
        <f>0.01156*L1975</f>
        <v>0</v>
      </c>
      <c r="P1975" s="36"/>
      <c r="Q1975" s="29" t="s">
        <v>6536</v>
      </c>
      <c r="R1975" s="29"/>
      <c r="S1975" s="26" t="str">
        <f>HYPERLINK("https://miland.ru/api/getInfo/image/d7152175-beae-11ee-a25a-00155d82e908")</f>
        <v>https://miland.ru/api/getInfo/image/d7152175-beae-11ee-a25a-00155d82e908</v>
      </c>
    </row>
    <row r="1976" spans="1:19" s="2" customFormat="1" ht="96.2" customHeight="1" outlineLevel="7">
      <c r="A1976" s="52">
        <v>1548</v>
      </c>
      <c r="B1976" s="26" t="s">
        <v>6537</v>
      </c>
      <c r="C1976" s="66" t="s">
        <v>6538</v>
      </c>
      <c r="D1976" s="66"/>
      <c r="E1976" s="66"/>
      <c r="F1976" s="66"/>
      <c r="G1976" s="27" t="s">
        <v>6539</v>
      </c>
      <c r="H1976" s="28" t="s">
        <v>44</v>
      </c>
      <c r="I1976" s="29"/>
      <c r="J1976" s="25">
        <v>1</v>
      </c>
      <c r="K1976" s="37">
        <v>1434.96</v>
      </c>
      <c r="L1976" s="17"/>
      <c r="M1976" s="29">
        <f>K1976*L1976</f>
        <v>0</v>
      </c>
      <c r="N1976" s="31">
        <f>1.013*L1976</f>
        <v>0</v>
      </c>
      <c r="O1976" s="32">
        <f>0.01388*L1976</f>
        <v>0</v>
      </c>
      <c r="P1976" s="36"/>
      <c r="Q1976" s="29" t="s">
        <v>6540</v>
      </c>
      <c r="R1976" s="29" t="s">
        <v>611</v>
      </c>
      <c r="S1976" s="26" t="str">
        <f>HYPERLINK("https://miland.ru/api/getInfo/image/a94c78fc-beae-11ee-a25a-00155d82e908")</f>
        <v>https://miland.ru/api/getInfo/image/a94c78fc-beae-11ee-a25a-00155d82e908</v>
      </c>
    </row>
    <row r="1977" spans="1:19" s="2" customFormat="1" ht="96.2" customHeight="1" outlineLevel="7">
      <c r="A1977" s="52">
        <v>1549</v>
      </c>
      <c r="B1977" s="26" t="s">
        <v>6541</v>
      </c>
      <c r="C1977" s="66" t="s">
        <v>6542</v>
      </c>
      <c r="D1977" s="66"/>
      <c r="E1977" s="66"/>
      <c r="F1977" s="66"/>
      <c r="G1977" s="27" t="s">
        <v>6543</v>
      </c>
      <c r="H1977" s="28" t="s">
        <v>44</v>
      </c>
      <c r="I1977" s="29"/>
      <c r="J1977" s="25">
        <v>1</v>
      </c>
      <c r="K1977" s="37">
        <v>1306.48</v>
      </c>
      <c r="L1977" s="17"/>
      <c r="M1977" s="29">
        <f>K1977*L1977</f>
        <v>0</v>
      </c>
      <c r="N1977" s="31">
        <f>0.517*L1977</f>
        <v>0</v>
      </c>
      <c r="O1977" s="32">
        <f>0.00469*L1977</f>
        <v>0</v>
      </c>
      <c r="P1977" s="36"/>
      <c r="Q1977" s="29" t="s">
        <v>6544</v>
      </c>
      <c r="R1977" s="29"/>
      <c r="S1977" s="26" t="str">
        <f>HYPERLINK("https://miland.ru/api/getInfo/image/1f49771b-beae-11ee-a25a-00155d82e908")</f>
        <v>https://miland.ru/api/getInfo/image/1f49771b-beae-11ee-a25a-00155d82e908</v>
      </c>
    </row>
    <row r="1978" spans="1:19" s="1" customFormat="1" ht="12" customHeight="1" outlineLevel="6">
      <c r="A1978" s="64" t="s">
        <v>6513</v>
      </c>
      <c r="B1978" s="64"/>
      <c r="C1978" s="64"/>
      <c r="D1978" s="64"/>
      <c r="E1978" s="64"/>
      <c r="F1978" s="64"/>
      <c r="G1978" s="8"/>
      <c r="H1978" s="12"/>
      <c r="I1978" s="2"/>
      <c r="J1978" s="2"/>
      <c r="K1978" s="13"/>
      <c r="L1978" s="2"/>
      <c r="M1978" s="2"/>
      <c r="N1978" s="2"/>
      <c r="O1978" s="2"/>
      <c r="P1978" s="2"/>
      <c r="Q1978" s="2"/>
      <c r="R1978" s="2"/>
      <c r="S1978" s="2"/>
    </row>
    <row r="1979" spans="1:19" s="2" customFormat="1" ht="96.2" customHeight="1" outlineLevel="7">
      <c r="A1979" s="52">
        <v>1550</v>
      </c>
      <c r="B1979" s="26" t="s">
        <v>6545</v>
      </c>
      <c r="C1979" s="66" t="s">
        <v>6546</v>
      </c>
      <c r="D1979" s="66"/>
      <c r="E1979" s="66"/>
      <c r="F1979" s="66"/>
      <c r="G1979" s="27" t="s">
        <v>6547</v>
      </c>
      <c r="H1979" s="33">
        <v>3</v>
      </c>
      <c r="I1979" s="29"/>
      <c r="J1979" s="25">
        <v>1</v>
      </c>
      <c r="K1979" s="37">
        <v>3638.65</v>
      </c>
      <c r="L1979" s="17"/>
      <c r="M1979" s="29">
        <f>K1979*L1979</f>
        <v>0</v>
      </c>
      <c r="N1979" s="31">
        <f>1.415*L1979</f>
        <v>0</v>
      </c>
      <c r="O1979" s="35">
        <f>0.0067*L1979</f>
        <v>0</v>
      </c>
      <c r="P1979" s="36"/>
      <c r="Q1979" s="29" t="s">
        <v>6548</v>
      </c>
      <c r="R1979" s="29"/>
      <c r="S1979" s="26" t="str">
        <f>HYPERLINK("https://miland.ru/api/getInfo/image/8e24ece5-0bc3-11f0-a279-00155d82e908")</f>
        <v>https://miland.ru/api/getInfo/image/8e24ece5-0bc3-11f0-a279-00155d82e908</v>
      </c>
    </row>
    <row r="1980" spans="1:19" s="1" customFormat="1" ht="12" customHeight="1" outlineLevel="5">
      <c r="A1980" s="64" t="s">
        <v>6549</v>
      </c>
      <c r="B1980" s="64"/>
      <c r="C1980" s="64"/>
      <c r="D1980" s="64"/>
      <c r="E1980" s="64"/>
      <c r="F1980" s="64"/>
      <c r="G1980" s="8"/>
      <c r="H1980" s="12"/>
      <c r="I1980" s="2"/>
      <c r="J1980" s="2"/>
      <c r="K1980" s="13"/>
      <c r="L1980" s="2"/>
      <c r="M1980" s="2"/>
      <c r="N1980" s="2"/>
      <c r="O1980" s="2"/>
      <c r="P1980" s="2"/>
      <c r="Q1980" s="2"/>
      <c r="R1980" s="2"/>
      <c r="S1980" s="2"/>
    </row>
    <row r="1981" spans="1:19" s="2" customFormat="1" ht="96.2" customHeight="1" outlineLevel="6">
      <c r="A1981" s="52">
        <v>1551</v>
      </c>
      <c r="B1981" s="26" t="s">
        <v>6550</v>
      </c>
      <c r="C1981" s="66" t="s">
        <v>6551</v>
      </c>
      <c r="D1981" s="66"/>
      <c r="E1981" s="66"/>
      <c r="F1981" s="66"/>
      <c r="G1981" s="27" t="s">
        <v>6552</v>
      </c>
      <c r="H1981" s="33">
        <v>4</v>
      </c>
      <c r="I1981" s="29"/>
      <c r="J1981" s="25">
        <v>1</v>
      </c>
      <c r="K1981" s="30">
        <v>643.86</v>
      </c>
      <c r="L1981" s="17"/>
      <c r="M1981" s="29">
        <f>K1981*L1981</f>
        <v>0</v>
      </c>
      <c r="N1981" s="31">
        <f>0.276*L1981</f>
        <v>0</v>
      </c>
      <c r="O1981" s="32">
        <f>0.00134*L1981</f>
        <v>0</v>
      </c>
      <c r="P1981" s="36"/>
      <c r="Q1981" s="29" t="s">
        <v>6553</v>
      </c>
      <c r="R1981" s="29"/>
      <c r="S1981" s="26" t="str">
        <f>HYPERLINK("https://miland.ru/api/getInfo/image/31d0f312-f194-11ee-a25b-00155d82e908")</f>
        <v>https://miland.ru/api/getInfo/image/31d0f312-f194-11ee-a25b-00155d82e908</v>
      </c>
    </row>
    <row r="1982" spans="1:19" s="2" customFormat="1" ht="96.2" customHeight="1" outlineLevel="6">
      <c r="A1982" s="52">
        <v>1552</v>
      </c>
      <c r="B1982" s="26" t="s">
        <v>6554</v>
      </c>
      <c r="C1982" s="66" t="s">
        <v>6555</v>
      </c>
      <c r="D1982" s="66"/>
      <c r="E1982" s="66"/>
      <c r="F1982" s="66"/>
      <c r="G1982" s="27" t="s">
        <v>6556</v>
      </c>
      <c r="H1982" s="33">
        <v>24</v>
      </c>
      <c r="I1982" s="29"/>
      <c r="J1982" s="25">
        <v>1</v>
      </c>
      <c r="K1982" s="30">
        <v>957.47</v>
      </c>
      <c r="L1982" s="17"/>
      <c r="M1982" s="29">
        <f>K1982*L1982</f>
        <v>0</v>
      </c>
      <c r="N1982" s="31">
        <f>0.223*L1982</f>
        <v>0</v>
      </c>
      <c r="O1982" s="32">
        <f>0.00155*L1982</f>
        <v>0</v>
      </c>
      <c r="P1982" s="36"/>
      <c r="Q1982" s="29" t="s">
        <v>6557</v>
      </c>
      <c r="R1982" s="29" t="s">
        <v>611</v>
      </c>
      <c r="S1982" s="26" t="str">
        <f>HYPERLINK("https://miland.ru/api/getInfo/image/a93ff169-f194-11ee-a25b-00155d82e908")</f>
        <v>https://miland.ru/api/getInfo/image/a93ff169-f194-11ee-a25b-00155d82e908</v>
      </c>
    </row>
    <row r="1983" spans="1:19" s="1" customFormat="1" ht="12" customHeight="1" outlineLevel="5">
      <c r="A1983" s="64" t="s">
        <v>6558</v>
      </c>
      <c r="B1983" s="64"/>
      <c r="C1983" s="64"/>
      <c r="D1983" s="64"/>
      <c r="E1983" s="64"/>
      <c r="F1983" s="64"/>
      <c r="G1983" s="8"/>
      <c r="H1983" s="12"/>
      <c r="I1983" s="2"/>
      <c r="J1983" s="2"/>
      <c r="K1983" s="13"/>
      <c r="L1983" s="2"/>
      <c r="M1983" s="2"/>
      <c r="N1983" s="2"/>
      <c r="O1983" s="2"/>
      <c r="P1983" s="2"/>
      <c r="Q1983" s="2"/>
      <c r="R1983" s="2"/>
      <c r="S1983" s="2"/>
    </row>
    <row r="1984" spans="1:19" s="2" customFormat="1" ht="96.2" customHeight="1" outlineLevel="6">
      <c r="A1984" s="53">
        <v>1553</v>
      </c>
      <c r="B1984" s="10" t="s">
        <v>6559</v>
      </c>
      <c r="C1984" s="65" t="s">
        <v>6560</v>
      </c>
      <c r="D1984" s="65"/>
      <c r="E1984" s="65"/>
      <c r="F1984" s="65"/>
      <c r="G1984" s="11" t="s">
        <v>6561</v>
      </c>
      <c r="H1984" s="14">
        <v>35</v>
      </c>
      <c r="I1984" s="15"/>
      <c r="J1984" s="9">
        <v>2</v>
      </c>
      <c r="K1984" s="16">
        <v>293.51</v>
      </c>
      <c r="L1984" s="17"/>
      <c r="M1984" s="15">
        <f>K1984*L1984</f>
        <v>0</v>
      </c>
      <c r="N1984" s="56">
        <f>8*L1984</f>
        <v>0</v>
      </c>
      <c r="O1984" s="19">
        <f>0.05741*L1984</f>
        <v>0</v>
      </c>
      <c r="P1984" s="24" t="s">
        <v>26</v>
      </c>
      <c r="Q1984" s="15" t="s">
        <v>6562</v>
      </c>
      <c r="R1984" s="15"/>
      <c r="S1984" s="10" t="str">
        <f>HYPERLINK("https://miland.ru/api/getInfo/image/b37be061-d5c0-11f0-a28c-00155d82e908")</f>
        <v>https://miland.ru/api/getInfo/image/b37be061-d5c0-11f0-a28c-00155d82e908</v>
      </c>
    </row>
    <row r="1985" spans="1:19" s="2" customFormat="1" ht="96.2" customHeight="1" outlineLevel="6">
      <c r="A1985" s="53">
        <v>1554</v>
      </c>
      <c r="B1985" s="10" t="s">
        <v>6563</v>
      </c>
      <c r="C1985" s="65" t="s">
        <v>6564</v>
      </c>
      <c r="D1985" s="65"/>
      <c r="E1985" s="65"/>
      <c r="F1985" s="65"/>
      <c r="G1985" s="11" t="s">
        <v>6565</v>
      </c>
      <c r="H1985" s="14">
        <v>1</v>
      </c>
      <c r="I1985" s="15"/>
      <c r="J1985" s="9">
        <v>1</v>
      </c>
      <c r="K1985" s="16">
        <v>278.33</v>
      </c>
      <c r="L1985" s="17"/>
      <c r="M1985" s="15">
        <f>K1985*L1985</f>
        <v>0</v>
      </c>
      <c r="N1985" s="23">
        <f>0.95*L1985</f>
        <v>0</v>
      </c>
      <c r="O1985" s="19">
        <f>0.00506*L1985</f>
        <v>0</v>
      </c>
      <c r="P1985" s="24" t="s">
        <v>26</v>
      </c>
      <c r="Q1985" s="15" t="s">
        <v>6566</v>
      </c>
      <c r="R1985" s="15"/>
      <c r="S1985" s="10" t="str">
        <f>HYPERLINK("https://miland.ru/api/getInfo/image/387673d0-d5c1-11f0-a28c-00155d82e908")</f>
        <v>https://miland.ru/api/getInfo/image/387673d0-d5c1-11f0-a28c-00155d82e908</v>
      </c>
    </row>
    <row r="1986" spans="1:19" s="2" customFormat="1" ht="96.2" customHeight="1" outlineLevel="6">
      <c r="A1986" s="53">
        <v>1555</v>
      </c>
      <c r="B1986" s="10" t="s">
        <v>6567</v>
      </c>
      <c r="C1986" s="65" t="s">
        <v>6568</v>
      </c>
      <c r="D1986" s="65"/>
      <c r="E1986" s="65"/>
      <c r="F1986" s="65"/>
      <c r="G1986" s="11" t="s">
        <v>6569</v>
      </c>
      <c r="H1986" s="14">
        <v>1</v>
      </c>
      <c r="I1986" s="15"/>
      <c r="J1986" s="9">
        <v>1</v>
      </c>
      <c r="K1986" s="16">
        <v>278.33</v>
      </c>
      <c r="L1986" s="17"/>
      <c r="M1986" s="15">
        <f>K1986*L1986</f>
        <v>0</v>
      </c>
      <c r="N1986" s="18">
        <f>0.091*L1986</f>
        <v>0</v>
      </c>
      <c r="O1986" s="19">
        <f>0.00066*L1986</f>
        <v>0</v>
      </c>
      <c r="P1986" s="24" t="s">
        <v>26</v>
      </c>
      <c r="Q1986" s="15" t="s">
        <v>6570</v>
      </c>
      <c r="R1986" s="15"/>
      <c r="S1986" s="10" t="str">
        <f>HYPERLINK("https://miland.ru/api/getInfo/image/00ec6041-d5c1-11f0-a28c-00155d82e908")</f>
        <v>https://miland.ru/api/getInfo/image/00ec6041-d5c1-11f0-a28c-00155d82e908</v>
      </c>
    </row>
    <row r="1987" spans="1:19" s="1" customFormat="1" ht="12" customHeight="1" outlineLevel="5">
      <c r="A1987" s="64" t="s">
        <v>6571</v>
      </c>
      <c r="B1987" s="64"/>
      <c r="C1987" s="64"/>
      <c r="D1987" s="64"/>
      <c r="E1987" s="64"/>
      <c r="F1987" s="64"/>
      <c r="G1987" s="8"/>
      <c r="H1987" s="12"/>
      <c r="I1987" s="2"/>
      <c r="J1987" s="2"/>
      <c r="K1987" s="13"/>
      <c r="L1987" s="2"/>
      <c r="M1987" s="2"/>
      <c r="N1987" s="2"/>
      <c r="O1987" s="2"/>
      <c r="P1987" s="2"/>
      <c r="Q1987" s="2"/>
      <c r="R1987" s="2"/>
      <c r="S1987" s="2"/>
    </row>
    <row r="1988" spans="1:19" s="2" customFormat="1" ht="96.2" customHeight="1" outlineLevel="6">
      <c r="A1988" s="52">
        <v>1556</v>
      </c>
      <c r="B1988" s="26" t="s">
        <v>6572</v>
      </c>
      <c r="C1988" s="66" t="s">
        <v>6573</v>
      </c>
      <c r="D1988" s="66"/>
      <c r="E1988" s="66"/>
      <c r="F1988" s="66"/>
      <c r="G1988" s="27" t="s">
        <v>6574</v>
      </c>
      <c r="H1988" s="33">
        <v>11</v>
      </c>
      <c r="I1988" s="29"/>
      <c r="J1988" s="25">
        <v>1</v>
      </c>
      <c r="K1988" s="37">
        <v>1960.76</v>
      </c>
      <c r="L1988" s="17"/>
      <c r="M1988" s="29">
        <f>K1988*L1988</f>
        <v>0</v>
      </c>
      <c r="N1988" s="34">
        <f>0.38*L1988</f>
        <v>0</v>
      </c>
      <c r="O1988" s="32">
        <f>0.00478*L1988</f>
        <v>0</v>
      </c>
      <c r="P1988" s="36"/>
      <c r="Q1988" s="29" t="s">
        <v>6575</v>
      </c>
      <c r="R1988" s="29" t="s">
        <v>611</v>
      </c>
      <c r="S1988" s="26" t="str">
        <f>HYPERLINK("https://miland.ru/api/getInfo/image/941789ba-f894-11ee-a25d-00155d82e908")</f>
        <v>https://miland.ru/api/getInfo/image/941789ba-f894-11ee-a25d-00155d82e908</v>
      </c>
    </row>
    <row r="1989" spans="1:19" s="1" customFormat="1" ht="12" customHeight="1" outlineLevel="5">
      <c r="A1989" s="64" t="s">
        <v>6576</v>
      </c>
      <c r="B1989" s="64"/>
      <c r="C1989" s="64"/>
      <c r="D1989" s="64"/>
      <c r="E1989" s="64"/>
      <c r="F1989" s="64"/>
      <c r="G1989" s="8"/>
      <c r="H1989" s="12"/>
      <c r="I1989" s="2"/>
      <c r="J1989" s="2"/>
      <c r="K1989" s="13"/>
      <c r="L1989" s="2"/>
      <c r="M1989" s="2"/>
      <c r="N1989" s="2"/>
      <c r="O1989" s="2"/>
      <c r="P1989" s="2"/>
      <c r="Q1989" s="2"/>
      <c r="R1989" s="2"/>
      <c r="S1989" s="2"/>
    </row>
    <row r="1990" spans="1:19" s="2" customFormat="1" ht="96.2" customHeight="1" outlineLevel="6">
      <c r="A1990" s="53">
        <v>1557</v>
      </c>
      <c r="B1990" s="10" t="s">
        <v>6577</v>
      </c>
      <c r="C1990" s="65" t="s">
        <v>6578</v>
      </c>
      <c r="D1990" s="65"/>
      <c r="E1990" s="65"/>
      <c r="F1990" s="65"/>
      <c r="G1990" s="11" t="s">
        <v>6579</v>
      </c>
      <c r="H1990" s="14">
        <v>436</v>
      </c>
      <c r="I1990" s="15"/>
      <c r="J1990" s="9">
        <v>1</v>
      </c>
      <c r="K1990" s="16">
        <v>454.63</v>
      </c>
      <c r="L1990" s="17"/>
      <c r="M1990" s="15">
        <f t="shared" ref="M1990:M1997" si="92">K1990*L1990</f>
        <v>0</v>
      </c>
      <c r="N1990" s="23">
        <f>0.21*L1990</f>
        <v>0</v>
      </c>
      <c r="O1990" s="19">
        <f>0.00031*L1990</f>
        <v>0</v>
      </c>
      <c r="P1990" s="24" t="s">
        <v>26</v>
      </c>
      <c r="Q1990" s="15" t="s">
        <v>6580</v>
      </c>
      <c r="R1990" s="15"/>
      <c r="S1990" s="10" t="str">
        <f>HYPERLINK("https://miland.ru/api/getInfo/image/f5af925a-2dad-11f1-a292-00155d82e908")</f>
        <v>https://miland.ru/api/getInfo/image/f5af925a-2dad-11f1-a292-00155d82e908</v>
      </c>
    </row>
    <row r="1991" spans="1:19" s="2" customFormat="1" ht="96.2" customHeight="1" outlineLevel="6">
      <c r="A1991" s="52">
        <v>1558</v>
      </c>
      <c r="B1991" s="26" t="s">
        <v>6581</v>
      </c>
      <c r="C1991" s="66" t="s">
        <v>6582</v>
      </c>
      <c r="D1991" s="66"/>
      <c r="E1991" s="66"/>
      <c r="F1991" s="66"/>
      <c r="G1991" s="27" t="s">
        <v>6583</v>
      </c>
      <c r="H1991" s="33">
        <v>5</v>
      </c>
      <c r="I1991" s="29"/>
      <c r="J1991" s="25">
        <v>1</v>
      </c>
      <c r="K1991" s="30">
        <v>579.99</v>
      </c>
      <c r="L1991" s="17"/>
      <c r="M1991" s="29">
        <f t="shared" si="92"/>
        <v>0</v>
      </c>
      <c r="N1991" s="31">
        <f>0.373*L1991</f>
        <v>0</v>
      </c>
      <c r="O1991" s="32">
        <f>0.00068*L1991</f>
        <v>0</v>
      </c>
      <c r="P1991" s="36"/>
      <c r="Q1991" s="29" t="s">
        <v>6584</v>
      </c>
      <c r="R1991" s="29"/>
      <c r="S1991" s="26" t="str">
        <f>HYPERLINK("https://miland.ru/api/getInfo/image/9aa6b705-219c-11f0-a279-00155d82e908")</f>
        <v>https://miland.ru/api/getInfo/image/9aa6b705-219c-11f0-a279-00155d82e908</v>
      </c>
    </row>
    <row r="1992" spans="1:19" s="2" customFormat="1" ht="96.2" customHeight="1" outlineLevel="6">
      <c r="A1992" s="53">
        <v>1559</v>
      </c>
      <c r="B1992" s="10" t="s">
        <v>6585</v>
      </c>
      <c r="C1992" s="65" t="s">
        <v>6586</v>
      </c>
      <c r="D1992" s="65"/>
      <c r="E1992" s="65"/>
      <c r="F1992" s="65"/>
      <c r="G1992" s="11" t="s">
        <v>6587</v>
      </c>
      <c r="H1992" s="14">
        <v>239</v>
      </c>
      <c r="I1992" s="15"/>
      <c r="J1992" s="9">
        <v>1</v>
      </c>
      <c r="K1992" s="16">
        <v>454.63</v>
      </c>
      <c r="L1992" s="17"/>
      <c r="M1992" s="15">
        <f t="shared" si="92"/>
        <v>0</v>
      </c>
      <c r="N1992" s="23">
        <f>0.21*L1992</f>
        <v>0</v>
      </c>
      <c r="O1992" s="19">
        <f>0.00032*L1992</f>
        <v>0</v>
      </c>
      <c r="P1992" s="24" t="s">
        <v>26</v>
      </c>
      <c r="Q1992" s="15" t="s">
        <v>6588</v>
      </c>
      <c r="R1992" s="15"/>
      <c r="S1992" s="10" t="str">
        <f>HYPERLINK("https://miland.ru/api/getInfo/image/d12d3063-2dad-11f1-a292-00155d82e908")</f>
        <v>https://miland.ru/api/getInfo/image/d12d3063-2dad-11f1-a292-00155d82e908</v>
      </c>
    </row>
    <row r="1993" spans="1:19" s="2" customFormat="1" ht="96.2" customHeight="1" outlineLevel="6">
      <c r="A1993" s="53">
        <v>1560</v>
      </c>
      <c r="B1993" s="10" t="s">
        <v>6589</v>
      </c>
      <c r="C1993" s="65" t="s">
        <v>6590</v>
      </c>
      <c r="D1993" s="65"/>
      <c r="E1993" s="65"/>
      <c r="F1993" s="65"/>
      <c r="G1993" s="11" t="s">
        <v>6591</v>
      </c>
      <c r="H1993" s="14">
        <v>433</v>
      </c>
      <c r="I1993" s="15"/>
      <c r="J1993" s="9">
        <v>1</v>
      </c>
      <c r="K1993" s="16">
        <v>454.63</v>
      </c>
      <c r="L1993" s="17"/>
      <c r="M1993" s="15">
        <f t="shared" si="92"/>
        <v>0</v>
      </c>
      <c r="N1993" s="18">
        <f>0.208*L1993</f>
        <v>0</v>
      </c>
      <c r="O1993" s="19">
        <f>0.00032*L1993</f>
        <v>0</v>
      </c>
      <c r="P1993" s="24" t="s">
        <v>26</v>
      </c>
      <c r="Q1993" s="15" t="s">
        <v>6592</v>
      </c>
      <c r="R1993" s="15"/>
      <c r="S1993" s="10" t="str">
        <f>HYPERLINK("https://miland.ru/api/getInfo/image/18bb2dce-2dae-11f1-a292-00155d82e908")</f>
        <v>https://miland.ru/api/getInfo/image/18bb2dce-2dae-11f1-a292-00155d82e908</v>
      </c>
    </row>
    <row r="1994" spans="1:19" s="2" customFormat="1" ht="96.2" customHeight="1" outlineLevel="6">
      <c r="A1994" s="53">
        <v>1561</v>
      </c>
      <c r="B1994" s="10" t="s">
        <v>6593</v>
      </c>
      <c r="C1994" s="65" t="s">
        <v>6594</v>
      </c>
      <c r="D1994" s="65"/>
      <c r="E1994" s="65"/>
      <c r="F1994" s="65"/>
      <c r="G1994" s="11" t="s">
        <v>6595</v>
      </c>
      <c r="H1994" s="14">
        <v>394</v>
      </c>
      <c r="I1994" s="15"/>
      <c r="J1994" s="9">
        <v>1</v>
      </c>
      <c r="K1994" s="16">
        <v>454.63</v>
      </c>
      <c r="L1994" s="17"/>
      <c r="M1994" s="15">
        <f t="shared" si="92"/>
        <v>0</v>
      </c>
      <c r="N1994" s="18">
        <f>0.212*L1994</f>
        <v>0</v>
      </c>
      <c r="O1994" s="19">
        <f>0.00032*L1994</f>
        <v>0</v>
      </c>
      <c r="P1994" s="24" t="s">
        <v>26</v>
      </c>
      <c r="Q1994" s="15" t="s">
        <v>6596</v>
      </c>
      <c r="R1994" s="15"/>
      <c r="S1994" s="10" t="str">
        <f>HYPERLINK("https://miland.ru/api/getInfo/image/a876c1c6-2dad-11f1-a292-00155d82e908")</f>
        <v>https://miland.ru/api/getInfo/image/a876c1c6-2dad-11f1-a292-00155d82e908</v>
      </c>
    </row>
    <row r="1995" spans="1:19" s="2" customFormat="1" ht="96.2" customHeight="1" outlineLevel="6">
      <c r="A1995" s="52">
        <v>1562</v>
      </c>
      <c r="B1995" s="26" t="s">
        <v>6597</v>
      </c>
      <c r="C1995" s="66" t="s">
        <v>6598</v>
      </c>
      <c r="D1995" s="66"/>
      <c r="E1995" s="66"/>
      <c r="F1995" s="66"/>
      <c r="G1995" s="27" t="s">
        <v>6599</v>
      </c>
      <c r="H1995" s="33">
        <v>51</v>
      </c>
      <c r="I1995" s="29"/>
      <c r="J1995" s="25">
        <v>1</v>
      </c>
      <c r="K1995" s="30">
        <v>579.99</v>
      </c>
      <c r="L1995" s="17"/>
      <c r="M1995" s="29">
        <f t="shared" si="92"/>
        <v>0</v>
      </c>
      <c r="N1995" s="31">
        <f>0.371*L1995</f>
        <v>0</v>
      </c>
      <c r="O1995" s="32">
        <f>0.00061*L1995</f>
        <v>0</v>
      </c>
      <c r="P1995" s="36"/>
      <c r="Q1995" s="29" t="s">
        <v>6600</v>
      </c>
      <c r="R1995" s="29"/>
      <c r="S1995" s="26" t="str">
        <f>HYPERLINK("https://miland.ru/api/getInfo/image/c47ee701-219b-11f0-a279-00155d82e908")</f>
        <v>https://miland.ru/api/getInfo/image/c47ee701-219b-11f0-a279-00155d82e908</v>
      </c>
    </row>
    <row r="1996" spans="1:19" s="2" customFormat="1" ht="96.2" customHeight="1" outlineLevel="6">
      <c r="A1996" s="53">
        <v>1563</v>
      </c>
      <c r="B1996" s="10" t="s">
        <v>6601</v>
      </c>
      <c r="C1996" s="65" t="s">
        <v>6602</v>
      </c>
      <c r="D1996" s="65"/>
      <c r="E1996" s="65"/>
      <c r="F1996" s="65"/>
      <c r="G1996" s="11" t="s">
        <v>6603</v>
      </c>
      <c r="H1996" s="14">
        <v>95</v>
      </c>
      <c r="I1996" s="15"/>
      <c r="J1996" s="9">
        <v>1</v>
      </c>
      <c r="K1996" s="16">
        <v>475.13</v>
      </c>
      <c r="L1996" s="17"/>
      <c r="M1996" s="15">
        <f t="shared" si="92"/>
        <v>0</v>
      </c>
      <c r="N1996" s="18">
        <f>0.196*L1996</f>
        <v>0</v>
      </c>
      <c r="O1996" s="19">
        <f>0.00039*L1996</f>
        <v>0</v>
      </c>
      <c r="P1996" s="24" t="s">
        <v>26</v>
      </c>
      <c r="Q1996" s="15" t="s">
        <v>6604</v>
      </c>
      <c r="R1996" s="15"/>
      <c r="S1996" s="10" t="str">
        <f>HYPERLINK("https://miland.ru/api/getInfo/image/642e79f2-2dad-11f1-a292-00155d82e908")</f>
        <v>https://miland.ru/api/getInfo/image/642e79f2-2dad-11f1-a292-00155d82e908</v>
      </c>
    </row>
    <row r="1997" spans="1:19" s="2" customFormat="1" ht="96.2" customHeight="1" outlineLevel="6">
      <c r="A1997" s="53">
        <v>1564</v>
      </c>
      <c r="B1997" s="10" t="s">
        <v>6605</v>
      </c>
      <c r="C1997" s="65" t="s">
        <v>6606</v>
      </c>
      <c r="D1997" s="65"/>
      <c r="E1997" s="65"/>
      <c r="F1997" s="65"/>
      <c r="G1997" s="11" t="s">
        <v>6607</v>
      </c>
      <c r="H1997" s="14">
        <v>164</v>
      </c>
      <c r="I1997" s="15"/>
      <c r="J1997" s="9">
        <v>1</v>
      </c>
      <c r="K1997" s="16">
        <v>475.13</v>
      </c>
      <c r="L1997" s="17"/>
      <c r="M1997" s="15">
        <f t="shared" si="92"/>
        <v>0</v>
      </c>
      <c r="N1997" s="18">
        <f>0.193*L1997</f>
        <v>0</v>
      </c>
      <c r="O1997" s="19">
        <f>0.00071*L1997</f>
        <v>0</v>
      </c>
      <c r="P1997" s="24" t="s">
        <v>26</v>
      </c>
      <c r="Q1997" s="15" t="s">
        <v>6608</v>
      </c>
      <c r="R1997" s="15"/>
      <c r="S1997" s="10" t="str">
        <f>HYPERLINK("https://miland.ru/api/getInfo/image/1cf8e393-2dad-11f1-a292-00155d82e908")</f>
        <v>https://miland.ru/api/getInfo/image/1cf8e393-2dad-11f1-a292-00155d82e908</v>
      </c>
    </row>
    <row r="1998" spans="1:19" s="1" customFormat="1" ht="12" customHeight="1" outlineLevel="4">
      <c r="A1998" s="64" t="s">
        <v>6609</v>
      </c>
      <c r="B1998" s="64"/>
      <c r="C1998" s="64"/>
      <c r="D1998" s="64"/>
      <c r="E1998" s="64"/>
      <c r="F1998" s="64"/>
      <c r="G1998" s="8"/>
      <c r="H1998" s="12"/>
      <c r="I1998" s="2"/>
      <c r="J1998" s="2"/>
      <c r="K1998" s="13"/>
      <c r="L1998" s="2"/>
      <c r="M1998" s="2"/>
      <c r="N1998" s="2"/>
      <c r="O1998" s="2"/>
      <c r="P1998" s="2"/>
      <c r="Q1998" s="2"/>
      <c r="R1998" s="2"/>
      <c r="S1998" s="2"/>
    </row>
    <row r="1999" spans="1:19" s="1" customFormat="1" ht="12" customHeight="1" outlineLevel="5">
      <c r="A1999" s="64" t="s">
        <v>6610</v>
      </c>
      <c r="B1999" s="64"/>
      <c r="C1999" s="64"/>
      <c r="D1999" s="64"/>
      <c r="E1999" s="64"/>
      <c r="F1999" s="64"/>
      <c r="G1999" s="8"/>
      <c r="H1999" s="12"/>
      <c r="I1999" s="2"/>
      <c r="J1999" s="2"/>
      <c r="K1999" s="13"/>
      <c r="L1999" s="2"/>
      <c r="M1999" s="2"/>
      <c r="N1999" s="2"/>
      <c r="O1999" s="2"/>
      <c r="P1999" s="2"/>
      <c r="Q1999" s="2"/>
      <c r="R1999" s="2"/>
      <c r="S1999" s="2"/>
    </row>
    <row r="2000" spans="1:19" s="1" customFormat="1" ht="12" customHeight="1" outlineLevel="6">
      <c r="A2000" s="64" t="s">
        <v>6611</v>
      </c>
      <c r="B2000" s="64"/>
      <c r="C2000" s="64"/>
      <c r="D2000" s="64"/>
      <c r="E2000" s="64"/>
      <c r="F2000" s="64"/>
      <c r="G2000" s="8"/>
      <c r="H2000" s="12"/>
      <c r="I2000" s="2"/>
      <c r="J2000" s="2"/>
      <c r="K2000" s="13"/>
      <c r="L2000" s="2"/>
      <c r="M2000" s="2"/>
      <c r="N2000" s="2"/>
      <c r="O2000" s="2"/>
      <c r="P2000" s="2"/>
      <c r="Q2000" s="2"/>
      <c r="R2000" s="2"/>
      <c r="S2000" s="2"/>
    </row>
    <row r="2001" spans="1:19" s="2" customFormat="1" ht="96.2" customHeight="1" outlineLevel="7">
      <c r="A2001" s="52">
        <v>1565</v>
      </c>
      <c r="B2001" s="26" t="s">
        <v>6612</v>
      </c>
      <c r="C2001" s="66" t="s">
        <v>6613</v>
      </c>
      <c r="D2001" s="66"/>
      <c r="E2001" s="66"/>
      <c r="F2001" s="66"/>
      <c r="G2001" s="27" t="s">
        <v>6614</v>
      </c>
      <c r="H2001" s="33">
        <v>1</v>
      </c>
      <c r="I2001" s="29"/>
      <c r="J2001" s="25">
        <v>1</v>
      </c>
      <c r="K2001" s="37">
        <v>2990.3</v>
      </c>
      <c r="L2001" s="17"/>
      <c r="M2001" s="29">
        <f t="shared" ref="M2001:M2009" si="93">K2001*L2001</f>
        <v>0</v>
      </c>
      <c r="N2001" s="31">
        <f>0.883*L2001</f>
        <v>0</v>
      </c>
      <c r="O2001" s="32">
        <f>0.00563*L2001</f>
        <v>0</v>
      </c>
      <c r="P2001" s="36"/>
      <c r="Q2001" s="29" t="s">
        <v>6615</v>
      </c>
      <c r="R2001" s="29" t="s">
        <v>611</v>
      </c>
      <c r="S2001" s="26" t="str">
        <f>HYPERLINK("https://miland.ru/api/getInfo/image/60f5d30a-f026-11ee-a25b-00155d82e908")</f>
        <v>https://miland.ru/api/getInfo/image/60f5d30a-f026-11ee-a25b-00155d82e908</v>
      </c>
    </row>
    <row r="2002" spans="1:19" s="2" customFormat="1" ht="96.2" customHeight="1" outlineLevel="7">
      <c r="A2002" s="52">
        <v>1566</v>
      </c>
      <c r="B2002" s="26" t="s">
        <v>6616</v>
      </c>
      <c r="C2002" s="66" t="s">
        <v>6617</v>
      </c>
      <c r="D2002" s="66"/>
      <c r="E2002" s="66"/>
      <c r="F2002" s="66"/>
      <c r="G2002" s="27" t="s">
        <v>6618</v>
      </c>
      <c r="H2002" s="33">
        <v>4</v>
      </c>
      <c r="I2002" s="29"/>
      <c r="J2002" s="25">
        <v>1</v>
      </c>
      <c r="K2002" s="37">
        <v>5421.7</v>
      </c>
      <c r="L2002" s="17"/>
      <c r="M2002" s="29">
        <f t="shared" si="93"/>
        <v>0</v>
      </c>
      <c r="N2002" s="34">
        <f>1.93*L2002</f>
        <v>0</v>
      </c>
      <c r="O2002" s="32">
        <f>0.00785*L2002</f>
        <v>0</v>
      </c>
      <c r="P2002" s="36"/>
      <c r="Q2002" s="29" t="s">
        <v>6619</v>
      </c>
      <c r="R2002" s="29" t="s">
        <v>611</v>
      </c>
      <c r="S2002" s="26" t="str">
        <f>HYPERLINK("https://miland.ru/api/getInfo/image/0eb9542e-f026-11ee-a25b-00155d82e908")</f>
        <v>https://miland.ru/api/getInfo/image/0eb9542e-f026-11ee-a25b-00155d82e908</v>
      </c>
    </row>
    <row r="2003" spans="1:19" s="2" customFormat="1" ht="96.2" customHeight="1" outlineLevel="7">
      <c r="A2003" s="52">
        <v>1567</v>
      </c>
      <c r="B2003" s="26" t="s">
        <v>6620</v>
      </c>
      <c r="C2003" s="66" t="s">
        <v>6621</v>
      </c>
      <c r="D2003" s="66"/>
      <c r="E2003" s="66"/>
      <c r="F2003" s="66"/>
      <c r="G2003" s="27" t="s">
        <v>6622</v>
      </c>
      <c r="H2003" s="33">
        <v>94</v>
      </c>
      <c r="I2003" s="29"/>
      <c r="J2003" s="25">
        <v>1</v>
      </c>
      <c r="K2003" s="37">
        <v>3520.99</v>
      </c>
      <c r="L2003" s="17"/>
      <c r="M2003" s="29">
        <f t="shared" si="93"/>
        <v>0</v>
      </c>
      <c r="N2003" s="31">
        <f>1.972*L2003</f>
        <v>0</v>
      </c>
      <c r="O2003" s="32">
        <f>0.01033*L2003</f>
        <v>0</v>
      </c>
      <c r="P2003" s="36"/>
      <c r="Q2003" s="29" t="s">
        <v>6623</v>
      </c>
      <c r="R2003" s="29" t="s">
        <v>611</v>
      </c>
      <c r="S2003" s="26" t="str">
        <f>HYPERLINK("https://miland.ru/api/getInfo/image/2b105fd2-962f-11ed-a22d-00155d82e902")</f>
        <v>https://miland.ru/api/getInfo/image/2b105fd2-962f-11ed-a22d-00155d82e902</v>
      </c>
    </row>
    <row r="2004" spans="1:19" s="2" customFormat="1" ht="96.2" customHeight="1" outlineLevel="7">
      <c r="A2004" s="52">
        <v>1568</v>
      </c>
      <c r="B2004" s="26" t="s">
        <v>6624</v>
      </c>
      <c r="C2004" s="66" t="s">
        <v>6625</v>
      </c>
      <c r="D2004" s="66"/>
      <c r="E2004" s="66"/>
      <c r="F2004" s="66"/>
      <c r="G2004" s="27" t="s">
        <v>6626</v>
      </c>
      <c r="H2004" s="33">
        <v>9</v>
      </c>
      <c r="I2004" s="29"/>
      <c r="J2004" s="25">
        <v>1</v>
      </c>
      <c r="K2004" s="37">
        <v>5505.15</v>
      </c>
      <c r="L2004" s="17"/>
      <c r="M2004" s="29">
        <f t="shared" si="93"/>
        <v>0</v>
      </c>
      <c r="N2004" s="34">
        <f>1.73*L2004</f>
        <v>0</v>
      </c>
      <c r="O2004" s="32">
        <f>0.00585*L2004</f>
        <v>0</v>
      </c>
      <c r="P2004" s="36"/>
      <c r="Q2004" s="29" t="s">
        <v>6627</v>
      </c>
      <c r="R2004" s="29" t="s">
        <v>611</v>
      </c>
      <c r="S2004" s="26" t="str">
        <f>HYPERLINK("https://miland.ru/api/getInfo/image/deb117b0-f024-11ee-a25b-00155d82e908")</f>
        <v>https://miland.ru/api/getInfo/image/deb117b0-f024-11ee-a25b-00155d82e908</v>
      </c>
    </row>
    <row r="2005" spans="1:19" s="2" customFormat="1" ht="96.2" customHeight="1" outlineLevel="7">
      <c r="A2005" s="52">
        <v>1569</v>
      </c>
      <c r="B2005" s="26" t="s">
        <v>6628</v>
      </c>
      <c r="C2005" s="66" t="s">
        <v>6629</v>
      </c>
      <c r="D2005" s="66"/>
      <c r="E2005" s="66"/>
      <c r="F2005" s="66"/>
      <c r="G2005" s="27" t="s">
        <v>6630</v>
      </c>
      <c r="H2005" s="33">
        <v>52</v>
      </c>
      <c r="I2005" s="29"/>
      <c r="J2005" s="25">
        <v>1</v>
      </c>
      <c r="K2005" s="37">
        <v>4368.6899999999996</v>
      </c>
      <c r="L2005" s="17"/>
      <c r="M2005" s="29">
        <f t="shared" si="93"/>
        <v>0</v>
      </c>
      <c r="N2005" s="31">
        <f>1.841*L2005</f>
        <v>0</v>
      </c>
      <c r="O2005" s="32">
        <f>0.00451*L2005</f>
        <v>0</v>
      </c>
      <c r="P2005" s="36"/>
      <c r="Q2005" s="29" t="s">
        <v>6631</v>
      </c>
      <c r="R2005" s="29" t="s">
        <v>611</v>
      </c>
      <c r="S2005" s="26" t="str">
        <f>HYPERLINK("https://miland.ru/api/getInfo/image/f321b435-f026-11ee-a25b-00155d82e908")</f>
        <v>https://miland.ru/api/getInfo/image/f321b435-f026-11ee-a25b-00155d82e908</v>
      </c>
    </row>
    <row r="2006" spans="1:19" s="2" customFormat="1" ht="96.2" customHeight="1" outlineLevel="7">
      <c r="A2006" s="52">
        <v>1570</v>
      </c>
      <c r="B2006" s="26" t="s">
        <v>6632</v>
      </c>
      <c r="C2006" s="66" t="s">
        <v>6633</v>
      </c>
      <c r="D2006" s="66"/>
      <c r="E2006" s="66"/>
      <c r="F2006" s="66"/>
      <c r="G2006" s="27" t="s">
        <v>6634</v>
      </c>
      <c r="H2006" s="33">
        <v>65</v>
      </c>
      <c r="I2006" s="29"/>
      <c r="J2006" s="25">
        <v>1</v>
      </c>
      <c r="K2006" s="37">
        <v>4368.6899999999996</v>
      </c>
      <c r="L2006" s="17"/>
      <c r="M2006" s="29">
        <f t="shared" si="93"/>
        <v>0</v>
      </c>
      <c r="N2006" s="31">
        <f>1.833*L2006</f>
        <v>0</v>
      </c>
      <c r="O2006" s="32">
        <f>0.00464*L2006</f>
        <v>0</v>
      </c>
      <c r="P2006" s="36"/>
      <c r="Q2006" s="29" t="s">
        <v>6635</v>
      </c>
      <c r="R2006" s="29" t="s">
        <v>611</v>
      </c>
      <c r="S2006" s="26" t="str">
        <f>HYPERLINK("https://miland.ru/api/getInfo/image/5018b078-f027-11ee-a25b-00155d82e908")</f>
        <v>https://miland.ru/api/getInfo/image/5018b078-f027-11ee-a25b-00155d82e908</v>
      </c>
    </row>
    <row r="2007" spans="1:19" s="2" customFormat="1" ht="96.2" customHeight="1" outlineLevel="7">
      <c r="A2007" s="52">
        <v>1571</v>
      </c>
      <c r="B2007" s="26" t="s">
        <v>6636</v>
      </c>
      <c r="C2007" s="66" t="s">
        <v>6637</v>
      </c>
      <c r="D2007" s="66"/>
      <c r="E2007" s="66"/>
      <c r="F2007" s="66"/>
      <c r="G2007" s="27" t="s">
        <v>6638</v>
      </c>
      <c r="H2007" s="33">
        <v>6</v>
      </c>
      <c r="I2007" s="29"/>
      <c r="J2007" s="25">
        <v>1</v>
      </c>
      <c r="K2007" s="37">
        <v>3255.22</v>
      </c>
      <c r="L2007" s="17"/>
      <c r="M2007" s="29">
        <f t="shared" si="93"/>
        <v>0</v>
      </c>
      <c r="N2007" s="31">
        <f>1.034*L2007</f>
        <v>0</v>
      </c>
      <c r="O2007" s="31">
        <f>0.004*L2007</f>
        <v>0</v>
      </c>
      <c r="P2007" s="36"/>
      <c r="Q2007" s="29" t="s">
        <v>6639</v>
      </c>
      <c r="R2007" s="29" t="s">
        <v>611</v>
      </c>
      <c r="S2007" s="26" t="str">
        <f>HYPERLINK("https://miland.ru/api/getInfo/image/99f1d577-f025-11ee-a25b-00155d82e908")</f>
        <v>https://miland.ru/api/getInfo/image/99f1d577-f025-11ee-a25b-00155d82e908</v>
      </c>
    </row>
    <row r="2008" spans="1:19" s="2" customFormat="1" ht="96.2" customHeight="1" outlineLevel="7">
      <c r="A2008" s="52">
        <v>1572</v>
      </c>
      <c r="B2008" s="26" t="s">
        <v>6640</v>
      </c>
      <c r="C2008" s="66" t="s">
        <v>6641</v>
      </c>
      <c r="D2008" s="66"/>
      <c r="E2008" s="66"/>
      <c r="F2008" s="66"/>
      <c r="G2008" s="27" t="s">
        <v>6642</v>
      </c>
      <c r="H2008" s="33">
        <v>18</v>
      </c>
      <c r="I2008" s="29"/>
      <c r="J2008" s="25">
        <v>1</v>
      </c>
      <c r="K2008" s="37">
        <v>2600.62</v>
      </c>
      <c r="L2008" s="17"/>
      <c r="M2008" s="29">
        <f t="shared" si="93"/>
        <v>0</v>
      </c>
      <c r="N2008" s="31">
        <f>1.623*L2008</f>
        <v>0</v>
      </c>
      <c r="O2008" s="32">
        <f>0.00805*L2008</f>
        <v>0</v>
      </c>
      <c r="P2008" s="36"/>
      <c r="Q2008" s="29" t="s">
        <v>6643</v>
      </c>
      <c r="R2008" s="29" t="s">
        <v>611</v>
      </c>
      <c r="S2008" s="26" t="str">
        <f>HYPERLINK("https://miland.ru/api/getInfo/image/8f7fc11d-962f-11ed-a22d-00155d82e902")</f>
        <v>https://miland.ru/api/getInfo/image/8f7fc11d-962f-11ed-a22d-00155d82e902</v>
      </c>
    </row>
    <row r="2009" spans="1:19" s="2" customFormat="1" ht="96.2" customHeight="1" outlineLevel="7">
      <c r="A2009" s="52">
        <v>1573</v>
      </c>
      <c r="B2009" s="26" t="s">
        <v>6644</v>
      </c>
      <c r="C2009" s="66" t="s">
        <v>6645</v>
      </c>
      <c r="D2009" s="66"/>
      <c r="E2009" s="66"/>
      <c r="F2009" s="66"/>
      <c r="G2009" s="27" t="s">
        <v>6646</v>
      </c>
      <c r="H2009" s="33">
        <v>90</v>
      </c>
      <c r="I2009" s="29"/>
      <c r="J2009" s="25">
        <v>1</v>
      </c>
      <c r="K2009" s="37">
        <v>3435.82</v>
      </c>
      <c r="L2009" s="17"/>
      <c r="M2009" s="29">
        <f t="shared" si="93"/>
        <v>0</v>
      </c>
      <c r="N2009" s="31">
        <f>1.713*L2009</f>
        <v>0</v>
      </c>
      <c r="O2009" s="32">
        <f>0.00739*L2009</f>
        <v>0</v>
      </c>
      <c r="P2009" s="36"/>
      <c r="Q2009" s="29" t="s">
        <v>6647</v>
      </c>
      <c r="R2009" s="29" t="s">
        <v>611</v>
      </c>
      <c r="S2009" s="26" t="str">
        <f>HYPERLINK("https://miland.ru/api/getInfo/image/bfd10f39-962f-11ed-a22d-00155d82e902")</f>
        <v>https://miland.ru/api/getInfo/image/bfd10f39-962f-11ed-a22d-00155d82e902</v>
      </c>
    </row>
    <row r="2010" spans="1:19" s="1" customFormat="1" ht="12" customHeight="1" outlineLevel="6">
      <c r="A2010" s="64" t="s">
        <v>6648</v>
      </c>
      <c r="B2010" s="64"/>
      <c r="C2010" s="64"/>
      <c r="D2010" s="64"/>
      <c r="E2010" s="64"/>
      <c r="F2010" s="64"/>
      <c r="G2010" s="8"/>
      <c r="H2010" s="12"/>
      <c r="I2010" s="2"/>
      <c r="J2010" s="2"/>
      <c r="K2010" s="13"/>
      <c r="L2010" s="2"/>
      <c r="M2010" s="2"/>
      <c r="N2010" s="2"/>
      <c r="O2010" s="2"/>
      <c r="P2010" s="2"/>
      <c r="Q2010" s="2"/>
      <c r="R2010" s="2"/>
      <c r="S2010" s="2"/>
    </row>
    <row r="2011" spans="1:19" s="2" customFormat="1" ht="96.2" customHeight="1" outlineLevel="7">
      <c r="A2011" s="52">
        <v>1574</v>
      </c>
      <c r="B2011" s="26" t="s">
        <v>6649</v>
      </c>
      <c r="C2011" s="66" t="s">
        <v>6650</v>
      </c>
      <c r="D2011" s="66"/>
      <c r="E2011" s="66"/>
      <c r="F2011" s="66"/>
      <c r="G2011" s="27" t="s">
        <v>6651</v>
      </c>
      <c r="H2011" s="33">
        <v>5</v>
      </c>
      <c r="I2011" s="29"/>
      <c r="J2011" s="25">
        <v>2</v>
      </c>
      <c r="K2011" s="30">
        <v>348.5</v>
      </c>
      <c r="L2011" s="17"/>
      <c r="M2011" s="29">
        <f t="shared" ref="M2011:M2022" si="94">K2011*L2011</f>
        <v>0</v>
      </c>
      <c r="N2011" s="34">
        <f>0.08*L2011</f>
        <v>0</v>
      </c>
      <c r="O2011" s="32">
        <f>0.00032*L2011</f>
        <v>0</v>
      </c>
      <c r="P2011" s="36"/>
      <c r="Q2011" s="29" t="s">
        <v>6652</v>
      </c>
      <c r="R2011" s="29" t="s">
        <v>611</v>
      </c>
      <c r="S2011" s="26" t="str">
        <f>HYPERLINK("https://miland.ru/api/getInfo/image/df6e3b76-a558-11ee-a258-00155d82e908")</f>
        <v>https://miland.ru/api/getInfo/image/df6e3b76-a558-11ee-a258-00155d82e908</v>
      </c>
    </row>
    <row r="2012" spans="1:19" s="2" customFormat="1" ht="96.2" customHeight="1" outlineLevel="7">
      <c r="A2012" s="52">
        <v>1575</v>
      </c>
      <c r="B2012" s="26" t="s">
        <v>6653</v>
      </c>
      <c r="C2012" s="66" t="s">
        <v>6654</v>
      </c>
      <c r="D2012" s="66"/>
      <c r="E2012" s="66"/>
      <c r="F2012" s="66"/>
      <c r="G2012" s="27" t="s">
        <v>6655</v>
      </c>
      <c r="H2012" s="33">
        <v>1</v>
      </c>
      <c r="I2012" s="29"/>
      <c r="J2012" s="25">
        <v>1</v>
      </c>
      <c r="K2012" s="30">
        <v>249.16</v>
      </c>
      <c r="L2012" s="17"/>
      <c r="M2012" s="29">
        <f t="shared" si="94"/>
        <v>0</v>
      </c>
      <c r="N2012" s="31">
        <f>0.103*L2012</f>
        <v>0</v>
      </c>
      <c r="O2012" s="32">
        <f>0.00124*L2012</f>
        <v>0</v>
      </c>
      <c r="P2012" s="36"/>
      <c r="Q2012" s="29" t="s">
        <v>6656</v>
      </c>
      <c r="R2012" s="29"/>
      <c r="S2012" s="26" t="str">
        <f>HYPERLINK("https://miland.ru/api/getInfo/image/1c0322bf-21b6-11f0-a279-00155d82e908")</f>
        <v>https://miland.ru/api/getInfo/image/1c0322bf-21b6-11f0-a279-00155d82e908</v>
      </c>
    </row>
    <row r="2013" spans="1:19" s="2" customFormat="1" ht="96.2" customHeight="1" outlineLevel="7">
      <c r="A2013" s="52">
        <v>1576</v>
      </c>
      <c r="B2013" s="26" t="s">
        <v>6657</v>
      </c>
      <c r="C2013" s="66" t="s">
        <v>6658</v>
      </c>
      <c r="D2013" s="66"/>
      <c r="E2013" s="66"/>
      <c r="F2013" s="66"/>
      <c r="G2013" s="27" t="s">
        <v>6659</v>
      </c>
      <c r="H2013" s="33">
        <v>11</v>
      </c>
      <c r="I2013" s="29"/>
      <c r="J2013" s="25">
        <v>2</v>
      </c>
      <c r="K2013" s="30">
        <v>293.91000000000003</v>
      </c>
      <c r="L2013" s="17"/>
      <c r="M2013" s="29">
        <f t="shared" si="94"/>
        <v>0</v>
      </c>
      <c r="N2013" s="31">
        <f>0.071*L2013</f>
        <v>0</v>
      </c>
      <c r="O2013" s="32">
        <f>0.00022*L2013</f>
        <v>0</v>
      </c>
      <c r="P2013" s="36"/>
      <c r="Q2013" s="29" t="s">
        <v>6660</v>
      </c>
      <c r="R2013" s="29" t="s">
        <v>611</v>
      </c>
      <c r="S2013" s="26" t="str">
        <f>HYPERLINK("https://miland.ru/api/getInfo/image/32dc1206-a557-11ee-a258-00155d82e908")</f>
        <v>https://miland.ru/api/getInfo/image/32dc1206-a557-11ee-a258-00155d82e908</v>
      </c>
    </row>
    <row r="2014" spans="1:19" s="2" customFormat="1" ht="96.2" customHeight="1" outlineLevel="7">
      <c r="A2014" s="52">
        <v>1577</v>
      </c>
      <c r="B2014" s="26" t="s">
        <v>6661</v>
      </c>
      <c r="C2014" s="66" t="s">
        <v>6662</v>
      </c>
      <c r="D2014" s="66"/>
      <c r="E2014" s="66"/>
      <c r="F2014" s="66"/>
      <c r="G2014" s="27" t="s">
        <v>6663</v>
      </c>
      <c r="H2014" s="33">
        <v>440</v>
      </c>
      <c r="I2014" s="29"/>
      <c r="J2014" s="25">
        <v>1</v>
      </c>
      <c r="K2014" s="30">
        <v>635.54</v>
      </c>
      <c r="L2014" s="17"/>
      <c r="M2014" s="29">
        <f t="shared" si="94"/>
        <v>0</v>
      </c>
      <c r="N2014" s="31">
        <f>0.286*L2014</f>
        <v>0</v>
      </c>
      <c r="O2014" s="35">
        <f>0.0014*L2014</f>
        <v>0</v>
      </c>
      <c r="P2014" s="36"/>
      <c r="Q2014" s="29" t="s">
        <v>6664</v>
      </c>
      <c r="R2014" s="29"/>
      <c r="S2014" s="26" t="str">
        <f>HYPERLINK("https://miland.ru/api/getInfo/image/844c6360-96f3-11ed-a22d-00155d82e902")</f>
        <v>https://miland.ru/api/getInfo/image/844c6360-96f3-11ed-a22d-00155d82e902</v>
      </c>
    </row>
    <row r="2015" spans="1:19" s="2" customFormat="1" ht="96.2" customHeight="1" outlineLevel="7">
      <c r="A2015" s="52">
        <v>1578</v>
      </c>
      <c r="B2015" s="26" t="s">
        <v>6665</v>
      </c>
      <c r="C2015" s="66" t="s">
        <v>6666</v>
      </c>
      <c r="D2015" s="66"/>
      <c r="E2015" s="66"/>
      <c r="F2015" s="66"/>
      <c r="G2015" s="27" t="s">
        <v>6667</v>
      </c>
      <c r="H2015" s="33">
        <v>1</v>
      </c>
      <c r="I2015" s="29"/>
      <c r="J2015" s="25">
        <v>1</v>
      </c>
      <c r="K2015" s="30">
        <v>940.52</v>
      </c>
      <c r="L2015" s="17"/>
      <c r="M2015" s="29">
        <f t="shared" si="94"/>
        <v>0</v>
      </c>
      <c r="N2015" s="31">
        <f>0.231*L2015</f>
        <v>0</v>
      </c>
      <c r="O2015" s="32">
        <f>0.00195*L2015</f>
        <v>0</v>
      </c>
      <c r="P2015" s="36"/>
      <c r="Q2015" s="29" t="s">
        <v>6668</v>
      </c>
      <c r="R2015" s="29" t="s">
        <v>611</v>
      </c>
      <c r="S2015" s="26" t="str">
        <f>HYPERLINK("https://miland.ru/api/getInfo/image/afaea7cd-96f4-11ed-a22d-00155d82e902")</f>
        <v>https://miland.ru/api/getInfo/image/afaea7cd-96f4-11ed-a22d-00155d82e902</v>
      </c>
    </row>
    <row r="2016" spans="1:19" s="2" customFormat="1" ht="96.2" customHeight="1" outlineLevel="7">
      <c r="A2016" s="52">
        <v>1579</v>
      </c>
      <c r="B2016" s="26" t="s">
        <v>6669</v>
      </c>
      <c r="C2016" s="66" t="s">
        <v>6670</v>
      </c>
      <c r="D2016" s="66"/>
      <c r="E2016" s="66"/>
      <c r="F2016" s="66"/>
      <c r="G2016" s="27" t="s">
        <v>6671</v>
      </c>
      <c r="H2016" s="33">
        <v>84</v>
      </c>
      <c r="I2016" s="29"/>
      <c r="J2016" s="25">
        <v>1</v>
      </c>
      <c r="K2016" s="30">
        <v>635.54</v>
      </c>
      <c r="L2016" s="17"/>
      <c r="M2016" s="29">
        <f t="shared" si="94"/>
        <v>0</v>
      </c>
      <c r="N2016" s="31">
        <f>0.293*L2016</f>
        <v>0</v>
      </c>
      <c r="O2016" s="32">
        <f>0.00169*L2016</f>
        <v>0</v>
      </c>
      <c r="P2016" s="36"/>
      <c r="Q2016" s="29" t="s">
        <v>6672</v>
      </c>
      <c r="R2016" s="29"/>
      <c r="S2016" s="26" t="str">
        <f>HYPERLINK("https://miland.ru/api/getInfo/image/aa25c82a-96f3-11ed-a22d-00155d82e902")</f>
        <v>https://miland.ru/api/getInfo/image/aa25c82a-96f3-11ed-a22d-00155d82e902</v>
      </c>
    </row>
    <row r="2017" spans="1:19" s="2" customFormat="1" ht="96.2" customHeight="1" outlineLevel="7">
      <c r="A2017" s="52">
        <v>1580</v>
      </c>
      <c r="B2017" s="26" t="s">
        <v>6673</v>
      </c>
      <c r="C2017" s="66" t="s">
        <v>6674</v>
      </c>
      <c r="D2017" s="66"/>
      <c r="E2017" s="66"/>
      <c r="F2017" s="66"/>
      <c r="G2017" s="27" t="s">
        <v>6675</v>
      </c>
      <c r="H2017" s="33">
        <v>153</v>
      </c>
      <c r="I2017" s="29"/>
      <c r="J2017" s="25">
        <v>1</v>
      </c>
      <c r="K2017" s="30">
        <v>635.54</v>
      </c>
      <c r="L2017" s="17"/>
      <c r="M2017" s="29">
        <f t="shared" si="94"/>
        <v>0</v>
      </c>
      <c r="N2017" s="31">
        <f>0.294*L2017</f>
        <v>0</v>
      </c>
      <c r="O2017" s="32">
        <f>0.00155*L2017</f>
        <v>0</v>
      </c>
      <c r="P2017" s="36"/>
      <c r="Q2017" s="29" t="s">
        <v>6676</v>
      </c>
      <c r="R2017" s="29"/>
      <c r="S2017" s="26" t="str">
        <f>HYPERLINK("https://miland.ru/api/getInfo/image/5ce73b0a-96f3-11ed-a22d-00155d82e902")</f>
        <v>https://miland.ru/api/getInfo/image/5ce73b0a-96f3-11ed-a22d-00155d82e902</v>
      </c>
    </row>
    <row r="2018" spans="1:19" s="2" customFormat="1" ht="96.2" customHeight="1" outlineLevel="7">
      <c r="A2018" s="52">
        <v>1581</v>
      </c>
      <c r="B2018" s="26" t="s">
        <v>6677</v>
      </c>
      <c r="C2018" s="66" t="s">
        <v>6678</v>
      </c>
      <c r="D2018" s="66"/>
      <c r="E2018" s="66"/>
      <c r="F2018" s="66"/>
      <c r="G2018" s="27" t="s">
        <v>6679</v>
      </c>
      <c r="H2018" s="33">
        <v>282</v>
      </c>
      <c r="I2018" s="29"/>
      <c r="J2018" s="25">
        <v>1</v>
      </c>
      <c r="K2018" s="30">
        <v>817.58</v>
      </c>
      <c r="L2018" s="17"/>
      <c r="M2018" s="29">
        <f t="shared" si="94"/>
        <v>0</v>
      </c>
      <c r="N2018" s="31">
        <f>0.818*L2018</f>
        <v>0</v>
      </c>
      <c r="O2018" s="32">
        <f>0.00991*L2018</f>
        <v>0</v>
      </c>
      <c r="P2018" s="36"/>
      <c r="Q2018" s="29" t="s">
        <v>6680</v>
      </c>
      <c r="R2018" s="29"/>
      <c r="S2018" s="26" t="str">
        <f>HYPERLINK("https://miland.ru/api/getInfo/image/fce6df8a-96f2-11ed-a22d-00155d82e902")</f>
        <v>https://miland.ru/api/getInfo/image/fce6df8a-96f2-11ed-a22d-00155d82e902</v>
      </c>
    </row>
    <row r="2019" spans="1:19" s="2" customFormat="1" ht="96.2" customHeight="1" outlineLevel="7">
      <c r="A2019" s="52">
        <v>1582</v>
      </c>
      <c r="B2019" s="26" t="s">
        <v>6681</v>
      </c>
      <c r="C2019" s="66" t="s">
        <v>6682</v>
      </c>
      <c r="D2019" s="66"/>
      <c r="E2019" s="66"/>
      <c r="F2019" s="66"/>
      <c r="G2019" s="27" t="s">
        <v>6683</v>
      </c>
      <c r="H2019" s="28" t="s">
        <v>44</v>
      </c>
      <c r="I2019" s="29"/>
      <c r="J2019" s="25">
        <v>1</v>
      </c>
      <c r="K2019" s="30">
        <v>775.45</v>
      </c>
      <c r="L2019" s="17"/>
      <c r="M2019" s="29">
        <f t="shared" si="94"/>
        <v>0</v>
      </c>
      <c r="N2019" s="31">
        <f>0.767*L2019</f>
        <v>0</v>
      </c>
      <c r="O2019" s="32">
        <f>0.00752*L2019</f>
        <v>0</v>
      </c>
      <c r="P2019" s="36"/>
      <c r="Q2019" s="29" t="s">
        <v>6684</v>
      </c>
      <c r="R2019" s="29"/>
      <c r="S2019" s="26" t="str">
        <f>HYPERLINK("https://miland.ru/api/getInfo/image/304d4650-96f3-11ed-a22d-00155d82e902")</f>
        <v>https://miland.ru/api/getInfo/image/304d4650-96f3-11ed-a22d-00155d82e902</v>
      </c>
    </row>
    <row r="2020" spans="1:19" s="2" customFormat="1" ht="96.2" customHeight="1" outlineLevel="7">
      <c r="A2020" s="52">
        <v>1583</v>
      </c>
      <c r="B2020" s="26" t="s">
        <v>6685</v>
      </c>
      <c r="C2020" s="66" t="s">
        <v>6686</v>
      </c>
      <c r="D2020" s="66"/>
      <c r="E2020" s="66"/>
      <c r="F2020" s="66"/>
      <c r="G2020" s="27" t="s">
        <v>6687</v>
      </c>
      <c r="H2020" s="33">
        <v>9</v>
      </c>
      <c r="I2020" s="29"/>
      <c r="J2020" s="25">
        <v>1</v>
      </c>
      <c r="K2020" s="30">
        <v>912.95</v>
      </c>
      <c r="L2020" s="17"/>
      <c r="M2020" s="29">
        <f t="shared" si="94"/>
        <v>0</v>
      </c>
      <c r="N2020" s="31">
        <f>0.195*L2020</f>
        <v>0</v>
      </c>
      <c r="O2020" s="32">
        <f>0.00144*L2020</f>
        <v>0</v>
      </c>
      <c r="P2020" s="36"/>
      <c r="Q2020" s="29" t="s">
        <v>6688</v>
      </c>
      <c r="R2020" s="29" t="s">
        <v>611</v>
      </c>
      <c r="S2020" s="26" t="str">
        <f>HYPERLINK("https://miland.ru/api/getInfo/image/d4470a7f-f049-11ef-a274-00155d82e908")</f>
        <v>https://miland.ru/api/getInfo/image/d4470a7f-f049-11ef-a274-00155d82e908</v>
      </c>
    </row>
    <row r="2021" spans="1:19" s="2" customFormat="1" ht="96.2" customHeight="1" outlineLevel="7">
      <c r="A2021" s="52">
        <v>1584</v>
      </c>
      <c r="B2021" s="26" t="s">
        <v>6689</v>
      </c>
      <c r="C2021" s="66" t="s">
        <v>6690</v>
      </c>
      <c r="D2021" s="66"/>
      <c r="E2021" s="66"/>
      <c r="F2021" s="66"/>
      <c r="G2021" s="27" t="s">
        <v>6691</v>
      </c>
      <c r="H2021" s="33">
        <v>11</v>
      </c>
      <c r="I2021" s="29"/>
      <c r="J2021" s="25">
        <v>1</v>
      </c>
      <c r="K2021" s="30">
        <v>985.75</v>
      </c>
      <c r="L2021" s="17"/>
      <c r="M2021" s="29">
        <f t="shared" si="94"/>
        <v>0</v>
      </c>
      <c r="N2021" s="31">
        <f>0.218*L2021</f>
        <v>0</v>
      </c>
      <c r="O2021" s="32">
        <f>0.00149*L2021</f>
        <v>0</v>
      </c>
      <c r="P2021" s="36"/>
      <c r="Q2021" s="29" t="s">
        <v>6692</v>
      </c>
      <c r="R2021" s="29" t="s">
        <v>611</v>
      </c>
      <c r="S2021" s="26" t="str">
        <f>HYPERLINK("https://miland.ru/api/getInfo/image/4b6b6a94-f04b-11ef-a274-00155d82e908")</f>
        <v>https://miland.ru/api/getInfo/image/4b6b6a94-f04b-11ef-a274-00155d82e908</v>
      </c>
    </row>
    <row r="2022" spans="1:19" s="2" customFormat="1" ht="96.2" customHeight="1" outlineLevel="7">
      <c r="A2022" s="52">
        <v>1585</v>
      </c>
      <c r="B2022" s="26" t="s">
        <v>6693</v>
      </c>
      <c r="C2022" s="66" t="s">
        <v>6694</v>
      </c>
      <c r="D2022" s="66"/>
      <c r="E2022" s="66"/>
      <c r="F2022" s="66"/>
      <c r="G2022" s="27" t="s">
        <v>6695</v>
      </c>
      <c r="H2022" s="33">
        <v>248</v>
      </c>
      <c r="I2022" s="29"/>
      <c r="J2022" s="25">
        <v>1</v>
      </c>
      <c r="K2022" s="30">
        <v>834.53</v>
      </c>
      <c r="L2022" s="17"/>
      <c r="M2022" s="29">
        <f t="shared" si="94"/>
        <v>0</v>
      </c>
      <c r="N2022" s="31">
        <f>0.395*L2022</f>
        <v>0</v>
      </c>
      <c r="O2022" s="32">
        <f>0.00176*L2022</f>
        <v>0</v>
      </c>
      <c r="P2022" s="36"/>
      <c r="Q2022" s="29" t="s">
        <v>6696</v>
      </c>
      <c r="R2022" s="29"/>
      <c r="S2022" s="26" t="str">
        <f>HYPERLINK("https://miland.ru/api/getInfo/image/ffdd409c-f04b-11ef-a274-00155d82e908")</f>
        <v>https://miland.ru/api/getInfo/image/ffdd409c-f04b-11ef-a274-00155d82e908</v>
      </c>
    </row>
    <row r="2023" spans="1:19" s="1" customFormat="1" ht="12" customHeight="1" outlineLevel="5">
      <c r="A2023" s="64" t="s">
        <v>6697</v>
      </c>
      <c r="B2023" s="64"/>
      <c r="C2023" s="64"/>
      <c r="D2023" s="64"/>
      <c r="E2023" s="64"/>
      <c r="F2023" s="64"/>
      <c r="G2023" s="8"/>
      <c r="H2023" s="12"/>
      <c r="I2023" s="2"/>
      <c r="J2023" s="2"/>
      <c r="K2023" s="13"/>
      <c r="L2023" s="2"/>
      <c r="M2023" s="2"/>
      <c r="N2023" s="2"/>
      <c r="O2023" s="2"/>
      <c r="P2023" s="2"/>
      <c r="Q2023" s="2"/>
      <c r="R2023" s="2"/>
      <c r="S2023" s="2"/>
    </row>
    <row r="2024" spans="1:19" s="1" customFormat="1" ht="12" customHeight="1" outlineLevel="6">
      <c r="A2024" s="64" t="s">
        <v>6698</v>
      </c>
      <c r="B2024" s="64"/>
      <c r="C2024" s="64"/>
      <c r="D2024" s="64"/>
      <c r="E2024" s="64"/>
      <c r="F2024" s="64"/>
      <c r="G2024" s="8"/>
      <c r="H2024" s="12"/>
      <c r="I2024" s="2"/>
      <c r="J2024" s="2"/>
      <c r="K2024" s="13"/>
      <c r="L2024" s="2"/>
      <c r="M2024" s="2"/>
      <c r="N2024" s="2"/>
      <c r="O2024" s="2"/>
      <c r="P2024" s="2"/>
      <c r="Q2024" s="2"/>
      <c r="R2024" s="2"/>
      <c r="S2024" s="2"/>
    </row>
    <row r="2025" spans="1:19" s="2" customFormat="1" ht="96.2" customHeight="1" outlineLevel="7">
      <c r="A2025" s="52">
        <v>1586</v>
      </c>
      <c r="B2025" s="26" t="s">
        <v>6699</v>
      </c>
      <c r="C2025" s="66" t="s">
        <v>6700</v>
      </c>
      <c r="D2025" s="66"/>
      <c r="E2025" s="66"/>
      <c r="F2025" s="66"/>
      <c r="G2025" s="27" t="s">
        <v>6701</v>
      </c>
      <c r="H2025" s="33">
        <v>15</v>
      </c>
      <c r="I2025" s="29"/>
      <c r="J2025" s="25">
        <v>1</v>
      </c>
      <c r="K2025" s="37">
        <v>2006.99</v>
      </c>
      <c r="L2025" s="17"/>
      <c r="M2025" s="29">
        <f>K2025*L2025</f>
        <v>0</v>
      </c>
      <c r="N2025" s="31">
        <f>0.707*L2025</f>
        <v>0</v>
      </c>
      <c r="O2025" s="35">
        <f>0.0085*L2025</f>
        <v>0</v>
      </c>
      <c r="P2025" s="36"/>
      <c r="Q2025" s="29" t="s">
        <v>6702</v>
      </c>
      <c r="R2025" s="29" t="s">
        <v>611</v>
      </c>
      <c r="S2025" s="26" t="str">
        <f>HYPERLINK("https://miland.ru/api/getInfo/image/80ebef3b-21b3-11f0-a279-00155d82e908")</f>
        <v>https://miland.ru/api/getInfo/image/80ebef3b-21b3-11f0-a279-00155d82e908</v>
      </c>
    </row>
    <row r="2026" spans="1:19" s="2" customFormat="1" ht="96.2" customHeight="1" outlineLevel="7">
      <c r="A2026" s="52">
        <v>1587</v>
      </c>
      <c r="B2026" s="26" t="s">
        <v>6703</v>
      </c>
      <c r="C2026" s="66" t="s">
        <v>6704</v>
      </c>
      <c r="D2026" s="66"/>
      <c r="E2026" s="66"/>
      <c r="F2026" s="66"/>
      <c r="G2026" s="27" t="s">
        <v>6705</v>
      </c>
      <c r="H2026" s="33">
        <v>30</v>
      </c>
      <c r="I2026" s="29"/>
      <c r="J2026" s="25">
        <v>1</v>
      </c>
      <c r="K2026" s="37">
        <v>2006.99</v>
      </c>
      <c r="L2026" s="17"/>
      <c r="M2026" s="29">
        <f>K2026*L2026</f>
        <v>0</v>
      </c>
      <c r="N2026" s="31">
        <f>0.681*L2026</f>
        <v>0</v>
      </c>
      <c r="O2026" s="32">
        <f>0.00889*L2026</f>
        <v>0</v>
      </c>
      <c r="P2026" s="36"/>
      <c r="Q2026" s="29" t="s">
        <v>6706</v>
      </c>
      <c r="R2026" s="29" t="s">
        <v>611</v>
      </c>
      <c r="S2026" s="26" t="str">
        <f>HYPERLINK("https://miland.ru/api/getInfo/image/ff05a490-21b3-11f0-a279-00155d82e908")</f>
        <v>https://miland.ru/api/getInfo/image/ff05a490-21b3-11f0-a279-00155d82e908</v>
      </c>
    </row>
    <row r="2027" spans="1:19" s="2" customFormat="1" ht="96.2" customHeight="1" outlineLevel="7">
      <c r="A2027" s="52">
        <v>1588</v>
      </c>
      <c r="B2027" s="26" t="s">
        <v>6707</v>
      </c>
      <c r="C2027" s="66" t="s">
        <v>6708</v>
      </c>
      <c r="D2027" s="66"/>
      <c r="E2027" s="66"/>
      <c r="F2027" s="66"/>
      <c r="G2027" s="27" t="s">
        <v>6709</v>
      </c>
      <c r="H2027" s="33">
        <v>12</v>
      </c>
      <c r="I2027" s="29"/>
      <c r="J2027" s="25">
        <v>1</v>
      </c>
      <c r="K2027" s="37">
        <v>2006.99</v>
      </c>
      <c r="L2027" s="17"/>
      <c r="M2027" s="29">
        <f>K2027*L2027</f>
        <v>0</v>
      </c>
      <c r="N2027" s="31">
        <f>0.718*L2027</f>
        <v>0</v>
      </c>
      <c r="O2027" s="32">
        <f>0.00903*L2027</f>
        <v>0</v>
      </c>
      <c r="P2027" s="36"/>
      <c r="Q2027" s="29" t="s">
        <v>6710</v>
      </c>
      <c r="R2027" s="29" t="s">
        <v>611</v>
      </c>
      <c r="S2027" s="26" t="str">
        <f>HYPERLINK("https://miland.ru/api/getInfo/image/66ab2b94-21b4-11f0-a279-00155d82e908")</f>
        <v>https://miland.ru/api/getInfo/image/66ab2b94-21b4-11f0-a279-00155d82e908</v>
      </c>
    </row>
    <row r="2028" spans="1:19" s="2" customFormat="1" ht="96.2" customHeight="1" outlineLevel="7">
      <c r="A2028" s="52">
        <v>1589</v>
      </c>
      <c r="B2028" s="26" t="s">
        <v>6711</v>
      </c>
      <c r="C2028" s="66" t="s">
        <v>6712</v>
      </c>
      <c r="D2028" s="66"/>
      <c r="E2028" s="66"/>
      <c r="F2028" s="66"/>
      <c r="G2028" s="27" t="s">
        <v>6713</v>
      </c>
      <c r="H2028" s="33">
        <v>251</v>
      </c>
      <c r="I2028" s="29"/>
      <c r="J2028" s="25">
        <v>1</v>
      </c>
      <c r="K2028" s="37">
        <v>2860.96</v>
      </c>
      <c r="L2028" s="17"/>
      <c r="M2028" s="29">
        <f>K2028*L2028</f>
        <v>0</v>
      </c>
      <c r="N2028" s="31">
        <f>0.571*L2028</f>
        <v>0</v>
      </c>
      <c r="O2028" s="32">
        <f>0.00688*L2028</f>
        <v>0</v>
      </c>
      <c r="P2028" s="36"/>
      <c r="Q2028" s="29" t="s">
        <v>6714</v>
      </c>
      <c r="R2028" s="29"/>
      <c r="S2028" s="26" t="str">
        <f>HYPERLINK("https://miland.ru/api/getInfo/image/43801518-bd08-11ef-a267-00155d82e908")</f>
        <v>https://miland.ru/api/getInfo/image/43801518-bd08-11ef-a267-00155d82e908</v>
      </c>
    </row>
    <row r="2029" spans="1:19" s="1" customFormat="1" ht="12" customHeight="1" outlineLevel="6">
      <c r="A2029" s="64" t="s">
        <v>6715</v>
      </c>
      <c r="B2029" s="64"/>
      <c r="C2029" s="64"/>
      <c r="D2029" s="64"/>
      <c r="E2029" s="64"/>
      <c r="F2029" s="64"/>
      <c r="G2029" s="8"/>
      <c r="H2029" s="12"/>
      <c r="I2029" s="2"/>
      <c r="J2029" s="2"/>
      <c r="K2029" s="13"/>
      <c r="L2029" s="2"/>
      <c r="M2029" s="2"/>
      <c r="N2029" s="2"/>
      <c r="O2029" s="2"/>
      <c r="P2029" s="2"/>
      <c r="Q2029" s="2"/>
      <c r="R2029" s="2"/>
      <c r="S2029" s="2"/>
    </row>
    <row r="2030" spans="1:19" s="2" customFormat="1" ht="96.2" customHeight="1" outlineLevel="7">
      <c r="A2030" s="52">
        <v>1590</v>
      </c>
      <c r="B2030" s="26" t="s">
        <v>6716</v>
      </c>
      <c r="C2030" s="66" t="s">
        <v>6717</v>
      </c>
      <c r="D2030" s="66"/>
      <c r="E2030" s="66"/>
      <c r="F2030" s="66"/>
      <c r="G2030" s="27" t="s">
        <v>6718</v>
      </c>
      <c r="H2030" s="33">
        <v>49</v>
      </c>
      <c r="I2030" s="29"/>
      <c r="J2030" s="25">
        <v>1</v>
      </c>
      <c r="K2030" s="37">
        <v>4451.72</v>
      </c>
      <c r="L2030" s="17"/>
      <c r="M2030" s="29">
        <f>K2030*L2030</f>
        <v>0</v>
      </c>
      <c r="N2030" s="31">
        <f>1.164*L2030</f>
        <v>0</v>
      </c>
      <c r="O2030" s="32">
        <f>0.00656*L2030</f>
        <v>0</v>
      </c>
      <c r="P2030" s="36"/>
      <c r="Q2030" s="29" t="s">
        <v>6719</v>
      </c>
      <c r="R2030" s="29" t="s">
        <v>611</v>
      </c>
      <c r="S2030" s="26" t="str">
        <f>HYPERLINK("https://miland.ru/api/getInfo/image/d82761af-bd07-11ef-a267-00155d82e908")</f>
        <v>https://miland.ru/api/getInfo/image/d82761af-bd07-11ef-a267-00155d82e908</v>
      </c>
    </row>
    <row r="2031" spans="1:19" s="2" customFormat="1" ht="96.2" customHeight="1" outlineLevel="7">
      <c r="A2031" s="52">
        <v>1591</v>
      </c>
      <c r="B2031" s="26" t="s">
        <v>6720</v>
      </c>
      <c r="C2031" s="66" t="s">
        <v>6721</v>
      </c>
      <c r="D2031" s="66"/>
      <c r="E2031" s="66"/>
      <c r="F2031" s="66"/>
      <c r="G2031" s="27" t="s">
        <v>6722</v>
      </c>
      <c r="H2031" s="33">
        <v>3</v>
      </c>
      <c r="I2031" s="29"/>
      <c r="J2031" s="25">
        <v>1</v>
      </c>
      <c r="K2031" s="37">
        <v>1977.6</v>
      </c>
      <c r="L2031" s="17"/>
      <c r="M2031" s="29">
        <f>K2031*L2031</f>
        <v>0</v>
      </c>
      <c r="N2031" s="31">
        <f>0.555*L2031</f>
        <v>0</v>
      </c>
      <c r="O2031" s="32">
        <f>0.00392*L2031</f>
        <v>0</v>
      </c>
      <c r="P2031" s="36"/>
      <c r="Q2031" s="29" t="s">
        <v>6723</v>
      </c>
      <c r="R2031" s="29"/>
      <c r="S2031" s="26" t="str">
        <f>HYPERLINK("https://miland.ru/api/getInfo/image/8d8e64a1-d9eb-11ed-a232-00155d82e902")</f>
        <v>https://miland.ru/api/getInfo/image/8d8e64a1-d9eb-11ed-a232-00155d82e902</v>
      </c>
    </row>
    <row r="2032" spans="1:19" s="2" customFormat="1" ht="96.2" customHeight="1" outlineLevel="7">
      <c r="A2032" s="52">
        <v>1592</v>
      </c>
      <c r="B2032" s="26" t="s">
        <v>6724</v>
      </c>
      <c r="C2032" s="66" t="s">
        <v>6725</v>
      </c>
      <c r="D2032" s="66"/>
      <c r="E2032" s="66"/>
      <c r="F2032" s="66"/>
      <c r="G2032" s="27" t="s">
        <v>6726</v>
      </c>
      <c r="H2032" s="33">
        <v>2</v>
      </c>
      <c r="I2032" s="29"/>
      <c r="J2032" s="25">
        <v>1</v>
      </c>
      <c r="K2032" s="37">
        <v>2382.12</v>
      </c>
      <c r="L2032" s="17"/>
      <c r="M2032" s="29">
        <f>K2032*L2032</f>
        <v>0</v>
      </c>
      <c r="N2032" s="31">
        <f>0.758*L2032</f>
        <v>0</v>
      </c>
      <c r="O2032" s="32">
        <f>0.00777*L2032</f>
        <v>0</v>
      </c>
      <c r="P2032" s="36"/>
      <c r="Q2032" s="29" t="s">
        <v>6727</v>
      </c>
      <c r="R2032" s="29" t="s">
        <v>611</v>
      </c>
      <c r="S2032" s="26" t="str">
        <f>HYPERLINK("https://miland.ru/api/getInfo/image/ab7dc523-d9ea-11ed-a232-00155d82e902")</f>
        <v>https://miland.ru/api/getInfo/image/ab7dc523-d9ea-11ed-a232-00155d82e902</v>
      </c>
    </row>
    <row r="2033" spans="1:19" s="2" customFormat="1" ht="96.2" customHeight="1" outlineLevel="7">
      <c r="A2033" s="52">
        <v>1593</v>
      </c>
      <c r="B2033" s="26" t="s">
        <v>6728</v>
      </c>
      <c r="C2033" s="66" t="s">
        <v>6729</v>
      </c>
      <c r="D2033" s="66"/>
      <c r="E2033" s="66"/>
      <c r="F2033" s="66"/>
      <c r="G2033" s="27" t="s">
        <v>6730</v>
      </c>
      <c r="H2033" s="33">
        <v>1</v>
      </c>
      <c r="I2033" s="29"/>
      <c r="J2033" s="25">
        <v>1</v>
      </c>
      <c r="K2033" s="37">
        <v>3225.79</v>
      </c>
      <c r="L2033" s="17"/>
      <c r="M2033" s="29">
        <f>K2033*L2033</f>
        <v>0</v>
      </c>
      <c r="N2033" s="31">
        <f>1.351*L2033</f>
        <v>0</v>
      </c>
      <c r="O2033" s="32">
        <f>0.04178*L2033</f>
        <v>0</v>
      </c>
      <c r="P2033" s="36"/>
      <c r="Q2033" s="29" t="s">
        <v>6731</v>
      </c>
      <c r="R2033" s="29" t="s">
        <v>611</v>
      </c>
      <c r="S2033" s="26" t="str">
        <f>HYPERLINK("https://miland.ru/api/getInfo/image/2869d39e-d9ed-11ed-a232-00155d82e902")</f>
        <v>https://miland.ru/api/getInfo/image/2869d39e-d9ed-11ed-a232-00155d82e902</v>
      </c>
    </row>
    <row r="2034" spans="1:19" s="1" customFormat="1" ht="12" customHeight="1" outlineLevel="5">
      <c r="A2034" s="64" t="s">
        <v>6732</v>
      </c>
      <c r="B2034" s="64"/>
      <c r="C2034" s="64"/>
      <c r="D2034" s="64"/>
      <c r="E2034" s="64"/>
      <c r="F2034" s="64"/>
      <c r="G2034" s="8"/>
      <c r="H2034" s="12"/>
      <c r="I2034" s="2"/>
      <c r="J2034" s="2"/>
      <c r="K2034" s="13"/>
      <c r="L2034" s="2"/>
      <c r="M2034" s="2"/>
      <c r="N2034" s="2"/>
      <c r="O2034" s="2"/>
      <c r="P2034" s="2"/>
      <c r="Q2034" s="2"/>
      <c r="R2034" s="2"/>
      <c r="S2034" s="2"/>
    </row>
    <row r="2035" spans="1:19" s="2" customFormat="1" ht="96.2" customHeight="1" outlineLevel="6">
      <c r="A2035" s="53">
        <v>1594</v>
      </c>
      <c r="B2035" s="10" t="s">
        <v>6733</v>
      </c>
      <c r="C2035" s="65" t="s">
        <v>6734</v>
      </c>
      <c r="D2035" s="65"/>
      <c r="E2035" s="65"/>
      <c r="F2035" s="65"/>
      <c r="G2035" s="11" t="s">
        <v>6735</v>
      </c>
      <c r="H2035" s="14">
        <v>188</v>
      </c>
      <c r="I2035" s="15"/>
      <c r="J2035" s="9">
        <v>1</v>
      </c>
      <c r="K2035" s="16">
        <v>817.93</v>
      </c>
      <c r="L2035" s="17"/>
      <c r="M2035" s="15">
        <f t="shared" ref="M2035:M2051" si="95">K2035*L2035</f>
        <v>0</v>
      </c>
      <c r="N2035" s="18">
        <f>0.287*L2035</f>
        <v>0</v>
      </c>
      <c r="O2035" s="19">
        <f>0.07082*L2035</f>
        <v>0</v>
      </c>
      <c r="P2035" s="24" t="s">
        <v>26</v>
      </c>
      <c r="Q2035" s="15" t="s">
        <v>6736</v>
      </c>
      <c r="R2035" s="15"/>
      <c r="S2035" s="10" t="str">
        <f>HYPERLINK("https://miland.ru/api/getInfo/image/2943f384-9844-11f0-a285-00155d82e908")</f>
        <v>https://miland.ru/api/getInfo/image/2943f384-9844-11f0-a285-00155d82e908</v>
      </c>
    </row>
    <row r="2036" spans="1:19" s="2" customFormat="1" ht="96.2" customHeight="1" outlineLevel="6">
      <c r="A2036" s="53">
        <v>1595</v>
      </c>
      <c r="B2036" s="10" t="s">
        <v>6737</v>
      </c>
      <c r="C2036" s="65" t="s">
        <v>6738</v>
      </c>
      <c r="D2036" s="65"/>
      <c r="E2036" s="65"/>
      <c r="F2036" s="65"/>
      <c r="G2036" s="11" t="s">
        <v>6739</v>
      </c>
      <c r="H2036" s="14">
        <v>250</v>
      </c>
      <c r="I2036" s="15"/>
      <c r="J2036" s="9">
        <v>1</v>
      </c>
      <c r="K2036" s="16">
        <v>852</v>
      </c>
      <c r="L2036" s="17"/>
      <c r="M2036" s="15">
        <f t="shared" si="95"/>
        <v>0</v>
      </c>
      <c r="N2036" s="18">
        <f>0.238*L2036</f>
        <v>0</v>
      </c>
      <c r="O2036" s="19">
        <f>0.00226*L2036</f>
        <v>0</v>
      </c>
      <c r="P2036" s="24" t="s">
        <v>26</v>
      </c>
      <c r="Q2036" s="15" t="s">
        <v>6740</v>
      </c>
      <c r="R2036" s="15"/>
      <c r="S2036" s="10" t="str">
        <f>HYPERLINK("https://miland.ru/api/getInfo/image/1cca0935-9845-11f0-a285-00155d82e908")</f>
        <v>https://miland.ru/api/getInfo/image/1cca0935-9845-11f0-a285-00155d82e908</v>
      </c>
    </row>
    <row r="2037" spans="1:19" s="2" customFormat="1" ht="96.2" customHeight="1" outlineLevel="6">
      <c r="A2037" s="53">
        <v>1596</v>
      </c>
      <c r="B2037" s="10" t="s">
        <v>6741</v>
      </c>
      <c r="C2037" s="65" t="s">
        <v>6742</v>
      </c>
      <c r="D2037" s="65"/>
      <c r="E2037" s="65"/>
      <c r="F2037" s="65"/>
      <c r="G2037" s="11" t="s">
        <v>6743</v>
      </c>
      <c r="H2037" s="14">
        <v>254</v>
      </c>
      <c r="I2037" s="15"/>
      <c r="J2037" s="9">
        <v>1</v>
      </c>
      <c r="K2037" s="16">
        <v>828.66</v>
      </c>
      <c r="L2037" s="17"/>
      <c r="M2037" s="15">
        <f t="shared" si="95"/>
        <v>0</v>
      </c>
      <c r="N2037" s="18">
        <f>0.244*L2037</f>
        <v>0</v>
      </c>
      <c r="O2037" s="19">
        <f>0.00221*L2037</f>
        <v>0</v>
      </c>
      <c r="P2037" s="24" t="s">
        <v>26</v>
      </c>
      <c r="Q2037" s="15" t="s">
        <v>6744</v>
      </c>
      <c r="R2037" s="15"/>
      <c r="S2037" s="10" t="str">
        <f>HYPERLINK("https://miland.ru/api/getInfo/image/cb76345e-9844-11f0-a285-00155d82e908")</f>
        <v>https://miland.ru/api/getInfo/image/cb76345e-9844-11f0-a285-00155d82e908</v>
      </c>
    </row>
    <row r="2038" spans="1:19" s="2" customFormat="1" ht="96.2" customHeight="1" outlineLevel="6">
      <c r="A2038" s="53">
        <v>1597</v>
      </c>
      <c r="B2038" s="10" t="s">
        <v>6745</v>
      </c>
      <c r="C2038" s="65" t="s">
        <v>6746</v>
      </c>
      <c r="D2038" s="65"/>
      <c r="E2038" s="65"/>
      <c r="F2038" s="65"/>
      <c r="G2038" s="11" t="s">
        <v>6747</v>
      </c>
      <c r="H2038" s="14">
        <v>279</v>
      </c>
      <c r="I2038" s="15"/>
      <c r="J2038" s="9">
        <v>1</v>
      </c>
      <c r="K2038" s="16">
        <v>598.09</v>
      </c>
      <c r="L2038" s="17"/>
      <c r="M2038" s="15">
        <f t="shared" si="95"/>
        <v>0</v>
      </c>
      <c r="N2038" s="18">
        <f>0.165*L2038</f>
        <v>0</v>
      </c>
      <c r="O2038" s="19">
        <f>0.00122*L2038</f>
        <v>0</v>
      </c>
      <c r="P2038" s="24" t="s">
        <v>26</v>
      </c>
      <c r="Q2038" s="15" t="s">
        <v>6748</v>
      </c>
      <c r="R2038" s="15"/>
      <c r="S2038" s="10" t="str">
        <f>HYPERLINK("https://miland.ru/api/getInfo/image/9dd2ede0-9845-11f0-a285-00155d82e908")</f>
        <v>https://miland.ru/api/getInfo/image/9dd2ede0-9845-11f0-a285-00155d82e908</v>
      </c>
    </row>
    <row r="2039" spans="1:19" s="2" customFormat="1" ht="96.2" customHeight="1" outlineLevel="6">
      <c r="A2039" s="53">
        <v>1598</v>
      </c>
      <c r="B2039" s="10" t="s">
        <v>6749</v>
      </c>
      <c r="C2039" s="65" t="s">
        <v>6750</v>
      </c>
      <c r="D2039" s="65"/>
      <c r="E2039" s="65"/>
      <c r="F2039" s="65"/>
      <c r="G2039" s="11" t="s">
        <v>6751</v>
      </c>
      <c r="H2039" s="14">
        <v>167</v>
      </c>
      <c r="I2039" s="15"/>
      <c r="J2039" s="9">
        <v>1</v>
      </c>
      <c r="K2039" s="16">
        <v>727.95</v>
      </c>
      <c r="L2039" s="17"/>
      <c r="M2039" s="15">
        <f t="shared" si="95"/>
        <v>0</v>
      </c>
      <c r="N2039" s="18">
        <f>0.255*L2039</f>
        <v>0</v>
      </c>
      <c r="O2039" s="20">
        <f>0.0026*L2039</f>
        <v>0</v>
      </c>
      <c r="P2039" s="24" t="s">
        <v>26</v>
      </c>
      <c r="Q2039" s="15" t="s">
        <v>6752</v>
      </c>
      <c r="R2039" s="15"/>
      <c r="S2039" s="10" t="str">
        <f>HYPERLINK("https://miland.ru/api/getInfo/image/9ec1e84d-9844-11f0-a285-00155d82e908")</f>
        <v>https://miland.ru/api/getInfo/image/9ec1e84d-9844-11f0-a285-00155d82e908</v>
      </c>
    </row>
    <row r="2040" spans="1:19" s="2" customFormat="1" ht="96.2" customHeight="1" outlineLevel="6">
      <c r="A2040" s="53">
        <v>1599</v>
      </c>
      <c r="B2040" s="10" t="s">
        <v>6753</v>
      </c>
      <c r="C2040" s="65" t="s">
        <v>6754</v>
      </c>
      <c r="D2040" s="65"/>
      <c r="E2040" s="65"/>
      <c r="F2040" s="65"/>
      <c r="G2040" s="11" t="s">
        <v>6755</v>
      </c>
      <c r="H2040" s="14">
        <v>277</v>
      </c>
      <c r="I2040" s="15"/>
      <c r="J2040" s="9">
        <v>1</v>
      </c>
      <c r="K2040" s="16">
        <v>571.84</v>
      </c>
      <c r="L2040" s="17"/>
      <c r="M2040" s="15">
        <f t="shared" si="95"/>
        <v>0</v>
      </c>
      <c r="N2040" s="18">
        <f>0.183*L2040</f>
        <v>0</v>
      </c>
      <c r="O2040" s="19">
        <f>0.00128*L2040</f>
        <v>0</v>
      </c>
      <c r="P2040" s="24" t="s">
        <v>26</v>
      </c>
      <c r="Q2040" s="15" t="s">
        <v>6756</v>
      </c>
      <c r="R2040" s="15"/>
      <c r="S2040" s="10" t="str">
        <f>HYPERLINK("https://miland.ru/api/getInfo/image/b73acc75-9843-11f0-a285-00155d82e908")</f>
        <v>https://miland.ru/api/getInfo/image/b73acc75-9843-11f0-a285-00155d82e908</v>
      </c>
    </row>
    <row r="2041" spans="1:19" s="2" customFormat="1" ht="96.2" customHeight="1" outlineLevel="6">
      <c r="A2041" s="53">
        <v>1600</v>
      </c>
      <c r="B2041" s="10" t="s">
        <v>6757</v>
      </c>
      <c r="C2041" s="65" t="s">
        <v>6758</v>
      </c>
      <c r="D2041" s="65"/>
      <c r="E2041" s="65"/>
      <c r="F2041" s="65"/>
      <c r="G2041" s="11" t="s">
        <v>6759</v>
      </c>
      <c r="H2041" s="14">
        <v>260</v>
      </c>
      <c r="I2041" s="15"/>
      <c r="J2041" s="9">
        <v>1</v>
      </c>
      <c r="K2041" s="16">
        <v>895.76</v>
      </c>
      <c r="L2041" s="17"/>
      <c r="M2041" s="15">
        <f t="shared" si="95"/>
        <v>0</v>
      </c>
      <c r="N2041" s="18">
        <f>0.261*L2041</f>
        <v>0</v>
      </c>
      <c r="O2041" s="19">
        <f>0.00288*L2041</f>
        <v>0</v>
      </c>
      <c r="P2041" s="24" t="s">
        <v>26</v>
      </c>
      <c r="Q2041" s="15" t="s">
        <v>6760</v>
      </c>
      <c r="R2041" s="15"/>
      <c r="S2041" s="10" t="str">
        <f>HYPERLINK("https://miland.ru/api/getInfo/image/62a2b8ac-9844-11f0-a285-00155d82e908")</f>
        <v>https://miland.ru/api/getInfo/image/62a2b8ac-9844-11f0-a285-00155d82e908</v>
      </c>
    </row>
    <row r="2042" spans="1:19" s="2" customFormat="1" ht="96.2" customHeight="1" outlineLevel="6">
      <c r="A2042" s="53">
        <v>1601</v>
      </c>
      <c r="B2042" s="10" t="s">
        <v>6761</v>
      </c>
      <c r="C2042" s="65" t="s">
        <v>6762</v>
      </c>
      <c r="D2042" s="65"/>
      <c r="E2042" s="65"/>
      <c r="F2042" s="65"/>
      <c r="G2042" s="11" t="s">
        <v>6763</v>
      </c>
      <c r="H2042" s="14">
        <v>186</v>
      </c>
      <c r="I2042" s="15"/>
      <c r="J2042" s="9">
        <v>1</v>
      </c>
      <c r="K2042" s="16">
        <v>727.5</v>
      </c>
      <c r="L2042" s="17"/>
      <c r="M2042" s="15">
        <f t="shared" si="95"/>
        <v>0</v>
      </c>
      <c r="N2042" s="18">
        <f>0.217*L2042</f>
        <v>0</v>
      </c>
      <c r="O2042" s="19">
        <f>0.00221*L2042</f>
        <v>0</v>
      </c>
      <c r="P2042" s="24" t="s">
        <v>26</v>
      </c>
      <c r="Q2042" s="15" t="s">
        <v>6764</v>
      </c>
      <c r="R2042" s="15"/>
      <c r="S2042" s="10" t="str">
        <f>HYPERLINK("https://miland.ru/api/getInfo/image/4f5f55c4-9845-11f0-a285-00155d82e908")</f>
        <v>https://miland.ru/api/getInfo/image/4f5f55c4-9845-11f0-a285-00155d82e908</v>
      </c>
    </row>
    <row r="2043" spans="1:19" s="2" customFormat="1" ht="96.2" customHeight="1" outlineLevel="6">
      <c r="A2043" s="53">
        <v>1602</v>
      </c>
      <c r="B2043" s="10" t="s">
        <v>6765</v>
      </c>
      <c r="C2043" s="65" t="s">
        <v>6766</v>
      </c>
      <c r="D2043" s="65"/>
      <c r="E2043" s="65"/>
      <c r="F2043" s="65"/>
      <c r="G2043" s="11" t="s">
        <v>6767</v>
      </c>
      <c r="H2043" s="14">
        <v>163</v>
      </c>
      <c r="I2043" s="15"/>
      <c r="J2043" s="9">
        <v>1</v>
      </c>
      <c r="K2043" s="16">
        <v>888.39</v>
      </c>
      <c r="L2043" s="17"/>
      <c r="M2043" s="15">
        <f t="shared" si="95"/>
        <v>0</v>
      </c>
      <c r="N2043" s="23">
        <f>0.26*L2043</f>
        <v>0</v>
      </c>
      <c r="O2043" s="19">
        <f>0.00244*L2043</f>
        <v>0</v>
      </c>
      <c r="P2043" s="24" t="s">
        <v>26</v>
      </c>
      <c r="Q2043" s="15" t="s">
        <v>6768</v>
      </c>
      <c r="R2043" s="15"/>
      <c r="S2043" s="10" t="str">
        <f>HYPERLINK("https://miland.ru/api/getInfo/image/ee34e9db-9844-11f0-a285-00155d82e908")</f>
        <v>https://miland.ru/api/getInfo/image/ee34e9db-9844-11f0-a285-00155d82e908</v>
      </c>
    </row>
    <row r="2044" spans="1:19" s="2" customFormat="1" ht="96.2" customHeight="1" outlineLevel="6">
      <c r="A2044" s="53">
        <v>1603</v>
      </c>
      <c r="B2044" s="10" t="s">
        <v>6769</v>
      </c>
      <c r="C2044" s="65" t="s">
        <v>6770</v>
      </c>
      <c r="D2044" s="65"/>
      <c r="E2044" s="65"/>
      <c r="F2044" s="65"/>
      <c r="G2044" s="11" t="s">
        <v>6771</v>
      </c>
      <c r="H2044" s="14">
        <v>285</v>
      </c>
      <c r="I2044" s="15"/>
      <c r="J2044" s="9">
        <v>1</v>
      </c>
      <c r="K2044" s="16">
        <v>598.09</v>
      </c>
      <c r="L2044" s="17"/>
      <c r="M2044" s="15">
        <f t="shared" si="95"/>
        <v>0</v>
      </c>
      <c r="N2044" s="18">
        <f>0.176*L2044</f>
        <v>0</v>
      </c>
      <c r="O2044" s="19">
        <f>0.02103*L2044</f>
        <v>0</v>
      </c>
      <c r="P2044" s="24" t="s">
        <v>26</v>
      </c>
      <c r="Q2044" s="15" t="s">
        <v>6772</v>
      </c>
      <c r="R2044" s="15"/>
      <c r="S2044" s="10" t="str">
        <f>HYPERLINK("https://miland.ru/api/getInfo/image/bc2f3140-9845-11f0-a285-00155d82e908")</f>
        <v>https://miland.ru/api/getInfo/image/bc2f3140-9845-11f0-a285-00155d82e908</v>
      </c>
    </row>
    <row r="2045" spans="1:19" s="2" customFormat="1" ht="96.2" customHeight="1" outlineLevel="6">
      <c r="A2045" s="53">
        <v>1604</v>
      </c>
      <c r="B2045" s="10" t="s">
        <v>6773</v>
      </c>
      <c r="C2045" s="65" t="s">
        <v>6774</v>
      </c>
      <c r="D2045" s="65"/>
      <c r="E2045" s="65"/>
      <c r="F2045" s="65"/>
      <c r="G2045" s="11" t="s">
        <v>6775</v>
      </c>
      <c r="H2045" s="14">
        <v>242</v>
      </c>
      <c r="I2045" s="15"/>
      <c r="J2045" s="9">
        <v>1</v>
      </c>
      <c r="K2045" s="16">
        <v>852</v>
      </c>
      <c r="L2045" s="17"/>
      <c r="M2045" s="15">
        <f t="shared" si="95"/>
        <v>0</v>
      </c>
      <c r="N2045" s="18">
        <f>0.253*L2045</f>
        <v>0</v>
      </c>
      <c r="O2045" s="19">
        <f>0.00233*L2045</f>
        <v>0</v>
      </c>
      <c r="P2045" s="24" t="s">
        <v>26</v>
      </c>
      <c r="Q2045" s="15" t="s">
        <v>6776</v>
      </c>
      <c r="R2045" s="15"/>
      <c r="S2045" s="10" t="str">
        <f>HYPERLINK("https://miland.ru/api/getInfo/image/8e148834-9843-11f0-a285-00155d82e908")</f>
        <v>https://miland.ru/api/getInfo/image/8e148834-9843-11f0-a285-00155d82e908</v>
      </c>
    </row>
    <row r="2046" spans="1:19" s="2" customFormat="1" ht="96.2" customHeight="1" outlineLevel="6">
      <c r="A2046" s="52">
        <v>1605</v>
      </c>
      <c r="B2046" s="26" t="s">
        <v>6777</v>
      </c>
      <c r="C2046" s="66" t="s">
        <v>6778</v>
      </c>
      <c r="D2046" s="66"/>
      <c r="E2046" s="66"/>
      <c r="F2046" s="66"/>
      <c r="G2046" s="27" t="s">
        <v>6779</v>
      </c>
      <c r="H2046" s="33">
        <v>170</v>
      </c>
      <c r="I2046" s="29"/>
      <c r="J2046" s="25">
        <v>1</v>
      </c>
      <c r="K2046" s="30">
        <v>812.13</v>
      </c>
      <c r="L2046" s="17"/>
      <c r="M2046" s="29">
        <f t="shared" si="95"/>
        <v>0</v>
      </c>
      <c r="N2046" s="31">
        <f>0.487*L2046</f>
        <v>0</v>
      </c>
      <c r="O2046" s="32">
        <f>0.00248*L2046</f>
        <v>0</v>
      </c>
      <c r="P2046" s="36"/>
      <c r="Q2046" s="29" t="s">
        <v>6780</v>
      </c>
      <c r="R2046" s="29" t="s">
        <v>611</v>
      </c>
      <c r="S2046" s="26" t="str">
        <f>HYPERLINK("https://miland.ru/api/getInfo/image/566b9520-fdac-11ef-a274-00155d82e908")</f>
        <v>https://miland.ru/api/getInfo/image/566b9520-fdac-11ef-a274-00155d82e908</v>
      </c>
    </row>
    <row r="2047" spans="1:19" s="2" customFormat="1" ht="96.2" customHeight="1" outlineLevel="6">
      <c r="A2047" s="52">
        <v>1606</v>
      </c>
      <c r="B2047" s="26" t="s">
        <v>6781</v>
      </c>
      <c r="C2047" s="66" t="s">
        <v>6782</v>
      </c>
      <c r="D2047" s="66"/>
      <c r="E2047" s="66"/>
      <c r="F2047" s="66"/>
      <c r="G2047" s="27" t="s">
        <v>6783</v>
      </c>
      <c r="H2047" s="33">
        <v>188</v>
      </c>
      <c r="I2047" s="29"/>
      <c r="J2047" s="25">
        <v>1</v>
      </c>
      <c r="K2047" s="30">
        <v>812.13</v>
      </c>
      <c r="L2047" s="17"/>
      <c r="M2047" s="29">
        <f t="shared" si="95"/>
        <v>0</v>
      </c>
      <c r="N2047" s="31">
        <f>0.475*L2047</f>
        <v>0</v>
      </c>
      <c r="O2047" s="35">
        <f>0.0023*L2047</f>
        <v>0</v>
      </c>
      <c r="P2047" s="36"/>
      <c r="Q2047" s="29" t="s">
        <v>6784</v>
      </c>
      <c r="R2047" s="29" t="s">
        <v>611</v>
      </c>
      <c r="S2047" s="26" t="str">
        <f>HYPERLINK("https://miland.ru/api/getInfo/image/b80898de-fdaa-11ef-a274-00155d82e908")</f>
        <v>https://miland.ru/api/getInfo/image/b80898de-fdaa-11ef-a274-00155d82e908</v>
      </c>
    </row>
    <row r="2048" spans="1:19" s="2" customFormat="1" ht="96.2" customHeight="1" outlineLevel="6">
      <c r="A2048" s="52">
        <v>1607</v>
      </c>
      <c r="B2048" s="26" t="s">
        <v>6785</v>
      </c>
      <c r="C2048" s="66" t="s">
        <v>6786</v>
      </c>
      <c r="D2048" s="66"/>
      <c r="E2048" s="66"/>
      <c r="F2048" s="66"/>
      <c r="G2048" s="27" t="s">
        <v>6787</v>
      </c>
      <c r="H2048" s="33">
        <v>225</v>
      </c>
      <c r="I2048" s="29"/>
      <c r="J2048" s="25">
        <v>1</v>
      </c>
      <c r="K2048" s="30">
        <v>812.13</v>
      </c>
      <c r="L2048" s="17"/>
      <c r="M2048" s="29">
        <f t="shared" si="95"/>
        <v>0</v>
      </c>
      <c r="N2048" s="31">
        <f>0.473*L2048</f>
        <v>0</v>
      </c>
      <c r="O2048" s="32">
        <f>0.00237*L2048</f>
        <v>0</v>
      </c>
      <c r="P2048" s="36"/>
      <c r="Q2048" s="29" t="s">
        <v>6788</v>
      </c>
      <c r="R2048" s="29" t="s">
        <v>611</v>
      </c>
      <c r="S2048" s="26" t="str">
        <f>HYPERLINK("https://miland.ru/api/getInfo/image/605baee3-fdad-11ef-a274-00155d82e908")</f>
        <v>https://miland.ru/api/getInfo/image/605baee3-fdad-11ef-a274-00155d82e908</v>
      </c>
    </row>
    <row r="2049" spans="1:19" s="2" customFormat="1" ht="96.2" customHeight="1" outlineLevel="6">
      <c r="A2049" s="52">
        <v>1608</v>
      </c>
      <c r="B2049" s="26" t="s">
        <v>6789</v>
      </c>
      <c r="C2049" s="66" t="s">
        <v>6790</v>
      </c>
      <c r="D2049" s="66"/>
      <c r="E2049" s="66"/>
      <c r="F2049" s="66"/>
      <c r="G2049" s="27" t="s">
        <v>6791</v>
      </c>
      <c r="H2049" s="33">
        <v>103</v>
      </c>
      <c r="I2049" s="29"/>
      <c r="J2049" s="25">
        <v>1</v>
      </c>
      <c r="K2049" s="30">
        <v>812.13</v>
      </c>
      <c r="L2049" s="17"/>
      <c r="M2049" s="29">
        <f t="shared" si="95"/>
        <v>0</v>
      </c>
      <c r="N2049" s="31">
        <f>0.465*L2049</f>
        <v>0</v>
      </c>
      <c r="O2049" s="32">
        <f>0.00229*L2049</f>
        <v>0</v>
      </c>
      <c r="P2049" s="36"/>
      <c r="Q2049" s="29" t="s">
        <v>6792</v>
      </c>
      <c r="R2049" s="29" t="s">
        <v>611</v>
      </c>
      <c r="S2049" s="26" t="str">
        <f>HYPERLINK("https://miland.ru/api/getInfo/image/10cf76ce-fdad-11ef-a274-00155d82e908")</f>
        <v>https://miland.ru/api/getInfo/image/10cf76ce-fdad-11ef-a274-00155d82e908</v>
      </c>
    </row>
    <row r="2050" spans="1:19" s="2" customFormat="1" ht="96.2" customHeight="1" outlineLevel="6">
      <c r="A2050" s="52">
        <v>1609</v>
      </c>
      <c r="B2050" s="26" t="s">
        <v>6793</v>
      </c>
      <c r="C2050" s="66" t="s">
        <v>6794</v>
      </c>
      <c r="D2050" s="66"/>
      <c r="E2050" s="66"/>
      <c r="F2050" s="66"/>
      <c r="G2050" s="27" t="s">
        <v>6795</v>
      </c>
      <c r="H2050" s="33">
        <v>1</v>
      </c>
      <c r="I2050" s="29"/>
      <c r="J2050" s="25">
        <v>1</v>
      </c>
      <c r="K2050" s="30">
        <v>812.13</v>
      </c>
      <c r="L2050" s="17"/>
      <c r="M2050" s="29">
        <f t="shared" si="95"/>
        <v>0</v>
      </c>
      <c r="N2050" s="34">
        <f>0.46*L2050</f>
        <v>0</v>
      </c>
      <c r="O2050" s="32">
        <f>0.00227*L2050</f>
        <v>0</v>
      </c>
      <c r="P2050" s="36"/>
      <c r="Q2050" s="29" t="s">
        <v>6796</v>
      </c>
      <c r="R2050" s="29" t="s">
        <v>611</v>
      </c>
      <c r="S2050" s="26" t="str">
        <f>HYPERLINK("https://miland.ru/api/getInfo/image/ba9330ad-fdac-11ef-a274-00155d82e908")</f>
        <v>https://miland.ru/api/getInfo/image/ba9330ad-fdac-11ef-a274-00155d82e908</v>
      </c>
    </row>
    <row r="2051" spans="1:19" s="2" customFormat="1" ht="96.2" customHeight="1" outlineLevel="6">
      <c r="A2051" s="52">
        <v>1610</v>
      </c>
      <c r="B2051" s="26" t="s">
        <v>6797</v>
      </c>
      <c r="C2051" s="66" t="s">
        <v>6798</v>
      </c>
      <c r="D2051" s="66"/>
      <c r="E2051" s="66"/>
      <c r="F2051" s="66"/>
      <c r="G2051" s="27" t="s">
        <v>6799</v>
      </c>
      <c r="H2051" s="33">
        <v>210</v>
      </c>
      <c r="I2051" s="29"/>
      <c r="J2051" s="25">
        <v>1</v>
      </c>
      <c r="K2051" s="30">
        <v>720.83</v>
      </c>
      <c r="L2051" s="17"/>
      <c r="M2051" s="29">
        <f t="shared" si="95"/>
        <v>0</v>
      </c>
      <c r="N2051" s="31">
        <f>0.476*L2051</f>
        <v>0</v>
      </c>
      <c r="O2051" s="32">
        <f>0.00227*L2051</f>
        <v>0</v>
      </c>
      <c r="P2051" s="36"/>
      <c r="Q2051" s="29" t="s">
        <v>6800</v>
      </c>
      <c r="R2051" s="29" t="s">
        <v>611</v>
      </c>
      <c r="S2051" s="26" t="str">
        <f>HYPERLINK("https://miland.ru/api/getInfo/image/e1caaa8b-9efe-11ee-a257-00155d82e908")</f>
        <v>https://miland.ru/api/getInfo/image/e1caaa8b-9efe-11ee-a257-00155d82e908</v>
      </c>
    </row>
    <row r="2052" spans="1:19" s="1" customFormat="1" ht="12" customHeight="1" outlineLevel="5">
      <c r="A2052" s="64" t="s">
        <v>6801</v>
      </c>
      <c r="B2052" s="64"/>
      <c r="C2052" s="64"/>
      <c r="D2052" s="64"/>
      <c r="E2052" s="64"/>
      <c r="F2052" s="64"/>
      <c r="G2052" s="8"/>
      <c r="H2052" s="12"/>
      <c r="I2052" s="2"/>
      <c r="J2052" s="2"/>
      <c r="K2052" s="13"/>
      <c r="L2052" s="2"/>
      <c r="M2052" s="2"/>
      <c r="N2052" s="2"/>
      <c r="O2052" s="2"/>
      <c r="P2052" s="2"/>
      <c r="Q2052" s="2"/>
      <c r="R2052" s="2"/>
      <c r="S2052" s="2"/>
    </row>
    <row r="2053" spans="1:19" s="2" customFormat="1" ht="96.2" customHeight="1" outlineLevel="6">
      <c r="A2053" s="52">
        <v>1611</v>
      </c>
      <c r="B2053" s="26" t="s">
        <v>6802</v>
      </c>
      <c r="C2053" s="66" t="s">
        <v>6803</v>
      </c>
      <c r="D2053" s="66"/>
      <c r="E2053" s="66"/>
      <c r="F2053" s="66"/>
      <c r="G2053" s="27" t="s">
        <v>6804</v>
      </c>
      <c r="H2053" s="33">
        <v>2</v>
      </c>
      <c r="I2053" s="29"/>
      <c r="J2053" s="25">
        <v>1</v>
      </c>
      <c r="K2053" s="37">
        <v>3945.79</v>
      </c>
      <c r="L2053" s="17"/>
      <c r="M2053" s="29">
        <f>K2053*L2053</f>
        <v>0</v>
      </c>
      <c r="N2053" s="31">
        <f>0.761*L2053</f>
        <v>0</v>
      </c>
      <c r="O2053" s="32">
        <f>0.02301*L2053</f>
        <v>0</v>
      </c>
      <c r="P2053" s="36"/>
      <c r="Q2053" s="29" t="s">
        <v>6805</v>
      </c>
      <c r="R2053" s="29" t="s">
        <v>611</v>
      </c>
      <c r="S2053" s="26" t="str">
        <f>HYPERLINK("https://miland.ru/api/getInfo/image/38176297-8975-11ec-a211-ac1f6b442185")</f>
        <v>https://miland.ru/api/getInfo/image/38176297-8975-11ec-a211-ac1f6b442185</v>
      </c>
    </row>
    <row r="2054" spans="1:19" s="2" customFormat="1" ht="96.2" customHeight="1" outlineLevel="6">
      <c r="A2054" s="52">
        <v>1612</v>
      </c>
      <c r="B2054" s="26" t="s">
        <v>6806</v>
      </c>
      <c r="C2054" s="66" t="s">
        <v>6807</v>
      </c>
      <c r="D2054" s="66"/>
      <c r="E2054" s="66"/>
      <c r="F2054" s="66"/>
      <c r="G2054" s="27" t="s">
        <v>6808</v>
      </c>
      <c r="H2054" s="33">
        <v>7</v>
      </c>
      <c r="I2054" s="29"/>
      <c r="J2054" s="25">
        <v>1</v>
      </c>
      <c r="K2054" s="37">
        <v>3945.79</v>
      </c>
      <c r="L2054" s="17"/>
      <c r="M2054" s="29">
        <f>K2054*L2054</f>
        <v>0</v>
      </c>
      <c r="N2054" s="34">
        <f>1.07*L2054</f>
        <v>0</v>
      </c>
      <c r="O2054" s="32">
        <f>0.02328*L2054</f>
        <v>0</v>
      </c>
      <c r="P2054" s="36"/>
      <c r="Q2054" s="29" t="s">
        <v>6809</v>
      </c>
      <c r="R2054" s="29" t="s">
        <v>611</v>
      </c>
      <c r="S2054" s="26" t="str">
        <f>HYPERLINK("https://miland.ru/api/getInfo/image/2dd008a8-8977-11ec-a211-ac1f6b442185")</f>
        <v>https://miland.ru/api/getInfo/image/2dd008a8-8977-11ec-a211-ac1f6b442185</v>
      </c>
    </row>
    <row r="2055" spans="1:19" s="2" customFormat="1" ht="96.2" customHeight="1" outlineLevel="6">
      <c r="A2055" s="52">
        <v>1613</v>
      </c>
      <c r="B2055" s="26" t="s">
        <v>6810</v>
      </c>
      <c r="C2055" s="66" t="s">
        <v>6811</v>
      </c>
      <c r="D2055" s="66"/>
      <c r="E2055" s="66"/>
      <c r="F2055" s="66"/>
      <c r="G2055" s="27" t="s">
        <v>6812</v>
      </c>
      <c r="H2055" s="33">
        <v>5</v>
      </c>
      <c r="I2055" s="29"/>
      <c r="J2055" s="25">
        <v>1</v>
      </c>
      <c r="K2055" s="37">
        <v>4767.83</v>
      </c>
      <c r="L2055" s="17"/>
      <c r="M2055" s="29">
        <f>K2055*L2055</f>
        <v>0</v>
      </c>
      <c r="N2055" s="31">
        <f>1.009*L2055</f>
        <v>0</v>
      </c>
      <c r="O2055" s="32">
        <f>0.02433*L2055</f>
        <v>0</v>
      </c>
      <c r="P2055" s="36"/>
      <c r="Q2055" s="29" t="s">
        <v>6813</v>
      </c>
      <c r="R2055" s="29" t="s">
        <v>611</v>
      </c>
      <c r="S2055" s="26" t="str">
        <f>HYPERLINK("https://miland.ru/api/getInfo/image/9eb2e16f-8977-11ec-a211-ac1f6b442185")</f>
        <v>https://miland.ru/api/getInfo/image/9eb2e16f-8977-11ec-a211-ac1f6b442185</v>
      </c>
    </row>
    <row r="2056" spans="1:19" s="1" customFormat="1" ht="12" customHeight="1" outlineLevel="4">
      <c r="A2056" s="64" t="s">
        <v>6814</v>
      </c>
      <c r="B2056" s="64"/>
      <c r="C2056" s="64"/>
      <c r="D2056" s="64"/>
      <c r="E2056" s="64"/>
      <c r="F2056" s="64"/>
      <c r="G2056" s="8"/>
      <c r="H2056" s="12"/>
      <c r="I2056" s="2"/>
      <c r="J2056" s="2"/>
      <c r="K2056" s="13"/>
      <c r="L2056" s="2"/>
      <c r="M2056" s="2"/>
      <c r="N2056" s="2"/>
      <c r="O2056" s="2"/>
      <c r="P2056" s="2"/>
      <c r="Q2056" s="2"/>
      <c r="R2056" s="2"/>
      <c r="S2056" s="2"/>
    </row>
    <row r="2057" spans="1:19" s="1" customFormat="1" ht="12" customHeight="1" outlineLevel="5">
      <c r="A2057" s="64" t="s">
        <v>6815</v>
      </c>
      <c r="B2057" s="64"/>
      <c r="C2057" s="64"/>
      <c r="D2057" s="64"/>
      <c r="E2057" s="64"/>
      <c r="F2057" s="64"/>
      <c r="G2057" s="8"/>
      <c r="H2057" s="12"/>
      <c r="I2057" s="2"/>
      <c r="J2057" s="2"/>
      <c r="K2057" s="13"/>
      <c r="L2057" s="2"/>
      <c r="M2057" s="2"/>
      <c r="N2057" s="2"/>
      <c r="O2057" s="2"/>
      <c r="P2057" s="2"/>
      <c r="Q2057" s="2"/>
      <c r="R2057" s="2"/>
      <c r="S2057" s="2"/>
    </row>
    <row r="2058" spans="1:19" s="2" customFormat="1" ht="96.2" customHeight="1" outlineLevel="6">
      <c r="A2058" s="53">
        <v>1614</v>
      </c>
      <c r="B2058" s="10" t="s">
        <v>6816</v>
      </c>
      <c r="C2058" s="65" t="s">
        <v>6817</v>
      </c>
      <c r="D2058" s="65"/>
      <c r="E2058" s="65"/>
      <c r="F2058" s="65"/>
      <c r="G2058" s="11" t="s">
        <v>6818</v>
      </c>
      <c r="H2058" s="21" t="s">
        <v>44</v>
      </c>
      <c r="I2058" s="15"/>
      <c r="J2058" s="9">
        <v>1</v>
      </c>
      <c r="K2058" s="16">
        <v>541.41999999999996</v>
      </c>
      <c r="L2058" s="17"/>
      <c r="M2058" s="15">
        <f t="shared" ref="M2058:M2071" si="96">K2058*L2058</f>
        <v>0</v>
      </c>
      <c r="N2058" s="18">
        <f>0.328*L2058</f>
        <v>0</v>
      </c>
      <c r="O2058" s="19">
        <f>0.00231*L2058</f>
        <v>0</v>
      </c>
      <c r="P2058" s="24" t="s">
        <v>26</v>
      </c>
      <c r="Q2058" s="15" t="s">
        <v>6819</v>
      </c>
      <c r="R2058" s="15"/>
      <c r="S2058" s="10" t="str">
        <f>HYPERLINK("https://miland.ru/api/getInfo/image/a2f0da93-2d9b-11f1-a292-00155d82e908")</f>
        <v>https://miland.ru/api/getInfo/image/a2f0da93-2d9b-11f1-a292-00155d82e908</v>
      </c>
    </row>
    <row r="2059" spans="1:19" s="2" customFormat="1" ht="96.2" customHeight="1" outlineLevel="6">
      <c r="A2059" s="53">
        <v>1615</v>
      </c>
      <c r="B2059" s="10" t="s">
        <v>6820</v>
      </c>
      <c r="C2059" s="65" t="s">
        <v>6821</v>
      </c>
      <c r="D2059" s="65"/>
      <c r="E2059" s="65"/>
      <c r="F2059" s="65"/>
      <c r="G2059" s="11" t="s">
        <v>6822</v>
      </c>
      <c r="H2059" s="21" t="s">
        <v>44</v>
      </c>
      <c r="I2059" s="15"/>
      <c r="J2059" s="9">
        <v>1</v>
      </c>
      <c r="K2059" s="16">
        <v>541.41999999999996</v>
      </c>
      <c r="L2059" s="17"/>
      <c r="M2059" s="15">
        <f t="shared" si="96"/>
        <v>0</v>
      </c>
      <c r="N2059" s="18">
        <f>0.309*L2059</f>
        <v>0</v>
      </c>
      <c r="O2059" s="19">
        <f>0.00233*L2059</f>
        <v>0</v>
      </c>
      <c r="P2059" s="24" t="s">
        <v>26</v>
      </c>
      <c r="Q2059" s="15" t="s">
        <v>6823</v>
      </c>
      <c r="R2059" s="15"/>
      <c r="S2059" s="10" t="str">
        <f>HYPERLINK("https://miland.ru/api/getInfo/image/388853ec-2d9b-11f1-a292-00155d82e908")</f>
        <v>https://miland.ru/api/getInfo/image/388853ec-2d9b-11f1-a292-00155d82e908</v>
      </c>
    </row>
    <row r="2060" spans="1:19" s="2" customFormat="1" ht="96.2" customHeight="1" outlineLevel="6">
      <c r="A2060" s="53">
        <v>1616</v>
      </c>
      <c r="B2060" s="10" t="s">
        <v>6824</v>
      </c>
      <c r="C2060" s="65" t="s">
        <v>6825</v>
      </c>
      <c r="D2060" s="65"/>
      <c r="E2060" s="65"/>
      <c r="F2060" s="65"/>
      <c r="G2060" s="11" t="s">
        <v>6826</v>
      </c>
      <c r="H2060" s="14">
        <v>15</v>
      </c>
      <c r="I2060" s="15"/>
      <c r="J2060" s="9">
        <v>1</v>
      </c>
      <c r="K2060" s="16">
        <v>541.41999999999996</v>
      </c>
      <c r="L2060" s="17"/>
      <c r="M2060" s="15">
        <f t="shared" si="96"/>
        <v>0</v>
      </c>
      <c r="N2060" s="18">
        <f>0.321*L2060</f>
        <v>0</v>
      </c>
      <c r="O2060" s="19">
        <f>0.00221*L2060</f>
        <v>0</v>
      </c>
      <c r="P2060" s="24" t="s">
        <v>26</v>
      </c>
      <c r="Q2060" s="15" t="s">
        <v>6827</v>
      </c>
      <c r="R2060" s="15"/>
      <c r="S2060" s="10" t="str">
        <f>HYPERLINK("https://miland.ru/api/getInfo/image/c111743b-2d9b-11f1-a292-00155d82e908")</f>
        <v>https://miland.ru/api/getInfo/image/c111743b-2d9b-11f1-a292-00155d82e908</v>
      </c>
    </row>
    <row r="2061" spans="1:19" s="2" customFormat="1" ht="96.2" customHeight="1" outlineLevel="6">
      <c r="A2061" s="52">
        <v>1617</v>
      </c>
      <c r="B2061" s="26" t="s">
        <v>6828</v>
      </c>
      <c r="C2061" s="66" t="s">
        <v>6829</v>
      </c>
      <c r="D2061" s="66"/>
      <c r="E2061" s="66"/>
      <c r="F2061" s="66"/>
      <c r="G2061" s="27" t="s">
        <v>6830</v>
      </c>
      <c r="H2061" s="28" t="s">
        <v>44</v>
      </c>
      <c r="I2061" s="29"/>
      <c r="J2061" s="25">
        <v>1</v>
      </c>
      <c r="K2061" s="30">
        <v>452.38</v>
      </c>
      <c r="L2061" s="17"/>
      <c r="M2061" s="29">
        <f t="shared" si="96"/>
        <v>0</v>
      </c>
      <c r="N2061" s="31">
        <f>0.337*L2061</f>
        <v>0</v>
      </c>
      <c r="O2061" s="32">
        <f>0.00186*L2061</f>
        <v>0</v>
      </c>
      <c r="P2061" s="36"/>
      <c r="Q2061" s="29" t="s">
        <v>6831</v>
      </c>
      <c r="R2061" s="29"/>
      <c r="S2061" s="26" t="str">
        <f>HYPERLINK("https://miland.ru/api/getInfo/image/292e1fcf-a481-11ee-a258-00155d82e908")</f>
        <v>https://miland.ru/api/getInfo/image/292e1fcf-a481-11ee-a258-00155d82e908</v>
      </c>
    </row>
    <row r="2062" spans="1:19" s="2" customFormat="1" ht="96.2" customHeight="1" outlineLevel="6">
      <c r="A2062" s="53">
        <v>1618</v>
      </c>
      <c r="B2062" s="10" t="s">
        <v>6832</v>
      </c>
      <c r="C2062" s="65" t="s">
        <v>6833</v>
      </c>
      <c r="D2062" s="65"/>
      <c r="E2062" s="65"/>
      <c r="F2062" s="65"/>
      <c r="G2062" s="11" t="s">
        <v>6834</v>
      </c>
      <c r="H2062" s="14">
        <v>10</v>
      </c>
      <c r="I2062" s="15"/>
      <c r="J2062" s="9">
        <v>1</v>
      </c>
      <c r="K2062" s="16">
        <v>541.41999999999996</v>
      </c>
      <c r="L2062" s="17"/>
      <c r="M2062" s="15">
        <f t="shared" si="96"/>
        <v>0</v>
      </c>
      <c r="N2062" s="18">
        <f>0.439*L2062</f>
        <v>0</v>
      </c>
      <c r="O2062" s="19">
        <f>0.00221*L2062</f>
        <v>0</v>
      </c>
      <c r="P2062" s="24" t="s">
        <v>26</v>
      </c>
      <c r="Q2062" s="15" t="s">
        <v>6835</v>
      </c>
      <c r="R2062" s="15"/>
      <c r="S2062" s="10" t="str">
        <f>HYPERLINK("https://miland.ru/api/getInfo/image/ee48fea5-2d9b-11f1-a292-00155d82e908")</f>
        <v>https://miland.ru/api/getInfo/image/ee48fea5-2d9b-11f1-a292-00155d82e908</v>
      </c>
    </row>
    <row r="2063" spans="1:19" s="2" customFormat="1" ht="96.2" customHeight="1" outlineLevel="6">
      <c r="A2063" s="52">
        <v>1619</v>
      </c>
      <c r="B2063" s="26" t="s">
        <v>6836</v>
      </c>
      <c r="C2063" s="66" t="s">
        <v>6837</v>
      </c>
      <c r="D2063" s="66"/>
      <c r="E2063" s="66"/>
      <c r="F2063" s="66"/>
      <c r="G2063" s="27" t="s">
        <v>6838</v>
      </c>
      <c r="H2063" s="28" t="s">
        <v>44</v>
      </c>
      <c r="I2063" s="29"/>
      <c r="J2063" s="25">
        <v>1</v>
      </c>
      <c r="K2063" s="30">
        <v>541.41999999999996</v>
      </c>
      <c r="L2063" s="17"/>
      <c r="M2063" s="29">
        <f t="shared" si="96"/>
        <v>0</v>
      </c>
      <c r="N2063" s="31">
        <f>0.252*L2063</f>
        <v>0</v>
      </c>
      <c r="O2063" s="32">
        <f>0.00116*L2063</f>
        <v>0</v>
      </c>
      <c r="P2063" s="36"/>
      <c r="Q2063" s="29" t="s">
        <v>6839</v>
      </c>
      <c r="R2063" s="29" t="s">
        <v>611</v>
      </c>
      <c r="S2063" s="26" t="str">
        <f>HYPERLINK("https://miland.ru/api/getInfo/image/31521ff4-e2df-11ef-a274-00155d82e908")</f>
        <v>https://miland.ru/api/getInfo/image/31521ff4-e2df-11ef-a274-00155d82e908</v>
      </c>
    </row>
    <row r="2064" spans="1:19" s="2" customFormat="1" ht="96.2" customHeight="1" outlineLevel="6">
      <c r="A2064" s="52">
        <v>1620</v>
      </c>
      <c r="B2064" s="26" t="s">
        <v>6840</v>
      </c>
      <c r="C2064" s="66" t="s">
        <v>6841</v>
      </c>
      <c r="D2064" s="66"/>
      <c r="E2064" s="66"/>
      <c r="F2064" s="66"/>
      <c r="G2064" s="27" t="s">
        <v>6842</v>
      </c>
      <c r="H2064" s="28" t="s">
        <v>44</v>
      </c>
      <c r="I2064" s="29"/>
      <c r="J2064" s="25">
        <v>1</v>
      </c>
      <c r="K2064" s="30">
        <v>541.41999999999996</v>
      </c>
      <c r="L2064" s="17"/>
      <c r="M2064" s="29">
        <f t="shared" si="96"/>
        <v>0</v>
      </c>
      <c r="N2064" s="31">
        <f>0.334*L2064</f>
        <v>0</v>
      </c>
      <c r="O2064" s="32">
        <f>0.00191*L2064</f>
        <v>0</v>
      </c>
      <c r="P2064" s="36"/>
      <c r="Q2064" s="29" t="s">
        <v>6843</v>
      </c>
      <c r="R2064" s="29" t="s">
        <v>611</v>
      </c>
      <c r="S2064" s="26" t="str">
        <f>HYPERLINK("https://miland.ru/api/getInfo/image/f540ad3d-e2df-11ef-a274-00155d82e908")</f>
        <v>https://miland.ru/api/getInfo/image/f540ad3d-e2df-11ef-a274-00155d82e908</v>
      </c>
    </row>
    <row r="2065" spans="1:19" s="2" customFormat="1" ht="96.2" customHeight="1" outlineLevel="6">
      <c r="A2065" s="53">
        <v>1621</v>
      </c>
      <c r="B2065" s="10" t="s">
        <v>6844</v>
      </c>
      <c r="C2065" s="65" t="s">
        <v>6845</v>
      </c>
      <c r="D2065" s="65"/>
      <c r="E2065" s="65"/>
      <c r="F2065" s="65"/>
      <c r="G2065" s="11" t="s">
        <v>6846</v>
      </c>
      <c r="H2065" s="21" t="s">
        <v>44</v>
      </c>
      <c r="I2065" s="15"/>
      <c r="J2065" s="9">
        <v>1</v>
      </c>
      <c r="K2065" s="16">
        <v>860.16</v>
      </c>
      <c r="L2065" s="17"/>
      <c r="M2065" s="15">
        <f t="shared" si="96"/>
        <v>0</v>
      </c>
      <c r="N2065" s="18">
        <f>1.132*L2065</f>
        <v>0</v>
      </c>
      <c r="O2065" s="19">
        <f>0.00565*L2065</f>
        <v>0</v>
      </c>
      <c r="P2065" s="24" t="s">
        <v>26</v>
      </c>
      <c r="Q2065" s="15" t="s">
        <v>6847</v>
      </c>
      <c r="R2065" s="15"/>
      <c r="S2065" s="10" t="str">
        <f>HYPERLINK("https://miland.ru/api/getInfo/image/6bda62d3-08e1-11f1-a28f-00155d82e908")</f>
        <v>https://miland.ru/api/getInfo/image/6bda62d3-08e1-11f1-a28f-00155d82e908</v>
      </c>
    </row>
    <row r="2066" spans="1:19" s="2" customFormat="1" ht="96.2" customHeight="1" outlineLevel="6">
      <c r="A2066" s="52">
        <v>1622</v>
      </c>
      <c r="B2066" s="26" t="s">
        <v>6848</v>
      </c>
      <c r="C2066" s="66" t="s">
        <v>6849</v>
      </c>
      <c r="D2066" s="66"/>
      <c r="E2066" s="66"/>
      <c r="F2066" s="66"/>
      <c r="G2066" s="27" t="s">
        <v>6850</v>
      </c>
      <c r="H2066" s="28" t="s">
        <v>44</v>
      </c>
      <c r="I2066" s="29"/>
      <c r="J2066" s="25">
        <v>1</v>
      </c>
      <c r="K2066" s="30">
        <v>467.74</v>
      </c>
      <c r="L2066" s="17"/>
      <c r="M2066" s="29">
        <f t="shared" si="96"/>
        <v>0</v>
      </c>
      <c r="N2066" s="31">
        <f>0.356*L2066</f>
        <v>0</v>
      </c>
      <c r="O2066" s="32">
        <f>0.00185*L2066</f>
        <v>0</v>
      </c>
      <c r="P2066" s="36"/>
      <c r="Q2066" s="29" t="s">
        <v>6851</v>
      </c>
      <c r="R2066" s="29"/>
      <c r="S2066" s="26" t="str">
        <f>HYPERLINK("https://miland.ru/api/getInfo/image/8dc14821-e2e0-11ef-a274-00155d82e908")</f>
        <v>https://miland.ru/api/getInfo/image/8dc14821-e2e0-11ef-a274-00155d82e908</v>
      </c>
    </row>
    <row r="2067" spans="1:19" s="2" customFormat="1" ht="96.2" customHeight="1" outlineLevel="6">
      <c r="A2067" s="52">
        <v>1623</v>
      </c>
      <c r="B2067" s="26" t="s">
        <v>6852</v>
      </c>
      <c r="C2067" s="66" t="s">
        <v>6853</v>
      </c>
      <c r="D2067" s="66"/>
      <c r="E2067" s="66"/>
      <c r="F2067" s="66"/>
      <c r="G2067" s="27" t="s">
        <v>6854</v>
      </c>
      <c r="H2067" s="28" t="s">
        <v>44</v>
      </c>
      <c r="I2067" s="29"/>
      <c r="J2067" s="25">
        <v>1</v>
      </c>
      <c r="K2067" s="30">
        <v>541.41999999999996</v>
      </c>
      <c r="L2067" s="17"/>
      <c r="M2067" s="29">
        <f t="shared" si="96"/>
        <v>0</v>
      </c>
      <c r="N2067" s="31">
        <f>0.349*L2067</f>
        <v>0</v>
      </c>
      <c r="O2067" s="32">
        <f>0.00186*L2067</f>
        <v>0</v>
      </c>
      <c r="P2067" s="36"/>
      <c r="Q2067" s="29" t="s">
        <v>6855</v>
      </c>
      <c r="R2067" s="29"/>
      <c r="S2067" s="26" t="str">
        <f>HYPERLINK("https://miland.ru/api/getInfo/image/16468f95-e2e1-11ef-a274-00155d82e908")</f>
        <v>https://miland.ru/api/getInfo/image/16468f95-e2e1-11ef-a274-00155d82e908</v>
      </c>
    </row>
    <row r="2068" spans="1:19" s="2" customFormat="1" ht="96.2" customHeight="1" outlineLevel="6">
      <c r="A2068" s="53">
        <v>1624</v>
      </c>
      <c r="B2068" s="10" t="s">
        <v>6856</v>
      </c>
      <c r="C2068" s="65" t="s">
        <v>6857</v>
      </c>
      <c r="D2068" s="65"/>
      <c r="E2068" s="65"/>
      <c r="F2068" s="65"/>
      <c r="G2068" s="11" t="s">
        <v>6858</v>
      </c>
      <c r="H2068" s="14">
        <v>287</v>
      </c>
      <c r="I2068" s="15"/>
      <c r="J2068" s="9">
        <v>1</v>
      </c>
      <c r="K2068" s="22">
        <v>1644.92</v>
      </c>
      <c r="L2068" s="17"/>
      <c r="M2068" s="15">
        <f t="shared" si="96"/>
        <v>0</v>
      </c>
      <c r="N2068" s="18">
        <f>0.844*L2068</f>
        <v>0</v>
      </c>
      <c r="O2068" s="19">
        <f>0.00563*L2068</f>
        <v>0</v>
      </c>
      <c r="P2068" s="24" t="s">
        <v>26</v>
      </c>
      <c r="Q2068" s="15" t="s">
        <v>6859</v>
      </c>
      <c r="R2068" s="15"/>
      <c r="S2068" s="10" t="str">
        <f>HYPERLINK("https://miland.ru/api/getInfo/image/10ee4401-08e2-11f1-a28f-00155d82e908")</f>
        <v>https://miland.ru/api/getInfo/image/10ee4401-08e2-11f1-a28f-00155d82e908</v>
      </c>
    </row>
    <row r="2069" spans="1:19" s="2" customFormat="1" ht="96.2" customHeight="1" outlineLevel="6">
      <c r="A2069" s="53">
        <v>1625</v>
      </c>
      <c r="B2069" s="10" t="s">
        <v>6860</v>
      </c>
      <c r="C2069" s="65" t="s">
        <v>6861</v>
      </c>
      <c r="D2069" s="65"/>
      <c r="E2069" s="65"/>
      <c r="F2069" s="65"/>
      <c r="G2069" s="11" t="s">
        <v>6862</v>
      </c>
      <c r="H2069" s="21" t="s">
        <v>44</v>
      </c>
      <c r="I2069" s="15"/>
      <c r="J2069" s="9">
        <v>1</v>
      </c>
      <c r="K2069" s="16">
        <v>558.26</v>
      </c>
      <c r="L2069" s="17"/>
      <c r="M2069" s="15">
        <f t="shared" si="96"/>
        <v>0</v>
      </c>
      <c r="N2069" s="18">
        <f>0.281*L2069</f>
        <v>0</v>
      </c>
      <c r="O2069" s="20">
        <f>0.0023*L2069</f>
        <v>0</v>
      </c>
      <c r="P2069" s="24" t="s">
        <v>26</v>
      </c>
      <c r="Q2069" s="15" t="s">
        <v>6863</v>
      </c>
      <c r="R2069" s="15"/>
      <c r="S2069" s="10" t="str">
        <f>HYPERLINK("https://miland.ru/api/getInfo/image/a0aeaa45-08e2-11f1-a28f-00155d82e908")</f>
        <v>https://miland.ru/api/getInfo/image/a0aeaa45-08e2-11f1-a28f-00155d82e908</v>
      </c>
    </row>
    <row r="2070" spans="1:19" s="2" customFormat="1" ht="96.2" customHeight="1" outlineLevel="6">
      <c r="A2070" s="53">
        <v>1626</v>
      </c>
      <c r="B2070" s="10" t="s">
        <v>6864</v>
      </c>
      <c r="C2070" s="65" t="s">
        <v>6865</v>
      </c>
      <c r="D2070" s="65"/>
      <c r="E2070" s="65"/>
      <c r="F2070" s="65"/>
      <c r="G2070" s="11" t="s">
        <v>6866</v>
      </c>
      <c r="H2070" s="21" t="s">
        <v>44</v>
      </c>
      <c r="I2070" s="15"/>
      <c r="J2070" s="9">
        <v>1</v>
      </c>
      <c r="K2070" s="16">
        <v>541.41999999999996</v>
      </c>
      <c r="L2070" s="17"/>
      <c r="M2070" s="15">
        <f t="shared" si="96"/>
        <v>0</v>
      </c>
      <c r="N2070" s="18">
        <f>0.305*L2070</f>
        <v>0</v>
      </c>
      <c r="O2070" s="20">
        <f>0.0023*L2070</f>
        <v>0</v>
      </c>
      <c r="P2070" s="24" t="s">
        <v>26</v>
      </c>
      <c r="Q2070" s="15" t="s">
        <v>6867</v>
      </c>
      <c r="R2070" s="15"/>
      <c r="S2070" s="10" t="str">
        <f>HYPERLINK("https://miland.ru/api/getInfo/image/19428ee6-2d9d-11f1-a292-00155d82e908")</f>
        <v>https://miland.ru/api/getInfo/image/19428ee6-2d9d-11f1-a292-00155d82e908</v>
      </c>
    </row>
    <row r="2071" spans="1:19" s="2" customFormat="1" ht="96.2" customHeight="1" outlineLevel="6">
      <c r="A2071" s="53">
        <v>1627</v>
      </c>
      <c r="B2071" s="10" t="s">
        <v>6868</v>
      </c>
      <c r="C2071" s="65" t="s">
        <v>6869</v>
      </c>
      <c r="D2071" s="65"/>
      <c r="E2071" s="65"/>
      <c r="F2071" s="65"/>
      <c r="G2071" s="11" t="s">
        <v>6870</v>
      </c>
      <c r="H2071" s="14">
        <v>403</v>
      </c>
      <c r="I2071" s="15"/>
      <c r="J2071" s="9">
        <v>1</v>
      </c>
      <c r="K2071" s="16">
        <v>541.41999999999996</v>
      </c>
      <c r="L2071" s="17"/>
      <c r="M2071" s="15">
        <f t="shared" si="96"/>
        <v>0</v>
      </c>
      <c r="N2071" s="18">
        <f>0.333*L2071</f>
        <v>0</v>
      </c>
      <c r="O2071" s="19">
        <f>0.00232*L2071</f>
        <v>0</v>
      </c>
      <c r="P2071" s="24" t="s">
        <v>26</v>
      </c>
      <c r="Q2071" s="15" t="s">
        <v>6871</v>
      </c>
      <c r="R2071" s="15"/>
      <c r="S2071" s="10" t="str">
        <f>HYPERLINK("https://miland.ru/api/getInfo/image/86000e68-2d9b-11f1-a292-00155d82e908")</f>
        <v>https://miland.ru/api/getInfo/image/86000e68-2d9b-11f1-a292-00155d82e908</v>
      </c>
    </row>
    <row r="2072" spans="1:19" s="1" customFormat="1" ht="12" customHeight="1" outlineLevel="5">
      <c r="A2072" s="64" t="s">
        <v>6872</v>
      </c>
      <c r="B2072" s="64"/>
      <c r="C2072" s="64"/>
      <c r="D2072" s="64"/>
      <c r="E2072" s="64"/>
      <c r="F2072" s="64"/>
      <c r="G2072" s="8"/>
      <c r="H2072" s="12"/>
      <c r="I2072" s="2"/>
      <c r="J2072" s="2"/>
      <c r="K2072" s="13"/>
      <c r="L2072" s="2"/>
      <c r="M2072" s="2"/>
      <c r="N2072" s="2"/>
      <c r="O2072" s="2"/>
      <c r="P2072" s="2"/>
      <c r="Q2072" s="2"/>
      <c r="R2072" s="2"/>
      <c r="S2072" s="2"/>
    </row>
    <row r="2073" spans="1:19" s="2" customFormat="1" ht="96.2" customHeight="1" outlineLevel="6">
      <c r="A2073" s="52">
        <v>1628</v>
      </c>
      <c r="B2073" s="26" t="s">
        <v>6873</v>
      </c>
      <c r="C2073" s="66" t="s">
        <v>6874</v>
      </c>
      <c r="D2073" s="66"/>
      <c r="E2073" s="66"/>
      <c r="F2073" s="66"/>
      <c r="G2073" s="27" t="s">
        <v>6875</v>
      </c>
      <c r="H2073" s="33">
        <v>14</v>
      </c>
      <c r="I2073" s="29"/>
      <c r="J2073" s="25">
        <v>1</v>
      </c>
      <c r="K2073" s="37">
        <v>3708.64</v>
      </c>
      <c r="L2073" s="17"/>
      <c r="M2073" s="29">
        <f t="shared" ref="M2073:M2096" si="97">K2073*L2073</f>
        <v>0</v>
      </c>
      <c r="N2073" s="31">
        <f>1.012*L2073</f>
        <v>0</v>
      </c>
      <c r="O2073" s="32">
        <f>0.00471*L2073</f>
        <v>0</v>
      </c>
      <c r="P2073" s="36"/>
      <c r="Q2073" s="29" t="s">
        <v>6876</v>
      </c>
      <c r="R2073" s="29" t="s">
        <v>611</v>
      </c>
      <c r="S2073" s="26" t="str">
        <f>HYPERLINK("https://miland.ru/api/getInfo/image/7ba7ae10-bd04-11ef-a267-00155d82e908")</f>
        <v>https://miland.ru/api/getInfo/image/7ba7ae10-bd04-11ef-a267-00155d82e908</v>
      </c>
    </row>
    <row r="2074" spans="1:19" s="2" customFormat="1" ht="96.2" customHeight="1" outlineLevel="6">
      <c r="A2074" s="52">
        <v>1629</v>
      </c>
      <c r="B2074" s="26" t="s">
        <v>6877</v>
      </c>
      <c r="C2074" s="66" t="s">
        <v>6878</v>
      </c>
      <c r="D2074" s="66"/>
      <c r="E2074" s="66"/>
      <c r="F2074" s="66"/>
      <c r="G2074" s="27" t="s">
        <v>6879</v>
      </c>
      <c r="H2074" s="33">
        <v>1</v>
      </c>
      <c r="I2074" s="29"/>
      <c r="J2074" s="25">
        <v>1</v>
      </c>
      <c r="K2074" s="30">
        <v>735.23</v>
      </c>
      <c r="L2074" s="17"/>
      <c r="M2074" s="29">
        <f t="shared" si="97"/>
        <v>0</v>
      </c>
      <c r="N2074" s="34">
        <f>0.28*L2074</f>
        <v>0</v>
      </c>
      <c r="O2074" s="32">
        <f>0.00081*L2074</f>
        <v>0</v>
      </c>
      <c r="P2074" s="36"/>
      <c r="Q2074" s="29" t="s">
        <v>6880</v>
      </c>
      <c r="R2074" s="29" t="s">
        <v>611</v>
      </c>
      <c r="S2074" s="26" t="str">
        <f>HYPERLINK("https://miland.ru/api/getInfo/image/1a060d69-f1c1-11ee-a25b-00155d82e908")</f>
        <v>https://miland.ru/api/getInfo/image/1a060d69-f1c1-11ee-a25b-00155d82e908</v>
      </c>
    </row>
    <row r="2075" spans="1:19" s="2" customFormat="1" ht="96.2" customHeight="1" outlineLevel="6">
      <c r="A2075" s="52">
        <v>1630</v>
      </c>
      <c r="B2075" s="26" t="s">
        <v>6881</v>
      </c>
      <c r="C2075" s="66" t="s">
        <v>6882</v>
      </c>
      <c r="D2075" s="66"/>
      <c r="E2075" s="66"/>
      <c r="F2075" s="66"/>
      <c r="G2075" s="27" t="s">
        <v>6883</v>
      </c>
      <c r="H2075" s="33">
        <v>8</v>
      </c>
      <c r="I2075" s="29"/>
      <c r="J2075" s="25">
        <v>2</v>
      </c>
      <c r="K2075" s="30">
        <v>372.79</v>
      </c>
      <c r="L2075" s="17"/>
      <c r="M2075" s="29">
        <f t="shared" si="97"/>
        <v>0</v>
      </c>
      <c r="N2075" s="34">
        <f>0.12*L2075</f>
        <v>0</v>
      </c>
      <c r="O2075" s="32">
        <f>0.00034*L2075</f>
        <v>0</v>
      </c>
      <c r="P2075" s="36"/>
      <c r="Q2075" s="29" t="s">
        <v>6884</v>
      </c>
      <c r="R2075" s="29" t="s">
        <v>611</v>
      </c>
      <c r="S2075" s="26" t="str">
        <f>HYPERLINK("https://miland.ru/api/getInfo/image/755cd3b1-f1c0-11ee-a25b-00155d82e908")</f>
        <v>https://miland.ru/api/getInfo/image/755cd3b1-f1c0-11ee-a25b-00155d82e908</v>
      </c>
    </row>
    <row r="2076" spans="1:19" s="2" customFormat="1" ht="96.2" customHeight="1" outlineLevel="6">
      <c r="A2076" s="52">
        <v>1631</v>
      </c>
      <c r="B2076" s="26" t="s">
        <v>6885</v>
      </c>
      <c r="C2076" s="66" t="s">
        <v>6886</v>
      </c>
      <c r="D2076" s="66"/>
      <c r="E2076" s="66"/>
      <c r="F2076" s="66"/>
      <c r="G2076" s="27" t="s">
        <v>6887</v>
      </c>
      <c r="H2076" s="33">
        <v>3</v>
      </c>
      <c r="I2076" s="29"/>
      <c r="J2076" s="25">
        <v>1</v>
      </c>
      <c r="K2076" s="30">
        <v>701.78</v>
      </c>
      <c r="L2076" s="17"/>
      <c r="M2076" s="29">
        <f t="shared" si="97"/>
        <v>0</v>
      </c>
      <c r="N2076" s="34">
        <f>0.28*L2076</f>
        <v>0</v>
      </c>
      <c r="O2076" s="32">
        <f>0.00081*L2076</f>
        <v>0</v>
      </c>
      <c r="P2076" s="36"/>
      <c r="Q2076" s="29" t="s">
        <v>6888</v>
      </c>
      <c r="R2076" s="29" t="s">
        <v>611</v>
      </c>
      <c r="S2076" s="26" t="str">
        <f>HYPERLINK("https://miland.ru/api/getInfo/image/30118891-f1c1-11ee-a25b-00155d82e908")</f>
        <v>https://miland.ru/api/getInfo/image/30118891-f1c1-11ee-a25b-00155d82e908</v>
      </c>
    </row>
    <row r="2077" spans="1:19" s="2" customFormat="1" ht="96.2" customHeight="1" outlineLevel="6">
      <c r="A2077" s="52">
        <v>1632</v>
      </c>
      <c r="B2077" s="26" t="s">
        <v>6889</v>
      </c>
      <c r="C2077" s="66" t="s">
        <v>6890</v>
      </c>
      <c r="D2077" s="66"/>
      <c r="E2077" s="66"/>
      <c r="F2077" s="66"/>
      <c r="G2077" s="27" t="s">
        <v>6891</v>
      </c>
      <c r="H2077" s="33">
        <v>3</v>
      </c>
      <c r="I2077" s="29"/>
      <c r="J2077" s="25">
        <v>2</v>
      </c>
      <c r="K2077" s="30">
        <v>362.98</v>
      </c>
      <c r="L2077" s="17"/>
      <c r="M2077" s="29">
        <f t="shared" si="97"/>
        <v>0</v>
      </c>
      <c r="N2077" s="31">
        <f>0.125*L2077</f>
        <v>0</v>
      </c>
      <c r="O2077" s="32">
        <f>0.00049*L2077</f>
        <v>0</v>
      </c>
      <c r="P2077" s="36"/>
      <c r="Q2077" s="29" t="s">
        <v>6892</v>
      </c>
      <c r="R2077" s="29" t="s">
        <v>611</v>
      </c>
      <c r="S2077" s="26" t="str">
        <f>HYPERLINK("https://miland.ru/api/getInfo/image/b446971f-f1be-11ee-a25b-00155d82e908")</f>
        <v>https://miland.ru/api/getInfo/image/b446971f-f1be-11ee-a25b-00155d82e908</v>
      </c>
    </row>
    <row r="2078" spans="1:19" s="2" customFormat="1" ht="96.2" customHeight="1" outlineLevel="6">
      <c r="A2078" s="52">
        <v>1633</v>
      </c>
      <c r="B2078" s="26" t="s">
        <v>6893</v>
      </c>
      <c r="C2078" s="66" t="s">
        <v>6894</v>
      </c>
      <c r="D2078" s="66"/>
      <c r="E2078" s="66"/>
      <c r="F2078" s="66"/>
      <c r="G2078" s="27" t="s">
        <v>6895</v>
      </c>
      <c r="H2078" s="33">
        <v>20</v>
      </c>
      <c r="I2078" s="29"/>
      <c r="J2078" s="25">
        <v>2</v>
      </c>
      <c r="K2078" s="30">
        <v>362.98</v>
      </c>
      <c r="L2078" s="17"/>
      <c r="M2078" s="29">
        <f t="shared" si="97"/>
        <v>0</v>
      </c>
      <c r="N2078" s="31">
        <f>0.122*L2078</f>
        <v>0</v>
      </c>
      <c r="O2078" s="32">
        <f>0.00057*L2078</f>
        <v>0</v>
      </c>
      <c r="P2078" s="36"/>
      <c r="Q2078" s="29" t="s">
        <v>6896</v>
      </c>
      <c r="R2078" s="29" t="s">
        <v>611</v>
      </c>
      <c r="S2078" s="26" t="str">
        <f>HYPERLINK("https://miland.ru/api/getInfo/image/ca8406ae-f1be-11ee-a25b-00155d82e908")</f>
        <v>https://miland.ru/api/getInfo/image/ca8406ae-f1be-11ee-a25b-00155d82e908</v>
      </c>
    </row>
    <row r="2079" spans="1:19" s="2" customFormat="1" ht="96.2" customHeight="1" outlineLevel="6">
      <c r="A2079" s="52">
        <v>1634</v>
      </c>
      <c r="B2079" s="26" t="s">
        <v>6897</v>
      </c>
      <c r="C2079" s="66" t="s">
        <v>6898</v>
      </c>
      <c r="D2079" s="66"/>
      <c r="E2079" s="66"/>
      <c r="F2079" s="66"/>
      <c r="G2079" s="27" t="s">
        <v>6899</v>
      </c>
      <c r="H2079" s="33">
        <v>17</v>
      </c>
      <c r="I2079" s="29"/>
      <c r="J2079" s="25">
        <v>2</v>
      </c>
      <c r="K2079" s="30">
        <v>362.98</v>
      </c>
      <c r="L2079" s="17"/>
      <c r="M2079" s="29">
        <f t="shared" si="97"/>
        <v>0</v>
      </c>
      <c r="N2079" s="34">
        <f>0.15*L2079</f>
        <v>0</v>
      </c>
      <c r="O2079" s="32">
        <f>0.00054*L2079</f>
        <v>0</v>
      </c>
      <c r="P2079" s="36"/>
      <c r="Q2079" s="29" t="s">
        <v>6900</v>
      </c>
      <c r="R2079" s="29" t="s">
        <v>611</v>
      </c>
      <c r="S2079" s="26" t="str">
        <f>HYPERLINK("https://miland.ru/api/getInfo/image/5496bebb-f1c5-11ee-a25b-00155d82e908")</f>
        <v>https://miland.ru/api/getInfo/image/5496bebb-f1c5-11ee-a25b-00155d82e908</v>
      </c>
    </row>
    <row r="2080" spans="1:19" s="2" customFormat="1" ht="96.2" customHeight="1" outlineLevel="6">
      <c r="A2080" s="52">
        <v>1635</v>
      </c>
      <c r="B2080" s="26" t="s">
        <v>6901</v>
      </c>
      <c r="C2080" s="66" t="s">
        <v>6902</v>
      </c>
      <c r="D2080" s="66"/>
      <c r="E2080" s="66"/>
      <c r="F2080" s="66"/>
      <c r="G2080" s="27" t="s">
        <v>6903</v>
      </c>
      <c r="H2080" s="33">
        <v>4</v>
      </c>
      <c r="I2080" s="29"/>
      <c r="J2080" s="25">
        <v>2</v>
      </c>
      <c r="K2080" s="30">
        <v>362.98</v>
      </c>
      <c r="L2080" s="17"/>
      <c r="M2080" s="29">
        <f t="shared" si="97"/>
        <v>0</v>
      </c>
      <c r="N2080" s="31">
        <f>0.122*L2080</f>
        <v>0</v>
      </c>
      <c r="O2080" s="32">
        <f>0.00057*L2080</f>
        <v>0</v>
      </c>
      <c r="P2080" s="36"/>
      <c r="Q2080" s="29" t="s">
        <v>6904</v>
      </c>
      <c r="R2080" s="29" t="s">
        <v>611</v>
      </c>
      <c r="S2080" s="26" t="str">
        <f>HYPERLINK("https://miland.ru/api/getInfo/image/26b95e95-f1be-11ee-a25b-00155d82e908")</f>
        <v>https://miland.ru/api/getInfo/image/26b95e95-f1be-11ee-a25b-00155d82e908</v>
      </c>
    </row>
    <row r="2081" spans="1:19" s="2" customFormat="1" ht="96.2" customHeight="1" outlineLevel="6">
      <c r="A2081" s="52">
        <v>1636</v>
      </c>
      <c r="B2081" s="26" t="s">
        <v>6905</v>
      </c>
      <c r="C2081" s="66" t="s">
        <v>6906</v>
      </c>
      <c r="D2081" s="66"/>
      <c r="E2081" s="66"/>
      <c r="F2081" s="66"/>
      <c r="G2081" s="27" t="s">
        <v>6907</v>
      </c>
      <c r="H2081" s="33">
        <v>13</v>
      </c>
      <c r="I2081" s="29"/>
      <c r="J2081" s="25">
        <v>2</v>
      </c>
      <c r="K2081" s="30">
        <v>362.98</v>
      </c>
      <c r="L2081" s="17"/>
      <c r="M2081" s="29">
        <f t="shared" si="97"/>
        <v>0</v>
      </c>
      <c r="N2081" s="31">
        <f>0.128*L2081</f>
        <v>0</v>
      </c>
      <c r="O2081" s="32">
        <f>0.00056*L2081</f>
        <v>0</v>
      </c>
      <c r="P2081" s="36"/>
      <c r="Q2081" s="29" t="s">
        <v>6908</v>
      </c>
      <c r="R2081" s="29" t="s">
        <v>611</v>
      </c>
      <c r="S2081" s="26" t="str">
        <f>HYPERLINK("https://miland.ru/api/getInfo/image/b3df647d-f1c3-11ee-a25b-00155d82e908")</f>
        <v>https://miland.ru/api/getInfo/image/b3df647d-f1c3-11ee-a25b-00155d82e908</v>
      </c>
    </row>
    <row r="2082" spans="1:19" s="2" customFormat="1" ht="96.2" customHeight="1" outlineLevel="6">
      <c r="A2082" s="52">
        <v>1637</v>
      </c>
      <c r="B2082" s="26" t="s">
        <v>6909</v>
      </c>
      <c r="C2082" s="66" t="s">
        <v>6910</v>
      </c>
      <c r="D2082" s="66"/>
      <c r="E2082" s="66"/>
      <c r="F2082" s="66"/>
      <c r="G2082" s="27" t="s">
        <v>6911</v>
      </c>
      <c r="H2082" s="33">
        <v>2</v>
      </c>
      <c r="I2082" s="29"/>
      <c r="J2082" s="25">
        <v>1</v>
      </c>
      <c r="K2082" s="30">
        <v>701.78</v>
      </c>
      <c r="L2082" s="17"/>
      <c r="M2082" s="29">
        <f t="shared" si="97"/>
        <v>0</v>
      </c>
      <c r="N2082" s="31">
        <f>0.309*L2082</f>
        <v>0</v>
      </c>
      <c r="O2082" s="32">
        <f>0.00094*L2082</f>
        <v>0</v>
      </c>
      <c r="P2082" s="36"/>
      <c r="Q2082" s="29" t="s">
        <v>6912</v>
      </c>
      <c r="R2082" s="29" t="s">
        <v>611</v>
      </c>
      <c r="S2082" s="26" t="str">
        <f>HYPERLINK("https://miland.ru/api/getInfo/image/1205681d-f1c4-11ee-a25b-00155d82e908")</f>
        <v>https://miland.ru/api/getInfo/image/1205681d-f1c4-11ee-a25b-00155d82e908</v>
      </c>
    </row>
    <row r="2083" spans="1:19" s="2" customFormat="1" ht="96.2" customHeight="1" outlineLevel="6">
      <c r="A2083" s="52">
        <v>1638</v>
      </c>
      <c r="B2083" s="26" t="s">
        <v>6913</v>
      </c>
      <c r="C2083" s="66" t="s">
        <v>6914</v>
      </c>
      <c r="D2083" s="66"/>
      <c r="E2083" s="66"/>
      <c r="F2083" s="66"/>
      <c r="G2083" s="27" t="s">
        <v>6915</v>
      </c>
      <c r="H2083" s="33">
        <v>4</v>
      </c>
      <c r="I2083" s="29"/>
      <c r="J2083" s="25">
        <v>2</v>
      </c>
      <c r="K2083" s="30">
        <v>362.98</v>
      </c>
      <c r="L2083" s="17"/>
      <c r="M2083" s="29">
        <f t="shared" si="97"/>
        <v>0</v>
      </c>
      <c r="N2083" s="34">
        <f>0.12*L2083</f>
        <v>0</v>
      </c>
      <c r="O2083" s="32">
        <f>0.00055*L2083</f>
        <v>0</v>
      </c>
      <c r="P2083" s="36"/>
      <c r="Q2083" s="29" t="s">
        <v>6916</v>
      </c>
      <c r="R2083" s="29" t="s">
        <v>611</v>
      </c>
      <c r="S2083" s="26" t="str">
        <f>HYPERLINK("https://miland.ru/api/getInfo/image/4cdbbebc-f1c3-11ee-a25b-00155d82e908")</f>
        <v>https://miland.ru/api/getInfo/image/4cdbbebc-f1c3-11ee-a25b-00155d82e908</v>
      </c>
    </row>
    <row r="2084" spans="1:19" s="2" customFormat="1" ht="96.2" customHeight="1" outlineLevel="6">
      <c r="A2084" s="52">
        <v>1639</v>
      </c>
      <c r="B2084" s="26" t="s">
        <v>6917</v>
      </c>
      <c r="C2084" s="66" t="s">
        <v>6918</v>
      </c>
      <c r="D2084" s="66"/>
      <c r="E2084" s="66"/>
      <c r="F2084" s="66"/>
      <c r="G2084" s="27" t="s">
        <v>6919</v>
      </c>
      <c r="H2084" s="33">
        <v>10</v>
      </c>
      <c r="I2084" s="29"/>
      <c r="J2084" s="25">
        <v>2</v>
      </c>
      <c r="K2084" s="30">
        <v>388.33</v>
      </c>
      <c r="L2084" s="17"/>
      <c r="M2084" s="29">
        <f t="shared" si="97"/>
        <v>0</v>
      </c>
      <c r="N2084" s="31">
        <f>0.128*L2084</f>
        <v>0</v>
      </c>
      <c r="O2084" s="32">
        <f>0.00053*L2084</f>
        <v>0</v>
      </c>
      <c r="P2084" s="36"/>
      <c r="Q2084" s="29" t="s">
        <v>6920</v>
      </c>
      <c r="R2084" s="29" t="s">
        <v>611</v>
      </c>
      <c r="S2084" s="26" t="str">
        <f>HYPERLINK("https://miland.ru/api/getInfo/image/8e7ad363-f1c3-11ee-a25b-00155d82e908")</f>
        <v>https://miland.ru/api/getInfo/image/8e7ad363-f1c3-11ee-a25b-00155d82e908</v>
      </c>
    </row>
    <row r="2085" spans="1:19" s="2" customFormat="1" ht="96.2" customHeight="1" outlineLevel="6">
      <c r="A2085" s="52">
        <v>1640</v>
      </c>
      <c r="B2085" s="26" t="s">
        <v>6921</v>
      </c>
      <c r="C2085" s="66" t="s">
        <v>6922</v>
      </c>
      <c r="D2085" s="66"/>
      <c r="E2085" s="66"/>
      <c r="F2085" s="66"/>
      <c r="G2085" s="27" t="s">
        <v>6923</v>
      </c>
      <c r="H2085" s="33">
        <v>3</v>
      </c>
      <c r="I2085" s="29"/>
      <c r="J2085" s="25">
        <v>2</v>
      </c>
      <c r="K2085" s="30">
        <v>362.98</v>
      </c>
      <c r="L2085" s="17"/>
      <c r="M2085" s="29">
        <f t="shared" si="97"/>
        <v>0</v>
      </c>
      <c r="N2085" s="31">
        <f>0.123*L2085</f>
        <v>0</v>
      </c>
      <c r="O2085" s="32">
        <f>0.00055*L2085</f>
        <v>0</v>
      </c>
      <c r="P2085" s="36"/>
      <c r="Q2085" s="29" t="s">
        <v>6924</v>
      </c>
      <c r="R2085" s="29" t="s">
        <v>611</v>
      </c>
      <c r="S2085" s="26" t="str">
        <f>HYPERLINK("https://miland.ru/api/getInfo/image/7415ffc9-f1c3-11ee-a25b-00155d82e908")</f>
        <v>https://miland.ru/api/getInfo/image/7415ffc9-f1c3-11ee-a25b-00155d82e908</v>
      </c>
    </row>
    <row r="2086" spans="1:19" s="2" customFormat="1" ht="96.2" customHeight="1" outlineLevel="6">
      <c r="A2086" s="52">
        <v>1641</v>
      </c>
      <c r="B2086" s="26" t="s">
        <v>6925</v>
      </c>
      <c r="C2086" s="66" t="s">
        <v>6926</v>
      </c>
      <c r="D2086" s="66"/>
      <c r="E2086" s="66"/>
      <c r="F2086" s="66"/>
      <c r="G2086" s="27" t="s">
        <v>6927</v>
      </c>
      <c r="H2086" s="33">
        <v>5</v>
      </c>
      <c r="I2086" s="29"/>
      <c r="J2086" s="25">
        <v>1</v>
      </c>
      <c r="K2086" s="30">
        <v>701.78</v>
      </c>
      <c r="L2086" s="17"/>
      <c r="M2086" s="29">
        <f t="shared" si="97"/>
        <v>0</v>
      </c>
      <c r="N2086" s="31">
        <f>0.295*L2086</f>
        <v>0</v>
      </c>
      <c r="O2086" s="32">
        <f>0.00107*L2086</f>
        <v>0</v>
      </c>
      <c r="P2086" s="36"/>
      <c r="Q2086" s="29" t="s">
        <v>6928</v>
      </c>
      <c r="R2086" s="29" t="s">
        <v>611</v>
      </c>
      <c r="S2086" s="26" t="str">
        <f>HYPERLINK("https://miland.ru/api/getInfo/image/f76c159d-f1c3-11ee-a25b-00155d82e908")</f>
        <v>https://miland.ru/api/getInfo/image/f76c159d-f1c3-11ee-a25b-00155d82e908</v>
      </c>
    </row>
    <row r="2087" spans="1:19" s="2" customFormat="1" ht="96.2" customHeight="1" outlineLevel="6">
      <c r="A2087" s="52">
        <v>1642</v>
      </c>
      <c r="B2087" s="26" t="s">
        <v>6929</v>
      </c>
      <c r="C2087" s="66" t="s">
        <v>6930</v>
      </c>
      <c r="D2087" s="66"/>
      <c r="E2087" s="66"/>
      <c r="F2087" s="66"/>
      <c r="G2087" s="27" t="s">
        <v>6931</v>
      </c>
      <c r="H2087" s="33">
        <v>2</v>
      </c>
      <c r="I2087" s="29"/>
      <c r="J2087" s="25">
        <v>1</v>
      </c>
      <c r="K2087" s="30">
        <v>701.78</v>
      </c>
      <c r="L2087" s="17"/>
      <c r="M2087" s="29">
        <f t="shared" si="97"/>
        <v>0</v>
      </c>
      <c r="N2087" s="34">
        <f>0.28*L2087</f>
        <v>0</v>
      </c>
      <c r="O2087" s="32">
        <f>0.00094*L2087</f>
        <v>0</v>
      </c>
      <c r="P2087" s="36"/>
      <c r="Q2087" s="29" t="s">
        <v>6932</v>
      </c>
      <c r="R2087" s="29" t="s">
        <v>611</v>
      </c>
      <c r="S2087" s="26" t="str">
        <f>HYPERLINK("https://miland.ru/api/getInfo/image/c98a8b45-f1bf-11ee-a25b-00155d82e908")</f>
        <v>https://miland.ru/api/getInfo/image/c98a8b45-f1bf-11ee-a25b-00155d82e908</v>
      </c>
    </row>
    <row r="2088" spans="1:19" s="2" customFormat="1" ht="96.2" customHeight="1" outlineLevel="6">
      <c r="A2088" s="52">
        <v>1643</v>
      </c>
      <c r="B2088" s="26" t="s">
        <v>6933</v>
      </c>
      <c r="C2088" s="66" t="s">
        <v>6934</v>
      </c>
      <c r="D2088" s="66"/>
      <c r="E2088" s="66"/>
      <c r="F2088" s="66"/>
      <c r="G2088" s="27" t="s">
        <v>6935</v>
      </c>
      <c r="H2088" s="33">
        <v>3</v>
      </c>
      <c r="I2088" s="29"/>
      <c r="J2088" s="25">
        <v>1</v>
      </c>
      <c r="K2088" s="30">
        <v>612.05999999999995</v>
      </c>
      <c r="L2088" s="17"/>
      <c r="M2088" s="29">
        <f t="shared" si="97"/>
        <v>0</v>
      </c>
      <c r="N2088" s="31">
        <f>0.326*L2088</f>
        <v>0</v>
      </c>
      <c r="O2088" s="32">
        <f>0.00134*L2088</f>
        <v>0</v>
      </c>
      <c r="P2088" s="36"/>
      <c r="Q2088" s="29" t="s">
        <v>6936</v>
      </c>
      <c r="R2088" s="29"/>
      <c r="S2088" s="26" t="str">
        <f>HYPERLINK("https://miland.ru/api/getInfo/image/70b499fa-a8c5-11ef-a267-00155d82e908")</f>
        <v>https://miland.ru/api/getInfo/image/70b499fa-a8c5-11ef-a267-00155d82e908</v>
      </c>
    </row>
    <row r="2089" spans="1:19" s="2" customFormat="1" ht="96.2" customHeight="1" outlineLevel="6">
      <c r="A2089" s="52">
        <v>1644</v>
      </c>
      <c r="B2089" s="26" t="s">
        <v>6937</v>
      </c>
      <c r="C2089" s="66" t="s">
        <v>6938</v>
      </c>
      <c r="D2089" s="66"/>
      <c r="E2089" s="66"/>
      <c r="F2089" s="66"/>
      <c r="G2089" s="27" t="s">
        <v>6939</v>
      </c>
      <c r="H2089" s="33">
        <v>4</v>
      </c>
      <c r="I2089" s="29"/>
      <c r="J2089" s="25">
        <v>2</v>
      </c>
      <c r="K2089" s="30">
        <v>310.16000000000003</v>
      </c>
      <c r="L2089" s="17"/>
      <c r="M2089" s="29">
        <f t="shared" si="97"/>
        <v>0</v>
      </c>
      <c r="N2089" s="34">
        <f>0.14*L2089</f>
        <v>0</v>
      </c>
      <c r="O2089" s="32">
        <f>0.00057*L2089</f>
        <v>0</v>
      </c>
      <c r="P2089" s="36"/>
      <c r="Q2089" s="29" t="s">
        <v>6940</v>
      </c>
      <c r="R2089" s="29"/>
      <c r="S2089" s="26" t="str">
        <f>HYPERLINK("https://miland.ru/api/getInfo/image/0871e9ae-a8c4-11ef-a267-00155d82e908")</f>
        <v>https://miland.ru/api/getInfo/image/0871e9ae-a8c4-11ef-a267-00155d82e908</v>
      </c>
    </row>
    <row r="2090" spans="1:19" s="2" customFormat="1" ht="96.2" customHeight="1" outlineLevel="6">
      <c r="A2090" s="52">
        <v>1645</v>
      </c>
      <c r="B2090" s="26" t="s">
        <v>6941</v>
      </c>
      <c r="C2090" s="66" t="s">
        <v>6942</v>
      </c>
      <c r="D2090" s="66"/>
      <c r="E2090" s="66"/>
      <c r="F2090" s="66"/>
      <c r="G2090" s="27" t="s">
        <v>6943</v>
      </c>
      <c r="H2090" s="33">
        <v>8</v>
      </c>
      <c r="I2090" s="29"/>
      <c r="J2090" s="25">
        <v>1</v>
      </c>
      <c r="K2090" s="37">
        <v>3236.07</v>
      </c>
      <c r="L2090" s="17"/>
      <c r="M2090" s="29">
        <f t="shared" si="97"/>
        <v>0</v>
      </c>
      <c r="N2090" s="31">
        <f>1.079*L2090</f>
        <v>0</v>
      </c>
      <c r="O2090" s="32">
        <f>0.00708*L2090</f>
        <v>0</v>
      </c>
      <c r="P2090" s="36"/>
      <c r="Q2090" s="29" t="s">
        <v>6944</v>
      </c>
      <c r="R2090" s="29"/>
      <c r="S2090" s="26" t="str">
        <f>HYPERLINK("https://miland.ru/api/getInfo/image/47f04ab5-a8c7-11ef-a267-00155d82e908")</f>
        <v>https://miland.ru/api/getInfo/image/47f04ab5-a8c7-11ef-a267-00155d82e908</v>
      </c>
    </row>
    <row r="2091" spans="1:19" s="2" customFormat="1" ht="96.2" customHeight="1" outlineLevel="6">
      <c r="A2091" s="52">
        <v>1646</v>
      </c>
      <c r="B2091" s="26" t="s">
        <v>6945</v>
      </c>
      <c r="C2091" s="66" t="s">
        <v>6946</v>
      </c>
      <c r="D2091" s="66"/>
      <c r="E2091" s="66"/>
      <c r="F2091" s="66"/>
      <c r="G2091" s="27" t="s">
        <v>6947</v>
      </c>
      <c r="H2091" s="33">
        <v>2</v>
      </c>
      <c r="I2091" s="29"/>
      <c r="J2091" s="25">
        <v>1</v>
      </c>
      <c r="K2091" s="30">
        <v>772.24</v>
      </c>
      <c r="L2091" s="17"/>
      <c r="M2091" s="29">
        <f t="shared" si="97"/>
        <v>0</v>
      </c>
      <c r="N2091" s="31">
        <f>0.347*L2091</f>
        <v>0</v>
      </c>
      <c r="O2091" s="32">
        <f>0.00129*L2091</f>
        <v>0</v>
      </c>
      <c r="P2091" s="36"/>
      <c r="Q2091" s="29" t="s">
        <v>6948</v>
      </c>
      <c r="R2091" s="29" t="s">
        <v>611</v>
      </c>
      <c r="S2091" s="26" t="str">
        <f>HYPERLINK("https://miland.ru/api/getInfo/image/56bbb1c6-a8c5-11ef-a267-00155d82e908")</f>
        <v>https://miland.ru/api/getInfo/image/56bbb1c6-a8c5-11ef-a267-00155d82e908</v>
      </c>
    </row>
    <row r="2092" spans="1:19" s="2" customFormat="1" ht="96.2" customHeight="1" outlineLevel="6">
      <c r="A2092" s="52">
        <v>1647</v>
      </c>
      <c r="B2092" s="26" t="s">
        <v>6949</v>
      </c>
      <c r="C2092" s="66" t="s">
        <v>6950</v>
      </c>
      <c r="D2092" s="66"/>
      <c r="E2092" s="66"/>
      <c r="F2092" s="66"/>
      <c r="G2092" s="27" t="s">
        <v>6951</v>
      </c>
      <c r="H2092" s="33">
        <v>4</v>
      </c>
      <c r="I2092" s="29"/>
      <c r="J2092" s="25">
        <v>2</v>
      </c>
      <c r="K2092" s="30">
        <v>310.16000000000003</v>
      </c>
      <c r="L2092" s="17"/>
      <c r="M2092" s="29">
        <f t="shared" si="97"/>
        <v>0</v>
      </c>
      <c r="N2092" s="31">
        <f>0.167*L2092</f>
        <v>0</v>
      </c>
      <c r="O2092" s="32">
        <f>0.00061*L2092</f>
        <v>0</v>
      </c>
      <c r="P2092" s="36"/>
      <c r="Q2092" s="29" t="s">
        <v>6952</v>
      </c>
      <c r="R2092" s="29"/>
      <c r="S2092" s="26" t="str">
        <f>HYPERLINK("https://miland.ru/api/getInfo/image/ec83996e-a8c3-11ef-a267-00155d82e908")</f>
        <v>https://miland.ru/api/getInfo/image/ec83996e-a8c3-11ef-a267-00155d82e908</v>
      </c>
    </row>
    <row r="2093" spans="1:19" s="2" customFormat="1" ht="96.2" customHeight="1" outlineLevel="6">
      <c r="A2093" s="52">
        <v>1648</v>
      </c>
      <c r="B2093" s="26" t="s">
        <v>6953</v>
      </c>
      <c r="C2093" s="66" t="s">
        <v>6954</v>
      </c>
      <c r="D2093" s="66"/>
      <c r="E2093" s="66"/>
      <c r="F2093" s="66"/>
      <c r="G2093" s="27" t="s">
        <v>6955</v>
      </c>
      <c r="H2093" s="33">
        <v>2</v>
      </c>
      <c r="I2093" s="29"/>
      <c r="J2093" s="25">
        <v>1</v>
      </c>
      <c r="K2093" s="37">
        <v>3284.81</v>
      </c>
      <c r="L2093" s="17"/>
      <c r="M2093" s="29">
        <f t="shared" si="97"/>
        <v>0</v>
      </c>
      <c r="N2093" s="31">
        <f>1.025*L2093</f>
        <v>0</v>
      </c>
      <c r="O2093" s="32">
        <f>0.00479*L2093</f>
        <v>0</v>
      </c>
      <c r="P2093" s="36"/>
      <c r="Q2093" s="29" t="s">
        <v>6956</v>
      </c>
      <c r="R2093" s="29"/>
      <c r="S2093" s="26" t="str">
        <f>HYPERLINK("https://miland.ru/api/getInfo/image/717aed0b-bd06-11ef-a267-00155d82e908")</f>
        <v>https://miland.ru/api/getInfo/image/717aed0b-bd06-11ef-a267-00155d82e908</v>
      </c>
    </row>
    <row r="2094" spans="1:19" s="2" customFormat="1" ht="96.2" customHeight="1" outlineLevel="6">
      <c r="A2094" s="52">
        <v>1649</v>
      </c>
      <c r="B2094" s="26" t="s">
        <v>6957</v>
      </c>
      <c r="C2094" s="66" t="s">
        <v>6958</v>
      </c>
      <c r="D2094" s="66"/>
      <c r="E2094" s="66"/>
      <c r="F2094" s="66"/>
      <c r="G2094" s="27" t="s">
        <v>6959</v>
      </c>
      <c r="H2094" s="33">
        <v>1</v>
      </c>
      <c r="I2094" s="29"/>
      <c r="J2094" s="25">
        <v>1</v>
      </c>
      <c r="K2094" s="30">
        <v>322.57</v>
      </c>
      <c r="L2094" s="17"/>
      <c r="M2094" s="29">
        <f t="shared" si="97"/>
        <v>0</v>
      </c>
      <c r="N2094" s="31">
        <f>0.351*L2094</f>
        <v>0</v>
      </c>
      <c r="O2094" s="32">
        <f>0.00091*L2094</f>
        <v>0</v>
      </c>
      <c r="P2094" s="36"/>
      <c r="Q2094" s="29" t="s">
        <v>6960</v>
      </c>
      <c r="R2094" s="29"/>
      <c r="S2094" s="26" t="str">
        <f>HYPERLINK("https://miland.ru/api/getInfo/image/95f11a40-5aa9-11e9-a222-ac1f6b442184")</f>
        <v>https://miland.ru/api/getInfo/image/95f11a40-5aa9-11e9-a222-ac1f6b442184</v>
      </c>
    </row>
    <row r="2095" spans="1:19" s="2" customFormat="1" ht="96.2" customHeight="1" outlineLevel="6">
      <c r="A2095" s="52">
        <v>1650</v>
      </c>
      <c r="B2095" s="26" t="s">
        <v>6961</v>
      </c>
      <c r="C2095" s="66" t="s">
        <v>6962</v>
      </c>
      <c r="D2095" s="66"/>
      <c r="E2095" s="66"/>
      <c r="F2095" s="66"/>
      <c r="G2095" s="27" t="s">
        <v>6963</v>
      </c>
      <c r="H2095" s="33">
        <v>41</v>
      </c>
      <c r="I2095" s="29"/>
      <c r="J2095" s="25">
        <v>1</v>
      </c>
      <c r="K2095" s="30">
        <v>310.16000000000003</v>
      </c>
      <c r="L2095" s="17"/>
      <c r="M2095" s="29">
        <f t="shared" si="97"/>
        <v>0</v>
      </c>
      <c r="N2095" s="31">
        <f>0.148*L2095</f>
        <v>0</v>
      </c>
      <c r="O2095" s="35">
        <f>0.0004*L2095</f>
        <v>0</v>
      </c>
      <c r="P2095" s="36"/>
      <c r="Q2095" s="29" t="s">
        <v>6964</v>
      </c>
      <c r="R2095" s="29"/>
      <c r="S2095" s="26" t="str">
        <f>HYPERLINK("https://miland.ru/api/getInfo/image/e5b8adc1-a8c2-11ef-a267-00155d82e908")</f>
        <v>https://miland.ru/api/getInfo/image/e5b8adc1-a8c2-11ef-a267-00155d82e908</v>
      </c>
    </row>
    <row r="2096" spans="1:19" s="2" customFormat="1" ht="96.2" customHeight="1" outlineLevel="6">
      <c r="A2096" s="52">
        <v>1651</v>
      </c>
      <c r="B2096" s="26" t="s">
        <v>6965</v>
      </c>
      <c r="C2096" s="66" t="s">
        <v>6966</v>
      </c>
      <c r="D2096" s="66"/>
      <c r="E2096" s="66"/>
      <c r="F2096" s="66"/>
      <c r="G2096" s="27" t="s">
        <v>6967</v>
      </c>
      <c r="H2096" s="33">
        <v>5</v>
      </c>
      <c r="I2096" s="29"/>
      <c r="J2096" s="25">
        <v>1</v>
      </c>
      <c r="K2096" s="30">
        <v>420.07</v>
      </c>
      <c r="L2096" s="17"/>
      <c r="M2096" s="29">
        <f t="shared" si="97"/>
        <v>0</v>
      </c>
      <c r="N2096" s="31">
        <f>0.148*L2096</f>
        <v>0</v>
      </c>
      <c r="O2096" s="35">
        <f>0.0004*L2096</f>
        <v>0</v>
      </c>
      <c r="P2096" s="36"/>
      <c r="Q2096" s="29" t="s">
        <v>6968</v>
      </c>
      <c r="R2096" s="29" t="s">
        <v>611</v>
      </c>
      <c r="S2096" s="26" t="str">
        <f>HYPERLINK("https://miland.ru/api/getInfo/image/3a0d8f05-a8c3-11ef-a267-00155d82e908")</f>
        <v>https://miland.ru/api/getInfo/image/3a0d8f05-a8c3-11ef-a267-00155d82e908</v>
      </c>
    </row>
    <row r="2097" spans="1:19" s="1" customFormat="1" ht="12" customHeight="1" outlineLevel="4">
      <c r="A2097" s="64" t="s">
        <v>6969</v>
      </c>
      <c r="B2097" s="64"/>
      <c r="C2097" s="64"/>
      <c r="D2097" s="64"/>
      <c r="E2097" s="64"/>
      <c r="F2097" s="64"/>
      <c r="G2097" s="8"/>
      <c r="H2097" s="12"/>
      <c r="I2097" s="2"/>
      <c r="J2097" s="2"/>
      <c r="K2097" s="13"/>
      <c r="L2097" s="2"/>
      <c r="M2097" s="2"/>
      <c r="N2097" s="2"/>
      <c r="O2097" s="2"/>
      <c r="P2097" s="2"/>
      <c r="Q2097" s="2"/>
      <c r="R2097" s="2"/>
      <c r="S2097" s="2"/>
    </row>
    <row r="2098" spans="1:19" s="1" customFormat="1" ht="12" customHeight="1" outlineLevel="5">
      <c r="A2098" s="64" t="s">
        <v>6970</v>
      </c>
      <c r="B2098" s="64"/>
      <c r="C2098" s="64"/>
      <c r="D2098" s="64"/>
      <c r="E2098" s="64"/>
      <c r="F2098" s="64"/>
      <c r="G2098" s="8"/>
      <c r="H2098" s="12"/>
      <c r="I2098" s="2"/>
      <c r="J2098" s="2"/>
      <c r="K2098" s="13"/>
      <c r="L2098" s="2"/>
      <c r="M2098" s="2"/>
      <c r="N2098" s="2"/>
      <c r="O2098" s="2"/>
      <c r="P2098" s="2"/>
      <c r="Q2098" s="2"/>
      <c r="R2098" s="2"/>
      <c r="S2098" s="2"/>
    </row>
    <row r="2099" spans="1:19" s="1" customFormat="1" ht="12" customHeight="1" outlineLevel="6">
      <c r="A2099" s="64" t="s">
        <v>6971</v>
      </c>
      <c r="B2099" s="64"/>
      <c r="C2099" s="64"/>
      <c r="D2099" s="64"/>
      <c r="E2099" s="64"/>
      <c r="F2099" s="64"/>
      <c r="G2099" s="8"/>
      <c r="H2099" s="12"/>
      <c r="I2099" s="2"/>
      <c r="J2099" s="2"/>
      <c r="K2099" s="13"/>
      <c r="L2099" s="2"/>
      <c r="M2099" s="2"/>
      <c r="N2099" s="2"/>
      <c r="O2099" s="2"/>
      <c r="P2099" s="2"/>
      <c r="Q2099" s="2"/>
      <c r="R2099" s="2"/>
      <c r="S2099" s="2"/>
    </row>
    <row r="2100" spans="1:19" s="1" customFormat="1" ht="12" customHeight="1" outlineLevel="7">
      <c r="A2100" s="64" t="s">
        <v>6972</v>
      </c>
      <c r="B2100" s="64"/>
      <c r="C2100" s="64"/>
      <c r="D2100" s="64"/>
      <c r="E2100" s="64"/>
      <c r="F2100" s="64"/>
      <c r="G2100" s="8"/>
      <c r="H2100" s="12"/>
      <c r="I2100" s="2"/>
      <c r="J2100" s="2"/>
      <c r="K2100" s="13"/>
      <c r="L2100" s="2"/>
      <c r="M2100" s="2"/>
      <c r="N2100" s="2"/>
      <c r="O2100" s="2"/>
      <c r="P2100" s="2"/>
      <c r="Q2100" s="2"/>
      <c r="R2100" s="2"/>
      <c r="S2100" s="2"/>
    </row>
    <row r="2101" spans="1:19" s="2" customFormat="1" ht="96.2" customHeight="1" outlineLevel="7">
      <c r="A2101" s="53">
        <v>1652</v>
      </c>
      <c r="B2101" s="10" t="s">
        <v>6973</v>
      </c>
      <c r="C2101" s="65" t="s">
        <v>6974</v>
      </c>
      <c r="D2101" s="65"/>
      <c r="E2101" s="65"/>
      <c r="F2101" s="65"/>
      <c r="G2101" s="11" t="s">
        <v>6975</v>
      </c>
      <c r="H2101" s="21" t="s">
        <v>44</v>
      </c>
      <c r="I2101" s="15"/>
      <c r="J2101" s="9">
        <v>5</v>
      </c>
      <c r="K2101" s="16">
        <v>49.33</v>
      </c>
      <c r="L2101" s="17"/>
      <c r="M2101" s="15">
        <f t="shared" ref="M2101:M2112" si="98">K2101*L2101</f>
        <v>0</v>
      </c>
      <c r="N2101" s="18">
        <f>0.015*L2101</f>
        <v>0</v>
      </c>
      <c r="O2101" s="19">
        <f>0.00007*L2101</f>
        <v>0</v>
      </c>
      <c r="P2101" s="24" t="s">
        <v>26</v>
      </c>
      <c r="Q2101" s="15" t="s">
        <v>6976</v>
      </c>
      <c r="R2101" s="15"/>
      <c r="S2101" s="10" t="str">
        <f>HYPERLINK("https://miland.ru/api/getInfo/image/072d8308-fd17-11f0-a28e-00155d82e908")</f>
        <v>https://miland.ru/api/getInfo/image/072d8308-fd17-11f0-a28e-00155d82e908</v>
      </c>
    </row>
    <row r="2102" spans="1:19" s="2" customFormat="1" ht="96.2" customHeight="1" outlineLevel="7">
      <c r="A2102" s="52">
        <v>1653</v>
      </c>
      <c r="B2102" s="26" t="s">
        <v>6977</v>
      </c>
      <c r="C2102" s="66" t="s">
        <v>6978</v>
      </c>
      <c r="D2102" s="66"/>
      <c r="E2102" s="66"/>
      <c r="F2102" s="66"/>
      <c r="G2102" s="27" t="s">
        <v>6979</v>
      </c>
      <c r="H2102" s="28" t="s">
        <v>44</v>
      </c>
      <c r="I2102" s="29"/>
      <c r="J2102" s="25">
        <v>5</v>
      </c>
      <c r="K2102" s="30">
        <v>49.33</v>
      </c>
      <c r="L2102" s="17"/>
      <c r="M2102" s="29">
        <f t="shared" si="98"/>
        <v>0</v>
      </c>
      <c r="N2102" s="31">
        <f>0.023*L2102</f>
        <v>0</v>
      </c>
      <c r="O2102" s="32">
        <f>0.00005*L2102</f>
        <v>0</v>
      </c>
      <c r="P2102" s="36"/>
      <c r="Q2102" s="29" t="s">
        <v>6980</v>
      </c>
      <c r="R2102" s="29" t="s">
        <v>611</v>
      </c>
      <c r="S2102" s="26" t="str">
        <f>HYPERLINK("https://miland.ru/api/getInfo/image/e94753a1-bf68-11ee-a25a-00155d82e908")</f>
        <v>https://miland.ru/api/getInfo/image/e94753a1-bf68-11ee-a25a-00155d82e908</v>
      </c>
    </row>
    <row r="2103" spans="1:19" s="2" customFormat="1" ht="96.2" customHeight="1" outlineLevel="7">
      <c r="A2103" s="53">
        <v>1654</v>
      </c>
      <c r="B2103" s="10" t="s">
        <v>6981</v>
      </c>
      <c r="C2103" s="65" t="s">
        <v>6982</v>
      </c>
      <c r="D2103" s="65"/>
      <c r="E2103" s="65"/>
      <c r="F2103" s="65"/>
      <c r="G2103" s="11" t="s">
        <v>6983</v>
      </c>
      <c r="H2103" s="21" t="s">
        <v>44</v>
      </c>
      <c r="I2103" s="15"/>
      <c r="J2103" s="9">
        <v>5</v>
      </c>
      <c r="K2103" s="16">
        <v>49.33</v>
      </c>
      <c r="L2103" s="17"/>
      <c r="M2103" s="15">
        <f t="shared" si="98"/>
        <v>0</v>
      </c>
      <c r="N2103" s="18">
        <f>0.015*L2103</f>
        <v>0</v>
      </c>
      <c r="O2103" s="19">
        <f>0.00038*L2103</f>
        <v>0</v>
      </c>
      <c r="P2103" s="24" t="s">
        <v>26</v>
      </c>
      <c r="Q2103" s="15" t="s">
        <v>6984</v>
      </c>
      <c r="R2103" s="15"/>
      <c r="S2103" s="10" t="str">
        <f>HYPERLINK("https://miland.ru/api/getInfo/image/471d0408-fd17-11f0-a28e-00155d82e908")</f>
        <v>https://miland.ru/api/getInfo/image/471d0408-fd17-11f0-a28e-00155d82e908</v>
      </c>
    </row>
    <row r="2104" spans="1:19" s="2" customFormat="1" ht="96.2" customHeight="1" outlineLevel="7">
      <c r="A2104" s="52">
        <v>1655</v>
      </c>
      <c r="B2104" s="26" t="s">
        <v>6985</v>
      </c>
      <c r="C2104" s="66" t="s">
        <v>6986</v>
      </c>
      <c r="D2104" s="66"/>
      <c r="E2104" s="66"/>
      <c r="F2104" s="66"/>
      <c r="G2104" s="27" t="s">
        <v>6987</v>
      </c>
      <c r="H2104" s="28" t="s">
        <v>44</v>
      </c>
      <c r="I2104" s="29"/>
      <c r="J2104" s="25">
        <v>5</v>
      </c>
      <c r="K2104" s="30">
        <v>49.33</v>
      </c>
      <c r="L2104" s="17"/>
      <c r="M2104" s="29">
        <f t="shared" si="98"/>
        <v>0</v>
      </c>
      <c r="N2104" s="31">
        <f>0.024*L2104</f>
        <v>0</v>
      </c>
      <c r="O2104" s="32">
        <f>0.00014*L2104</f>
        <v>0</v>
      </c>
      <c r="P2104" s="36"/>
      <c r="Q2104" s="29" t="s">
        <v>6988</v>
      </c>
      <c r="R2104" s="29" t="s">
        <v>611</v>
      </c>
      <c r="S2104" s="26" t="str">
        <f>HYPERLINK("https://miland.ru/api/getInfo/image/2aa143f9-bf69-11ee-a25a-00155d82e908")</f>
        <v>https://miland.ru/api/getInfo/image/2aa143f9-bf69-11ee-a25a-00155d82e908</v>
      </c>
    </row>
    <row r="2105" spans="1:19" s="2" customFormat="1" ht="96.2" customHeight="1" outlineLevel="7">
      <c r="A2105" s="53">
        <v>1656</v>
      </c>
      <c r="B2105" s="10" t="s">
        <v>6989</v>
      </c>
      <c r="C2105" s="65" t="s">
        <v>6990</v>
      </c>
      <c r="D2105" s="65"/>
      <c r="E2105" s="65"/>
      <c r="F2105" s="65"/>
      <c r="G2105" s="11" t="s">
        <v>6991</v>
      </c>
      <c r="H2105" s="14">
        <v>53</v>
      </c>
      <c r="I2105" s="15"/>
      <c r="J2105" s="9">
        <v>5</v>
      </c>
      <c r="K2105" s="16">
        <v>49.33</v>
      </c>
      <c r="L2105" s="17"/>
      <c r="M2105" s="15">
        <f t="shared" si="98"/>
        <v>0</v>
      </c>
      <c r="N2105" s="18">
        <f>0.017*L2105</f>
        <v>0</v>
      </c>
      <c r="O2105" s="19">
        <f>0.00012*L2105</f>
        <v>0</v>
      </c>
      <c r="P2105" s="24" t="s">
        <v>26</v>
      </c>
      <c r="Q2105" s="15" t="s">
        <v>6992</v>
      </c>
      <c r="R2105" s="15"/>
      <c r="S2105" s="10" t="str">
        <f>HYPERLINK("https://miland.ru/api/getInfo/image/3181a254-fd17-11f0-a28e-00155d82e908")</f>
        <v>https://miland.ru/api/getInfo/image/3181a254-fd17-11f0-a28e-00155d82e908</v>
      </c>
    </row>
    <row r="2106" spans="1:19" s="2" customFormat="1" ht="96.2" customHeight="1" outlineLevel="7">
      <c r="A2106" s="52">
        <v>1657</v>
      </c>
      <c r="B2106" s="26" t="s">
        <v>6993</v>
      </c>
      <c r="C2106" s="66" t="s">
        <v>6994</v>
      </c>
      <c r="D2106" s="66"/>
      <c r="E2106" s="66"/>
      <c r="F2106" s="66"/>
      <c r="G2106" s="27" t="s">
        <v>6995</v>
      </c>
      <c r="H2106" s="28" t="s">
        <v>44</v>
      </c>
      <c r="I2106" s="29"/>
      <c r="J2106" s="25">
        <v>5</v>
      </c>
      <c r="K2106" s="30">
        <v>49.33</v>
      </c>
      <c r="L2106" s="17"/>
      <c r="M2106" s="29">
        <f t="shared" si="98"/>
        <v>0</v>
      </c>
      <c r="N2106" s="31">
        <f>0.022*L2106</f>
        <v>0</v>
      </c>
      <c r="O2106" s="32">
        <f>0.00009*L2106</f>
        <v>0</v>
      </c>
      <c r="P2106" s="36"/>
      <c r="Q2106" s="29" t="s">
        <v>6996</v>
      </c>
      <c r="R2106" s="29" t="s">
        <v>611</v>
      </c>
      <c r="S2106" s="26" t="str">
        <f>HYPERLINK("https://miland.ru/api/getInfo/image/d963e123-bf68-11ee-a25a-00155d82e908")</f>
        <v>https://miland.ru/api/getInfo/image/d963e123-bf68-11ee-a25a-00155d82e908</v>
      </c>
    </row>
    <row r="2107" spans="1:19" s="2" customFormat="1" ht="96.2" customHeight="1" outlineLevel="7">
      <c r="A2107" s="52">
        <v>1658</v>
      </c>
      <c r="B2107" s="26" t="s">
        <v>6997</v>
      </c>
      <c r="C2107" s="66" t="s">
        <v>6998</v>
      </c>
      <c r="D2107" s="66"/>
      <c r="E2107" s="66"/>
      <c r="F2107" s="66"/>
      <c r="G2107" s="27" t="s">
        <v>6999</v>
      </c>
      <c r="H2107" s="28" t="s">
        <v>44</v>
      </c>
      <c r="I2107" s="29"/>
      <c r="J2107" s="25">
        <v>5</v>
      </c>
      <c r="K2107" s="30">
        <v>49.33</v>
      </c>
      <c r="L2107" s="17"/>
      <c r="M2107" s="29">
        <f t="shared" si="98"/>
        <v>0</v>
      </c>
      <c r="N2107" s="31">
        <f>0.022*L2107</f>
        <v>0</v>
      </c>
      <c r="O2107" s="32">
        <f>0.00019*L2107</f>
        <v>0</v>
      </c>
      <c r="P2107" s="36"/>
      <c r="Q2107" s="29" t="s">
        <v>7000</v>
      </c>
      <c r="R2107" s="29" t="s">
        <v>611</v>
      </c>
      <c r="S2107" s="26" t="str">
        <f>HYPERLINK("https://miland.ru/api/getInfo/image/3ad10204-bf69-11ee-a25a-00155d82e908")</f>
        <v>https://miland.ru/api/getInfo/image/3ad10204-bf69-11ee-a25a-00155d82e908</v>
      </c>
    </row>
    <row r="2108" spans="1:19" s="2" customFormat="1" ht="96.2" customHeight="1" outlineLevel="7">
      <c r="A2108" s="53">
        <v>1659</v>
      </c>
      <c r="B2108" s="10" t="s">
        <v>7001</v>
      </c>
      <c r="C2108" s="65" t="s">
        <v>7002</v>
      </c>
      <c r="D2108" s="65"/>
      <c r="E2108" s="65"/>
      <c r="F2108" s="65"/>
      <c r="G2108" s="11" t="s">
        <v>7003</v>
      </c>
      <c r="H2108" s="14">
        <v>459</v>
      </c>
      <c r="I2108" s="15"/>
      <c r="J2108" s="9">
        <v>5</v>
      </c>
      <c r="K2108" s="16">
        <v>49.33</v>
      </c>
      <c r="L2108" s="17"/>
      <c r="M2108" s="15">
        <f t="shared" si="98"/>
        <v>0</v>
      </c>
      <c r="N2108" s="18">
        <f>0.014*L2108</f>
        <v>0</v>
      </c>
      <c r="O2108" s="19">
        <f>0.00014*L2108</f>
        <v>0</v>
      </c>
      <c r="P2108" s="24" t="s">
        <v>26</v>
      </c>
      <c r="Q2108" s="15" t="s">
        <v>7004</v>
      </c>
      <c r="R2108" s="15"/>
      <c r="S2108" s="10" t="str">
        <f>HYPERLINK("https://miland.ru/api/getInfo/image/1cc447d5-fd17-11f0-a28e-00155d82e908")</f>
        <v>https://miland.ru/api/getInfo/image/1cc447d5-fd17-11f0-a28e-00155d82e908</v>
      </c>
    </row>
    <row r="2109" spans="1:19" s="2" customFormat="1" ht="96.2" customHeight="1" outlineLevel="7">
      <c r="A2109" s="52">
        <v>1660</v>
      </c>
      <c r="B2109" s="26" t="s">
        <v>7005</v>
      </c>
      <c r="C2109" s="66" t="s">
        <v>7006</v>
      </c>
      <c r="D2109" s="66"/>
      <c r="E2109" s="66"/>
      <c r="F2109" s="66"/>
      <c r="G2109" s="27" t="s">
        <v>7007</v>
      </c>
      <c r="H2109" s="33">
        <v>402</v>
      </c>
      <c r="I2109" s="29"/>
      <c r="J2109" s="25">
        <v>5</v>
      </c>
      <c r="K2109" s="30">
        <v>49.33</v>
      </c>
      <c r="L2109" s="17"/>
      <c r="M2109" s="29">
        <f t="shared" si="98"/>
        <v>0</v>
      </c>
      <c r="N2109" s="31">
        <f>0.036*L2109</f>
        <v>0</v>
      </c>
      <c r="O2109" s="32">
        <f>0.00014*L2109</f>
        <v>0</v>
      </c>
      <c r="P2109" s="36"/>
      <c r="Q2109" s="29" t="s">
        <v>7008</v>
      </c>
      <c r="R2109" s="29" t="s">
        <v>611</v>
      </c>
      <c r="S2109" s="26" t="str">
        <f>HYPERLINK("https://miland.ru/api/getInfo/image/e7b53e61-d956-11ef-a273-00155d82e908")</f>
        <v>https://miland.ru/api/getInfo/image/e7b53e61-d956-11ef-a273-00155d82e908</v>
      </c>
    </row>
    <row r="2110" spans="1:19" s="2" customFormat="1" ht="96.2" customHeight="1" outlineLevel="7">
      <c r="A2110" s="52">
        <v>1661</v>
      </c>
      <c r="B2110" s="26" t="s">
        <v>7009</v>
      </c>
      <c r="C2110" s="66" t="s">
        <v>7010</v>
      </c>
      <c r="D2110" s="66"/>
      <c r="E2110" s="66"/>
      <c r="F2110" s="66"/>
      <c r="G2110" s="27" t="s">
        <v>7011</v>
      </c>
      <c r="H2110" s="28" t="s">
        <v>44</v>
      </c>
      <c r="I2110" s="29"/>
      <c r="J2110" s="25">
        <v>5</v>
      </c>
      <c r="K2110" s="30">
        <v>49.33</v>
      </c>
      <c r="L2110" s="17"/>
      <c r="M2110" s="29">
        <f t="shared" si="98"/>
        <v>0</v>
      </c>
      <c r="N2110" s="34">
        <f>0.02*L2110</f>
        <v>0</v>
      </c>
      <c r="O2110" s="32">
        <f>0.00034*L2110</f>
        <v>0</v>
      </c>
      <c r="P2110" s="36"/>
      <c r="Q2110" s="29" t="s">
        <v>7012</v>
      </c>
      <c r="R2110" s="29" t="s">
        <v>611</v>
      </c>
      <c r="S2110" s="26" t="str">
        <f>HYPERLINK("https://miland.ru/api/getInfo/image/cd7b0729-d956-11ef-a273-00155d82e908")</f>
        <v>https://miland.ru/api/getInfo/image/cd7b0729-d956-11ef-a273-00155d82e908</v>
      </c>
    </row>
    <row r="2111" spans="1:19" s="2" customFormat="1" ht="96.2" customHeight="1" outlineLevel="7">
      <c r="A2111" s="52">
        <v>1662</v>
      </c>
      <c r="B2111" s="26" t="s">
        <v>7013</v>
      </c>
      <c r="C2111" s="66" t="s">
        <v>7014</v>
      </c>
      <c r="D2111" s="66"/>
      <c r="E2111" s="66"/>
      <c r="F2111" s="66"/>
      <c r="G2111" s="27" t="s">
        <v>7015</v>
      </c>
      <c r="H2111" s="28" t="s">
        <v>44</v>
      </c>
      <c r="I2111" s="29"/>
      <c r="J2111" s="25">
        <v>5</v>
      </c>
      <c r="K2111" s="30">
        <v>49.33</v>
      </c>
      <c r="L2111" s="17"/>
      <c r="M2111" s="29">
        <f t="shared" si="98"/>
        <v>0</v>
      </c>
      <c r="N2111" s="31">
        <f>0.013*L2111</f>
        <v>0</v>
      </c>
      <c r="O2111" s="32">
        <f>0.00005*L2111</f>
        <v>0</v>
      </c>
      <c r="P2111" s="36"/>
      <c r="Q2111" s="29" t="s">
        <v>7016</v>
      </c>
      <c r="R2111" s="29" t="s">
        <v>611</v>
      </c>
      <c r="S2111" s="26" t="str">
        <f>HYPERLINK("https://miland.ru/api/getInfo/image/1ee8fa20-d957-11ef-a273-00155d82e908")</f>
        <v>https://miland.ru/api/getInfo/image/1ee8fa20-d957-11ef-a273-00155d82e908</v>
      </c>
    </row>
    <row r="2112" spans="1:19" s="2" customFormat="1" ht="96.2" customHeight="1" outlineLevel="7">
      <c r="A2112" s="52">
        <v>1663</v>
      </c>
      <c r="B2112" s="26" t="s">
        <v>7017</v>
      </c>
      <c r="C2112" s="66" t="s">
        <v>7018</v>
      </c>
      <c r="D2112" s="66"/>
      <c r="E2112" s="66"/>
      <c r="F2112" s="66"/>
      <c r="G2112" s="27" t="s">
        <v>7019</v>
      </c>
      <c r="H2112" s="33">
        <v>107</v>
      </c>
      <c r="I2112" s="29"/>
      <c r="J2112" s="25">
        <v>5</v>
      </c>
      <c r="K2112" s="30">
        <v>49.33</v>
      </c>
      <c r="L2112" s="17"/>
      <c r="M2112" s="29">
        <f t="shared" si="98"/>
        <v>0</v>
      </c>
      <c r="N2112" s="31">
        <f>0.018*L2112</f>
        <v>0</v>
      </c>
      <c r="O2112" s="32">
        <f>0.00047*L2112</f>
        <v>0</v>
      </c>
      <c r="P2112" s="36"/>
      <c r="Q2112" s="29" t="s">
        <v>7020</v>
      </c>
      <c r="R2112" s="29" t="s">
        <v>611</v>
      </c>
      <c r="S2112" s="26" t="str">
        <f>HYPERLINK("https://miland.ru/api/getInfo/image/41083611-d957-11ef-a273-00155d82e908")</f>
        <v>https://miland.ru/api/getInfo/image/41083611-d957-11ef-a273-00155d82e908</v>
      </c>
    </row>
    <row r="2113" spans="1:19" s="1" customFormat="1" ht="12" customHeight="1" outlineLevel="7">
      <c r="A2113" s="64" t="s">
        <v>7021</v>
      </c>
      <c r="B2113" s="64"/>
      <c r="C2113" s="64"/>
      <c r="D2113" s="64"/>
      <c r="E2113" s="64"/>
      <c r="F2113" s="64"/>
      <c r="G2113" s="8"/>
      <c r="H2113" s="12"/>
      <c r="I2113" s="2"/>
      <c r="J2113" s="2"/>
      <c r="K2113" s="13"/>
      <c r="L2113" s="2"/>
      <c r="M2113" s="2"/>
      <c r="N2113" s="2"/>
      <c r="O2113" s="2"/>
      <c r="P2113" s="2"/>
      <c r="Q2113" s="2"/>
      <c r="R2113" s="2"/>
      <c r="S2113" s="2"/>
    </row>
    <row r="2114" spans="1:19" s="2" customFormat="1" ht="96.2" customHeight="1" outlineLevel="7">
      <c r="A2114" s="53">
        <v>1664</v>
      </c>
      <c r="B2114" s="10" t="s">
        <v>7022</v>
      </c>
      <c r="C2114" s="65" t="s">
        <v>7023</v>
      </c>
      <c r="D2114" s="65"/>
      <c r="E2114" s="65"/>
      <c r="F2114" s="65"/>
      <c r="G2114" s="11" t="s">
        <v>7024</v>
      </c>
      <c r="H2114" s="21" t="s">
        <v>44</v>
      </c>
      <c r="I2114" s="15"/>
      <c r="J2114" s="9">
        <v>5</v>
      </c>
      <c r="K2114" s="16">
        <v>46.87</v>
      </c>
      <c r="L2114" s="17"/>
      <c r="M2114" s="15">
        <f t="shared" ref="M2114:M2123" si="99">K2114*L2114</f>
        <v>0</v>
      </c>
      <c r="N2114" s="18">
        <f>0.018*L2114</f>
        <v>0</v>
      </c>
      <c r="O2114" s="19">
        <f>0.00037*L2114</f>
        <v>0</v>
      </c>
      <c r="P2114" s="24" t="s">
        <v>26</v>
      </c>
      <c r="Q2114" s="15" t="s">
        <v>7025</v>
      </c>
      <c r="R2114" s="15"/>
      <c r="S2114" s="10" t="str">
        <f>HYPERLINK("https://miland.ru/api/getInfo/image/5b091aef-fd17-11f0-a28e-00155d82e908")</f>
        <v>https://miland.ru/api/getInfo/image/5b091aef-fd17-11f0-a28e-00155d82e908</v>
      </c>
    </row>
    <row r="2115" spans="1:19" s="2" customFormat="1" ht="96.2" customHeight="1" outlineLevel="7">
      <c r="A2115" s="53">
        <v>1665</v>
      </c>
      <c r="B2115" s="10" t="s">
        <v>7026</v>
      </c>
      <c r="C2115" s="65" t="s">
        <v>7027</v>
      </c>
      <c r="D2115" s="65"/>
      <c r="E2115" s="65"/>
      <c r="F2115" s="65"/>
      <c r="G2115" s="11" t="s">
        <v>7028</v>
      </c>
      <c r="H2115" s="21" t="s">
        <v>44</v>
      </c>
      <c r="I2115" s="15"/>
      <c r="J2115" s="9">
        <v>5</v>
      </c>
      <c r="K2115" s="16">
        <v>46.87</v>
      </c>
      <c r="L2115" s="17"/>
      <c r="M2115" s="15">
        <f t="shared" si="99"/>
        <v>0</v>
      </c>
      <c r="N2115" s="18">
        <f>0.016*L2115</f>
        <v>0</v>
      </c>
      <c r="O2115" s="19">
        <f>0.00022*L2115</f>
        <v>0</v>
      </c>
      <c r="P2115" s="24" t="s">
        <v>26</v>
      </c>
      <c r="Q2115" s="15" t="s">
        <v>7029</v>
      </c>
      <c r="R2115" s="15"/>
      <c r="S2115" s="10" t="str">
        <f>HYPERLINK("https://miland.ru/api/getInfo/image/af494060-fd17-11f0-a28e-00155d82e908")</f>
        <v>https://miland.ru/api/getInfo/image/af494060-fd17-11f0-a28e-00155d82e908</v>
      </c>
    </row>
    <row r="2116" spans="1:19" s="2" customFormat="1" ht="96.2" customHeight="1" outlineLevel="7">
      <c r="A2116" s="52">
        <v>1666</v>
      </c>
      <c r="B2116" s="26" t="s">
        <v>7030</v>
      </c>
      <c r="C2116" s="66" t="s">
        <v>7031</v>
      </c>
      <c r="D2116" s="66"/>
      <c r="E2116" s="66"/>
      <c r="F2116" s="66"/>
      <c r="G2116" s="27" t="s">
        <v>7032</v>
      </c>
      <c r="H2116" s="28" t="s">
        <v>44</v>
      </c>
      <c r="I2116" s="29"/>
      <c r="J2116" s="25">
        <v>5</v>
      </c>
      <c r="K2116" s="30">
        <v>46.87</v>
      </c>
      <c r="L2116" s="17"/>
      <c r="M2116" s="29">
        <f t="shared" si="99"/>
        <v>0</v>
      </c>
      <c r="N2116" s="31">
        <f>0.017*L2116</f>
        <v>0</v>
      </c>
      <c r="O2116" s="32">
        <f>0.00005*L2116</f>
        <v>0</v>
      </c>
      <c r="P2116" s="36"/>
      <c r="Q2116" s="29" t="s">
        <v>7033</v>
      </c>
      <c r="R2116" s="29"/>
      <c r="S2116" s="26" t="str">
        <f>HYPERLINK("https://miland.ru/api/getInfo/image/6313528d-d956-11ef-a273-00155d82e908")</f>
        <v>https://miland.ru/api/getInfo/image/6313528d-d956-11ef-a273-00155d82e908</v>
      </c>
    </row>
    <row r="2117" spans="1:19" s="2" customFormat="1" ht="96.2" customHeight="1" outlineLevel="7">
      <c r="A2117" s="52">
        <v>1667</v>
      </c>
      <c r="B2117" s="26" t="s">
        <v>7034</v>
      </c>
      <c r="C2117" s="66" t="s">
        <v>7035</v>
      </c>
      <c r="D2117" s="66"/>
      <c r="E2117" s="66"/>
      <c r="F2117" s="66"/>
      <c r="G2117" s="27" t="s">
        <v>7036</v>
      </c>
      <c r="H2117" s="28" t="s">
        <v>44</v>
      </c>
      <c r="I2117" s="29"/>
      <c r="J2117" s="25">
        <v>5</v>
      </c>
      <c r="K2117" s="30">
        <v>46.87</v>
      </c>
      <c r="L2117" s="17"/>
      <c r="M2117" s="29">
        <f t="shared" si="99"/>
        <v>0</v>
      </c>
      <c r="N2117" s="31">
        <f>0.022*L2117</f>
        <v>0</v>
      </c>
      <c r="O2117" s="32">
        <f>0.00026*L2117</f>
        <v>0</v>
      </c>
      <c r="P2117" s="36"/>
      <c r="Q2117" s="29" t="s">
        <v>7037</v>
      </c>
      <c r="R2117" s="29" t="s">
        <v>611</v>
      </c>
      <c r="S2117" s="26" t="str">
        <f>HYPERLINK("https://miland.ru/api/getInfo/image/c56e896e-bf68-11ee-a25a-00155d82e908")</f>
        <v>https://miland.ru/api/getInfo/image/c56e896e-bf68-11ee-a25a-00155d82e908</v>
      </c>
    </row>
    <row r="2118" spans="1:19" s="2" customFormat="1" ht="96.2" customHeight="1" outlineLevel="7">
      <c r="A2118" s="52">
        <v>1668</v>
      </c>
      <c r="B2118" s="26" t="s">
        <v>7038</v>
      </c>
      <c r="C2118" s="66" t="s">
        <v>7039</v>
      </c>
      <c r="D2118" s="66"/>
      <c r="E2118" s="66"/>
      <c r="F2118" s="66"/>
      <c r="G2118" s="27" t="s">
        <v>7040</v>
      </c>
      <c r="H2118" s="28" t="s">
        <v>44</v>
      </c>
      <c r="I2118" s="29"/>
      <c r="J2118" s="25">
        <v>5</v>
      </c>
      <c r="K2118" s="30">
        <v>46.87</v>
      </c>
      <c r="L2118" s="17"/>
      <c r="M2118" s="29">
        <f t="shared" si="99"/>
        <v>0</v>
      </c>
      <c r="N2118" s="31">
        <f>0.021*L2118</f>
        <v>0</v>
      </c>
      <c r="O2118" s="32">
        <f>0.00014*L2118</f>
        <v>0</v>
      </c>
      <c r="P2118" s="36"/>
      <c r="Q2118" s="29" t="s">
        <v>7041</v>
      </c>
      <c r="R2118" s="29" t="s">
        <v>611</v>
      </c>
      <c r="S2118" s="26" t="str">
        <f>HYPERLINK("https://miland.ru/api/getInfo/image/cac55d50-d955-11ef-a273-00155d82e908")</f>
        <v>https://miland.ru/api/getInfo/image/cac55d50-d955-11ef-a273-00155d82e908</v>
      </c>
    </row>
    <row r="2119" spans="1:19" s="2" customFormat="1" ht="96.2" customHeight="1" outlineLevel="7">
      <c r="A2119" s="52">
        <v>1669</v>
      </c>
      <c r="B2119" s="26" t="s">
        <v>7042</v>
      </c>
      <c r="C2119" s="66" t="s">
        <v>7043</v>
      </c>
      <c r="D2119" s="66"/>
      <c r="E2119" s="66"/>
      <c r="F2119" s="66"/>
      <c r="G2119" s="27" t="s">
        <v>7044</v>
      </c>
      <c r="H2119" s="28" t="s">
        <v>44</v>
      </c>
      <c r="I2119" s="29"/>
      <c r="J2119" s="25">
        <v>5</v>
      </c>
      <c r="K2119" s="30">
        <v>46.87</v>
      </c>
      <c r="L2119" s="17"/>
      <c r="M2119" s="29">
        <f t="shared" si="99"/>
        <v>0</v>
      </c>
      <c r="N2119" s="31">
        <f>0.021*L2119</f>
        <v>0</v>
      </c>
      <c r="O2119" s="32">
        <f>0.00018*L2119</f>
        <v>0</v>
      </c>
      <c r="P2119" s="36"/>
      <c r="Q2119" s="29" t="s">
        <v>7045</v>
      </c>
      <c r="R2119" s="29" t="s">
        <v>611</v>
      </c>
      <c r="S2119" s="26" t="str">
        <f>HYPERLINK("https://miland.ru/api/getInfo/image/b50cba0f-bf68-11ee-a25a-00155d82e908")</f>
        <v>https://miland.ru/api/getInfo/image/b50cba0f-bf68-11ee-a25a-00155d82e908</v>
      </c>
    </row>
    <row r="2120" spans="1:19" s="2" customFormat="1" ht="96.2" customHeight="1" outlineLevel="7">
      <c r="A2120" s="53">
        <v>1670</v>
      </c>
      <c r="B2120" s="10" t="s">
        <v>7046</v>
      </c>
      <c r="C2120" s="65" t="s">
        <v>7047</v>
      </c>
      <c r="D2120" s="65"/>
      <c r="E2120" s="65"/>
      <c r="F2120" s="65"/>
      <c r="G2120" s="11" t="s">
        <v>7048</v>
      </c>
      <c r="H2120" s="21" t="s">
        <v>44</v>
      </c>
      <c r="I2120" s="15"/>
      <c r="J2120" s="9">
        <v>5</v>
      </c>
      <c r="K2120" s="16">
        <v>46.87</v>
      </c>
      <c r="L2120" s="17"/>
      <c r="M2120" s="15">
        <f t="shared" si="99"/>
        <v>0</v>
      </c>
      <c r="N2120" s="18">
        <f>0.018*L2120</f>
        <v>0</v>
      </c>
      <c r="O2120" s="19">
        <f>0.00007*L2120</f>
        <v>0</v>
      </c>
      <c r="P2120" s="24" t="s">
        <v>26</v>
      </c>
      <c r="Q2120" s="15" t="s">
        <v>7049</v>
      </c>
      <c r="R2120" s="15"/>
      <c r="S2120" s="10" t="str">
        <f>HYPERLINK("https://miland.ru/api/getInfo/image/8bcc44fe-fd17-11f0-a28e-00155d82e908")</f>
        <v>https://miland.ru/api/getInfo/image/8bcc44fe-fd17-11f0-a28e-00155d82e908</v>
      </c>
    </row>
    <row r="2121" spans="1:19" s="2" customFormat="1" ht="96.2" customHeight="1" outlineLevel="7">
      <c r="A2121" s="52">
        <v>1671</v>
      </c>
      <c r="B2121" s="26" t="s">
        <v>7050</v>
      </c>
      <c r="C2121" s="66" t="s">
        <v>7051</v>
      </c>
      <c r="D2121" s="66"/>
      <c r="E2121" s="66"/>
      <c r="F2121" s="66"/>
      <c r="G2121" s="27" t="s">
        <v>7052</v>
      </c>
      <c r="H2121" s="28" t="s">
        <v>44</v>
      </c>
      <c r="I2121" s="29"/>
      <c r="J2121" s="25">
        <v>5</v>
      </c>
      <c r="K2121" s="30">
        <v>46.87</v>
      </c>
      <c r="L2121" s="17"/>
      <c r="M2121" s="29">
        <f t="shared" si="99"/>
        <v>0</v>
      </c>
      <c r="N2121" s="31">
        <f>0.018*L2121</f>
        <v>0</v>
      </c>
      <c r="O2121" s="32">
        <f>0.00009*L2121</f>
        <v>0</v>
      </c>
      <c r="P2121" s="36"/>
      <c r="Q2121" s="29" t="s">
        <v>7053</v>
      </c>
      <c r="R2121" s="29"/>
      <c r="S2121" s="26" t="str">
        <f>HYPERLINK("https://miland.ru/api/getInfo/image/4b7bdaec-d956-11ef-a273-00155d82e908")</f>
        <v>https://miland.ru/api/getInfo/image/4b7bdaec-d956-11ef-a273-00155d82e908</v>
      </c>
    </row>
    <row r="2122" spans="1:19" s="2" customFormat="1" ht="96.2" customHeight="1" outlineLevel="7">
      <c r="A2122" s="53">
        <v>1672</v>
      </c>
      <c r="B2122" s="10" t="s">
        <v>7054</v>
      </c>
      <c r="C2122" s="65" t="s">
        <v>7055</v>
      </c>
      <c r="D2122" s="65"/>
      <c r="E2122" s="65"/>
      <c r="F2122" s="65"/>
      <c r="G2122" s="11" t="s">
        <v>7056</v>
      </c>
      <c r="H2122" s="21" t="s">
        <v>44</v>
      </c>
      <c r="I2122" s="15"/>
      <c r="J2122" s="9">
        <v>5</v>
      </c>
      <c r="K2122" s="16">
        <v>46.87</v>
      </c>
      <c r="L2122" s="17"/>
      <c r="M2122" s="15">
        <f t="shared" si="99"/>
        <v>0</v>
      </c>
      <c r="N2122" s="18">
        <f>0.017*L2122</f>
        <v>0</v>
      </c>
      <c r="O2122" s="19">
        <f>0.00023*L2122</f>
        <v>0</v>
      </c>
      <c r="P2122" s="24" t="s">
        <v>26</v>
      </c>
      <c r="Q2122" s="15" t="s">
        <v>7057</v>
      </c>
      <c r="R2122" s="15"/>
      <c r="S2122" s="10" t="str">
        <f>HYPERLINK("https://miland.ru/api/getInfo/image/7693c8f2-fd17-11f0-a28e-00155d82e908")</f>
        <v>https://miland.ru/api/getInfo/image/7693c8f2-fd17-11f0-a28e-00155d82e908</v>
      </c>
    </row>
    <row r="2123" spans="1:19" s="2" customFormat="1" ht="96.2" customHeight="1" outlineLevel="7">
      <c r="A2123" s="52">
        <v>1673</v>
      </c>
      <c r="B2123" s="26" t="s">
        <v>7058</v>
      </c>
      <c r="C2123" s="66" t="s">
        <v>7059</v>
      </c>
      <c r="D2123" s="66"/>
      <c r="E2123" s="66"/>
      <c r="F2123" s="66"/>
      <c r="G2123" s="27" t="s">
        <v>7060</v>
      </c>
      <c r="H2123" s="28" t="s">
        <v>44</v>
      </c>
      <c r="I2123" s="29"/>
      <c r="J2123" s="25">
        <v>5</v>
      </c>
      <c r="K2123" s="30">
        <v>46.87</v>
      </c>
      <c r="L2123" s="17"/>
      <c r="M2123" s="29">
        <f t="shared" si="99"/>
        <v>0</v>
      </c>
      <c r="N2123" s="34">
        <f>0.02*L2123</f>
        <v>0</v>
      </c>
      <c r="O2123" s="32">
        <f>0.00014*L2123</f>
        <v>0</v>
      </c>
      <c r="P2123" s="36"/>
      <c r="Q2123" s="29" t="s">
        <v>7061</v>
      </c>
      <c r="R2123" s="29"/>
      <c r="S2123" s="26" t="str">
        <f>HYPERLINK("https://miland.ru/api/getInfo/image/77dded24-d956-11ef-a273-00155d82e908")</f>
        <v>https://miland.ru/api/getInfo/image/77dded24-d956-11ef-a273-00155d82e908</v>
      </c>
    </row>
    <row r="2124" spans="1:19" s="1" customFormat="1" ht="12" customHeight="1" outlineLevel="7">
      <c r="A2124" s="64" t="s">
        <v>7062</v>
      </c>
      <c r="B2124" s="64"/>
      <c r="C2124" s="64"/>
      <c r="D2124" s="64"/>
      <c r="E2124" s="64"/>
      <c r="F2124" s="64"/>
      <c r="G2124" s="8"/>
      <c r="H2124" s="12"/>
      <c r="I2124" s="2"/>
      <c r="J2124" s="2"/>
      <c r="K2124" s="13"/>
      <c r="L2124" s="2"/>
      <c r="M2124" s="2"/>
      <c r="N2124" s="2"/>
      <c r="O2124" s="2"/>
      <c r="P2124" s="2"/>
      <c r="Q2124" s="2"/>
      <c r="R2124" s="2"/>
      <c r="S2124" s="2"/>
    </row>
    <row r="2125" spans="1:19" s="2" customFormat="1" ht="96.2" customHeight="1" outlineLevel="7">
      <c r="A2125" s="52">
        <v>1674</v>
      </c>
      <c r="B2125" s="26" t="s">
        <v>7063</v>
      </c>
      <c r="C2125" s="66" t="s">
        <v>7064</v>
      </c>
      <c r="D2125" s="66"/>
      <c r="E2125" s="66"/>
      <c r="F2125" s="66"/>
      <c r="G2125" s="27" t="s">
        <v>7065</v>
      </c>
      <c r="H2125" s="28" t="s">
        <v>44</v>
      </c>
      <c r="I2125" s="29"/>
      <c r="J2125" s="25">
        <v>4</v>
      </c>
      <c r="K2125" s="30">
        <v>83.76</v>
      </c>
      <c r="L2125" s="17"/>
      <c r="M2125" s="29">
        <f t="shared" ref="M2125:M2136" si="100">K2125*L2125</f>
        <v>0</v>
      </c>
      <c r="N2125" s="31">
        <f>0.035*L2125</f>
        <v>0</v>
      </c>
      <c r="O2125" s="32">
        <f>0.00033*L2125</f>
        <v>0</v>
      </c>
      <c r="P2125" s="36"/>
      <c r="Q2125" s="29" t="s">
        <v>7066</v>
      </c>
      <c r="R2125" s="29" t="s">
        <v>611</v>
      </c>
      <c r="S2125" s="26" t="str">
        <f>HYPERLINK("https://miland.ru/api/getInfo/image/aabcccba-d957-11ef-a273-00155d82e908")</f>
        <v>https://miland.ru/api/getInfo/image/aabcccba-d957-11ef-a273-00155d82e908</v>
      </c>
    </row>
    <row r="2126" spans="1:19" s="2" customFormat="1" ht="96.2" customHeight="1" outlineLevel="7">
      <c r="A2126" s="52">
        <v>1675</v>
      </c>
      <c r="B2126" s="26" t="s">
        <v>7067</v>
      </c>
      <c r="C2126" s="66" t="s">
        <v>7068</v>
      </c>
      <c r="D2126" s="66"/>
      <c r="E2126" s="66"/>
      <c r="F2126" s="66"/>
      <c r="G2126" s="27" t="s">
        <v>7069</v>
      </c>
      <c r="H2126" s="28" t="s">
        <v>44</v>
      </c>
      <c r="I2126" s="29"/>
      <c r="J2126" s="25">
        <v>4</v>
      </c>
      <c r="K2126" s="30">
        <v>83.76</v>
      </c>
      <c r="L2126" s="17"/>
      <c r="M2126" s="29">
        <f t="shared" si="100"/>
        <v>0</v>
      </c>
      <c r="N2126" s="31">
        <f>0.042*L2126</f>
        <v>0</v>
      </c>
      <c r="O2126" s="32">
        <f>0.00023*L2126</f>
        <v>0</v>
      </c>
      <c r="P2126" s="36"/>
      <c r="Q2126" s="29" t="s">
        <v>7070</v>
      </c>
      <c r="R2126" s="29" t="s">
        <v>611</v>
      </c>
      <c r="S2126" s="26" t="str">
        <f>HYPERLINK("https://miland.ru/api/getInfo/image/758bcc5c-bf69-11ee-a25a-00155d82e908")</f>
        <v>https://miland.ru/api/getInfo/image/758bcc5c-bf69-11ee-a25a-00155d82e908</v>
      </c>
    </row>
    <row r="2127" spans="1:19" s="2" customFormat="1" ht="96.2" customHeight="1" outlineLevel="7">
      <c r="A2127" s="52">
        <v>1676</v>
      </c>
      <c r="B2127" s="26" t="s">
        <v>7071</v>
      </c>
      <c r="C2127" s="66" t="s">
        <v>7072</v>
      </c>
      <c r="D2127" s="66"/>
      <c r="E2127" s="66"/>
      <c r="F2127" s="66"/>
      <c r="G2127" s="27" t="s">
        <v>7073</v>
      </c>
      <c r="H2127" s="28" t="s">
        <v>44</v>
      </c>
      <c r="I2127" s="29"/>
      <c r="J2127" s="25">
        <v>4</v>
      </c>
      <c r="K2127" s="30">
        <v>83.76</v>
      </c>
      <c r="L2127" s="17"/>
      <c r="M2127" s="29">
        <f t="shared" si="100"/>
        <v>0</v>
      </c>
      <c r="N2127" s="31">
        <f>0.041*L2127</f>
        <v>0</v>
      </c>
      <c r="O2127" s="32">
        <f>0.00008*L2127</f>
        <v>0</v>
      </c>
      <c r="P2127" s="36"/>
      <c r="Q2127" s="29" t="s">
        <v>7074</v>
      </c>
      <c r="R2127" s="29" t="s">
        <v>611</v>
      </c>
      <c r="S2127" s="26" t="str">
        <f>HYPERLINK("https://miland.ru/api/getInfo/image/83b3cfab-bf69-11ee-a25a-00155d82e908")</f>
        <v>https://miland.ru/api/getInfo/image/83b3cfab-bf69-11ee-a25a-00155d82e908</v>
      </c>
    </row>
    <row r="2128" spans="1:19" s="2" customFormat="1" ht="96.2" customHeight="1" outlineLevel="7">
      <c r="A2128" s="53">
        <v>1677</v>
      </c>
      <c r="B2128" s="10" t="s">
        <v>7075</v>
      </c>
      <c r="C2128" s="65" t="s">
        <v>7076</v>
      </c>
      <c r="D2128" s="65"/>
      <c r="E2128" s="65"/>
      <c r="F2128" s="65"/>
      <c r="G2128" s="11" t="s">
        <v>7077</v>
      </c>
      <c r="H2128" s="21" t="s">
        <v>44</v>
      </c>
      <c r="I2128" s="15"/>
      <c r="J2128" s="9">
        <v>4</v>
      </c>
      <c r="K2128" s="16">
        <v>83.76</v>
      </c>
      <c r="L2128" s="17"/>
      <c r="M2128" s="15">
        <f t="shared" si="100"/>
        <v>0</v>
      </c>
      <c r="N2128" s="18">
        <f>0.026*L2128</f>
        <v>0</v>
      </c>
      <c r="O2128" s="20">
        <f>0.0004*L2128</f>
        <v>0</v>
      </c>
      <c r="P2128" s="24" t="s">
        <v>26</v>
      </c>
      <c r="Q2128" s="15" t="s">
        <v>7078</v>
      </c>
      <c r="R2128" s="15"/>
      <c r="S2128" s="10" t="str">
        <f>HYPERLINK("https://miland.ru/api/getInfo/image/4ab5b6b0-fd19-11f0-a28e-00155d82e908")</f>
        <v>https://miland.ru/api/getInfo/image/4ab5b6b0-fd19-11f0-a28e-00155d82e908</v>
      </c>
    </row>
    <row r="2129" spans="1:19" s="2" customFormat="1" ht="96.2" customHeight="1" outlineLevel="7">
      <c r="A2129" s="52">
        <v>1678</v>
      </c>
      <c r="B2129" s="26" t="s">
        <v>7079</v>
      </c>
      <c r="C2129" s="66" t="s">
        <v>7080</v>
      </c>
      <c r="D2129" s="66"/>
      <c r="E2129" s="66"/>
      <c r="F2129" s="66"/>
      <c r="G2129" s="27" t="s">
        <v>7081</v>
      </c>
      <c r="H2129" s="28" t="s">
        <v>44</v>
      </c>
      <c r="I2129" s="29"/>
      <c r="J2129" s="25">
        <v>4</v>
      </c>
      <c r="K2129" s="30">
        <v>83.76</v>
      </c>
      <c r="L2129" s="17"/>
      <c r="M2129" s="29">
        <f t="shared" si="100"/>
        <v>0</v>
      </c>
      <c r="N2129" s="31">
        <f>0.041*L2129</f>
        <v>0</v>
      </c>
      <c r="O2129" s="32">
        <f>0.00023*L2129</f>
        <v>0</v>
      </c>
      <c r="P2129" s="36"/>
      <c r="Q2129" s="29" t="s">
        <v>7082</v>
      </c>
      <c r="R2129" s="29" t="s">
        <v>611</v>
      </c>
      <c r="S2129" s="26" t="str">
        <f>HYPERLINK("https://miland.ru/api/getInfo/image/4e6498ec-bf69-11ee-a25a-00155d82e908")</f>
        <v>https://miland.ru/api/getInfo/image/4e6498ec-bf69-11ee-a25a-00155d82e908</v>
      </c>
    </row>
    <row r="2130" spans="1:19" s="2" customFormat="1" ht="96.2" customHeight="1" outlineLevel="7">
      <c r="A2130" s="53">
        <v>1679</v>
      </c>
      <c r="B2130" s="10" t="s">
        <v>7083</v>
      </c>
      <c r="C2130" s="65" t="s">
        <v>7084</v>
      </c>
      <c r="D2130" s="65"/>
      <c r="E2130" s="65"/>
      <c r="F2130" s="65"/>
      <c r="G2130" s="11" t="s">
        <v>7085</v>
      </c>
      <c r="H2130" s="21" t="s">
        <v>44</v>
      </c>
      <c r="I2130" s="15"/>
      <c r="J2130" s="9">
        <v>4</v>
      </c>
      <c r="K2130" s="16">
        <v>83.76</v>
      </c>
      <c r="L2130" s="17"/>
      <c r="M2130" s="15">
        <f t="shared" si="100"/>
        <v>0</v>
      </c>
      <c r="N2130" s="18">
        <f>0.028*L2130</f>
        <v>0</v>
      </c>
      <c r="O2130" s="19">
        <f>0.00009*L2130</f>
        <v>0</v>
      </c>
      <c r="P2130" s="24" t="s">
        <v>26</v>
      </c>
      <c r="Q2130" s="15" t="s">
        <v>7086</v>
      </c>
      <c r="R2130" s="15"/>
      <c r="S2130" s="10" t="str">
        <f>HYPERLINK("https://miland.ru/api/getInfo/image/1d63026e-fd19-11f0-a28e-00155d82e908")</f>
        <v>https://miland.ru/api/getInfo/image/1d63026e-fd19-11f0-a28e-00155d82e908</v>
      </c>
    </row>
    <row r="2131" spans="1:19" s="2" customFormat="1" ht="96.2" customHeight="1" outlineLevel="7">
      <c r="A2131" s="52">
        <v>1680</v>
      </c>
      <c r="B2131" s="26" t="s">
        <v>7087</v>
      </c>
      <c r="C2131" s="66" t="s">
        <v>7088</v>
      </c>
      <c r="D2131" s="66"/>
      <c r="E2131" s="66"/>
      <c r="F2131" s="66"/>
      <c r="G2131" s="27" t="s">
        <v>7089</v>
      </c>
      <c r="H2131" s="28" t="s">
        <v>44</v>
      </c>
      <c r="I2131" s="29"/>
      <c r="J2131" s="25">
        <v>4</v>
      </c>
      <c r="K2131" s="30">
        <v>83.76</v>
      </c>
      <c r="L2131" s="17"/>
      <c r="M2131" s="29">
        <f t="shared" si="100"/>
        <v>0</v>
      </c>
      <c r="N2131" s="31">
        <f>0.037*L2131</f>
        <v>0</v>
      </c>
      <c r="O2131" s="32">
        <f>0.00007*L2131</f>
        <v>0</v>
      </c>
      <c r="P2131" s="36"/>
      <c r="Q2131" s="29" t="s">
        <v>7090</v>
      </c>
      <c r="R2131" s="29" t="s">
        <v>611</v>
      </c>
      <c r="S2131" s="26" t="str">
        <f>HYPERLINK("https://miland.ru/api/getInfo/image/60aa4169-d957-11ef-a273-00155d82e908")</f>
        <v>https://miland.ru/api/getInfo/image/60aa4169-d957-11ef-a273-00155d82e908</v>
      </c>
    </row>
    <row r="2132" spans="1:19" s="2" customFormat="1" ht="96.2" customHeight="1" outlineLevel="7">
      <c r="A2132" s="52">
        <v>1681</v>
      </c>
      <c r="B2132" s="26" t="s">
        <v>7091</v>
      </c>
      <c r="C2132" s="66" t="s">
        <v>7092</v>
      </c>
      <c r="D2132" s="66"/>
      <c r="E2132" s="66"/>
      <c r="F2132" s="66"/>
      <c r="G2132" s="27" t="s">
        <v>7093</v>
      </c>
      <c r="H2132" s="33">
        <v>244</v>
      </c>
      <c r="I2132" s="29"/>
      <c r="J2132" s="25">
        <v>4</v>
      </c>
      <c r="K2132" s="30">
        <v>83.76</v>
      </c>
      <c r="L2132" s="17"/>
      <c r="M2132" s="29">
        <f t="shared" si="100"/>
        <v>0</v>
      </c>
      <c r="N2132" s="34">
        <f>0.32*L2132</f>
        <v>0</v>
      </c>
      <c r="O2132" s="32">
        <f>0.00014*L2132</f>
        <v>0</v>
      </c>
      <c r="P2132" s="36"/>
      <c r="Q2132" s="29" t="s">
        <v>7094</v>
      </c>
      <c r="R2132" s="29"/>
      <c r="S2132" s="26" t="str">
        <f>HYPERLINK("https://miland.ru/api/getInfo/image/917247c8-d957-11ef-a273-00155d82e908")</f>
        <v>https://miland.ru/api/getInfo/image/917247c8-d957-11ef-a273-00155d82e908</v>
      </c>
    </row>
    <row r="2133" spans="1:19" s="2" customFormat="1" ht="96.2" customHeight="1" outlineLevel="7">
      <c r="A2133" s="52">
        <v>1682</v>
      </c>
      <c r="B2133" s="26" t="s">
        <v>7095</v>
      </c>
      <c r="C2133" s="66" t="s">
        <v>7096</v>
      </c>
      <c r="D2133" s="66"/>
      <c r="E2133" s="66"/>
      <c r="F2133" s="66"/>
      <c r="G2133" s="27" t="s">
        <v>7097</v>
      </c>
      <c r="H2133" s="28" t="s">
        <v>44</v>
      </c>
      <c r="I2133" s="29"/>
      <c r="J2133" s="25">
        <v>4</v>
      </c>
      <c r="K2133" s="30">
        <v>83.76</v>
      </c>
      <c r="L2133" s="17"/>
      <c r="M2133" s="29">
        <f t="shared" si="100"/>
        <v>0</v>
      </c>
      <c r="N2133" s="34">
        <f>0.04*L2133</f>
        <v>0</v>
      </c>
      <c r="O2133" s="32">
        <f>0.00023*L2133</f>
        <v>0</v>
      </c>
      <c r="P2133" s="36"/>
      <c r="Q2133" s="29" t="s">
        <v>7098</v>
      </c>
      <c r="R2133" s="29" t="s">
        <v>611</v>
      </c>
      <c r="S2133" s="26" t="str">
        <f>HYPERLINK("https://miland.ru/api/getInfo/image/5e21e581-bf69-11ee-a25a-00155d82e908")</f>
        <v>https://miland.ru/api/getInfo/image/5e21e581-bf69-11ee-a25a-00155d82e908</v>
      </c>
    </row>
    <row r="2134" spans="1:19" s="2" customFormat="1" ht="96.2" customHeight="1" outlineLevel="7">
      <c r="A2134" s="52">
        <v>1683</v>
      </c>
      <c r="B2134" s="26" t="s">
        <v>7099</v>
      </c>
      <c r="C2134" s="66" t="s">
        <v>7100</v>
      </c>
      <c r="D2134" s="66"/>
      <c r="E2134" s="66"/>
      <c r="F2134" s="66"/>
      <c r="G2134" s="27" t="s">
        <v>7101</v>
      </c>
      <c r="H2134" s="28" t="s">
        <v>44</v>
      </c>
      <c r="I2134" s="29"/>
      <c r="J2134" s="25">
        <v>4</v>
      </c>
      <c r="K2134" s="30">
        <v>83.76</v>
      </c>
      <c r="L2134" s="17"/>
      <c r="M2134" s="29">
        <f t="shared" si="100"/>
        <v>0</v>
      </c>
      <c r="N2134" s="34">
        <f>0.32*L2134</f>
        <v>0</v>
      </c>
      <c r="O2134" s="32">
        <f>0.00014*L2134</f>
        <v>0</v>
      </c>
      <c r="P2134" s="36"/>
      <c r="Q2134" s="29" t="s">
        <v>7102</v>
      </c>
      <c r="R2134" s="29" t="s">
        <v>611</v>
      </c>
      <c r="S2134" s="26" t="str">
        <f>HYPERLINK("https://miland.ru/api/getInfo/image/79fadb4e-d957-11ef-a273-00155d82e908")</f>
        <v>https://miland.ru/api/getInfo/image/79fadb4e-d957-11ef-a273-00155d82e908</v>
      </c>
    </row>
    <row r="2135" spans="1:19" s="2" customFormat="1" ht="96.2" customHeight="1" outlineLevel="7">
      <c r="A2135" s="53">
        <v>1684</v>
      </c>
      <c r="B2135" s="10" t="s">
        <v>7103</v>
      </c>
      <c r="C2135" s="65" t="s">
        <v>7104</v>
      </c>
      <c r="D2135" s="65"/>
      <c r="E2135" s="65"/>
      <c r="F2135" s="65"/>
      <c r="G2135" s="11" t="s">
        <v>7105</v>
      </c>
      <c r="H2135" s="21" t="s">
        <v>44</v>
      </c>
      <c r="I2135" s="15"/>
      <c r="J2135" s="9">
        <v>4</v>
      </c>
      <c r="K2135" s="16">
        <v>83.76</v>
      </c>
      <c r="L2135" s="17"/>
      <c r="M2135" s="15">
        <f t="shared" si="100"/>
        <v>0</v>
      </c>
      <c r="N2135" s="18">
        <f>0.029*L2135</f>
        <v>0</v>
      </c>
      <c r="O2135" s="19">
        <f>0.00025*L2135</f>
        <v>0</v>
      </c>
      <c r="P2135" s="24" t="s">
        <v>26</v>
      </c>
      <c r="Q2135" s="15" t="s">
        <v>7106</v>
      </c>
      <c r="R2135" s="15"/>
      <c r="S2135" s="10" t="str">
        <f>HYPERLINK("https://miland.ru/api/getInfo/image/82a5dfb1-fd18-11f0-a28e-00155d82e908")</f>
        <v>https://miland.ru/api/getInfo/image/82a5dfb1-fd18-11f0-a28e-00155d82e908</v>
      </c>
    </row>
    <row r="2136" spans="1:19" s="2" customFormat="1" ht="96.2" customHeight="1" outlineLevel="7">
      <c r="A2136" s="53">
        <v>1685</v>
      </c>
      <c r="B2136" s="10" t="s">
        <v>7107</v>
      </c>
      <c r="C2136" s="65" t="s">
        <v>7108</v>
      </c>
      <c r="D2136" s="65"/>
      <c r="E2136" s="65"/>
      <c r="F2136" s="65"/>
      <c r="G2136" s="11" t="s">
        <v>7109</v>
      </c>
      <c r="H2136" s="21" t="s">
        <v>44</v>
      </c>
      <c r="I2136" s="15"/>
      <c r="J2136" s="9">
        <v>4</v>
      </c>
      <c r="K2136" s="16">
        <v>83.76</v>
      </c>
      <c r="L2136" s="17"/>
      <c r="M2136" s="15">
        <f t="shared" si="100"/>
        <v>0</v>
      </c>
      <c r="N2136" s="18">
        <f>0.026*L2136</f>
        <v>0</v>
      </c>
      <c r="O2136" s="19">
        <f>0.00009*L2136</f>
        <v>0</v>
      </c>
      <c r="P2136" s="24" t="s">
        <v>26</v>
      </c>
      <c r="Q2136" s="15" t="s">
        <v>7110</v>
      </c>
      <c r="R2136" s="15"/>
      <c r="S2136" s="10" t="str">
        <f>HYPERLINK("https://miland.ru/api/getInfo/image/2ebcb7f8-fd19-11f0-a28e-00155d82e908")</f>
        <v>https://miland.ru/api/getInfo/image/2ebcb7f8-fd19-11f0-a28e-00155d82e908</v>
      </c>
    </row>
    <row r="2137" spans="1:19" s="1" customFormat="1" ht="12" customHeight="1" outlineLevel="7">
      <c r="A2137" s="64" t="s">
        <v>7111</v>
      </c>
      <c r="B2137" s="64"/>
      <c r="C2137" s="64"/>
      <c r="D2137" s="64"/>
      <c r="E2137" s="64"/>
      <c r="F2137" s="64"/>
      <c r="G2137" s="8"/>
      <c r="H2137" s="12"/>
      <c r="I2137" s="2"/>
      <c r="J2137" s="2"/>
      <c r="K2137" s="13"/>
      <c r="L2137" s="2"/>
      <c r="M2137" s="2"/>
      <c r="N2137" s="2"/>
      <c r="O2137" s="2"/>
      <c r="P2137" s="2"/>
      <c r="Q2137" s="2"/>
      <c r="R2137" s="2"/>
      <c r="S2137" s="2"/>
    </row>
    <row r="2138" spans="1:19" s="2" customFormat="1" ht="96.2" customHeight="1" outlineLevel="7">
      <c r="A2138" s="52">
        <v>1686</v>
      </c>
      <c r="B2138" s="26" t="s">
        <v>7112</v>
      </c>
      <c r="C2138" s="66" t="s">
        <v>7113</v>
      </c>
      <c r="D2138" s="66"/>
      <c r="E2138" s="66"/>
      <c r="F2138" s="66"/>
      <c r="G2138" s="27" t="s">
        <v>7114</v>
      </c>
      <c r="H2138" s="33">
        <v>10</v>
      </c>
      <c r="I2138" s="29"/>
      <c r="J2138" s="25">
        <v>4</v>
      </c>
      <c r="K2138" s="30">
        <v>123.11</v>
      </c>
      <c r="L2138" s="17"/>
      <c r="M2138" s="29">
        <f t="shared" ref="M2138:M2150" si="101">K2138*L2138</f>
        <v>0</v>
      </c>
      <c r="N2138" s="31">
        <f>0.045*L2138</f>
        <v>0</v>
      </c>
      <c r="O2138" s="32">
        <f>0.00532*L2138</f>
        <v>0</v>
      </c>
      <c r="P2138" s="36"/>
      <c r="Q2138" s="29" t="s">
        <v>7115</v>
      </c>
      <c r="R2138" s="29" t="s">
        <v>611</v>
      </c>
      <c r="S2138" s="26" t="str">
        <f>HYPERLINK("https://miland.ru/api/getInfo/image/f0e5e317-f068-11ec-a213-ac1f6b442185")</f>
        <v>https://miland.ru/api/getInfo/image/f0e5e317-f068-11ec-a213-ac1f6b442185</v>
      </c>
    </row>
    <row r="2139" spans="1:19" s="2" customFormat="1" ht="96.2" customHeight="1" outlineLevel="7">
      <c r="A2139" s="52">
        <v>1687</v>
      </c>
      <c r="B2139" s="26" t="s">
        <v>7116</v>
      </c>
      <c r="C2139" s="66" t="s">
        <v>7117</v>
      </c>
      <c r="D2139" s="66"/>
      <c r="E2139" s="66"/>
      <c r="F2139" s="66"/>
      <c r="G2139" s="27" t="s">
        <v>7118</v>
      </c>
      <c r="H2139" s="28" t="s">
        <v>44</v>
      </c>
      <c r="I2139" s="29"/>
      <c r="J2139" s="25">
        <v>4</v>
      </c>
      <c r="K2139" s="30">
        <v>123.11</v>
      </c>
      <c r="L2139" s="17"/>
      <c r="M2139" s="29">
        <f t="shared" si="101"/>
        <v>0</v>
      </c>
      <c r="N2139" s="31">
        <f>0.045*L2139</f>
        <v>0</v>
      </c>
      <c r="O2139" s="32">
        <f>0.00056*L2139</f>
        <v>0</v>
      </c>
      <c r="P2139" s="36"/>
      <c r="Q2139" s="29" t="s">
        <v>7119</v>
      </c>
      <c r="R2139" s="29" t="s">
        <v>611</v>
      </c>
      <c r="S2139" s="26" t="str">
        <f>HYPERLINK("https://miland.ru/api/getInfo/image/7f4a8f41-ff0f-11ef-a277-00155d82e908")</f>
        <v>https://miland.ru/api/getInfo/image/7f4a8f41-ff0f-11ef-a277-00155d82e908</v>
      </c>
    </row>
    <row r="2140" spans="1:19" s="2" customFormat="1" ht="96.2" customHeight="1" outlineLevel="7">
      <c r="A2140" s="52">
        <v>1688</v>
      </c>
      <c r="B2140" s="26" t="s">
        <v>7120</v>
      </c>
      <c r="C2140" s="66" t="s">
        <v>7121</v>
      </c>
      <c r="D2140" s="66"/>
      <c r="E2140" s="66"/>
      <c r="F2140" s="66"/>
      <c r="G2140" s="27" t="s">
        <v>7122</v>
      </c>
      <c r="H2140" s="28" t="s">
        <v>44</v>
      </c>
      <c r="I2140" s="29"/>
      <c r="J2140" s="25">
        <v>4</v>
      </c>
      <c r="K2140" s="30">
        <v>123.11</v>
      </c>
      <c r="L2140" s="17"/>
      <c r="M2140" s="29">
        <f t="shared" si="101"/>
        <v>0</v>
      </c>
      <c r="N2140" s="31">
        <f>0.049*L2140</f>
        <v>0</v>
      </c>
      <c r="O2140" s="32">
        <f>0.00073*L2140</f>
        <v>0</v>
      </c>
      <c r="P2140" s="36"/>
      <c r="Q2140" s="29" t="s">
        <v>7123</v>
      </c>
      <c r="R2140" s="29" t="s">
        <v>611</v>
      </c>
      <c r="S2140" s="26" t="str">
        <f>HYPERLINK("https://miland.ru/api/getInfo/image/a9adff98-d95a-11ef-a273-00155d82e908")</f>
        <v>https://miland.ru/api/getInfo/image/a9adff98-d95a-11ef-a273-00155d82e908</v>
      </c>
    </row>
    <row r="2141" spans="1:19" s="2" customFormat="1" ht="96.2" customHeight="1" outlineLevel="7">
      <c r="A2141" s="52">
        <v>1689</v>
      </c>
      <c r="B2141" s="26" t="s">
        <v>7124</v>
      </c>
      <c r="C2141" s="66" t="s">
        <v>7125</v>
      </c>
      <c r="D2141" s="66"/>
      <c r="E2141" s="66"/>
      <c r="F2141" s="66"/>
      <c r="G2141" s="27" t="s">
        <v>7126</v>
      </c>
      <c r="H2141" s="28" t="s">
        <v>44</v>
      </c>
      <c r="I2141" s="29"/>
      <c r="J2141" s="25">
        <v>4</v>
      </c>
      <c r="K2141" s="30">
        <v>123.11</v>
      </c>
      <c r="L2141" s="17"/>
      <c r="M2141" s="29">
        <f t="shared" si="101"/>
        <v>0</v>
      </c>
      <c r="N2141" s="31">
        <f>0.044*L2141</f>
        <v>0</v>
      </c>
      <c r="O2141" s="32">
        <f>0.00087*L2141</f>
        <v>0</v>
      </c>
      <c r="P2141" s="36"/>
      <c r="Q2141" s="29" t="s">
        <v>7127</v>
      </c>
      <c r="R2141" s="29" t="s">
        <v>611</v>
      </c>
      <c r="S2141" s="26" t="str">
        <f>HYPERLINK("https://miland.ru/api/getInfo/image/660443e5-bf6a-11ee-a25a-00155d82e908")</f>
        <v>https://miland.ru/api/getInfo/image/660443e5-bf6a-11ee-a25a-00155d82e908</v>
      </c>
    </row>
    <row r="2142" spans="1:19" s="2" customFormat="1" ht="96.2" customHeight="1" outlineLevel="7">
      <c r="A2142" s="53">
        <v>1690</v>
      </c>
      <c r="B2142" s="10" t="s">
        <v>7128</v>
      </c>
      <c r="C2142" s="65" t="s">
        <v>7129</v>
      </c>
      <c r="D2142" s="65"/>
      <c r="E2142" s="65"/>
      <c r="F2142" s="65"/>
      <c r="G2142" s="11" t="s">
        <v>7130</v>
      </c>
      <c r="H2142" s="21" t="s">
        <v>44</v>
      </c>
      <c r="I2142" s="15"/>
      <c r="J2142" s="9">
        <v>4</v>
      </c>
      <c r="K2142" s="16">
        <v>123.11</v>
      </c>
      <c r="L2142" s="17"/>
      <c r="M2142" s="15">
        <f t="shared" si="101"/>
        <v>0</v>
      </c>
      <c r="N2142" s="18">
        <f>0.044*L2142</f>
        <v>0</v>
      </c>
      <c r="O2142" s="19">
        <f>0.00056*L2142</f>
        <v>0</v>
      </c>
      <c r="P2142" s="24" t="s">
        <v>26</v>
      </c>
      <c r="Q2142" s="15" t="s">
        <v>7131</v>
      </c>
      <c r="R2142" s="15"/>
      <c r="S2142" s="10" t="str">
        <f>HYPERLINK("https://miland.ru/api/getInfo/image/658287b9-fd16-11f0-a28e-00155d82e908")</f>
        <v>https://miland.ru/api/getInfo/image/658287b9-fd16-11f0-a28e-00155d82e908</v>
      </c>
    </row>
    <row r="2143" spans="1:19" s="2" customFormat="1" ht="96.2" customHeight="1" outlineLevel="7">
      <c r="A2143" s="52">
        <v>1691</v>
      </c>
      <c r="B2143" s="26" t="s">
        <v>7132</v>
      </c>
      <c r="C2143" s="66" t="s">
        <v>7133</v>
      </c>
      <c r="D2143" s="66"/>
      <c r="E2143" s="66"/>
      <c r="F2143" s="66"/>
      <c r="G2143" s="27" t="s">
        <v>7134</v>
      </c>
      <c r="H2143" s="28" t="s">
        <v>44</v>
      </c>
      <c r="I2143" s="29"/>
      <c r="J2143" s="25">
        <v>4</v>
      </c>
      <c r="K2143" s="30">
        <v>123.11</v>
      </c>
      <c r="L2143" s="17"/>
      <c r="M2143" s="29">
        <f t="shared" si="101"/>
        <v>0</v>
      </c>
      <c r="N2143" s="31">
        <f>0.046*L2143</f>
        <v>0</v>
      </c>
      <c r="O2143" s="32">
        <f>0.00057*L2143</f>
        <v>0</v>
      </c>
      <c r="P2143" s="36"/>
      <c r="Q2143" s="29" t="s">
        <v>7135</v>
      </c>
      <c r="R2143" s="29" t="s">
        <v>611</v>
      </c>
      <c r="S2143" s="26" t="str">
        <f>HYPERLINK("https://miland.ru/api/getInfo/image/bb3f4811-bf69-11ee-a25a-00155d82e908")</f>
        <v>https://miland.ru/api/getInfo/image/bb3f4811-bf69-11ee-a25a-00155d82e908</v>
      </c>
    </row>
    <row r="2144" spans="1:19" s="2" customFormat="1" ht="96.2" customHeight="1" outlineLevel="7">
      <c r="A2144" s="53">
        <v>1692</v>
      </c>
      <c r="B2144" s="10" t="s">
        <v>7136</v>
      </c>
      <c r="C2144" s="65" t="s">
        <v>7137</v>
      </c>
      <c r="D2144" s="65"/>
      <c r="E2144" s="65"/>
      <c r="F2144" s="65"/>
      <c r="G2144" s="11" t="s">
        <v>7138</v>
      </c>
      <c r="H2144" s="21" t="s">
        <v>44</v>
      </c>
      <c r="I2144" s="15"/>
      <c r="J2144" s="9">
        <v>4</v>
      </c>
      <c r="K2144" s="16">
        <v>123.11</v>
      </c>
      <c r="L2144" s="17"/>
      <c r="M2144" s="15">
        <f t="shared" si="101"/>
        <v>0</v>
      </c>
      <c r="N2144" s="18">
        <f>0.056*L2144</f>
        <v>0</v>
      </c>
      <c r="O2144" s="19">
        <f>0.00028*L2144</f>
        <v>0</v>
      </c>
      <c r="P2144" s="24" t="s">
        <v>26</v>
      </c>
      <c r="Q2144" s="15" t="s">
        <v>7139</v>
      </c>
      <c r="R2144" s="15"/>
      <c r="S2144" s="10" t="str">
        <f>HYPERLINK("https://miland.ru/api/getInfo/image/a6cc0b8d-fd16-11f0-a28e-00155d82e908")</f>
        <v>https://miland.ru/api/getInfo/image/a6cc0b8d-fd16-11f0-a28e-00155d82e908</v>
      </c>
    </row>
    <row r="2145" spans="1:19" s="2" customFormat="1" ht="96.2" customHeight="1" outlineLevel="7">
      <c r="A2145" s="53">
        <v>1693</v>
      </c>
      <c r="B2145" s="10" t="s">
        <v>7140</v>
      </c>
      <c r="C2145" s="65" t="s">
        <v>7141</v>
      </c>
      <c r="D2145" s="65"/>
      <c r="E2145" s="65"/>
      <c r="F2145" s="65"/>
      <c r="G2145" s="11" t="s">
        <v>7142</v>
      </c>
      <c r="H2145" s="21" t="s">
        <v>44</v>
      </c>
      <c r="I2145" s="15"/>
      <c r="J2145" s="9">
        <v>4</v>
      </c>
      <c r="K2145" s="16">
        <v>123.11</v>
      </c>
      <c r="L2145" s="17"/>
      <c r="M2145" s="15">
        <f t="shared" si="101"/>
        <v>0</v>
      </c>
      <c r="N2145" s="18">
        <f>0.045*L2145</f>
        <v>0</v>
      </c>
      <c r="O2145" s="19">
        <f>0.00055*L2145</f>
        <v>0</v>
      </c>
      <c r="P2145" s="24" t="s">
        <v>26</v>
      </c>
      <c r="Q2145" s="15" t="s">
        <v>7143</v>
      </c>
      <c r="R2145" s="15"/>
      <c r="S2145" s="10" t="str">
        <f>HYPERLINK("https://miland.ru/api/getInfo/image/38c115e2-fd15-11f0-a28e-00155d82e908")</f>
        <v>https://miland.ru/api/getInfo/image/38c115e2-fd15-11f0-a28e-00155d82e908</v>
      </c>
    </row>
    <row r="2146" spans="1:19" s="2" customFormat="1" ht="96.2" customHeight="1" outlineLevel="7">
      <c r="A2146" s="53">
        <v>1694</v>
      </c>
      <c r="B2146" s="10" t="s">
        <v>7144</v>
      </c>
      <c r="C2146" s="65" t="s">
        <v>7145</v>
      </c>
      <c r="D2146" s="65"/>
      <c r="E2146" s="65"/>
      <c r="F2146" s="65"/>
      <c r="G2146" s="11" t="s">
        <v>7146</v>
      </c>
      <c r="H2146" s="21" t="s">
        <v>44</v>
      </c>
      <c r="I2146" s="15"/>
      <c r="J2146" s="9">
        <v>4</v>
      </c>
      <c r="K2146" s="16">
        <v>123.11</v>
      </c>
      <c r="L2146" s="17"/>
      <c r="M2146" s="15">
        <f t="shared" si="101"/>
        <v>0</v>
      </c>
      <c r="N2146" s="18">
        <f>0.047*L2146</f>
        <v>0</v>
      </c>
      <c r="O2146" s="19">
        <f>0.00044*L2146</f>
        <v>0</v>
      </c>
      <c r="P2146" s="24" t="s">
        <v>26</v>
      </c>
      <c r="Q2146" s="15" t="s">
        <v>7147</v>
      </c>
      <c r="R2146" s="15"/>
      <c r="S2146" s="10" t="str">
        <f>HYPERLINK("https://miland.ru/api/getInfo/image/4d7395ce-fd16-11f0-a28e-00155d82e908")</f>
        <v>https://miland.ru/api/getInfo/image/4d7395ce-fd16-11f0-a28e-00155d82e908</v>
      </c>
    </row>
    <row r="2147" spans="1:19" s="2" customFormat="1" ht="96.2" customHeight="1" outlineLevel="7">
      <c r="A2147" s="53">
        <v>1695</v>
      </c>
      <c r="B2147" s="10" t="s">
        <v>7148</v>
      </c>
      <c r="C2147" s="65" t="s">
        <v>7149</v>
      </c>
      <c r="D2147" s="65"/>
      <c r="E2147" s="65"/>
      <c r="F2147" s="65"/>
      <c r="G2147" s="11" t="s">
        <v>7150</v>
      </c>
      <c r="H2147" s="21" t="s">
        <v>44</v>
      </c>
      <c r="I2147" s="15"/>
      <c r="J2147" s="9">
        <v>4</v>
      </c>
      <c r="K2147" s="16">
        <v>123.11</v>
      </c>
      <c r="L2147" s="17"/>
      <c r="M2147" s="15">
        <f t="shared" si="101"/>
        <v>0</v>
      </c>
      <c r="N2147" s="18">
        <f>0.057*L2147</f>
        <v>0</v>
      </c>
      <c r="O2147" s="19">
        <f>0.00054*L2147</f>
        <v>0</v>
      </c>
      <c r="P2147" s="24" t="s">
        <v>26</v>
      </c>
      <c r="Q2147" s="15" t="s">
        <v>7151</v>
      </c>
      <c r="R2147" s="15"/>
      <c r="S2147" s="10" t="str">
        <f>HYPERLINK("https://miland.ru/api/getInfo/image/eea59094-fd16-11f0-a28e-00155d82e908")</f>
        <v>https://miland.ru/api/getInfo/image/eea59094-fd16-11f0-a28e-00155d82e908</v>
      </c>
    </row>
    <row r="2148" spans="1:19" s="2" customFormat="1" ht="96.2" customHeight="1" outlineLevel="7">
      <c r="A2148" s="53">
        <v>1696</v>
      </c>
      <c r="B2148" s="10" t="s">
        <v>7152</v>
      </c>
      <c r="C2148" s="65" t="s">
        <v>7153</v>
      </c>
      <c r="D2148" s="65"/>
      <c r="E2148" s="65"/>
      <c r="F2148" s="65"/>
      <c r="G2148" s="11" t="s">
        <v>7154</v>
      </c>
      <c r="H2148" s="21" t="s">
        <v>44</v>
      </c>
      <c r="I2148" s="15"/>
      <c r="J2148" s="9">
        <v>4</v>
      </c>
      <c r="K2148" s="16">
        <v>123.11</v>
      </c>
      <c r="L2148" s="17"/>
      <c r="M2148" s="15">
        <f t="shared" si="101"/>
        <v>0</v>
      </c>
      <c r="N2148" s="18">
        <f>0.046*L2148</f>
        <v>0</v>
      </c>
      <c r="O2148" s="19">
        <f>0.00043*L2148</f>
        <v>0</v>
      </c>
      <c r="P2148" s="24" t="s">
        <v>26</v>
      </c>
      <c r="Q2148" s="15" t="s">
        <v>7155</v>
      </c>
      <c r="R2148" s="15"/>
      <c r="S2148" s="10" t="str">
        <f>HYPERLINK("https://miland.ru/api/getInfo/image/d8179a19-fd16-11f0-a28e-00155d82e908")</f>
        <v>https://miland.ru/api/getInfo/image/d8179a19-fd16-11f0-a28e-00155d82e908</v>
      </c>
    </row>
    <row r="2149" spans="1:19" s="2" customFormat="1" ht="96.2" customHeight="1" outlineLevel="7">
      <c r="A2149" s="52">
        <v>1697</v>
      </c>
      <c r="B2149" s="26" t="s">
        <v>7156</v>
      </c>
      <c r="C2149" s="66" t="s">
        <v>7157</v>
      </c>
      <c r="D2149" s="66"/>
      <c r="E2149" s="66"/>
      <c r="F2149" s="66"/>
      <c r="G2149" s="27" t="s">
        <v>7158</v>
      </c>
      <c r="H2149" s="28" t="s">
        <v>44</v>
      </c>
      <c r="I2149" s="29"/>
      <c r="J2149" s="25">
        <v>4</v>
      </c>
      <c r="K2149" s="30">
        <v>123.11</v>
      </c>
      <c r="L2149" s="17"/>
      <c r="M2149" s="29">
        <f t="shared" si="101"/>
        <v>0</v>
      </c>
      <c r="N2149" s="34">
        <f>0.44*L2149</f>
        <v>0</v>
      </c>
      <c r="O2149" s="32">
        <f>0.00014*L2149</f>
        <v>0</v>
      </c>
      <c r="P2149" s="36"/>
      <c r="Q2149" s="29" t="s">
        <v>7159</v>
      </c>
      <c r="R2149" s="29" t="s">
        <v>611</v>
      </c>
      <c r="S2149" s="26" t="str">
        <f>HYPERLINK("https://miland.ru/api/getInfo/image/10813b29-d95b-11ef-a273-00155d82e908")</f>
        <v>https://miland.ru/api/getInfo/image/10813b29-d95b-11ef-a273-00155d82e908</v>
      </c>
    </row>
    <row r="2150" spans="1:19" s="2" customFormat="1" ht="96.2" customHeight="1" outlineLevel="7">
      <c r="A2150" s="54">
        <v>1698</v>
      </c>
      <c r="B2150" s="39" t="s">
        <v>7160</v>
      </c>
      <c r="C2150" s="67" t="s">
        <v>7161</v>
      </c>
      <c r="D2150" s="67"/>
      <c r="E2150" s="67"/>
      <c r="F2150" s="67"/>
      <c r="G2150" s="40" t="s">
        <v>7162</v>
      </c>
      <c r="H2150" s="42">
        <v>2</v>
      </c>
      <c r="I2150" s="43"/>
      <c r="J2150" s="38">
        <v>2</v>
      </c>
      <c r="K2150" s="44">
        <v>42.28</v>
      </c>
      <c r="L2150" s="17"/>
      <c r="M2150" s="43">
        <f t="shared" si="101"/>
        <v>0</v>
      </c>
      <c r="N2150" s="47">
        <f>0.046*L2150</f>
        <v>0</v>
      </c>
      <c r="O2150" s="46">
        <f>0.00029*L2150</f>
        <v>0</v>
      </c>
      <c r="P2150" s="49"/>
      <c r="Q2150" s="43" t="s">
        <v>7163</v>
      </c>
      <c r="R2150" s="43" t="s">
        <v>611</v>
      </c>
      <c r="S2150" s="39" t="str">
        <f>HYPERLINK("https://miland.ru/api/getInfo/image/fc5d3c7f-0141-11ee-a23a-00155d82e902")</f>
        <v>https://miland.ru/api/getInfo/image/fc5d3c7f-0141-11ee-a23a-00155d82e902</v>
      </c>
    </row>
    <row r="2151" spans="1:19" s="1" customFormat="1" ht="12" customHeight="1" outlineLevel="6">
      <c r="A2151" s="64" t="s">
        <v>7164</v>
      </c>
      <c r="B2151" s="64"/>
      <c r="C2151" s="64"/>
      <c r="D2151" s="64"/>
      <c r="E2151" s="64"/>
      <c r="F2151" s="64"/>
      <c r="G2151" s="8"/>
      <c r="H2151" s="12"/>
      <c r="I2151" s="2"/>
      <c r="J2151" s="2"/>
      <c r="K2151" s="13"/>
      <c r="L2151" s="2"/>
      <c r="M2151" s="2"/>
      <c r="N2151" s="2"/>
      <c r="O2151" s="2"/>
      <c r="P2151" s="2"/>
      <c r="Q2151" s="2"/>
      <c r="R2151" s="2"/>
      <c r="S2151" s="2"/>
    </row>
    <row r="2152" spans="1:19" s="1" customFormat="1" ht="12" customHeight="1" outlineLevel="7">
      <c r="A2152" s="64" t="s">
        <v>7021</v>
      </c>
      <c r="B2152" s="64"/>
      <c r="C2152" s="64"/>
      <c r="D2152" s="64"/>
      <c r="E2152" s="64"/>
      <c r="F2152" s="64"/>
      <c r="G2152" s="8"/>
      <c r="H2152" s="12"/>
      <c r="I2152" s="2"/>
      <c r="J2152" s="2"/>
      <c r="K2152" s="13"/>
      <c r="L2152" s="2"/>
      <c r="M2152" s="2"/>
      <c r="N2152" s="2"/>
      <c r="O2152" s="2"/>
      <c r="P2152" s="2"/>
      <c r="Q2152" s="2"/>
      <c r="R2152" s="2"/>
      <c r="S2152" s="2"/>
    </row>
    <row r="2153" spans="1:19" s="2" customFormat="1" ht="96.2" customHeight="1" outlineLevel="7">
      <c r="A2153" s="52">
        <v>1699</v>
      </c>
      <c r="B2153" s="26" t="s">
        <v>7165</v>
      </c>
      <c r="C2153" s="66" t="s">
        <v>7166</v>
      </c>
      <c r="D2153" s="66"/>
      <c r="E2153" s="66"/>
      <c r="F2153" s="66"/>
      <c r="G2153" s="27" t="s">
        <v>7167</v>
      </c>
      <c r="H2153" s="28" t="s">
        <v>44</v>
      </c>
      <c r="I2153" s="29"/>
      <c r="J2153" s="25">
        <v>5</v>
      </c>
      <c r="K2153" s="30">
        <v>46.87</v>
      </c>
      <c r="L2153" s="17"/>
      <c r="M2153" s="29">
        <f>K2153*L2153</f>
        <v>0</v>
      </c>
      <c r="N2153" s="34">
        <f>0.03*L2153</f>
        <v>0</v>
      </c>
      <c r="O2153" s="32">
        <f>0.00007*L2153</f>
        <v>0</v>
      </c>
      <c r="P2153" s="36"/>
      <c r="Q2153" s="29" t="s">
        <v>7168</v>
      </c>
      <c r="R2153" s="29" t="s">
        <v>611</v>
      </c>
      <c r="S2153" s="26" t="str">
        <f>HYPERLINK("https://miland.ru/api/getInfo/image/a97c59f3-564a-11eb-a26d-ac1f6b442184")</f>
        <v>https://miland.ru/api/getInfo/image/a97c59f3-564a-11eb-a26d-ac1f6b442184</v>
      </c>
    </row>
    <row r="2154" spans="1:19" s="1" customFormat="1" ht="12" customHeight="1" outlineLevel="7">
      <c r="A2154" s="64" t="s">
        <v>7062</v>
      </c>
      <c r="B2154" s="64"/>
      <c r="C2154" s="64"/>
      <c r="D2154" s="64"/>
      <c r="E2154" s="64"/>
      <c r="F2154" s="64"/>
      <c r="G2154" s="8"/>
      <c r="H2154" s="12"/>
      <c r="I2154" s="2"/>
      <c r="J2154" s="2"/>
      <c r="K2154" s="13"/>
      <c r="L2154" s="2"/>
      <c r="M2154" s="2"/>
      <c r="N2154" s="2"/>
      <c r="O2154" s="2"/>
      <c r="P2154" s="2"/>
      <c r="Q2154" s="2"/>
      <c r="R2154" s="2"/>
      <c r="S2154" s="2"/>
    </row>
    <row r="2155" spans="1:19" s="2" customFormat="1" ht="96.2" customHeight="1" outlineLevel="7">
      <c r="A2155" s="52">
        <v>1700</v>
      </c>
      <c r="B2155" s="26" t="s">
        <v>7169</v>
      </c>
      <c r="C2155" s="66" t="s">
        <v>7170</v>
      </c>
      <c r="D2155" s="66"/>
      <c r="E2155" s="66"/>
      <c r="F2155" s="66"/>
      <c r="G2155" s="27" t="s">
        <v>7171</v>
      </c>
      <c r="H2155" s="28" t="s">
        <v>44</v>
      </c>
      <c r="I2155" s="29"/>
      <c r="J2155" s="25">
        <v>4</v>
      </c>
      <c r="K2155" s="30">
        <v>83.76</v>
      </c>
      <c r="L2155" s="17"/>
      <c r="M2155" s="29">
        <f>K2155*L2155</f>
        <v>0</v>
      </c>
      <c r="N2155" s="31">
        <f>0.028*L2155</f>
        <v>0</v>
      </c>
      <c r="O2155" s="35">
        <f>0.0001*L2155</f>
        <v>0</v>
      </c>
      <c r="P2155" s="36"/>
      <c r="Q2155" s="29" t="s">
        <v>7172</v>
      </c>
      <c r="R2155" s="29" t="s">
        <v>611</v>
      </c>
      <c r="S2155" s="26" t="str">
        <f>HYPERLINK("https://miland.ru/api/getInfo/image/ad4b1eb3-55ae-11eb-a26d-ac1f6b442184")</f>
        <v>https://miland.ru/api/getInfo/image/ad4b1eb3-55ae-11eb-a26d-ac1f6b442184</v>
      </c>
    </row>
    <row r="2156" spans="1:19" s="1" customFormat="1" ht="12" customHeight="1" outlineLevel="5">
      <c r="A2156" s="64" t="s">
        <v>7173</v>
      </c>
      <c r="B2156" s="64"/>
      <c r="C2156" s="64"/>
      <c r="D2156" s="64"/>
      <c r="E2156" s="64"/>
      <c r="F2156" s="64"/>
      <c r="G2156" s="8"/>
      <c r="H2156" s="12"/>
      <c r="I2156" s="2"/>
      <c r="J2156" s="2"/>
      <c r="K2156" s="13"/>
      <c r="L2156" s="2"/>
      <c r="M2156" s="2"/>
      <c r="N2156" s="2"/>
      <c r="O2156" s="2"/>
      <c r="P2156" s="2"/>
      <c r="Q2156" s="2"/>
      <c r="R2156" s="2"/>
      <c r="S2156" s="2"/>
    </row>
    <row r="2157" spans="1:19" s="1" customFormat="1" ht="12" customHeight="1" outlineLevel="6">
      <c r="A2157" s="64" t="s">
        <v>7174</v>
      </c>
      <c r="B2157" s="64"/>
      <c r="C2157" s="64"/>
      <c r="D2157" s="64"/>
      <c r="E2157" s="64"/>
      <c r="F2157" s="64"/>
      <c r="G2157" s="8"/>
      <c r="H2157" s="12"/>
      <c r="I2157" s="2"/>
      <c r="J2157" s="2"/>
      <c r="K2157" s="13"/>
      <c r="L2157" s="2"/>
      <c r="M2157" s="2"/>
      <c r="N2157" s="2"/>
      <c r="O2157" s="2"/>
      <c r="P2157" s="2"/>
      <c r="Q2157" s="2"/>
      <c r="R2157" s="2"/>
      <c r="S2157" s="2"/>
    </row>
    <row r="2158" spans="1:19" s="2" customFormat="1" ht="96.2" customHeight="1" outlineLevel="7">
      <c r="A2158" s="53">
        <v>1701</v>
      </c>
      <c r="B2158" s="10" t="s">
        <v>7175</v>
      </c>
      <c r="C2158" s="65" t="s">
        <v>7176</v>
      </c>
      <c r="D2158" s="65"/>
      <c r="E2158" s="65"/>
      <c r="F2158" s="65"/>
      <c r="G2158" s="11" t="s">
        <v>7177</v>
      </c>
      <c r="H2158" s="21" t="s">
        <v>44</v>
      </c>
      <c r="I2158" s="15"/>
      <c r="J2158" s="9">
        <v>6</v>
      </c>
      <c r="K2158" s="16">
        <v>72.66</v>
      </c>
      <c r="L2158" s="17"/>
      <c r="M2158" s="15">
        <f>K2158*L2158</f>
        <v>0</v>
      </c>
      <c r="N2158" s="18">
        <f>0.016*L2158</f>
        <v>0</v>
      </c>
      <c r="O2158" s="19">
        <f>0.00013*L2158</f>
        <v>0</v>
      </c>
      <c r="P2158" s="24" t="s">
        <v>26</v>
      </c>
      <c r="Q2158" s="15" t="s">
        <v>7178</v>
      </c>
      <c r="R2158" s="15"/>
      <c r="S2158" s="10" t="str">
        <f>HYPERLINK("https://miland.ru/api/getInfo/image/a6ebff6d-fcd7-11f0-a28e-00155d82e908")</f>
        <v>https://miland.ru/api/getInfo/image/a6ebff6d-fcd7-11f0-a28e-00155d82e908</v>
      </c>
    </row>
    <row r="2159" spans="1:19" s="2" customFormat="1" ht="96.2" customHeight="1" outlineLevel="7">
      <c r="A2159" s="52">
        <v>1702</v>
      </c>
      <c r="B2159" s="26" t="s">
        <v>7179</v>
      </c>
      <c r="C2159" s="66" t="s">
        <v>7180</v>
      </c>
      <c r="D2159" s="66"/>
      <c r="E2159" s="66"/>
      <c r="F2159" s="66"/>
      <c r="G2159" s="27" t="s">
        <v>7181</v>
      </c>
      <c r="H2159" s="33">
        <v>416</v>
      </c>
      <c r="I2159" s="29"/>
      <c r="J2159" s="25">
        <v>6</v>
      </c>
      <c r="K2159" s="30">
        <v>72.66</v>
      </c>
      <c r="L2159" s="17"/>
      <c r="M2159" s="29">
        <f>K2159*L2159</f>
        <v>0</v>
      </c>
      <c r="N2159" s="31">
        <f>0.018*L2159</f>
        <v>0</v>
      </c>
      <c r="O2159" s="32">
        <f>0.00017*L2159</f>
        <v>0</v>
      </c>
      <c r="P2159" s="36"/>
      <c r="Q2159" s="29" t="s">
        <v>7182</v>
      </c>
      <c r="R2159" s="29" t="s">
        <v>611</v>
      </c>
      <c r="S2159" s="26" t="str">
        <f>HYPERLINK("https://miland.ru/api/getInfo/image/26069e15-a8e8-11ec-a211-ac1f6b442185")</f>
        <v>https://miland.ru/api/getInfo/image/26069e15-a8e8-11ec-a211-ac1f6b442185</v>
      </c>
    </row>
    <row r="2160" spans="1:19" s="2" customFormat="1" ht="96.2" customHeight="1" outlineLevel="7">
      <c r="A2160" s="52">
        <v>1703</v>
      </c>
      <c r="B2160" s="26" t="s">
        <v>7183</v>
      </c>
      <c r="C2160" s="66" t="s">
        <v>7184</v>
      </c>
      <c r="D2160" s="66"/>
      <c r="E2160" s="66"/>
      <c r="F2160" s="66"/>
      <c r="G2160" s="27" t="s">
        <v>7185</v>
      </c>
      <c r="H2160" s="33">
        <v>1</v>
      </c>
      <c r="I2160" s="29"/>
      <c r="J2160" s="25">
        <v>1</v>
      </c>
      <c r="K2160" s="30">
        <v>72.66</v>
      </c>
      <c r="L2160" s="17"/>
      <c r="M2160" s="29">
        <f>K2160*L2160</f>
        <v>0</v>
      </c>
      <c r="N2160" s="31">
        <f>0.017*L2160</f>
        <v>0</v>
      </c>
      <c r="O2160" s="32">
        <f>0.00003*L2160</f>
        <v>0</v>
      </c>
      <c r="P2160" s="36"/>
      <c r="Q2160" s="29" t="s">
        <v>7186</v>
      </c>
      <c r="R2160" s="29" t="s">
        <v>611</v>
      </c>
      <c r="S2160" s="26" t="str">
        <f>HYPERLINK("https://miland.ru/api/getInfo/image/e71755f0-a8e6-11ec-a211-ac1f6b442185")</f>
        <v>https://miland.ru/api/getInfo/image/e71755f0-a8e6-11ec-a211-ac1f6b442185</v>
      </c>
    </row>
    <row r="2161" spans="1:19" s="1" customFormat="1" ht="12" customHeight="1" outlineLevel="6">
      <c r="A2161" s="64" t="s">
        <v>7187</v>
      </c>
      <c r="B2161" s="64"/>
      <c r="C2161" s="64"/>
      <c r="D2161" s="64"/>
      <c r="E2161" s="64"/>
      <c r="F2161" s="64"/>
      <c r="G2161" s="8"/>
      <c r="H2161" s="12"/>
      <c r="I2161" s="2"/>
      <c r="J2161" s="2"/>
      <c r="K2161" s="13"/>
      <c r="L2161" s="2"/>
      <c r="M2161" s="2"/>
      <c r="N2161" s="2"/>
      <c r="O2161" s="2"/>
      <c r="P2161" s="2"/>
      <c r="Q2161" s="2"/>
      <c r="R2161" s="2"/>
      <c r="S2161" s="2"/>
    </row>
    <row r="2162" spans="1:19" s="2" customFormat="1" ht="96.2" customHeight="1" outlineLevel="7">
      <c r="A2162" s="52">
        <v>1704</v>
      </c>
      <c r="B2162" s="26" t="s">
        <v>7188</v>
      </c>
      <c r="C2162" s="66" t="s">
        <v>7189</v>
      </c>
      <c r="D2162" s="66"/>
      <c r="E2162" s="66"/>
      <c r="F2162" s="66"/>
      <c r="G2162" s="27" t="s">
        <v>7190</v>
      </c>
      <c r="H2162" s="28" t="s">
        <v>44</v>
      </c>
      <c r="I2162" s="29"/>
      <c r="J2162" s="25">
        <v>4</v>
      </c>
      <c r="K2162" s="30">
        <v>107.57</v>
      </c>
      <c r="L2162" s="17"/>
      <c r="M2162" s="29">
        <f>K2162*L2162</f>
        <v>0</v>
      </c>
      <c r="N2162" s="31">
        <f>0.025*L2162</f>
        <v>0</v>
      </c>
      <c r="O2162" s="32">
        <f>0.00025*L2162</f>
        <v>0</v>
      </c>
      <c r="P2162" s="36"/>
      <c r="Q2162" s="29" t="s">
        <v>7191</v>
      </c>
      <c r="R2162" s="29"/>
      <c r="S2162" s="26" t="str">
        <f>HYPERLINK("https://miland.ru/api/getInfo/image/fa92815a-dc82-11ef-a273-00155d82e908")</f>
        <v>https://miland.ru/api/getInfo/image/fa92815a-dc82-11ef-a273-00155d82e908</v>
      </c>
    </row>
    <row r="2163" spans="1:19" s="2" customFormat="1" ht="96.2" customHeight="1" outlineLevel="7">
      <c r="A2163" s="53">
        <v>1705</v>
      </c>
      <c r="B2163" s="10" t="s">
        <v>7192</v>
      </c>
      <c r="C2163" s="65" t="s">
        <v>7193</v>
      </c>
      <c r="D2163" s="65"/>
      <c r="E2163" s="65"/>
      <c r="F2163" s="65"/>
      <c r="G2163" s="11" t="s">
        <v>7194</v>
      </c>
      <c r="H2163" s="21" t="s">
        <v>44</v>
      </c>
      <c r="I2163" s="15"/>
      <c r="J2163" s="9">
        <v>4</v>
      </c>
      <c r="K2163" s="16">
        <v>107.57</v>
      </c>
      <c r="L2163" s="17"/>
      <c r="M2163" s="15">
        <f>K2163*L2163</f>
        <v>0</v>
      </c>
      <c r="N2163" s="18">
        <f>0.022*L2163</f>
        <v>0</v>
      </c>
      <c r="O2163" s="19">
        <f>0.00016*L2163</f>
        <v>0</v>
      </c>
      <c r="P2163" s="24" t="s">
        <v>26</v>
      </c>
      <c r="Q2163" s="15" t="s">
        <v>7195</v>
      </c>
      <c r="R2163" s="15"/>
      <c r="S2163" s="10" t="str">
        <f>HYPERLINK("https://miland.ru/api/getInfo/image/55e868a2-fcd8-11f0-a28e-00155d82e908")</f>
        <v>https://miland.ru/api/getInfo/image/55e868a2-fcd8-11f0-a28e-00155d82e908</v>
      </c>
    </row>
    <row r="2164" spans="1:19" s="1" customFormat="1" ht="12" customHeight="1" outlineLevel="6">
      <c r="A2164" s="64" t="s">
        <v>7196</v>
      </c>
      <c r="B2164" s="64"/>
      <c r="C2164" s="64"/>
      <c r="D2164" s="64"/>
      <c r="E2164" s="64"/>
      <c r="F2164" s="64"/>
      <c r="G2164" s="8"/>
      <c r="H2164" s="12"/>
      <c r="I2164" s="2"/>
      <c r="J2164" s="2"/>
      <c r="K2164" s="13"/>
      <c r="L2164" s="2"/>
      <c r="M2164" s="2"/>
      <c r="N2164" s="2"/>
      <c r="O2164" s="2"/>
      <c r="P2164" s="2"/>
      <c r="Q2164" s="2"/>
      <c r="R2164" s="2"/>
      <c r="S2164" s="2"/>
    </row>
    <row r="2165" spans="1:19" s="2" customFormat="1" ht="96.2" customHeight="1" outlineLevel="7">
      <c r="A2165" s="53">
        <v>1706</v>
      </c>
      <c r="B2165" s="10" t="s">
        <v>7197</v>
      </c>
      <c r="C2165" s="65" t="s">
        <v>7198</v>
      </c>
      <c r="D2165" s="65"/>
      <c r="E2165" s="65"/>
      <c r="F2165" s="65"/>
      <c r="G2165" s="11" t="s">
        <v>7199</v>
      </c>
      <c r="H2165" s="21" t="s">
        <v>44</v>
      </c>
      <c r="I2165" s="15"/>
      <c r="J2165" s="9">
        <v>2</v>
      </c>
      <c r="K2165" s="16">
        <v>167.84</v>
      </c>
      <c r="L2165" s="17"/>
      <c r="M2165" s="15">
        <f t="shared" ref="M2165:M2171" si="102">K2165*L2165</f>
        <v>0</v>
      </c>
      <c r="N2165" s="18">
        <f>0.029*L2165</f>
        <v>0</v>
      </c>
      <c r="O2165" s="19">
        <f>0.00037*L2165</f>
        <v>0</v>
      </c>
      <c r="P2165" s="24" t="s">
        <v>26</v>
      </c>
      <c r="Q2165" s="15" t="s">
        <v>7200</v>
      </c>
      <c r="R2165" s="15"/>
      <c r="S2165" s="10" t="str">
        <f>HYPERLINK("https://miland.ru/api/getInfo/image/cd77f17a-fcd9-11f0-a28e-00155d82e908")</f>
        <v>https://miland.ru/api/getInfo/image/cd77f17a-fcd9-11f0-a28e-00155d82e908</v>
      </c>
    </row>
    <row r="2166" spans="1:19" s="2" customFormat="1" ht="96.2" customHeight="1" outlineLevel="7">
      <c r="A2166" s="52">
        <v>1707</v>
      </c>
      <c r="B2166" s="26" t="s">
        <v>7201</v>
      </c>
      <c r="C2166" s="66" t="s">
        <v>7202</v>
      </c>
      <c r="D2166" s="66"/>
      <c r="E2166" s="66"/>
      <c r="F2166" s="66"/>
      <c r="G2166" s="27" t="s">
        <v>7203</v>
      </c>
      <c r="H2166" s="33">
        <v>77</v>
      </c>
      <c r="I2166" s="29"/>
      <c r="J2166" s="25">
        <v>2</v>
      </c>
      <c r="K2166" s="30">
        <v>167.84</v>
      </c>
      <c r="L2166" s="17"/>
      <c r="M2166" s="29">
        <f t="shared" si="102"/>
        <v>0</v>
      </c>
      <c r="N2166" s="31">
        <f>0.026*L2166</f>
        <v>0</v>
      </c>
      <c r="O2166" s="32">
        <f>0.00018*L2166</f>
        <v>0</v>
      </c>
      <c r="P2166" s="36"/>
      <c r="Q2166" s="29" t="s">
        <v>7204</v>
      </c>
      <c r="R2166" s="29" t="s">
        <v>611</v>
      </c>
      <c r="S2166" s="26" t="str">
        <f>HYPERLINK("https://miland.ru/api/getInfo/image/ac266320-dc83-11ef-a273-00155d82e908")</f>
        <v>https://miland.ru/api/getInfo/image/ac266320-dc83-11ef-a273-00155d82e908</v>
      </c>
    </row>
    <row r="2167" spans="1:19" s="2" customFormat="1" ht="96.2" customHeight="1" outlineLevel="7">
      <c r="A2167" s="52">
        <v>1708</v>
      </c>
      <c r="B2167" s="26" t="s">
        <v>7205</v>
      </c>
      <c r="C2167" s="66" t="s">
        <v>7206</v>
      </c>
      <c r="D2167" s="66"/>
      <c r="E2167" s="66"/>
      <c r="F2167" s="66"/>
      <c r="G2167" s="27" t="s">
        <v>7207</v>
      </c>
      <c r="H2167" s="33">
        <v>296</v>
      </c>
      <c r="I2167" s="29"/>
      <c r="J2167" s="25">
        <v>2</v>
      </c>
      <c r="K2167" s="30">
        <v>167.84</v>
      </c>
      <c r="L2167" s="17"/>
      <c r="M2167" s="29">
        <f t="shared" si="102"/>
        <v>0</v>
      </c>
      <c r="N2167" s="31">
        <f>0.028*L2167</f>
        <v>0</v>
      </c>
      <c r="O2167" s="32">
        <f>0.00025*L2167</f>
        <v>0</v>
      </c>
      <c r="P2167" s="36"/>
      <c r="Q2167" s="29" t="s">
        <v>7208</v>
      </c>
      <c r="R2167" s="29"/>
      <c r="S2167" s="26" t="str">
        <f>HYPERLINK("https://miland.ru/api/getInfo/image/eff3467d-bf51-11ee-a25a-00155d82e908")</f>
        <v>https://miland.ru/api/getInfo/image/eff3467d-bf51-11ee-a25a-00155d82e908</v>
      </c>
    </row>
    <row r="2168" spans="1:19" s="2" customFormat="1" ht="96.2" customHeight="1" outlineLevel="7">
      <c r="A2168" s="52">
        <v>1709</v>
      </c>
      <c r="B2168" s="26" t="s">
        <v>7209</v>
      </c>
      <c r="C2168" s="66" t="s">
        <v>7210</v>
      </c>
      <c r="D2168" s="66"/>
      <c r="E2168" s="66"/>
      <c r="F2168" s="66"/>
      <c r="G2168" s="27" t="s">
        <v>7211</v>
      </c>
      <c r="H2168" s="28" t="s">
        <v>44</v>
      </c>
      <c r="I2168" s="29"/>
      <c r="J2168" s="25">
        <v>2</v>
      </c>
      <c r="K2168" s="30">
        <v>167.84</v>
      </c>
      <c r="L2168" s="17"/>
      <c r="M2168" s="29">
        <f t="shared" si="102"/>
        <v>0</v>
      </c>
      <c r="N2168" s="31">
        <f>0.025*L2168</f>
        <v>0</v>
      </c>
      <c r="O2168" s="32">
        <f>0.00025*L2168</f>
        <v>0</v>
      </c>
      <c r="P2168" s="36"/>
      <c r="Q2168" s="29" t="s">
        <v>7212</v>
      </c>
      <c r="R2168" s="29"/>
      <c r="S2168" s="26" t="str">
        <f>HYPERLINK("https://miland.ru/api/getInfo/image/228cb935-bf52-11ee-a25a-00155d82e908")</f>
        <v>https://miland.ru/api/getInfo/image/228cb935-bf52-11ee-a25a-00155d82e908</v>
      </c>
    </row>
    <row r="2169" spans="1:19" s="2" customFormat="1" ht="96.2" customHeight="1" outlineLevel="7">
      <c r="A2169" s="53">
        <v>1710</v>
      </c>
      <c r="B2169" s="10" t="s">
        <v>7213</v>
      </c>
      <c r="C2169" s="65" t="s">
        <v>7214</v>
      </c>
      <c r="D2169" s="65"/>
      <c r="E2169" s="65"/>
      <c r="F2169" s="65"/>
      <c r="G2169" s="11" t="s">
        <v>7215</v>
      </c>
      <c r="H2169" s="21" t="s">
        <v>44</v>
      </c>
      <c r="I2169" s="15"/>
      <c r="J2169" s="9">
        <v>2</v>
      </c>
      <c r="K2169" s="16">
        <v>167.84</v>
      </c>
      <c r="L2169" s="17"/>
      <c r="M2169" s="15">
        <f t="shared" si="102"/>
        <v>0</v>
      </c>
      <c r="N2169" s="23">
        <f>0.03*L2169</f>
        <v>0</v>
      </c>
      <c r="O2169" s="19">
        <f>0.00025*L2169</f>
        <v>0</v>
      </c>
      <c r="P2169" s="24" t="s">
        <v>26</v>
      </c>
      <c r="Q2169" s="15" t="s">
        <v>7216</v>
      </c>
      <c r="R2169" s="15"/>
      <c r="S2169" s="10" t="str">
        <f>HYPERLINK("https://miland.ru/api/getInfo/image/23085f91-fcd9-11f0-a28e-00155d82e908")</f>
        <v>https://miland.ru/api/getInfo/image/23085f91-fcd9-11f0-a28e-00155d82e908</v>
      </c>
    </row>
    <row r="2170" spans="1:19" s="2" customFormat="1" ht="96.2" customHeight="1" outlineLevel="7">
      <c r="A2170" s="52">
        <v>1711</v>
      </c>
      <c r="B2170" s="26" t="s">
        <v>7217</v>
      </c>
      <c r="C2170" s="66" t="s">
        <v>7218</v>
      </c>
      <c r="D2170" s="66"/>
      <c r="E2170" s="66"/>
      <c r="F2170" s="66"/>
      <c r="G2170" s="27" t="s">
        <v>7219</v>
      </c>
      <c r="H2170" s="28" t="s">
        <v>44</v>
      </c>
      <c r="I2170" s="29"/>
      <c r="J2170" s="25">
        <v>2</v>
      </c>
      <c r="K2170" s="30">
        <v>167.84</v>
      </c>
      <c r="L2170" s="17"/>
      <c r="M2170" s="29">
        <f t="shared" si="102"/>
        <v>0</v>
      </c>
      <c r="N2170" s="31">
        <f>0.029*L2170</f>
        <v>0</v>
      </c>
      <c r="O2170" s="32">
        <f>0.00019*L2170</f>
        <v>0</v>
      </c>
      <c r="P2170" s="36"/>
      <c r="Q2170" s="29" t="s">
        <v>7220</v>
      </c>
      <c r="R2170" s="29"/>
      <c r="S2170" s="26" t="str">
        <f>HYPERLINK("https://miland.ru/api/getInfo/image/d4a9b12a-dc83-11ef-a273-00155d82e908")</f>
        <v>https://miland.ru/api/getInfo/image/d4a9b12a-dc83-11ef-a273-00155d82e908</v>
      </c>
    </row>
    <row r="2171" spans="1:19" s="2" customFormat="1" ht="96.2" customHeight="1" outlineLevel="7">
      <c r="A2171" s="52">
        <v>1712</v>
      </c>
      <c r="B2171" s="26" t="s">
        <v>7221</v>
      </c>
      <c r="C2171" s="66" t="s">
        <v>7222</v>
      </c>
      <c r="D2171" s="66"/>
      <c r="E2171" s="66"/>
      <c r="F2171" s="66"/>
      <c r="G2171" s="27" t="s">
        <v>7223</v>
      </c>
      <c r="H2171" s="33">
        <v>5</v>
      </c>
      <c r="I2171" s="29"/>
      <c r="J2171" s="25">
        <v>2</v>
      </c>
      <c r="K2171" s="30">
        <v>167.84</v>
      </c>
      <c r="L2171" s="17"/>
      <c r="M2171" s="29">
        <f t="shared" si="102"/>
        <v>0</v>
      </c>
      <c r="N2171" s="31">
        <f>0.026*L2171</f>
        <v>0</v>
      </c>
      <c r="O2171" s="32">
        <f>0.00024*L2171</f>
        <v>0</v>
      </c>
      <c r="P2171" s="36"/>
      <c r="Q2171" s="29" t="s">
        <v>7224</v>
      </c>
      <c r="R2171" s="29"/>
      <c r="S2171" s="26" t="str">
        <f>HYPERLINK("https://miland.ru/api/getInfo/image/6e0f82f5-dc83-11ef-a273-00155d82e908")</f>
        <v>https://miland.ru/api/getInfo/image/6e0f82f5-dc83-11ef-a273-00155d82e908</v>
      </c>
    </row>
    <row r="2172" spans="1:19" s="1" customFormat="1" ht="12" customHeight="1" outlineLevel="6">
      <c r="A2172" s="64" t="s">
        <v>7062</v>
      </c>
      <c r="B2172" s="64"/>
      <c r="C2172" s="64"/>
      <c r="D2172" s="64"/>
      <c r="E2172" s="64"/>
      <c r="F2172" s="64"/>
      <c r="G2172" s="8"/>
      <c r="H2172" s="12"/>
      <c r="I2172" s="2"/>
      <c r="J2172" s="2"/>
      <c r="K2172" s="13"/>
      <c r="L2172" s="2"/>
      <c r="M2172" s="2"/>
      <c r="N2172" s="2"/>
      <c r="O2172" s="2"/>
      <c r="P2172" s="2"/>
      <c r="Q2172" s="2"/>
      <c r="R2172" s="2"/>
      <c r="S2172" s="2"/>
    </row>
    <row r="2173" spans="1:19" s="2" customFormat="1" ht="96.2" customHeight="1" outlineLevel="7">
      <c r="A2173" s="53">
        <v>1713</v>
      </c>
      <c r="B2173" s="10" t="s">
        <v>7225</v>
      </c>
      <c r="C2173" s="65" t="s">
        <v>7226</v>
      </c>
      <c r="D2173" s="65"/>
      <c r="E2173" s="65"/>
      <c r="F2173" s="65"/>
      <c r="G2173" s="11" t="s">
        <v>7227</v>
      </c>
      <c r="H2173" s="14">
        <v>467</v>
      </c>
      <c r="I2173" s="15"/>
      <c r="J2173" s="9">
        <v>2</v>
      </c>
      <c r="K2173" s="16">
        <v>193.71</v>
      </c>
      <c r="L2173" s="17"/>
      <c r="M2173" s="15">
        <f t="shared" ref="M2173:M2182" si="103">K2173*L2173</f>
        <v>0</v>
      </c>
      <c r="N2173" s="18">
        <f>0.036*L2173</f>
        <v>0</v>
      </c>
      <c r="O2173" s="19">
        <f>0.00031*L2173</f>
        <v>0</v>
      </c>
      <c r="P2173" s="24" t="s">
        <v>26</v>
      </c>
      <c r="Q2173" s="15" t="s">
        <v>7228</v>
      </c>
      <c r="R2173" s="15"/>
      <c r="S2173" s="10" t="str">
        <f>HYPERLINK("https://miland.ru/api/getInfo/image/3e8daf73-fcdb-11f0-a28e-00155d82e908")</f>
        <v>https://miland.ru/api/getInfo/image/3e8daf73-fcdb-11f0-a28e-00155d82e908</v>
      </c>
    </row>
    <row r="2174" spans="1:19" s="2" customFormat="1" ht="96.2" customHeight="1" outlineLevel="7">
      <c r="A2174" s="52">
        <v>1714</v>
      </c>
      <c r="B2174" s="26" t="s">
        <v>7229</v>
      </c>
      <c r="C2174" s="66" t="s">
        <v>7230</v>
      </c>
      <c r="D2174" s="66"/>
      <c r="E2174" s="66"/>
      <c r="F2174" s="66"/>
      <c r="G2174" s="27" t="s">
        <v>7231</v>
      </c>
      <c r="H2174" s="33">
        <v>93</v>
      </c>
      <c r="I2174" s="29"/>
      <c r="J2174" s="25">
        <v>2</v>
      </c>
      <c r="K2174" s="30">
        <v>193.71</v>
      </c>
      <c r="L2174" s="17"/>
      <c r="M2174" s="29">
        <f t="shared" si="103"/>
        <v>0</v>
      </c>
      <c r="N2174" s="31">
        <f>0.032*L2174</f>
        <v>0</v>
      </c>
      <c r="O2174" s="32">
        <f>0.00023*L2174</f>
        <v>0</v>
      </c>
      <c r="P2174" s="36"/>
      <c r="Q2174" s="29" t="s">
        <v>7232</v>
      </c>
      <c r="R2174" s="29" t="s">
        <v>611</v>
      </c>
      <c r="S2174" s="26" t="str">
        <f>HYPERLINK("https://miland.ru/api/getInfo/image/0ae83372-dc84-11ef-a273-00155d82e908")</f>
        <v>https://miland.ru/api/getInfo/image/0ae83372-dc84-11ef-a273-00155d82e908</v>
      </c>
    </row>
    <row r="2175" spans="1:19" s="2" customFormat="1" ht="96.2" customHeight="1" outlineLevel="7">
      <c r="A2175" s="52">
        <v>1715</v>
      </c>
      <c r="B2175" s="26" t="s">
        <v>7233</v>
      </c>
      <c r="C2175" s="66" t="s">
        <v>7234</v>
      </c>
      <c r="D2175" s="66"/>
      <c r="E2175" s="66"/>
      <c r="F2175" s="66"/>
      <c r="G2175" s="27" t="s">
        <v>7235</v>
      </c>
      <c r="H2175" s="33">
        <v>5</v>
      </c>
      <c r="I2175" s="29"/>
      <c r="J2175" s="25">
        <v>2</v>
      </c>
      <c r="K2175" s="30">
        <v>193.71</v>
      </c>
      <c r="L2175" s="17"/>
      <c r="M2175" s="29">
        <f t="shared" si="103"/>
        <v>0</v>
      </c>
      <c r="N2175" s="31">
        <f>0.035*L2175</f>
        <v>0</v>
      </c>
      <c r="O2175" s="32">
        <f>0.00009*L2175</f>
        <v>0</v>
      </c>
      <c r="P2175" s="36"/>
      <c r="Q2175" s="29" t="s">
        <v>7236</v>
      </c>
      <c r="R2175" s="29" t="s">
        <v>611</v>
      </c>
      <c r="S2175" s="26" t="str">
        <f>HYPERLINK("https://miland.ru/api/getInfo/image/7767518b-bf52-11ee-a25a-00155d82e908")</f>
        <v>https://miland.ru/api/getInfo/image/7767518b-bf52-11ee-a25a-00155d82e908</v>
      </c>
    </row>
    <row r="2176" spans="1:19" s="2" customFormat="1" ht="96.2" customHeight="1" outlineLevel="7">
      <c r="A2176" s="53">
        <v>1716</v>
      </c>
      <c r="B2176" s="10" t="s">
        <v>7237</v>
      </c>
      <c r="C2176" s="65" t="s">
        <v>7238</v>
      </c>
      <c r="D2176" s="65"/>
      <c r="E2176" s="65"/>
      <c r="F2176" s="65"/>
      <c r="G2176" s="11" t="s">
        <v>7239</v>
      </c>
      <c r="H2176" s="21" t="s">
        <v>44</v>
      </c>
      <c r="I2176" s="15"/>
      <c r="J2176" s="9">
        <v>2</v>
      </c>
      <c r="K2176" s="16">
        <v>193.71</v>
      </c>
      <c r="L2176" s="17"/>
      <c r="M2176" s="15">
        <f t="shared" si="103"/>
        <v>0</v>
      </c>
      <c r="N2176" s="18">
        <f>0.039*L2176</f>
        <v>0</v>
      </c>
      <c r="O2176" s="19">
        <f>0.00039*L2176</f>
        <v>0</v>
      </c>
      <c r="P2176" s="24" t="s">
        <v>26</v>
      </c>
      <c r="Q2176" s="15" t="s">
        <v>7240</v>
      </c>
      <c r="R2176" s="15"/>
      <c r="S2176" s="10" t="str">
        <f>HYPERLINK("https://miland.ru/api/getInfo/image/881d231e-fcdb-11f0-a28e-00155d82e908")</f>
        <v>https://miland.ru/api/getInfo/image/881d231e-fcdb-11f0-a28e-00155d82e908</v>
      </c>
    </row>
    <row r="2177" spans="1:19" s="2" customFormat="1" ht="96.2" customHeight="1" outlineLevel="7">
      <c r="A2177" s="52">
        <v>1717</v>
      </c>
      <c r="B2177" s="26" t="s">
        <v>7241</v>
      </c>
      <c r="C2177" s="66" t="s">
        <v>7242</v>
      </c>
      <c r="D2177" s="66"/>
      <c r="E2177" s="66"/>
      <c r="F2177" s="66"/>
      <c r="G2177" s="27" t="s">
        <v>7243</v>
      </c>
      <c r="H2177" s="33">
        <v>1</v>
      </c>
      <c r="I2177" s="29"/>
      <c r="J2177" s="25">
        <v>1</v>
      </c>
      <c r="K2177" s="30">
        <v>193.71</v>
      </c>
      <c r="L2177" s="17"/>
      <c r="M2177" s="29">
        <f t="shared" si="103"/>
        <v>0</v>
      </c>
      <c r="N2177" s="31">
        <f>0.034*L2177</f>
        <v>0</v>
      </c>
      <c r="O2177" s="32">
        <f>0.00033*L2177</f>
        <v>0</v>
      </c>
      <c r="P2177" s="36"/>
      <c r="Q2177" s="29" t="s">
        <v>7244</v>
      </c>
      <c r="R2177" s="29" t="s">
        <v>611</v>
      </c>
      <c r="S2177" s="26" t="str">
        <f>HYPERLINK("https://miland.ru/api/getInfo/image/a5b59577-bf52-11ee-a25a-00155d82e908")</f>
        <v>https://miland.ru/api/getInfo/image/a5b59577-bf52-11ee-a25a-00155d82e908</v>
      </c>
    </row>
    <row r="2178" spans="1:19" s="2" customFormat="1" ht="96.2" customHeight="1" outlineLevel="7">
      <c r="A2178" s="53">
        <v>1718</v>
      </c>
      <c r="B2178" s="10" t="s">
        <v>7245</v>
      </c>
      <c r="C2178" s="65" t="s">
        <v>7246</v>
      </c>
      <c r="D2178" s="65"/>
      <c r="E2178" s="65"/>
      <c r="F2178" s="65"/>
      <c r="G2178" s="11" t="s">
        <v>7247</v>
      </c>
      <c r="H2178" s="21" t="s">
        <v>44</v>
      </c>
      <c r="I2178" s="15"/>
      <c r="J2178" s="9">
        <v>2</v>
      </c>
      <c r="K2178" s="16">
        <v>193.71</v>
      </c>
      <c r="L2178" s="17"/>
      <c r="M2178" s="15">
        <f t="shared" si="103"/>
        <v>0</v>
      </c>
      <c r="N2178" s="18">
        <f>0.038*L2178</f>
        <v>0</v>
      </c>
      <c r="O2178" s="19">
        <f>0.00032*L2178</f>
        <v>0</v>
      </c>
      <c r="P2178" s="24" t="s">
        <v>26</v>
      </c>
      <c r="Q2178" s="15" t="s">
        <v>7248</v>
      </c>
      <c r="R2178" s="15"/>
      <c r="S2178" s="10" t="str">
        <f>HYPERLINK("https://miland.ru/api/getInfo/image/c621db31-fcda-11f0-a28e-00155d82e908")</f>
        <v>https://miland.ru/api/getInfo/image/c621db31-fcda-11f0-a28e-00155d82e908</v>
      </c>
    </row>
    <row r="2179" spans="1:19" s="2" customFormat="1" ht="96.2" customHeight="1" outlineLevel="7">
      <c r="A2179" s="52">
        <v>1719</v>
      </c>
      <c r="B2179" s="26" t="s">
        <v>7249</v>
      </c>
      <c r="C2179" s="66" t="s">
        <v>7250</v>
      </c>
      <c r="D2179" s="66"/>
      <c r="E2179" s="66"/>
      <c r="F2179" s="66"/>
      <c r="G2179" s="27" t="s">
        <v>7251</v>
      </c>
      <c r="H2179" s="33">
        <v>2</v>
      </c>
      <c r="I2179" s="29"/>
      <c r="J2179" s="25">
        <v>2</v>
      </c>
      <c r="K2179" s="30">
        <v>193.71</v>
      </c>
      <c r="L2179" s="17"/>
      <c r="M2179" s="29">
        <f t="shared" si="103"/>
        <v>0</v>
      </c>
      <c r="N2179" s="31">
        <f>0.036*L2179</f>
        <v>0</v>
      </c>
      <c r="O2179" s="32">
        <f>0.00265*L2179</f>
        <v>0</v>
      </c>
      <c r="P2179" s="36"/>
      <c r="Q2179" s="29" t="s">
        <v>7252</v>
      </c>
      <c r="R2179" s="29" t="s">
        <v>611</v>
      </c>
      <c r="S2179" s="26" t="str">
        <f>HYPERLINK("https://miland.ru/api/getInfo/image/4473be86-dc84-11ef-a273-00155d82e908")</f>
        <v>https://miland.ru/api/getInfo/image/4473be86-dc84-11ef-a273-00155d82e908</v>
      </c>
    </row>
    <row r="2180" spans="1:19" s="2" customFormat="1" ht="96.2" customHeight="1" outlineLevel="7">
      <c r="A2180" s="53">
        <v>1720</v>
      </c>
      <c r="B2180" s="10" t="s">
        <v>7253</v>
      </c>
      <c r="C2180" s="65" t="s">
        <v>7254</v>
      </c>
      <c r="D2180" s="65"/>
      <c r="E2180" s="65"/>
      <c r="F2180" s="65"/>
      <c r="G2180" s="11" t="s">
        <v>7255</v>
      </c>
      <c r="H2180" s="14">
        <v>425</v>
      </c>
      <c r="I2180" s="15"/>
      <c r="J2180" s="9">
        <v>2</v>
      </c>
      <c r="K2180" s="16">
        <v>193.71</v>
      </c>
      <c r="L2180" s="17"/>
      <c r="M2180" s="15">
        <f t="shared" si="103"/>
        <v>0</v>
      </c>
      <c r="N2180" s="18">
        <f>0.039*L2180</f>
        <v>0</v>
      </c>
      <c r="O2180" s="19">
        <f>0.00016*L2180</f>
        <v>0</v>
      </c>
      <c r="P2180" s="24" t="s">
        <v>26</v>
      </c>
      <c r="Q2180" s="15" t="s">
        <v>7256</v>
      </c>
      <c r="R2180" s="15"/>
      <c r="S2180" s="10" t="str">
        <f>HYPERLINK("https://miland.ru/api/getInfo/image/db765008-fcdb-11f0-a28e-00155d82e908")</f>
        <v>https://miland.ru/api/getInfo/image/db765008-fcdb-11f0-a28e-00155d82e908</v>
      </c>
    </row>
    <row r="2181" spans="1:19" s="2" customFormat="1" ht="96.2" customHeight="1" outlineLevel="7">
      <c r="A2181" s="52">
        <v>1721</v>
      </c>
      <c r="B2181" s="26" t="s">
        <v>7257</v>
      </c>
      <c r="C2181" s="66" t="s">
        <v>7258</v>
      </c>
      <c r="D2181" s="66"/>
      <c r="E2181" s="66"/>
      <c r="F2181" s="66"/>
      <c r="G2181" s="27" t="s">
        <v>7259</v>
      </c>
      <c r="H2181" s="33">
        <v>51</v>
      </c>
      <c r="I2181" s="29"/>
      <c r="J2181" s="25">
        <v>2</v>
      </c>
      <c r="K2181" s="30">
        <v>193.71</v>
      </c>
      <c r="L2181" s="17"/>
      <c r="M2181" s="29">
        <f t="shared" si="103"/>
        <v>0</v>
      </c>
      <c r="N2181" s="31">
        <f>0.034*L2181</f>
        <v>0</v>
      </c>
      <c r="O2181" s="32">
        <f>0.00015*L2181</f>
        <v>0</v>
      </c>
      <c r="P2181" s="36"/>
      <c r="Q2181" s="29" t="s">
        <v>7260</v>
      </c>
      <c r="R2181" s="29" t="s">
        <v>611</v>
      </c>
      <c r="S2181" s="26" t="str">
        <f>HYPERLINK("https://miland.ru/api/getInfo/image/292111a7-dc84-11ef-a273-00155d82e908")</f>
        <v>https://miland.ru/api/getInfo/image/292111a7-dc84-11ef-a273-00155d82e908</v>
      </c>
    </row>
    <row r="2182" spans="1:19" s="2" customFormat="1" ht="96.2" customHeight="1" outlineLevel="7">
      <c r="A2182" s="52">
        <v>1722</v>
      </c>
      <c r="B2182" s="26" t="s">
        <v>7261</v>
      </c>
      <c r="C2182" s="66" t="s">
        <v>7262</v>
      </c>
      <c r="D2182" s="66"/>
      <c r="E2182" s="66"/>
      <c r="F2182" s="66"/>
      <c r="G2182" s="27" t="s">
        <v>7263</v>
      </c>
      <c r="H2182" s="33">
        <v>30</v>
      </c>
      <c r="I2182" s="29"/>
      <c r="J2182" s="25">
        <v>2</v>
      </c>
      <c r="K2182" s="30">
        <v>193.71</v>
      </c>
      <c r="L2182" s="17"/>
      <c r="M2182" s="29">
        <f t="shared" si="103"/>
        <v>0</v>
      </c>
      <c r="N2182" s="31">
        <f>0.033*L2182</f>
        <v>0</v>
      </c>
      <c r="O2182" s="32">
        <f>0.00015*L2182</f>
        <v>0</v>
      </c>
      <c r="P2182" s="36"/>
      <c r="Q2182" s="29" t="s">
        <v>7264</v>
      </c>
      <c r="R2182" s="29" t="s">
        <v>611</v>
      </c>
      <c r="S2182" s="26" t="str">
        <f>HYPERLINK("https://miland.ru/api/getInfo/image/f408999f-dc83-11ef-a273-00155d82e908")</f>
        <v>https://miland.ru/api/getInfo/image/f408999f-dc83-11ef-a273-00155d82e908</v>
      </c>
    </row>
    <row r="2183" spans="1:19" s="1" customFormat="1" ht="12" customHeight="1" outlineLevel="6">
      <c r="A2183" s="64" t="s">
        <v>7265</v>
      </c>
      <c r="B2183" s="64"/>
      <c r="C2183" s="64"/>
      <c r="D2183" s="64"/>
      <c r="E2183" s="64"/>
      <c r="F2183" s="64"/>
      <c r="G2183" s="8"/>
      <c r="H2183" s="12"/>
      <c r="I2183" s="2"/>
      <c r="J2183" s="2"/>
      <c r="K2183" s="13"/>
      <c r="L2183" s="2"/>
      <c r="M2183" s="2"/>
      <c r="N2183" s="2"/>
      <c r="O2183" s="2"/>
      <c r="P2183" s="2"/>
      <c r="Q2183" s="2"/>
      <c r="R2183" s="2"/>
      <c r="S2183" s="2"/>
    </row>
    <row r="2184" spans="1:19" s="2" customFormat="1" ht="96.2" customHeight="1" outlineLevel="7">
      <c r="A2184" s="52">
        <v>1723</v>
      </c>
      <c r="B2184" s="26" t="s">
        <v>7266</v>
      </c>
      <c r="C2184" s="66" t="s">
        <v>7267</v>
      </c>
      <c r="D2184" s="66"/>
      <c r="E2184" s="66"/>
      <c r="F2184" s="66"/>
      <c r="G2184" s="27" t="s">
        <v>7268</v>
      </c>
      <c r="H2184" s="33">
        <v>172</v>
      </c>
      <c r="I2184" s="29"/>
      <c r="J2184" s="25">
        <v>2</v>
      </c>
      <c r="K2184" s="30">
        <v>249.62</v>
      </c>
      <c r="L2184" s="17"/>
      <c r="M2184" s="29">
        <f>K2184*L2184</f>
        <v>0</v>
      </c>
      <c r="N2184" s="31">
        <f>0.049*L2184</f>
        <v>0</v>
      </c>
      <c r="O2184" s="32">
        <f>0.00041*L2184</f>
        <v>0</v>
      </c>
      <c r="P2184" s="36"/>
      <c r="Q2184" s="29" t="s">
        <v>7269</v>
      </c>
      <c r="R2184" s="29"/>
      <c r="S2184" s="26" t="str">
        <f>HYPERLINK("https://miland.ru/api/getInfo/image/31a284bf-dc85-11ef-a273-00155d82e908")</f>
        <v>https://miland.ru/api/getInfo/image/31a284bf-dc85-11ef-a273-00155d82e908</v>
      </c>
    </row>
    <row r="2185" spans="1:19" s="2" customFormat="1" ht="96.2" customHeight="1" outlineLevel="7">
      <c r="A2185" s="52">
        <v>1724</v>
      </c>
      <c r="B2185" s="26" t="s">
        <v>7270</v>
      </c>
      <c r="C2185" s="66" t="s">
        <v>7271</v>
      </c>
      <c r="D2185" s="66"/>
      <c r="E2185" s="66"/>
      <c r="F2185" s="66"/>
      <c r="G2185" s="27" t="s">
        <v>7272</v>
      </c>
      <c r="H2185" s="33">
        <v>8</v>
      </c>
      <c r="I2185" s="29"/>
      <c r="J2185" s="25">
        <v>2</v>
      </c>
      <c r="K2185" s="30">
        <v>249.62</v>
      </c>
      <c r="L2185" s="17"/>
      <c r="M2185" s="29">
        <f>K2185*L2185</f>
        <v>0</v>
      </c>
      <c r="N2185" s="31">
        <f>0.029*L2185</f>
        <v>0</v>
      </c>
      <c r="O2185" s="32">
        <f>0.00012*L2185</f>
        <v>0</v>
      </c>
      <c r="P2185" s="36"/>
      <c r="Q2185" s="29" t="s">
        <v>7273</v>
      </c>
      <c r="R2185" s="29" t="s">
        <v>611</v>
      </c>
      <c r="S2185" s="26" t="str">
        <f>HYPERLINK("https://miland.ru/api/getInfo/image/d805839e-c0d1-11ee-a25a-00155d82e908")</f>
        <v>https://miland.ru/api/getInfo/image/d805839e-c0d1-11ee-a25a-00155d82e908</v>
      </c>
    </row>
    <row r="2186" spans="1:19" s="2" customFormat="1" ht="96.2" customHeight="1" outlineLevel="7">
      <c r="A2186" s="52">
        <v>1725</v>
      </c>
      <c r="B2186" s="26" t="s">
        <v>7274</v>
      </c>
      <c r="C2186" s="66" t="s">
        <v>7275</v>
      </c>
      <c r="D2186" s="66"/>
      <c r="E2186" s="66"/>
      <c r="F2186" s="66"/>
      <c r="G2186" s="27" t="s">
        <v>7276</v>
      </c>
      <c r="H2186" s="33">
        <v>144</v>
      </c>
      <c r="I2186" s="29"/>
      <c r="J2186" s="25">
        <v>2</v>
      </c>
      <c r="K2186" s="30">
        <v>249.62</v>
      </c>
      <c r="L2186" s="17"/>
      <c r="M2186" s="29">
        <f>K2186*L2186</f>
        <v>0</v>
      </c>
      <c r="N2186" s="31">
        <f>0.046*L2186</f>
        <v>0</v>
      </c>
      <c r="O2186" s="32">
        <f>0.00051*L2186</f>
        <v>0</v>
      </c>
      <c r="P2186" s="36"/>
      <c r="Q2186" s="29" t="s">
        <v>7277</v>
      </c>
      <c r="R2186" s="29"/>
      <c r="S2186" s="26" t="str">
        <f>HYPERLINK("https://miland.ru/api/getInfo/image/1bb38d38-dc85-11ef-a273-00155d82e908")</f>
        <v>https://miland.ru/api/getInfo/image/1bb38d38-dc85-11ef-a273-00155d82e908</v>
      </c>
    </row>
    <row r="2187" spans="1:19" s="1" customFormat="1" ht="12" customHeight="1" outlineLevel="5">
      <c r="A2187" s="64" t="s">
        <v>7278</v>
      </c>
      <c r="B2187" s="64"/>
      <c r="C2187" s="64"/>
      <c r="D2187" s="64"/>
      <c r="E2187" s="64"/>
      <c r="F2187" s="64"/>
      <c r="G2187" s="8"/>
      <c r="H2187" s="12"/>
      <c r="I2187" s="2"/>
      <c r="J2187" s="2"/>
      <c r="K2187" s="13"/>
      <c r="L2187" s="2"/>
      <c r="M2187" s="2"/>
      <c r="N2187" s="2"/>
      <c r="O2187" s="2"/>
      <c r="P2187" s="2"/>
      <c r="Q2187" s="2"/>
      <c r="R2187" s="2"/>
      <c r="S2187" s="2"/>
    </row>
    <row r="2188" spans="1:19" s="2" customFormat="1" ht="96.2" customHeight="1" outlineLevel="6">
      <c r="A2188" s="52">
        <v>1726</v>
      </c>
      <c r="B2188" s="26" t="s">
        <v>7279</v>
      </c>
      <c r="C2188" s="66" t="s">
        <v>7280</v>
      </c>
      <c r="D2188" s="66"/>
      <c r="E2188" s="66"/>
      <c r="F2188" s="66"/>
      <c r="G2188" s="27" t="s">
        <v>7281</v>
      </c>
      <c r="H2188" s="33">
        <v>181</v>
      </c>
      <c r="I2188" s="29"/>
      <c r="J2188" s="25">
        <v>10</v>
      </c>
      <c r="K2188" s="30">
        <v>53.73</v>
      </c>
      <c r="L2188" s="17"/>
      <c r="M2188" s="29">
        <f>K2188*L2188</f>
        <v>0</v>
      </c>
      <c r="N2188" s="29">
        <v>0</v>
      </c>
      <c r="O2188" s="29">
        <v>0</v>
      </c>
      <c r="P2188" s="36"/>
      <c r="Q2188" s="29" t="s">
        <v>7282</v>
      </c>
      <c r="R2188" s="29" t="s">
        <v>611</v>
      </c>
      <c r="S2188" s="26" t="str">
        <f>HYPERLINK("https://miland.ru/api/getInfo/image/ddff0cf9-5d1b-11e9-a224-ac1f6b442184")</f>
        <v>https://miland.ru/api/getInfo/image/ddff0cf9-5d1b-11e9-a224-ac1f6b442184</v>
      </c>
    </row>
    <row r="2189" spans="1:19" s="1" customFormat="1" ht="12" customHeight="1" outlineLevel="4">
      <c r="A2189" s="64" t="s">
        <v>7283</v>
      </c>
      <c r="B2189" s="64"/>
      <c r="C2189" s="64"/>
      <c r="D2189" s="64"/>
      <c r="E2189" s="64"/>
      <c r="F2189" s="64"/>
      <c r="G2189" s="8"/>
      <c r="H2189" s="12"/>
      <c r="I2189" s="2"/>
      <c r="J2189" s="2"/>
      <c r="K2189" s="13"/>
      <c r="L2189" s="2"/>
      <c r="M2189" s="2"/>
      <c r="N2189" s="2"/>
      <c r="O2189" s="2"/>
      <c r="P2189" s="2"/>
      <c r="Q2189" s="2"/>
      <c r="R2189" s="2"/>
      <c r="S2189" s="2"/>
    </row>
    <row r="2190" spans="1:19" s="1" customFormat="1" ht="12" customHeight="1" outlineLevel="5">
      <c r="A2190" s="64" t="s">
        <v>1294</v>
      </c>
      <c r="B2190" s="64"/>
      <c r="C2190" s="64"/>
      <c r="D2190" s="64"/>
      <c r="E2190" s="64"/>
      <c r="F2190" s="64"/>
      <c r="G2190" s="8"/>
      <c r="H2190" s="12"/>
      <c r="I2190" s="2"/>
      <c r="J2190" s="2"/>
      <c r="K2190" s="13"/>
      <c r="L2190" s="2"/>
      <c r="M2190" s="2"/>
      <c r="N2190" s="2"/>
      <c r="O2190" s="2"/>
      <c r="P2190" s="2"/>
      <c r="Q2190" s="2"/>
      <c r="R2190" s="2"/>
      <c r="S2190" s="2"/>
    </row>
    <row r="2191" spans="1:19" s="2" customFormat="1" ht="96.2" customHeight="1" outlineLevel="6">
      <c r="A2191" s="53">
        <v>1727</v>
      </c>
      <c r="B2191" s="10" t="s">
        <v>7284</v>
      </c>
      <c r="C2191" s="65" t="s">
        <v>7285</v>
      </c>
      <c r="D2191" s="65"/>
      <c r="E2191" s="65"/>
      <c r="F2191" s="65"/>
      <c r="G2191" s="11" t="s">
        <v>7286</v>
      </c>
      <c r="H2191" s="21" t="s">
        <v>44</v>
      </c>
      <c r="I2191" s="15"/>
      <c r="J2191" s="9">
        <v>2</v>
      </c>
      <c r="K2191" s="16">
        <v>267.27999999999997</v>
      </c>
      <c r="L2191" s="17"/>
      <c r="M2191" s="15">
        <f>K2191*L2191</f>
        <v>0</v>
      </c>
      <c r="N2191" s="18">
        <f>0.086*L2191</f>
        <v>0</v>
      </c>
      <c r="O2191" s="19">
        <f>0.00256*L2191</f>
        <v>0</v>
      </c>
      <c r="P2191" s="24" t="s">
        <v>26</v>
      </c>
      <c r="Q2191" s="15" t="s">
        <v>7287</v>
      </c>
      <c r="R2191" s="15"/>
      <c r="S2191" s="10" t="str">
        <f>HYPERLINK("https://miland.ru/api/getInfo/image/565f8a4b-37d8-11f1-a293-00155d82e908")</f>
        <v>https://miland.ru/api/getInfo/image/565f8a4b-37d8-11f1-a293-00155d82e908</v>
      </c>
    </row>
    <row r="2192" spans="1:19" s="2" customFormat="1" ht="96.2" customHeight="1" outlineLevel="6">
      <c r="A2192" s="52">
        <v>1728</v>
      </c>
      <c r="B2192" s="26" t="s">
        <v>7288</v>
      </c>
      <c r="C2192" s="66" t="s">
        <v>7289</v>
      </c>
      <c r="D2192" s="66"/>
      <c r="E2192" s="66"/>
      <c r="F2192" s="66"/>
      <c r="G2192" s="27" t="s">
        <v>7290</v>
      </c>
      <c r="H2192" s="28" t="s">
        <v>44</v>
      </c>
      <c r="I2192" s="29"/>
      <c r="J2192" s="25">
        <v>1</v>
      </c>
      <c r="K2192" s="37">
        <v>1120.83</v>
      </c>
      <c r="L2192" s="17"/>
      <c r="M2192" s="29">
        <f>K2192*L2192</f>
        <v>0</v>
      </c>
      <c r="N2192" s="31">
        <f>0.372*L2192</f>
        <v>0</v>
      </c>
      <c r="O2192" s="32">
        <f>0.01437*L2192</f>
        <v>0</v>
      </c>
      <c r="P2192" s="36"/>
      <c r="Q2192" s="29" t="s">
        <v>7291</v>
      </c>
      <c r="R2192" s="29" t="s">
        <v>611</v>
      </c>
      <c r="S2192" s="26" t="str">
        <f>HYPERLINK("https://miland.ru/api/getInfo/image/9704dc67-77c4-11ed-a22a-00155d82e902")</f>
        <v>https://miland.ru/api/getInfo/image/9704dc67-77c4-11ed-a22a-00155d82e902</v>
      </c>
    </row>
    <row r="2193" spans="1:19" s="2" customFormat="1" ht="96.2" customHeight="1" outlineLevel="6">
      <c r="A2193" s="52">
        <v>1729</v>
      </c>
      <c r="B2193" s="26" t="s">
        <v>7292</v>
      </c>
      <c r="C2193" s="66" t="s">
        <v>7293</v>
      </c>
      <c r="D2193" s="66"/>
      <c r="E2193" s="66"/>
      <c r="F2193" s="66"/>
      <c r="G2193" s="27" t="s">
        <v>7294</v>
      </c>
      <c r="H2193" s="33">
        <v>3</v>
      </c>
      <c r="I2193" s="29"/>
      <c r="J2193" s="25">
        <v>1</v>
      </c>
      <c r="K2193" s="37">
        <v>1672.36</v>
      </c>
      <c r="L2193" s="17"/>
      <c r="M2193" s="29">
        <f>K2193*L2193</f>
        <v>0</v>
      </c>
      <c r="N2193" s="31">
        <f>0.412*L2193</f>
        <v>0</v>
      </c>
      <c r="O2193" s="32">
        <f>0.02069*L2193</f>
        <v>0</v>
      </c>
      <c r="P2193" s="36"/>
      <c r="Q2193" s="29" t="s">
        <v>7295</v>
      </c>
      <c r="R2193" s="29" t="s">
        <v>611</v>
      </c>
      <c r="S2193" s="26" t="str">
        <f>HYPERLINK("https://miland.ru/api/getInfo/image/05674fbe-96f8-11ed-a22d-00155d82e902")</f>
        <v>https://miland.ru/api/getInfo/image/05674fbe-96f8-11ed-a22d-00155d82e902</v>
      </c>
    </row>
    <row r="2194" spans="1:19" s="2" customFormat="1" ht="96.2" customHeight="1" outlineLevel="6">
      <c r="A2194" s="52">
        <v>1730</v>
      </c>
      <c r="B2194" s="26" t="s">
        <v>7296</v>
      </c>
      <c r="C2194" s="66" t="s">
        <v>7297</v>
      </c>
      <c r="D2194" s="66"/>
      <c r="E2194" s="66"/>
      <c r="F2194" s="66"/>
      <c r="G2194" s="27" t="s">
        <v>7298</v>
      </c>
      <c r="H2194" s="33">
        <v>101</v>
      </c>
      <c r="I2194" s="29"/>
      <c r="J2194" s="25">
        <v>1</v>
      </c>
      <c r="K2194" s="30">
        <v>652.74</v>
      </c>
      <c r="L2194" s="17"/>
      <c r="M2194" s="29">
        <f>K2194*L2194</f>
        <v>0</v>
      </c>
      <c r="N2194" s="31">
        <f>0.199*L2194</f>
        <v>0</v>
      </c>
      <c r="O2194" s="32">
        <f>0.00684*L2194</f>
        <v>0</v>
      </c>
      <c r="P2194" s="36"/>
      <c r="Q2194" s="29" t="s">
        <v>7299</v>
      </c>
      <c r="R2194" s="29" t="s">
        <v>611</v>
      </c>
      <c r="S2194" s="26" t="str">
        <f>HYPERLINK("https://miland.ru/api/getInfo/image/4828307b-9721-11ed-a22d-00155d82e902")</f>
        <v>https://miland.ru/api/getInfo/image/4828307b-9721-11ed-a22d-00155d82e902</v>
      </c>
    </row>
    <row r="2195" spans="1:19" s="1" customFormat="1" ht="12" customHeight="1" outlineLevel="5">
      <c r="A2195" s="64" t="s">
        <v>7300</v>
      </c>
      <c r="B2195" s="64"/>
      <c r="C2195" s="64"/>
      <c r="D2195" s="64"/>
      <c r="E2195" s="64"/>
      <c r="F2195" s="64"/>
      <c r="G2195" s="8"/>
      <c r="H2195" s="12"/>
      <c r="I2195" s="2"/>
      <c r="J2195" s="2"/>
      <c r="K2195" s="13"/>
      <c r="L2195" s="2"/>
      <c r="M2195" s="2"/>
      <c r="N2195" s="2"/>
      <c r="O2195" s="2"/>
      <c r="P2195" s="2"/>
      <c r="Q2195" s="2"/>
      <c r="R2195" s="2"/>
      <c r="S2195" s="2"/>
    </row>
    <row r="2196" spans="1:19" s="2" customFormat="1" ht="96.2" customHeight="1" outlineLevel="6">
      <c r="A2196" s="52">
        <v>1731</v>
      </c>
      <c r="B2196" s="26" t="s">
        <v>7301</v>
      </c>
      <c r="C2196" s="66" t="s">
        <v>7302</v>
      </c>
      <c r="D2196" s="66"/>
      <c r="E2196" s="66"/>
      <c r="F2196" s="66"/>
      <c r="G2196" s="27" t="s">
        <v>7303</v>
      </c>
      <c r="H2196" s="33">
        <v>15</v>
      </c>
      <c r="I2196" s="29"/>
      <c r="J2196" s="25">
        <v>1</v>
      </c>
      <c r="K2196" s="37">
        <v>1888.31</v>
      </c>
      <c r="L2196" s="17"/>
      <c r="M2196" s="29">
        <f t="shared" ref="M2196:M2205" si="104">K2196*L2196</f>
        <v>0</v>
      </c>
      <c r="N2196" s="31">
        <f>0.576*L2196</f>
        <v>0</v>
      </c>
      <c r="O2196" s="32">
        <f>0.00365*L2196</f>
        <v>0</v>
      </c>
      <c r="P2196" s="36"/>
      <c r="Q2196" s="29" t="s">
        <v>7304</v>
      </c>
      <c r="R2196" s="29" t="s">
        <v>611</v>
      </c>
      <c r="S2196" s="26" t="str">
        <f>HYPERLINK("https://miland.ru/api/getInfo/image/b6e91c27-9644-11ed-a22d-00155d82e902")</f>
        <v>https://miland.ru/api/getInfo/image/b6e91c27-9644-11ed-a22d-00155d82e902</v>
      </c>
    </row>
    <row r="2197" spans="1:19" s="2" customFormat="1" ht="96.2" customHeight="1" outlineLevel="6">
      <c r="A2197" s="52">
        <v>1732</v>
      </c>
      <c r="B2197" s="26" t="s">
        <v>7305</v>
      </c>
      <c r="C2197" s="66" t="s">
        <v>7306</v>
      </c>
      <c r="D2197" s="66"/>
      <c r="E2197" s="66"/>
      <c r="F2197" s="66"/>
      <c r="G2197" s="27" t="s">
        <v>7307</v>
      </c>
      <c r="H2197" s="33">
        <v>312</v>
      </c>
      <c r="I2197" s="29"/>
      <c r="J2197" s="25">
        <v>1</v>
      </c>
      <c r="K2197" s="37">
        <v>1240.8900000000001</v>
      </c>
      <c r="L2197" s="17"/>
      <c r="M2197" s="29">
        <f t="shared" si="104"/>
        <v>0</v>
      </c>
      <c r="N2197" s="31">
        <f>0.401*L2197</f>
        <v>0</v>
      </c>
      <c r="O2197" s="35">
        <f>0.0113*L2197</f>
        <v>0</v>
      </c>
      <c r="P2197" s="36"/>
      <c r="Q2197" s="29" t="s">
        <v>7308</v>
      </c>
      <c r="R2197" s="29"/>
      <c r="S2197" s="26" t="str">
        <f>HYPERLINK("https://miland.ru/api/getInfo/image/0e2c274c-9644-11ed-a22d-00155d82e902")</f>
        <v>https://miland.ru/api/getInfo/image/0e2c274c-9644-11ed-a22d-00155d82e902</v>
      </c>
    </row>
    <row r="2198" spans="1:19" s="2" customFormat="1" ht="96.2" customHeight="1" outlineLevel="6">
      <c r="A2198" s="53">
        <v>1733</v>
      </c>
      <c r="B2198" s="10" t="s">
        <v>7309</v>
      </c>
      <c r="C2198" s="65" t="s">
        <v>7310</v>
      </c>
      <c r="D2198" s="65"/>
      <c r="E2198" s="65"/>
      <c r="F2198" s="65"/>
      <c r="G2198" s="11" t="s">
        <v>7311</v>
      </c>
      <c r="H2198" s="14">
        <v>430</v>
      </c>
      <c r="I2198" s="15"/>
      <c r="J2198" s="9">
        <v>1</v>
      </c>
      <c r="K2198" s="22">
        <v>1762.52</v>
      </c>
      <c r="L2198" s="17"/>
      <c r="M2198" s="15">
        <f t="shared" si="104"/>
        <v>0</v>
      </c>
      <c r="N2198" s="23">
        <f>0.42*L2198</f>
        <v>0</v>
      </c>
      <c r="O2198" s="19">
        <f>0.01318*L2198</f>
        <v>0</v>
      </c>
      <c r="P2198" s="24" t="s">
        <v>26</v>
      </c>
      <c r="Q2198" s="15" t="s">
        <v>7312</v>
      </c>
      <c r="R2198" s="15"/>
      <c r="S2198" s="10" t="str">
        <f>HYPERLINK("https://miland.ru/api/getInfo/image/0f0894ac-37d9-11f1-a293-00155d82e908")</f>
        <v>https://miland.ru/api/getInfo/image/0f0894ac-37d9-11f1-a293-00155d82e908</v>
      </c>
    </row>
    <row r="2199" spans="1:19" s="2" customFormat="1" ht="96.2" customHeight="1" outlineLevel="6">
      <c r="A2199" s="53">
        <v>1734</v>
      </c>
      <c r="B2199" s="10" t="s">
        <v>7313</v>
      </c>
      <c r="C2199" s="65" t="s">
        <v>7314</v>
      </c>
      <c r="D2199" s="65"/>
      <c r="E2199" s="65"/>
      <c r="F2199" s="65"/>
      <c r="G2199" s="11" t="s">
        <v>7315</v>
      </c>
      <c r="H2199" s="14">
        <v>288</v>
      </c>
      <c r="I2199" s="15"/>
      <c r="J2199" s="9">
        <v>1</v>
      </c>
      <c r="K2199" s="16">
        <v>880.73</v>
      </c>
      <c r="L2199" s="17"/>
      <c r="M2199" s="15">
        <f t="shared" si="104"/>
        <v>0</v>
      </c>
      <c r="N2199" s="18">
        <f>0.214*L2199</f>
        <v>0</v>
      </c>
      <c r="O2199" s="19">
        <f>0.00594*L2199</f>
        <v>0</v>
      </c>
      <c r="P2199" s="24" t="s">
        <v>26</v>
      </c>
      <c r="Q2199" s="15" t="s">
        <v>7316</v>
      </c>
      <c r="R2199" s="15"/>
      <c r="S2199" s="10" t="str">
        <f>HYPERLINK("https://miland.ru/api/getInfo/image/9bd2209f-37d8-11f1-a293-00155d82e908")</f>
        <v>https://miland.ru/api/getInfo/image/9bd2209f-37d8-11f1-a293-00155d82e908</v>
      </c>
    </row>
    <row r="2200" spans="1:19" s="2" customFormat="1" ht="96.2" customHeight="1" outlineLevel="6">
      <c r="A2200" s="53">
        <v>1735</v>
      </c>
      <c r="B2200" s="10" t="s">
        <v>7317</v>
      </c>
      <c r="C2200" s="65" t="s">
        <v>7318</v>
      </c>
      <c r="D2200" s="65"/>
      <c r="E2200" s="65"/>
      <c r="F2200" s="65"/>
      <c r="G2200" s="11" t="s">
        <v>7319</v>
      </c>
      <c r="H2200" s="14">
        <v>447</v>
      </c>
      <c r="I2200" s="15"/>
      <c r="J2200" s="9">
        <v>1</v>
      </c>
      <c r="K2200" s="22">
        <v>1819.36</v>
      </c>
      <c r="L2200" s="17"/>
      <c r="M2200" s="15">
        <f t="shared" si="104"/>
        <v>0</v>
      </c>
      <c r="N2200" s="18">
        <f>0.277*L2200</f>
        <v>0</v>
      </c>
      <c r="O2200" s="19">
        <f>0.01283*L2200</f>
        <v>0</v>
      </c>
      <c r="P2200" s="24" t="s">
        <v>26</v>
      </c>
      <c r="Q2200" s="15" t="s">
        <v>7320</v>
      </c>
      <c r="R2200" s="15"/>
      <c r="S2200" s="10" t="str">
        <f>HYPERLINK("https://miland.ru/api/getInfo/image/f058ffc3-37d8-11f1-a293-00155d82e908")</f>
        <v>https://miland.ru/api/getInfo/image/f058ffc3-37d8-11f1-a293-00155d82e908</v>
      </c>
    </row>
    <row r="2201" spans="1:19" s="2" customFormat="1" ht="96.2" customHeight="1" outlineLevel="6">
      <c r="A2201" s="53">
        <v>1736</v>
      </c>
      <c r="B2201" s="10" t="s">
        <v>7321</v>
      </c>
      <c r="C2201" s="65" t="s">
        <v>7322</v>
      </c>
      <c r="D2201" s="65"/>
      <c r="E2201" s="65"/>
      <c r="F2201" s="65"/>
      <c r="G2201" s="11" t="s">
        <v>7323</v>
      </c>
      <c r="H2201" s="14">
        <v>440</v>
      </c>
      <c r="I2201" s="15"/>
      <c r="J2201" s="9">
        <v>1</v>
      </c>
      <c r="K2201" s="22">
        <v>1511.31</v>
      </c>
      <c r="L2201" s="17"/>
      <c r="M2201" s="15">
        <f t="shared" si="104"/>
        <v>0</v>
      </c>
      <c r="N2201" s="18">
        <f>0.307*L2201</f>
        <v>0</v>
      </c>
      <c r="O2201" s="19">
        <f>0.00795*L2201</f>
        <v>0</v>
      </c>
      <c r="P2201" s="24" t="s">
        <v>26</v>
      </c>
      <c r="Q2201" s="15" t="s">
        <v>7324</v>
      </c>
      <c r="R2201" s="15"/>
      <c r="S2201" s="10" t="str">
        <f>HYPERLINK("https://miland.ru/api/getInfo/image/2cea7928-37d9-11f1-a293-00155d82e908")</f>
        <v>https://miland.ru/api/getInfo/image/2cea7928-37d9-11f1-a293-00155d82e908</v>
      </c>
    </row>
    <row r="2202" spans="1:19" s="2" customFormat="1" ht="96.2" customHeight="1" outlineLevel="6">
      <c r="A2202" s="52">
        <v>1737</v>
      </c>
      <c r="B2202" s="26" t="s">
        <v>7325</v>
      </c>
      <c r="C2202" s="66" t="s">
        <v>7326</v>
      </c>
      <c r="D2202" s="66"/>
      <c r="E2202" s="66"/>
      <c r="F2202" s="66"/>
      <c r="G2202" s="27" t="s">
        <v>7327</v>
      </c>
      <c r="H2202" s="33">
        <v>97</v>
      </c>
      <c r="I2202" s="29"/>
      <c r="J2202" s="25">
        <v>1</v>
      </c>
      <c r="K2202" s="37">
        <v>1633.59</v>
      </c>
      <c r="L2202" s="17"/>
      <c r="M2202" s="29">
        <f t="shared" si="104"/>
        <v>0</v>
      </c>
      <c r="N2202" s="31">
        <f>0.569*L2202</f>
        <v>0</v>
      </c>
      <c r="O2202" s="32">
        <f>0.01127*L2202</f>
        <v>0</v>
      </c>
      <c r="P2202" s="36"/>
      <c r="Q2202" s="29" t="s">
        <v>7328</v>
      </c>
      <c r="R2202" s="29"/>
      <c r="S2202" s="26" t="str">
        <f>HYPERLINK("https://miland.ru/api/getInfo/image/329c395e-96f8-11ed-a22d-00155d82e902")</f>
        <v>https://miland.ru/api/getInfo/image/329c395e-96f8-11ed-a22d-00155d82e902</v>
      </c>
    </row>
    <row r="2203" spans="1:19" s="2" customFormat="1" ht="96.2" customHeight="1" outlineLevel="6">
      <c r="A2203" s="53">
        <v>1738</v>
      </c>
      <c r="B2203" s="10" t="s">
        <v>7329</v>
      </c>
      <c r="C2203" s="65" t="s">
        <v>7330</v>
      </c>
      <c r="D2203" s="65"/>
      <c r="E2203" s="65"/>
      <c r="F2203" s="65"/>
      <c r="G2203" s="11" t="s">
        <v>7331</v>
      </c>
      <c r="H2203" s="14">
        <v>259</v>
      </c>
      <c r="I2203" s="15"/>
      <c r="J2203" s="9">
        <v>1</v>
      </c>
      <c r="K2203" s="22">
        <v>1194.17</v>
      </c>
      <c r="L2203" s="17"/>
      <c r="M2203" s="15">
        <f t="shared" si="104"/>
        <v>0</v>
      </c>
      <c r="N2203" s="18">
        <f>0.219*L2203</f>
        <v>0</v>
      </c>
      <c r="O2203" s="19">
        <f>0.00634*L2203</f>
        <v>0</v>
      </c>
      <c r="P2203" s="24" t="s">
        <v>26</v>
      </c>
      <c r="Q2203" s="15" t="s">
        <v>7332</v>
      </c>
      <c r="R2203" s="15"/>
      <c r="S2203" s="10" t="str">
        <f>HYPERLINK("https://miland.ru/api/getInfo/image/5b1da3c0-37d9-11f1-a293-00155d82e908")</f>
        <v>https://miland.ru/api/getInfo/image/5b1da3c0-37d9-11f1-a293-00155d82e908</v>
      </c>
    </row>
    <row r="2204" spans="1:19" s="2" customFormat="1" ht="96.2" customHeight="1" outlineLevel="6">
      <c r="A2204" s="53">
        <v>1739</v>
      </c>
      <c r="B2204" s="10" t="s">
        <v>7333</v>
      </c>
      <c r="C2204" s="65" t="s">
        <v>7334</v>
      </c>
      <c r="D2204" s="65"/>
      <c r="E2204" s="65"/>
      <c r="F2204" s="65"/>
      <c r="G2204" s="11" t="s">
        <v>7335</v>
      </c>
      <c r="H2204" s="14">
        <v>443</v>
      </c>
      <c r="I2204" s="15"/>
      <c r="J2204" s="9">
        <v>1</v>
      </c>
      <c r="K2204" s="22">
        <v>1694.32</v>
      </c>
      <c r="L2204" s="17"/>
      <c r="M2204" s="15">
        <f t="shared" si="104"/>
        <v>0</v>
      </c>
      <c r="N2204" s="18">
        <f>0.298*L2204</f>
        <v>0</v>
      </c>
      <c r="O2204" s="19">
        <f>0.01011*L2204</f>
        <v>0</v>
      </c>
      <c r="P2204" s="24" t="s">
        <v>26</v>
      </c>
      <c r="Q2204" s="15" t="s">
        <v>7336</v>
      </c>
      <c r="R2204" s="15"/>
      <c r="S2204" s="10" t="str">
        <f>HYPERLINK("https://miland.ru/api/getInfo/image/d0517b63-37d8-11f1-a293-00155d82e908")</f>
        <v>https://miland.ru/api/getInfo/image/d0517b63-37d8-11f1-a293-00155d82e908</v>
      </c>
    </row>
    <row r="2205" spans="1:19" s="2" customFormat="1" ht="96.2" customHeight="1" outlineLevel="6">
      <c r="A2205" s="52">
        <v>1740</v>
      </c>
      <c r="B2205" s="26" t="s">
        <v>7337</v>
      </c>
      <c r="C2205" s="66" t="s">
        <v>7338</v>
      </c>
      <c r="D2205" s="66"/>
      <c r="E2205" s="66"/>
      <c r="F2205" s="66"/>
      <c r="G2205" s="27" t="s">
        <v>7339</v>
      </c>
      <c r="H2205" s="28" t="s">
        <v>44</v>
      </c>
      <c r="I2205" s="29"/>
      <c r="J2205" s="25">
        <v>1</v>
      </c>
      <c r="K2205" s="37">
        <v>1900.87</v>
      </c>
      <c r="L2205" s="17"/>
      <c r="M2205" s="29">
        <f t="shared" si="104"/>
        <v>0</v>
      </c>
      <c r="N2205" s="31">
        <f>0.605*L2205</f>
        <v>0</v>
      </c>
      <c r="O2205" s="32">
        <f>0.01852*L2205</f>
        <v>0</v>
      </c>
      <c r="P2205" s="36"/>
      <c r="Q2205" s="29" t="s">
        <v>7340</v>
      </c>
      <c r="R2205" s="29"/>
      <c r="S2205" s="26" t="str">
        <f>HYPERLINK("https://miland.ru/api/getInfo/image/5474e04c-77c4-11ed-a22a-00155d82e902")</f>
        <v>https://miland.ru/api/getInfo/image/5474e04c-77c4-11ed-a22a-00155d82e902</v>
      </c>
    </row>
    <row r="2206" spans="1:19" s="1" customFormat="1" ht="12" customHeight="1" outlineLevel="5">
      <c r="A2206" s="64" t="s">
        <v>618</v>
      </c>
      <c r="B2206" s="64"/>
      <c r="C2206" s="64"/>
      <c r="D2206" s="64"/>
      <c r="E2206" s="64"/>
      <c r="F2206" s="64"/>
      <c r="G2206" s="8"/>
      <c r="H2206" s="12"/>
      <c r="I2206" s="2"/>
      <c r="J2206" s="2"/>
      <c r="K2206" s="13"/>
      <c r="L2206" s="2"/>
      <c r="M2206" s="2"/>
      <c r="N2206" s="2"/>
      <c r="O2206" s="2"/>
      <c r="P2206" s="2"/>
      <c r="Q2206" s="2"/>
      <c r="R2206" s="2"/>
      <c r="S2206" s="2"/>
    </row>
    <row r="2207" spans="1:19" s="2" customFormat="1" ht="96.2" customHeight="1" outlineLevel="6">
      <c r="A2207" s="52">
        <v>1741</v>
      </c>
      <c r="B2207" s="26" t="s">
        <v>7341</v>
      </c>
      <c r="C2207" s="66" t="s">
        <v>7342</v>
      </c>
      <c r="D2207" s="66"/>
      <c r="E2207" s="66"/>
      <c r="F2207" s="66"/>
      <c r="G2207" s="27" t="s">
        <v>7343</v>
      </c>
      <c r="H2207" s="33">
        <v>3</v>
      </c>
      <c r="I2207" s="29"/>
      <c r="J2207" s="25">
        <v>1</v>
      </c>
      <c r="K2207" s="37">
        <v>1002.31</v>
      </c>
      <c r="L2207" s="17"/>
      <c r="M2207" s="29">
        <f>K2207*L2207</f>
        <v>0</v>
      </c>
      <c r="N2207" s="34">
        <f>0.51*L2207</f>
        <v>0</v>
      </c>
      <c r="O2207" s="32">
        <f>0.00945*L2207</f>
        <v>0</v>
      </c>
      <c r="P2207" s="36"/>
      <c r="Q2207" s="29" t="s">
        <v>7344</v>
      </c>
      <c r="R2207" s="29" t="s">
        <v>611</v>
      </c>
      <c r="S2207" s="26" t="str">
        <f>HYPERLINK("https://miland.ru/api/getInfo/image/16bf9afe-8e56-11ec-a211-ac1f6b442185")</f>
        <v>https://miland.ru/api/getInfo/image/16bf9afe-8e56-11ec-a211-ac1f6b442185</v>
      </c>
    </row>
    <row r="2208" spans="1:19" s="1" customFormat="1" ht="12" customHeight="1" outlineLevel="4">
      <c r="A2208" s="64" t="s">
        <v>7345</v>
      </c>
      <c r="B2208" s="64"/>
      <c r="C2208" s="64"/>
      <c r="D2208" s="64"/>
      <c r="E2208" s="64"/>
      <c r="F2208" s="64"/>
      <c r="G2208" s="8"/>
      <c r="H2208" s="12"/>
      <c r="I2208" s="2"/>
      <c r="J2208" s="2"/>
      <c r="K2208" s="13"/>
      <c r="L2208" s="2"/>
      <c r="M2208" s="2"/>
      <c r="N2208" s="2"/>
      <c r="O2208" s="2"/>
      <c r="P2208" s="2"/>
      <c r="Q2208" s="2"/>
      <c r="R2208" s="2"/>
      <c r="S2208" s="2"/>
    </row>
    <row r="2209" spans="1:19" s="1" customFormat="1" ht="12" customHeight="1" outlineLevel="5">
      <c r="A2209" s="64" t="s">
        <v>1273</v>
      </c>
      <c r="B2209" s="64"/>
      <c r="C2209" s="64"/>
      <c r="D2209" s="64"/>
      <c r="E2209" s="64"/>
      <c r="F2209" s="64"/>
      <c r="G2209" s="8"/>
      <c r="H2209" s="12"/>
      <c r="I2209" s="2"/>
      <c r="J2209" s="2"/>
      <c r="K2209" s="13"/>
      <c r="L2209" s="2"/>
      <c r="M2209" s="2"/>
      <c r="N2209" s="2"/>
      <c r="O2209" s="2"/>
      <c r="P2209" s="2"/>
      <c r="Q2209" s="2"/>
      <c r="R2209" s="2"/>
      <c r="S2209" s="2"/>
    </row>
    <row r="2210" spans="1:19" s="2" customFormat="1" ht="96.2" customHeight="1" outlineLevel="6">
      <c r="A2210" s="52">
        <v>1742</v>
      </c>
      <c r="B2210" s="26" t="s">
        <v>7346</v>
      </c>
      <c r="C2210" s="66" t="s">
        <v>7347</v>
      </c>
      <c r="D2210" s="66"/>
      <c r="E2210" s="66"/>
      <c r="F2210" s="66"/>
      <c r="G2210" s="27" t="s">
        <v>7348</v>
      </c>
      <c r="H2210" s="33">
        <v>1</v>
      </c>
      <c r="I2210" s="29"/>
      <c r="J2210" s="25">
        <v>1</v>
      </c>
      <c r="K2210" s="30">
        <v>305.82</v>
      </c>
      <c r="L2210" s="17"/>
      <c r="M2210" s="29">
        <f>K2210*L2210</f>
        <v>0</v>
      </c>
      <c r="N2210" s="31">
        <f>0.053*L2210</f>
        <v>0</v>
      </c>
      <c r="O2210" s="32">
        <f>0.00321*L2210</f>
        <v>0</v>
      </c>
      <c r="P2210" s="36"/>
      <c r="Q2210" s="29" t="s">
        <v>7349</v>
      </c>
      <c r="R2210" s="29"/>
      <c r="S2210" s="26" t="str">
        <f>HYPERLINK("https://miland.ru/api/getInfo/image/e20b8d2a-88d1-11ec-a211-ac1f6b442185")</f>
        <v>https://miland.ru/api/getInfo/image/e20b8d2a-88d1-11ec-a211-ac1f6b442185</v>
      </c>
    </row>
    <row r="2211" spans="1:19" s="2" customFormat="1" ht="96.2" customHeight="1" outlineLevel="6">
      <c r="A2211" s="52">
        <v>1743</v>
      </c>
      <c r="B2211" s="26" t="s">
        <v>7350</v>
      </c>
      <c r="C2211" s="66" t="s">
        <v>7351</v>
      </c>
      <c r="D2211" s="66"/>
      <c r="E2211" s="66"/>
      <c r="F2211" s="66"/>
      <c r="G2211" s="27" t="s">
        <v>7352</v>
      </c>
      <c r="H2211" s="33">
        <v>425</v>
      </c>
      <c r="I2211" s="29"/>
      <c r="J2211" s="25">
        <v>3</v>
      </c>
      <c r="K2211" s="30">
        <v>240.68</v>
      </c>
      <c r="L2211" s="17"/>
      <c r="M2211" s="29">
        <f>K2211*L2211</f>
        <v>0</v>
      </c>
      <c r="N2211" s="31">
        <f>0.055*L2211</f>
        <v>0</v>
      </c>
      <c r="O2211" s="35">
        <f>0.0017*L2211</f>
        <v>0</v>
      </c>
      <c r="P2211" s="36"/>
      <c r="Q2211" s="29" t="s">
        <v>7353</v>
      </c>
      <c r="R2211" s="29"/>
      <c r="S2211" s="26" t="str">
        <f>HYPERLINK("https://miland.ru/api/getInfo/image/c3368582-88cf-11ec-a211-ac1f6b442185")</f>
        <v>https://miland.ru/api/getInfo/image/c3368582-88cf-11ec-a211-ac1f6b442185</v>
      </c>
    </row>
    <row r="2212" spans="1:19" s="1" customFormat="1" ht="12" customHeight="1" outlineLevel="5">
      <c r="A2212" s="64" t="s">
        <v>1294</v>
      </c>
      <c r="B2212" s="64"/>
      <c r="C2212" s="64"/>
      <c r="D2212" s="64"/>
      <c r="E2212" s="64"/>
      <c r="F2212" s="64"/>
      <c r="G2212" s="8"/>
      <c r="H2212" s="12"/>
      <c r="I2212" s="2"/>
      <c r="J2212" s="2"/>
      <c r="K2212" s="13"/>
      <c r="L2212" s="2"/>
      <c r="M2212" s="2"/>
      <c r="N2212" s="2"/>
      <c r="O2212" s="2"/>
      <c r="P2212" s="2"/>
      <c r="Q2212" s="2"/>
      <c r="R2212" s="2"/>
      <c r="S2212" s="2"/>
    </row>
    <row r="2213" spans="1:19" s="2" customFormat="1" ht="96.2" customHeight="1" outlineLevel="6">
      <c r="A2213" s="53">
        <v>1744</v>
      </c>
      <c r="B2213" s="10" t="s">
        <v>7354</v>
      </c>
      <c r="C2213" s="65" t="s">
        <v>7355</v>
      </c>
      <c r="D2213" s="65"/>
      <c r="E2213" s="65"/>
      <c r="F2213" s="65"/>
      <c r="G2213" s="11" t="s">
        <v>7356</v>
      </c>
      <c r="H2213" s="21" t="s">
        <v>44</v>
      </c>
      <c r="I2213" s="15"/>
      <c r="J2213" s="9">
        <v>10</v>
      </c>
      <c r="K2213" s="16">
        <v>108.29</v>
      </c>
      <c r="L2213" s="17"/>
      <c r="M2213" s="15">
        <f t="shared" ref="M2213:M2218" si="105">K2213*L2213</f>
        <v>0</v>
      </c>
      <c r="N2213" s="18">
        <f>0.027*L2213</f>
        <v>0</v>
      </c>
      <c r="O2213" s="19">
        <f>0.00045*L2213</f>
        <v>0</v>
      </c>
      <c r="P2213" s="24" t="s">
        <v>26</v>
      </c>
      <c r="Q2213" s="15" t="s">
        <v>7357</v>
      </c>
      <c r="R2213" s="15"/>
      <c r="S2213" s="10" t="str">
        <f>HYPERLINK("https://miland.ru/api/getInfo/image/a489b042-37da-11f1-a293-00155d82e908")</f>
        <v>https://miland.ru/api/getInfo/image/a489b042-37da-11f1-a293-00155d82e908</v>
      </c>
    </row>
    <row r="2214" spans="1:19" s="2" customFormat="1" ht="96.2" customHeight="1" outlineLevel="6">
      <c r="A2214" s="52">
        <v>1745</v>
      </c>
      <c r="B2214" s="26" t="s">
        <v>7358</v>
      </c>
      <c r="C2214" s="66" t="s">
        <v>7359</v>
      </c>
      <c r="D2214" s="66"/>
      <c r="E2214" s="66"/>
      <c r="F2214" s="66"/>
      <c r="G2214" s="27" t="s">
        <v>7360</v>
      </c>
      <c r="H2214" s="28" t="s">
        <v>44</v>
      </c>
      <c r="I2214" s="29"/>
      <c r="J2214" s="25">
        <v>4</v>
      </c>
      <c r="K2214" s="30">
        <v>166.67</v>
      </c>
      <c r="L2214" s="17"/>
      <c r="M2214" s="29">
        <f t="shared" si="105"/>
        <v>0</v>
      </c>
      <c r="N2214" s="34">
        <f>0.04*L2214</f>
        <v>0</v>
      </c>
      <c r="O2214" s="32">
        <f>0.00432*L2214</f>
        <v>0</v>
      </c>
      <c r="P2214" s="36"/>
      <c r="Q2214" s="29" t="s">
        <v>7361</v>
      </c>
      <c r="R2214" s="29"/>
      <c r="S2214" s="26" t="str">
        <f>HYPERLINK("https://miland.ru/api/getInfo/image/67f7b2d7-88cf-11ec-a211-ac1f6b442185")</f>
        <v>https://miland.ru/api/getInfo/image/67f7b2d7-88cf-11ec-a211-ac1f6b442185</v>
      </c>
    </row>
    <row r="2215" spans="1:19" s="2" customFormat="1" ht="96.2" customHeight="1" outlineLevel="6">
      <c r="A2215" s="52">
        <v>1746</v>
      </c>
      <c r="B2215" s="26" t="s">
        <v>7362</v>
      </c>
      <c r="C2215" s="66" t="s">
        <v>7363</v>
      </c>
      <c r="D2215" s="66"/>
      <c r="E2215" s="66"/>
      <c r="F2215" s="66"/>
      <c r="G2215" s="27" t="s">
        <v>7364</v>
      </c>
      <c r="H2215" s="28" t="s">
        <v>44</v>
      </c>
      <c r="I2215" s="29"/>
      <c r="J2215" s="25">
        <v>5</v>
      </c>
      <c r="K2215" s="30">
        <v>115.71</v>
      </c>
      <c r="L2215" s="17"/>
      <c r="M2215" s="29">
        <f t="shared" si="105"/>
        <v>0</v>
      </c>
      <c r="N2215" s="31">
        <f>0.014*L2215</f>
        <v>0</v>
      </c>
      <c r="O2215" s="32">
        <f>0.00088*L2215</f>
        <v>0</v>
      </c>
      <c r="P2215" s="36"/>
      <c r="Q2215" s="29" t="s">
        <v>7365</v>
      </c>
      <c r="R2215" s="29"/>
      <c r="S2215" s="26" t="str">
        <f>HYPERLINK("https://miland.ru/api/getInfo/image/5ae6753e-88ce-11ec-a211-ac1f6b442185")</f>
        <v>https://miland.ru/api/getInfo/image/5ae6753e-88ce-11ec-a211-ac1f6b442185</v>
      </c>
    </row>
    <row r="2216" spans="1:19" s="2" customFormat="1" ht="96.2" customHeight="1" outlineLevel="6">
      <c r="A2216" s="52">
        <v>1747</v>
      </c>
      <c r="B2216" s="26" t="s">
        <v>7366</v>
      </c>
      <c r="C2216" s="66" t="s">
        <v>7367</v>
      </c>
      <c r="D2216" s="66"/>
      <c r="E2216" s="66"/>
      <c r="F2216" s="66"/>
      <c r="G2216" s="27" t="s">
        <v>7368</v>
      </c>
      <c r="H2216" s="33">
        <v>18</v>
      </c>
      <c r="I2216" s="29"/>
      <c r="J2216" s="25">
        <v>2</v>
      </c>
      <c r="K2216" s="30">
        <v>130.13</v>
      </c>
      <c r="L2216" s="17"/>
      <c r="M2216" s="29">
        <f t="shared" si="105"/>
        <v>0</v>
      </c>
      <c r="N2216" s="34">
        <f>0.03*L2216</f>
        <v>0</v>
      </c>
      <c r="O2216" s="32">
        <f>0.00493*L2216</f>
        <v>0</v>
      </c>
      <c r="P2216" s="36"/>
      <c r="Q2216" s="29" t="s">
        <v>7369</v>
      </c>
      <c r="R2216" s="29" t="s">
        <v>611</v>
      </c>
      <c r="S2216" s="26" t="str">
        <f>HYPERLINK("https://miland.ru/api/getInfo/image/c3a5da05-1fc7-11e9-a21c-ac1f6b442184")</f>
        <v>https://miland.ru/api/getInfo/image/c3a5da05-1fc7-11e9-a21c-ac1f6b442184</v>
      </c>
    </row>
    <row r="2217" spans="1:19" s="2" customFormat="1" ht="96.2" customHeight="1" outlineLevel="6">
      <c r="A2217" s="53">
        <v>1748</v>
      </c>
      <c r="B2217" s="10" t="s">
        <v>7370</v>
      </c>
      <c r="C2217" s="65" t="s">
        <v>7371</v>
      </c>
      <c r="D2217" s="65"/>
      <c r="E2217" s="65"/>
      <c r="F2217" s="65"/>
      <c r="G2217" s="11" t="s">
        <v>7372</v>
      </c>
      <c r="H2217" s="21" t="s">
        <v>44</v>
      </c>
      <c r="I2217" s="15"/>
      <c r="J2217" s="9">
        <v>4</v>
      </c>
      <c r="K2217" s="16">
        <v>165.12</v>
      </c>
      <c r="L2217" s="17"/>
      <c r="M2217" s="15">
        <f t="shared" si="105"/>
        <v>0</v>
      </c>
      <c r="N2217" s="18">
        <f>0.022*L2217</f>
        <v>0</v>
      </c>
      <c r="O2217" s="19">
        <f>0.00141*L2217</f>
        <v>0</v>
      </c>
      <c r="P2217" s="24" t="s">
        <v>26</v>
      </c>
      <c r="Q2217" s="15" t="s">
        <v>7373</v>
      </c>
      <c r="R2217" s="15"/>
      <c r="S2217" s="10" t="str">
        <f>HYPERLINK("https://miland.ru/api/getInfo/image/2618b586-37da-11f1-a293-00155d82e908")</f>
        <v>https://miland.ru/api/getInfo/image/2618b586-37da-11f1-a293-00155d82e908</v>
      </c>
    </row>
    <row r="2218" spans="1:19" s="2" customFormat="1" ht="96.2" customHeight="1" outlineLevel="6">
      <c r="A2218" s="53">
        <v>1749</v>
      </c>
      <c r="B2218" s="10" t="s">
        <v>7374</v>
      </c>
      <c r="C2218" s="65" t="s">
        <v>7375</v>
      </c>
      <c r="D2218" s="65"/>
      <c r="E2218" s="65"/>
      <c r="F2218" s="65"/>
      <c r="G2218" s="11" t="s">
        <v>7376</v>
      </c>
      <c r="H2218" s="14">
        <v>125</v>
      </c>
      <c r="I2218" s="15"/>
      <c r="J2218" s="9">
        <v>1</v>
      </c>
      <c r="K2218" s="16">
        <v>770.2</v>
      </c>
      <c r="L2218" s="17"/>
      <c r="M2218" s="15">
        <f t="shared" si="105"/>
        <v>0</v>
      </c>
      <c r="N2218" s="18">
        <f>0.024*L2218</f>
        <v>0</v>
      </c>
      <c r="O2218" s="19">
        <f>0.00121*L2218</f>
        <v>0</v>
      </c>
      <c r="P2218" s="24" t="s">
        <v>26</v>
      </c>
      <c r="Q2218" s="15" t="s">
        <v>7377</v>
      </c>
      <c r="R2218" s="15"/>
      <c r="S2218" s="10" t="str">
        <f>HYPERLINK("https://miland.ru/api/getInfo/image/59db10f1-37da-11f1-a293-00155d82e908")</f>
        <v>https://miland.ru/api/getInfo/image/59db10f1-37da-11f1-a293-00155d82e908</v>
      </c>
    </row>
    <row r="2219" spans="1:19" s="1" customFormat="1" ht="12" customHeight="1" outlineLevel="5">
      <c r="A2219" s="64" t="s">
        <v>7300</v>
      </c>
      <c r="B2219" s="64"/>
      <c r="C2219" s="64"/>
      <c r="D2219" s="64"/>
      <c r="E2219" s="64"/>
      <c r="F2219" s="64"/>
      <c r="G2219" s="8"/>
      <c r="H2219" s="12"/>
      <c r="I2219" s="2"/>
      <c r="J2219" s="2"/>
      <c r="K2219" s="13"/>
      <c r="L2219" s="2"/>
      <c r="M2219" s="2"/>
      <c r="N2219" s="2"/>
      <c r="O2219" s="2"/>
      <c r="P2219" s="2"/>
      <c r="Q2219" s="2"/>
      <c r="R2219" s="2"/>
      <c r="S2219" s="2"/>
    </row>
    <row r="2220" spans="1:19" s="2" customFormat="1" ht="96.2" customHeight="1" outlineLevel="6">
      <c r="A2220" s="53">
        <v>1750</v>
      </c>
      <c r="B2220" s="10" t="s">
        <v>7378</v>
      </c>
      <c r="C2220" s="65" t="s">
        <v>7379</v>
      </c>
      <c r="D2220" s="65"/>
      <c r="E2220" s="65"/>
      <c r="F2220" s="65"/>
      <c r="G2220" s="11" t="s">
        <v>7380</v>
      </c>
      <c r="H2220" s="21" t="s">
        <v>44</v>
      </c>
      <c r="I2220" s="15"/>
      <c r="J2220" s="9">
        <v>3</v>
      </c>
      <c r="K2220" s="16">
        <v>244.69</v>
      </c>
      <c r="L2220" s="17"/>
      <c r="M2220" s="15">
        <f>K2220*L2220</f>
        <v>0</v>
      </c>
      <c r="N2220" s="18">
        <f>0.092*L2220</f>
        <v>0</v>
      </c>
      <c r="O2220" s="19">
        <f>0.00384*L2220</f>
        <v>0</v>
      </c>
      <c r="P2220" s="24" t="s">
        <v>26</v>
      </c>
      <c r="Q2220" s="15" t="s">
        <v>7381</v>
      </c>
      <c r="R2220" s="15"/>
      <c r="S2220" s="10" t="str">
        <f>HYPERLINK("https://miland.ru/api/getInfo/image/44ab99be-37da-11f1-a293-00155d82e908")</f>
        <v>https://miland.ru/api/getInfo/image/44ab99be-37da-11f1-a293-00155d82e908</v>
      </c>
    </row>
    <row r="2221" spans="1:19" s="1" customFormat="1" ht="12" customHeight="1" outlineLevel="4">
      <c r="A2221" s="64" t="s">
        <v>7382</v>
      </c>
      <c r="B2221" s="64"/>
      <c r="C2221" s="64"/>
      <c r="D2221" s="64"/>
      <c r="E2221" s="64"/>
      <c r="F2221" s="64"/>
      <c r="G2221" s="8"/>
      <c r="H2221" s="12"/>
      <c r="I2221" s="2"/>
      <c r="J2221" s="2"/>
      <c r="K2221" s="13"/>
      <c r="L2221" s="2"/>
      <c r="M2221" s="2"/>
      <c r="N2221" s="2"/>
      <c r="O2221" s="2"/>
      <c r="P2221" s="2"/>
      <c r="Q2221" s="2"/>
      <c r="R2221" s="2"/>
      <c r="S2221" s="2"/>
    </row>
    <row r="2222" spans="1:19" s="2" customFormat="1" ht="96.2" customHeight="1" outlineLevel="5">
      <c r="A2222" s="52">
        <v>1751</v>
      </c>
      <c r="B2222" s="26" t="s">
        <v>7383</v>
      </c>
      <c r="C2222" s="66" t="s">
        <v>7384</v>
      </c>
      <c r="D2222" s="66"/>
      <c r="E2222" s="66"/>
      <c r="F2222" s="66"/>
      <c r="G2222" s="27" t="s">
        <v>7385</v>
      </c>
      <c r="H2222" s="33">
        <v>2</v>
      </c>
      <c r="I2222" s="29"/>
      <c r="J2222" s="25">
        <v>1</v>
      </c>
      <c r="K2222" s="30">
        <v>789.49</v>
      </c>
      <c r="L2222" s="17"/>
      <c r="M2222" s="29">
        <f>K2222*L2222</f>
        <v>0</v>
      </c>
      <c r="N2222" s="31">
        <f>0.278*L2222</f>
        <v>0</v>
      </c>
      <c r="O2222" s="32">
        <f>0.00743*L2222</f>
        <v>0</v>
      </c>
      <c r="P2222" s="36"/>
      <c r="Q2222" s="29" t="s">
        <v>7386</v>
      </c>
      <c r="R2222" s="29" t="s">
        <v>611</v>
      </c>
      <c r="S2222" s="26" t="str">
        <f>HYPERLINK("https://miland.ru/api/getInfo/image/cbe40a7c-9aea-11ed-a22e-00155d82e902")</f>
        <v>https://miland.ru/api/getInfo/image/cbe40a7c-9aea-11ed-a22e-00155d82e902</v>
      </c>
    </row>
    <row r="2223" spans="1:19" s="1" customFormat="1" ht="12" customHeight="1" outlineLevel="4">
      <c r="A2223" s="64" t="s">
        <v>7387</v>
      </c>
      <c r="B2223" s="64"/>
      <c r="C2223" s="64"/>
      <c r="D2223" s="64"/>
      <c r="E2223" s="64"/>
      <c r="F2223" s="64"/>
      <c r="G2223" s="8"/>
      <c r="H2223" s="12"/>
      <c r="I2223" s="2"/>
      <c r="J2223" s="2"/>
      <c r="K2223" s="13"/>
      <c r="L2223" s="2"/>
      <c r="M2223" s="2"/>
      <c r="N2223" s="2"/>
      <c r="O2223" s="2"/>
      <c r="P2223" s="2"/>
      <c r="Q2223" s="2"/>
      <c r="R2223" s="2"/>
      <c r="S2223" s="2"/>
    </row>
    <row r="2224" spans="1:19" s="1" customFormat="1" ht="12" customHeight="1" outlineLevel="5">
      <c r="A2224" s="64" t="s">
        <v>613</v>
      </c>
      <c r="B2224" s="64"/>
      <c r="C2224" s="64"/>
      <c r="D2224" s="64"/>
      <c r="E2224" s="64"/>
      <c r="F2224" s="64"/>
      <c r="G2224" s="8"/>
      <c r="H2224" s="12"/>
      <c r="I2224" s="2"/>
      <c r="J2224" s="2"/>
      <c r="K2224" s="13"/>
      <c r="L2224" s="2"/>
      <c r="M2224" s="2"/>
      <c r="N2224" s="2"/>
      <c r="O2224" s="2"/>
      <c r="P2224" s="2"/>
      <c r="Q2224" s="2"/>
      <c r="R2224" s="2"/>
      <c r="S2224" s="2"/>
    </row>
    <row r="2225" spans="1:19" s="2" customFormat="1" ht="96.2" customHeight="1" outlineLevel="6">
      <c r="A2225" s="52">
        <v>1752</v>
      </c>
      <c r="B2225" s="26" t="s">
        <v>7388</v>
      </c>
      <c r="C2225" s="66" t="s">
        <v>7389</v>
      </c>
      <c r="D2225" s="66"/>
      <c r="E2225" s="66"/>
      <c r="F2225" s="66"/>
      <c r="G2225" s="27" t="s">
        <v>7390</v>
      </c>
      <c r="H2225" s="33">
        <v>400</v>
      </c>
      <c r="I2225" s="29"/>
      <c r="J2225" s="25">
        <v>5</v>
      </c>
      <c r="K2225" s="30">
        <v>131.62</v>
      </c>
      <c r="L2225" s="17"/>
      <c r="M2225" s="29">
        <f>K2225*L2225</f>
        <v>0</v>
      </c>
      <c r="N2225" s="31">
        <f>0.013*L2225</f>
        <v>0</v>
      </c>
      <c r="O2225" s="32">
        <f>0.00011*L2225</f>
        <v>0</v>
      </c>
      <c r="P2225" s="36"/>
      <c r="Q2225" s="29" t="s">
        <v>7391</v>
      </c>
      <c r="R2225" s="29"/>
      <c r="S2225" s="26" t="str">
        <f>HYPERLINK("https://miland.ru/api/getInfo/image/6ad985d0-e412-11ed-a233-00155d82e902")</f>
        <v>https://miland.ru/api/getInfo/image/6ad985d0-e412-11ed-a233-00155d82e902</v>
      </c>
    </row>
    <row r="2226" spans="1:19" s="1" customFormat="1" ht="12" customHeight="1" outlineLevel="5">
      <c r="A2226" s="64" t="s">
        <v>7392</v>
      </c>
      <c r="B2226" s="64"/>
      <c r="C2226" s="64"/>
      <c r="D2226" s="64"/>
      <c r="E2226" s="64"/>
      <c r="F2226" s="64"/>
      <c r="G2226" s="8"/>
      <c r="H2226" s="12"/>
      <c r="I2226" s="2"/>
      <c r="J2226" s="2"/>
      <c r="K2226" s="13"/>
      <c r="L2226" s="2"/>
      <c r="M2226" s="2"/>
      <c r="N2226" s="2"/>
      <c r="O2226" s="2"/>
      <c r="P2226" s="2"/>
      <c r="Q2226" s="2"/>
      <c r="R2226" s="2"/>
      <c r="S2226" s="2"/>
    </row>
    <row r="2227" spans="1:19" s="2" customFormat="1" ht="96.2" customHeight="1" outlineLevel="6">
      <c r="A2227" s="52">
        <v>1753</v>
      </c>
      <c r="B2227" s="26" t="s">
        <v>7393</v>
      </c>
      <c r="C2227" s="66" t="s">
        <v>7394</v>
      </c>
      <c r="D2227" s="66"/>
      <c r="E2227" s="66"/>
      <c r="F2227" s="66"/>
      <c r="G2227" s="27" t="s">
        <v>7395</v>
      </c>
      <c r="H2227" s="28" t="s">
        <v>44</v>
      </c>
      <c r="I2227" s="29"/>
      <c r="J2227" s="25">
        <v>2</v>
      </c>
      <c r="K2227" s="30">
        <v>359.33</v>
      </c>
      <c r="L2227" s="17"/>
      <c r="M2227" s="29">
        <f>K2227*L2227</f>
        <v>0</v>
      </c>
      <c r="N2227" s="31">
        <f>0.055*L2227</f>
        <v>0</v>
      </c>
      <c r="O2227" s="32">
        <f>0.00017*L2227</f>
        <v>0</v>
      </c>
      <c r="P2227" s="36"/>
      <c r="Q2227" s="29" t="s">
        <v>7396</v>
      </c>
      <c r="R2227" s="29"/>
      <c r="S2227" s="26" t="str">
        <f>HYPERLINK("https://miland.ru/api/getInfo/image/91baa09b-e411-11ed-a233-00155d82e902")</f>
        <v>https://miland.ru/api/getInfo/image/91baa09b-e411-11ed-a233-00155d82e902</v>
      </c>
    </row>
    <row r="2228" spans="1:19" s="2" customFormat="1" ht="96.2" customHeight="1" outlineLevel="6">
      <c r="A2228" s="52">
        <v>1754</v>
      </c>
      <c r="B2228" s="26" t="s">
        <v>7397</v>
      </c>
      <c r="C2228" s="66" t="s">
        <v>7398</v>
      </c>
      <c r="D2228" s="66"/>
      <c r="E2228" s="66"/>
      <c r="F2228" s="66"/>
      <c r="G2228" s="27" t="s">
        <v>7399</v>
      </c>
      <c r="H2228" s="28" t="s">
        <v>44</v>
      </c>
      <c r="I2228" s="29"/>
      <c r="J2228" s="25">
        <v>2</v>
      </c>
      <c r="K2228" s="30">
        <v>359.33</v>
      </c>
      <c r="L2228" s="17"/>
      <c r="M2228" s="29">
        <f>K2228*L2228</f>
        <v>0</v>
      </c>
      <c r="N2228" s="31">
        <f>0.045*L2228</f>
        <v>0</v>
      </c>
      <c r="O2228" s="32">
        <f>0.00027*L2228</f>
        <v>0</v>
      </c>
      <c r="P2228" s="36"/>
      <c r="Q2228" s="29" t="s">
        <v>7400</v>
      </c>
      <c r="R2228" s="29"/>
      <c r="S2228" s="26" t="str">
        <f>HYPERLINK("https://miland.ru/api/getInfo/image/e11c6ac1-e410-11ed-a233-00155d82e902")</f>
        <v>https://miland.ru/api/getInfo/image/e11c6ac1-e410-11ed-a233-00155d82e902</v>
      </c>
    </row>
    <row r="2229" spans="1:19" s="2" customFormat="1" ht="96.2" customHeight="1" outlineLevel="6">
      <c r="A2229" s="52">
        <v>1755</v>
      </c>
      <c r="B2229" s="26" t="s">
        <v>7401</v>
      </c>
      <c r="C2229" s="66" t="s">
        <v>7402</v>
      </c>
      <c r="D2229" s="66"/>
      <c r="E2229" s="66"/>
      <c r="F2229" s="66"/>
      <c r="G2229" s="27" t="s">
        <v>7403</v>
      </c>
      <c r="H2229" s="28" t="s">
        <v>44</v>
      </c>
      <c r="I2229" s="29"/>
      <c r="J2229" s="25">
        <v>2</v>
      </c>
      <c r="K2229" s="30">
        <v>359.33</v>
      </c>
      <c r="L2229" s="17"/>
      <c r="M2229" s="29">
        <f>K2229*L2229</f>
        <v>0</v>
      </c>
      <c r="N2229" s="31">
        <f>0.032*L2229</f>
        <v>0</v>
      </c>
      <c r="O2229" s="32">
        <f>0.00062*L2229</f>
        <v>0</v>
      </c>
      <c r="P2229" s="36"/>
      <c r="Q2229" s="29" t="s">
        <v>7404</v>
      </c>
      <c r="R2229" s="29"/>
      <c r="S2229" s="26" t="str">
        <f>HYPERLINK("https://miland.ru/api/getInfo/image/6fbb276e-e410-11ed-a233-00155d82e902")</f>
        <v>https://miland.ru/api/getInfo/image/6fbb276e-e410-11ed-a233-00155d82e902</v>
      </c>
    </row>
    <row r="2230" spans="1:19" s="2" customFormat="1" ht="96.2" customHeight="1" outlineLevel="6">
      <c r="A2230" s="52">
        <v>1756</v>
      </c>
      <c r="B2230" s="26" t="s">
        <v>7405</v>
      </c>
      <c r="C2230" s="66" t="s">
        <v>7406</v>
      </c>
      <c r="D2230" s="66"/>
      <c r="E2230" s="66"/>
      <c r="F2230" s="66"/>
      <c r="G2230" s="27" t="s">
        <v>7407</v>
      </c>
      <c r="H2230" s="33">
        <v>336</v>
      </c>
      <c r="I2230" s="29"/>
      <c r="J2230" s="25">
        <v>2</v>
      </c>
      <c r="K2230" s="30">
        <v>359.33</v>
      </c>
      <c r="L2230" s="17"/>
      <c r="M2230" s="29">
        <f>K2230*L2230</f>
        <v>0</v>
      </c>
      <c r="N2230" s="31">
        <f>0.041*L2230</f>
        <v>0</v>
      </c>
      <c r="O2230" s="32">
        <f>0.00051*L2230</f>
        <v>0</v>
      </c>
      <c r="P2230" s="36"/>
      <c r="Q2230" s="29" t="s">
        <v>7408</v>
      </c>
      <c r="R2230" s="29"/>
      <c r="S2230" s="26" t="str">
        <f>HYPERLINK("https://miland.ru/api/getInfo/image/2ac51036-e411-11ed-a233-00155d82e902")</f>
        <v>https://miland.ru/api/getInfo/image/2ac51036-e411-11ed-a233-00155d82e902</v>
      </c>
    </row>
    <row r="2231" spans="1:19" s="1" customFormat="1" ht="12" customHeight="1" outlineLevel="4">
      <c r="A2231" s="64" t="s">
        <v>7409</v>
      </c>
      <c r="B2231" s="64"/>
      <c r="C2231" s="64"/>
      <c r="D2231" s="64"/>
      <c r="E2231" s="64"/>
      <c r="F2231" s="64"/>
      <c r="G2231" s="8"/>
      <c r="H2231" s="12"/>
      <c r="I2231" s="2"/>
      <c r="J2231" s="2"/>
      <c r="K2231" s="13"/>
      <c r="L2231" s="2"/>
      <c r="M2231" s="2"/>
      <c r="N2231" s="2"/>
      <c r="O2231" s="2"/>
      <c r="P2231" s="2"/>
      <c r="Q2231" s="2"/>
      <c r="R2231" s="2"/>
      <c r="S2231" s="2"/>
    </row>
    <row r="2232" spans="1:19" s="2" customFormat="1" ht="96.2" customHeight="1" outlineLevel="5">
      <c r="A2232" s="53">
        <v>1757</v>
      </c>
      <c r="B2232" s="10" t="s">
        <v>7410</v>
      </c>
      <c r="C2232" s="65" t="s">
        <v>7411</v>
      </c>
      <c r="D2232" s="65"/>
      <c r="E2232" s="65"/>
      <c r="F2232" s="65"/>
      <c r="G2232" s="11" t="s">
        <v>7412</v>
      </c>
      <c r="H2232" s="14">
        <v>357</v>
      </c>
      <c r="I2232" s="15"/>
      <c r="J2232" s="9">
        <v>3</v>
      </c>
      <c r="K2232" s="16">
        <v>270.06</v>
      </c>
      <c r="L2232" s="17"/>
      <c r="M2232" s="15">
        <f t="shared" ref="M2232:M2237" si="106">K2232*L2232</f>
        <v>0</v>
      </c>
      <c r="N2232" s="18">
        <f>0.047*L2232</f>
        <v>0</v>
      </c>
      <c r="O2232" s="19">
        <f>0.00009*L2232</f>
        <v>0</v>
      </c>
      <c r="P2232" s="24" t="s">
        <v>26</v>
      </c>
      <c r="Q2232" s="15" t="s">
        <v>7413</v>
      </c>
      <c r="R2232" s="15"/>
      <c r="S2232" s="10" t="str">
        <f>HYPERLINK("https://miland.ru/api/getInfo/image/9c64e74c-b490-11f0-a286-00155d82e908")</f>
        <v>https://miland.ru/api/getInfo/image/9c64e74c-b490-11f0-a286-00155d82e908</v>
      </c>
    </row>
    <row r="2233" spans="1:19" s="2" customFormat="1" ht="96.2" customHeight="1" outlineLevel="5">
      <c r="A2233" s="53">
        <v>1758</v>
      </c>
      <c r="B2233" s="10" t="s">
        <v>7414</v>
      </c>
      <c r="C2233" s="65" t="s">
        <v>7415</v>
      </c>
      <c r="D2233" s="65"/>
      <c r="E2233" s="65"/>
      <c r="F2233" s="65"/>
      <c r="G2233" s="11" t="s">
        <v>7416</v>
      </c>
      <c r="H2233" s="14">
        <v>383</v>
      </c>
      <c r="I2233" s="15"/>
      <c r="J2233" s="9">
        <v>3</v>
      </c>
      <c r="K2233" s="16">
        <v>248.93</v>
      </c>
      <c r="L2233" s="17"/>
      <c r="M2233" s="15">
        <f t="shared" si="106"/>
        <v>0</v>
      </c>
      <c r="N2233" s="18">
        <f>0.034*L2233</f>
        <v>0</v>
      </c>
      <c r="O2233" s="15">
        <v>0</v>
      </c>
      <c r="P2233" s="24" t="s">
        <v>26</v>
      </c>
      <c r="Q2233" s="15" t="s">
        <v>7417</v>
      </c>
      <c r="R2233" s="15"/>
      <c r="S2233" s="10" t="str">
        <f>HYPERLINK("https://miland.ru/api/getInfo/image/da6e2afe-b48f-11f0-a286-00155d82e908")</f>
        <v>https://miland.ru/api/getInfo/image/da6e2afe-b48f-11f0-a286-00155d82e908</v>
      </c>
    </row>
    <row r="2234" spans="1:19" s="2" customFormat="1" ht="96.2" customHeight="1" outlineLevel="5">
      <c r="A2234" s="53">
        <v>1759</v>
      </c>
      <c r="B2234" s="10" t="s">
        <v>7418</v>
      </c>
      <c r="C2234" s="65" t="s">
        <v>7419</v>
      </c>
      <c r="D2234" s="65"/>
      <c r="E2234" s="65"/>
      <c r="F2234" s="65"/>
      <c r="G2234" s="11" t="s">
        <v>7420</v>
      </c>
      <c r="H2234" s="14">
        <v>491</v>
      </c>
      <c r="I2234" s="15"/>
      <c r="J2234" s="9">
        <v>3</v>
      </c>
      <c r="K2234" s="16">
        <v>254.78</v>
      </c>
      <c r="L2234" s="17"/>
      <c r="M2234" s="15">
        <f t="shared" si="106"/>
        <v>0</v>
      </c>
      <c r="N2234" s="18">
        <f>0.039*L2234</f>
        <v>0</v>
      </c>
      <c r="O2234" s="19">
        <f>0.00008*L2234</f>
        <v>0</v>
      </c>
      <c r="P2234" s="24" t="s">
        <v>26</v>
      </c>
      <c r="Q2234" s="15" t="s">
        <v>7421</v>
      </c>
      <c r="R2234" s="15"/>
      <c r="S2234" s="10" t="str">
        <f>HYPERLINK("https://miland.ru/api/getInfo/image/d08c5b5d-b489-11f0-a286-00155d82e908")</f>
        <v>https://miland.ru/api/getInfo/image/d08c5b5d-b489-11f0-a286-00155d82e908</v>
      </c>
    </row>
    <row r="2235" spans="1:19" s="2" customFormat="1" ht="96.2" customHeight="1" outlineLevel="5">
      <c r="A2235" s="53">
        <v>1760</v>
      </c>
      <c r="B2235" s="10" t="s">
        <v>7422</v>
      </c>
      <c r="C2235" s="65" t="s">
        <v>7423</v>
      </c>
      <c r="D2235" s="65"/>
      <c r="E2235" s="65"/>
      <c r="F2235" s="65"/>
      <c r="G2235" s="11" t="s">
        <v>7424</v>
      </c>
      <c r="H2235" s="14">
        <v>336</v>
      </c>
      <c r="I2235" s="15"/>
      <c r="J2235" s="9">
        <v>3</v>
      </c>
      <c r="K2235" s="16">
        <v>270.06</v>
      </c>
      <c r="L2235" s="17"/>
      <c r="M2235" s="15">
        <f t="shared" si="106"/>
        <v>0</v>
      </c>
      <c r="N2235" s="18">
        <f>0.044*L2235</f>
        <v>0</v>
      </c>
      <c r="O2235" s="19">
        <f>0.00008*L2235</f>
        <v>0</v>
      </c>
      <c r="P2235" s="24" t="s">
        <v>26</v>
      </c>
      <c r="Q2235" s="15" t="s">
        <v>7425</v>
      </c>
      <c r="R2235" s="15"/>
      <c r="S2235" s="10" t="str">
        <f>HYPERLINK("https://miland.ru/api/getInfo/image/18450f4f-b490-11f0-a286-00155d82e908")</f>
        <v>https://miland.ru/api/getInfo/image/18450f4f-b490-11f0-a286-00155d82e908</v>
      </c>
    </row>
    <row r="2236" spans="1:19" s="2" customFormat="1" ht="96.2" customHeight="1" outlineLevel="5">
      <c r="A2236" s="53">
        <v>1761</v>
      </c>
      <c r="B2236" s="10" t="s">
        <v>7426</v>
      </c>
      <c r="C2236" s="65" t="s">
        <v>7427</v>
      </c>
      <c r="D2236" s="65"/>
      <c r="E2236" s="65"/>
      <c r="F2236" s="65"/>
      <c r="G2236" s="11" t="s">
        <v>7428</v>
      </c>
      <c r="H2236" s="14">
        <v>348</v>
      </c>
      <c r="I2236" s="15"/>
      <c r="J2236" s="9">
        <v>3</v>
      </c>
      <c r="K2236" s="16">
        <v>295.52999999999997</v>
      </c>
      <c r="L2236" s="17"/>
      <c r="M2236" s="15">
        <f t="shared" si="106"/>
        <v>0</v>
      </c>
      <c r="N2236" s="18">
        <f>0.041*L2236</f>
        <v>0</v>
      </c>
      <c r="O2236" s="19">
        <f>0.00003*L2236</f>
        <v>0</v>
      </c>
      <c r="P2236" s="24" t="s">
        <v>26</v>
      </c>
      <c r="Q2236" s="15" t="s">
        <v>7429</v>
      </c>
      <c r="R2236" s="15"/>
      <c r="S2236" s="10" t="str">
        <f>HYPERLINK("https://miland.ru/api/getInfo/image/773c48ba-b490-11f0-a286-00155d82e908")</f>
        <v>https://miland.ru/api/getInfo/image/773c48ba-b490-11f0-a286-00155d82e908</v>
      </c>
    </row>
    <row r="2237" spans="1:19" s="2" customFormat="1" ht="96.2" customHeight="1" outlineLevel="5">
      <c r="A2237" s="53">
        <v>1762</v>
      </c>
      <c r="B2237" s="10" t="s">
        <v>7430</v>
      </c>
      <c r="C2237" s="65" t="s">
        <v>7431</v>
      </c>
      <c r="D2237" s="65"/>
      <c r="E2237" s="65"/>
      <c r="F2237" s="65"/>
      <c r="G2237" s="11" t="s">
        <v>7432</v>
      </c>
      <c r="H2237" s="14">
        <v>399</v>
      </c>
      <c r="I2237" s="15"/>
      <c r="J2237" s="9">
        <v>3</v>
      </c>
      <c r="K2237" s="16">
        <v>264.97000000000003</v>
      </c>
      <c r="L2237" s="17"/>
      <c r="M2237" s="15">
        <f t="shared" si="106"/>
        <v>0</v>
      </c>
      <c r="N2237" s="18">
        <f>0.158*L2237</f>
        <v>0</v>
      </c>
      <c r="O2237" s="15">
        <v>0</v>
      </c>
      <c r="P2237" s="24" t="s">
        <v>26</v>
      </c>
      <c r="Q2237" s="15" t="s">
        <v>7433</v>
      </c>
      <c r="R2237" s="15"/>
      <c r="S2237" s="10" t="str">
        <f>HYPERLINK("https://miland.ru/api/getInfo/image/4b0821f9-2cfe-11f1-a292-00155d82e908")</f>
        <v>https://miland.ru/api/getInfo/image/4b0821f9-2cfe-11f1-a292-00155d82e908</v>
      </c>
    </row>
    <row r="2238" spans="1:19" s="1" customFormat="1" ht="12" customHeight="1" outlineLevel="4">
      <c r="A2238" s="64" t="s">
        <v>7434</v>
      </c>
      <c r="B2238" s="64"/>
      <c r="C2238" s="64"/>
      <c r="D2238" s="64"/>
      <c r="E2238" s="64"/>
      <c r="F2238" s="64"/>
      <c r="G2238" s="8"/>
      <c r="H2238" s="12"/>
      <c r="I2238" s="2"/>
      <c r="J2238" s="2"/>
      <c r="K2238" s="13"/>
      <c r="L2238" s="2"/>
      <c r="M2238" s="2"/>
      <c r="N2238" s="2"/>
      <c r="O2238" s="2"/>
      <c r="P2238" s="2"/>
      <c r="Q2238" s="2"/>
      <c r="R2238" s="2"/>
      <c r="S2238" s="2"/>
    </row>
    <row r="2239" spans="1:19" s="2" customFormat="1" ht="96.2" customHeight="1" outlineLevel="5">
      <c r="A2239" s="52">
        <v>1763</v>
      </c>
      <c r="B2239" s="26" t="s">
        <v>7435</v>
      </c>
      <c r="C2239" s="66" t="s">
        <v>7436</v>
      </c>
      <c r="D2239" s="66"/>
      <c r="E2239" s="66"/>
      <c r="F2239" s="66"/>
      <c r="G2239" s="27" t="s">
        <v>7437</v>
      </c>
      <c r="H2239" s="33">
        <v>56</v>
      </c>
      <c r="I2239" s="29"/>
      <c r="J2239" s="25">
        <v>6</v>
      </c>
      <c r="K2239" s="30">
        <v>91.28</v>
      </c>
      <c r="L2239" s="17"/>
      <c r="M2239" s="29">
        <f>K2239*L2239</f>
        <v>0</v>
      </c>
      <c r="N2239" s="31">
        <f>0.109*L2239</f>
        <v>0</v>
      </c>
      <c r="O2239" s="32">
        <f>0.00007*L2239</f>
        <v>0</v>
      </c>
      <c r="P2239" s="36"/>
      <c r="Q2239" s="29" t="s">
        <v>7438</v>
      </c>
      <c r="R2239" s="29" t="s">
        <v>611</v>
      </c>
      <c r="S2239" s="26" t="str">
        <f>HYPERLINK("https://miland.ru/api/getInfo/image/7ab3503a-bea5-11ee-a25a-00155d82e908")</f>
        <v>https://miland.ru/api/getInfo/image/7ab3503a-bea5-11ee-a25a-00155d82e908</v>
      </c>
    </row>
    <row r="2240" spans="1:19" s="1" customFormat="1" ht="12" customHeight="1" outlineLevel="4">
      <c r="A2240" s="64" t="s">
        <v>7439</v>
      </c>
      <c r="B2240" s="64"/>
      <c r="C2240" s="64"/>
      <c r="D2240" s="64"/>
      <c r="E2240" s="64"/>
      <c r="F2240" s="64"/>
      <c r="G2240" s="8"/>
      <c r="H2240" s="12"/>
      <c r="I2240" s="2"/>
      <c r="J2240" s="2"/>
      <c r="K2240" s="13"/>
      <c r="L2240" s="2"/>
      <c r="M2240" s="2"/>
      <c r="N2240" s="2"/>
      <c r="O2240" s="2"/>
      <c r="P2240" s="2"/>
      <c r="Q2240" s="2"/>
      <c r="R2240" s="2"/>
      <c r="S2240" s="2"/>
    </row>
    <row r="2241" spans="1:19" s="2" customFormat="1" ht="96.2" customHeight="1" outlineLevel="5">
      <c r="A2241" s="52">
        <v>1764</v>
      </c>
      <c r="B2241" s="26" t="s">
        <v>7440</v>
      </c>
      <c r="C2241" s="66" t="s">
        <v>7441</v>
      </c>
      <c r="D2241" s="66"/>
      <c r="E2241" s="66"/>
      <c r="F2241" s="66"/>
      <c r="G2241" s="27" t="s">
        <v>7442</v>
      </c>
      <c r="H2241" s="33">
        <v>137</v>
      </c>
      <c r="I2241" s="29"/>
      <c r="J2241" s="25">
        <v>4</v>
      </c>
      <c r="K2241" s="30">
        <v>153.86000000000001</v>
      </c>
      <c r="L2241" s="17"/>
      <c r="M2241" s="29">
        <f>K2241*L2241</f>
        <v>0</v>
      </c>
      <c r="N2241" s="31">
        <f>0.079*L2241</f>
        <v>0</v>
      </c>
      <c r="O2241" s="32">
        <f>0.00049*L2241</f>
        <v>0</v>
      </c>
      <c r="P2241" s="36"/>
      <c r="Q2241" s="29" t="s">
        <v>7443</v>
      </c>
      <c r="R2241" s="29" t="s">
        <v>611</v>
      </c>
      <c r="S2241" s="26" t="str">
        <f>HYPERLINK("https://miland.ru/api/getInfo/image/836e787f-c87e-11ed-a230-00155d82e902")</f>
        <v>https://miland.ru/api/getInfo/image/836e787f-c87e-11ed-a230-00155d82e902</v>
      </c>
    </row>
    <row r="2242" spans="1:19" s="1" customFormat="1" ht="12" customHeight="1" outlineLevel="4">
      <c r="A2242" s="64" t="s">
        <v>7444</v>
      </c>
      <c r="B2242" s="64"/>
      <c r="C2242" s="64"/>
      <c r="D2242" s="64"/>
      <c r="E2242" s="64"/>
      <c r="F2242" s="64"/>
      <c r="G2242" s="8"/>
      <c r="H2242" s="12"/>
      <c r="I2242" s="2"/>
      <c r="J2242" s="2"/>
      <c r="K2242" s="13"/>
      <c r="L2242" s="2"/>
      <c r="M2242" s="2"/>
      <c r="N2242" s="2"/>
      <c r="O2242" s="2"/>
      <c r="P2242" s="2"/>
      <c r="Q2242" s="2"/>
      <c r="R2242" s="2"/>
      <c r="S2242" s="2"/>
    </row>
    <row r="2243" spans="1:19" s="1" customFormat="1" ht="12" customHeight="1" outlineLevel="5">
      <c r="A2243" s="64" t="s">
        <v>7445</v>
      </c>
      <c r="B2243" s="64"/>
      <c r="C2243" s="64"/>
      <c r="D2243" s="64"/>
      <c r="E2243" s="64"/>
      <c r="F2243" s="64"/>
      <c r="G2243" s="8"/>
      <c r="H2243" s="12"/>
      <c r="I2243" s="2"/>
      <c r="J2243" s="2"/>
      <c r="K2243" s="13"/>
      <c r="L2243" s="2"/>
      <c r="M2243" s="2"/>
      <c r="N2243" s="2"/>
      <c r="O2243" s="2"/>
      <c r="P2243" s="2"/>
      <c r="Q2243" s="2"/>
      <c r="R2243" s="2"/>
      <c r="S2243" s="2"/>
    </row>
    <row r="2244" spans="1:19" s="1" customFormat="1" ht="12" customHeight="1" outlineLevel="6">
      <c r="A2244" s="64" t="s">
        <v>7446</v>
      </c>
      <c r="B2244" s="64"/>
      <c r="C2244" s="64"/>
      <c r="D2244" s="64"/>
      <c r="E2244" s="64"/>
      <c r="F2244" s="64"/>
      <c r="G2244" s="8"/>
      <c r="H2244" s="12"/>
      <c r="I2244" s="2"/>
      <c r="J2244" s="2"/>
      <c r="K2244" s="13"/>
      <c r="L2244" s="2"/>
      <c r="M2244" s="2"/>
      <c r="N2244" s="2"/>
      <c r="O2244" s="2"/>
      <c r="P2244" s="2"/>
      <c r="Q2244" s="2"/>
      <c r="R2244" s="2"/>
      <c r="S2244" s="2"/>
    </row>
    <row r="2245" spans="1:19" s="2" customFormat="1" ht="96.2" customHeight="1" outlineLevel="7">
      <c r="A2245" s="52">
        <v>1765</v>
      </c>
      <c r="B2245" s="26" t="s">
        <v>7447</v>
      </c>
      <c r="C2245" s="66" t="s">
        <v>7448</v>
      </c>
      <c r="D2245" s="66"/>
      <c r="E2245" s="66"/>
      <c r="F2245" s="66"/>
      <c r="G2245" s="27" t="s">
        <v>7449</v>
      </c>
      <c r="H2245" s="33">
        <v>471</v>
      </c>
      <c r="I2245" s="29"/>
      <c r="J2245" s="25">
        <v>3</v>
      </c>
      <c r="K2245" s="30">
        <v>183.02</v>
      </c>
      <c r="L2245" s="17"/>
      <c r="M2245" s="29">
        <f t="shared" ref="M2245:M2253" si="107">K2245*L2245</f>
        <v>0</v>
      </c>
      <c r="N2245" s="31">
        <f>0.024*L2245</f>
        <v>0</v>
      </c>
      <c r="O2245" s="35">
        <f>0.0008*L2245</f>
        <v>0</v>
      </c>
      <c r="P2245" s="36"/>
      <c r="Q2245" s="29" t="s">
        <v>7450</v>
      </c>
      <c r="R2245" s="29"/>
      <c r="S2245" s="26" t="str">
        <f>HYPERLINK("https://miland.ru/api/getInfo/image/d67058f5-97d9-11ed-a22d-00155d82e902")</f>
        <v>https://miland.ru/api/getInfo/image/d67058f5-97d9-11ed-a22d-00155d82e902</v>
      </c>
    </row>
    <row r="2246" spans="1:19" s="2" customFormat="1" ht="96.2" customHeight="1" outlineLevel="7">
      <c r="A2246" s="52">
        <v>1766</v>
      </c>
      <c r="B2246" s="26" t="s">
        <v>7451</v>
      </c>
      <c r="C2246" s="66" t="s">
        <v>7452</v>
      </c>
      <c r="D2246" s="66"/>
      <c r="E2246" s="66"/>
      <c r="F2246" s="66"/>
      <c r="G2246" s="27" t="s">
        <v>7453</v>
      </c>
      <c r="H2246" s="28" t="s">
        <v>44</v>
      </c>
      <c r="I2246" s="29"/>
      <c r="J2246" s="25">
        <v>3</v>
      </c>
      <c r="K2246" s="30">
        <v>188.93</v>
      </c>
      <c r="L2246" s="17"/>
      <c r="M2246" s="29">
        <f t="shared" si="107"/>
        <v>0</v>
      </c>
      <c r="N2246" s="31">
        <f>0.025*L2246</f>
        <v>0</v>
      </c>
      <c r="O2246" s="32">
        <f>0.00111*L2246</f>
        <v>0</v>
      </c>
      <c r="P2246" s="36"/>
      <c r="Q2246" s="29" t="s">
        <v>7454</v>
      </c>
      <c r="R2246" s="29"/>
      <c r="S2246" s="26" t="str">
        <f>HYPERLINK("https://miland.ru/api/getInfo/image/395029ba-97d9-11ed-a22d-00155d82e902")</f>
        <v>https://miland.ru/api/getInfo/image/395029ba-97d9-11ed-a22d-00155d82e902</v>
      </c>
    </row>
    <row r="2247" spans="1:19" s="2" customFormat="1" ht="96.2" customHeight="1" outlineLevel="7">
      <c r="A2247" s="53">
        <v>1767</v>
      </c>
      <c r="B2247" s="10" t="s">
        <v>7455</v>
      </c>
      <c r="C2247" s="65" t="s">
        <v>7456</v>
      </c>
      <c r="D2247" s="65"/>
      <c r="E2247" s="65"/>
      <c r="F2247" s="65"/>
      <c r="G2247" s="11" t="s">
        <v>7457</v>
      </c>
      <c r="H2247" s="14">
        <v>274</v>
      </c>
      <c r="I2247" s="15"/>
      <c r="J2247" s="9">
        <v>10</v>
      </c>
      <c r="K2247" s="16">
        <v>72.06</v>
      </c>
      <c r="L2247" s="17"/>
      <c r="M2247" s="15">
        <f t="shared" si="107"/>
        <v>0</v>
      </c>
      <c r="N2247" s="18">
        <f>0.016*L2247</f>
        <v>0</v>
      </c>
      <c r="O2247" s="19">
        <f>0.00084*L2247</f>
        <v>0</v>
      </c>
      <c r="P2247" s="24" t="s">
        <v>26</v>
      </c>
      <c r="Q2247" s="15" t="s">
        <v>7458</v>
      </c>
      <c r="R2247" s="15"/>
      <c r="S2247" s="10" t="str">
        <f>HYPERLINK("https://miland.ru/api/getInfo/image/51c11615-37dd-11f1-a293-00155d82e908")</f>
        <v>https://miland.ru/api/getInfo/image/51c11615-37dd-11f1-a293-00155d82e908</v>
      </c>
    </row>
    <row r="2248" spans="1:19" s="2" customFormat="1" ht="96.2" customHeight="1" outlineLevel="7">
      <c r="A2248" s="52">
        <v>1768</v>
      </c>
      <c r="B2248" s="26" t="s">
        <v>7459</v>
      </c>
      <c r="C2248" s="66" t="s">
        <v>7460</v>
      </c>
      <c r="D2248" s="66"/>
      <c r="E2248" s="66"/>
      <c r="F2248" s="66"/>
      <c r="G2248" s="27" t="s">
        <v>7461</v>
      </c>
      <c r="H2248" s="28" t="s">
        <v>44</v>
      </c>
      <c r="I2248" s="29"/>
      <c r="J2248" s="25">
        <v>3</v>
      </c>
      <c r="K2248" s="30">
        <v>200.74</v>
      </c>
      <c r="L2248" s="17"/>
      <c r="M2248" s="29">
        <f t="shared" si="107"/>
        <v>0</v>
      </c>
      <c r="N2248" s="31">
        <f>0.024*L2248</f>
        <v>0</v>
      </c>
      <c r="O2248" s="32">
        <f>0.00084*L2248</f>
        <v>0</v>
      </c>
      <c r="P2248" s="36"/>
      <c r="Q2248" s="29" t="s">
        <v>7462</v>
      </c>
      <c r="R2248" s="29"/>
      <c r="S2248" s="26" t="str">
        <f>HYPERLINK("https://miland.ru/api/getInfo/image/0ed4ad9c-97da-11ed-a22d-00155d82e902")</f>
        <v>https://miland.ru/api/getInfo/image/0ed4ad9c-97da-11ed-a22d-00155d82e902</v>
      </c>
    </row>
    <row r="2249" spans="1:19" s="2" customFormat="1" ht="96.2" customHeight="1" outlineLevel="7">
      <c r="A2249" s="53">
        <v>1769</v>
      </c>
      <c r="B2249" s="10" t="s">
        <v>7463</v>
      </c>
      <c r="C2249" s="65" t="s">
        <v>7464</v>
      </c>
      <c r="D2249" s="65"/>
      <c r="E2249" s="65"/>
      <c r="F2249" s="65"/>
      <c r="G2249" s="11" t="s">
        <v>7465</v>
      </c>
      <c r="H2249" s="14">
        <v>44</v>
      </c>
      <c r="I2249" s="15"/>
      <c r="J2249" s="9">
        <v>10</v>
      </c>
      <c r="K2249" s="16">
        <v>72.06</v>
      </c>
      <c r="L2249" s="17"/>
      <c r="M2249" s="15">
        <f t="shared" si="107"/>
        <v>0</v>
      </c>
      <c r="N2249" s="18">
        <f>0.013*L2249</f>
        <v>0</v>
      </c>
      <c r="O2249" s="19">
        <f>0.00074*L2249</f>
        <v>0</v>
      </c>
      <c r="P2249" s="24" t="s">
        <v>26</v>
      </c>
      <c r="Q2249" s="15" t="s">
        <v>7466</v>
      </c>
      <c r="R2249" s="15"/>
      <c r="S2249" s="10" t="str">
        <f>HYPERLINK("https://miland.ru/api/getInfo/image/dd735636-37dc-11f1-a293-00155d82e908")</f>
        <v>https://miland.ru/api/getInfo/image/dd735636-37dc-11f1-a293-00155d82e908</v>
      </c>
    </row>
    <row r="2250" spans="1:19" s="2" customFormat="1" ht="96.2" customHeight="1" outlineLevel="7">
      <c r="A2250" s="52">
        <v>1770</v>
      </c>
      <c r="B2250" s="26" t="s">
        <v>7467</v>
      </c>
      <c r="C2250" s="66" t="s">
        <v>7468</v>
      </c>
      <c r="D2250" s="66"/>
      <c r="E2250" s="66"/>
      <c r="F2250" s="66"/>
      <c r="G2250" s="27" t="s">
        <v>7469</v>
      </c>
      <c r="H2250" s="28" t="s">
        <v>44</v>
      </c>
      <c r="I2250" s="29"/>
      <c r="J2250" s="25">
        <v>3</v>
      </c>
      <c r="K2250" s="30">
        <v>201.94</v>
      </c>
      <c r="L2250" s="17"/>
      <c r="M2250" s="29">
        <f t="shared" si="107"/>
        <v>0</v>
      </c>
      <c r="N2250" s="34">
        <f>0.03*L2250</f>
        <v>0</v>
      </c>
      <c r="O2250" s="32">
        <f>0.00128*L2250</f>
        <v>0</v>
      </c>
      <c r="P2250" s="36"/>
      <c r="Q2250" s="29" t="s">
        <v>7470</v>
      </c>
      <c r="R2250" s="29"/>
      <c r="S2250" s="26" t="str">
        <f>HYPERLINK("https://miland.ru/api/getInfo/image/3819398b-97d8-11ed-a22d-00155d82e902")</f>
        <v>https://miland.ru/api/getInfo/image/3819398b-97d8-11ed-a22d-00155d82e902</v>
      </c>
    </row>
    <row r="2251" spans="1:19" s="2" customFormat="1" ht="96.2" customHeight="1" outlineLevel="7">
      <c r="A2251" s="52">
        <v>1771</v>
      </c>
      <c r="B2251" s="26" t="s">
        <v>7471</v>
      </c>
      <c r="C2251" s="66" t="s">
        <v>7472</v>
      </c>
      <c r="D2251" s="66"/>
      <c r="E2251" s="66"/>
      <c r="F2251" s="66"/>
      <c r="G2251" s="27" t="s">
        <v>7473</v>
      </c>
      <c r="H2251" s="28" t="s">
        <v>44</v>
      </c>
      <c r="I2251" s="29"/>
      <c r="J2251" s="25">
        <v>3</v>
      </c>
      <c r="K2251" s="30">
        <v>188.93</v>
      </c>
      <c r="L2251" s="17"/>
      <c r="M2251" s="29">
        <f t="shared" si="107"/>
        <v>0</v>
      </c>
      <c r="N2251" s="31">
        <f>0.027*L2251</f>
        <v>0</v>
      </c>
      <c r="O2251" s="32">
        <f>0.00073*L2251</f>
        <v>0</v>
      </c>
      <c r="P2251" s="36"/>
      <c r="Q2251" s="29" t="s">
        <v>7474</v>
      </c>
      <c r="R2251" s="29"/>
      <c r="S2251" s="26" t="str">
        <f>HYPERLINK("https://miland.ru/api/getInfo/image/6eee5370-97d9-11ed-a22d-00155d82e902")</f>
        <v>https://miland.ru/api/getInfo/image/6eee5370-97d9-11ed-a22d-00155d82e902</v>
      </c>
    </row>
    <row r="2252" spans="1:19" s="2" customFormat="1" ht="96.2" customHeight="1" outlineLevel="7">
      <c r="A2252" s="53">
        <v>1772</v>
      </c>
      <c r="B2252" s="10" t="s">
        <v>7475</v>
      </c>
      <c r="C2252" s="65" t="s">
        <v>7476</v>
      </c>
      <c r="D2252" s="65"/>
      <c r="E2252" s="65"/>
      <c r="F2252" s="65"/>
      <c r="G2252" s="11" t="s">
        <v>7477</v>
      </c>
      <c r="H2252" s="21" t="s">
        <v>44</v>
      </c>
      <c r="I2252" s="15"/>
      <c r="J2252" s="9">
        <v>4</v>
      </c>
      <c r="K2252" s="16">
        <v>165.27</v>
      </c>
      <c r="L2252" s="17"/>
      <c r="M2252" s="15">
        <f t="shared" si="107"/>
        <v>0</v>
      </c>
      <c r="N2252" s="18">
        <f>0.016*L2252</f>
        <v>0</v>
      </c>
      <c r="O2252" s="19">
        <f>0.00038*L2252</f>
        <v>0</v>
      </c>
      <c r="P2252" s="24" t="s">
        <v>26</v>
      </c>
      <c r="Q2252" s="15" t="s">
        <v>7478</v>
      </c>
      <c r="R2252" s="15"/>
      <c r="S2252" s="10" t="str">
        <f>HYPERLINK("https://miland.ru/api/getInfo/image/281f7a09-37de-11f1-a293-00155d82e908")</f>
        <v>https://miland.ru/api/getInfo/image/281f7a09-37de-11f1-a293-00155d82e908</v>
      </c>
    </row>
    <row r="2253" spans="1:19" s="2" customFormat="1" ht="96.2" customHeight="1" outlineLevel="7">
      <c r="A2253" s="53">
        <v>1773</v>
      </c>
      <c r="B2253" s="10" t="s">
        <v>7479</v>
      </c>
      <c r="C2253" s="65" t="s">
        <v>7480</v>
      </c>
      <c r="D2253" s="65"/>
      <c r="E2253" s="65"/>
      <c r="F2253" s="65"/>
      <c r="G2253" s="11" t="s">
        <v>7481</v>
      </c>
      <c r="H2253" s="14">
        <v>5</v>
      </c>
      <c r="I2253" s="15"/>
      <c r="J2253" s="9">
        <v>5</v>
      </c>
      <c r="K2253" s="16">
        <v>72.06</v>
      </c>
      <c r="L2253" s="17"/>
      <c r="M2253" s="15">
        <f t="shared" si="107"/>
        <v>0</v>
      </c>
      <c r="N2253" s="18">
        <f>0.017*L2253</f>
        <v>0</v>
      </c>
      <c r="O2253" s="19">
        <f>0.00046*L2253</f>
        <v>0</v>
      </c>
      <c r="P2253" s="24" t="s">
        <v>26</v>
      </c>
      <c r="Q2253" s="15" t="s">
        <v>7482</v>
      </c>
      <c r="R2253" s="15"/>
      <c r="S2253" s="10" t="str">
        <f>HYPERLINK("https://miland.ru/api/getInfo/image/4de5d567-37dc-11f1-a293-00155d82e908")</f>
        <v>https://miland.ru/api/getInfo/image/4de5d567-37dc-11f1-a293-00155d82e908</v>
      </c>
    </row>
    <row r="2254" spans="1:19" s="1" customFormat="1" ht="12" customHeight="1" outlineLevel="6">
      <c r="A2254" s="64" t="s">
        <v>7483</v>
      </c>
      <c r="B2254" s="64"/>
      <c r="C2254" s="64"/>
      <c r="D2254" s="64"/>
      <c r="E2254" s="64"/>
      <c r="F2254" s="64"/>
      <c r="G2254" s="8"/>
      <c r="H2254" s="12"/>
      <c r="I2254" s="2"/>
      <c r="J2254" s="2"/>
      <c r="K2254" s="13"/>
      <c r="L2254" s="2"/>
      <c r="M2254" s="2"/>
      <c r="N2254" s="2"/>
      <c r="O2254" s="2"/>
      <c r="P2254" s="2"/>
      <c r="Q2254" s="2"/>
      <c r="R2254" s="2"/>
      <c r="S2254" s="2"/>
    </row>
    <row r="2255" spans="1:19" s="2" customFormat="1" ht="96.2" customHeight="1" outlineLevel="7">
      <c r="A2255" s="53">
        <v>1774</v>
      </c>
      <c r="B2255" s="10" t="s">
        <v>7484</v>
      </c>
      <c r="C2255" s="65" t="s">
        <v>7485</v>
      </c>
      <c r="D2255" s="65"/>
      <c r="E2255" s="65"/>
      <c r="F2255" s="65"/>
      <c r="G2255" s="11" t="s">
        <v>7486</v>
      </c>
      <c r="H2255" s="14">
        <v>8</v>
      </c>
      <c r="I2255" s="15"/>
      <c r="J2255" s="9">
        <v>1</v>
      </c>
      <c r="K2255" s="16">
        <v>666.22</v>
      </c>
      <c r="L2255" s="17"/>
      <c r="M2255" s="15">
        <f>K2255*L2255</f>
        <v>0</v>
      </c>
      <c r="N2255" s="18">
        <f>0.014*L2255</f>
        <v>0</v>
      </c>
      <c r="O2255" s="19">
        <f>0.00074*L2255</f>
        <v>0</v>
      </c>
      <c r="P2255" s="24" t="s">
        <v>26</v>
      </c>
      <c r="Q2255" s="15" t="s">
        <v>7487</v>
      </c>
      <c r="R2255" s="15"/>
      <c r="S2255" s="10" t="str">
        <f>HYPERLINK("https://miland.ru/api/getInfo/image/e4b78b76-37db-11f1-a293-00155d82e908")</f>
        <v>https://miland.ru/api/getInfo/image/e4b78b76-37db-11f1-a293-00155d82e908</v>
      </c>
    </row>
    <row r="2256" spans="1:19" s="2" customFormat="1" ht="96.2" customHeight="1" outlineLevel="7">
      <c r="A2256" s="53">
        <v>1775</v>
      </c>
      <c r="B2256" s="10" t="s">
        <v>7488</v>
      </c>
      <c r="C2256" s="65" t="s">
        <v>7489</v>
      </c>
      <c r="D2256" s="65"/>
      <c r="E2256" s="65"/>
      <c r="F2256" s="65"/>
      <c r="G2256" s="11" t="s">
        <v>7490</v>
      </c>
      <c r="H2256" s="14">
        <v>31</v>
      </c>
      <c r="I2256" s="15"/>
      <c r="J2256" s="9">
        <v>1</v>
      </c>
      <c r="K2256" s="16">
        <v>666.22</v>
      </c>
      <c r="L2256" s="17"/>
      <c r="M2256" s="15">
        <f>K2256*L2256</f>
        <v>0</v>
      </c>
      <c r="N2256" s="18">
        <f>0.018*L2256</f>
        <v>0</v>
      </c>
      <c r="O2256" s="20">
        <f>0.0007*L2256</f>
        <v>0</v>
      </c>
      <c r="P2256" s="24" t="s">
        <v>26</v>
      </c>
      <c r="Q2256" s="15" t="s">
        <v>7491</v>
      </c>
      <c r="R2256" s="15"/>
      <c r="S2256" s="10" t="str">
        <f>HYPERLINK("https://miland.ru/api/getInfo/image/763b3b12-37dd-11f1-a293-00155d82e908")</f>
        <v>https://miland.ru/api/getInfo/image/763b3b12-37dd-11f1-a293-00155d82e908</v>
      </c>
    </row>
    <row r="2257" spans="1:19" s="2" customFormat="1" ht="96.2" customHeight="1" outlineLevel="7">
      <c r="A2257" s="53">
        <v>1776</v>
      </c>
      <c r="B2257" s="10" t="s">
        <v>7492</v>
      </c>
      <c r="C2257" s="65" t="s">
        <v>7493</v>
      </c>
      <c r="D2257" s="65"/>
      <c r="E2257" s="65"/>
      <c r="F2257" s="65"/>
      <c r="G2257" s="11" t="s">
        <v>7494</v>
      </c>
      <c r="H2257" s="14">
        <v>8</v>
      </c>
      <c r="I2257" s="15"/>
      <c r="J2257" s="9">
        <v>1</v>
      </c>
      <c r="K2257" s="16">
        <v>666.22</v>
      </c>
      <c r="L2257" s="17"/>
      <c r="M2257" s="15">
        <f>K2257*L2257</f>
        <v>0</v>
      </c>
      <c r="N2257" s="18">
        <f>0.019*L2257</f>
        <v>0</v>
      </c>
      <c r="O2257" s="19">
        <f>0.00031*L2257</f>
        <v>0</v>
      </c>
      <c r="P2257" s="24" t="s">
        <v>26</v>
      </c>
      <c r="Q2257" s="15" t="s">
        <v>7495</v>
      </c>
      <c r="R2257" s="15"/>
      <c r="S2257" s="10" t="str">
        <f>HYPERLINK("https://miland.ru/api/getInfo/image/e84d2cdb-37dd-11f1-a293-00155d82e908")</f>
        <v>https://miland.ru/api/getInfo/image/e84d2cdb-37dd-11f1-a293-00155d82e908</v>
      </c>
    </row>
    <row r="2258" spans="1:19" s="2" customFormat="1" ht="96.2" customHeight="1" outlineLevel="7">
      <c r="A2258" s="53">
        <v>1777</v>
      </c>
      <c r="B2258" s="10" t="s">
        <v>7496</v>
      </c>
      <c r="C2258" s="65" t="s">
        <v>7497</v>
      </c>
      <c r="D2258" s="65"/>
      <c r="E2258" s="65"/>
      <c r="F2258" s="65"/>
      <c r="G2258" s="11" t="s">
        <v>7498</v>
      </c>
      <c r="H2258" s="14">
        <v>31</v>
      </c>
      <c r="I2258" s="15"/>
      <c r="J2258" s="9">
        <v>1</v>
      </c>
      <c r="K2258" s="22">
        <v>1527.94</v>
      </c>
      <c r="L2258" s="17"/>
      <c r="M2258" s="15">
        <f>K2258*L2258</f>
        <v>0</v>
      </c>
      <c r="N2258" s="18">
        <f>0.021*L2258</f>
        <v>0</v>
      </c>
      <c r="O2258" s="19">
        <f>0.00057*L2258</f>
        <v>0</v>
      </c>
      <c r="P2258" s="24" t="s">
        <v>26</v>
      </c>
      <c r="Q2258" s="15" t="s">
        <v>7499</v>
      </c>
      <c r="R2258" s="15"/>
      <c r="S2258" s="10" t="str">
        <f>HYPERLINK("https://miland.ru/api/getInfo/image/5de6326b-37de-11f1-a293-00155d82e908")</f>
        <v>https://miland.ru/api/getInfo/image/5de6326b-37de-11f1-a293-00155d82e908</v>
      </c>
    </row>
    <row r="2259" spans="1:19" s="1" customFormat="1" ht="12" customHeight="1" outlineLevel="3">
      <c r="A2259" s="64" t="s">
        <v>7500</v>
      </c>
      <c r="B2259" s="64"/>
      <c r="C2259" s="64"/>
      <c r="D2259" s="64"/>
      <c r="E2259" s="64"/>
      <c r="F2259" s="64"/>
      <c r="G2259" s="8"/>
      <c r="H2259" s="12"/>
      <c r="I2259" s="2"/>
      <c r="J2259" s="2"/>
      <c r="K2259" s="13"/>
      <c r="L2259" s="2"/>
      <c r="M2259" s="2"/>
      <c r="N2259" s="2"/>
      <c r="O2259" s="2"/>
      <c r="P2259" s="2"/>
      <c r="Q2259" s="2"/>
      <c r="R2259" s="2"/>
      <c r="S2259" s="2"/>
    </row>
    <row r="2260" spans="1:19" s="1" customFormat="1" ht="12" customHeight="1" outlineLevel="4">
      <c r="A2260" s="64" t="s">
        <v>7501</v>
      </c>
      <c r="B2260" s="64"/>
      <c r="C2260" s="64"/>
      <c r="D2260" s="64"/>
      <c r="E2260" s="64"/>
      <c r="F2260" s="64"/>
      <c r="G2260" s="8"/>
      <c r="H2260" s="12"/>
      <c r="I2260" s="2"/>
      <c r="J2260" s="2"/>
      <c r="K2260" s="13"/>
      <c r="L2260" s="2"/>
      <c r="M2260" s="2"/>
      <c r="N2260" s="2"/>
      <c r="O2260" s="2"/>
      <c r="P2260" s="2"/>
      <c r="Q2260" s="2"/>
      <c r="R2260" s="2"/>
      <c r="S2260" s="2"/>
    </row>
    <row r="2261" spans="1:19" s="2" customFormat="1" ht="96.2" customHeight="1" outlineLevel="5">
      <c r="A2261" s="52">
        <v>1778</v>
      </c>
      <c r="B2261" s="26" t="s">
        <v>7502</v>
      </c>
      <c r="C2261" s="66" t="s">
        <v>7503</v>
      </c>
      <c r="D2261" s="66"/>
      <c r="E2261" s="66"/>
      <c r="F2261" s="66"/>
      <c r="G2261" s="27" t="s">
        <v>7504</v>
      </c>
      <c r="H2261" s="28" t="s">
        <v>44</v>
      </c>
      <c r="I2261" s="29"/>
      <c r="J2261" s="25">
        <v>3</v>
      </c>
      <c r="K2261" s="30">
        <v>242.79</v>
      </c>
      <c r="L2261" s="17"/>
      <c r="M2261" s="29">
        <f>K2261*L2261</f>
        <v>0</v>
      </c>
      <c r="N2261" s="31">
        <f>0.051*L2261</f>
        <v>0</v>
      </c>
      <c r="O2261" s="31">
        <f>0.001*L2261</f>
        <v>0</v>
      </c>
      <c r="P2261" s="36"/>
      <c r="Q2261" s="29" t="s">
        <v>7505</v>
      </c>
      <c r="R2261" s="29"/>
      <c r="S2261" s="26" t="str">
        <f>HYPERLINK("https://miland.ru/api/getInfo/image/e70de4e8-658b-11ed-a22a-00155d82e902")</f>
        <v>https://miland.ru/api/getInfo/image/e70de4e8-658b-11ed-a22a-00155d82e902</v>
      </c>
    </row>
    <row r="2262" spans="1:19" s="2" customFormat="1" ht="96.2" customHeight="1" outlineLevel="5">
      <c r="A2262" s="52">
        <v>1779</v>
      </c>
      <c r="B2262" s="26" t="s">
        <v>7506</v>
      </c>
      <c r="C2262" s="66" t="s">
        <v>7507</v>
      </c>
      <c r="D2262" s="66"/>
      <c r="E2262" s="66"/>
      <c r="F2262" s="66"/>
      <c r="G2262" s="27" t="s">
        <v>7508</v>
      </c>
      <c r="H2262" s="28" t="s">
        <v>44</v>
      </c>
      <c r="I2262" s="29"/>
      <c r="J2262" s="25">
        <v>3</v>
      </c>
      <c r="K2262" s="30">
        <v>205</v>
      </c>
      <c r="L2262" s="17"/>
      <c r="M2262" s="29">
        <f>K2262*L2262</f>
        <v>0</v>
      </c>
      <c r="N2262" s="34">
        <f>0.05*L2262</f>
        <v>0</v>
      </c>
      <c r="O2262" s="32">
        <f>0.00183*L2262</f>
        <v>0</v>
      </c>
      <c r="P2262" s="36"/>
      <c r="Q2262" s="29" t="s">
        <v>7509</v>
      </c>
      <c r="R2262" s="29"/>
      <c r="S2262" s="26" t="str">
        <f>HYPERLINK("https://miland.ru/api/getInfo/image/ecd5469f-65b1-11ed-a22a-00155d82e902")</f>
        <v>https://miland.ru/api/getInfo/image/ecd5469f-65b1-11ed-a22a-00155d82e902</v>
      </c>
    </row>
    <row r="2263" spans="1:19" s="1" customFormat="1" ht="12" customHeight="1" outlineLevel="4">
      <c r="A2263" s="64" t="s">
        <v>7510</v>
      </c>
      <c r="B2263" s="64"/>
      <c r="C2263" s="64"/>
      <c r="D2263" s="64"/>
      <c r="E2263" s="64"/>
      <c r="F2263" s="64"/>
      <c r="G2263" s="8"/>
      <c r="H2263" s="12"/>
      <c r="I2263" s="2"/>
      <c r="J2263" s="2"/>
      <c r="K2263" s="13"/>
      <c r="L2263" s="2"/>
      <c r="M2263" s="2"/>
      <c r="N2263" s="2"/>
      <c r="O2263" s="2"/>
      <c r="P2263" s="2"/>
      <c r="Q2263" s="2"/>
      <c r="R2263" s="2"/>
      <c r="S2263" s="2"/>
    </row>
    <row r="2264" spans="1:19" s="2" customFormat="1" ht="96.2" customHeight="1" outlineLevel="5">
      <c r="A2264" s="52">
        <v>1780</v>
      </c>
      <c r="B2264" s="26" t="s">
        <v>7511</v>
      </c>
      <c r="C2264" s="66" t="s">
        <v>7512</v>
      </c>
      <c r="D2264" s="66"/>
      <c r="E2264" s="66"/>
      <c r="F2264" s="66"/>
      <c r="G2264" s="27" t="s">
        <v>7513</v>
      </c>
      <c r="H2264" s="28" t="s">
        <v>44</v>
      </c>
      <c r="I2264" s="29"/>
      <c r="J2264" s="25">
        <v>1</v>
      </c>
      <c r="K2264" s="30">
        <v>364.72</v>
      </c>
      <c r="L2264" s="17"/>
      <c r="M2264" s="29">
        <f>K2264*L2264</f>
        <v>0</v>
      </c>
      <c r="N2264" s="34">
        <f>0.03*L2264</f>
        <v>0</v>
      </c>
      <c r="O2264" s="29">
        <v>0</v>
      </c>
      <c r="P2264" s="36"/>
      <c r="Q2264" s="29" t="s">
        <v>7514</v>
      </c>
      <c r="R2264" s="29"/>
      <c r="S2264" s="26" t="str">
        <f>HYPERLINK("https://miland.ru/api/getInfo/image/5b455d33-d989-11ef-a273-00155d82e908")</f>
        <v>https://miland.ru/api/getInfo/image/5b455d33-d989-11ef-a273-00155d82e908</v>
      </c>
    </row>
    <row r="2265" spans="1:19" s="2" customFormat="1" ht="96.2" customHeight="1" outlineLevel="5">
      <c r="A2265" s="52">
        <v>1781</v>
      </c>
      <c r="B2265" s="26" t="s">
        <v>7515</v>
      </c>
      <c r="C2265" s="66" t="s">
        <v>7516</v>
      </c>
      <c r="D2265" s="66"/>
      <c r="E2265" s="66"/>
      <c r="F2265" s="66"/>
      <c r="G2265" s="27" t="s">
        <v>7517</v>
      </c>
      <c r="H2265" s="33">
        <v>57</v>
      </c>
      <c r="I2265" s="29"/>
      <c r="J2265" s="25">
        <v>2</v>
      </c>
      <c r="K2265" s="30">
        <v>307.5</v>
      </c>
      <c r="L2265" s="17"/>
      <c r="M2265" s="29">
        <f>K2265*L2265</f>
        <v>0</v>
      </c>
      <c r="N2265" s="31">
        <f>0.048*L2265</f>
        <v>0</v>
      </c>
      <c r="O2265" s="32">
        <f>0.00155*L2265</f>
        <v>0</v>
      </c>
      <c r="P2265" s="36"/>
      <c r="Q2265" s="29" t="s">
        <v>7518</v>
      </c>
      <c r="R2265" s="29" t="s">
        <v>611</v>
      </c>
      <c r="S2265" s="26" t="str">
        <f>HYPERLINK("https://miland.ru/api/getInfo/image/f5162705-65af-11ed-a22a-00155d82e902")</f>
        <v>https://miland.ru/api/getInfo/image/f5162705-65af-11ed-a22a-00155d82e902</v>
      </c>
    </row>
    <row r="2266" spans="1:19" s="1" customFormat="1" ht="12" customHeight="1" outlineLevel="4">
      <c r="A2266" s="64" t="s">
        <v>7519</v>
      </c>
      <c r="B2266" s="64"/>
      <c r="C2266" s="64"/>
      <c r="D2266" s="64"/>
      <c r="E2266" s="64"/>
      <c r="F2266" s="64"/>
      <c r="G2266" s="8"/>
      <c r="H2266" s="12"/>
      <c r="I2266" s="2"/>
      <c r="J2266" s="2"/>
      <c r="K2266" s="13"/>
      <c r="L2266" s="2"/>
      <c r="M2266" s="2"/>
      <c r="N2266" s="2"/>
      <c r="O2266" s="2"/>
      <c r="P2266" s="2"/>
      <c r="Q2266" s="2"/>
      <c r="R2266" s="2"/>
      <c r="S2266" s="2"/>
    </row>
    <row r="2267" spans="1:19" s="2" customFormat="1" ht="96.2" customHeight="1" outlineLevel="5">
      <c r="A2267" s="52">
        <v>1782</v>
      </c>
      <c r="B2267" s="26" t="s">
        <v>7520</v>
      </c>
      <c r="C2267" s="66" t="s">
        <v>7521</v>
      </c>
      <c r="D2267" s="66"/>
      <c r="E2267" s="66"/>
      <c r="F2267" s="66"/>
      <c r="G2267" s="27" t="s">
        <v>7522</v>
      </c>
      <c r="H2267" s="33">
        <v>280</v>
      </c>
      <c r="I2267" s="29"/>
      <c r="J2267" s="25">
        <v>3</v>
      </c>
      <c r="K2267" s="30">
        <v>227.72</v>
      </c>
      <c r="L2267" s="17"/>
      <c r="M2267" s="29">
        <f t="shared" ref="M2267:M2272" si="108">K2267*L2267</f>
        <v>0</v>
      </c>
      <c r="N2267" s="31">
        <f>0.145*L2267</f>
        <v>0</v>
      </c>
      <c r="O2267" s="35">
        <f>0.0026*L2267</f>
        <v>0</v>
      </c>
      <c r="P2267" s="36"/>
      <c r="Q2267" s="29" t="s">
        <v>7523</v>
      </c>
      <c r="R2267" s="29" t="s">
        <v>611</v>
      </c>
      <c r="S2267" s="26" t="str">
        <f>HYPERLINK("https://miland.ru/api/getInfo/image/006ccc8c-d9cf-11ed-a232-00155d82e902")</f>
        <v>https://miland.ru/api/getInfo/image/006ccc8c-d9cf-11ed-a232-00155d82e902</v>
      </c>
    </row>
    <row r="2268" spans="1:19" s="2" customFormat="1" ht="96.2" customHeight="1" outlineLevel="5">
      <c r="A2268" s="52">
        <v>1783</v>
      </c>
      <c r="B2268" s="26" t="s">
        <v>7524</v>
      </c>
      <c r="C2268" s="66" t="s">
        <v>7525</v>
      </c>
      <c r="D2268" s="66"/>
      <c r="E2268" s="66"/>
      <c r="F2268" s="66"/>
      <c r="G2268" s="27" t="s">
        <v>7526</v>
      </c>
      <c r="H2268" s="33">
        <v>5</v>
      </c>
      <c r="I2268" s="29"/>
      <c r="J2268" s="25">
        <v>5</v>
      </c>
      <c r="K2268" s="30">
        <v>114.26</v>
      </c>
      <c r="L2268" s="17"/>
      <c r="M2268" s="29">
        <f t="shared" si="108"/>
        <v>0</v>
      </c>
      <c r="N2268" s="31">
        <f>0.033*L2268</f>
        <v>0</v>
      </c>
      <c r="O2268" s="32">
        <f>0.00042*L2268</f>
        <v>0</v>
      </c>
      <c r="P2268" s="36"/>
      <c r="Q2268" s="29" t="s">
        <v>7527</v>
      </c>
      <c r="R2268" s="29" t="s">
        <v>611</v>
      </c>
      <c r="S2268" s="26" t="str">
        <f>HYPERLINK("https://miland.ru/api/getInfo/image/701ccbfa-17fd-11ea-a237-ac1f6b442184")</f>
        <v>https://miland.ru/api/getInfo/image/701ccbfa-17fd-11ea-a237-ac1f6b442184</v>
      </c>
    </row>
    <row r="2269" spans="1:19" s="2" customFormat="1" ht="96.2" customHeight="1" outlineLevel="5">
      <c r="A2269" s="52">
        <v>1784</v>
      </c>
      <c r="B2269" s="26" t="s">
        <v>7528</v>
      </c>
      <c r="C2269" s="66" t="s">
        <v>7529</v>
      </c>
      <c r="D2269" s="66"/>
      <c r="E2269" s="66"/>
      <c r="F2269" s="66"/>
      <c r="G2269" s="27" t="s">
        <v>7530</v>
      </c>
      <c r="H2269" s="33">
        <v>49</v>
      </c>
      <c r="I2269" s="29"/>
      <c r="J2269" s="25">
        <v>3</v>
      </c>
      <c r="K2269" s="30">
        <v>189.18</v>
      </c>
      <c r="L2269" s="17"/>
      <c r="M2269" s="29">
        <f t="shared" si="108"/>
        <v>0</v>
      </c>
      <c r="N2269" s="31">
        <f>0.017*L2269</f>
        <v>0</v>
      </c>
      <c r="O2269" s="32">
        <f>0.00026*L2269</f>
        <v>0</v>
      </c>
      <c r="P2269" s="36"/>
      <c r="Q2269" s="29" t="s">
        <v>7531</v>
      </c>
      <c r="R2269" s="29" t="s">
        <v>611</v>
      </c>
      <c r="S2269" s="26" t="str">
        <f>HYPERLINK("https://miland.ru/api/getInfo/image/f52567a8-977a-11eb-a200-ac1f6b442185")</f>
        <v>https://miland.ru/api/getInfo/image/f52567a8-977a-11eb-a200-ac1f6b442185</v>
      </c>
    </row>
    <row r="2270" spans="1:19" s="2" customFormat="1" ht="96.2" customHeight="1" outlineLevel="5">
      <c r="A2270" s="52">
        <v>1785</v>
      </c>
      <c r="B2270" s="26" t="s">
        <v>7532</v>
      </c>
      <c r="C2270" s="66" t="s">
        <v>7533</v>
      </c>
      <c r="D2270" s="66"/>
      <c r="E2270" s="66"/>
      <c r="F2270" s="66"/>
      <c r="G2270" s="27" t="s">
        <v>7534</v>
      </c>
      <c r="H2270" s="33">
        <v>298</v>
      </c>
      <c r="I2270" s="29"/>
      <c r="J2270" s="25">
        <v>4</v>
      </c>
      <c r="K2270" s="30">
        <v>164</v>
      </c>
      <c r="L2270" s="17"/>
      <c r="M2270" s="29">
        <f t="shared" si="108"/>
        <v>0</v>
      </c>
      <c r="N2270" s="31">
        <f>0.025*L2270</f>
        <v>0</v>
      </c>
      <c r="O2270" s="32">
        <f>0.00011*L2270</f>
        <v>0</v>
      </c>
      <c r="P2270" s="36"/>
      <c r="Q2270" s="29" t="s">
        <v>7535</v>
      </c>
      <c r="R2270" s="29"/>
      <c r="S2270" s="26" t="str">
        <f>HYPERLINK("https://miland.ru/api/getInfo/image/4c55c542-65a6-11ed-a22a-00155d82e902")</f>
        <v>https://miland.ru/api/getInfo/image/4c55c542-65a6-11ed-a22a-00155d82e902</v>
      </c>
    </row>
    <row r="2271" spans="1:19" s="2" customFormat="1" ht="96.2" customHeight="1" outlineLevel="5">
      <c r="A2271" s="52">
        <v>1786</v>
      </c>
      <c r="B2271" s="26" t="s">
        <v>7536</v>
      </c>
      <c r="C2271" s="66" t="s">
        <v>7537</v>
      </c>
      <c r="D2271" s="66"/>
      <c r="E2271" s="66"/>
      <c r="F2271" s="66"/>
      <c r="G2271" s="27" t="s">
        <v>7538</v>
      </c>
      <c r="H2271" s="33">
        <v>78</v>
      </c>
      <c r="I2271" s="29"/>
      <c r="J2271" s="25">
        <v>4</v>
      </c>
      <c r="K2271" s="30">
        <v>164</v>
      </c>
      <c r="L2271" s="17"/>
      <c r="M2271" s="29">
        <f t="shared" si="108"/>
        <v>0</v>
      </c>
      <c r="N2271" s="31">
        <f>0.016*L2271</f>
        <v>0</v>
      </c>
      <c r="O2271" s="32">
        <f>0.00027*L2271</f>
        <v>0</v>
      </c>
      <c r="P2271" s="36"/>
      <c r="Q2271" s="29" t="s">
        <v>7539</v>
      </c>
      <c r="R2271" s="29"/>
      <c r="S2271" s="26" t="str">
        <f>HYPERLINK("https://miland.ru/api/getInfo/image/4a510c57-658f-11ed-a22a-00155d82e902")</f>
        <v>https://miland.ru/api/getInfo/image/4a510c57-658f-11ed-a22a-00155d82e902</v>
      </c>
    </row>
    <row r="2272" spans="1:19" s="2" customFormat="1" ht="96.2" customHeight="1" outlineLevel="5">
      <c r="A2272" s="52">
        <v>1787</v>
      </c>
      <c r="B2272" s="26" t="s">
        <v>7540</v>
      </c>
      <c r="C2272" s="66" t="s">
        <v>7541</v>
      </c>
      <c r="D2272" s="66"/>
      <c r="E2272" s="66"/>
      <c r="F2272" s="66"/>
      <c r="G2272" s="27" t="s">
        <v>7542</v>
      </c>
      <c r="H2272" s="33">
        <v>46</v>
      </c>
      <c r="I2272" s="29"/>
      <c r="J2272" s="25">
        <v>4</v>
      </c>
      <c r="K2272" s="30">
        <v>164</v>
      </c>
      <c r="L2272" s="17"/>
      <c r="M2272" s="29">
        <f t="shared" si="108"/>
        <v>0</v>
      </c>
      <c r="N2272" s="31">
        <f>0.017*L2272</f>
        <v>0</v>
      </c>
      <c r="O2272" s="32">
        <f>0.00056*L2272</f>
        <v>0</v>
      </c>
      <c r="P2272" s="36"/>
      <c r="Q2272" s="29" t="s">
        <v>7543</v>
      </c>
      <c r="R2272" s="29"/>
      <c r="S2272" s="26" t="str">
        <f>HYPERLINK("https://miland.ru/api/getInfo/image/3f524578-6590-11ed-a22a-00155d82e902")</f>
        <v>https://miland.ru/api/getInfo/image/3f524578-6590-11ed-a22a-00155d82e902</v>
      </c>
    </row>
    <row r="2273" spans="1:19" s="1" customFormat="1" ht="12" customHeight="1" outlineLevel="4">
      <c r="A2273" s="64" t="s">
        <v>7544</v>
      </c>
      <c r="B2273" s="64"/>
      <c r="C2273" s="64"/>
      <c r="D2273" s="64"/>
      <c r="E2273" s="64"/>
      <c r="F2273" s="64"/>
      <c r="G2273" s="8"/>
      <c r="H2273" s="12"/>
      <c r="I2273" s="2"/>
      <c r="J2273" s="2"/>
      <c r="K2273" s="13"/>
      <c r="L2273" s="2"/>
      <c r="M2273" s="2"/>
      <c r="N2273" s="2"/>
      <c r="O2273" s="2"/>
      <c r="P2273" s="2"/>
      <c r="Q2273" s="2"/>
      <c r="R2273" s="2"/>
      <c r="S2273" s="2"/>
    </row>
    <row r="2274" spans="1:19" s="2" customFormat="1" ht="96.2" customHeight="1" outlineLevel="5">
      <c r="A2274" s="52">
        <v>1788</v>
      </c>
      <c r="B2274" s="26" t="s">
        <v>7545</v>
      </c>
      <c r="C2274" s="66" t="s">
        <v>7546</v>
      </c>
      <c r="D2274" s="66"/>
      <c r="E2274" s="66"/>
      <c r="F2274" s="66"/>
      <c r="G2274" s="27" t="s">
        <v>7547</v>
      </c>
      <c r="H2274" s="28" t="s">
        <v>44</v>
      </c>
      <c r="I2274" s="29"/>
      <c r="J2274" s="25">
        <v>5</v>
      </c>
      <c r="K2274" s="30">
        <v>127.97</v>
      </c>
      <c r="L2274" s="17"/>
      <c r="M2274" s="29">
        <f>K2274*L2274</f>
        <v>0</v>
      </c>
      <c r="N2274" s="31">
        <f>0.017*L2274</f>
        <v>0</v>
      </c>
      <c r="O2274" s="32">
        <f>0.00009*L2274</f>
        <v>0</v>
      </c>
      <c r="P2274" s="36"/>
      <c r="Q2274" s="29" t="s">
        <v>7548</v>
      </c>
      <c r="R2274" s="29"/>
      <c r="S2274" s="26" t="str">
        <f>HYPERLINK("https://miland.ru/api/getInfo/image/aaed4303-fbb9-11ee-a25d-00155d82e908")</f>
        <v>https://miland.ru/api/getInfo/image/aaed4303-fbb9-11ee-a25d-00155d82e908</v>
      </c>
    </row>
    <row r="2275" spans="1:19" s="2" customFormat="1" ht="96.2" customHeight="1" outlineLevel="5">
      <c r="A2275" s="52">
        <v>1789</v>
      </c>
      <c r="B2275" s="26" t="s">
        <v>7549</v>
      </c>
      <c r="C2275" s="66" t="s">
        <v>7550</v>
      </c>
      <c r="D2275" s="66"/>
      <c r="E2275" s="66"/>
      <c r="F2275" s="66"/>
      <c r="G2275" s="27" t="s">
        <v>7551</v>
      </c>
      <c r="H2275" s="28" t="s">
        <v>44</v>
      </c>
      <c r="I2275" s="29"/>
      <c r="J2275" s="25">
        <v>5</v>
      </c>
      <c r="K2275" s="30">
        <v>127.97</v>
      </c>
      <c r="L2275" s="17"/>
      <c r="M2275" s="29">
        <f>K2275*L2275</f>
        <v>0</v>
      </c>
      <c r="N2275" s="31">
        <f>0.017*L2275</f>
        <v>0</v>
      </c>
      <c r="O2275" s="35">
        <f>0.0002*L2275</f>
        <v>0</v>
      </c>
      <c r="P2275" s="36"/>
      <c r="Q2275" s="29" t="s">
        <v>7552</v>
      </c>
      <c r="R2275" s="29" t="s">
        <v>611</v>
      </c>
      <c r="S2275" s="26" t="str">
        <f>HYPERLINK("https://miland.ru/api/getInfo/image/3d91ecdb-65a9-11ed-a22a-00155d82e902")</f>
        <v>https://miland.ru/api/getInfo/image/3d91ecdb-65a9-11ed-a22a-00155d82e902</v>
      </c>
    </row>
    <row r="2276" spans="1:19" s="2" customFormat="1" ht="96.2" customHeight="1" outlineLevel="5">
      <c r="A2276" s="52">
        <v>1790</v>
      </c>
      <c r="B2276" s="26" t="s">
        <v>7553</v>
      </c>
      <c r="C2276" s="66" t="s">
        <v>7554</v>
      </c>
      <c r="D2276" s="66"/>
      <c r="E2276" s="66"/>
      <c r="F2276" s="66"/>
      <c r="G2276" s="27" t="s">
        <v>7555</v>
      </c>
      <c r="H2276" s="28" t="s">
        <v>44</v>
      </c>
      <c r="I2276" s="29"/>
      <c r="J2276" s="25">
        <v>4</v>
      </c>
      <c r="K2276" s="30">
        <v>147.87</v>
      </c>
      <c r="L2276" s="17"/>
      <c r="M2276" s="29">
        <f>K2276*L2276</f>
        <v>0</v>
      </c>
      <c r="N2276" s="34">
        <f>0.01*L2276</f>
        <v>0</v>
      </c>
      <c r="O2276" s="32">
        <f>0.00047*L2276</f>
        <v>0</v>
      </c>
      <c r="P2276" s="36"/>
      <c r="Q2276" s="29" t="s">
        <v>7556</v>
      </c>
      <c r="R2276" s="29"/>
      <c r="S2276" s="26" t="str">
        <f>HYPERLINK("https://miland.ru/api/getInfo/image/ba3cea0d-fbb9-11ee-a25d-00155d82e908")</f>
        <v>https://miland.ru/api/getInfo/image/ba3cea0d-fbb9-11ee-a25d-00155d82e908</v>
      </c>
    </row>
    <row r="2277" spans="1:19" s="2" customFormat="1" ht="96.2" customHeight="1" outlineLevel="5">
      <c r="A2277" s="52">
        <v>1791</v>
      </c>
      <c r="B2277" s="26" t="s">
        <v>7557</v>
      </c>
      <c r="C2277" s="66" t="s">
        <v>7558</v>
      </c>
      <c r="D2277" s="66"/>
      <c r="E2277" s="66"/>
      <c r="F2277" s="66"/>
      <c r="G2277" s="27" t="s">
        <v>7559</v>
      </c>
      <c r="H2277" s="28" t="s">
        <v>44</v>
      </c>
      <c r="I2277" s="29"/>
      <c r="J2277" s="25">
        <v>4</v>
      </c>
      <c r="K2277" s="30">
        <v>147.87</v>
      </c>
      <c r="L2277" s="17"/>
      <c r="M2277" s="29">
        <f>K2277*L2277</f>
        <v>0</v>
      </c>
      <c r="N2277" s="31">
        <f>0.016*L2277</f>
        <v>0</v>
      </c>
      <c r="O2277" s="32">
        <f>0.00012*L2277</f>
        <v>0</v>
      </c>
      <c r="P2277" s="36"/>
      <c r="Q2277" s="29" t="s">
        <v>7560</v>
      </c>
      <c r="R2277" s="29"/>
      <c r="S2277" s="26" t="str">
        <f>HYPERLINK("https://miland.ru/api/getInfo/image/ce23fbaf-fbb9-11ee-a25d-00155d82e908")</f>
        <v>https://miland.ru/api/getInfo/image/ce23fbaf-fbb9-11ee-a25d-00155d82e908</v>
      </c>
    </row>
    <row r="2278" spans="1:19" s="1" customFormat="1" ht="12" customHeight="1" outlineLevel="3">
      <c r="A2278" s="64" t="s">
        <v>7561</v>
      </c>
      <c r="B2278" s="64"/>
      <c r="C2278" s="64"/>
      <c r="D2278" s="64"/>
      <c r="E2278" s="64"/>
      <c r="F2278" s="64"/>
      <c r="G2278" s="8"/>
      <c r="H2278" s="12"/>
      <c r="I2278" s="2"/>
      <c r="J2278" s="2"/>
      <c r="K2278" s="13"/>
      <c r="L2278" s="2"/>
      <c r="M2278" s="2"/>
      <c r="N2278" s="2"/>
      <c r="O2278" s="2"/>
      <c r="P2278" s="2"/>
      <c r="Q2278" s="2"/>
      <c r="R2278" s="2"/>
      <c r="S2278" s="2"/>
    </row>
    <row r="2279" spans="1:19" s="1" customFormat="1" ht="12" customHeight="1" outlineLevel="4">
      <c r="A2279" s="64" t="s">
        <v>7562</v>
      </c>
      <c r="B2279" s="64"/>
      <c r="C2279" s="64"/>
      <c r="D2279" s="64"/>
      <c r="E2279" s="64"/>
      <c r="F2279" s="64"/>
      <c r="G2279" s="8"/>
      <c r="H2279" s="12"/>
      <c r="I2279" s="2"/>
      <c r="J2279" s="2"/>
      <c r="K2279" s="13"/>
      <c r="L2279" s="2"/>
      <c r="M2279" s="2"/>
      <c r="N2279" s="2"/>
      <c r="O2279" s="2"/>
      <c r="P2279" s="2"/>
      <c r="Q2279" s="2"/>
      <c r="R2279" s="2"/>
      <c r="S2279" s="2"/>
    </row>
    <row r="2280" spans="1:19" s="2" customFormat="1" ht="96.2" customHeight="1" outlineLevel="5">
      <c r="A2280" s="52">
        <v>1792</v>
      </c>
      <c r="B2280" s="26" t="s">
        <v>7563</v>
      </c>
      <c r="C2280" s="66" t="s">
        <v>7564</v>
      </c>
      <c r="D2280" s="66"/>
      <c r="E2280" s="66"/>
      <c r="F2280" s="66"/>
      <c r="G2280" s="27" t="s">
        <v>7565</v>
      </c>
      <c r="H2280" s="33">
        <v>1</v>
      </c>
      <c r="I2280" s="29"/>
      <c r="J2280" s="25">
        <v>1</v>
      </c>
      <c r="K2280" s="30">
        <v>39.380000000000003</v>
      </c>
      <c r="L2280" s="17"/>
      <c r="M2280" s="29">
        <f>K2280*L2280</f>
        <v>0</v>
      </c>
      <c r="N2280" s="34">
        <f>0.04*L2280</f>
        <v>0</v>
      </c>
      <c r="O2280" s="32">
        <f>0.00022*L2280</f>
        <v>0</v>
      </c>
      <c r="P2280" s="36"/>
      <c r="Q2280" s="29" t="s">
        <v>7566</v>
      </c>
      <c r="R2280" s="29"/>
      <c r="S2280" s="26" t="str">
        <f>HYPERLINK("https://miland.ru/api/getInfo/image/c3e6290a-fa7a-11ef-a274-00155d82e908")</f>
        <v>https://miland.ru/api/getInfo/image/c3e6290a-fa7a-11ef-a274-00155d82e908</v>
      </c>
    </row>
    <row r="2281" spans="1:19" s="2" customFormat="1" ht="96.2" customHeight="1" outlineLevel="5">
      <c r="A2281" s="52">
        <v>1793</v>
      </c>
      <c r="B2281" s="26" t="s">
        <v>7567</v>
      </c>
      <c r="C2281" s="66" t="s">
        <v>7568</v>
      </c>
      <c r="D2281" s="66"/>
      <c r="E2281" s="66"/>
      <c r="F2281" s="66"/>
      <c r="G2281" s="27" t="s">
        <v>7569</v>
      </c>
      <c r="H2281" s="33">
        <v>17</v>
      </c>
      <c r="I2281" s="29"/>
      <c r="J2281" s="25">
        <v>17</v>
      </c>
      <c r="K2281" s="30">
        <v>39.380000000000003</v>
      </c>
      <c r="L2281" s="17"/>
      <c r="M2281" s="29">
        <f>K2281*L2281</f>
        <v>0</v>
      </c>
      <c r="N2281" s="31">
        <f>0.037*L2281</f>
        <v>0</v>
      </c>
      <c r="O2281" s="32">
        <f>0.00021*L2281</f>
        <v>0</v>
      </c>
      <c r="P2281" s="36"/>
      <c r="Q2281" s="29" t="s">
        <v>7570</v>
      </c>
      <c r="R2281" s="29"/>
      <c r="S2281" s="26" t="str">
        <f>HYPERLINK("https://miland.ru/api/getInfo/image/f0904c68-fa7c-11ef-a274-00155d82e908")</f>
        <v>https://miland.ru/api/getInfo/image/f0904c68-fa7c-11ef-a274-00155d82e908</v>
      </c>
    </row>
    <row r="2282" spans="1:19" s="1" customFormat="1" ht="12" customHeight="1" outlineLevel="4">
      <c r="A2282" s="64" t="s">
        <v>7571</v>
      </c>
      <c r="B2282" s="64"/>
      <c r="C2282" s="64"/>
      <c r="D2282" s="64"/>
      <c r="E2282" s="64"/>
      <c r="F2282" s="64"/>
      <c r="G2282" s="8"/>
      <c r="H2282" s="12"/>
      <c r="I2282" s="2"/>
      <c r="J2282" s="2"/>
      <c r="K2282" s="13"/>
      <c r="L2282" s="2"/>
      <c r="M2282" s="2"/>
      <c r="N2282" s="2"/>
      <c r="O2282" s="2"/>
      <c r="P2282" s="2"/>
      <c r="Q2282" s="2"/>
      <c r="R2282" s="2"/>
      <c r="S2282" s="2"/>
    </row>
    <row r="2283" spans="1:19" s="2" customFormat="1" ht="96.2" customHeight="1" outlineLevel="5">
      <c r="A2283" s="52">
        <v>1794</v>
      </c>
      <c r="B2283" s="26" t="s">
        <v>7572</v>
      </c>
      <c r="C2283" s="66" t="s">
        <v>7573</v>
      </c>
      <c r="D2283" s="66"/>
      <c r="E2283" s="66"/>
      <c r="F2283" s="66"/>
      <c r="G2283" s="27" t="s">
        <v>7574</v>
      </c>
      <c r="H2283" s="28" t="s">
        <v>44</v>
      </c>
      <c r="I2283" s="29"/>
      <c r="J2283" s="25">
        <v>24</v>
      </c>
      <c r="K2283" s="30">
        <v>61.88</v>
      </c>
      <c r="L2283" s="17"/>
      <c r="M2283" s="29">
        <f>K2283*L2283</f>
        <v>0</v>
      </c>
      <c r="N2283" s="34">
        <f>0.08*L2283</f>
        <v>0</v>
      </c>
      <c r="O2283" s="32">
        <f>0.00037*L2283</f>
        <v>0</v>
      </c>
      <c r="P2283" s="36"/>
      <c r="Q2283" s="29" t="s">
        <v>7575</v>
      </c>
      <c r="R2283" s="29"/>
      <c r="S2283" s="26" t="str">
        <f>HYPERLINK("https://miland.ru/api/getInfo/image/911c633c-fa7f-11ef-a274-00155d82e908")</f>
        <v>https://miland.ru/api/getInfo/image/911c633c-fa7f-11ef-a274-00155d82e908</v>
      </c>
    </row>
    <row r="2284" spans="1:19" s="2" customFormat="1" ht="96.2" customHeight="1" outlineLevel="5">
      <c r="A2284" s="52">
        <v>1795</v>
      </c>
      <c r="B2284" s="26" t="s">
        <v>7576</v>
      </c>
      <c r="C2284" s="66" t="s">
        <v>7577</v>
      </c>
      <c r="D2284" s="66"/>
      <c r="E2284" s="66"/>
      <c r="F2284" s="66"/>
      <c r="G2284" s="27" t="s">
        <v>7578</v>
      </c>
      <c r="H2284" s="28" t="s">
        <v>44</v>
      </c>
      <c r="I2284" s="29"/>
      <c r="J2284" s="25">
        <v>24</v>
      </c>
      <c r="K2284" s="30">
        <v>61.88</v>
      </c>
      <c r="L2284" s="17"/>
      <c r="M2284" s="29">
        <f>K2284*L2284</f>
        <v>0</v>
      </c>
      <c r="N2284" s="34">
        <f>0.06*L2284</f>
        <v>0</v>
      </c>
      <c r="O2284" s="32">
        <f>0.00035*L2284</f>
        <v>0</v>
      </c>
      <c r="P2284" s="36"/>
      <c r="Q2284" s="29" t="s">
        <v>7579</v>
      </c>
      <c r="R2284" s="29"/>
      <c r="S2284" s="26" t="str">
        <f>HYPERLINK("https://miland.ru/api/getInfo/image/1191f0c8-fa80-11ef-a274-00155d82e908")</f>
        <v>https://miland.ru/api/getInfo/image/1191f0c8-fa80-11ef-a274-00155d82e908</v>
      </c>
    </row>
    <row r="2285" spans="1:19" s="2" customFormat="1" ht="96.2" customHeight="1" outlineLevel="5">
      <c r="A2285" s="52">
        <v>1796</v>
      </c>
      <c r="B2285" s="26" t="s">
        <v>7580</v>
      </c>
      <c r="C2285" s="66" t="s">
        <v>7581</v>
      </c>
      <c r="D2285" s="66"/>
      <c r="E2285" s="66"/>
      <c r="F2285" s="66"/>
      <c r="G2285" s="27" t="s">
        <v>7582</v>
      </c>
      <c r="H2285" s="33">
        <v>240</v>
      </c>
      <c r="I2285" s="29"/>
      <c r="J2285" s="25">
        <v>24</v>
      </c>
      <c r="K2285" s="30">
        <v>61.88</v>
      </c>
      <c r="L2285" s="17"/>
      <c r="M2285" s="29">
        <f>K2285*L2285</f>
        <v>0</v>
      </c>
      <c r="N2285" s="31">
        <f>0.059*L2285</f>
        <v>0</v>
      </c>
      <c r="O2285" s="32">
        <f>0.00038*L2285</f>
        <v>0</v>
      </c>
      <c r="P2285" s="36"/>
      <c r="Q2285" s="29" t="s">
        <v>7583</v>
      </c>
      <c r="R2285" s="29"/>
      <c r="S2285" s="26" t="str">
        <f>HYPERLINK("https://miland.ru/api/getInfo/image/83670eed-fa80-11ef-a274-00155d82e908")</f>
        <v>https://miland.ru/api/getInfo/image/83670eed-fa80-11ef-a274-00155d82e908</v>
      </c>
    </row>
    <row r="2286" spans="1:19" s="2" customFormat="1" ht="96.2" customHeight="1" outlineLevel="5">
      <c r="A2286" s="52">
        <v>1797</v>
      </c>
      <c r="B2286" s="26" t="s">
        <v>7584</v>
      </c>
      <c r="C2286" s="66" t="s">
        <v>7585</v>
      </c>
      <c r="D2286" s="66"/>
      <c r="E2286" s="66"/>
      <c r="F2286" s="66"/>
      <c r="G2286" s="27" t="s">
        <v>7586</v>
      </c>
      <c r="H2286" s="28" t="s">
        <v>44</v>
      </c>
      <c r="I2286" s="29"/>
      <c r="J2286" s="25">
        <v>24</v>
      </c>
      <c r="K2286" s="30">
        <v>61.88</v>
      </c>
      <c r="L2286" s="17"/>
      <c r="M2286" s="29">
        <f>K2286*L2286</f>
        <v>0</v>
      </c>
      <c r="N2286" s="31">
        <f>0.055*L2286</f>
        <v>0</v>
      </c>
      <c r="O2286" s="32">
        <f>0.00033*L2286</f>
        <v>0</v>
      </c>
      <c r="P2286" s="36"/>
      <c r="Q2286" s="29" t="s">
        <v>7587</v>
      </c>
      <c r="R2286" s="29"/>
      <c r="S2286" s="26" t="str">
        <f>HYPERLINK("https://miland.ru/api/getInfo/image/20b1d596-fa7e-11ef-a274-00155d82e908")</f>
        <v>https://miland.ru/api/getInfo/image/20b1d596-fa7e-11ef-a274-00155d82e908</v>
      </c>
    </row>
    <row r="2287" spans="1:19" s="1" customFormat="1" ht="12" customHeight="1" outlineLevel="4">
      <c r="A2287" s="64" t="s">
        <v>7588</v>
      </c>
      <c r="B2287" s="64"/>
      <c r="C2287" s="64"/>
      <c r="D2287" s="64"/>
      <c r="E2287" s="64"/>
      <c r="F2287" s="64"/>
      <c r="G2287" s="8"/>
      <c r="H2287" s="12"/>
      <c r="I2287" s="2"/>
      <c r="J2287" s="2"/>
      <c r="K2287" s="13"/>
      <c r="L2287" s="2"/>
      <c r="M2287" s="2"/>
      <c r="N2287" s="2"/>
      <c r="O2287" s="2"/>
      <c r="P2287" s="2"/>
      <c r="Q2287" s="2"/>
      <c r="R2287" s="2"/>
      <c r="S2287" s="2"/>
    </row>
    <row r="2288" spans="1:19" s="2" customFormat="1" ht="96.2" customHeight="1" outlineLevel="5">
      <c r="A2288" s="52">
        <v>1798</v>
      </c>
      <c r="B2288" s="26" t="s">
        <v>7589</v>
      </c>
      <c r="C2288" s="66" t="s">
        <v>7590</v>
      </c>
      <c r="D2288" s="66"/>
      <c r="E2288" s="66"/>
      <c r="F2288" s="66"/>
      <c r="G2288" s="27" t="s">
        <v>7591</v>
      </c>
      <c r="H2288" s="28" t="s">
        <v>44</v>
      </c>
      <c r="I2288" s="29"/>
      <c r="J2288" s="25">
        <v>24</v>
      </c>
      <c r="K2288" s="30">
        <v>77.23</v>
      </c>
      <c r="L2288" s="17"/>
      <c r="M2288" s="29">
        <f>K2288*L2288</f>
        <v>0</v>
      </c>
      <c r="N2288" s="31">
        <f>0.073*L2288</f>
        <v>0</v>
      </c>
      <c r="O2288" s="32">
        <f>0.00046*L2288</f>
        <v>0</v>
      </c>
      <c r="P2288" s="36"/>
      <c r="Q2288" s="29" t="s">
        <v>7592</v>
      </c>
      <c r="R2288" s="29"/>
      <c r="S2288" s="26" t="str">
        <f>HYPERLINK("https://miland.ru/api/getInfo/image/abf2bd66-fa82-11ef-a274-00155d82e908")</f>
        <v>https://miland.ru/api/getInfo/image/abf2bd66-fa82-11ef-a274-00155d82e908</v>
      </c>
    </row>
    <row r="2289" spans="1:19" s="1" customFormat="1" ht="12" customHeight="1" outlineLevel="4">
      <c r="A2289" s="64" t="s">
        <v>7593</v>
      </c>
      <c r="B2289" s="64"/>
      <c r="C2289" s="64"/>
      <c r="D2289" s="64"/>
      <c r="E2289" s="64"/>
      <c r="F2289" s="64"/>
      <c r="G2289" s="8"/>
      <c r="H2289" s="12"/>
      <c r="I2289" s="2"/>
      <c r="J2289" s="2"/>
      <c r="K2289" s="13"/>
      <c r="L2289" s="2"/>
      <c r="M2289" s="2"/>
      <c r="N2289" s="2"/>
      <c r="O2289" s="2"/>
      <c r="P2289" s="2"/>
      <c r="Q2289" s="2"/>
      <c r="R2289" s="2"/>
      <c r="S2289" s="2"/>
    </row>
    <row r="2290" spans="1:19" s="2" customFormat="1" ht="96.2" customHeight="1" outlineLevel="5">
      <c r="A2290" s="52">
        <v>1799</v>
      </c>
      <c r="B2290" s="26" t="s">
        <v>7594</v>
      </c>
      <c r="C2290" s="66" t="s">
        <v>7595</v>
      </c>
      <c r="D2290" s="66"/>
      <c r="E2290" s="66"/>
      <c r="F2290" s="66"/>
      <c r="G2290" s="27" t="s">
        <v>7596</v>
      </c>
      <c r="H2290" s="28" t="s">
        <v>44</v>
      </c>
      <c r="I2290" s="29"/>
      <c r="J2290" s="25">
        <v>5</v>
      </c>
      <c r="K2290" s="30">
        <v>130.61000000000001</v>
      </c>
      <c r="L2290" s="17"/>
      <c r="M2290" s="29">
        <f>K2290*L2290</f>
        <v>0</v>
      </c>
      <c r="N2290" s="31">
        <f>0.123*L2290</f>
        <v>0</v>
      </c>
      <c r="O2290" s="35">
        <f>0.0007*L2290</f>
        <v>0</v>
      </c>
      <c r="P2290" s="36"/>
      <c r="Q2290" s="29" t="s">
        <v>7597</v>
      </c>
      <c r="R2290" s="29" t="s">
        <v>611</v>
      </c>
      <c r="S2290" s="26" t="str">
        <f>HYPERLINK("https://miland.ru/api/getInfo/image/6dc0a558-92ba-11eb-a233-0cc47a2bbb49")</f>
        <v>https://miland.ru/api/getInfo/image/6dc0a558-92ba-11eb-a233-0cc47a2bbb49</v>
      </c>
    </row>
    <row r="2291" spans="1:19" s="1" customFormat="1" ht="12" customHeight="1" outlineLevel="4">
      <c r="A2291" s="64" t="s">
        <v>7598</v>
      </c>
      <c r="B2291" s="64"/>
      <c r="C2291" s="64"/>
      <c r="D2291" s="64"/>
      <c r="E2291" s="64"/>
      <c r="F2291" s="64"/>
      <c r="G2291" s="8"/>
      <c r="H2291" s="12"/>
      <c r="I2291" s="2"/>
      <c r="J2291" s="2"/>
      <c r="K2291" s="13"/>
      <c r="L2291" s="2"/>
      <c r="M2291" s="2"/>
      <c r="N2291" s="2"/>
      <c r="O2291" s="2"/>
      <c r="P2291" s="2"/>
      <c r="Q2291" s="2"/>
      <c r="R2291" s="2"/>
      <c r="S2291" s="2"/>
    </row>
    <row r="2292" spans="1:19" s="2" customFormat="1" ht="96.2" customHeight="1" outlineLevel="5">
      <c r="A2292" s="52">
        <v>1800</v>
      </c>
      <c r="B2292" s="26" t="s">
        <v>7599</v>
      </c>
      <c r="C2292" s="66" t="s">
        <v>7600</v>
      </c>
      <c r="D2292" s="66"/>
      <c r="E2292" s="66"/>
      <c r="F2292" s="66"/>
      <c r="G2292" s="27" t="s">
        <v>7601</v>
      </c>
      <c r="H2292" s="33">
        <v>10</v>
      </c>
      <c r="I2292" s="29"/>
      <c r="J2292" s="25">
        <v>5</v>
      </c>
      <c r="K2292" s="30">
        <v>129.37</v>
      </c>
      <c r="L2292" s="17"/>
      <c r="M2292" s="29">
        <f t="shared" ref="M2292:M2297" si="109">K2292*L2292</f>
        <v>0</v>
      </c>
      <c r="N2292" s="34">
        <f>0.14*L2292</f>
        <v>0</v>
      </c>
      <c r="O2292" s="32">
        <f>0.00085*L2292</f>
        <v>0</v>
      </c>
      <c r="P2292" s="36"/>
      <c r="Q2292" s="29" t="s">
        <v>7602</v>
      </c>
      <c r="R2292" s="29"/>
      <c r="S2292" s="26" t="str">
        <f>HYPERLINK("https://miland.ru/api/getInfo/image/cf08c8bd-fa84-11ef-a274-00155d82e908")</f>
        <v>https://miland.ru/api/getInfo/image/cf08c8bd-fa84-11ef-a274-00155d82e908</v>
      </c>
    </row>
    <row r="2293" spans="1:19" s="2" customFormat="1" ht="96.2" customHeight="1" outlineLevel="5">
      <c r="A2293" s="52">
        <v>1801</v>
      </c>
      <c r="B2293" s="26" t="s">
        <v>7603</v>
      </c>
      <c r="C2293" s="66" t="s">
        <v>7604</v>
      </c>
      <c r="D2293" s="66"/>
      <c r="E2293" s="66"/>
      <c r="F2293" s="66"/>
      <c r="G2293" s="27" t="s">
        <v>7605</v>
      </c>
      <c r="H2293" s="28" t="s">
        <v>44</v>
      </c>
      <c r="I2293" s="29"/>
      <c r="J2293" s="25">
        <v>5</v>
      </c>
      <c r="K2293" s="30">
        <v>129.37</v>
      </c>
      <c r="L2293" s="17"/>
      <c r="M2293" s="29">
        <f t="shared" si="109"/>
        <v>0</v>
      </c>
      <c r="N2293" s="31">
        <f>0.136*L2293</f>
        <v>0</v>
      </c>
      <c r="O2293" s="32">
        <f>0.00092*L2293</f>
        <v>0</v>
      </c>
      <c r="P2293" s="36"/>
      <c r="Q2293" s="29" t="s">
        <v>7606</v>
      </c>
      <c r="R2293" s="29"/>
      <c r="S2293" s="26" t="str">
        <f>HYPERLINK("https://miland.ru/api/getInfo/image/a138c3ff-fa83-11ef-a274-00155d82e908")</f>
        <v>https://miland.ru/api/getInfo/image/a138c3ff-fa83-11ef-a274-00155d82e908</v>
      </c>
    </row>
    <row r="2294" spans="1:19" s="2" customFormat="1" ht="96.2" customHeight="1" outlineLevel="5">
      <c r="A2294" s="52">
        <v>1802</v>
      </c>
      <c r="B2294" s="26" t="s">
        <v>7607</v>
      </c>
      <c r="C2294" s="66" t="s">
        <v>7608</v>
      </c>
      <c r="D2294" s="66"/>
      <c r="E2294" s="66"/>
      <c r="F2294" s="66"/>
      <c r="G2294" s="27" t="s">
        <v>7609</v>
      </c>
      <c r="H2294" s="28" t="s">
        <v>44</v>
      </c>
      <c r="I2294" s="29"/>
      <c r="J2294" s="25">
        <v>5</v>
      </c>
      <c r="K2294" s="30">
        <v>129.37</v>
      </c>
      <c r="L2294" s="17"/>
      <c r="M2294" s="29">
        <f t="shared" si="109"/>
        <v>0</v>
      </c>
      <c r="N2294" s="31">
        <f>0.088*L2294</f>
        <v>0</v>
      </c>
      <c r="O2294" s="32">
        <f>0.00082*L2294</f>
        <v>0</v>
      </c>
      <c r="P2294" s="36"/>
      <c r="Q2294" s="29" t="s">
        <v>7610</v>
      </c>
      <c r="R2294" s="29"/>
      <c r="S2294" s="26" t="str">
        <f>HYPERLINK("https://miland.ru/api/getInfo/image/6e37fbc5-fa85-11ef-a274-00155d82e908")</f>
        <v>https://miland.ru/api/getInfo/image/6e37fbc5-fa85-11ef-a274-00155d82e908</v>
      </c>
    </row>
    <row r="2295" spans="1:19" s="2" customFormat="1" ht="96.2" customHeight="1" outlineLevel="5">
      <c r="A2295" s="52">
        <v>1803</v>
      </c>
      <c r="B2295" s="26" t="s">
        <v>7611</v>
      </c>
      <c r="C2295" s="66" t="s">
        <v>7612</v>
      </c>
      <c r="D2295" s="66"/>
      <c r="E2295" s="66"/>
      <c r="F2295" s="66"/>
      <c r="G2295" s="27" t="s">
        <v>7613</v>
      </c>
      <c r="H2295" s="28" t="s">
        <v>44</v>
      </c>
      <c r="I2295" s="29"/>
      <c r="J2295" s="25">
        <v>5</v>
      </c>
      <c r="K2295" s="30">
        <v>129.37</v>
      </c>
      <c r="L2295" s="17"/>
      <c r="M2295" s="29">
        <f t="shared" si="109"/>
        <v>0</v>
      </c>
      <c r="N2295" s="31">
        <f>0.122*L2295</f>
        <v>0</v>
      </c>
      <c r="O2295" s="32">
        <f>0.00083*L2295</f>
        <v>0</v>
      </c>
      <c r="P2295" s="36"/>
      <c r="Q2295" s="29" t="s">
        <v>7614</v>
      </c>
      <c r="R2295" s="29"/>
      <c r="S2295" s="26" t="str">
        <f>HYPERLINK("https://miland.ru/api/getInfo/image/f848dbc0-fa85-11ef-a274-00155d82e908")</f>
        <v>https://miland.ru/api/getInfo/image/f848dbc0-fa85-11ef-a274-00155d82e908</v>
      </c>
    </row>
    <row r="2296" spans="1:19" s="2" customFormat="1" ht="96.2" customHeight="1" outlineLevel="5">
      <c r="A2296" s="52">
        <v>1804</v>
      </c>
      <c r="B2296" s="26" t="s">
        <v>7615</v>
      </c>
      <c r="C2296" s="66" t="s">
        <v>7616</v>
      </c>
      <c r="D2296" s="66"/>
      <c r="E2296" s="66"/>
      <c r="F2296" s="66"/>
      <c r="G2296" s="27" t="s">
        <v>7617</v>
      </c>
      <c r="H2296" s="28" t="s">
        <v>44</v>
      </c>
      <c r="I2296" s="29"/>
      <c r="J2296" s="25">
        <v>5</v>
      </c>
      <c r="K2296" s="30">
        <v>129.37</v>
      </c>
      <c r="L2296" s="17"/>
      <c r="M2296" s="29">
        <f t="shared" si="109"/>
        <v>0</v>
      </c>
      <c r="N2296" s="31">
        <f>0.122*L2296</f>
        <v>0</v>
      </c>
      <c r="O2296" s="32">
        <f>0.00084*L2296</f>
        <v>0</v>
      </c>
      <c r="P2296" s="36"/>
      <c r="Q2296" s="29" t="s">
        <v>7618</v>
      </c>
      <c r="R2296" s="29"/>
      <c r="S2296" s="26" t="str">
        <f>HYPERLINK("https://miland.ru/api/getInfo/image/e1eb82f6-fa86-11ef-a274-00155d82e908")</f>
        <v>https://miland.ru/api/getInfo/image/e1eb82f6-fa86-11ef-a274-00155d82e908</v>
      </c>
    </row>
    <row r="2297" spans="1:19" s="2" customFormat="1" ht="96.2" customHeight="1" outlineLevel="5">
      <c r="A2297" s="52">
        <v>1805</v>
      </c>
      <c r="B2297" s="26" t="s">
        <v>7619</v>
      </c>
      <c r="C2297" s="66" t="s">
        <v>7620</v>
      </c>
      <c r="D2297" s="66"/>
      <c r="E2297" s="66"/>
      <c r="F2297" s="66"/>
      <c r="G2297" s="27" t="s">
        <v>7621</v>
      </c>
      <c r="H2297" s="28" t="s">
        <v>44</v>
      </c>
      <c r="I2297" s="29"/>
      <c r="J2297" s="25">
        <v>5</v>
      </c>
      <c r="K2297" s="30">
        <v>129.37</v>
      </c>
      <c r="L2297" s="17"/>
      <c r="M2297" s="29">
        <f t="shared" si="109"/>
        <v>0</v>
      </c>
      <c r="N2297" s="31">
        <f>0.119*L2297</f>
        <v>0</v>
      </c>
      <c r="O2297" s="32">
        <f>0.00074*L2297</f>
        <v>0</v>
      </c>
      <c r="P2297" s="36"/>
      <c r="Q2297" s="29" t="s">
        <v>7622</v>
      </c>
      <c r="R2297" s="29"/>
      <c r="S2297" s="26" t="str">
        <f>HYPERLINK("https://miland.ru/api/getInfo/image/7accabe7-fa87-11ef-a274-00155d82e908")</f>
        <v>https://miland.ru/api/getInfo/image/7accabe7-fa87-11ef-a274-00155d82e908</v>
      </c>
    </row>
    <row r="2298" spans="1:19" s="1" customFormat="1" ht="12" customHeight="1" outlineLevel="4">
      <c r="A2298" s="64" t="s">
        <v>7623</v>
      </c>
      <c r="B2298" s="64"/>
      <c r="C2298" s="64"/>
      <c r="D2298" s="64"/>
      <c r="E2298" s="64"/>
      <c r="F2298" s="64"/>
      <c r="G2298" s="8"/>
      <c r="H2298" s="12"/>
      <c r="I2298" s="2"/>
      <c r="J2298" s="2"/>
      <c r="K2298" s="13"/>
      <c r="L2298" s="2"/>
      <c r="M2298" s="2"/>
      <c r="N2298" s="2"/>
      <c r="O2298" s="2"/>
      <c r="P2298" s="2"/>
      <c r="Q2298" s="2"/>
      <c r="R2298" s="2"/>
      <c r="S2298" s="2"/>
    </row>
    <row r="2299" spans="1:19" s="2" customFormat="1" ht="96.2" customHeight="1" outlineLevel="5">
      <c r="A2299" s="52">
        <v>1806</v>
      </c>
      <c r="B2299" s="26" t="s">
        <v>7624</v>
      </c>
      <c r="C2299" s="66" t="s">
        <v>7625</v>
      </c>
      <c r="D2299" s="66"/>
      <c r="E2299" s="66"/>
      <c r="F2299" s="66"/>
      <c r="G2299" s="27" t="s">
        <v>7626</v>
      </c>
      <c r="H2299" s="33">
        <v>2</v>
      </c>
      <c r="I2299" s="29"/>
      <c r="J2299" s="25">
        <v>2</v>
      </c>
      <c r="K2299" s="30">
        <v>141.49</v>
      </c>
      <c r="L2299" s="17"/>
      <c r="M2299" s="29">
        <f t="shared" ref="M2299:M2305" si="110">K2299*L2299</f>
        <v>0</v>
      </c>
      <c r="N2299" s="34">
        <f>0.16*L2299</f>
        <v>0</v>
      </c>
      <c r="O2299" s="32">
        <f>0.00105*L2299</f>
        <v>0</v>
      </c>
      <c r="P2299" s="36"/>
      <c r="Q2299" s="29" t="s">
        <v>7627</v>
      </c>
      <c r="R2299" s="29"/>
      <c r="S2299" s="26" t="str">
        <f>HYPERLINK("https://miland.ru/api/getInfo/image/a700598c-fa88-11ef-a274-00155d82e908")</f>
        <v>https://miland.ru/api/getInfo/image/a700598c-fa88-11ef-a274-00155d82e908</v>
      </c>
    </row>
    <row r="2300" spans="1:19" s="2" customFormat="1" ht="96.2" customHeight="1" outlineLevel="5">
      <c r="A2300" s="52">
        <v>1807</v>
      </c>
      <c r="B2300" s="26" t="s">
        <v>7628</v>
      </c>
      <c r="C2300" s="66" t="s">
        <v>7629</v>
      </c>
      <c r="D2300" s="66"/>
      <c r="E2300" s="66"/>
      <c r="F2300" s="66"/>
      <c r="G2300" s="27" t="s">
        <v>7630</v>
      </c>
      <c r="H2300" s="33">
        <v>140</v>
      </c>
      <c r="I2300" s="29"/>
      <c r="J2300" s="25">
        <v>4</v>
      </c>
      <c r="K2300" s="30">
        <v>141.49</v>
      </c>
      <c r="L2300" s="17"/>
      <c r="M2300" s="29">
        <f t="shared" si="110"/>
        <v>0</v>
      </c>
      <c r="N2300" s="31">
        <f>0.157*L2300</f>
        <v>0</v>
      </c>
      <c r="O2300" s="32">
        <f>0.00123*L2300</f>
        <v>0</v>
      </c>
      <c r="P2300" s="36"/>
      <c r="Q2300" s="29" t="s">
        <v>7631</v>
      </c>
      <c r="R2300" s="29"/>
      <c r="S2300" s="26" t="str">
        <f>HYPERLINK("https://miland.ru/api/getInfo/image/55e1916d-fa89-11ef-a274-00155d82e908")</f>
        <v>https://miland.ru/api/getInfo/image/55e1916d-fa89-11ef-a274-00155d82e908</v>
      </c>
    </row>
    <row r="2301" spans="1:19" s="2" customFormat="1" ht="96.2" customHeight="1" outlineLevel="5">
      <c r="A2301" s="52">
        <v>1808</v>
      </c>
      <c r="B2301" s="26" t="s">
        <v>7632</v>
      </c>
      <c r="C2301" s="66" t="s">
        <v>7633</v>
      </c>
      <c r="D2301" s="66"/>
      <c r="E2301" s="66"/>
      <c r="F2301" s="66"/>
      <c r="G2301" s="27" t="s">
        <v>7634</v>
      </c>
      <c r="H2301" s="33">
        <v>462</v>
      </c>
      <c r="I2301" s="29"/>
      <c r="J2301" s="25">
        <v>4</v>
      </c>
      <c r="K2301" s="30">
        <v>141.49</v>
      </c>
      <c r="L2301" s="17"/>
      <c r="M2301" s="29">
        <f t="shared" si="110"/>
        <v>0</v>
      </c>
      <c r="N2301" s="31">
        <f>0.151*L2301</f>
        <v>0</v>
      </c>
      <c r="O2301" s="32">
        <f>0.00108*L2301</f>
        <v>0</v>
      </c>
      <c r="P2301" s="36"/>
      <c r="Q2301" s="29" t="s">
        <v>7635</v>
      </c>
      <c r="R2301" s="29"/>
      <c r="S2301" s="26" t="str">
        <f>HYPERLINK("https://miland.ru/api/getInfo/image/fef7b38e-fa89-11ef-a274-00155d82e908")</f>
        <v>https://miland.ru/api/getInfo/image/fef7b38e-fa89-11ef-a274-00155d82e908</v>
      </c>
    </row>
    <row r="2302" spans="1:19" s="2" customFormat="1" ht="96.2" customHeight="1" outlineLevel="5">
      <c r="A2302" s="52">
        <v>1809</v>
      </c>
      <c r="B2302" s="26" t="s">
        <v>7636</v>
      </c>
      <c r="C2302" s="66" t="s">
        <v>7637</v>
      </c>
      <c r="D2302" s="66"/>
      <c r="E2302" s="66"/>
      <c r="F2302" s="66"/>
      <c r="G2302" s="27" t="s">
        <v>7638</v>
      </c>
      <c r="H2302" s="33">
        <v>74</v>
      </c>
      <c r="I2302" s="29"/>
      <c r="J2302" s="25">
        <v>4</v>
      </c>
      <c r="K2302" s="30">
        <v>141.49</v>
      </c>
      <c r="L2302" s="17"/>
      <c r="M2302" s="29">
        <f t="shared" si="110"/>
        <v>0</v>
      </c>
      <c r="N2302" s="31">
        <f>0.158*L2302</f>
        <v>0</v>
      </c>
      <c r="O2302" s="32">
        <f>0.00124*L2302</f>
        <v>0</v>
      </c>
      <c r="P2302" s="36"/>
      <c r="Q2302" s="29" t="s">
        <v>7639</v>
      </c>
      <c r="R2302" s="29"/>
      <c r="S2302" s="26" t="str">
        <f>HYPERLINK("https://miland.ru/api/getInfo/image/3a57fd23-fa8b-11ef-a274-00155d82e908")</f>
        <v>https://miland.ru/api/getInfo/image/3a57fd23-fa8b-11ef-a274-00155d82e908</v>
      </c>
    </row>
    <row r="2303" spans="1:19" s="2" customFormat="1" ht="96.2" customHeight="1" outlineLevel="5">
      <c r="A2303" s="52">
        <v>1810</v>
      </c>
      <c r="B2303" s="26" t="s">
        <v>7640</v>
      </c>
      <c r="C2303" s="66" t="s">
        <v>7641</v>
      </c>
      <c r="D2303" s="66"/>
      <c r="E2303" s="66"/>
      <c r="F2303" s="66"/>
      <c r="G2303" s="27" t="s">
        <v>7642</v>
      </c>
      <c r="H2303" s="28" t="s">
        <v>44</v>
      </c>
      <c r="I2303" s="29"/>
      <c r="J2303" s="25">
        <v>4</v>
      </c>
      <c r="K2303" s="30">
        <v>141.49</v>
      </c>
      <c r="L2303" s="17"/>
      <c r="M2303" s="29">
        <f t="shared" si="110"/>
        <v>0</v>
      </c>
      <c r="N2303" s="31">
        <f>0.159*L2303</f>
        <v>0</v>
      </c>
      <c r="O2303" s="32">
        <f>0.00121*L2303</f>
        <v>0</v>
      </c>
      <c r="P2303" s="36"/>
      <c r="Q2303" s="29" t="s">
        <v>7643</v>
      </c>
      <c r="R2303" s="29"/>
      <c r="S2303" s="26" t="str">
        <f>HYPERLINK("https://miland.ru/api/getInfo/image/82647920-fa8a-11ef-a274-00155d82e908")</f>
        <v>https://miland.ru/api/getInfo/image/82647920-fa8a-11ef-a274-00155d82e908</v>
      </c>
    </row>
    <row r="2304" spans="1:19" s="2" customFormat="1" ht="96.2" customHeight="1" outlineLevel="5">
      <c r="A2304" s="52">
        <v>1811</v>
      </c>
      <c r="B2304" s="26" t="s">
        <v>7644</v>
      </c>
      <c r="C2304" s="66" t="s">
        <v>7645</v>
      </c>
      <c r="D2304" s="66"/>
      <c r="E2304" s="66"/>
      <c r="F2304" s="66"/>
      <c r="G2304" s="27" t="s">
        <v>7646</v>
      </c>
      <c r="H2304" s="33">
        <v>19</v>
      </c>
      <c r="I2304" s="29"/>
      <c r="J2304" s="25">
        <v>4</v>
      </c>
      <c r="K2304" s="30">
        <v>141.49</v>
      </c>
      <c r="L2304" s="17"/>
      <c r="M2304" s="29">
        <f t="shared" si="110"/>
        <v>0</v>
      </c>
      <c r="N2304" s="31">
        <f>0.151*L2304</f>
        <v>0</v>
      </c>
      <c r="O2304" s="32">
        <f>0.00109*L2304</f>
        <v>0</v>
      </c>
      <c r="P2304" s="36"/>
      <c r="Q2304" s="29" t="s">
        <v>7647</v>
      </c>
      <c r="R2304" s="29"/>
      <c r="S2304" s="26" t="str">
        <f>HYPERLINK("https://miland.ru/api/getInfo/image/e9ba5139-fa8b-11ef-a274-00155d82e908")</f>
        <v>https://miland.ru/api/getInfo/image/e9ba5139-fa8b-11ef-a274-00155d82e908</v>
      </c>
    </row>
    <row r="2305" spans="1:19" s="2" customFormat="1" ht="96.2" customHeight="1" outlineLevel="5">
      <c r="A2305" s="52">
        <v>1812</v>
      </c>
      <c r="B2305" s="26" t="s">
        <v>7648</v>
      </c>
      <c r="C2305" s="66" t="s">
        <v>7649</v>
      </c>
      <c r="D2305" s="66"/>
      <c r="E2305" s="66"/>
      <c r="F2305" s="66"/>
      <c r="G2305" s="27" t="s">
        <v>7650</v>
      </c>
      <c r="H2305" s="33">
        <v>10</v>
      </c>
      <c r="I2305" s="29"/>
      <c r="J2305" s="25">
        <v>4</v>
      </c>
      <c r="K2305" s="30">
        <v>141.49</v>
      </c>
      <c r="L2305" s="17"/>
      <c r="M2305" s="29">
        <f t="shared" si="110"/>
        <v>0</v>
      </c>
      <c r="N2305" s="34">
        <f>0.14*L2305</f>
        <v>0</v>
      </c>
      <c r="O2305" s="32">
        <f>0.00095*L2305</f>
        <v>0</v>
      </c>
      <c r="P2305" s="36"/>
      <c r="Q2305" s="29" t="s">
        <v>7651</v>
      </c>
      <c r="R2305" s="29" t="s">
        <v>611</v>
      </c>
      <c r="S2305" s="26" t="str">
        <f>HYPERLINK("https://miland.ru/api/getInfo/image/caf19c77-1432-11e6-b4aa-5cf3fc4a2490")</f>
        <v>https://miland.ru/api/getInfo/image/caf19c77-1432-11e6-b4aa-5cf3fc4a2490</v>
      </c>
    </row>
    <row r="2306" spans="1:19" s="1" customFormat="1" ht="12" customHeight="1" outlineLevel="4">
      <c r="A2306" s="64" t="s">
        <v>7652</v>
      </c>
      <c r="B2306" s="64"/>
      <c r="C2306" s="64"/>
      <c r="D2306" s="64"/>
      <c r="E2306" s="64"/>
      <c r="F2306" s="64"/>
      <c r="G2306" s="8"/>
      <c r="H2306" s="12"/>
      <c r="I2306" s="2"/>
      <c r="J2306" s="2"/>
      <c r="K2306" s="13"/>
      <c r="L2306" s="2"/>
      <c r="M2306" s="2"/>
      <c r="N2306" s="2"/>
      <c r="O2306" s="2"/>
      <c r="P2306" s="2"/>
      <c r="Q2306" s="2"/>
      <c r="R2306" s="2"/>
      <c r="S2306" s="2"/>
    </row>
    <row r="2307" spans="1:19" s="2" customFormat="1" ht="96.2" customHeight="1" outlineLevel="5">
      <c r="A2307" s="52">
        <v>1813</v>
      </c>
      <c r="B2307" s="26" t="s">
        <v>7653</v>
      </c>
      <c r="C2307" s="66" t="s">
        <v>7654</v>
      </c>
      <c r="D2307" s="66"/>
      <c r="E2307" s="66"/>
      <c r="F2307" s="66"/>
      <c r="G2307" s="27" t="s">
        <v>7655</v>
      </c>
      <c r="H2307" s="28" t="s">
        <v>44</v>
      </c>
      <c r="I2307" s="29"/>
      <c r="J2307" s="25">
        <v>4</v>
      </c>
      <c r="K2307" s="30">
        <v>168.76</v>
      </c>
      <c r="L2307" s="17"/>
      <c r="M2307" s="29">
        <f>K2307*L2307</f>
        <v>0</v>
      </c>
      <c r="N2307" s="41">
        <f>0.2*L2307</f>
        <v>0</v>
      </c>
      <c r="O2307" s="32">
        <f>0.00182*L2307</f>
        <v>0</v>
      </c>
      <c r="P2307" s="36"/>
      <c r="Q2307" s="29" t="s">
        <v>7656</v>
      </c>
      <c r="R2307" s="29"/>
      <c r="S2307" s="26" t="str">
        <f>HYPERLINK("https://miland.ru/api/getInfo/image/b00d06b7-fa8c-11ef-a274-00155d82e908")</f>
        <v>https://miland.ru/api/getInfo/image/b00d06b7-fa8c-11ef-a274-00155d82e908</v>
      </c>
    </row>
    <row r="2308" spans="1:19" s="2" customFormat="1" ht="96.2" customHeight="1" outlineLevel="5">
      <c r="A2308" s="52">
        <v>1814</v>
      </c>
      <c r="B2308" s="26" t="s">
        <v>7657</v>
      </c>
      <c r="C2308" s="66" t="s">
        <v>7658</v>
      </c>
      <c r="D2308" s="66"/>
      <c r="E2308" s="66"/>
      <c r="F2308" s="66"/>
      <c r="G2308" s="27" t="s">
        <v>7659</v>
      </c>
      <c r="H2308" s="28" t="s">
        <v>44</v>
      </c>
      <c r="I2308" s="29"/>
      <c r="J2308" s="25">
        <v>4</v>
      </c>
      <c r="K2308" s="30">
        <v>168.76</v>
      </c>
      <c r="L2308" s="17"/>
      <c r="M2308" s="29">
        <f>K2308*L2308</f>
        <v>0</v>
      </c>
      <c r="N2308" s="31">
        <f>0.187*L2308</f>
        <v>0</v>
      </c>
      <c r="O2308" s="32">
        <f>0.00141*L2308</f>
        <v>0</v>
      </c>
      <c r="P2308" s="36"/>
      <c r="Q2308" s="29" t="s">
        <v>7660</v>
      </c>
      <c r="R2308" s="29"/>
      <c r="S2308" s="26" t="str">
        <f>HYPERLINK("https://miland.ru/api/getInfo/image/595703d2-fa8d-11ef-a274-00155d82e908")</f>
        <v>https://miland.ru/api/getInfo/image/595703d2-fa8d-11ef-a274-00155d82e908</v>
      </c>
    </row>
    <row r="2309" spans="1:19" s="1" customFormat="1" ht="12" customHeight="1" outlineLevel="2">
      <c r="A2309" s="63" t="s">
        <v>7661</v>
      </c>
      <c r="B2309" s="63"/>
      <c r="C2309" s="63"/>
      <c r="D2309" s="63"/>
      <c r="E2309" s="63"/>
      <c r="F2309" s="63"/>
      <c r="G2309" s="8"/>
      <c r="H2309" s="12"/>
      <c r="I2309" s="2"/>
      <c r="J2309" s="2"/>
      <c r="K2309" s="13"/>
      <c r="L2309" s="2"/>
      <c r="M2309" s="2"/>
      <c r="N2309" s="2"/>
      <c r="O2309" s="2"/>
      <c r="P2309" s="2"/>
      <c r="Q2309" s="2"/>
      <c r="R2309" s="2"/>
      <c r="S2309" s="2"/>
    </row>
    <row r="2310" spans="1:19" s="1" customFormat="1" ht="12" customHeight="1" outlineLevel="3">
      <c r="A2310" s="64" t="s">
        <v>7662</v>
      </c>
      <c r="B2310" s="64"/>
      <c r="C2310" s="64"/>
      <c r="D2310" s="64"/>
      <c r="E2310" s="64"/>
      <c r="F2310" s="64"/>
      <c r="G2310" s="8"/>
      <c r="H2310" s="12"/>
      <c r="I2310" s="2"/>
      <c r="J2310" s="2"/>
      <c r="K2310" s="13"/>
      <c r="L2310" s="2"/>
      <c r="M2310" s="2"/>
      <c r="N2310" s="2"/>
      <c r="O2310" s="2"/>
      <c r="P2310" s="2"/>
      <c r="Q2310" s="2"/>
      <c r="R2310" s="2"/>
      <c r="S2310" s="2"/>
    </row>
    <row r="2311" spans="1:19" s="1" customFormat="1" ht="12" customHeight="1" outlineLevel="4">
      <c r="A2311" s="64" t="s">
        <v>7663</v>
      </c>
      <c r="B2311" s="64"/>
      <c r="C2311" s="64"/>
      <c r="D2311" s="64"/>
      <c r="E2311" s="64"/>
      <c r="F2311" s="64"/>
      <c r="G2311" s="8"/>
      <c r="H2311" s="12"/>
      <c r="I2311" s="2"/>
      <c r="J2311" s="2"/>
      <c r="K2311" s="13"/>
      <c r="L2311" s="2"/>
      <c r="M2311" s="2"/>
      <c r="N2311" s="2"/>
      <c r="O2311" s="2"/>
      <c r="P2311" s="2"/>
      <c r="Q2311" s="2"/>
      <c r="R2311" s="2"/>
      <c r="S2311" s="2"/>
    </row>
    <row r="2312" spans="1:19" s="1" customFormat="1" ht="12" customHeight="1" outlineLevel="5">
      <c r="A2312" s="64" t="s">
        <v>7664</v>
      </c>
      <c r="B2312" s="64"/>
      <c r="C2312" s="64"/>
      <c r="D2312" s="64"/>
      <c r="E2312" s="64"/>
      <c r="F2312" s="64"/>
      <c r="G2312" s="8"/>
      <c r="H2312" s="12"/>
      <c r="I2312" s="2"/>
      <c r="J2312" s="2"/>
      <c r="K2312" s="13"/>
      <c r="L2312" s="2"/>
      <c r="M2312" s="2"/>
      <c r="N2312" s="2"/>
      <c r="O2312" s="2"/>
      <c r="P2312" s="2"/>
      <c r="Q2312" s="2"/>
      <c r="R2312" s="2"/>
      <c r="S2312" s="2"/>
    </row>
    <row r="2313" spans="1:19" s="1" customFormat="1" ht="12" customHeight="1" outlineLevel="6">
      <c r="A2313" s="64" t="s">
        <v>7665</v>
      </c>
      <c r="B2313" s="64"/>
      <c r="C2313" s="64"/>
      <c r="D2313" s="64"/>
      <c r="E2313" s="64"/>
      <c r="F2313" s="64"/>
      <c r="G2313" s="8"/>
      <c r="H2313" s="12"/>
      <c r="I2313" s="2"/>
      <c r="J2313" s="2"/>
      <c r="K2313" s="13"/>
      <c r="L2313" s="2"/>
      <c r="M2313" s="2"/>
      <c r="N2313" s="2"/>
      <c r="O2313" s="2"/>
      <c r="P2313" s="2"/>
      <c r="Q2313" s="2"/>
      <c r="R2313" s="2"/>
      <c r="S2313" s="2"/>
    </row>
    <row r="2314" spans="1:19" s="2" customFormat="1" ht="96.2" customHeight="1" outlineLevel="7">
      <c r="A2314" s="53">
        <v>1815</v>
      </c>
      <c r="B2314" s="10" t="s">
        <v>7666</v>
      </c>
      <c r="C2314" s="65" t="s">
        <v>7667</v>
      </c>
      <c r="D2314" s="65"/>
      <c r="E2314" s="65"/>
      <c r="F2314" s="65"/>
      <c r="G2314" s="11" t="s">
        <v>7668</v>
      </c>
      <c r="H2314" s="21" t="s">
        <v>44</v>
      </c>
      <c r="I2314" s="15"/>
      <c r="J2314" s="9">
        <v>12</v>
      </c>
      <c r="K2314" s="16">
        <v>48.32</v>
      </c>
      <c r="L2314" s="17"/>
      <c r="M2314" s="15">
        <f>K2314*L2314</f>
        <v>0</v>
      </c>
      <c r="N2314" s="18">
        <f>0.038*L2314</f>
        <v>0</v>
      </c>
      <c r="O2314" s="19">
        <f>0.00044*L2314</f>
        <v>0</v>
      </c>
      <c r="P2314" s="24" t="s">
        <v>26</v>
      </c>
      <c r="Q2314" s="15" t="s">
        <v>7669</v>
      </c>
      <c r="R2314" s="15"/>
      <c r="S2314" s="10" t="str">
        <f>HYPERLINK("https://miland.ru/api/getInfo/image/61d92eb8-fab3-11f0-a28e-00155d82e908")</f>
        <v>https://miland.ru/api/getInfo/image/61d92eb8-fab3-11f0-a28e-00155d82e908</v>
      </c>
    </row>
    <row r="2315" spans="1:19" s="2" customFormat="1" ht="96.2" customHeight="1" outlineLevel="7">
      <c r="A2315" s="53">
        <v>1816</v>
      </c>
      <c r="B2315" s="10" t="s">
        <v>7670</v>
      </c>
      <c r="C2315" s="65" t="s">
        <v>7671</v>
      </c>
      <c r="D2315" s="65"/>
      <c r="E2315" s="65"/>
      <c r="F2315" s="65"/>
      <c r="G2315" s="11" t="s">
        <v>7672</v>
      </c>
      <c r="H2315" s="21" t="s">
        <v>44</v>
      </c>
      <c r="I2315" s="15"/>
      <c r="J2315" s="9">
        <v>12</v>
      </c>
      <c r="K2315" s="16">
        <v>48.32</v>
      </c>
      <c r="L2315" s="17"/>
      <c r="M2315" s="15">
        <f>K2315*L2315</f>
        <v>0</v>
      </c>
      <c r="N2315" s="18">
        <f>0.039*L2315</f>
        <v>0</v>
      </c>
      <c r="O2315" s="19">
        <f>0.00047*L2315</f>
        <v>0</v>
      </c>
      <c r="P2315" s="24" t="s">
        <v>26</v>
      </c>
      <c r="Q2315" s="15" t="s">
        <v>7673</v>
      </c>
      <c r="R2315" s="15"/>
      <c r="S2315" s="10" t="str">
        <f>HYPERLINK("https://miland.ru/api/getInfo/image/beb2de05-fab3-11f0-a28e-00155d82e908")</f>
        <v>https://miland.ru/api/getInfo/image/beb2de05-fab3-11f0-a28e-00155d82e908</v>
      </c>
    </row>
    <row r="2316" spans="1:19" s="2" customFormat="1" ht="96.2" customHeight="1" outlineLevel="7">
      <c r="A2316" s="53">
        <v>1817</v>
      </c>
      <c r="B2316" s="10" t="s">
        <v>7674</v>
      </c>
      <c r="C2316" s="65" t="s">
        <v>7675</v>
      </c>
      <c r="D2316" s="65"/>
      <c r="E2316" s="65"/>
      <c r="F2316" s="65"/>
      <c r="G2316" s="11" t="s">
        <v>7676</v>
      </c>
      <c r="H2316" s="21" t="s">
        <v>44</v>
      </c>
      <c r="I2316" s="15"/>
      <c r="J2316" s="9">
        <v>12</v>
      </c>
      <c r="K2316" s="16">
        <v>48.32</v>
      </c>
      <c r="L2316" s="17"/>
      <c r="M2316" s="15">
        <f>K2316*L2316</f>
        <v>0</v>
      </c>
      <c r="N2316" s="18">
        <f>0.039*L2316</f>
        <v>0</v>
      </c>
      <c r="O2316" s="19">
        <f>0.00065*L2316</f>
        <v>0</v>
      </c>
      <c r="P2316" s="24" t="s">
        <v>26</v>
      </c>
      <c r="Q2316" s="15" t="s">
        <v>7677</v>
      </c>
      <c r="R2316" s="15"/>
      <c r="S2316" s="10" t="str">
        <f>HYPERLINK("https://miland.ru/api/getInfo/image/43b99890-fab3-11f0-a28e-00155d82e908")</f>
        <v>https://miland.ru/api/getInfo/image/43b99890-fab3-11f0-a28e-00155d82e908</v>
      </c>
    </row>
    <row r="2317" spans="1:19" s="2" customFormat="1" ht="96.2" customHeight="1" outlineLevel="7">
      <c r="A2317" s="53">
        <v>1818</v>
      </c>
      <c r="B2317" s="10" t="s">
        <v>7678</v>
      </c>
      <c r="C2317" s="65" t="s">
        <v>7679</v>
      </c>
      <c r="D2317" s="65"/>
      <c r="E2317" s="65"/>
      <c r="F2317" s="65"/>
      <c r="G2317" s="11" t="s">
        <v>7680</v>
      </c>
      <c r="H2317" s="14">
        <v>12</v>
      </c>
      <c r="I2317" s="15"/>
      <c r="J2317" s="9">
        <v>12</v>
      </c>
      <c r="K2317" s="16">
        <v>48.32</v>
      </c>
      <c r="L2317" s="17"/>
      <c r="M2317" s="15">
        <f>K2317*L2317</f>
        <v>0</v>
      </c>
      <c r="N2317" s="18">
        <f>0.039*L2317</f>
        <v>0</v>
      </c>
      <c r="O2317" s="19">
        <f>0.00044*L2317</f>
        <v>0</v>
      </c>
      <c r="P2317" s="24" t="s">
        <v>26</v>
      </c>
      <c r="Q2317" s="15" t="s">
        <v>7681</v>
      </c>
      <c r="R2317" s="15"/>
      <c r="S2317" s="10" t="str">
        <f>HYPERLINK("https://miland.ru/api/getInfo/image/23f3f248-fab3-11f0-a28e-00155d82e908")</f>
        <v>https://miland.ru/api/getInfo/image/23f3f248-fab3-11f0-a28e-00155d82e908</v>
      </c>
    </row>
    <row r="2318" spans="1:19" s="1" customFormat="1" ht="12" customHeight="1" outlineLevel="6">
      <c r="A2318" s="64" t="s">
        <v>7682</v>
      </c>
      <c r="B2318" s="64"/>
      <c r="C2318" s="64"/>
      <c r="D2318" s="64"/>
      <c r="E2318" s="64"/>
      <c r="F2318" s="64"/>
      <c r="G2318" s="8"/>
      <c r="H2318" s="12"/>
      <c r="I2318" s="2"/>
      <c r="J2318" s="2"/>
      <c r="K2318" s="13"/>
      <c r="L2318" s="2"/>
      <c r="M2318" s="2"/>
      <c r="N2318" s="2"/>
      <c r="O2318" s="2"/>
      <c r="P2318" s="2"/>
      <c r="Q2318" s="2"/>
      <c r="R2318" s="2"/>
      <c r="S2318" s="2"/>
    </row>
    <row r="2319" spans="1:19" s="2" customFormat="1" ht="96.2" customHeight="1" outlineLevel="7">
      <c r="A2319" s="53">
        <v>1819</v>
      </c>
      <c r="B2319" s="10" t="s">
        <v>7683</v>
      </c>
      <c r="C2319" s="65" t="s">
        <v>7684</v>
      </c>
      <c r="D2319" s="65"/>
      <c r="E2319" s="65"/>
      <c r="F2319" s="65"/>
      <c r="G2319" s="11" t="s">
        <v>7685</v>
      </c>
      <c r="H2319" s="21" t="s">
        <v>44</v>
      </c>
      <c r="I2319" s="15"/>
      <c r="J2319" s="9">
        <v>12</v>
      </c>
      <c r="K2319" s="16">
        <v>44.73</v>
      </c>
      <c r="L2319" s="17"/>
      <c r="M2319" s="15">
        <f t="shared" ref="M2319:M2331" si="111">K2319*L2319</f>
        <v>0</v>
      </c>
      <c r="N2319" s="18">
        <f>0.043*L2319</f>
        <v>0</v>
      </c>
      <c r="O2319" s="19">
        <f>0.00044*L2319</f>
        <v>0</v>
      </c>
      <c r="P2319" s="24" t="s">
        <v>26</v>
      </c>
      <c r="Q2319" s="15" t="s">
        <v>7686</v>
      </c>
      <c r="R2319" s="15"/>
      <c r="S2319" s="10" t="str">
        <f>HYPERLINK("https://miland.ru/api/getInfo/image/373e0ada-fab2-11f0-a28e-00155d82e908")</f>
        <v>https://miland.ru/api/getInfo/image/373e0ada-fab2-11f0-a28e-00155d82e908</v>
      </c>
    </row>
    <row r="2320" spans="1:19" s="2" customFormat="1" ht="96.2" customHeight="1" outlineLevel="7">
      <c r="A2320" s="52">
        <v>1820</v>
      </c>
      <c r="B2320" s="26" t="s">
        <v>7687</v>
      </c>
      <c r="C2320" s="66" t="s">
        <v>7688</v>
      </c>
      <c r="D2320" s="66"/>
      <c r="E2320" s="66"/>
      <c r="F2320" s="66"/>
      <c r="G2320" s="27" t="s">
        <v>7689</v>
      </c>
      <c r="H2320" s="33">
        <v>204</v>
      </c>
      <c r="I2320" s="29"/>
      <c r="J2320" s="25">
        <v>12</v>
      </c>
      <c r="K2320" s="30">
        <v>44.73</v>
      </c>
      <c r="L2320" s="17"/>
      <c r="M2320" s="29">
        <f t="shared" si="111"/>
        <v>0</v>
      </c>
      <c r="N2320" s="31">
        <f>0.041*L2320</f>
        <v>0</v>
      </c>
      <c r="O2320" s="32">
        <f>0.00013*L2320</f>
        <v>0</v>
      </c>
      <c r="P2320" s="36"/>
      <c r="Q2320" s="29" t="s">
        <v>7690</v>
      </c>
      <c r="R2320" s="29" t="s">
        <v>611</v>
      </c>
      <c r="S2320" s="26" t="str">
        <f>HYPERLINK("https://miland.ru/api/getInfo/image/f81f369f-a322-11ef-a267-00155d82e908")</f>
        <v>https://miland.ru/api/getInfo/image/f81f369f-a322-11ef-a267-00155d82e908</v>
      </c>
    </row>
    <row r="2321" spans="1:19" s="2" customFormat="1" ht="96.2" customHeight="1" outlineLevel="7">
      <c r="A2321" s="53">
        <v>1821</v>
      </c>
      <c r="B2321" s="10" t="s">
        <v>7691</v>
      </c>
      <c r="C2321" s="65" t="s">
        <v>7692</v>
      </c>
      <c r="D2321" s="65"/>
      <c r="E2321" s="65"/>
      <c r="F2321" s="65"/>
      <c r="G2321" s="11" t="s">
        <v>7693</v>
      </c>
      <c r="H2321" s="14">
        <v>24</v>
      </c>
      <c r="I2321" s="15"/>
      <c r="J2321" s="9">
        <v>12</v>
      </c>
      <c r="K2321" s="16">
        <v>44.73</v>
      </c>
      <c r="L2321" s="17"/>
      <c r="M2321" s="15">
        <f t="shared" si="111"/>
        <v>0</v>
      </c>
      <c r="N2321" s="18">
        <f>0.043*L2321</f>
        <v>0</v>
      </c>
      <c r="O2321" s="19">
        <f>0.00061*L2321</f>
        <v>0</v>
      </c>
      <c r="P2321" s="24" t="s">
        <v>26</v>
      </c>
      <c r="Q2321" s="15" t="s">
        <v>7694</v>
      </c>
      <c r="R2321" s="15"/>
      <c r="S2321" s="10" t="str">
        <f>HYPERLINK("https://miland.ru/api/getInfo/image/da0a1e9c-fab0-11f0-a28e-00155d82e908")</f>
        <v>https://miland.ru/api/getInfo/image/da0a1e9c-fab0-11f0-a28e-00155d82e908</v>
      </c>
    </row>
    <row r="2322" spans="1:19" s="2" customFormat="1" ht="96.2" customHeight="1" outlineLevel="7">
      <c r="A2322" s="52">
        <v>1822</v>
      </c>
      <c r="B2322" s="26" t="s">
        <v>7695</v>
      </c>
      <c r="C2322" s="66" t="s">
        <v>7696</v>
      </c>
      <c r="D2322" s="66"/>
      <c r="E2322" s="66"/>
      <c r="F2322" s="66"/>
      <c r="G2322" s="27" t="s">
        <v>7697</v>
      </c>
      <c r="H2322" s="28" t="s">
        <v>44</v>
      </c>
      <c r="I2322" s="29"/>
      <c r="J2322" s="25">
        <v>12</v>
      </c>
      <c r="K2322" s="30">
        <v>44.73</v>
      </c>
      <c r="L2322" s="17"/>
      <c r="M2322" s="29">
        <f t="shared" si="111"/>
        <v>0</v>
      </c>
      <c r="N2322" s="34">
        <f>0.05*L2322</f>
        <v>0</v>
      </c>
      <c r="O2322" s="32">
        <f>0.00029*L2322</f>
        <v>0</v>
      </c>
      <c r="P2322" s="36"/>
      <c r="Q2322" s="29" t="s">
        <v>7698</v>
      </c>
      <c r="R2322" s="29" t="s">
        <v>611</v>
      </c>
      <c r="S2322" s="26" t="str">
        <f>HYPERLINK("https://miland.ru/api/getInfo/image/2face9c4-a323-11ef-a267-00155d82e908")</f>
        <v>https://miland.ru/api/getInfo/image/2face9c4-a323-11ef-a267-00155d82e908</v>
      </c>
    </row>
    <row r="2323" spans="1:19" s="2" customFormat="1" ht="96.2" customHeight="1" outlineLevel="7">
      <c r="A2323" s="53">
        <v>1823</v>
      </c>
      <c r="B2323" s="10" t="s">
        <v>7699</v>
      </c>
      <c r="C2323" s="65" t="s">
        <v>7700</v>
      </c>
      <c r="D2323" s="65"/>
      <c r="E2323" s="65"/>
      <c r="F2323" s="65"/>
      <c r="G2323" s="11" t="s">
        <v>7701</v>
      </c>
      <c r="H2323" s="21" t="s">
        <v>44</v>
      </c>
      <c r="I2323" s="15"/>
      <c r="J2323" s="9">
        <v>12</v>
      </c>
      <c r="K2323" s="16">
        <v>44.73</v>
      </c>
      <c r="L2323" s="17"/>
      <c r="M2323" s="15">
        <f t="shared" si="111"/>
        <v>0</v>
      </c>
      <c r="N2323" s="18">
        <f>0.038*L2323</f>
        <v>0</v>
      </c>
      <c r="O2323" s="19">
        <f>0.00054*L2323</f>
        <v>0</v>
      </c>
      <c r="P2323" s="24" t="s">
        <v>26</v>
      </c>
      <c r="Q2323" s="15" t="s">
        <v>7702</v>
      </c>
      <c r="R2323" s="15"/>
      <c r="S2323" s="10" t="str">
        <f>HYPERLINK("https://miland.ru/api/getInfo/image/50abd4b4-fab2-11f0-a28e-00155d82e908")</f>
        <v>https://miland.ru/api/getInfo/image/50abd4b4-fab2-11f0-a28e-00155d82e908</v>
      </c>
    </row>
    <row r="2324" spans="1:19" s="2" customFormat="1" ht="96.2" customHeight="1" outlineLevel="7">
      <c r="A2324" s="53">
        <v>1824</v>
      </c>
      <c r="B2324" s="10" t="s">
        <v>7703</v>
      </c>
      <c r="C2324" s="65" t="s">
        <v>7704</v>
      </c>
      <c r="D2324" s="65"/>
      <c r="E2324" s="65"/>
      <c r="F2324" s="65"/>
      <c r="G2324" s="11" t="s">
        <v>7705</v>
      </c>
      <c r="H2324" s="21" t="s">
        <v>44</v>
      </c>
      <c r="I2324" s="15"/>
      <c r="J2324" s="9">
        <v>12</v>
      </c>
      <c r="K2324" s="16">
        <v>44.73</v>
      </c>
      <c r="L2324" s="17"/>
      <c r="M2324" s="15">
        <f t="shared" si="111"/>
        <v>0</v>
      </c>
      <c r="N2324" s="18">
        <f>0.041*L2324</f>
        <v>0</v>
      </c>
      <c r="O2324" s="19">
        <f>0.00079*L2324</f>
        <v>0</v>
      </c>
      <c r="P2324" s="24" t="s">
        <v>26</v>
      </c>
      <c r="Q2324" s="15" t="s">
        <v>7706</v>
      </c>
      <c r="R2324" s="15"/>
      <c r="S2324" s="10" t="str">
        <f>HYPERLINK("https://miland.ru/api/getInfo/image/2450ad27-fab1-11f0-a28e-00155d82e908")</f>
        <v>https://miland.ru/api/getInfo/image/2450ad27-fab1-11f0-a28e-00155d82e908</v>
      </c>
    </row>
    <row r="2325" spans="1:19" s="2" customFormat="1" ht="96.2" customHeight="1" outlineLevel="7">
      <c r="A2325" s="52">
        <v>1825</v>
      </c>
      <c r="B2325" s="26" t="s">
        <v>7707</v>
      </c>
      <c r="C2325" s="66" t="s">
        <v>7708</v>
      </c>
      <c r="D2325" s="66"/>
      <c r="E2325" s="66"/>
      <c r="F2325" s="66"/>
      <c r="G2325" s="27" t="s">
        <v>7709</v>
      </c>
      <c r="H2325" s="33">
        <v>240</v>
      </c>
      <c r="I2325" s="29"/>
      <c r="J2325" s="25">
        <v>12</v>
      </c>
      <c r="K2325" s="30">
        <v>44.73</v>
      </c>
      <c r="L2325" s="17"/>
      <c r="M2325" s="29">
        <f t="shared" si="111"/>
        <v>0</v>
      </c>
      <c r="N2325" s="31">
        <f>0.041*L2325</f>
        <v>0</v>
      </c>
      <c r="O2325" s="32">
        <f>0.00013*L2325</f>
        <v>0</v>
      </c>
      <c r="P2325" s="36"/>
      <c r="Q2325" s="29" t="s">
        <v>7710</v>
      </c>
      <c r="R2325" s="29" t="s">
        <v>611</v>
      </c>
      <c r="S2325" s="26" t="str">
        <f>HYPERLINK("https://miland.ru/api/getInfo/image/1656f88c-a323-11ef-a267-00155d82e908")</f>
        <v>https://miland.ru/api/getInfo/image/1656f88c-a323-11ef-a267-00155d82e908</v>
      </c>
    </row>
    <row r="2326" spans="1:19" s="2" customFormat="1" ht="96.2" customHeight="1" outlineLevel="7">
      <c r="A2326" s="53">
        <v>1826</v>
      </c>
      <c r="B2326" s="10" t="s">
        <v>7711</v>
      </c>
      <c r="C2326" s="65" t="s">
        <v>7712</v>
      </c>
      <c r="D2326" s="65"/>
      <c r="E2326" s="65"/>
      <c r="F2326" s="65"/>
      <c r="G2326" s="11" t="s">
        <v>7713</v>
      </c>
      <c r="H2326" s="21" t="s">
        <v>44</v>
      </c>
      <c r="I2326" s="15"/>
      <c r="J2326" s="9">
        <v>12</v>
      </c>
      <c r="K2326" s="16">
        <v>44.73</v>
      </c>
      <c r="L2326" s="17"/>
      <c r="M2326" s="15">
        <f t="shared" si="111"/>
        <v>0</v>
      </c>
      <c r="N2326" s="18">
        <f>0.004*L2326</f>
        <v>0</v>
      </c>
      <c r="O2326" s="19">
        <f>0.00006*L2326</f>
        <v>0</v>
      </c>
      <c r="P2326" s="24" t="s">
        <v>26</v>
      </c>
      <c r="Q2326" s="15" t="s">
        <v>7714</v>
      </c>
      <c r="R2326" s="15"/>
      <c r="S2326" s="10" t="str">
        <f>HYPERLINK("https://miland.ru/api/getInfo/image/f247e8ca-fab0-11f0-a28e-00155d82e908")</f>
        <v>https://miland.ru/api/getInfo/image/f247e8ca-fab0-11f0-a28e-00155d82e908</v>
      </c>
    </row>
    <row r="2327" spans="1:19" s="2" customFormat="1" ht="96.2" customHeight="1" outlineLevel="7">
      <c r="A2327" s="53">
        <v>1827</v>
      </c>
      <c r="B2327" s="10" t="s">
        <v>7715</v>
      </c>
      <c r="C2327" s="65" t="s">
        <v>7716</v>
      </c>
      <c r="D2327" s="65"/>
      <c r="E2327" s="65"/>
      <c r="F2327" s="65"/>
      <c r="G2327" s="11" t="s">
        <v>7717</v>
      </c>
      <c r="H2327" s="21" t="s">
        <v>44</v>
      </c>
      <c r="I2327" s="15"/>
      <c r="J2327" s="9">
        <v>12</v>
      </c>
      <c r="K2327" s="16">
        <v>44.73</v>
      </c>
      <c r="L2327" s="17"/>
      <c r="M2327" s="15">
        <f t="shared" si="111"/>
        <v>0</v>
      </c>
      <c r="N2327" s="18">
        <f>0.045*L2327</f>
        <v>0</v>
      </c>
      <c r="O2327" s="19">
        <f>0.00025*L2327</f>
        <v>0</v>
      </c>
      <c r="P2327" s="24" t="s">
        <v>26</v>
      </c>
      <c r="Q2327" s="15" t="s">
        <v>7718</v>
      </c>
      <c r="R2327" s="15"/>
      <c r="S2327" s="10" t="str">
        <f>HYPERLINK("https://miland.ru/api/getInfo/image/63023092-fab0-11f0-a28e-00155d82e908")</f>
        <v>https://miland.ru/api/getInfo/image/63023092-fab0-11f0-a28e-00155d82e908</v>
      </c>
    </row>
    <row r="2328" spans="1:19" s="2" customFormat="1" ht="96.2" customHeight="1" outlineLevel="7">
      <c r="A2328" s="52">
        <v>1828</v>
      </c>
      <c r="B2328" s="26" t="s">
        <v>7719</v>
      </c>
      <c r="C2328" s="66" t="s">
        <v>7720</v>
      </c>
      <c r="D2328" s="66"/>
      <c r="E2328" s="66"/>
      <c r="F2328" s="66"/>
      <c r="G2328" s="27" t="s">
        <v>7721</v>
      </c>
      <c r="H2328" s="28" t="s">
        <v>44</v>
      </c>
      <c r="I2328" s="29"/>
      <c r="J2328" s="25">
        <v>12</v>
      </c>
      <c r="K2328" s="30">
        <v>44.73</v>
      </c>
      <c r="L2328" s="17"/>
      <c r="M2328" s="29">
        <f t="shared" si="111"/>
        <v>0</v>
      </c>
      <c r="N2328" s="31">
        <f>0.065*L2328</f>
        <v>0</v>
      </c>
      <c r="O2328" s="32">
        <f>0.00013*L2328</f>
        <v>0</v>
      </c>
      <c r="P2328" s="36"/>
      <c r="Q2328" s="29" t="s">
        <v>7722</v>
      </c>
      <c r="R2328" s="29" t="s">
        <v>611</v>
      </c>
      <c r="S2328" s="26" t="str">
        <f>HYPERLINK("https://miland.ru/api/getInfo/image/4a672678-a323-11ef-a267-00155d82e908")</f>
        <v>https://miland.ru/api/getInfo/image/4a672678-a323-11ef-a267-00155d82e908</v>
      </c>
    </row>
    <row r="2329" spans="1:19" s="2" customFormat="1" ht="96.2" customHeight="1" outlineLevel="7">
      <c r="A2329" s="52">
        <v>1829</v>
      </c>
      <c r="B2329" s="26" t="s">
        <v>7723</v>
      </c>
      <c r="C2329" s="66" t="s">
        <v>7724</v>
      </c>
      <c r="D2329" s="66"/>
      <c r="E2329" s="66"/>
      <c r="F2329" s="66"/>
      <c r="G2329" s="27" t="s">
        <v>7725</v>
      </c>
      <c r="H2329" s="28" t="s">
        <v>44</v>
      </c>
      <c r="I2329" s="29"/>
      <c r="J2329" s="25">
        <v>12</v>
      </c>
      <c r="K2329" s="30">
        <v>44.73</v>
      </c>
      <c r="L2329" s="17"/>
      <c r="M2329" s="29">
        <f t="shared" si="111"/>
        <v>0</v>
      </c>
      <c r="N2329" s="31">
        <f>0.044*L2329</f>
        <v>0</v>
      </c>
      <c r="O2329" s="32">
        <f>0.00032*L2329</f>
        <v>0</v>
      </c>
      <c r="P2329" s="36"/>
      <c r="Q2329" s="29" t="s">
        <v>7726</v>
      </c>
      <c r="R2329" s="29" t="s">
        <v>611</v>
      </c>
      <c r="S2329" s="26" t="str">
        <f>HYPERLINK("https://miland.ru/api/getInfo/image/b15fa482-a322-11ef-a267-00155d82e908")</f>
        <v>https://miland.ru/api/getInfo/image/b15fa482-a322-11ef-a267-00155d82e908</v>
      </c>
    </row>
    <row r="2330" spans="1:19" s="2" customFormat="1" ht="96.2" customHeight="1" outlineLevel="7">
      <c r="A2330" s="53">
        <v>1830</v>
      </c>
      <c r="B2330" s="10" t="s">
        <v>7727</v>
      </c>
      <c r="C2330" s="65" t="s">
        <v>7728</v>
      </c>
      <c r="D2330" s="65"/>
      <c r="E2330" s="65"/>
      <c r="F2330" s="65"/>
      <c r="G2330" s="11" t="s">
        <v>7729</v>
      </c>
      <c r="H2330" s="21" t="s">
        <v>44</v>
      </c>
      <c r="I2330" s="15"/>
      <c r="J2330" s="9">
        <v>12</v>
      </c>
      <c r="K2330" s="16">
        <v>44.73</v>
      </c>
      <c r="L2330" s="17"/>
      <c r="M2330" s="15">
        <f t="shared" si="111"/>
        <v>0</v>
      </c>
      <c r="N2330" s="18">
        <f>0.041*L2330</f>
        <v>0</v>
      </c>
      <c r="O2330" s="19">
        <f>0.00073*L2330</f>
        <v>0</v>
      </c>
      <c r="P2330" s="24" t="s">
        <v>26</v>
      </c>
      <c r="Q2330" s="15" t="s">
        <v>7730</v>
      </c>
      <c r="R2330" s="15"/>
      <c r="S2330" s="10" t="str">
        <f>HYPERLINK("https://miland.ru/api/getInfo/image/ec75b5ef-fab2-11f0-a28e-00155d82e908")</f>
        <v>https://miland.ru/api/getInfo/image/ec75b5ef-fab2-11f0-a28e-00155d82e908</v>
      </c>
    </row>
    <row r="2331" spans="1:19" s="2" customFormat="1" ht="96.2" customHeight="1" outlineLevel="7">
      <c r="A2331" s="53">
        <v>1831</v>
      </c>
      <c r="B2331" s="10" t="s">
        <v>7731</v>
      </c>
      <c r="C2331" s="65" t="s">
        <v>7732</v>
      </c>
      <c r="D2331" s="65"/>
      <c r="E2331" s="65"/>
      <c r="F2331" s="65"/>
      <c r="G2331" s="11" t="s">
        <v>7733</v>
      </c>
      <c r="H2331" s="14">
        <v>132</v>
      </c>
      <c r="I2331" s="15"/>
      <c r="J2331" s="9">
        <v>12</v>
      </c>
      <c r="K2331" s="16">
        <v>44.73</v>
      </c>
      <c r="L2331" s="17"/>
      <c r="M2331" s="15">
        <f t="shared" si="111"/>
        <v>0</v>
      </c>
      <c r="N2331" s="23">
        <f>0.04*L2331</f>
        <v>0</v>
      </c>
      <c r="O2331" s="19">
        <f>0.00044*L2331</f>
        <v>0</v>
      </c>
      <c r="P2331" s="24" t="s">
        <v>26</v>
      </c>
      <c r="Q2331" s="15" t="s">
        <v>7734</v>
      </c>
      <c r="R2331" s="15"/>
      <c r="S2331" s="10" t="str">
        <f>HYPERLINK("https://miland.ru/api/getInfo/image/6da84280-fab2-11f0-a28e-00155d82e908")</f>
        <v>https://miland.ru/api/getInfo/image/6da84280-fab2-11f0-a28e-00155d82e908</v>
      </c>
    </row>
    <row r="2332" spans="1:19" s="1" customFormat="1" ht="12" customHeight="1" outlineLevel="5">
      <c r="A2332" s="64" t="s">
        <v>7735</v>
      </c>
      <c r="B2332" s="64"/>
      <c r="C2332" s="64"/>
      <c r="D2332" s="64"/>
      <c r="E2332" s="64"/>
      <c r="F2332" s="64"/>
      <c r="G2332" s="8"/>
      <c r="H2332" s="12"/>
      <c r="I2332" s="2"/>
      <c r="J2332" s="2"/>
      <c r="K2332" s="13"/>
      <c r="L2332" s="2"/>
      <c r="M2332" s="2"/>
      <c r="N2332" s="2"/>
      <c r="O2332" s="2"/>
      <c r="P2332" s="2"/>
      <c r="Q2332" s="2"/>
      <c r="R2332" s="2"/>
      <c r="S2332" s="2"/>
    </row>
    <row r="2333" spans="1:19" s="1" customFormat="1" ht="12" customHeight="1" outlineLevel="6">
      <c r="A2333" s="64" t="s">
        <v>7736</v>
      </c>
      <c r="B2333" s="64"/>
      <c r="C2333" s="64"/>
      <c r="D2333" s="64"/>
      <c r="E2333" s="64"/>
      <c r="F2333" s="64"/>
      <c r="G2333" s="8"/>
      <c r="H2333" s="12"/>
      <c r="I2333" s="2"/>
      <c r="J2333" s="2"/>
      <c r="K2333" s="13"/>
      <c r="L2333" s="2"/>
      <c r="M2333" s="2"/>
      <c r="N2333" s="2"/>
      <c r="O2333" s="2"/>
      <c r="P2333" s="2"/>
      <c r="Q2333" s="2"/>
      <c r="R2333" s="2"/>
      <c r="S2333" s="2"/>
    </row>
    <row r="2334" spans="1:19" s="2" customFormat="1" ht="96.2" customHeight="1" outlineLevel="7">
      <c r="A2334" s="53">
        <v>1832</v>
      </c>
      <c r="B2334" s="10" t="s">
        <v>7737</v>
      </c>
      <c r="C2334" s="65" t="s">
        <v>7738</v>
      </c>
      <c r="D2334" s="65"/>
      <c r="E2334" s="65"/>
      <c r="F2334" s="65"/>
      <c r="G2334" s="11" t="s">
        <v>7739</v>
      </c>
      <c r="H2334" s="14">
        <v>30</v>
      </c>
      <c r="I2334" s="15"/>
      <c r="J2334" s="9">
        <v>30</v>
      </c>
      <c r="K2334" s="16">
        <v>33.36</v>
      </c>
      <c r="L2334" s="17"/>
      <c r="M2334" s="15">
        <f t="shared" ref="M2334:M2350" si="112">K2334*L2334</f>
        <v>0</v>
      </c>
      <c r="N2334" s="23">
        <f>0.01*L2334</f>
        <v>0</v>
      </c>
      <c r="O2334" s="19">
        <f>0.00008*L2334</f>
        <v>0</v>
      </c>
      <c r="P2334" s="24" t="s">
        <v>26</v>
      </c>
      <c r="Q2334" s="15"/>
      <c r="R2334" s="15" t="s">
        <v>611</v>
      </c>
      <c r="S2334" s="10" t="str">
        <f>HYPERLINK("https://miland.ru/api/getInfo/image/f142a53c-da74-11f0-a28c-00155d82e908")</f>
        <v>https://miland.ru/api/getInfo/image/f142a53c-da74-11f0-a28c-00155d82e908</v>
      </c>
    </row>
    <row r="2335" spans="1:19" s="2" customFormat="1" ht="96.2" customHeight="1" outlineLevel="7">
      <c r="A2335" s="53">
        <v>1833</v>
      </c>
      <c r="B2335" s="10" t="s">
        <v>7740</v>
      </c>
      <c r="C2335" s="65" t="s">
        <v>7741</v>
      </c>
      <c r="D2335" s="65"/>
      <c r="E2335" s="65"/>
      <c r="F2335" s="65"/>
      <c r="G2335" s="11" t="s">
        <v>7742</v>
      </c>
      <c r="H2335" s="14">
        <v>30</v>
      </c>
      <c r="I2335" s="15"/>
      <c r="J2335" s="9">
        <v>30</v>
      </c>
      <c r="K2335" s="16">
        <v>33.36</v>
      </c>
      <c r="L2335" s="17"/>
      <c r="M2335" s="15">
        <f t="shared" si="112"/>
        <v>0</v>
      </c>
      <c r="N2335" s="18">
        <f>0.001*L2335</f>
        <v>0</v>
      </c>
      <c r="O2335" s="19">
        <f>0.00002*L2335</f>
        <v>0</v>
      </c>
      <c r="P2335" s="24" t="s">
        <v>26</v>
      </c>
      <c r="Q2335" s="15"/>
      <c r="R2335" s="15" t="s">
        <v>611</v>
      </c>
      <c r="S2335" s="10" t="str">
        <f>HYPERLINK("https://miland.ru/api/getInfo/image/2ccfb3ad-da75-11f0-a28c-00155d82e908")</f>
        <v>https://miland.ru/api/getInfo/image/2ccfb3ad-da75-11f0-a28c-00155d82e908</v>
      </c>
    </row>
    <row r="2336" spans="1:19" s="2" customFormat="1" ht="96.2" customHeight="1" outlineLevel="7">
      <c r="A2336" s="53">
        <v>1834</v>
      </c>
      <c r="B2336" s="10" t="s">
        <v>7743</v>
      </c>
      <c r="C2336" s="65" t="s">
        <v>7744</v>
      </c>
      <c r="D2336" s="65"/>
      <c r="E2336" s="65"/>
      <c r="F2336" s="65"/>
      <c r="G2336" s="11" t="s">
        <v>7745</v>
      </c>
      <c r="H2336" s="14">
        <v>30</v>
      </c>
      <c r="I2336" s="15"/>
      <c r="J2336" s="9">
        <v>30</v>
      </c>
      <c r="K2336" s="16">
        <v>33.36</v>
      </c>
      <c r="L2336" s="17"/>
      <c r="M2336" s="15">
        <f t="shared" si="112"/>
        <v>0</v>
      </c>
      <c r="N2336" s="23">
        <f>0.01*L2336</f>
        <v>0</v>
      </c>
      <c r="O2336" s="19">
        <f>0.00008*L2336</f>
        <v>0</v>
      </c>
      <c r="P2336" s="24" t="s">
        <v>26</v>
      </c>
      <c r="Q2336" s="15"/>
      <c r="R2336" s="15" t="s">
        <v>611</v>
      </c>
      <c r="S2336" s="10" t="str">
        <f>HYPERLINK("https://miland.ru/api/getInfo/image/4baa131c-da7a-11f0-a28c-00155d82e908")</f>
        <v>https://miland.ru/api/getInfo/image/4baa131c-da7a-11f0-a28c-00155d82e908</v>
      </c>
    </row>
    <row r="2337" spans="1:19" s="2" customFormat="1" ht="96.2" customHeight="1" outlineLevel="7">
      <c r="A2337" s="52">
        <v>1835</v>
      </c>
      <c r="B2337" s="26" t="s">
        <v>7746</v>
      </c>
      <c r="C2337" s="66" t="s">
        <v>7747</v>
      </c>
      <c r="D2337" s="66"/>
      <c r="E2337" s="66"/>
      <c r="F2337" s="66"/>
      <c r="G2337" s="27" t="s">
        <v>7748</v>
      </c>
      <c r="H2337" s="33">
        <v>420</v>
      </c>
      <c r="I2337" s="29"/>
      <c r="J2337" s="25">
        <v>12</v>
      </c>
      <c r="K2337" s="30">
        <v>33.36</v>
      </c>
      <c r="L2337" s="17"/>
      <c r="M2337" s="29">
        <f t="shared" si="112"/>
        <v>0</v>
      </c>
      <c r="N2337" s="31">
        <f>0.022*L2337</f>
        <v>0</v>
      </c>
      <c r="O2337" s="32">
        <f>0.00026*L2337</f>
        <v>0</v>
      </c>
      <c r="P2337" s="36"/>
      <c r="Q2337" s="29" t="s">
        <v>7749</v>
      </c>
      <c r="R2337" s="29" t="s">
        <v>611</v>
      </c>
      <c r="S2337" s="26" t="str">
        <f>HYPERLINK("https://miland.ru/api/getInfo/image/e47df860-a323-11ef-a267-00155d82e908")</f>
        <v>https://miland.ru/api/getInfo/image/e47df860-a323-11ef-a267-00155d82e908</v>
      </c>
    </row>
    <row r="2338" spans="1:19" s="2" customFormat="1" ht="96.2" customHeight="1" outlineLevel="7">
      <c r="A2338" s="53">
        <v>1836</v>
      </c>
      <c r="B2338" s="10" t="s">
        <v>7750</v>
      </c>
      <c r="C2338" s="65" t="s">
        <v>7751</v>
      </c>
      <c r="D2338" s="65"/>
      <c r="E2338" s="65"/>
      <c r="F2338" s="65"/>
      <c r="G2338" s="11" t="s">
        <v>7752</v>
      </c>
      <c r="H2338" s="21" t="s">
        <v>44</v>
      </c>
      <c r="I2338" s="15"/>
      <c r="J2338" s="9">
        <v>24</v>
      </c>
      <c r="K2338" s="16">
        <v>28.7</v>
      </c>
      <c r="L2338" s="17"/>
      <c r="M2338" s="15">
        <f t="shared" si="112"/>
        <v>0</v>
      </c>
      <c r="N2338" s="18">
        <f>0.018*L2338</f>
        <v>0</v>
      </c>
      <c r="O2338" s="20">
        <f>0.0002*L2338</f>
        <v>0</v>
      </c>
      <c r="P2338" s="24" t="s">
        <v>26</v>
      </c>
      <c r="Q2338" s="15" t="s">
        <v>7753</v>
      </c>
      <c r="R2338" s="15"/>
      <c r="S2338" s="10" t="str">
        <f>HYPERLINK("https://miland.ru/api/getInfo/image/6ce3fdf5-fb4e-11f0-a28e-00155d82e908")</f>
        <v>https://miland.ru/api/getInfo/image/6ce3fdf5-fb4e-11f0-a28e-00155d82e908</v>
      </c>
    </row>
    <row r="2339" spans="1:19" s="2" customFormat="1" ht="96.2" customHeight="1" outlineLevel="7">
      <c r="A2339" s="53">
        <v>1837</v>
      </c>
      <c r="B2339" s="10" t="s">
        <v>7754</v>
      </c>
      <c r="C2339" s="65" t="s">
        <v>7755</v>
      </c>
      <c r="D2339" s="65"/>
      <c r="E2339" s="65"/>
      <c r="F2339" s="65"/>
      <c r="G2339" s="11" t="s">
        <v>7756</v>
      </c>
      <c r="H2339" s="14">
        <v>48</v>
      </c>
      <c r="I2339" s="15"/>
      <c r="J2339" s="9">
        <v>24</v>
      </c>
      <c r="K2339" s="16">
        <v>28.7</v>
      </c>
      <c r="L2339" s="17"/>
      <c r="M2339" s="15">
        <f t="shared" si="112"/>
        <v>0</v>
      </c>
      <c r="N2339" s="23">
        <f>0.02*L2339</f>
        <v>0</v>
      </c>
      <c r="O2339" s="19">
        <f>0.00023*L2339</f>
        <v>0</v>
      </c>
      <c r="P2339" s="24" t="s">
        <v>26</v>
      </c>
      <c r="Q2339" s="15" t="s">
        <v>7757</v>
      </c>
      <c r="R2339" s="15"/>
      <c r="S2339" s="10" t="str">
        <f>HYPERLINK("https://miland.ru/api/getInfo/image/97ff5669-fb4e-11f0-a28e-00155d82e908")</f>
        <v>https://miland.ru/api/getInfo/image/97ff5669-fb4e-11f0-a28e-00155d82e908</v>
      </c>
    </row>
    <row r="2340" spans="1:19" s="2" customFormat="1" ht="96.2" customHeight="1" outlineLevel="7">
      <c r="A2340" s="53">
        <v>1838</v>
      </c>
      <c r="B2340" s="10" t="s">
        <v>7758</v>
      </c>
      <c r="C2340" s="65" t="s">
        <v>7759</v>
      </c>
      <c r="D2340" s="65"/>
      <c r="E2340" s="65"/>
      <c r="F2340" s="65"/>
      <c r="G2340" s="11" t="s">
        <v>7760</v>
      </c>
      <c r="H2340" s="21" t="s">
        <v>44</v>
      </c>
      <c r="I2340" s="15"/>
      <c r="J2340" s="9">
        <v>24</v>
      </c>
      <c r="K2340" s="16">
        <v>28.7</v>
      </c>
      <c r="L2340" s="17"/>
      <c r="M2340" s="15">
        <f t="shared" si="112"/>
        <v>0</v>
      </c>
      <c r="N2340" s="18">
        <f>0.018*L2340</f>
        <v>0</v>
      </c>
      <c r="O2340" s="19">
        <f>0.00021*L2340</f>
        <v>0</v>
      </c>
      <c r="P2340" s="24" t="s">
        <v>26</v>
      </c>
      <c r="Q2340" s="15" t="s">
        <v>7761</v>
      </c>
      <c r="R2340" s="15"/>
      <c r="S2340" s="10" t="str">
        <f>HYPERLINK("https://miland.ru/api/getInfo/image/fbcdfc30-fb4b-11f0-a28e-00155d82e908")</f>
        <v>https://miland.ru/api/getInfo/image/fbcdfc30-fb4b-11f0-a28e-00155d82e908</v>
      </c>
    </row>
    <row r="2341" spans="1:19" s="2" customFormat="1" ht="96.2" customHeight="1" outlineLevel="7">
      <c r="A2341" s="53">
        <v>1839</v>
      </c>
      <c r="B2341" s="10" t="s">
        <v>7762</v>
      </c>
      <c r="C2341" s="65" t="s">
        <v>7763</v>
      </c>
      <c r="D2341" s="65"/>
      <c r="E2341" s="65"/>
      <c r="F2341" s="65"/>
      <c r="G2341" s="11" t="s">
        <v>7764</v>
      </c>
      <c r="H2341" s="14">
        <v>264</v>
      </c>
      <c r="I2341" s="15"/>
      <c r="J2341" s="9">
        <v>24</v>
      </c>
      <c r="K2341" s="16">
        <v>28.7</v>
      </c>
      <c r="L2341" s="17"/>
      <c r="M2341" s="15">
        <f t="shared" si="112"/>
        <v>0</v>
      </c>
      <c r="N2341" s="18">
        <f>0.017*L2341</f>
        <v>0</v>
      </c>
      <c r="O2341" s="19">
        <f>0.00032*L2341</f>
        <v>0</v>
      </c>
      <c r="P2341" s="24" t="s">
        <v>26</v>
      </c>
      <c r="Q2341" s="15" t="s">
        <v>7765</v>
      </c>
      <c r="R2341" s="15"/>
      <c r="S2341" s="10" t="str">
        <f>HYPERLINK("https://miland.ru/api/getInfo/image/bef0c3e5-fb4e-11f0-a28e-00155d82e908")</f>
        <v>https://miland.ru/api/getInfo/image/bef0c3e5-fb4e-11f0-a28e-00155d82e908</v>
      </c>
    </row>
    <row r="2342" spans="1:19" s="2" customFormat="1" ht="96.2" customHeight="1" outlineLevel="7">
      <c r="A2342" s="53">
        <v>1840</v>
      </c>
      <c r="B2342" s="10" t="s">
        <v>7766</v>
      </c>
      <c r="C2342" s="65" t="s">
        <v>7767</v>
      </c>
      <c r="D2342" s="65"/>
      <c r="E2342" s="65"/>
      <c r="F2342" s="65"/>
      <c r="G2342" s="11" t="s">
        <v>7768</v>
      </c>
      <c r="H2342" s="21" t="s">
        <v>44</v>
      </c>
      <c r="I2342" s="15"/>
      <c r="J2342" s="9">
        <v>36</v>
      </c>
      <c r="K2342" s="16">
        <v>20.82</v>
      </c>
      <c r="L2342" s="17"/>
      <c r="M2342" s="15">
        <f t="shared" si="112"/>
        <v>0</v>
      </c>
      <c r="N2342" s="18">
        <f>0.002*L2342</f>
        <v>0</v>
      </c>
      <c r="O2342" s="20">
        <f>0.0001*L2342</f>
        <v>0</v>
      </c>
      <c r="P2342" s="24" t="s">
        <v>26</v>
      </c>
      <c r="Q2342" s="15" t="s">
        <v>7769</v>
      </c>
      <c r="R2342" s="15"/>
      <c r="S2342" s="10"/>
    </row>
    <row r="2343" spans="1:19" s="2" customFormat="1" ht="96.2" customHeight="1" outlineLevel="7">
      <c r="A2343" s="52">
        <v>1841</v>
      </c>
      <c r="B2343" s="26" t="s">
        <v>7770</v>
      </c>
      <c r="C2343" s="66" t="s">
        <v>7771</v>
      </c>
      <c r="D2343" s="66"/>
      <c r="E2343" s="66"/>
      <c r="F2343" s="66"/>
      <c r="G2343" s="27" t="s">
        <v>7772</v>
      </c>
      <c r="H2343" s="28" t="s">
        <v>44</v>
      </c>
      <c r="I2343" s="29"/>
      <c r="J2343" s="25">
        <v>36</v>
      </c>
      <c r="K2343" s="30">
        <v>20.82</v>
      </c>
      <c r="L2343" s="17"/>
      <c r="M2343" s="29">
        <f t="shared" si="112"/>
        <v>0</v>
      </c>
      <c r="N2343" s="31">
        <f>0.002*L2343</f>
        <v>0</v>
      </c>
      <c r="O2343" s="35">
        <f>0.0001*L2343</f>
        <v>0</v>
      </c>
      <c r="P2343" s="36"/>
      <c r="Q2343" s="29" t="s">
        <v>7773</v>
      </c>
      <c r="R2343" s="29"/>
      <c r="S2343" s="26" t="str">
        <f>HYPERLINK("https://miland.ru/api/getInfo/image/262f1ba8-2ef0-11f0-a27c-00155d82e908")</f>
        <v>https://miland.ru/api/getInfo/image/262f1ba8-2ef0-11f0-a27c-00155d82e908</v>
      </c>
    </row>
    <row r="2344" spans="1:19" s="2" customFormat="1" ht="96.2" customHeight="1" outlineLevel="7">
      <c r="A2344" s="52">
        <v>1842</v>
      </c>
      <c r="B2344" s="26" t="s">
        <v>7774</v>
      </c>
      <c r="C2344" s="66" t="s">
        <v>7775</v>
      </c>
      <c r="D2344" s="66"/>
      <c r="E2344" s="66"/>
      <c r="F2344" s="66"/>
      <c r="G2344" s="27" t="s">
        <v>7776</v>
      </c>
      <c r="H2344" s="28" t="s">
        <v>44</v>
      </c>
      <c r="I2344" s="29"/>
      <c r="J2344" s="25">
        <v>36</v>
      </c>
      <c r="K2344" s="30">
        <v>20.82</v>
      </c>
      <c r="L2344" s="17"/>
      <c r="M2344" s="29">
        <f t="shared" si="112"/>
        <v>0</v>
      </c>
      <c r="N2344" s="31">
        <f>0.002*L2344</f>
        <v>0</v>
      </c>
      <c r="O2344" s="35">
        <f>0.0001*L2344</f>
        <v>0</v>
      </c>
      <c r="P2344" s="36"/>
      <c r="Q2344" s="29" t="s">
        <v>7777</v>
      </c>
      <c r="R2344" s="29"/>
      <c r="S2344" s="26" t="str">
        <f>HYPERLINK("https://miland.ru/api/getInfo/image/7043ec30-2eef-11f0-a27c-00155d82e908")</f>
        <v>https://miland.ru/api/getInfo/image/7043ec30-2eef-11f0-a27c-00155d82e908</v>
      </c>
    </row>
    <row r="2345" spans="1:19" s="2" customFormat="1" ht="96.2" customHeight="1" outlineLevel="7">
      <c r="A2345" s="52">
        <v>1843</v>
      </c>
      <c r="B2345" s="26" t="s">
        <v>7778</v>
      </c>
      <c r="C2345" s="66" t="s">
        <v>7779</v>
      </c>
      <c r="D2345" s="66"/>
      <c r="E2345" s="66"/>
      <c r="F2345" s="66"/>
      <c r="G2345" s="27" t="s">
        <v>7780</v>
      </c>
      <c r="H2345" s="33">
        <v>156</v>
      </c>
      <c r="I2345" s="29"/>
      <c r="J2345" s="25">
        <v>36</v>
      </c>
      <c r="K2345" s="30">
        <v>20.82</v>
      </c>
      <c r="L2345" s="17"/>
      <c r="M2345" s="29">
        <f t="shared" si="112"/>
        <v>0</v>
      </c>
      <c r="N2345" s="31">
        <f>0.014*L2345</f>
        <v>0</v>
      </c>
      <c r="O2345" s="32">
        <f>0.00005*L2345</f>
        <v>0</v>
      </c>
      <c r="P2345" s="36"/>
      <c r="Q2345" s="29" t="s">
        <v>7781</v>
      </c>
      <c r="R2345" s="29"/>
      <c r="S2345" s="26" t="str">
        <f>HYPERLINK("https://miland.ru/api/getInfo/image/f9fe523b-2eef-11f0-a27c-00155d82e908")</f>
        <v>https://miland.ru/api/getInfo/image/f9fe523b-2eef-11f0-a27c-00155d82e908</v>
      </c>
    </row>
    <row r="2346" spans="1:19" s="2" customFormat="1" ht="96.2" customHeight="1" outlineLevel="7">
      <c r="A2346" s="52">
        <v>1844</v>
      </c>
      <c r="B2346" s="26" t="s">
        <v>7782</v>
      </c>
      <c r="C2346" s="66" t="s">
        <v>7783</v>
      </c>
      <c r="D2346" s="66"/>
      <c r="E2346" s="66"/>
      <c r="F2346" s="66"/>
      <c r="G2346" s="27" t="s">
        <v>7739</v>
      </c>
      <c r="H2346" s="33">
        <v>384</v>
      </c>
      <c r="I2346" s="29"/>
      <c r="J2346" s="25">
        <v>36</v>
      </c>
      <c r="K2346" s="30">
        <v>20.82</v>
      </c>
      <c r="L2346" s="17"/>
      <c r="M2346" s="29">
        <f t="shared" si="112"/>
        <v>0</v>
      </c>
      <c r="N2346" s="31">
        <f>0.014*L2346</f>
        <v>0</v>
      </c>
      <c r="O2346" s="32">
        <f>0.00005*L2346</f>
        <v>0</v>
      </c>
      <c r="P2346" s="36"/>
      <c r="Q2346" s="29" t="s">
        <v>7784</v>
      </c>
      <c r="R2346" s="29"/>
      <c r="S2346" s="26" t="str">
        <f>HYPERLINK("https://miland.ru/api/getInfo/image/8e63f406-2ef1-11f0-a27c-00155d82e908")</f>
        <v>https://miland.ru/api/getInfo/image/8e63f406-2ef1-11f0-a27c-00155d82e908</v>
      </c>
    </row>
    <row r="2347" spans="1:19" s="2" customFormat="1" ht="96.2" customHeight="1" outlineLevel="7">
      <c r="A2347" s="52">
        <v>1845</v>
      </c>
      <c r="B2347" s="26" t="s">
        <v>7785</v>
      </c>
      <c r="C2347" s="66" t="s">
        <v>7786</v>
      </c>
      <c r="D2347" s="66"/>
      <c r="E2347" s="66"/>
      <c r="F2347" s="66"/>
      <c r="G2347" s="27" t="s">
        <v>7742</v>
      </c>
      <c r="H2347" s="28" t="s">
        <v>44</v>
      </c>
      <c r="I2347" s="29"/>
      <c r="J2347" s="25">
        <v>36</v>
      </c>
      <c r="K2347" s="30">
        <v>20.82</v>
      </c>
      <c r="L2347" s="17"/>
      <c r="M2347" s="29">
        <f t="shared" si="112"/>
        <v>0</v>
      </c>
      <c r="N2347" s="31">
        <f>0.002*L2347</f>
        <v>0</v>
      </c>
      <c r="O2347" s="35">
        <f>0.0001*L2347</f>
        <v>0</v>
      </c>
      <c r="P2347" s="36"/>
      <c r="Q2347" s="29" t="s">
        <v>7787</v>
      </c>
      <c r="R2347" s="29"/>
      <c r="S2347" s="26" t="str">
        <f>HYPERLINK("https://miland.ru/api/getInfo/image/bb4553c7-2ef1-11f0-a27c-00155d82e908")</f>
        <v>https://miland.ru/api/getInfo/image/bb4553c7-2ef1-11f0-a27c-00155d82e908</v>
      </c>
    </row>
    <row r="2348" spans="1:19" s="2" customFormat="1" ht="96.2" customHeight="1" outlineLevel="7">
      <c r="A2348" s="52">
        <v>1846</v>
      </c>
      <c r="B2348" s="26" t="s">
        <v>7788</v>
      </c>
      <c r="C2348" s="66" t="s">
        <v>7789</v>
      </c>
      <c r="D2348" s="66"/>
      <c r="E2348" s="66"/>
      <c r="F2348" s="66"/>
      <c r="G2348" s="27" t="s">
        <v>7790</v>
      </c>
      <c r="H2348" s="33">
        <v>276</v>
      </c>
      <c r="I2348" s="29"/>
      <c r="J2348" s="25">
        <v>36</v>
      </c>
      <c r="K2348" s="30">
        <v>21.14</v>
      </c>
      <c r="L2348" s="17"/>
      <c r="M2348" s="29">
        <f t="shared" si="112"/>
        <v>0</v>
      </c>
      <c r="N2348" s="31">
        <f>0.002*L2348</f>
        <v>0</v>
      </c>
      <c r="O2348" s="35">
        <f>0.0001*L2348</f>
        <v>0</v>
      </c>
      <c r="P2348" s="36"/>
      <c r="Q2348" s="29" t="s">
        <v>7791</v>
      </c>
      <c r="R2348" s="29"/>
      <c r="S2348" s="26" t="str">
        <f>HYPERLINK("https://miland.ru/api/getInfo/image/65c650ee-2ef4-11f0-a27c-00155d82e908")</f>
        <v>https://miland.ru/api/getInfo/image/65c650ee-2ef4-11f0-a27c-00155d82e908</v>
      </c>
    </row>
    <row r="2349" spans="1:19" s="2" customFormat="1" ht="96.2" customHeight="1" outlineLevel="7">
      <c r="A2349" s="52">
        <v>1847</v>
      </c>
      <c r="B2349" s="26" t="s">
        <v>7792</v>
      </c>
      <c r="C2349" s="66" t="s">
        <v>7793</v>
      </c>
      <c r="D2349" s="66"/>
      <c r="E2349" s="66"/>
      <c r="F2349" s="66"/>
      <c r="G2349" s="27" t="s">
        <v>7794</v>
      </c>
      <c r="H2349" s="33">
        <v>144</v>
      </c>
      <c r="I2349" s="29"/>
      <c r="J2349" s="25">
        <v>36</v>
      </c>
      <c r="K2349" s="30">
        <v>20.82</v>
      </c>
      <c r="L2349" s="17"/>
      <c r="M2349" s="29">
        <f t="shared" si="112"/>
        <v>0</v>
      </c>
      <c r="N2349" s="31">
        <f>0.014*L2349</f>
        <v>0</v>
      </c>
      <c r="O2349" s="32">
        <f>0.00005*L2349</f>
        <v>0</v>
      </c>
      <c r="P2349" s="36"/>
      <c r="Q2349" s="29" t="s">
        <v>7795</v>
      </c>
      <c r="R2349" s="29"/>
      <c r="S2349" s="26" t="str">
        <f>HYPERLINK("https://miland.ru/api/getInfo/image/115c6c4c-2ef1-11f0-a27c-00155d82e908")</f>
        <v>https://miland.ru/api/getInfo/image/115c6c4c-2ef1-11f0-a27c-00155d82e908</v>
      </c>
    </row>
    <row r="2350" spans="1:19" s="2" customFormat="1" ht="96.2" customHeight="1" outlineLevel="7">
      <c r="A2350" s="52">
        <v>1848</v>
      </c>
      <c r="B2350" s="26" t="s">
        <v>7796</v>
      </c>
      <c r="C2350" s="66" t="s">
        <v>7797</v>
      </c>
      <c r="D2350" s="66"/>
      <c r="E2350" s="66"/>
      <c r="F2350" s="66"/>
      <c r="G2350" s="27" t="s">
        <v>7798</v>
      </c>
      <c r="H2350" s="28" t="s">
        <v>44</v>
      </c>
      <c r="I2350" s="29"/>
      <c r="J2350" s="25">
        <v>36</v>
      </c>
      <c r="K2350" s="30">
        <v>20.82</v>
      </c>
      <c r="L2350" s="17"/>
      <c r="M2350" s="29">
        <f t="shared" si="112"/>
        <v>0</v>
      </c>
      <c r="N2350" s="31">
        <f>0.002*L2350</f>
        <v>0</v>
      </c>
      <c r="O2350" s="35">
        <f>0.0001*L2350</f>
        <v>0</v>
      </c>
      <c r="P2350" s="36"/>
      <c r="Q2350" s="29" t="s">
        <v>7799</v>
      </c>
      <c r="R2350" s="29"/>
      <c r="S2350" s="26" t="str">
        <f>HYPERLINK("https://miland.ru/api/getInfo/image/4d3406f1-2ef1-11f0-a27c-00155d82e908")</f>
        <v>https://miland.ru/api/getInfo/image/4d3406f1-2ef1-11f0-a27c-00155d82e908</v>
      </c>
    </row>
    <row r="2351" spans="1:19" s="1" customFormat="1" ht="12" customHeight="1" outlineLevel="6">
      <c r="A2351" s="64" t="s">
        <v>7800</v>
      </c>
      <c r="B2351" s="64"/>
      <c r="C2351" s="64"/>
      <c r="D2351" s="64"/>
      <c r="E2351" s="64"/>
      <c r="F2351" s="64"/>
      <c r="G2351" s="8"/>
      <c r="H2351" s="12"/>
      <c r="I2351" s="2"/>
      <c r="J2351" s="2"/>
      <c r="K2351" s="13"/>
      <c r="L2351" s="2"/>
      <c r="M2351" s="2"/>
      <c r="N2351" s="2"/>
      <c r="O2351" s="2"/>
      <c r="P2351" s="2"/>
      <c r="Q2351" s="2"/>
      <c r="R2351" s="2"/>
      <c r="S2351" s="2"/>
    </row>
    <row r="2352" spans="1:19" s="2" customFormat="1" ht="96.2" customHeight="1" outlineLevel="7">
      <c r="A2352" s="52">
        <v>1849</v>
      </c>
      <c r="B2352" s="26" t="s">
        <v>7801</v>
      </c>
      <c r="C2352" s="66" t="s">
        <v>7802</v>
      </c>
      <c r="D2352" s="66"/>
      <c r="E2352" s="66"/>
      <c r="F2352" s="66"/>
      <c r="G2352" s="27" t="s">
        <v>7803</v>
      </c>
      <c r="H2352" s="33">
        <v>48</v>
      </c>
      <c r="I2352" s="29"/>
      <c r="J2352" s="25">
        <v>24</v>
      </c>
      <c r="K2352" s="30">
        <v>28.19</v>
      </c>
      <c r="L2352" s="17"/>
      <c r="M2352" s="29">
        <f>K2352*L2352</f>
        <v>0</v>
      </c>
      <c r="N2352" s="31">
        <f>0.043*L2352</f>
        <v>0</v>
      </c>
      <c r="O2352" s="32">
        <f>0.00021*L2352</f>
        <v>0</v>
      </c>
      <c r="P2352" s="36"/>
      <c r="Q2352" s="29" t="s">
        <v>7804</v>
      </c>
      <c r="R2352" s="29" t="s">
        <v>611</v>
      </c>
      <c r="S2352" s="26" t="str">
        <f>HYPERLINK("https://miland.ru/api/getInfo/image/08005158-e52a-11ee-a25a-00155d82e908")</f>
        <v>https://miland.ru/api/getInfo/image/08005158-e52a-11ee-a25a-00155d82e908</v>
      </c>
    </row>
    <row r="2353" spans="1:19" s="1" customFormat="1" ht="12" customHeight="1" outlineLevel="6">
      <c r="A2353" s="64" t="s">
        <v>7805</v>
      </c>
      <c r="B2353" s="64"/>
      <c r="C2353" s="64"/>
      <c r="D2353" s="64"/>
      <c r="E2353" s="64"/>
      <c r="F2353" s="64"/>
      <c r="G2353" s="8"/>
      <c r="H2353" s="12"/>
      <c r="I2353" s="2"/>
      <c r="J2353" s="2"/>
      <c r="K2353" s="13"/>
      <c r="L2353" s="2"/>
      <c r="M2353" s="2"/>
      <c r="N2353" s="2"/>
      <c r="O2353" s="2"/>
      <c r="P2353" s="2"/>
      <c r="Q2353" s="2"/>
      <c r="R2353" s="2"/>
      <c r="S2353" s="2"/>
    </row>
    <row r="2354" spans="1:19" s="1" customFormat="1" ht="12" customHeight="1" outlineLevel="7">
      <c r="A2354" s="64" t="s">
        <v>7806</v>
      </c>
      <c r="B2354" s="64"/>
      <c r="C2354" s="64"/>
      <c r="D2354" s="64"/>
      <c r="E2354" s="64"/>
      <c r="F2354" s="64"/>
      <c r="G2354" s="8"/>
      <c r="H2354" s="12"/>
      <c r="I2354" s="2"/>
      <c r="J2354" s="2"/>
      <c r="K2354" s="13"/>
      <c r="L2354" s="2"/>
      <c r="M2354" s="2"/>
      <c r="N2354" s="2"/>
      <c r="O2354" s="2"/>
      <c r="P2354" s="2"/>
      <c r="Q2354" s="2"/>
      <c r="R2354" s="2"/>
      <c r="S2354" s="2"/>
    </row>
    <row r="2355" spans="1:19" s="2" customFormat="1" ht="96.2" customHeight="1" outlineLevel="7">
      <c r="A2355" s="52">
        <v>1850</v>
      </c>
      <c r="B2355" s="26" t="s">
        <v>7807</v>
      </c>
      <c r="C2355" s="66" t="s">
        <v>7808</v>
      </c>
      <c r="D2355" s="66"/>
      <c r="E2355" s="66"/>
      <c r="F2355" s="66"/>
      <c r="G2355" s="27" t="s">
        <v>7809</v>
      </c>
      <c r="H2355" s="28" t="s">
        <v>44</v>
      </c>
      <c r="I2355" s="29"/>
      <c r="J2355" s="25">
        <v>24</v>
      </c>
      <c r="K2355" s="30">
        <v>21.53</v>
      </c>
      <c r="L2355" s="17"/>
      <c r="M2355" s="29">
        <f>K2355*L2355</f>
        <v>0</v>
      </c>
      <c r="N2355" s="31">
        <f>0.025*L2355</f>
        <v>0</v>
      </c>
      <c r="O2355" s="32">
        <f>0.00012*L2355</f>
        <v>0</v>
      </c>
      <c r="P2355" s="36"/>
      <c r="Q2355" s="29" t="s">
        <v>7810</v>
      </c>
      <c r="R2355" s="29" t="s">
        <v>611</v>
      </c>
      <c r="S2355" s="26" t="str">
        <f>HYPERLINK("https://miland.ru/api/getInfo/image/770544e5-03a3-11ef-a25d-00155d82e908")</f>
        <v>https://miland.ru/api/getInfo/image/770544e5-03a3-11ef-a25d-00155d82e908</v>
      </c>
    </row>
    <row r="2356" spans="1:19" s="2" customFormat="1" ht="96.2" customHeight="1" outlineLevel="7">
      <c r="A2356" s="52">
        <v>1851</v>
      </c>
      <c r="B2356" s="26" t="s">
        <v>7811</v>
      </c>
      <c r="C2356" s="66" t="s">
        <v>7812</v>
      </c>
      <c r="D2356" s="66"/>
      <c r="E2356" s="66"/>
      <c r="F2356" s="66"/>
      <c r="G2356" s="27" t="s">
        <v>7813</v>
      </c>
      <c r="H2356" s="28" t="s">
        <v>44</v>
      </c>
      <c r="I2356" s="29"/>
      <c r="J2356" s="25">
        <v>24</v>
      </c>
      <c r="K2356" s="30">
        <v>23.53</v>
      </c>
      <c r="L2356" s="17"/>
      <c r="M2356" s="29">
        <f>K2356*L2356</f>
        <v>0</v>
      </c>
      <c r="N2356" s="31">
        <f>0.025*L2356</f>
        <v>0</v>
      </c>
      <c r="O2356" s="32">
        <f>0.00012*L2356</f>
        <v>0</v>
      </c>
      <c r="P2356" s="36"/>
      <c r="Q2356" s="29" t="s">
        <v>7814</v>
      </c>
      <c r="R2356" s="29" t="s">
        <v>611</v>
      </c>
      <c r="S2356" s="26" t="str">
        <f>HYPERLINK("https://miland.ru/api/getInfo/image/8af37e14-03a3-11ef-a25d-00155d82e908")</f>
        <v>https://miland.ru/api/getInfo/image/8af37e14-03a3-11ef-a25d-00155d82e908</v>
      </c>
    </row>
    <row r="2357" spans="1:19" s="2" customFormat="1" ht="96.2" customHeight="1" outlineLevel="7">
      <c r="A2357" s="52">
        <v>1852</v>
      </c>
      <c r="B2357" s="26" t="s">
        <v>7815</v>
      </c>
      <c r="C2357" s="66" t="s">
        <v>7816</v>
      </c>
      <c r="D2357" s="66"/>
      <c r="E2357" s="66"/>
      <c r="F2357" s="66"/>
      <c r="G2357" s="27" t="s">
        <v>7817</v>
      </c>
      <c r="H2357" s="28" t="s">
        <v>44</v>
      </c>
      <c r="I2357" s="29"/>
      <c r="J2357" s="25">
        <v>24</v>
      </c>
      <c r="K2357" s="30">
        <v>21.53</v>
      </c>
      <c r="L2357" s="17"/>
      <c r="M2357" s="29">
        <f>K2357*L2357</f>
        <v>0</v>
      </c>
      <c r="N2357" s="31">
        <f>0.025*L2357</f>
        <v>0</v>
      </c>
      <c r="O2357" s="32">
        <f>0.00012*L2357</f>
        <v>0</v>
      </c>
      <c r="P2357" s="36"/>
      <c r="Q2357" s="29" t="s">
        <v>7818</v>
      </c>
      <c r="R2357" s="29" t="s">
        <v>611</v>
      </c>
      <c r="S2357" s="26" t="str">
        <f>HYPERLINK("https://miland.ru/api/getInfo/image/5ff5f30f-03a3-11ef-a25d-00155d82e908")</f>
        <v>https://miland.ru/api/getInfo/image/5ff5f30f-03a3-11ef-a25d-00155d82e908</v>
      </c>
    </row>
    <row r="2358" spans="1:19" s="1" customFormat="1" ht="12" customHeight="1" outlineLevel="5">
      <c r="A2358" s="64" t="s">
        <v>7819</v>
      </c>
      <c r="B2358" s="64"/>
      <c r="C2358" s="64"/>
      <c r="D2358" s="64"/>
      <c r="E2358" s="64"/>
      <c r="F2358" s="64"/>
      <c r="G2358" s="8"/>
      <c r="H2358" s="12"/>
      <c r="I2358" s="2"/>
      <c r="J2358" s="2"/>
      <c r="K2358" s="13"/>
      <c r="L2358" s="2"/>
      <c r="M2358" s="2"/>
      <c r="N2358" s="2"/>
      <c r="O2358" s="2"/>
      <c r="P2358" s="2"/>
      <c r="Q2358" s="2"/>
      <c r="R2358" s="2"/>
      <c r="S2358" s="2"/>
    </row>
    <row r="2359" spans="1:19" s="1" customFormat="1" ht="12" customHeight="1" outlineLevel="6">
      <c r="A2359" s="64" t="s">
        <v>7820</v>
      </c>
      <c r="B2359" s="64"/>
      <c r="C2359" s="64"/>
      <c r="D2359" s="64"/>
      <c r="E2359" s="64"/>
      <c r="F2359" s="64"/>
      <c r="G2359" s="8"/>
      <c r="H2359" s="12"/>
      <c r="I2359" s="2"/>
      <c r="J2359" s="2"/>
      <c r="K2359" s="13"/>
      <c r="L2359" s="2"/>
      <c r="M2359" s="2"/>
      <c r="N2359" s="2"/>
      <c r="O2359" s="2"/>
      <c r="P2359" s="2"/>
      <c r="Q2359" s="2"/>
      <c r="R2359" s="2"/>
      <c r="S2359" s="2"/>
    </row>
    <row r="2360" spans="1:19" s="1" customFormat="1" ht="12" customHeight="1" outlineLevel="7">
      <c r="A2360" s="64" t="s">
        <v>7821</v>
      </c>
      <c r="B2360" s="64"/>
      <c r="C2360" s="64"/>
      <c r="D2360" s="64"/>
      <c r="E2360" s="64"/>
      <c r="F2360" s="64"/>
      <c r="G2360" s="8"/>
      <c r="H2360" s="12"/>
      <c r="I2360" s="2"/>
      <c r="J2360" s="2"/>
      <c r="K2360" s="13"/>
      <c r="L2360" s="2"/>
      <c r="M2360" s="2"/>
      <c r="N2360" s="2"/>
      <c r="O2360" s="2"/>
      <c r="P2360" s="2"/>
      <c r="Q2360" s="2"/>
      <c r="R2360" s="2"/>
      <c r="S2360" s="2"/>
    </row>
    <row r="2361" spans="1:19" s="2" customFormat="1" ht="96.2" customHeight="1" outlineLevel="7">
      <c r="A2361" s="53">
        <v>1853</v>
      </c>
      <c r="B2361" s="10" t="s">
        <v>7822</v>
      </c>
      <c r="C2361" s="65" t="s">
        <v>7823</v>
      </c>
      <c r="D2361" s="65"/>
      <c r="E2361" s="65"/>
      <c r="F2361" s="65"/>
      <c r="G2361" s="11" t="s">
        <v>7824</v>
      </c>
      <c r="H2361" s="21" t="s">
        <v>44</v>
      </c>
      <c r="I2361" s="15"/>
      <c r="J2361" s="9">
        <v>12</v>
      </c>
      <c r="K2361" s="16">
        <v>33.479999999999997</v>
      </c>
      <c r="L2361" s="17"/>
      <c r="M2361" s="15">
        <f>K2361*L2361</f>
        <v>0</v>
      </c>
      <c r="N2361" s="18">
        <f>0.031*L2361</f>
        <v>0</v>
      </c>
      <c r="O2361" s="19">
        <f>0.00056*L2361</f>
        <v>0</v>
      </c>
      <c r="P2361" s="24" t="s">
        <v>26</v>
      </c>
      <c r="Q2361" s="15" t="s">
        <v>7825</v>
      </c>
      <c r="R2361" s="15"/>
      <c r="S2361" s="10" t="str">
        <f>HYPERLINK("https://miland.ru/api/getInfo/image/132d94b2-fb5c-11f0-a28e-00155d82e908")</f>
        <v>https://miland.ru/api/getInfo/image/132d94b2-fb5c-11f0-a28e-00155d82e908</v>
      </c>
    </row>
    <row r="2362" spans="1:19" s="2" customFormat="1" ht="96.2" customHeight="1" outlineLevel="7">
      <c r="A2362" s="53">
        <v>1854</v>
      </c>
      <c r="B2362" s="10" t="s">
        <v>7826</v>
      </c>
      <c r="C2362" s="65" t="s">
        <v>7827</v>
      </c>
      <c r="D2362" s="65"/>
      <c r="E2362" s="65"/>
      <c r="F2362" s="65"/>
      <c r="G2362" s="11" t="s">
        <v>7828</v>
      </c>
      <c r="H2362" s="21" t="s">
        <v>44</v>
      </c>
      <c r="I2362" s="15"/>
      <c r="J2362" s="9">
        <v>12</v>
      </c>
      <c r="K2362" s="16">
        <v>33.479999999999997</v>
      </c>
      <c r="L2362" s="17"/>
      <c r="M2362" s="15">
        <f>K2362*L2362</f>
        <v>0</v>
      </c>
      <c r="N2362" s="23">
        <f>0.03*L2362</f>
        <v>0</v>
      </c>
      <c r="O2362" s="19">
        <f>0.00049*L2362</f>
        <v>0</v>
      </c>
      <c r="P2362" s="24" t="s">
        <v>26</v>
      </c>
      <c r="Q2362" s="15" t="s">
        <v>7829</v>
      </c>
      <c r="R2362" s="15"/>
      <c r="S2362" s="10" t="str">
        <f>HYPERLINK("https://miland.ru/api/getInfo/image/50bad2a4-fb5c-11f0-a28e-00155d82e908")</f>
        <v>https://miland.ru/api/getInfo/image/50bad2a4-fb5c-11f0-a28e-00155d82e908</v>
      </c>
    </row>
    <row r="2363" spans="1:19" s="2" customFormat="1" ht="96.2" customHeight="1" outlineLevel="7">
      <c r="A2363" s="53">
        <v>1855</v>
      </c>
      <c r="B2363" s="10" t="s">
        <v>7830</v>
      </c>
      <c r="C2363" s="65" t="s">
        <v>7831</v>
      </c>
      <c r="D2363" s="65"/>
      <c r="E2363" s="65"/>
      <c r="F2363" s="65"/>
      <c r="G2363" s="11" t="s">
        <v>7832</v>
      </c>
      <c r="H2363" s="14">
        <v>384</v>
      </c>
      <c r="I2363" s="15"/>
      <c r="J2363" s="9">
        <v>12</v>
      </c>
      <c r="K2363" s="16">
        <v>33.479999999999997</v>
      </c>
      <c r="L2363" s="17"/>
      <c r="M2363" s="15">
        <f>K2363*L2363</f>
        <v>0</v>
      </c>
      <c r="N2363" s="18">
        <f>0.029*L2363</f>
        <v>0</v>
      </c>
      <c r="O2363" s="19">
        <f>0.00036*L2363</f>
        <v>0</v>
      </c>
      <c r="P2363" s="24" t="s">
        <v>26</v>
      </c>
      <c r="Q2363" s="15" t="s">
        <v>7833</v>
      </c>
      <c r="R2363" s="15"/>
      <c r="S2363" s="10" t="str">
        <f>HYPERLINK("https://miland.ru/api/getInfo/image/3038c761-fb5c-11f0-a28e-00155d82e908")</f>
        <v>https://miland.ru/api/getInfo/image/3038c761-fb5c-11f0-a28e-00155d82e908</v>
      </c>
    </row>
    <row r="2364" spans="1:19" s="2" customFormat="1" ht="96.2" customHeight="1" outlineLevel="7">
      <c r="A2364" s="53">
        <v>1856</v>
      </c>
      <c r="B2364" s="10" t="s">
        <v>7834</v>
      </c>
      <c r="C2364" s="65" t="s">
        <v>7835</v>
      </c>
      <c r="D2364" s="65"/>
      <c r="E2364" s="65"/>
      <c r="F2364" s="65"/>
      <c r="G2364" s="11" t="s">
        <v>7836</v>
      </c>
      <c r="H2364" s="21" t="s">
        <v>44</v>
      </c>
      <c r="I2364" s="15"/>
      <c r="J2364" s="9">
        <v>12</v>
      </c>
      <c r="K2364" s="16">
        <v>33.479999999999997</v>
      </c>
      <c r="L2364" s="17"/>
      <c r="M2364" s="15">
        <f>K2364*L2364</f>
        <v>0</v>
      </c>
      <c r="N2364" s="18">
        <f>0.034*L2364</f>
        <v>0</v>
      </c>
      <c r="O2364" s="19">
        <f>0.00759*L2364</f>
        <v>0</v>
      </c>
      <c r="P2364" s="24" t="s">
        <v>26</v>
      </c>
      <c r="Q2364" s="15" t="s">
        <v>7837</v>
      </c>
      <c r="R2364" s="15"/>
      <c r="S2364" s="10" t="str">
        <f>HYPERLINK("https://miland.ru/api/getInfo/image/fc9f9e3b-fb5b-11f0-a28e-00155d82e908")</f>
        <v>https://miland.ru/api/getInfo/image/fc9f9e3b-fb5b-11f0-a28e-00155d82e908</v>
      </c>
    </row>
    <row r="2365" spans="1:19" s="2" customFormat="1" ht="96.2" customHeight="1" outlineLevel="7">
      <c r="A2365" s="53">
        <v>1857</v>
      </c>
      <c r="B2365" s="10" t="s">
        <v>7838</v>
      </c>
      <c r="C2365" s="65" t="s">
        <v>7839</v>
      </c>
      <c r="D2365" s="65"/>
      <c r="E2365" s="65"/>
      <c r="F2365" s="65"/>
      <c r="G2365" s="11" t="s">
        <v>7840</v>
      </c>
      <c r="H2365" s="21" t="s">
        <v>44</v>
      </c>
      <c r="I2365" s="15"/>
      <c r="J2365" s="9">
        <v>12</v>
      </c>
      <c r="K2365" s="16">
        <v>33.479999999999997</v>
      </c>
      <c r="L2365" s="17"/>
      <c r="M2365" s="15">
        <f>K2365*L2365</f>
        <v>0</v>
      </c>
      <c r="N2365" s="18">
        <f>0.031*L2365</f>
        <v>0</v>
      </c>
      <c r="O2365" s="19">
        <f>0.00042*L2365</f>
        <v>0</v>
      </c>
      <c r="P2365" s="24" t="s">
        <v>26</v>
      </c>
      <c r="Q2365" s="15" t="s">
        <v>7841</v>
      </c>
      <c r="R2365" s="15"/>
      <c r="S2365" s="10" t="str">
        <f>HYPERLINK("https://miland.ru/api/getInfo/image/650bf7c5-fb5c-11f0-a28e-00155d82e908")</f>
        <v>https://miland.ru/api/getInfo/image/650bf7c5-fb5c-11f0-a28e-00155d82e908</v>
      </c>
    </row>
    <row r="2366" spans="1:19" s="1" customFormat="1" ht="12" customHeight="1" outlineLevel="7">
      <c r="A2366" s="64" t="s">
        <v>7842</v>
      </c>
      <c r="B2366" s="64"/>
      <c r="C2366" s="64"/>
      <c r="D2366" s="64"/>
      <c r="E2366" s="64"/>
      <c r="F2366" s="64"/>
      <c r="G2366" s="8"/>
      <c r="H2366" s="12"/>
      <c r="I2366" s="2"/>
      <c r="J2366" s="2"/>
      <c r="K2366" s="13"/>
      <c r="L2366" s="2"/>
      <c r="M2366" s="2"/>
      <c r="N2366" s="2"/>
      <c r="O2366" s="2"/>
      <c r="P2366" s="2"/>
      <c r="Q2366" s="2"/>
      <c r="R2366" s="2"/>
      <c r="S2366" s="2"/>
    </row>
    <row r="2367" spans="1:19" s="2" customFormat="1" ht="96.2" customHeight="1" outlineLevel="7">
      <c r="A2367" s="52">
        <v>1858</v>
      </c>
      <c r="B2367" s="26" t="s">
        <v>7843</v>
      </c>
      <c r="C2367" s="66" t="s">
        <v>7844</v>
      </c>
      <c r="D2367" s="66"/>
      <c r="E2367" s="66"/>
      <c r="F2367" s="66"/>
      <c r="G2367" s="27" t="s">
        <v>7845</v>
      </c>
      <c r="H2367" s="33">
        <v>12</v>
      </c>
      <c r="I2367" s="29"/>
      <c r="J2367" s="25">
        <v>12</v>
      </c>
      <c r="K2367" s="30">
        <v>36.9</v>
      </c>
      <c r="L2367" s="17"/>
      <c r="M2367" s="29">
        <f>K2367*L2367</f>
        <v>0</v>
      </c>
      <c r="N2367" s="31">
        <f>0.048*L2367</f>
        <v>0</v>
      </c>
      <c r="O2367" s="32">
        <f>0.00023*L2367</f>
        <v>0</v>
      </c>
      <c r="P2367" s="36"/>
      <c r="Q2367" s="29" t="s">
        <v>7846</v>
      </c>
      <c r="R2367" s="29" t="s">
        <v>611</v>
      </c>
      <c r="S2367" s="26" t="str">
        <f>HYPERLINK("https://miland.ru/api/getInfo/image/ab34fcd8-e522-11ee-a25a-00155d82e908")</f>
        <v>https://miland.ru/api/getInfo/image/ab34fcd8-e522-11ee-a25a-00155d82e908</v>
      </c>
    </row>
    <row r="2368" spans="1:19" s="1" customFormat="1" ht="12" customHeight="1" outlineLevel="6">
      <c r="A2368" s="64" t="s">
        <v>549</v>
      </c>
      <c r="B2368" s="64"/>
      <c r="C2368" s="64"/>
      <c r="D2368" s="64"/>
      <c r="E2368" s="64"/>
      <c r="F2368" s="64"/>
      <c r="G2368" s="8"/>
      <c r="H2368" s="12"/>
      <c r="I2368" s="2"/>
      <c r="J2368" s="2"/>
      <c r="K2368" s="13"/>
      <c r="L2368" s="2"/>
      <c r="M2368" s="2"/>
      <c r="N2368" s="2"/>
      <c r="O2368" s="2"/>
      <c r="P2368" s="2"/>
      <c r="Q2368" s="2"/>
      <c r="R2368" s="2"/>
      <c r="S2368" s="2"/>
    </row>
    <row r="2369" spans="1:19" s="2" customFormat="1" ht="96.2" customHeight="1" outlineLevel="7">
      <c r="A2369" s="53">
        <v>1859</v>
      </c>
      <c r="B2369" s="10" t="s">
        <v>7847</v>
      </c>
      <c r="C2369" s="65" t="s">
        <v>7848</v>
      </c>
      <c r="D2369" s="65"/>
      <c r="E2369" s="65"/>
      <c r="F2369" s="65"/>
      <c r="G2369" s="11" t="s">
        <v>7849</v>
      </c>
      <c r="H2369" s="21" t="s">
        <v>44</v>
      </c>
      <c r="I2369" s="15"/>
      <c r="J2369" s="9">
        <v>12</v>
      </c>
      <c r="K2369" s="16">
        <v>32.19</v>
      </c>
      <c r="L2369" s="17"/>
      <c r="M2369" s="15">
        <f>K2369*L2369</f>
        <v>0</v>
      </c>
      <c r="N2369" s="18">
        <f>0.028*L2369</f>
        <v>0</v>
      </c>
      <c r="O2369" s="19">
        <f>0.00067*L2369</f>
        <v>0</v>
      </c>
      <c r="P2369" s="24" t="s">
        <v>26</v>
      </c>
      <c r="Q2369" s="15" t="s">
        <v>7850</v>
      </c>
      <c r="R2369" s="15"/>
      <c r="S2369" s="10" t="str">
        <f>HYPERLINK("https://miland.ru/api/getInfo/image/9ae6ad29-fb5c-11f0-a28e-00155d82e908")</f>
        <v>https://miland.ru/api/getInfo/image/9ae6ad29-fb5c-11f0-a28e-00155d82e908</v>
      </c>
    </row>
    <row r="2370" spans="1:19" s="2" customFormat="1" ht="96.2" customHeight="1" outlineLevel="7">
      <c r="A2370" s="53">
        <v>1860</v>
      </c>
      <c r="B2370" s="10" t="s">
        <v>7851</v>
      </c>
      <c r="C2370" s="65" t="s">
        <v>7852</v>
      </c>
      <c r="D2370" s="65"/>
      <c r="E2370" s="65"/>
      <c r="F2370" s="65"/>
      <c r="G2370" s="11" t="s">
        <v>7853</v>
      </c>
      <c r="H2370" s="21" t="s">
        <v>44</v>
      </c>
      <c r="I2370" s="15"/>
      <c r="J2370" s="9">
        <v>12</v>
      </c>
      <c r="K2370" s="16">
        <v>32.19</v>
      </c>
      <c r="L2370" s="17"/>
      <c r="M2370" s="15">
        <f>K2370*L2370</f>
        <v>0</v>
      </c>
      <c r="N2370" s="23">
        <f>0.03*L2370</f>
        <v>0</v>
      </c>
      <c r="O2370" s="19">
        <f>0.00028*L2370</f>
        <v>0</v>
      </c>
      <c r="P2370" s="24" t="s">
        <v>26</v>
      </c>
      <c r="Q2370" s="15" t="s">
        <v>7854</v>
      </c>
      <c r="R2370" s="15"/>
      <c r="S2370" s="10" t="str">
        <f>HYPERLINK("https://miland.ru/api/getInfo/image/18e448c0-fb5d-11f0-a28e-00155d82e908")</f>
        <v>https://miland.ru/api/getInfo/image/18e448c0-fb5d-11f0-a28e-00155d82e908</v>
      </c>
    </row>
    <row r="2371" spans="1:19" s="2" customFormat="1" ht="96.2" customHeight="1" outlineLevel="7">
      <c r="A2371" s="53">
        <v>1861</v>
      </c>
      <c r="B2371" s="10" t="s">
        <v>7855</v>
      </c>
      <c r="C2371" s="65" t="s">
        <v>7856</v>
      </c>
      <c r="D2371" s="65"/>
      <c r="E2371" s="65"/>
      <c r="F2371" s="65"/>
      <c r="G2371" s="11" t="s">
        <v>7857</v>
      </c>
      <c r="H2371" s="14">
        <v>24</v>
      </c>
      <c r="I2371" s="15"/>
      <c r="J2371" s="9">
        <v>12</v>
      </c>
      <c r="K2371" s="16">
        <v>32.19</v>
      </c>
      <c r="L2371" s="17"/>
      <c r="M2371" s="15">
        <f>K2371*L2371</f>
        <v>0</v>
      </c>
      <c r="N2371" s="18">
        <f>0.026*L2371</f>
        <v>0</v>
      </c>
      <c r="O2371" s="19">
        <f>0.00043*L2371</f>
        <v>0</v>
      </c>
      <c r="P2371" s="24" t="s">
        <v>26</v>
      </c>
      <c r="Q2371" s="15" t="s">
        <v>7858</v>
      </c>
      <c r="R2371" s="15"/>
      <c r="S2371" s="10" t="str">
        <f>HYPERLINK("https://miland.ru/api/getInfo/image/add81b96-fb5c-11f0-a28e-00155d82e908")</f>
        <v>https://miland.ru/api/getInfo/image/add81b96-fb5c-11f0-a28e-00155d82e908</v>
      </c>
    </row>
    <row r="2372" spans="1:19" s="2" customFormat="1" ht="96.2" customHeight="1" outlineLevel="7">
      <c r="A2372" s="53">
        <v>1862</v>
      </c>
      <c r="B2372" s="10" t="s">
        <v>7859</v>
      </c>
      <c r="C2372" s="65" t="s">
        <v>7860</v>
      </c>
      <c r="D2372" s="65"/>
      <c r="E2372" s="65"/>
      <c r="F2372" s="65"/>
      <c r="G2372" s="11" t="s">
        <v>7861</v>
      </c>
      <c r="H2372" s="14">
        <v>60</v>
      </c>
      <c r="I2372" s="15"/>
      <c r="J2372" s="9">
        <v>12</v>
      </c>
      <c r="K2372" s="16">
        <v>32.19</v>
      </c>
      <c r="L2372" s="17"/>
      <c r="M2372" s="15">
        <f>K2372*L2372</f>
        <v>0</v>
      </c>
      <c r="N2372" s="18">
        <f>0.025*L2372</f>
        <v>0</v>
      </c>
      <c r="O2372" s="19">
        <f>0.00039*L2372</f>
        <v>0</v>
      </c>
      <c r="P2372" s="24" t="s">
        <v>26</v>
      </c>
      <c r="Q2372" s="15" t="s">
        <v>7862</v>
      </c>
      <c r="R2372" s="15"/>
      <c r="S2372" s="10" t="str">
        <f>HYPERLINK("https://miland.ru/api/getInfo/image/ebe0d945-fb5c-11f0-a28e-00155d82e908")</f>
        <v>https://miland.ru/api/getInfo/image/ebe0d945-fb5c-11f0-a28e-00155d82e908</v>
      </c>
    </row>
    <row r="2373" spans="1:19" s="2" customFormat="1" ht="96.2" customHeight="1" outlineLevel="7">
      <c r="A2373" s="53">
        <v>1863</v>
      </c>
      <c r="B2373" s="10" t="s">
        <v>7863</v>
      </c>
      <c r="C2373" s="65" t="s">
        <v>7864</v>
      </c>
      <c r="D2373" s="65"/>
      <c r="E2373" s="65"/>
      <c r="F2373" s="65"/>
      <c r="G2373" s="11" t="s">
        <v>7865</v>
      </c>
      <c r="H2373" s="14">
        <v>216</v>
      </c>
      <c r="I2373" s="15"/>
      <c r="J2373" s="9">
        <v>12</v>
      </c>
      <c r="K2373" s="16">
        <v>32.19</v>
      </c>
      <c r="L2373" s="17"/>
      <c r="M2373" s="15">
        <f>K2373*L2373</f>
        <v>0</v>
      </c>
      <c r="N2373" s="18">
        <f>0.029*L2373</f>
        <v>0</v>
      </c>
      <c r="O2373" s="19">
        <f>0.00017*L2373</f>
        <v>0</v>
      </c>
      <c r="P2373" s="24" t="s">
        <v>26</v>
      </c>
      <c r="Q2373" s="15" t="s">
        <v>7866</v>
      </c>
      <c r="R2373" s="15"/>
      <c r="S2373" s="10" t="str">
        <f>HYPERLINK("https://miland.ru/api/getInfo/image/367421d7-fb5d-11f0-a28e-00155d82e908")</f>
        <v>https://miland.ru/api/getInfo/image/367421d7-fb5d-11f0-a28e-00155d82e908</v>
      </c>
    </row>
    <row r="2374" spans="1:19" s="1" customFormat="1" ht="12" customHeight="1" outlineLevel="5">
      <c r="A2374" s="64" t="s">
        <v>7867</v>
      </c>
      <c r="B2374" s="64"/>
      <c r="C2374" s="64"/>
      <c r="D2374" s="64"/>
      <c r="E2374" s="64"/>
      <c r="F2374" s="64"/>
      <c r="G2374" s="8"/>
      <c r="H2374" s="12"/>
      <c r="I2374" s="2"/>
      <c r="J2374" s="2"/>
      <c r="K2374" s="13"/>
      <c r="L2374" s="2"/>
      <c r="M2374" s="2"/>
      <c r="N2374" s="2"/>
      <c r="O2374" s="2"/>
      <c r="P2374" s="2"/>
      <c r="Q2374" s="2"/>
      <c r="R2374" s="2"/>
      <c r="S2374" s="2"/>
    </row>
    <row r="2375" spans="1:19" s="1" customFormat="1" ht="12" customHeight="1" outlineLevel="6">
      <c r="A2375" s="64" t="s">
        <v>7868</v>
      </c>
      <c r="B2375" s="64"/>
      <c r="C2375" s="64"/>
      <c r="D2375" s="64"/>
      <c r="E2375" s="64"/>
      <c r="F2375" s="64"/>
      <c r="G2375" s="8"/>
      <c r="H2375" s="12"/>
      <c r="I2375" s="2"/>
      <c r="J2375" s="2"/>
      <c r="K2375" s="13"/>
      <c r="L2375" s="2"/>
      <c r="M2375" s="2"/>
      <c r="N2375" s="2"/>
      <c r="O2375" s="2"/>
      <c r="P2375" s="2"/>
      <c r="Q2375" s="2"/>
      <c r="R2375" s="2"/>
      <c r="S2375" s="2"/>
    </row>
    <row r="2376" spans="1:19" s="1" customFormat="1" ht="12" customHeight="1" outlineLevel="7">
      <c r="A2376" s="64" t="s">
        <v>7869</v>
      </c>
      <c r="B2376" s="64"/>
      <c r="C2376" s="64"/>
      <c r="D2376" s="64"/>
      <c r="E2376" s="64"/>
      <c r="F2376" s="64"/>
      <c r="G2376" s="8"/>
      <c r="H2376" s="12"/>
      <c r="I2376" s="2"/>
      <c r="J2376" s="2"/>
      <c r="K2376" s="13"/>
      <c r="L2376" s="2"/>
      <c r="M2376" s="2"/>
      <c r="N2376" s="2"/>
      <c r="O2376" s="2"/>
      <c r="P2376" s="2"/>
      <c r="Q2376" s="2"/>
      <c r="R2376" s="2"/>
      <c r="S2376" s="2"/>
    </row>
    <row r="2377" spans="1:19" s="2" customFormat="1" ht="96.2" customHeight="1" outlineLevel="7">
      <c r="A2377" s="53">
        <v>1864</v>
      </c>
      <c r="B2377" s="10" t="s">
        <v>7870</v>
      </c>
      <c r="C2377" s="65" t="s">
        <v>7871</v>
      </c>
      <c r="D2377" s="65"/>
      <c r="E2377" s="65"/>
      <c r="F2377" s="65"/>
      <c r="G2377" s="11" t="s">
        <v>7872</v>
      </c>
      <c r="H2377" s="21" t="s">
        <v>44</v>
      </c>
      <c r="I2377" s="15"/>
      <c r="J2377" s="9">
        <v>12</v>
      </c>
      <c r="K2377" s="16">
        <v>47.46</v>
      </c>
      <c r="L2377" s="17"/>
      <c r="M2377" s="15">
        <f>K2377*L2377</f>
        <v>0</v>
      </c>
      <c r="N2377" s="23">
        <f>0.04*L2377</f>
        <v>0</v>
      </c>
      <c r="O2377" s="19">
        <f>0.00025*L2377</f>
        <v>0</v>
      </c>
      <c r="P2377" s="24" t="s">
        <v>26</v>
      </c>
      <c r="Q2377" s="15" t="s">
        <v>7873</v>
      </c>
      <c r="R2377" s="15"/>
      <c r="S2377" s="10" t="str">
        <f>HYPERLINK("https://miland.ru/api/getInfo/image/1e16e4a2-fb70-11f0-a28e-00155d82e908")</f>
        <v>https://miland.ru/api/getInfo/image/1e16e4a2-fb70-11f0-a28e-00155d82e908</v>
      </c>
    </row>
    <row r="2378" spans="1:19" s="2" customFormat="1" ht="96.2" customHeight="1" outlineLevel="7">
      <c r="A2378" s="53">
        <v>1865</v>
      </c>
      <c r="B2378" s="10" t="s">
        <v>7874</v>
      </c>
      <c r="C2378" s="65" t="s">
        <v>7875</v>
      </c>
      <c r="D2378" s="65"/>
      <c r="E2378" s="65"/>
      <c r="F2378" s="65"/>
      <c r="G2378" s="11" t="s">
        <v>7876</v>
      </c>
      <c r="H2378" s="14">
        <v>492</v>
      </c>
      <c r="I2378" s="15"/>
      <c r="J2378" s="9">
        <v>12</v>
      </c>
      <c r="K2378" s="16">
        <v>47.46</v>
      </c>
      <c r="L2378" s="17"/>
      <c r="M2378" s="15">
        <f>K2378*L2378</f>
        <v>0</v>
      </c>
      <c r="N2378" s="18">
        <f>0.042*L2378</f>
        <v>0</v>
      </c>
      <c r="O2378" s="19">
        <f>0.00063*L2378</f>
        <v>0</v>
      </c>
      <c r="P2378" s="24" t="s">
        <v>26</v>
      </c>
      <c r="Q2378" s="15" t="s">
        <v>7877</v>
      </c>
      <c r="R2378" s="15"/>
      <c r="S2378" s="10" t="str">
        <f>HYPERLINK("https://miland.ru/api/getInfo/image/32e4659c-fb70-11f0-a28e-00155d82e908")</f>
        <v>https://miland.ru/api/getInfo/image/32e4659c-fb70-11f0-a28e-00155d82e908</v>
      </c>
    </row>
    <row r="2379" spans="1:19" s="1" customFormat="1" ht="12" customHeight="1" outlineLevel="7">
      <c r="A2379" s="64" t="s">
        <v>7878</v>
      </c>
      <c r="B2379" s="64"/>
      <c r="C2379" s="64"/>
      <c r="D2379" s="64"/>
      <c r="E2379" s="64"/>
      <c r="F2379" s="64"/>
      <c r="G2379" s="8"/>
      <c r="H2379" s="12"/>
      <c r="I2379" s="2"/>
      <c r="J2379" s="2"/>
      <c r="K2379" s="13"/>
      <c r="L2379" s="2"/>
      <c r="M2379" s="2"/>
      <c r="N2379" s="2"/>
      <c r="O2379" s="2"/>
      <c r="P2379" s="2"/>
      <c r="Q2379" s="2"/>
      <c r="R2379" s="2"/>
      <c r="S2379" s="2"/>
    </row>
    <row r="2380" spans="1:19" s="2" customFormat="1" ht="96.2" customHeight="1" outlineLevel="7">
      <c r="A2380" s="53">
        <v>1866</v>
      </c>
      <c r="B2380" s="10" t="s">
        <v>7879</v>
      </c>
      <c r="C2380" s="65" t="s">
        <v>7880</v>
      </c>
      <c r="D2380" s="65"/>
      <c r="E2380" s="65"/>
      <c r="F2380" s="65"/>
      <c r="G2380" s="11" t="s">
        <v>7881</v>
      </c>
      <c r="H2380" s="21" t="s">
        <v>44</v>
      </c>
      <c r="I2380" s="15"/>
      <c r="J2380" s="9">
        <v>12</v>
      </c>
      <c r="K2380" s="16">
        <v>62.39</v>
      </c>
      <c r="L2380" s="17"/>
      <c r="M2380" s="15">
        <f t="shared" ref="M2380:M2399" si="113">K2380*L2380</f>
        <v>0</v>
      </c>
      <c r="N2380" s="18">
        <f>0.041*L2380</f>
        <v>0</v>
      </c>
      <c r="O2380" s="19">
        <f>0.00051*L2380</f>
        <v>0</v>
      </c>
      <c r="P2380" s="24" t="s">
        <v>26</v>
      </c>
      <c r="Q2380" s="15" t="s">
        <v>7882</v>
      </c>
      <c r="R2380" s="15"/>
      <c r="S2380" s="10" t="str">
        <f>HYPERLINK("https://miland.ru/api/getInfo/image/1ac94c57-fb5f-11f0-a28e-00155d82e908")</f>
        <v>https://miland.ru/api/getInfo/image/1ac94c57-fb5f-11f0-a28e-00155d82e908</v>
      </c>
    </row>
    <row r="2381" spans="1:19" s="2" customFormat="1" ht="96.2" customHeight="1" outlineLevel="7">
      <c r="A2381" s="53">
        <v>1867</v>
      </c>
      <c r="B2381" s="10" t="s">
        <v>7883</v>
      </c>
      <c r="C2381" s="65" t="s">
        <v>7884</v>
      </c>
      <c r="D2381" s="65"/>
      <c r="E2381" s="65"/>
      <c r="F2381" s="65"/>
      <c r="G2381" s="11" t="s">
        <v>7885</v>
      </c>
      <c r="H2381" s="21" t="s">
        <v>44</v>
      </c>
      <c r="I2381" s="15"/>
      <c r="J2381" s="9">
        <v>12</v>
      </c>
      <c r="K2381" s="16">
        <v>62.39</v>
      </c>
      <c r="L2381" s="17"/>
      <c r="M2381" s="15">
        <f t="shared" si="113"/>
        <v>0</v>
      </c>
      <c r="N2381" s="18">
        <f>0.043*L2381</f>
        <v>0</v>
      </c>
      <c r="O2381" s="19">
        <f>0.00036*L2381</f>
        <v>0</v>
      </c>
      <c r="P2381" s="24" t="s">
        <v>26</v>
      </c>
      <c r="Q2381" s="15" t="s">
        <v>7886</v>
      </c>
      <c r="R2381" s="15"/>
      <c r="S2381" s="10" t="str">
        <f>HYPERLINK("https://miland.ru/api/getInfo/image/87940858-fb5e-11f0-a28e-00155d82e908")</f>
        <v>https://miland.ru/api/getInfo/image/87940858-fb5e-11f0-a28e-00155d82e908</v>
      </c>
    </row>
    <row r="2382" spans="1:19" s="2" customFormat="1" ht="96.2" customHeight="1" outlineLevel="7">
      <c r="A2382" s="53">
        <v>1868</v>
      </c>
      <c r="B2382" s="10" t="s">
        <v>7887</v>
      </c>
      <c r="C2382" s="65" t="s">
        <v>7888</v>
      </c>
      <c r="D2382" s="65"/>
      <c r="E2382" s="65"/>
      <c r="F2382" s="65"/>
      <c r="G2382" s="11" t="s">
        <v>7889</v>
      </c>
      <c r="H2382" s="14">
        <v>276</v>
      </c>
      <c r="I2382" s="15"/>
      <c r="J2382" s="9">
        <v>12</v>
      </c>
      <c r="K2382" s="16">
        <v>62.39</v>
      </c>
      <c r="L2382" s="17"/>
      <c r="M2382" s="15">
        <f t="shared" si="113"/>
        <v>0</v>
      </c>
      <c r="N2382" s="18">
        <f>0.044*L2382</f>
        <v>0</v>
      </c>
      <c r="O2382" s="19">
        <f>0.00026*L2382</f>
        <v>0</v>
      </c>
      <c r="P2382" s="24" t="s">
        <v>26</v>
      </c>
      <c r="Q2382" s="15" t="s">
        <v>7890</v>
      </c>
      <c r="R2382" s="15"/>
      <c r="S2382" s="10" t="str">
        <f>HYPERLINK("https://miland.ru/api/getInfo/image/54e885c4-fb5e-11f0-a28e-00155d82e908")</f>
        <v>https://miland.ru/api/getInfo/image/54e885c4-fb5e-11f0-a28e-00155d82e908</v>
      </c>
    </row>
    <row r="2383" spans="1:19" s="2" customFormat="1" ht="96.2" customHeight="1" outlineLevel="7">
      <c r="A2383" s="53">
        <v>1869</v>
      </c>
      <c r="B2383" s="10" t="s">
        <v>7891</v>
      </c>
      <c r="C2383" s="65" t="s">
        <v>7892</v>
      </c>
      <c r="D2383" s="65"/>
      <c r="E2383" s="65"/>
      <c r="F2383" s="65"/>
      <c r="G2383" s="11" t="s">
        <v>7893</v>
      </c>
      <c r="H2383" s="21" t="s">
        <v>44</v>
      </c>
      <c r="I2383" s="15"/>
      <c r="J2383" s="9">
        <v>12</v>
      </c>
      <c r="K2383" s="16">
        <v>62.39</v>
      </c>
      <c r="L2383" s="17"/>
      <c r="M2383" s="15">
        <f t="shared" si="113"/>
        <v>0</v>
      </c>
      <c r="N2383" s="18">
        <f>0.045*L2383</f>
        <v>0</v>
      </c>
      <c r="O2383" s="20">
        <f>0.0005*L2383</f>
        <v>0</v>
      </c>
      <c r="P2383" s="24" t="s">
        <v>26</v>
      </c>
      <c r="Q2383" s="15" t="s">
        <v>7894</v>
      </c>
      <c r="R2383" s="15"/>
      <c r="S2383" s="10" t="str">
        <f>HYPERLINK("https://miland.ru/api/getInfo/image/6f7d442b-fb5e-11f0-a28e-00155d82e908")</f>
        <v>https://miland.ru/api/getInfo/image/6f7d442b-fb5e-11f0-a28e-00155d82e908</v>
      </c>
    </row>
    <row r="2384" spans="1:19" s="2" customFormat="1" ht="96.2" customHeight="1" outlineLevel="7">
      <c r="A2384" s="52">
        <v>1870</v>
      </c>
      <c r="B2384" s="26" t="s">
        <v>7895</v>
      </c>
      <c r="C2384" s="66" t="s">
        <v>7896</v>
      </c>
      <c r="D2384" s="66"/>
      <c r="E2384" s="66"/>
      <c r="F2384" s="66"/>
      <c r="G2384" s="27" t="s">
        <v>7897</v>
      </c>
      <c r="H2384" s="28" t="s">
        <v>44</v>
      </c>
      <c r="I2384" s="29"/>
      <c r="J2384" s="25">
        <v>12</v>
      </c>
      <c r="K2384" s="30">
        <v>62.39</v>
      </c>
      <c r="L2384" s="17"/>
      <c r="M2384" s="29">
        <f t="shared" si="113"/>
        <v>0</v>
      </c>
      <c r="N2384" s="31">
        <f>11.949*L2384</f>
        <v>0</v>
      </c>
      <c r="O2384" s="32">
        <f>0.04289*L2384</f>
        <v>0</v>
      </c>
      <c r="P2384" s="36"/>
      <c r="Q2384" s="29" t="s">
        <v>7898</v>
      </c>
      <c r="R2384" s="29" t="s">
        <v>611</v>
      </c>
      <c r="S2384" s="26" t="str">
        <f>HYPERLINK("https://miland.ru/api/getInfo/image/0d16f1e6-a332-11ef-a267-00155d82e908")</f>
        <v>https://miland.ru/api/getInfo/image/0d16f1e6-a332-11ef-a267-00155d82e908</v>
      </c>
    </row>
    <row r="2385" spans="1:19" s="2" customFormat="1" ht="96.2" customHeight="1" outlineLevel="7">
      <c r="A2385" s="53">
        <v>1871</v>
      </c>
      <c r="B2385" s="10" t="s">
        <v>7899</v>
      </c>
      <c r="C2385" s="65" t="s">
        <v>7900</v>
      </c>
      <c r="D2385" s="65"/>
      <c r="E2385" s="65"/>
      <c r="F2385" s="65"/>
      <c r="G2385" s="11" t="s">
        <v>7901</v>
      </c>
      <c r="H2385" s="21" t="s">
        <v>44</v>
      </c>
      <c r="I2385" s="15"/>
      <c r="J2385" s="9">
        <v>12</v>
      </c>
      <c r="K2385" s="16">
        <v>62.39</v>
      </c>
      <c r="L2385" s="17"/>
      <c r="M2385" s="15">
        <f t="shared" si="113"/>
        <v>0</v>
      </c>
      <c r="N2385" s="23">
        <f>0.04*L2385</f>
        <v>0</v>
      </c>
      <c r="O2385" s="19">
        <f>0.00043*L2385</f>
        <v>0</v>
      </c>
      <c r="P2385" s="24" t="s">
        <v>26</v>
      </c>
      <c r="Q2385" s="15" t="s">
        <v>7902</v>
      </c>
      <c r="R2385" s="15"/>
      <c r="S2385" s="10" t="str">
        <f>HYPERLINK("https://miland.ru/api/getInfo/image/71c13990-fb5f-11f0-a28e-00155d82e908")</f>
        <v>https://miland.ru/api/getInfo/image/71c13990-fb5f-11f0-a28e-00155d82e908</v>
      </c>
    </row>
    <row r="2386" spans="1:19" s="2" customFormat="1" ht="96.2" customHeight="1" outlineLevel="7">
      <c r="A2386" s="52">
        <v>1872</v>
      </c>
      <c r="B2386" s="26" t="s">
        <v>7903</v>
      </c>
      <c r="C2386" s="66" t="s">
        <v>7904</v>
      </c>
      <c r="D2386" s="66"/>
      <c r="E2386" s="66"/>
      <c r="F2386" s="66"/>
      <c r="G2386" s="27" t="s">
        <v>7905</v>
      </c>
      <c r="H2386" s="28" t="s">
        <v>44</v>
      </c>
      <c r="I2386" s="29"/>
      <c r="J2386" s="25">
        <v>12</v>
      </c>
      <c r="K2386" s="30">
        <v>62.39</v>
      </c>
      <c r="L2386" s="17"/>
      <c r="M2386" s="29">
        <f t="shared" si="113"/>
        <v>0</v>
      </c>
      <c r="N2386" s="31">
        <f>0.048*L2386</f>
        <v>0</v>
      </c>
      <c r="O2386" s="32">
        <f>0.00012*L2386</f>
        <v>0</v>
      </c>
      <c r="P2386" s="36"/>
      <c r="Q2386" s="29" t="s">
        <v>7906</v>
      </c>
      <c r="R2386" s="29" t="s">
        <v>611</v>
      </c>
      <c r="S2386" s="26" t="str">
        <f>HYPERLINK("https://miland.ru/api/getInfo/image/e2ab0aad-a331-11ef-a267-00155d82e908")</f>
        <v>https://miland.ru/api/getInfo/image/e2ab0aad-a331-11ef-a267-00155d82e908</v>
      </c>
    </row>
    <row r="2387" spans="1:19" s="2" customFormat="1" ht="96.2" customHeight="1" outlineLevel="7">
      <c r="A2387" s="52">
        <v>1873</v>
      </c>
      <c r="B2387" s="26" t="s">
        <v>7907</v>
      </c>
      <c r="C2387" s="66" t="s">
        <v>7908</v>
      </c>
      <c r="D2387" s="66"/>
      <c r="E2387" s="66"/>
      <c r="F2387" s="66"/>
      <c r="G2387" s="27" t="s">
        <v>7909</v>
      </c>
      <c r="H2387" s="33">
        <v>84</v>
      </c>
      <c r="I2387" s="29"/>
      <c r="J2387" s="25">
        <v>12</v>
      </c>
      <c r="K2387" s="30">
        <v>62.39</v>
      </c>
      <c r="L2387" s="17"/>
      <c r="M2387" s="29">
        <f t="shared" si="113"/>
        <v>0</v>
      </c>
      <c r="N2387" s="31">
        <f>0.036*L2387</f>
        <v>0</v>
      </c>
      <c r="O2387" s="32">
        <f>0.00018*L2387</f>
        <v>0</v>
      </c>
      <c r="P2387" s="36"/>
      <c r="Q2387" s="29" t="s">
        <v>7910</v>
      </c>
      <c r="R2387" s="29" t="s">
        <v>611</v>
      </c>
      <c r="S2387" s="26" t="str">
        <f>HYPERLINK("https://miland.ru/api/getInfo/image/6ca0f3fa-a332-11ef-a267-00155d82e908")</f>
        <v>https://miland.ru/api/getInfo/image/6ca0f3fa-a332-11ef-a267-00155d82e908</v>
      </c>
    </row>
    <row r="2388" spans="1:19" s="2" customFormat="1" ht="96.2" customHeight="1" outlineLevel="7">
      <c r="A2388" s="52">
        <v>1874</v>
      </c>
      <c r="B2388" s="26" t="s">
        <v>7911</v>
      </c>
      <c r="C2388" s="66" t="s">
        <v>7912</v>
      </c>
      <c r="D2388" s="66"/>
      <c r="E2388" s="66"/>
      <c r="F2388" s="66"/>
      <c r="G2388" s="27" t="s">
        <v>7913</v>
      </c>
      <c r="H2388" s="33">
        <v>36</v>
      </c>
      <c r="I2388" s="29"/>
      <c r="J2388" s="25">
        <v>12</v>
      </c>
      <c r="K2388" s="30">
        <v>62.39</v>
      </c>
      <c r="L2388" s="17"/>
      <c r="M2388" s="29">
        <f t="shared" si="113"/>
        <v>0</v>
      </c>
      <c r="N2388" s="31">
        <f>0.047*L2388</f>
        <v>0</v>
      </c>
      <c r="O2388" s="32">
        <f>0.00044*L2388</f>
        <v>0</v>
      </c>
      <c r="P2388" s="36"/>
      <c r="Q2388" s="29" t="s">
        <v>7914</v>
      </c>
      <c r="R2388" s="29" t="s">
        <v>611</v>
      </c>
      <c r="S2388" s="26" t="str">
        <f>HYPERLINK("https://miland.ru/api/getInfo/image/44aa85d1-c02b-11ee-a25a-00155d82e908")</f>
        <v>https://miland.ru/api/getInfo/image/44aa85d1-c02b-11ee-a25a-00155d82e908</v>
      </c>
    </row>
    <row r="2389" spans="1:19" s="2" customFormat="1" ht="96.2" customHeight="1" outlineLevel="7">
      <c r="A2389" s="53">
        <v>1875</v>
      </c>
      <c r="B2389" s="10" t="s">
        <v>7915</v>
      </c>
      <c r="C2389" s="65" t="s">
        <v>7916</v>
      </c>
      <c r="D2389" s="65"/>
      <c r="E2389" s="65"/>
      <c r="F2389" s="65"/>
      <c r="G2389" s="11" t="s">
        <v>7917</v>
      </c>
      <c r="H2389" s="21" t="s">
        <v>44</v>
      </c>
      <c r="I2389" s="15"/>
      <c r="J2389" s="9">
        <v>12</v>
      </c>
      <c r="K2389" s="16">
        <v>62.39</v>
      </c>
      <c r="L2389" s="17"/>
      <c r="M2389" s="15">
        <f t="shared" si="113"/>
        <v>0</v>
      </c>
      <c r="N2389" s="18">
        <f>0.046*L2389</f>
        <v>0</v>
      </c>
      <c r="O2389" s="19">
        <f>0.00051*L2389</f>
        <v>0</v>
      </c>
      <c r="P2389" s="24" t="s">
        <v>26</v>
      </c>
      <c r="Q2389" s="15" t="s">
        <v>7918</v>
      </c>
      <c r="R2389" s="15"/>
      <c r="S2389" s="10" t="str">
        <f>HYPERLINK("https://miland.ru/api/getInfo/image/f775e8a4-fb5e-11f0-a28e-00155d82e908")</f>
        <v>https://miland.ru/api/getInfo/image/f775e8a4-fb5e-11f0-a28e-00155d82e908</v>
      </c>
    </row>
    <row r="2390" spans="1:19" s="2" customFormat="1" ht="96.2" customHeight="1" outlineLevel="7">
      <c r="A2390" s="53">
        <v>1876</v>
      </c>
      <c r="B2390" s="10" t="s">
        <v>7919</v>
      </c>
      <c r="C2390" s="65" t="s">
        <v>7920</v>
      </c>
      <c r="D2390" s="65"/>
      <c r="E2390" s="65"/>
      <c r="F2390" s="65"/>
      <c r="G2390" s="11" t="s">
        <v>7921</v>
      </c>
      <c r="H2390" s="21" t="s">
        <v>44</v>
      </c>
      <c r="I2390" s="15"/>
      <c r="J2390" s="9">
        <v>12</v>
      </c>
      <c r="K2390" s="16">
        <v>62.39</v>
      </c>
      <c r="L2390" s="17"/>
      <c r="M2390" s="15">
        <f t="shared" si="113"/>
        <v>0</v>
      </c>
      <c r="N2390" s="18">
        <f>0.045*L2390</f>
        <v>0</v>
      </c>
      <c r="O2390" s="19">
        <f>0.00047*L2390</f>
        <v>0</v>
      </c>
      <c r="P2390" s="24" t="s">
        <v>26</v>
      </c>
      <c r="Q2390" s="15" t="s">
        <v>7922</v>
      </c>
      <c r="R2390" s="15"/>
      <c r="S2390" s="10" t="str">
        <f>HYPERLINK("https://miland.ru/api/getInfo/image/ac88c14d-fb5e-11f0-a28e-00155d82e908")</f>
        <v>https://miland.ru/api/getInfo/image/ac88c14d-fb5e-11f0-a28e-00155d82e908</v>
      </c>
    </row>
    <row r="2391" spans="1:19" s="2" customFormat="1" ht="96.2" customHeight="1" outlineLevel="7">
      <c r="A2391" s="53">
        <v>1877</v>
      </c>
      <c r="B2391" s="10" t="s">
        <v>7923</v>
      </c>
      <c r="C2391" s="65" t="s">
        <v>7924</v>
      </c>
      <c r="D2391" s="65"/>
      <c r="E2391" s="65"/>
      <c r="F2391" s="65"/>
      <c r="G2391" s="11" t="s">
        <v>7925</v>
      </c>
      <c r="H2391" s="21" t="s">
        <v>44</v>
      </c>
      <c r="I2391" s="15"/>
      <c r="J2391" s="9">
        <v>12</v>
      </c>
      <c r="K2391" s="16">
        <v>62.39</v>
      </c>
      <c r="L2391" s="17"/>
      <c r="M2391" s="15">
        <f t="shared" si="113"/>
        <v>0</v>
      </c>
      <c r="N2391" s="18">
        <f>0.045*L2391</f>
        <v>0</v>
      </c>
      <c r="O2391" s="19">
        <f>0.00074*L2391</f>
        <v>0</v>
      </c>
      <c r="P2391" s="24" t="s">
        <v>26</v>
      </c>
      <c r="Q2391" s="15" t="s">
        <v>7926</v>
      </c>
      <c r="R2391" s="15"/>
      <c r="S2391" s="10" t="str">
        <f>HYPERLINK("https://miland.ru/api/getInfo/image/cbc9cd9f-fb5e-11f0-a28e-00155d82e908")</f>
        <v>https://miland.ru/api/getInfo/image/cbc9cd9f-fb5e-11f0-a28e-00155d82e908</v>
      </c>
    </row>
    <row r="2392" spans="1:19" s="2" customFormat="1" ht="96.2" customHeight="1" outlineLevel="7">
      <c r="A2392" s="52">
        <v>1878</v>
      </c>
      <c r="B2392" s="26" t="s">
        <v>7927</v>
      </c>
      <c r="C2392" s="66" t="s">
        <v>7928</v>
      </c>
      <c r="D2392" s="66"/>
      <c r="E2392" s="66"/>
      <c r="F2392" s="66"/>
      <c r="G2392" s="27" t="s">
        <v>7929</v>
      </c>
      <c r="H2392" s="28" t="s">
        <v>44</v>
      </c>
      <c r="I2392" s="29"/>
      <c r="J2392" s="25">
        <v>12</v>
      </c>
      <c r="K2392" s="30">
        <v>62.39</v>
      </c>
      <c r="L2392" s="17"/>
      <c r="M2392" s="29">
        <f t="shared" si="113"/>
        <v>0</v>
      </c>
      <c r="N2392" s="31">
        <f>0.031*L2392</f>
        <v>0</v>
      </c>
      <c r="O2392" s="32">
        <f>0.00017*L2392</f>
        <v>0</v>
      </c>
      <c r="P2392" s="36"/>
      <c r="Q2392" s="29" t="s">
        <v>7930</v>
      </c>
      <c r="R2392" s="29" t="s">
        <v>611</v>
      </c>
      <c r="S2392" s="26" t="str">
        <f>HYPERLINK("https://miland.ru/api/getInfo/image/d87967d0-a333-11ef-a267-00155d82e908")</f>
        <v>https://miland.ru/api/getInfo/image/d87967d0-a333-11ef-a267-00155d82e908</v>
      </c>
    </row>
    <row r="2393" spans="1:19" s="2" customFormat="1" ht="96.2" customHeight="1" outlineLevel="7">
      <c r="A2393" s="52">
        <v>1879</v>
      </c>
      <c r="B2393" s="26" t="s">
        <v>7931</v>
      </c>
      <c r="C2393" s="66" t="s">
        <v>7932</v>
      </c>
      <c r="D2393" s="66"/>
      <c r="E2393" s="66"/>
      <c r="F2393" s="66"/>
      <c r="G2393" s="27" t="s">
        <v>7933</v>
      </c>
      <c r="H2393" s="33">
        <v>324</v>
      </c>
      <c r="I2393" s="29"/>
      <c r="J2393" s="25">
        <v>12</v>
      </c>
      <c r="K2393" s="30">
        <v>62.39</v>
      </c>
      <c r="L2393" s="17"/>
      <c r="M2393" s="29">
        <f t="shared" si="113"/>
        <v>0</v>
      </c>
      <c r="N2393" s="31">
        <f>0.048*L2393</f>
        <v>0</v>
      </c>
      <c r="O2393" s="32">
        <f>0.00012*L2393</f>
        <v>0</v>
      </c>
      <c r="P2393" s="36"/>
      <c r="Q2393" s="29" t="s">
        <v>7934</v>
      </c>
      <c r="R2393" s="29" t="s">
        <v>611</v>
      </c>
      <c r="S2393" s="26" t="str">
        <f>HYPERLINK("https://miland.ru/api/getInfo/image/60f28452-a333-11ef-a267-00155d82e908")</f>
        <v>https://miland.ru/api/getInfo/image/60f28452-a333-11ef-a267-00155d82e908</v>
      </c>
    </row>
    <row r="2394" spans="1:19" s="2" customFormat="1" ht="96.2" customHeight="1" outlineLevel="7">
      <c r="A2394" s="52">
        <v>1880</v>
      </c>
      <c r="B2394" s="26" t="s">
        <v>7935</v>
      </c>
      <c r="C2394" s="66" t="s">
        <v>7936</v>
      </c>
      <c r="D2394" s="66"/>
      <c r="E2394" s="66"/>
      <c r="F2394" s="66"/>
      <c r="G2394" s="27" t="s">
        <v>7937</v>
      </c>
      <c r="H2394" s="28" t="s">
        <v>44</v>
      </c>
      <c r="I2394" s="29"/>
      <c r="J2394" s="25">
        <v>12</v>
      </c>
      <c r="K2394" s="30">
        <v>62.39</v>
      </c>
      <c r="L2394" s="17"/>
      <c r="M2394" s="29">
        <f t="shared" si="113"/>
        <v>0</v>
      </c>
      <c r="N2394" s="31">
        <f>0.069*L2394</f>
        <v>0</v>
      </c>
      <c r="O2394" s="32">
        <f>0.00018*L2394</f>
        <v>0</v>
      </c>
      <c r="P2394" s="36"/>
      <c r="Q2394" s="29" t="s">
        <v>7938</v>
      </c>
      <c r="R2394" s="29" t="s">
        <v>611</v>
      </c>
      <c r="S2394" s="26" t="str">
        <f>HYPERLINK("https://miland.ru/api/getInfo/image/942b1688-a332-11ef-a267-00155d82e908")</f>
        <v>https://miland.ru/api/getInfo/image/942b1688-a332-11ef-a267-00155d82e908</v>
      </c>
    </row>
    <row r="2395" spans="1:19" s="2" customFormat="1" ht="96.2" customHeight="1" outlineLevel="7">
      <c r="A2395" s="52">
        <v>1881</v>
      </c>
      <c r="B2395" s="26" t="s">
        <v>7939</v>
      </c>
      <c r="C2395" s="66" t="s">
        <v>7940</v>
      </c>
      <c r="D2395" s="66"/>
      <c r="E2395" s="66"/>
      <c r="F2395" s="66"/>
      <c r="G2395" s="27" t="s">
        <v>7941</v>
      </c>
      <c r="H2395" s="28" t="s">
        <v>44</v>
      </c>
      <c r="I2395" s="29"/>
      <c r="J2395" s="25">
        <v>12</v>
      </c>
      <c r="K2395" s="30">
        <v>62.39</v>
      </c>
      <c r="L2395" s="17"/>
      <c r="M2395" s="29">
        <f t="shared" si="113"/>
        <v>0</v>
      </c>
      <c r="N2395" s="31">
        <f>0.055*L2395</f>
        <v>0</v>
      </c>
      <c r="O2395" s="32">
        <f>0.00023*L2395</f>
        <v>0</v>
      </c>
      <c r="P2395" s="36"/>
      <c r="Q2395" s="29" t="s">
        <v>7942</v>
      </c>
      <c r="R2395" s="29" t="s">
        <v>611</v>
      </c>
      <c r="S2395" s="26" t="str">
        <f>HYPERLINK("https://miland.ru/api/getInfo/image/09a2898a-a333-11ef-a267-00155d82e908")</f>
        <v>https://miland.ru/api/getInfo/image/09a2898a-a333-11ef-a267-00155d82e908</v>
      </c>
    </row>
    <row r="2396" spans="1:19" s="2" customFormat="1" ht="96.2" customHeight="1" outlineLevel="7">
      <c r="A2396" s="52">
        <v>1882</v>
      </c>
      <c r="B2396" s="26" t="s">
        <v>7943</v>
      </c>
      <c r="C2396" s="66" t="s">
        <v>7944</v>
      </c>
      <c r="D2396" s="66"/>
      <c r="E2396" s="66"/>
      <c r="F2396" s="66"/>
      <c r="G2396" s="27" t="s">
        <v>7945</v>
      </c>
      <c r="H2396" s="28" t="s">
        <v>44</v>
      </c>
      <c r="I2396" s="29"/>
      <c r="J2396" s="25">
        <v>12</v>
      </c>
      <c r="K2396" s="30">
        <v>62.39</v>
      </c>
      <c r="L2396" s="17"/>
      <c r="M2396" s="29">
        <f t="shared" si="113"/>
        <v>0</v>
      </c>
      <c r="N2396" s="31">
        <f>0.041*L2396</f>
        <v>0</v>
      </c>
      <c r="O2396" s="32">
        <f>0.00036*L2396</f>
        <v>0</v>
      </c>
      <c r="P2396" s="36"/>
      <c r="Q2396" s="29" t="s">
        <v>7946</v>
      </c>
      <c r="R2396" s="29" t="s">
        <v>611</v>
      </c>
      <c r="S2396" s="26" t="str">
        <f>HYPERLINK("https://miland.ru/api/getInfo/image/39a40aed-a333-11ef-a267-00155d82e908")</f>
        <v>https://miland.ru/api/getInfo/image/39a40aed-a333-11ef-a267-00155d82e908</v>
      </c>
    </row>
    <row r="2397" spans="1:19" s="2" customFormat="1" ht="96.2" customHeight="1" outlineLevel="7">
      <c r="A2397" s="52">
        <v>1883</v>
      </c>
      <c r="B2397" s="26" t="s">
        <v>7947</v>
      </c>
      <c r="C2397" s="66" t="s">
        <v>7948</v>
      </c>
      <c r="D2397" s="66"/>
      <c r="E2397" s="66"/>
      <c r="F2397" s="66"/>
      <c r="G2397" s="27" t="s">
        <v>7949</v>
      </c>
      <c r="H2397" s="28" t="s">
        <v>44</v>
      </c>
      <c r="I2397" s="29"/>
      <c r="J2397" s="25">
        <v>12</v>
      </c>
      <c r="K2397" s="30">
        <v>62.39</v>
      </c>
      <c r="L2397" s="17"/>
      <c r="M2397" s="29">
        <f t="shared" si="113"/>
        <v>0</v>
      </c>
      <c r="N2397" s="31">
        <f>0.049*L2397</f>
        <v>0</v>
      </c>
      <c r="O2397" s="32">
        <f>0.00036*L2397</f>
        <v>0</v>
      </c>
      <c r="P2397" s="36"/>
      <c r="Q2397" s="29" t="s">
        <v>7950</v>
      </c>
      <c r="R2397" s="29" t="s">
        <v>611</v>
      </c>
      <c r="S2397" s="26" t="str">
        <f>HYPERLINK("https://miland.ru/api/getInfo/image/b994540c-a332-11ef-a267-00155d82e908")</f>
        <v>https://miland.ru/api/getInfo/image/b994540c-a332-11ef-a267-00155d82e908</v>
      </c>
    </row>
    <row r="2398" spans="1:19" s="2" customFormat="1" ht="96.2" customHeight="1" outlineLevel="7">
      <c r="A2398" s="52">
        <v>1884</v>
      </c>
      <c r="B2398" s="26" t="s">
        <v>7951</v>
      </c>
      <c r="C2398" s="66" t="s">
        <v>7952</v>
      </c>
      <c r="D2398" s="66"/>
      <c r="E2398" s="66"/>
      <c r="F2398" s="66"/>
      <c r="G2398" s="27" t="s">
        <v>7953</v>
      </c>
      <c r="H2398" s="28" t="s">
        <v>44</v>
      </c>
      <c r="I2398" s="29"/>
      <c r="J2398" s="25">
        <v>12</v>
      </c>
      <c r="K2398" s="30">
        <v>62.39</v>
      </c>
      <c r="L2398" s="17"/>
      <c r="M2398" s="29">
        <f t="shared" si="113"/>
        <v>0</v>
      </c>
      <c r="N2398" s="31">
        <f>0.054*L2398</f>
        <v>0</v>
      </c>
      <c r="O2398" s="32">
        <f>0.00027*L2398</f>
        <v>0</v>
      </c>
      <c r="P2398" s="36"/>
      <c r="Q2398" s="29" t="s">
        <v>7954</v>
      </c>
      <c r="R2398" s="29" t="s">
        <v>611</v>
      </c>
      <c r="S2398" s="26" t="str">
        <f>HYPERLINK("https://miland.ru/api/getInfo/image/ed626f6f-a332-11ef-a267-00155d82e908")</f>
        <v>https://miland.ru/api/getInfo/image/ed626f6f-a332-11ef-a267-00155d82e908</v>
      </c>
    </row>
    <row r="2399" spans="1:19" s="2" customFormat="1" ht="96.2" customHeight="1" outlineLevel="7">
      <c r="A2399" s="53">
        <v>1885</v>
      </c>
      <c r="B2399" s="10" t="s">
        <v>7955</v>
      </c>
      <c r="C2399" s="65" t="s">
        <v>7956</v>
      </c>
      <c r="D2399" s="65"/>
      <c r="E2399" s="65"/>
      <c r="F2399" s="65"/>
      <c r="G2399" s="11" t="s">
        <v>7957</v>
      </c>
      <c r="H2399" s="21" t="s">
        <v>44</v>
      </c>
      <c r="I2399" s="15"/>
      <c r="J2399" s="9">
        <v>12</v>
      </c>
      <c r="K2399" s="16">
        <v>62.39</v>
      </c>
      <c r="L2399" s="17"/>
      <c r="M2399" s="15">
        <f t="shared" si="113"/>
        <v>0</v>
      </c>
      <c r="N2399" s="18">
        <f>0.045*L2399</f>
        <v>0</v>
      </c>
      <c r="O2399" s="19">
        <f>0.00051*L2399</f>
        <v>0</v>
      </c>
      <c r="P2399" s="24" t="s">
        <v>26</v>
      </c>
      <c r="Q2399" s="15" t="s">
        <v>7958</v>
      </c>
      <c r="R2399" s="15"/>
      <c r="S2399" s="10" t="str">
        <f>HYPERLINK("https://miland.ru/api/getInfo/image/37d0e1a9-fb5f-11f0-a28e-00155d82e908")</f>
        <v>https://miland.ru/api/getInfo/image/37d0e1a9-fb5f-11f0-a28e-00155d82e908</v>
      </c>
    </row>
    <row r="2400" spans="1:19" s="1" customFormat="1" ht="12" customHeight="1" outlineLevel="7">
      <c r="A2400" s="64" t="s">
        <v>7959</v>
      </c>
      <c r="B2400" s="64"/>
      <c r="C2400" s="64"/>
      <c r="D2400" s="64"/>
      <c r="E2400" s="64"/>
      <c r="F2400" s="64"/>
      <c r="G2400" s="8"/>
      <c r="H2400" s="12"/>
      <c r="I2400" s="2"/>
      <c r="J2400" s="2"/>
      <c r="K2400" s="13"/>
      <c r="L2400" s="2"/>
      <c r="M2400" s="2"/>
      <c r="N2400" s="2"/>
      <c r="O2400" s="2"/>
      <c r="P2400" s="2"/>
      <c r="Q2400" s="2"/>
      <c r="R2400" s="2"/>
      <c r="S2400" s="2"/>
    </row>
    <row r="2401" spans="1:19" s="2" customFormat="1" ht="96.2" customHeight="1" outlineLevel="7">
      <c r="A2401" s="53">
        <v>1886</v>
      </c>
      <c r="B2401" s="10" t="s">
        <v>7960</v>
      </c>
      <c r="C2401" s="65" t="s">
        <v>7961</v>
      </c>
      <c r="D2401" s="65"/>
      <c r="E2401" s="65"/>
      <c r="F2401" s="65"/>
      <c r="G2401" s="11" t="s">
        <v>7962</v>
      </c>
      <c r="H2401" s="21" t="s">
        <v>44</v>
      </c>
      <c r="I2401" s="15"/>
      <c r="J2401" s="9">
        <v>12</v>
      </c>
      <c r="K2401" s="16">
        <v>62.39</v>
      </c>
      <c r="L2401" s="17"/>
      <c r="M2401" s="15">
        <f t="shared" ref="M2401:M2417" si="114">K2401*L2401</f>
        <v>0</v>
      </c>
      <c r="N2401" s="23">
        <f>0.04*L2401</f>
        <v>0</v>
      </c>
      <c r="O2401" s="19">
        <f>0.00081*L2401</f>
        <v>0</v>
      </c>
      <c r="P2401" s="24" t="s">
        <v>26</v>
      </c>
      <c r="Q2401" s="15" t="s">
        <v>7963</v>
      </c>
      <c r="R2401" s="15"/>
      <c r="S2401" s="10" t="str">
        <f>HYPERLINK("https://miland.ru/api/getInfo/image/182fab5d-fb60-11f0-a28e-00155d82e908")</f>
        <v>https://miland.ru/api/getInfo/image/182fab5d-fb60-11f0-a28e-00155d82e908</v>
      </c>
    </row>
    <row r="2402" spans="1:19" s="2" customFormat="1" ht="96.2" customHeight="1" outlineLevel="7">
      <c r="A2402" s="53">
        <v>1887</v>
      </c>
      <c r="B2402" s="10" t="s">
        <v>7964</v>
      </c>
      <c r="C2402" s="65" t="s">
        <v>7965</v>
      </c>
      <c r="D2402" s="65"/>
      <c r="E2402" s="65"/>
      <c r="F2402" s="65"/>
      <c r="G2402" s="11" t="s">
        <v>7966</v>
      </c>
      <c r="H2402" s="21" t="s">
        <v>44</v>
      </c>
      <c r="I2402" s="15"/>
      <c r="J2402" s="9">
        <v>12</v>
      </c>
      <c r="K2402" s="16">
        <v>62.39</v>
      </c>
      <c r="L2402" s="17"/>
      <c r="M2402" s="15">
        <f t="shared" si="114"/>
        <v>0</v>
      </c>
      <c r="N2402" s="18">
        <f>0.038*L2402</f>
        <v>0</v>
      </c>
      <c r="O2402" s="19">
        <f>0.00056*L2402</f>
        <v>0</v>
      </c>
      <c r="P2402" s="24" t="s">
        <v>26</v>
      </c>
      <c r="Q2402" s="15" t="s">
        <v>7967</v>
      </c>
      <c r="R2402" s="15"/>
      <c r="S2402" s="10" t="str">
        <f>HYPERLINK("https://miland.ru/api/getInfo/image/4cf423c1-fb60-11f0-a28e-00155d82e908")</f>
        <v>https://miland.ru/api/getInfo/image/4cf423c1-fb60-11f0-a28e-00155d82e908</v>
      </c>
    </row>
    <row r="2403" spans="1:19" s="2" customFormat="1" ht="96.2" customHeight="1" outlineLevel="7">
      <c r="A2403" s="52">
        <v>1888</v>
      </c>
      <c r="B2403" s="26" t="s">
        <v>7968</v>
      </c>
      <c r="C2403" s="66" t="s">
        <v>7969</v>
      </c>
      <c r="D2403" s="66"/>
      <c r="E2403" s="66"/>
      <c r="F2403" s="66"/>
      <c r="G2403" s="27" t="s">
        <v>7970</v>
      </c>
      <c r="H2403" s="33">
        <v>420</v>
      </c>
      <c r="I2403" s="29"/>
      <c r="J2403" s="25">
        <v>12</v>
      </c>
      <c r="K2403" s="30">
        <v>44.01</v>
      </c>
      <c r="L2403" s="17"/>
      <c r="M2403" s="29">
        <f t="shared" si="114"/>
        <v>0</v>
      </c>
      <c r="N2403" s="31">
        <f>0.046*L2403</f>
        <v>0</v>
      </c>
      <c r="O2403" s="32">
        <f>0.00018*L2403</f>
        <v>0</v>
      </c>
      <c r="P2403" s="36"/>
      <c r="Q2403" s="29" t="s">
        <v>7971</v>
      </c>
      <c r="R2403" s="29" t="s">
        <v>611</v>
      </c>
      <c r="S2403" s="26" t="str">
        <f>HYPERLINK("https://miland.ru/api/getInfo/image/f8562819-b6cf-11ef-a267-00155d82e908")</f>
        <v>https://miland.ru/api/getInfo/image/f8562819-b6cf-11ef-a267-00155d82e908</v>
      </c>
    </row>
    <row r="2404" spans="1:19" s="2" customFormat="1" ht="96.2" customHeight="1" outlineLevel="7">
      <c r="A2404" s="53">
        <v>1889</v>
      </c>
      <c r="B2404" s="10" t="s">
        <v>7972</v>
      </c>
      <c r="C2404" s="65" t="s">
        <v>7973</v>
      </c>
      <c r="D2404" s="65"/>
      <c r="E2404" s="65"/>
      <c r="F2404" s="65"/>
      <c r="G2404" s="11" t="s">
        <v>7974</v>
      </c>
      <c r="H2404" s="14">
        <v>324</v>
      </c>
      <c r="I2404" s="15"/>
      <c r="J2404" s="9">
        <v>12</v>
      </c>
      <c r="K2404" s="16">
        <v>62.39</v>
      </c>
      <c r="L2404" s="17"/>
      <c r="M2404" s="15">
        <f t="shared" si="114"/>
        <v>0</v>
      </c>
      <c r="N2404" s="18">
        <f>0.039*L2404</f>
        <v>0</v>
      </c>
      <c r="O2404" s="19">
        <f>0.00056*L2404</f>
        <v>0</v>
      </c>
      <c r="P2404" s="24" t="s">
        <v>26</v>
      </c>
      <c r="Q2404" s="15" t="s">
        <v>7975</v>
      </c>
      <c r="R2404" s="15"/>
      <c r="S2404" s="10" t="str">
        <f>HYPERLINK("https://miland.ru/api/getInfo/image/6a316fa4-fb60-11f0-a28e-00155d82e908")</f>
        <v>https://miland.ru/api/getInfo/image/6a316fa4-fb60-11f0-a28e-00155d82e908</v>
      </c>
    </row>
    <row r="2405" spans="1:19" s="2" customFormat="1" ht="96.2" customHeight="1" outlineLevel="7">
      <c r="A2405" s="53">
        <v>1890</v>
      </c>
      <c r="B2405" s="10" t="s">
        <v>7976</v>
      </c>
      <c r="C2405" s="65" t="s">
        <v>7977</v>
      </c>
      <c r="D2405" s="65"/>
      <c r="E2405" s="65"/>
      <c r="F2405" s="65"/>
      <c r="G2405" s="11" t="s">
        <v>7978</v>
      </c>
      <c r="H2405" s="14">
        <v>312</v>
      </c>
      <c r="I2405" s="15"/>
      <c r="J2405" s="9">
        <v>12</v>
      </c>
      <c r="K2405" s="16">
        <v>62.39</v>
      </c>
      <c r="L2405" s="17"/>
      <c r="M2405" s="15">
        <f t="shared" si="114"/>
        <v>0</v>
      </c>
      <c r="N2405" s="18">
        <f>0.042*L2405</f>
        <v>0</v>
      </c>
      <c r="O2405" s="19">
        <f>0.00071*L2405</f>
        <v>0</v>
      </c>
      <c r="P2405" s="24" t="s">
        <v>26</v>
      </c>
      <c r="Q2405" s="15" t="s">
        <v>7979</v>
      </c>
      <c r="R2405" s="15"/>
      <c r="S2405" s="10" t="str">
        <f>HYPERLINK("https://miland.ru/api/getInfo/image/89d886fe-fb60-11f0-a28e-00155d82e908")</f>
        <v>https://miland.ru/api/getInfo/image/89d886fe-fb60-11f0-a28e-00155d82e908</v>
      </c>
    </row>
    <row r="2406" spans="1:19" s="2" customFormat="1" ht="96.2" customHeight="1" outlineLevel="7">
      <c r="A2406" s="52">
        <v>1891</v>
      </c>
      <c r="B2406" s="26" t="s">
        <v>7980</v>
      </c>
      <c r="C2406" s="66" t="s">
        <v>7981</v>
      </c>
      <c r="D2406" s="66"/>
      <c r="E2406" s="66"/>
      <c r="F2406" s="66"/>
      <c r="G2406" s="27" t="s">
        <v>7982</v>
      </c>
      <c r="H2406" s="33">
        <v>24</v>
      </c>
      <c r="I2406" s="29"/>
      <c r="J2406" s="25">
        <v>12</v>
      </c>
      <c r="K2406" s="30">
        <v>43.46</v>
      </c>
      <c r="L2406" s="17"/>
      <c r="M2406" s="29">
        <f t="shared" si="114"/>
        <v>0</v>
      </c>
      <c r="N2406" s="31">
        <f>0.048*L2406</f>
        <v>0</v>
      </c>
      <c r="O2406" s="32">
        <f>0.00013*L2406</f>
        <v>0</v>
      </c>
      <c r="P2406" s="36"/>
      <c r="Q2406" s="29" t="s">
        <v>7983</v>
      </c>
      <c r="R2406" s="29" t="s">
        <v>611</v>
      </c>
      <c r="S2406" s="26" t="str">
        <f>HYPERLINK("https://miland.ru/api/getInfo/image/cbfcb62d-b6cf-11ef-a267-00155d82e908")</f>
        <v>https://miland.ru/api/getInfo/image/cbfcb62d-b6cf-11ef-a267-00155d82e908</v>
      </c>
    </row>
    <row r="2407" spans="1:19" s="2" customFormat="1" ht="96.2" customHeight="1" outlineLevel="7">
      <c r="A2407" s="52">
        <v>1892</v>
      </c>
      <c r="B2407" s="26" t="s">
        <v>7984</v>
      </c>
      <c r="C2407" s="66" t="s">
        <v>7985</v>
      </c>
      <c r="D2407" s="66"/>
      <c r="E2407" s="66"/>
      <c r="F2407" s="66"/>
      <c r="G2407" s="27" t="s">
        <v>7986</v>
      </c>
      <c r="H2407" s="28" t="s">
        <v>44</v>
      </c>
      <c r="I2407" s="29"/>
      <c r="J2407" s="25">
        <v>12</v>
      </c>
      <c r="K2407" s="30">
        <v>62.39</v>
      </c>
      <c r="L2407" s="17"/>
      <c r="M2407" s="29">
        <f t="shared" si="114"/>
        <v>0</v>
      </c>
      <c r="N2407" s="31">
        <f>0.047*L2407</f>
        <v>0</v>
      </c>
      <c r="O2407" s="32">
        <f>0.00034*L2407</f>
        <v>0</v>
      </c>
      <c r="P2407" s="36"/>
      <c r="Q2407" s="29" t="s">
        <v>7987</v>
      </c>
      <c r="R2407" s="29" t="s">
        <v>611</v>
      </c>
      <c r="S2407" s="26" t="str">
        <f>HYPERLINK("https://miland.ru/api/getInfo/image/d9b578f1-a339-11ef-a267-00155d82e908")</f>
        <v>https://miland.ru/api/getInfo/image/d9b578f1-a339-11ef-a267-00155d82e908</v>
      </c>
    </row>
    <row r="2408" spans="1:19" s="2" customFormat="1" ht="96.2" customHeight="1" outlineLevel="7">
      <c r="A2408" s="52">
        <v>1893</v>
      </c>
      <c r="B2408" s="26" t="s">
        <v>7988</v>
      </c>
      <c r="C2408" s="66" t="s">
        <v>7989</v>
      </c>
      <c r="D2408" s="66"/>
      <c r="E2408" s="66"/>
      <c r="F2408" s="66"/>
      <c r="G2408" s="27" t="s">
        <v>7990</v>
      </c>
      <c r="H2408" s="28" t="s">
        <v>44</v>
      </c>
      <c r="I2408" s="29"/>
      <c r="J2408" s="25">
        <v>12</v>
      </c>
      <c r="K2408" s="30">
        <v>43.46</v>
      </c>
      <c r="L2408" s="17"/>
      <c r="M2408" s="29">
        <f t="shared" si="114"/>
        <v>0</v>
      </c>
      <c r="N2408" s="31">
        <f>0.048*L2408</f>
        <v>0</v>
      </c>
      <c r="O2408" s="32">
        <f>0.00012*L2408</f>
        <v>0</v>
      </c>
      <c r="P2408" s="36"/>
      <c r="Q2408" s="29" t="s">
        <v>7991</v>
      </c>
      <c r="R2408" s="29" t="s">
        <v>611</v>
      </c>
      <c r="S2408" s="26" t="str">
        <f>HYPERLINK("https://miland.ru/api/getInfo/image/1ad32808-b6d0-11ef-a267-00155d82e908")</f>
        <v>https://miland.ru/api/getInfo/image/1ad32808-b6d0-11ef-a267-00155d82e908</v>
      </c>
    </row>
    <row r="2409" spans="1:19" s="2" customFormat="1" ht="96.2" customHeight="1" outlineLevel="7">
      <c r="A2409" s="52">
        <v>1894</v>
      </c>
      <c r="B2409" s="26" t="s">
        <v>7992</v>
      </c>
      <c r="C2409" s="66" t="s">
        <v>7993</v>
      </c>
      <c r="D2409" s="66"/>
      <c r="E2409" s="66"/>
      <c r="F2409" s="66"/>
      <c r="G2409" s="27" t="s">
        <v>7994</v>
      </c>
      <c r="H2409" s="28" t="s">
        <v>44</v>
      </c>
      <c r="I2409" s="29"/>
      <c r="J2409" s="25">
        <v>12</v>
      </c>
      <c r="K2409" s="30">
        <v>62.39</v>
      </c>
      <c r="L2409" s="17"/>
      <c r="M2409" s="29">
        <f t="shared" si="114"/>
        <v>0</v>
      </c>
      <c r="N2409" s="31">
        <f>0.045*L2409</f>
        <v>0</v>
      </c>
      <c r="O2409" s="32">
        <f>0.00084*L2409</f>
        <v>0</v>
      </c>
      <c r="P2409" s="36"/>
      <c r="Q2409" s="29" t="s">
        <v>7995</v>
      </c>
      <c r="R2409" s="29" t="s">
        <v>611</v>
      </c>
      <c r="S2409" s="26" t="str">
        <f>HYPERLINK("https://miland.ru/api/getInfo/image/5f1c8937-a339-11ef-a267-00155d82e908")</f>
        <v>https://miland.ru/api/getInfo/image/5f1c8937-a339-11ef-a267-00155d82e908</v>
      </c>
    </row>
    <row r="2410" spans="1:19" s="2" customFormat="1" ht="96.2" customHeight="1" outlineLevel="7">
      <c r="A2410" s="52">
        <v>1895</v>
      </c>
      <c r="B2410" s="26" t="s">
        <v>7996</v>
      </c>
      <c r="C2410" s="66" t="s">
        <v>7997</v>
      </c>
      <c r="D2410" s="66"/>
      <c r="E2410" s="66"/>
      <c r="F2410" s="66"/>
      <c r="G2410" s="27" t="s">
        <v>7998</v>
      </c>
      <c r="H2410" s="28" t="s">
        <v>44</v>
      </c>
      <c r="I2410" s="29"/>
      <c r="J2410" s="25">
        <v>12</v>
      </c>
      <c r="K2410" s="30">
        <v>62.39</v>
      </c>
      <c r="L2410" s="17"/>
      <c r="M2410" s="29">
        <f t="shared" si="114"/>
        <v>0</v>
      </c>
      <c r="N2410" s="31">
        <f>0.048*L2410</f>
        <v>0</v>
      </c>
      <c r="O2410" s="32">
        <f>0.00012*L2410</f>
        <v>0</v>
      </c>
      <c r="P2410" s="36"/>
      <c r="Q2410" s="29" t="s">
        <v>7999</v>
      </c>
      <c r="R2410" s="29" t="s">
        <v>611</v>
      </c>
      <c r="S2410" s="26" t="str">
        <f>HYPERLINK("https://miland.ru/api/getInfo/image/b870e0b1-a339-11ef-a267-00155d82e908")</f>
        <v>https://miland.ru/api/getInfo/image/b870e0b1-a339-11ef-a267-00155d82e908</v>
      </c>
    </row>
    <row r="2411" spans="1:19" s="2" customFormat="1" ht="96.2" customHeight="1" outlineLevel="7">
      <c r="A2411" s="52">
        <v>1896</v>
      </c>
      <c r="B2411" s="26" t="s">
        <v>8000</v>
      </c>
      <c r="C2411" s="66" t="s">
        <v>8001</v>
      </c>
      <c r="D2411" s="66"/>
      <c r="E2411" s="66"/>
      <c r="F2411" s="66"/>
      <c r="G2411" s="27" t="s">
        <v>8002</v>
      </c>
      <c r="H2411" s="28" t="s">
        <v>44</v>
      </c>
      <c r="I2411" s="29"/>
      <c r="J2411" s="25">
        <v>12</v>
      </c>
      <c r="K2411" s="30">
        <v>62.39</v>
      </c>
      <c r="L2411" s="17"/>
      <c r="M2411" s="29">
        <f t="shared" si="114"/>
        <v>0</v>
      </c>
      <c r="N2411" s="31">
        <f>0.578*L2411</f>
        <v>0</v>
      </c>
      <c r="O2411" s="32">
        <f>0.00198*L2411</f>
        <v>0</v>
      </c>
      <c r="P2411" s="36"/>
      <c r="Q2411" s="29" t="s">
        <v>8003</v>
      </c>
      <c r="R2411" s="29" t="s">
        <v>611</v>
      </c>
      <c r="S2411" s="26" t="str">
        <f>HYPERLINK("https://miland.ru/api/getInfo/image/1085d8bb-a339-11ef-a267-00155d82e908")</f>
        <v>https://miland.ru/api/getInfo/image/1085d8bb-a339-11ef-a267-00155d82e908</v>
      </c>
    </row>
    <row r="2412" spans="1:19" s="2" customFormat="1" ht="96.2" customHeight="1" outlineLevel="7">
      <c r="A2412" s="52">
        <v>1897</v>
      </c>
      <c r="B2412" s="26" t="s">
        <v>8004</v>
      </c>
      <c r="C2412" s="66" t="s">
        <v>8005</v>
      </c>
      <c r="D2412" s="66"/>
      <c r="E2412" s="66"/>
      <c r="F2412" s="66"/>
      <c r="G2412" s="27" t="s">
        <v>8006</v>
      </c>
      <c r="H2412" s="33">
        <v>408</v>
      </c>
      <c r="I2412" s="29"/>
      <c r="J2412" s="25">
        <v>12</v>
      </c>
      <c r="K2412" s="30">
        <v>62.39</v>
      </c>
      <c r="L2412" s="17"/>
      <c r="M2412" s="29">
        <f t="shared" si="114"/>
        <v>0</v>
      </c>
      <c r="N2412" s="31">
        <f>0.048*L2412</f>
        <v>0</v>
      </c>
      <c r="O2412" s="32">
        <f>0.00012*L2412</f>
        <v>0</v>
      </c>
      <c r="P2412" s="36"/>
      <c r="Q2412" s="29" t="s">
        <v>8007</v>
      </c>
      <c r="R2412" s="29" t="s">
        <v>611</v>
      </c>
      <c r="S2412" s="26" t="str">
        <f>HYPERLINK("https://miland.ru/api/getInfo/image/d3cefde8-a338-11ef-a267-00155d82e908")</f>
        <v>https://miland.ru/api/getInfo/image/d3cefde8-a338-11ef-a267-00155d82e908</v>
      </c>
    </row>
    <row r="2413" spans="1:19" s="2" customFormat="1" ht="96.2" customHeight="1" outlineLevel="7">
      <c r="A2413" s="52">
        <v>1898</v>
      </c>
      <c r="B2413" s="26" t="s">
        <v>8008</v>
      </c>
      <c r="C2413" s="66" t="s">
        <v>8009</v>
      </c>
      <c r="D2413" s="66"/>
      <c r="E2413" s="66"/>
      <c r="F2413" s="66"/>
      <c r="G2413" s="27" t="s">
        <v>8010</v>
      </c>
      <c r="H2413" s="28" t="s">
        <v>44</v>
      </c>
      <c r="I2413" s="29"/>
      <c r="J2413" s="25">
        <v>12</v>
      </c>
      <c r="K2413" s="30">
        <v>62.39</v>
      </c>
      <c r="L2413" s="17"/>
      <c r="M2413" s="29">
        <f t="shared" si="114"/>
        <v>0</v>
      </c>
      <c r="N2413" s="31">
        <f>0.051*L2413</f>
        <v>0</v>
      </c>
      <c r="O2413" s="32">
        <f>0.00067*L2413</f>
        <v>0</v>
      </c>
      <c r="P2413" s="36"/>
      <c r="Q2413" s="29" t="s">
        <v>8011</v>
      </c>
      <c r="R2413" s="29" t="s">
        <v>611</v>
      </c>
      <c r="S2413" s="26" t="str">
        <f>HYPERLINK("https://miland.ru/api/getInfo/image/23cedd09-a33a-11ef-a267-00155d82e908")</f>
        <v>https://miland.ru/api/getInfo/image/23cedd09-a33a-11ef-a267-00155d82e908</v>
      </c>
    </row>
    <row r="2414" spans="1:19" s="2" customFormat="1" ht="96.2" customHeight="1" outlineLevel="7">
      <c r="A2414" s="52">
        <v>1899</v>
      </c>
      <c r="B2414" s="26" t="s">
        <v>8012</v>
      </c>
      <c r="C2414" s="66" t="s">
        <v>8013</v>
      </c>
      <c r="D2414" s="66"/>
      <c r="E2414" s="66"/>
      <c r="F2414" s="66"/>
      <c r="G2414" s="27" t="s">
        <v>8014</v>
      </c>
      <c r="H2414" s="33">
        <v>132</v>
      </c>
      <c r="I2414" s="29"/>
      <c r="J2414" s="25">
        <v>12</v>
      </c>
      <c r="K2414" s="30">
        <v>62.39</v>
      </c>
      <c r="L2414" s="17"/>
      <c r="M2414" s="29">
        <f t="shared" si="114"/>
        <v>0</v>
      </c>
      <c r="N2414" s="31">
        <f>0.048*L2414</f>
        <v>0</v>
      </c>
      <c r="O2414" s="32">
        <f>0.00012*L2414</f>
        <v>0</v>
      </c>
      <c r="P2414" s="36"/>
      <c r="Q2414" s="29" t="s">
        <v>8015</v>
      </c>
      <c r="R2414" s="29" t="s">
        <v>611</v>
      </c>
      <c r="S2414" s="26" t="str">
        <f>HYPERLINK("https://miland.ru/api/getInfo/image/7f37e344-a339-11ef-a267-00155d82e908")</f>
        <v>https://miland.ru/api/getInfo/image/7f37e344-a339-11ef-a267-00155d82e908</v>
      </c>
    </row>
    <row r="2415" spans="1:19" s="2" customFormat="1" ht="96.2" customHeight="1" outlineLevel="7">
      <c r="A2415" s="52">
        <v>1900</v>
      </c>
      <c r="B2415" s="26" t="s">
        <v>8016</v>
      </c>
      <c r="C2415" s="66" t="s">
        <v>8017</v>
      </c>
      <c r="D2415" s="66"/>
      <c r="E2415" s="66"/>
      <c r="F2415" s="66"/>
      <c r="G2415" s="27" t="s">
        <v>8018</v>
      </c>
      <c r="H2415" s="28" t="s">
        <v>44</v>
      </c>
      <c r="I2415" s="29"/>
      <c r="J2415" s="25">
        <v>12</v>
      </c>
      <c r="K2415" s="30">
        <v>62.39</v>
      </c>
      <c r="L2415" s="17"/>
      <c r="M2415" s="29">
        <f t="shared" si="114"/>
        <v>0</v>
      </c>
      <c r="N2415" s="31">
        <f>0.049*L2415</f>
        <v>0</v>
      </c>
      <c r="O2415" s="32">
        <f>0.00031*L2415</f>
        <v>0</v>
      </c>
      <c r="P2415" s="36"/>
      <c r="Q2415" s="29" t="s">
        <v>8019</v>
      </c>
      <c r="R2415" s="29" t="s">
        <v>611</v>
      </c>
      <c r="S2415" s="26" t="str">
        <f>HYPERLINK("https://miland.ru/api/getInfo/image/9af7d0ab-a339-11ef-a267-00155d82e908")</f>
        <v>https://miland.ru/api/getInfo/image/9af7d0ab-a339-11ef-a267-00155d82e908</v>
      </c>
    </row>
    <row r="2416" spans="1:19" s="2" customFormat="1" ht="96.2" customHeight="1" outlineLevel="7">
      <c r="A2416" s="53">
        <v>1901</v>
      </c>
      <c r="B2416" s="10" t="s">
        <v>8020</v>
      </c>
      <c r="C2416" s="65" t="s">
        <v>8021</v>
      </c>
      <c r="D2416" s="65"/>
      <c r="E2416" s="65"/>
      <c r="F2416" s="65"/>
      <c r="G2416" s="11" t="s">
        <v>8022</v>
      </c>
      <c r="H2416" s="21" t="s">
        <v>44</v>
      </c>
      <c r="I2416" s="15"/>
      <c r="J2416" s="9">
        <v>12</v>
      </c>
      <c r="K2416" s="16">
        <v>62.39</v>
      </c>
      <c r="L2416" s="17"/>
      <c r="M2416" s="15">
        <f t="shared" si="114"/>
        <v>0</v>
      </c>
      <c r="N2416" s="18">
        <f>0.042*L2416</f>
        <v>0</v>
      </c>
      <c r="O2416" s="19">
        <f>0.00067*L2416</f>
        <v>0</v>
      </c>
      <c r="P2416" s="24" t="s">
        <v>26</v>
      </c>
      <c r="Q2416" s="15" t="s">
        <v>8023</v>
      </c>
      <c r="R2416" s="15"/>
      <c r="S2416" s="10" t="str">
        <f>HYPERLINK("https://miland.ru/api/getInfo/image/a965fa08-fb60-11f0-a28e-00155d82e908")</f>
        <v>https://miland.ru/api/getInfo/image/a965fa08-fb60-11f0-a28e-00155d82e908</v>
      </c>
    </row>
    <row r="2417" spans="1:19" s="2" customFormat="1" ht="96.2" customHeight="1" outlineLevel="7">
      <c r="A2417" s="53">
        <v>1902</v>
      </c>
      <c r="B2417" s="10" t="s">
        <v>8024</v>
      </c>
      <c r="C2417" s="65" t="s">
        <v>8025</v>
      </c>
      <c r="D2417" s="65"/>
      <c r="E2417" s="65"/>
      <c r="F2417" s="65"/>
      <c r="G2417" s="11" t="s">
        <v>8026</v>
      </c>
      <c r="H2417" s="21" t="s">
        <v>44</v>
      </c>
      <c r="I2417" s="15"/>
      <c r="J2417" s="9">
        <v>12</v>
      </c>
      <c r="K2417" s="16">
        <v>62.39</v>
      </c>
      <c r="L2417" s="17"/>
      <c r="M2417" s="15">
        <f t="shared" si="114"/>
        <v>0</v>
      </c>
      <c r="N2417" s="18">
        <f>0.044*L2417</f>
        <v>0</v>
      </c>
      <c r="O2417" s="19">
        <f>0.00076*L2417</f>
        <v>0</v>
      </c>
      <c r="P2417" s="24" t="s">
        <v>26</v>
      </c>
      <c r="Q2417" s="15" t="s">
        <v>8027</v>
      </c>
      <c r="R2417" s="15"/>
      <c r="S2417" s="10" t="str">
        <f>HYPERLINK("https://miland.ru/api/getInfo/image/f20de232-fb5f-11f0-a28e-00155d82e908")</f>
        <v>https://miland.ru/api/getInfo/image/f20de232-fb5f-11f0-a28e-00155d82e908</v>
      </c>
    </row>
    <row r="2418" spans="1:19" s="1" customFormat="1" ht="12" customHeight="1" outlineLevel="6">
      <c r="A2418" s="64" t="s">
        <v>8028</v>
      </c>
      <c r="B2418" s="64"/>
      <c r="C2418" s="64"/>
      <c r="D2418" s="64"/>
      <c r="E2418" s="64"/>
      <c r="F2418" s="64"/>
      <c r="G2418" s="8"/>
      <c r="H2418" s="12"/>
      <c r="I2418" s="2"/>
      <c r="J2418" s="2"/>
      <c r="K2418" s="13"/>
      <c r="L2418" s="2"/>
      <c r="M2418" s="2"/>
      <c r="N2418" s="2"/>
      <c r="O2418" s="2"/>
      <c r="P2418" s="2"/>
      <c r="Q2418" s="2"/>
      <c r="R2418" s="2"/>
      <c r="S2418" s="2"/>
    </row>
    <row r="2419" spans="1:19" s="2" customFormat="1" ht="96.2" customHeight="1" outlineLevel="7">
      <c r="A2419" s="52">
        <v>1903</v>
      </c>
      <c r="B2419" s="26" t="s">
        <v>8029</v>
      </c>
      <c r="C2419" s="66" t="s">
        <v>8030</v>
      </c>
      <c r="D2419" s="66"/>
      <c r="E2419" s="66"/>
      <c r="F2419" s="66"/>
      <c r="G2419" s="27" t="s">
        <v>8031</v>
      </c>
      <c r="H2419" s="33">
        <v>276</v>
      </c>
      <c r="I2419" s="29"/>
      <c r="J2419" s="25">
        <v>24</v>
      </c>
      <c r="K2419" s="30">
        <v>31.48</v>
      </c>
      <c r="L2419" s="17"/>
      <c r="M2419" s="29">
        <f t="shared" ref="M2419:M2435" si="115">K2419*L2419</f>
        <v>0</v>
      </c>
      <c r="N2419" s="31">
        <f>0.003*L2419</f>
        <v>0</v>
      </c>
      <c r="O2419" s="32">
        <f>0.00041*L2419</f>
        <v>0</v>
      </c>
      <c r="P2419" s="36"/>
      <c r="Q2419" s="29" t="s">
        <v>8032</v>
      </c>
      <c r="R2419" s="29"/>
      <c r="S2419" s="26" t="str">
        <f>HYPERLINK("https://miland.ru/api/getInfo/image/cadd48ff-2ef8-11f0-a27c-00155d82e908")</f>
        <v>https://miland.ru/api/getInfo/image/cadd48ff-2ef8-11f0-a27c-00155d82e908</v>
      </c>
    </row>
    <row r="2420" spans="1:19" s="2" customFormat="1" ht="96.2" customHeight="1" outlineLevel="7">
      <c r="A2420" s="52">
        <v>1904</v>
      </c>
      <c r="B2420" s="26" t="s">
        <v>8033</v>
      </c>
      <c r="C2420" s="66" t="s">
        <v>8034</v>
      </c>
      <c r="D2420" s="66"/>
      <c r="E2420" s="66"/>
      <c r="F2420" s="66"/>
      <c r="G2420" s="27" t="s">
        <v>8035</v>
      </c>
      <c r="H2420" s="33">
        <v>180</v>
      </c>
      <c r="I2420" s="29"/>
      <c r="J2420" s="25">
        <v>24</v>
      </c>
      <c r="K2420" s="30">
        <v>31.48</v>
      </c>
      <c r="L2420" s="17"/>
      <c r="M2420" s="29">
        <f t="shared" si="115"/>
        <v>0</v>
      </c>
      <c r="N2420" s="31">
        <f>0.003*L2420</f>
        <v>0</v>
      </c>
      <c r="O2420" s="32">
        <f>0.00041*L2420</f>
        <v>0</v>
      </c>
      <c r="P2420" s="36"/>
      <c r="Q2420" s="29" t="s">
        <v>8036</v>
      </c>
      <c r="R2420" s="29"/>
      <c r="S2420" s="26" t="str">
        <f>HYPERLINK("https://miland.ru/api/getInfo/image/0780ab50-2efa-11f0-a27c-00155d82e908")</f>
        <v>https://miland.ru/api/getInfo/image/0780ab50-2efa-11f0-a27c-00155d82e908</v>
      </c>
    </row>
    <row r="2421" spans="1:19" s="2" customFormat="1" ht="96.2" customHeight="1" outlineLevel="7">
      <c r="A2421" s="52">
        <v>1905</v>
      </c>
      <c r="B2421" s="26" t="s">
        <v>8037</v>
      </c>
      <c r="C2421" s="66" t="s">
        <v>8038</v>
      </c>
      <c r="D2421" s="66"/>
      <c r="E2421" s="66"/>
      <c r="F2421" s="66"/>
      <c r="G2421" s="27" t="s">
        <v>8039</v>
      </c>
      <c r="H2421" s="28" t="s">
        <v>44</v>
      </c>
      <c r="I2421" s="29"/>
      <c r="J2421" s="25">
        <v>12</v>
      </c>
      <c r="K2421" s="30">
        <v>50.68</v>
      </c>
      <c r="L2421" s="17"/>
      <c r="M2421" s="29">
        <f t="shared" si="115"/>
        <v>0</v>
      </c>
      <c r="N2421" s="31">
        <f>0.041*L2421</f>
        <v>0</v>
      </c>
      <c r="O2421" s="32">
        <f>0.00018*L2421</f>
        <v>0</v>
      </c>
      <c r="P2421" s="36"/>
      <c r="Q2421" s="29" t="s">
        <v>8040</v>
      </c>
      <c r="R2421" s="29" t="s">
        <v>611</v>
      </c>
      <c r="S2421" s="26" t="str">
        <f>HYPERLINK("https://miland.ru/api/getInfo/image/f2f46330-a33c-11ef-a267-00155d82e908")</f>
        <v>https://miland.ru/api/getInfo/image/f2f46330-a33c-11ef-a267-00155d82e908</v>
      </c>
    </row>
    <row r="2422" spans="1:19" s="2" customFormat="1" ht="96.2" customHeight="1" outlineLevel="7">
      <c r="A2422" s="53">
        <v>1906</v>
      </c>
      <c r="B2422" s="10" t="s">
        <v>8041</v>
      </c>
      <c r="C2422" s="65" t="s">
        <v>8042</v>
      </c>
      <c r="D2422" s="65"/>
      <c r="E2422" s="65"/>
      <c r="F2422" s="65"/>
      <c r="G2422" s="11" t="s">
        <v>8039</v>
      </c>
      <c r="H2422" s="14">
        <v>120</v>
      </c>
      <c r="I2422" s="15"/>
      <c r="J2422" s="9">
        <v>20</v>
      </c>
      <c r="K2422" s="16">
        <v>50.68</v>
      </c>
      <c r="L2422" s="17"/>
      <c r="M2422" s="15">
        <f t="shared" si="115"/>
        <v>0</v>
      </c>
      <c r="N2422" s="23">
        <f>0.04*L2422</f>
        <v>0</v>
      </c>
      <c r="O2422" s="19">
        <f>0.00008*L2422</f>
        <v>0</v>
      </c>
      <c r="P2422" s="24" t="s">
        <v>26</v>
      </c>
      <c r="Q2422" s="15"/>
      <c r="R2422" s="15" t="s">
        <v>611</v>
      </c>
      <c r="S2422" s="10" t="str">
        <f>HYPERLINK("https://miland.ru/api/getInfo/image/12a68797-da71-11f0-a28c-00155d82e908")</f>
        <v>https://miland.ru/api/getInfo/image/12a68797-da71-11f0-a28c-00155d82e908</v>
      </c>
    </row>
    <row r="2423" spans="1:19" s="2" customFormat="1" ht="96.2" customHeight="1" outlineLevel="7">
      <c r="A2423" s="52">
        <v>1907</v>
      </c>
      <c r="B2423" s="26" t="s">
        <v>8043</v>
      </c>
      <c r="C2423" s="66" t="s">
        <v>8044</v>
      </c>
      <c r="D2423" s="66"/>
      <c r="E2423" s="66"/>
      <c r="F2423" s="66"/>
      <c r="G2423" s="27" t="s">
        <v>8045</v>
      </c>
      <c r="H2423" s="33">
        <v>252</v>
      </c>
      <c r="I2423" s="29"/>
      <c r="J2423" s="25">
        <v>24</v>
      </c>
      <c r="K2423" s="30">
        <v>31.48</v>
      </c>
      <c r="L2423" s="17"/>
      <c r="M2423" s="29">
        <f t="shared" si="115"/>
        <v>0</v>
      </c>
      <c r="N2423" s="31">
        <f>0.003*L2423</f>
        <v>0</v>
      </c>
      <c r="O2423" s="32">
        <f>0.00041*L2423</f>
        <v>0</v>
      </c>
      <c r="P2423" s="36"/>
      <c r="Q2423" s="29" t="s">
        <v>8046</v>
      </c>
      <c r="R2423" s="29"/>
      <c r="S2423" s="26" t="str">
        <f>HYPERLINK("https://miland.ru/api/getInfo/image/8dfc2ab0-2ef9-11f0-a27c-00155d82e908")</f>
        <v>https://miland.ru/api/getInfo/image/8dfc2ab0-2ef9-11f0-a27c-00155d82e908</v>
      </c>
    </row>
    <row r="2424" spans="1:19" s="2" customFormat="1" ht="96.2" customHeight="1" outlineLevel="7">
      <c r="A2424" s="52">
        <v>1908</v>
      </c>
      <c r="B2424" s="26" t="s">
        <v>8047</v>
      </c>
      <c r="C2424" s="66" t="s">
        <v>8048</v>
      </c>
      <c r="D2424" s="66"/>
      <c r="E2424" s="66"/>
      <c r="F2424" s="66"/>
      <c r="G2424" s="27" t="s">
        <v>8049</v>
      </c>
      <c r="H2424" s="33">
        <v>132</v>
      </c>
      <c r="I2424" s="29"/>
      <c r="J2424" s="25">
        <v>12</v>
      </c>
      <c r="K2424" s="30">
        <v>50.68</v>
      </c>
      <c r="L2424" s="17"/>
      <c r="M2424" s="29">
        <f t="shared" si="115"/>
        <v>0</v>
      </c>
      <c r="N2424" s="31">
        <f>0.058*L2424</f>
        <v>0</v>
      </c>
      <c r="O2424" s="32">
        <f>0.00018*L2424</f>
        <v>0</v>
      </c>
      <c r="P2424" s="36"/>
      <c r="Q2424" s="29" t="s">
        <v>8050</v>
      </c>
      <c r="R2424" s="29" t="s">
        <v>611</v>
      </c>
      <c r="S2424" s="26" t="str">
        <f>HYPERLINK("https://miland.ru/api/getInfo/image/51c19cec-a33d-11ef-a267-00155d82e908")</f>
        <v>https://miland.ru/api/getInfo/image/51c19cec-a33d-11ef-a267-00155d82e908</v>
      </c>
    </row>
    <row r="2425" spans="1:19" s="2" customFormat="1" ht="96.2" customHeight="1" outlineLevel="7">
      <c r="A2425" s="52">
        <v>1909</v>
      </c>
      <c r="B2425" s="26" t="s">
        <v>8051</v>
      </c>
      <c r="C2425" s="66" t="s">
        <v>8052</v>
      </c>
      <c r="D2425" s="66"/>
      <c r="E2425" s="66"/>
      <c r="F2425" s="66"/>
      <c r="G2425" s="27" t="s">
        <v>8053</v>
      </c>
      <c r="H2425" s="33">
        <v>192</v>
      </c>
      <c r="I2425" s="29"/>
      <c r="J2425" s="25">
        <v>12</v>
      </c>
      <c r="K2425" s="30">
        <v>50.68</v>
      </c>
      <c r="L2425" s="17"/>
      <c r="M2425" s="29">
        <f t="shared" si="115"/>
        <v>0</v>
      </c>
      <c r="N2425" s="31">
        <f>0.043*L2425</f>
        <v>0</v>
      </c>
      <c r="O2425" s="32">
        <f>0.00012*L2425</f>
        <v>0</v>
      </c>
      <c r="P2425" s="36"/>
      <c r="Q2425" s="29" t="s">
        <v>8054</v>
      </c>
      <c r="R2425" s="29" t="s">
        <v>611</v>
      </c>
      <c r="S2425" s="26" t="str">
        <f>HYPERLINK("https://miland.ru/api/getInfo/image/fdc95b71-a33b-11ef-a267-00155d82e908")</f>
        <v>https://miland.ru/api/getInfo/image/fdc95b71-a33b-11ef-a267-00155d82e908</v>
      </c>
    </row>
    <row r="2426" spans="1:19" s="2" customFormat="1" ht="96.2" customHeight="1" outlineLevel="7">
      <c r="A2426" s="53">
        <v>1910</v>
      </c>
      <c r="B2426" s="10" t="s">
        <v>8055</v>
      </c>
      <c r="C2426" s="65" t="s">
        <v>8056</v>
      </c>
      <c r="D2426" s="65"/>
      <c r="E2426" s="65"/>
      <c r="F2426" s="65"/>
      <c r="G2426" s="11" t="s">
        <v>8057</v>
      </c>
      <c r="H2426" s="14">
        <v>204</v>
      </c>
      <c r="I2426" s="15"/>
      <c r="J2426" s="9">
        <v>12</v>
      </c>
      <c r="K2426" s="16">
        <v>41.34</v>
      </c>
      <c r="L2426" s="17"/>
      <c r="M2426" s="15">
        <f t="shared" si="115"/>
        <v>0</v>
      </c>
      <c r="N2426" s="23">
        <f>0.04*L2426</f>
        <v>0</v>
      </c>
      <c r="O2426" s="19">
        <f>0.00017*L2426</f>
        <v>0</v>
      </c>
      <c r="P2426" s="24" t="s">
        <v>26</v>
      </c>
      <c r="Q2426" s="15" t="s">
        <v>8058</v>
      </c>
      <c r="R2426" s="15"/>
      <c r="S2426" s="10" t="str">
        <f>HYPERLINK("https://miland.ru/api/getInfo/image/c661430e-fb71-11f0-a28e-00155d82e908")</f>
        <v>https://miland.ru/api/getInfo/image/c661430e-fb71-11f0-a28e-00155d82e908</v>
      </c>
    </row>
    <row r="2427" spans="1:19" s="2" customFormat="1" ht="96.2" customHeight="1" outlineLevel="7">
      <c r="A2427" s="53">
        <v>1911</v>
      </c>
      <c r="B2427" s="10" t="s">
        <v>8059</v>
      </c>
      <c r="C2427" s="65" t="s">
        <v>8060</v>
      </c>
      <c r="D2427" s="65"/>
      <c r="E2427" s="65"/>
      <c r="F2427" s="65"/>
      <c r="G2427" s="11" t="s">
        <v>8061</v>
      </c>
      <c r="H2427" s="21" t="s">
        <v>44</v>
      </c>
      <c r="I2427" s="15"/>
      <c r="J2427" s="9">
        <v>12</v>
      </c>
      <c r="K2427" s="16">
        <v>41.34</v>
      </c>
      <c r="L2427" s="17"/>
      <c r="M2427" s="15">
        <f t="shared" si="115"/>
        <v>0</v>
      </c>
      <c r="N2427" s="23">
        <f>0.04*L2427</f>
        <v>0</v>
      </c>
      <c r="O2427" s="19">
        <f>0.00017*L2427</f>
        <v>0</v>
      </c>
      <c r="P2427" s="24" t="s">
        <v>26</v>
      </c>
      <c r="Q2427" s="15" t="s">
        <v>8062</v>
      </c>
      <c r="R2427" s="15"/>
      <c r="S2427" s="10" t="str">
        <f>HYPERLINK("https://miland.ru/api/getInfo/image/743d584d-fb71-11f0-a28e-00155d82e908")</f>
        <v>https://miland.ru/api/getInfo/image/743d584d-fb71-11f0-a28e-00155d82e908</v>
      </c>
    </row>
    <row r="2428" spans="1:19" s="2" customFormat="1" ht="96.2" customHeight="1" outlineLevel="7">
      <c r="A2428" s="53">
        <v>1912</v>
      </c>
      <c r="B2428" s="10" t="s">
        <v>8063</v>
      </c>
      <c r="C2428" s="65" t="s">
        <v>8064</v>
      </c>
      <c r="D2428" s="65"/>
      <c r="E2428" s="65"/>
      <c r="F2428" s="65"/>
      <c r="G2428" s="11" t="s">
        <v>8065</v>
      </c>
      <c r="H2428" s="21" t="s">
        <v>44</v>
      </c>
      <c r="I2428" s="15"/>
      <c r="J2428" s="9">
        <v>12</v>
      </c>
      <c r="K2428" s="16">
        <v>41.34</v>
      </c>
      <c r="L2428" s="17"/>
      <c r="M2428" s="15">
        <f t="shared" si="115"/>
        <v>0</v>
      </c>
      <c r="N2428" s="23">
        <f>0.04*L2428</f>
        <v>0</v>
      </c>
      <c r="O2428" s="19">
        <f>0.00028*L2428</f>
        <v>0</v>
      </c>
      <c r="P2428" s="24" t="s">
        <v>26</v>
      </c>
      <c r="Q2428" s="15" t="s">
        <v>8066</v>
      </c>
      <c r="R2428" s="15"/>
      <c r="S2428" s="10" t="str">
        <f>HYPERLINK("https://miland.ru/api/getInfo/image/3ae30861-fb71-11f0-a28e-00155d82e908")</f>
        <v>https://miland.ru/api/getInfo/image/3ae30861-fb71-11f0-a28e-00155d82e908</v>
      </c>
    </row>
    <row r="2429" spans="1:19" s="2" customFormat="1" ht="96.2" customHeight="1" outlineLevel="7">
      <c r="A2429" s="53">
        <v>1913</v>
      </c>
      <c r="B2429" s="10" t="s">
        <v>8067</v>
      </c>
      <c r="C2429" s="65" t="s">
        <v>8068</v>
      </c>
      <c r="D2429" s="65"/>
      <c r="E2429" s="65"/>
      <c r="F2429" s="65"/>
      <c r="G2429" s="11" t="s">
        <v>8069</v>
      </c>
      <c r="H2429" s="14">
        <v>204</v>
      </c>
      <c r="I2429" s="15"/>
      <c r="J2429" s="9">
        <v>12</v>
      </c>
      <c r="K2429" s="16">
        <v>41.34</v>
      </c>
      <c r="L2429" s="17"/>
      <c r="M2429" s="15">
        <f t="shared" si="115"/>
        <v>0</v>
      </c>
      <c r="N2429" s="18">
        <f>0.048*L2429</f>
        <v>0</v>
      </c>
      <c r="O2429" s="19">
        <f>0.00019*L2429</f>
        <v>0</v>
      </c>
      <c r="P2429" s="24" t="s">
        <v>26</v>
      </c>
      <c r="Q2429" s="15" t="s">
        <v>8070</v>
      </c>
      <c r="R2429" s="15"/>
      <c r="S2429" s="10" t="str">
        <f>HYPERLINK("https://miland.ru/api/getInfo/image/e8000988-fb71-11f0-a28e-00155d82e908")</f>
        <v>https://miland.ru/api/getInfo/image/e8000988-fb71-11f0-a28e-00155d82e908</v>
      </c>
    </row>
    <row r="2430" spans="1:19" s="2" customFormat="1" ht="96.2" customHeight="1" outlineLevel="7">
      <c r="A2430" s="52">
        <v>1914</v>
      </c>
      <c r="B2430" s="26" t="s">
        <v>8071</v>
      </c>
      <c r="C2430" s="66" t="s">
        <v>8072</v>
      </c>
      <c r="D2430" s="66"/>
      <c r="E2430" s="66"/>
      <c r="F2430" s="66"/>
      <c r="G2430" s="27" t="s">
        <v>8073</v>
      </c>
      <c r="H2430" s="33">
        <v>48</v>
      </c>
      <c r="I2430" s="29"/>
      <c r="J2430" s="25">
        <v>24</v>
      </c>
      <c r="K2430" s="30">
        <v>31.48</v>
      </c>
      <c r="L2430" s="17"/>
      <c r="M2430" s="29">
        <f t="shared" si="115"/>
        <v>0</v>
      </c>
      <c r="N2430" s="31">
        <f>0.003*L2430</f>
        <v>0</v>
      </c>
      <c r="O2430" s="32">
        <f>0.00041*L2430</f>
        <v>0</v>
      </c>
      <c r="P2430" s="36"/>
      <c r="Q2430" s="29" t="s">
        <v>8074</v>
      </c>
      <c r="R2430" s="29"/>
      <c r="S2430" s="26" t="str">
        <f>HYPERLINK("https://miland.ru/api/getInfo/image/9b312682-2ef8-11f0-a27c-00155d82e908")</f>
        <v>https://miland.ru/api/getInfo/image/9b312682-2ef8-11f0-a27c-00155d82e908</v>
      </c>
    </row>
    <row r="2431" spans="1:19" s="2" customFormat="1" ht="96.2" customHeight="1" outlineLevel="7">
      <c r="A2431" s="52">
        <v>1915</v>
      </c>
      <c r="B2431" s="26" t="s">
        <v>8075</v>
      </c>
      <c r="C2431" s="66" t="s">
        <v>8076</v>
      </c>
      <c r="D2431" s="66"/>
      <c r="E2431" s="66"/>
      <c r="F2431" s="66"/>
      <c r="G2431" s="27" t="s">
        <v>8077</v>
      </c>
      <c r="H2431" s="33">
        <v>132</v>
      </c>
      <c r="I2431" s="29"/>
      <c r="J2431" s="25">
        <v>24</v>
      </c>
      <c r="K2431" s="30">
        <v>31.48</v>
      </c>
      <c r="L2431" s="17"/>
      <c r="M2431" s="29">
        <f t="shared" si="115"/>
        <v>0</v>
      </c>
      <c r="N2431" s="31">
        <f>0.003*L2431</f>
        <v>0</v>
      </c>
      <c r="O2431" s="32">
        <f>0.00041*L2431</f>
        <v>0</v>
      </c>
      <c r="P2431" s="36"/>
      <c r="Q2431" s="29" t="s">
        <v>8078</v>
      </c>
      <c r="R2431" s="29"/>
      <c r="S2431" s="26" t="str">
        <f>HYPERLINK("https://miland.ru/api/getInfo/image/2c7c1b31-2efa-11f0-a27c-00155d82e908")</f>
        <v>https://miland.ru/api/getInfo/image/2c7c1b31-2efa-11f0-a27c-00155d82e908</v>
      </c>
    </row>
    <row r="2432" spans="1:19" s="2" customFormat="1" ht="96.2" customHeight="1" outlineLevel="7">
      <c r="A2432" s="52">
        <v>1916</v>
      </c>
      <c r="B2432" s="26" t="s">
        <v>8079</v>
      </c>
      <c r="C2432" s="66" t="s">
        <v>8080</v>
      </c>
      <c r="D2432" s="66"/>
      <c r="E2432" s="66"/>
      <c r="F2432" s="66"/>
      <c r="G2432" s="27" t="s">
        <v>8081</v>
      </c>
      <c r="H2432" s="33">
        <v>264</v>
      </c>
      <c r="I2432" s="29"/>
      <c r="J2432" s="25">
        <v>24</v>
      </c>
      <c r="K2432" s="30">
        <v>50.68</v>
      </c>
      <c r="L2432" s="17"/>
      <c r="M2432" s="29">
        <f t="shared" si="115"/>
        <v>0</v>
      </c>
      <c r="N2432" s="31">
        <f>0.003*L2432</f>
        <v>0</v>
      </c>
      <c r="O2432" s="32">
        <f>0.00041*L2432</f>
        <v>0</v>
      </c>
      <c r="P2432" s="36"/>
      <c r="Q2432" s="29" t="s">
        <v>8082</v>
      </c>
      <c r="R2432" s="29" t="s">
        <v>611</v>
      </c>
      <c r="S2432" s="26" t="str">
        <f>HYPERLINK("https://miland.ru/api/getInfo/image/e2617c98-2ef7-11f0-a27c-00155d82e908")</f>
        <v>https://miland.ru/api/getInfo/image/e2617c98-2ef7-11f0-a27c-00155d82e908</v>
      </c>
    </row>
    <row r="2433" spans="1:19" s="2" customFormat="1" ht="96.2" customHeight="1" outlineLevel="7">
      <c r="A2433" s="52">
        <v>1917</v>
      </c>
      <c r="B2433" s="26" t="s">
        <v>8083</v>
      </c>
      <c r="C2433" s="66" t="s">
        <v>8084</v>
      </c>
      <c r="D2433" s="66"/>
      <c r="E2433" s="66"/>
      <c r="F2433" s="66"/>
      <c r="G2433" s="27" t="s">
        <v>8085</v>
      </c>
      <c r="H2433" s="33">
        <v>36</v>
      </c>
      <c r="I2433" s="29"/>
      <c r="J2433" s="25">
        <v>24</v>
      </c>
      <c r="K2433" s="30">
        <v>31.48</v>
      </c>
      <c r="L2433" s="17"/>
      <c r="M2433" s="29">
        <f t="shared" si="115"/>
        <v>0</v>
      </c>
      <c r="N2433" s="31">
        <f>0.003*L2433</f>
        <v>0</v>
      </c>
      <c r="O2433" s="32">
        <f>0.00041*L2433</f>
        <v>0</v>
      </c>
      <c r="P2433" s="36"/>
      <c r="Q2433" s="29" t="s">
        <v>8086</v>
      </c>
      <c r="R2433" s="29"/>
      <c r="S2433" s="26" t="str">
        <f>HYPERLINK("https://miland.ru/api/getInfo/image/dccbeca8-2ef9-11f0-a27c-00155d82e908")</f>
        <v>https://miland.ru/api/getInfo/image/dccbeca8-2ef9-11f0-a27c-00155d82e908</v>
      </c>
    </row>
    <row r="2434" spans="1:19" s="2" customFormat="1" ht="96.2" customHeight="1" outlineLevel="7">
      <c r="A2434" s="53">
        <v>1918</v>
      </c>
      <c r="B2434" s="10" t="s">
        <v>8087</v>
      </c>
      <c r="C2434" s="65" t="s">
        <v>8088</v>
      </c>
      <c r="D2434" s="65"/>
      <c r="E2434" s="65"/>
      <c r="F2434" s="65"/>
      <c r="G2434" s="11" t="s">
        <v>8089</v>
      </c>
      <c r="H2434" s="14">
        <v>120</v>
      </c>
      <c r="I2434" s="15"/>
      <c r="J2434" s="9">
        <v>20</v>
      </c>
      <c r="K2434" s="16">
        <v>50.68</v>
      </c>
      <c r="L2434" s="17"/>
      <c r="M2434" s="15">
        <f t="shared" si="115"/>
        <v>0</v>
      </c>
      <c r="N2434" s="23">
        <f>0.04*L2434</f>
        <v>0</v>
      </c>
      <c r="O2434" s="19">
        <f>0.00248*L2434</f>
        <v>0</v>
      </c>
      <c r="P2434" s="24" t="s">
        <v>26</v>
      </c>
      <c r="Q2434" s="15"/>
      <c r="R2434" s="15" t="s">
        <v>611</v>
      </c>
      <c r="S2434" s="10" t="str">
        <f>HYPERLINK("https://miland.ru/api/getInfo/image/d1fe0e2f-da72-11f0-a28c-00155d82e908")</f>
        <v>https://miland.ru/api/getInfo/image/d1fe0e2f-da72-11f0-a28c-00155d82e908</v>
      </c>
    </row>
    <row r="2435" spans="1:19" s="2" customFormat="1" ht="96.2" customHeight="1" outlineLevel="7">
      <c r="A2435" s="52">
        <v>1919</v>
      </c>
      <c r="B2435" s="26" t="s">
        <v>8090</v>
      </c>
      <c r="C2435" s="66" t="s">
        <v>8091</v>
      </c>
      <c r="D2435" s="66"/>
      <c r="E2435" s="66"/>
      <c r="F2435" s="66"/>
      <c r="G2435" s="27" t="s">
        <v>8089</v>
      </c>
      <c r="H2435" s="33">
        <v>192</v>
      </c>
      <c r="I2435" s="29"/>
      <c r="J2435" s="25">
        <v>24</v>
      </c>
      <c r="K2435" s="30">
        <v>31.48</v>
      </c>
      <c r="L2435" s="17"/>
      <c r="M2435" s="29">
        <f t="shared" si="115"/>
        <v>0</v>
      </c>
      <c r="N2435" s="31">
        <f>0.003*L2435</f>
        <v>0</v>
      </c>
      <c r="O2435" s="32">
        <f>0.00041*L2435</f>
        <v>0</v>
      </c>
      <c r="P2435" s="36"/>
      <c r="Q2435" s="29" t="s">
        <v>8092</v>
      </c>
      <c r="R2435" s="29"/>
      <c r="S2435" s="26" t="str">
        <f>HYPERLINK("https://miland.ru/api/getInfo/image/5d72daee-2ef9-11f0-a27c-00155d82e908")</f>
        <v>https://miland.ru/api/getInfo/image/5d72daee-2ef9-11f0-a27c-00155d82e908</v>
      </c>
    </row>
    <row r="2436" spans="1:19" s="1" customFormat="1" ht="12" customHeight="1" outlineLevel="6">
      <c r="A2436" s="64" t="s">
        <v>8093</v>
      </c>
      <c r="B2436" s="64"/>
      <c r="C2436" s="64"/>
      <c r="D2436" s="64"/>
      <c r="E2436" s="64"/>
      <c r="F2436" s="64"/>
      <c r="G2436" s="8"/>
      <c r="H2436" s="12"/>
      <c r="I2436" s="2"/>
      <c r="J2436" s="2"/>
      <c r="K2436" s="13"/>
      <c r="L2436" s="2"/>
      <c r="M2436" s="2"/>
      <c r="N2436" s="2"/>
      <c r="O2436" s="2"/>
      <c r="P2436" s="2"/>
      <c r="Q2436" s="2"/>
      <c r="R2436" s="2"/>
      <c r="S2436" s="2"/>
    </row>
    <row r="2437" spans="1:19" s="2" customFormat="1" ht="96.2" customHeight="1" outlineLevel="7">
      <c r="A2437" s="52">
        <v>1920</v>
      </c>
      <c r="B2437" s="26" t="s">
        <v>8094</v>
      </c>
      <c r="C2437" s="66" t="s">
        <v>8095</v>
      </c>
      <c r="D2437" s="66"/>
      <c r="E2437" s="66"/>
      <c r="F2437" s="66"/>
      <c r="G2437" s="27" t="s">
        <v>8096</v>
      </c>
      <c r="H2437" s="28" t="s">
        <v>44</v>
      </c>
      <c r="I2437" s="29"/>
      <c r="J2437" s="25">
        <v>12</v>
      </c>
      <c r="K2437" s="30">
        <v>45.97</v>
      </c>
      <c r="L2437" s="17"/>
      <c r="M2437" s="29">
        <f t="shared" ref="M2437:M2442" si="116">K2437*L2437</f>
        <v>0</v>
      </c>
      <c r="N2437" s="31">
        <f>0.042*L2437</f>
        <v>0</v>
      </c>
      <c r="O2437" s="32">
        <f>0.00014*L2437</f>
        <v>0</v>
      </c>
      <c r="P2437" s="36"/>
      <c r="Q2437" s="29" t="s">
        <v>8097</v>
      </c>
      <c r="R2437" s="29" t="s">
        <v>611</v>
      </c>
      <c r="S2437" s="26" t="str">
        <f>HYPERLINK("https://miland.ru/api/getInfo/image/bfdb1d5e-a33e-11ef-a267-00155d82e908")</f>
        <v>https://miland.ru/api/getInfo/image/bfdb1d5e-a33e-11ef-a267-00155d82e908</v>
      </c>
    </row>
    <row r="2438" spans="1:19" s="2" customFormat="1" ht="96.2" customHeight="1" outlineLevel="7">
      <c r="A2438" s="52">
        <v>1921</v>
      </c>
      <c r="B2438" s="26" t="s">
        <v>8098</v>
      </c>
      <c r="C2438" s="66" t="s">
        <v>8099</v>
      </c>
      <c r="D2438" s="66"/>
      <c r="E2438" s="66"/>
      <c r="F2438" s="66"/>
      <c r="G2438" s="27" t="s">
        <v>8100</v>
      </c>
      <c r="H2438" s="33">
        <v>228</v>
      </c>
      <c r="I2438" s="29"/>
      <c r="J2438" s="25">
        <v>12</v>
      </c>
      <c r="K2438" s="30">
        <v>45.97</v>
      </c>
      <c r="L2438" s="17"/>
      <c r="M2438" s="29">
        <f t="shared" si="116"/>
        <v>0</v>
      </c>
      <c r="N2438" s="31">
        <f>0.041*L2438</f>
        <v>0</v>
      </c>
      <c r="O2438" s="32">
        <f>0.00014*L2438</f>
        <v>0</v>
      </c>
      <c r="P2438" s="36"/>
      <c r="Q2438" s="29" t="s">
        <v>8101</v>
      </c>
      <c r="R2438" s="29" t="s">
        <v>611</v>
      </c>
      <c r="S2438" s="26" t="str">
        <f>HYPERLINK("https://miland.ru/api/getInfo/image/a30b95d9-a33e-11ef-a267-00155d82e908")</f>
        <v>https://miland.ru/api/getInfo/image/a30b95d9-a33e-11ef-a267-00155d82e908</v>
      </c>
    </row>
    <row r="2439" spans="1:19" s="2" customFormat="1" ht="96.2" customHeight="1" outlineLevel="7">
      <c r="A2439" s="53">
        <v>1922</v>
      </c>
      <c r="B2439" s="10" t="s">
        <v>8102</v>
      </c>
      <c r="C2439" s="65" t="s">
        <v>8103</v>
      </c>
      <c r="D2439" s="65"/>
      <c r="E2439" s="65"/>
      <c r="F2439" s="65"/>
      <c r="G2439" s="11" t="s">
        <v>8104</v>
      </c>
      <c r="H2439" s="21" t="s">
        <v>44</v>
      </c>
      <c r="I2439" s="15"/>
      <c r="J2439" s="9">
        <v>12</v>
      </c>
      <c r="K2439" s="16">
        <v>38.46</v>
      </c>
      <c r="L2439" s="17"/>
      <c r="M2439" s="15">
        <f t="shared" si="116"/>
        <v>0</v>
      </c>
      <c r="N2439" s="18">
        <f>0.004*L2439</f>
        <v>0</v>
      </c>
      <c r="O2439" s="19">
        <f>0.00024*L2439</f>
        <v>0</v>
      </c>
      <c r="P2439" s="24" t="s">
        <v>26</v>
      </c>
      <c r="Q2439" s="15" t="s">
        <v>8105</v>
      </c>
      <c r="R2439" s="15"/>
      <c r="S2439" s="10" t="str">
        <f>HYPERLINK("https://miland.ru/api/getInfo/image/03095482-fb74-11f0-a28e-00155d82e908")</f>
        <v>https://miland.ru/api/getInfo/image/03095482-fb74-11f0-a28e-00155d82e908</v>
      </c>
    </row>
    <row r="2440" spans="1:19" s="2" customFormat="1" ht="96.2" customHeight="1" outlineLevel="7">
      <c r="A2440" s="53">
        <v>1923</v>
      </c>
      <c r="B2440" s="10" t="s">
        <v>8106</v>
      </c>
      <c r="C2440" s="65" t="s">
        <v>8107</v>
      </c>
      <c r="D2440" s="65"/>
      <c r="E2440" s="65"/>
      <c r="F2440" s="65"/>
      <c r="G2440" s="11" t="s">
        <v>8108</v>
      </c>
      <c r="H2440" s="14">
        <v>12</v>
      </c>
      <c r="I2440" s="15"/>
      <c r="J2440" s="9">
        <v>12</v>
      </c>
      <c r="K2440" s="16">
        <v>38.46</v>
      </c>
      <c r="L2440" s="17"/>
      <c r="M2440" s="15">
        <f t="shared" si="116"/>
        <v>0</v>
      </c>
      <c r="N2440" s="18">
        <f>0.035*L2440</f>
        <v>0</v>
      </c>
      <c r="O2440" s="19">
        <f>0.00025*L2440</f>
        <v>0</v>
      </c>
      <c r="P2440" s="24" t="s">
        <v>26</v>
      </c>
      <c r="Q2440" s="15" t="s">
        <v>8109</v>
      </c>
      <c r="R2440" s="15"/>
      <c r="S2440" s="10" t="str">
        <f>HYPERLINK("https://miland.ru/api/getInfo/image/3265e3c0-fb74-11f0-a28e-00155d82e908")</f>
        <v>https://miland.ru/api/getInfo/image/3265e3c0-fb74-11f0-a28e-00155d82e908</v>
      </c>
    </row>
    <row r="2441" spans="1:19" s="2" customFormat="1" ht="96.2" customHeight="1" outlineLevel="7">
      <c r="A2441" s="53">
        <v>1924</v>
      </c>
      <c r="B2441" s="10" t="s">
        <v>8110</v>
      </c>
      <c r="C2441" s="65" t="s">
        <v>8111</v>
      </c>
      <c r="D2441" s="65"/>
      <c r="E2441" s="65"/>
      <c r="F2441" s="65"/>
      <c r="G2441" s="11" t="s">
        <v>8112</v>
      </c>
      <c r="H2441" s="14">
        <v>12</v>
      </c>
      <c r="I2441" s="15"/>
      <c r="J2441" s="9">
        <v>12</v>
      </c>
      <c r="K2441" s="16">
        <v>38.46</v>
      </c>
      <c r="L2441" s="17"/>
      <c r="M2441" s="15">
        <f t="shared" si="116"/>
        <v>0</v>
      </c>
      <c r="N2441" s="23">
        <f>0.04*L2441</f>
        <v>0</v>
      </c>
      <c r="O2441" s="19">
        <f>0.00024*L2441</f>
        <v>0</v>
      </c>
      <c r="P2441" s="24" t="s">
        <v>26</v>
      </c>
      <c r="Q2441" s="15" t="s">
        <v>8113</v>
      </c>
      <c r="R2441" s="15"/>
      <c r="S2441" s="10" t="str">
        <f>HYPERLINK("https://miland.ru/api/getInfo/image/1b2e8d76-fb74-11f0-a28e-00155d82e908")</f>
        <v>https://miland.ru/api/getInfo/image/1b2e8d76-fb74-11f0-a28e-00155d82e908</v>
      </c>
    </row>
    <row r="2442" spans="1:19" s="2" customFormat="1" ht="96.2" customHeight="1" outlineLevel="7">
      <c r="A2442" s="53">
        <v>1925</v>
      </c>
      <c r="B2442" s="10" t="s">
        <v>8114</v>
      </c>
      <c r="C2442" s="65" t="s">
        <v>8115</v>
      </c>
      <c r="D2442" s="65"/>
      <c r="E2442" s="65"/>
      <c r="F2442" s="65"/>
      <c r="G2442" s="11" t="s">
        <v>8116</v>
      </c>
      <c r="H2442" s="21" t="s">
        <v>44</v>
      </c>
      <c r="I2442" s="15"/>
      <c r="J2442" s="9">
        <v>12</v>
      </c>
      <c r="K2442" s="16">
        <v>38.46</v>
      </c>
      <c r="L2442" s="17"/>
      <c r="M2442" s="15">
        <f t="shared" si="116"/>
        <v>0</v>
      </c>
      <c r="N2442" s="18">
        <f>0.042*L2442</f>
        <v>0</v>
      </c>
      <c r="O2442" s="19">
        <f>0.00023*L2442</f>
        <v>0</v>
      </c>
      <c r="P2442" s="24" t="s">
        <v>26</v>
      </c>
      <c r="Q2442" s="15" t="s">
        <v>8117</v>
      </c>
      <c r="R2442" s="15"/>
      <c r="S2442" s="10" t="str">
        <f>HYPERLINK("https://miland.ru/api/getInfo/image/eb566595-fb73-11f0-a28e-00155d82e908")</f>
        <v>https://miland.ru/api/getInfo/image/eb566595-fb73-11f0-a28e-00155d82e908</v>
      </c>
    </row>
    <row r="2443" spans="1:19" s="1" customFormat="1" ht="12" customHeight="1" outlineLevel="6">
      <c r="A2443" s="64" t="s">
        <v>7805</v>
      </c>
      <c r="B2443" s="64"/>
      <c r="C2443" s="64"/>
      <c r="D2443" s="64"/>
      <c r="E2443" s="64"/>
      <c r="F2443" s="64"/>
      <c r="G2443" s="8"/>
      <c r="H2443" s="12"/>
      <c r="I2443" s="2"/>
      <c r="J2443" s="2"/>
      <c r="K2443" s="13"/>
      <c r="L2443" s="2"/>
      <c r="M2443" s="2"/>
      <c r="N2443" s="2"/>
      <c r="O2443" s="2"/>
      <c r="P2443" s="2"/>
      <c r="Q2443" s="2"/>
      <c r="R2443" s="2"/>
      <c r="S2443" s="2"/>
    </row>
    <row r="2444" spans="1:19" s="1" customFormat="1" ht="12" customHeight="1" outlineLevel="7">
      <c r="A2444" s="64" t="s">
        <v>8118</v>
      </c>
      <c r="B2444" s="64"/>
      <c r="C2444" s="64"/>
      <c r="D2444" s="64"/>
      <c r="E2444" s="64"/>
      <c r="F2444" s="64"/>
      <c r="G2444" s="8"/>
      <c r="H2444" s="12"/>
      <c r="I2444" s="2"/>
      <c r="J2444" s="2"/>
      <c r="K2444" s="13"/>
      <c r="L2444" s="2"/>
      <c r="M2444" s="2"/>
      <c r="N2444" s="2"/>
      <c r="O2444" s="2"/>
      <c r="P2444" s="2"/>
      <c r="Q2444" s="2"/>
      <c r="R2444" s="2"/>
      <c r="S2444" s="2"/>
    </row>
    <row r="2445" spans="1:19" s="2" customFormat="1" ht="96.2" customHeight="1" outlineLevel="7">
      <c r="A2445" s="52">
        <v>1926</v>
      </c>
      <c r="B2445" s="26" t="s">
        <v>8119</v>
      </c>
      <c r="C2445" s="66" t="s">
        <v>8120</v>
      </c>
      <c r="D2445" s="66"/>
      <c r="E2445" s="66"/>
      <c r="F2445" s="66"/>
      <c r="G2445" s="27" t="s">
        <v>8121</v>
      </c>
      <c r="H2445" s="28" t="s">
        <v>44</v>
      </c>
      <c r="I2445" s="29"/>
      <c r="J2445" s="25">
        <v>12</v>
      </c>
      <c r="K2445" s="30">
        <v>45.26</v>
      </c>
      <c r="L2445" s="17"/>
      <c r="M2445" s="29">
        <f>K2445*L2445</f>
        <v>0</v>
      </c>
      <c r="N2445" s="31">
        <f>0.054*L2445</f>
        <v>0</v>
      </c>
      <c r="O2445" s="32">
        <f>0.00048*L2445</f>
        <v>0</v>
      </c>
      <c r="P2445" s="36"/>
      <c r="Q2445" s="29" t="s">
        <v>8122</v>
      </c>
      <c r="R2445" s="29" t="s">
        <v>611</v>
      </c>
      <c r="S2445" s="26" t="str">
        <f>HYPERLINK("https://miland.ru/api/getInfo/image/0154afe4-fe49-11ef-a275-00155d82e908")</f>
        <v>https://miland.ru/api/getInfo/image/0154afe4-fe49-11ef-a275-00155d82e908</v>
      </c>
    </row>
    <row r="2446" spans="1:19" s="1" customFormat="1" ht="12" customHeight="1" outlineLevel="7">
      <c r="A2446" s="64" t="s">
        <v>7806</v>
      </c>
      <c r="B2446" s="64"/>
      <c r="C2446" s="64"/>
      <c r="D2446" s="64"/>
      <c r="E2446" s="64"/>
      <c r="F2446" s="64"/>
      <c r="G2446" s="8"/>
      <c r="H2446" s="12"/>
      <c r="I2446" s="2"/>
      <c r="J2446" s="2"/>
      <c r="K2446" s="13"/>
      <c r="L2446" s="2"/>
      <c r="M2446" s="2"/>
      <c r="N2446" s="2"/>
      <c r="O2446" s="2"/>
      <c r="P2446" s="2"/>
      <c r="Q2446" s="2"/>
      <c r="R2446" s="2"/>
      <c r="S2446" s="2"/>
    </row>
    <row r="2447" spans="1:19" s="2" customFormat="1" ht="96.2" customHeight="1" outlineLevel="7">
      <c r="A2447" s="52">
        <v>1927</v>
      </c>
      <c r="B2447" s="26" t="s">
        <v>8123</v>
      </c>
      <c r="C2447" s="66" t="s">
        <v>8124</v>
      </c>
      <c r="D2447" s="66"/>
      <c r="E2447" s="66"/>
      <c r="F2447" s="66"/>
      <c r="G2447" s="27" t="s">
        <v>8125</v>
      </c>
      <c r="H2447" s="28" t="s">
        <v>44</v>
      </c>
      <c r="I2447" s="29"/>
      <c r="J2447" s="25">
        <v>12</v>
      </c>
      <c r="K2447" s="30">
        <v>37.409999999999997</v>
      </c>
      <c r="L2447" s="17"/>
      <c r="M2447" s="29">
        <f>K2447*L2447</f>
        <v>0</v>
      </c>
      <c r="N2447" s="34">
        <f>0.65*L2447</f>
        <v>0</v>
      </c>
      <c r="O2447" s="32">
        <f>0.00313*L2447</f>
        <v>0</v>
      </c>
      <c r="P2447" s="36"/>
      <c r="Q2447" s="29" t="s">
        <v>8126</v>
      </c>
      <c r="R2447" s="29" t="s">
        <v>611</v>
      </c>
      <c r="S2447" s="26" t="str">
        <f>HYPERLINK("https://miland.ru/api/getInfo/image/bb86849a-03a4-11ef-a25d-00155d82e908")</f>
        <v>https://miland.ru/api/getInfo/image/bb86849a-03a4-11ef-a25d-00155d82e908</v>
      </c>
    </row>
    <row r="2448" spans="1:19" s="2" customFormat="1" ht="96.2" customHeight="1" outlineLevel="7">
      <c r="A2448" s="52">
        <v>1928</v>
      </c>
      <c r="B2448" s="26" t="s">
        <v>8127</v>
      </c>
      <c r="C2448" s="66" t="s">
        <v>8128</v>
      </c>
      <c r="D2448" s="66"/>
      <c r="E2448" s="66"/>
      <c r="F2448" s="66"/>
      <c r="G2448" s="27" t="s">
        <v>8129</v>
      </c>
      <c r="H2448" s="28" t="s">
        <v>44</v>
      </c>
      <c r="I2448" s="29"/>
      <c r="J2448" s="25">
        <v>24</v>
      </c>
      <c r="K2448" s="30">
        <v>31.78</v>
      </c>
      <c r="L2448" s="17"/>
      <c r="M2448" s="29">
        <f>K2448*L2448</f>
        <v>0</v>
      </c>
      <c r="N2448" s="31">
        <f>0.044*L2448</f>
        <v>0</v>
      </c>
      <c r="O2448" s="32">
        <f>0.00054*L2448</f>
        <v>0</v>
      </c>
      <c r="P2448" s="36"/>
      <c r="Q2448" s="29" t="s">
        <v>8130</v>
      </c>
      <c r="R2448" s="29" t="s">
        <v>611</v>
      </c>
      <c r="S2448" s="26" t="str">
        <f>HYPERLINK("https://miland.ru/api/getInfo/image/125107a6-03a5-11ef-a25d-00155d82e908")</f>
        <v>https://miland.ru/api/getInfo/image/125107a6-03a5-11ef-a25d-00155d82e908</v>
      </c>
    </row>
    <row r="2449" spans="1:19" s="2" customFormat="1" ht="96.2" customHeight="1" outlineLevel="7">
      <c r="A2449" s="52">
        <v>1929</v>
      </c>
      <c r="B2449" s="26" t="s">
        <v>8131</v>
      </c>
      <c r="C2449" s="66" t="s">
        <v>8132</v>
      </c>
      <c r="D2449" s="66"/>
      <c r="E2449" s="66"/>
      <c r="F2449" s="66"/>
      <c r="G2449" s="27" t="s">
        <v>8133</v>
      </c>
      <c r="H2449" s="33">
        <v>192</v>
      </c>
      <c r="I2449" s="29"/>
      <c r="J2449" s="25">
        <v>12</v>
      </c>
      <c r="K2449" s="30">
        <v>37.409999999999997</v>
      </c>
      <c r="L2449" s="17"/>
      <c r="M2449" s="29">
        <f>K2449*L2449</f>
        <v>0</v>
      </c>
      <c r="N2449" s="31">
        <f>0.043*L2449</f>
        <v>0</v>
      </c>
      <c r="O2449" s="32">
        <f>0.00067*L2449</f>
        <v>0</v>
      </c>
      <c r="P2449" s="36"/>
      <c r="Q2449" s="29" t="s">
        <v>8134</v>
      </c>
      <c r="R2449" s="29" t="s">
        <v>611</v>
      </c>
      <c r="S2449" s="26" t="str">
        <f>HYPERLINK("https://miland.ru/api/getInfo/image/cd0d9cf8-03a4-11ef-a25d-00155d82e908")</f>
        <v>https://miland.ru/api/getInfo/image/cd0d9cf8-03a4-11ef-a25d-00155d82e908</v>
      </c>
    </row>
    <row r="2450" spans="1:19" s="1" customFormat="1" ht="12" customHeight="1" outlineLevel="5">
      <c r="A2450" s="64" t="s">
        <v>8135</v>
      </c>
      <c r="B2450" s="64"/>
      <c r="C2450" s="64"/>
      <c r="D2450" s="64"/>
      <c r="E2450" s="64"/>
      <c r="F2450" s="64"/>
      <c r="G2450" s="8"/>
      <c r="H2450" s="12"/>
      <c r="I2450" s="2"/>
      <c r="J2450" s="2"/>
      <c r="K2450" s="13"/>
      <c r="L2450" s="2"/>
      <c r="M2450" s="2"/>
      <c r="N2450" s="2"/>
      <c r="O2450" s="2"/>
      <c r="P2450" s="2"/>
      <c r="Q2450" s="2"/>
      <c r="R2450" s="2"/>
      <c r="S2450" s="2"/>
    </row>
    <row r="2451" spans="1:19" s="1" customFormat="1" ht="12" customHeight="1" outlineLevel="6">
      <c r="A2451" s="64" t="s">
        <v>7821</v>
      </c>
      <c r="B2451" s="64"/>
      <c r="C2451" s="64"/>
      <c r="D2451" s="64"/>
      <c r="E2451" s="64"/>
      <c r="F2451" s="64"/>
      <c r="G2451" s="8"/>
      <c r="H2451" s="12"/>
      <c r="I2451" s="2"/>
      <c r="J2451" s="2"/>
      <c r="K2451" s="13"/>
      <c r="L2451" s="2"/>
      <c r="M2451" s="2"/>
      <c r="N2451" s="2"/>
      <c r="O2451" s="2"/>
      <c r="P2451" s="2"/>
      <c r="Q2451" s="2"/>
      <c r="R2451" s="2"/>
      <c r="S2451" s="2"/>
    </row>
    <row r="2452" spans="1:19" s="2" customFormat="1" ht="96.2" customHeight="1" outlineLevel="7">
      <c r="A2452" s="53">
        <v>1930</v>
      </c>
      <c r="B2452" s="10" t="s">
        <v>8136</v>
      </c>
      <c r="C2452" s="65" t="s">
        <v>8137</v>
      </c>
      <c r="D2452" s="65"/>
      <c r="E2452" s="65"/>
      <c r="F2452" s="65"/>
      <c r="G2452" s="11" t="s">
        <v>8138</v>
      </c>
      <c r="H2452" s="21" t="s">
        <v>44</v>
      </c>
      <c r="I2452" s="15"/>
      <c r="J2452" s="9">
        <v>12</v>
      </c>
      <c r="K2452" s="16">
        <v>64.52</v>
      </c>
      <c r="L2452" s="17"/>
      <c r="M2452" s="15">
        <f>K2452*L2452</f>
        <v>0</v>
      </c>
      <c r="N2452" s="23">
        <f>0.08*L2452</f>
        <v>0</v>
      </c>
      <c r="O2452" s="19">
        <f>0.00037*L2452</f>
        <v>0</v>
      </c>
      <c r="P2452" s="24" t="s">
        <v>26</v>
      </c>
      <c r="Q2452" s="15" t="s">
        <v>8139</v>
      </c>
      <c r="R2452" s="15"/>
      <c r="S2452" s="10" t="str">
        <f>HYPERLINK("https://miland.ru/api/getInfo/image/d4bf1352-fb74-11f0-a28e-00155d82e908")</f>
        <v>https://miland.ru/api/getInfo/image/d4bf1352-fb74-11f0-a28e-00155d82e908</v>
      </c>
    </row>
    <row r="2453" spans="1:19" s="2" customFormat="1" ht="96.2" customHeight="1" outlineLevel="7">
      <c r="A2453" s="53">
        <v>1931</v>
      </c>
      <c r="B2453" s="10" t="s">
        <v>8140</v>
      </c>
      <c r="C2453" s="65" t="s">
        <v>8141</v>
      </c>
      <c r="D2453" s="65"/>
      <c r="E2453" s="65"/>
      <c r="F2453" s="65"/>
      <c r="G2453" s="11" t="s">
        <v>8142</v>
      </c>
      <c r="H2453" s="21" t="s">
        <v>44</v>
      </c>
      <c r="I2453" s="15"/>
      <c r="J2453" s="9">
        <v>12</v>
      </c>
      <c r="K2453" s="16">
        <v>64.52</v>
      </c>
      <c r="L2453" s="17"/>
      <c r="M2453" s="15">
        <f>K2453*L2453</f>
        <v>0</v>
      </c>
      <c r="N2453" s="23">
        <f>0.08*L2453</f>
        <v>0</v>
      </c>
      <c r="O2453" s="19">
        <f>0.00029*L2453</f>
        <v>0</v>
      </c>
      <c r="P2453" s="24" t="s">
        <v>26</v>
      </c>
      <c r="Q2453" s="15" t="s">
        <v>8143</v>
      </c>
      <c r="R2453" s="15"/>
      <c r="S2453" s="10" t="str">
        <f>HYPERLINK("https://miland.ru/api/getInfo/image/b5bac10a-fb74-11f0-a28e-00155d82e908")</f>
        <v>https://miland.ru/api/getInfo/image/b5bac10a-fb74-11f0-a28e-00155d82e908</v>
      </c>
    </row>
    <row r="2454" spans="1:19" s="2" customFormat="1" ht="96.2" customHeight="1" outlineLevel="7">
      <c r="A2454" s="53">
        <v>1932</v>
      </c>
      <c r="B2454" s="10" t="s">
        <v>8144</v>
      </c>
      <c r="C2454" s="65" t="s">
        <v>8145</v>
      </c>
      <c r="D2454" s="65"/>
      <c r="E2454" s="65"/>
      <c r="F2454" s="65"/>
      <c r="G2454" s="11" t="s">
        <v>8146</v>
      </c>
      <c r="H2454" s="21" t="s">
        <v>44</v>
      </c>
      <c r="I2454" s="15"/>
      <c r="J2454" s="9">
        <v>12</v>
      </c>
      <c r="K2454" s="16">
        <v>64.52</v>
      </c>
      <c r="L2454" s="17"/>
      <c r="M2454" s="15">
        <f>K2454*L2454</f>
        <v>0</v>
      </c>
      <c r="N2454" s="18">
        <f>0.079*L2454</f>
        <v>0</v>
      </c>
      <c r="O2454" s="19">
        <f>0.00029*L2454</f>
        <v>0</v>
      </c>
      <c r="P2454" s="24" t="s">
        <v>26</v>
      </c>
      <c r="Q2454" s="15" t="s">
        <v>8147</v>
      </c>
      <c r="R2454" s="15"/>
      <c r="S2454" s="10" t="str">
        <f>HYPERLINK("https://miland.ru/api/getInfo/image/0a9e738a-fb75-11f0-a28e-00155d82e908")</f>
        <v>https://miland.ru/api/getInfo/image/0a9e738a-fb75-11f0-a28e-00155d82e908</v>
      </c>
    </row>
    <row r="2455" spans="1:19" s="1" customFormat="1" ht="12" customHeight="1" outlineLevel="6">
      <c r="A2455" s="64" t="s">
        <v>549</v>
      </c>
      <c r="B2455" s="64"/>
      <c r="C2455" s="64"/>
      <c r="D2455" s="64"/>
      <c r="E2455" s="64"/>
      <c r="F2455" s="64"/>
      <c r="G2455" s="8"/>
      <c r="H2455" s="12"/>
      <c r="I2455" s="2"/>
      <c r="J2455" s="2"/>
      <c r="K2455" s="13"/>
      <c r="L2455" s="2"/>
      <c r="M2455" s="2"/>
      <c r="N2455" s="2"/>
      <c r="O2455" s="2"/>
      <c r="P2455" s="2"/>
      <c r="Q2455" s="2"/>
      <c r="R2455" s="2"/>
      <c r="S2455" s="2"/>
    </row>
    <row r="2456" spans="1:19" s="2" customFormat="1" ht="96.2" customHeight="1" outlineLevel="7">
      <c r="A2456" s="53">
        <v>1933</v>
      </c>
      <c r="B2456" s="10" t="s">
        <v>8148</v>
      </c>
      <c r="C2456" s="65" t="s">
        <v>8149</v>
      </c>
      <c r="D2456" s="65"/>
      <c r="E2456" s="65"/>
      <c r="F2456" s="65"/>
      <c r="G2456" s="11" t="s">
        <v>8150</v>
      </c>
      <c r="H2456" s="21" t="s">
        <v>44</v>
      </c>
      <c r="I2456" s="15"/>
      <c r="J2456" s="9">
        <v>12</v>
      </c>
      <c r="K2456" s="16">
        <v>51.64</v>
      </c>
      <c r="L2456" s="17"/>
      <c r="M2456" s="15">
        <f>K2456*L2456</f>
        <v>0</v>
      </c>
      <c r="N2456" s="18">
        <f>0.067*L2456</f>
        <v>0</v>
      </c>
      <c r="O2456" s="19">
        <f>0.00039*L2456</f>
        <v>0</v>
      </c>
      <c r="P2456" s="24" t="s">
        <v>26</v>
      </c>
      <c r="Q2456" s="15" t="s">
        <v>8151</v>
      </c>
      <c r="R2456" s="15"/>
      <c r="S2456" s="10" t="str">
        <f>HYPERLINK("https://miland.ru/api/getInfo/image/eb718135-fb77-11f0-a28e-00155d82e908")</f>
        <v>https://miland.ru/api/getInfo/image/eb718135-fb77-11f0-a28e-00155d82e908</v>
      </c>
    </row>
    <row r="2457" spans="1:19" s="1" customFormat="1" ht="12" customHeight="1" outlineLevel="5">
      <c r="A2457" s="64" t="s">
        <v>8152</v>
      </c>
      <c r="B2457" s="64"/>
      <c r="C2457" s="64"/>
      <c r="D2457" s="64"/>
      <c r="E2457" s="64"/>
      <c r="F2457" s="64"/>
      <c r="G2457" s="8"/>
      <c r="H2457" s="12"/>
      <c r="I2457" s="2"/>
      <c r="J2457" s="2"/>
      <c r="K2457" s="13"/>
      <c r="L2457" s="2"/>
      <c r="M2457" s="2"/>
      <c r="N2457" s="2"/>
      <c r="O2457" s="2"/>
      <c r="P2457" s="2"/>
      <c r="Q2457" s="2"/>
      <c r="R2457" s="2"/>
      <c r="S2457" s="2"/>
    </row>
    <row r="2458" spans="1:19" s="1" customFormat="1" ht="12" customHeight="1" outlineLevel="6">
      <c r="A2458" s="64" t="s">
        <v>8153</v>
      </c>
      <c r="B2458" s="64"/>
      <c r="C2458" s="64"/>
      <c r="D2458" s="64"/>
      <c r="E2458" s="64"/>
      <c r="F2458" s="64"/>
      <c r="G2458" s="8"/>
      <c r="H2458" s="12"/>
      <c r="I2458" s="2"/>
      <c r="J2458" s="2"/>
      <c r="K2458" s="13"/>
      <c r="L2458" s="2"/>
      <c r="M2458" s="2"/>
      <c r="N2458" s="2"/>
      <c r="O2458" s="2"/>
      <c r="P2458" s="2"/>
      <c r="Q2458" s="2"/>
      <c r="R2458" s="2"/>
      <c r="S2458" s="2"/>
    </row>
    <row r="2459" spans="1:19" s="1" customFormat="1" ht="12" customHeight="1" outlineLevel="7">
      <c r="A2459" s="64" t="s">
        <v>8154</v>
      </c>
      <c r="B2459" s="64"/>
      <c r="C2459" s="64"/>
      <c r="D2459" s="64"/>
      <c r="E2459" s="64"/>
      <c r="F2459" s="64"/>
      <c r="G2459" s="8"/>
      <c r="H2459" s="12"/>
      <c r="I2459" s="2"/>
      <c r="J2459" s="2"/>
      <c r="K2459" s="13"/>
      <c r="L2459" s="2"/>
      <c r="M2459" s="2"/>
      <c r="N2459" s="2"/>
      <c r="O2459" s="2"/>
      <c r="P2459" s="2"/>
      <c r="Q2459" s="2"/>
      <c r="R2459" s="2"/>
      <c r="S2459" s="2"/>
    </row>
    <row r="2460" spans="1:19" s="2" customFormat="1" ht="96.2" customHeight="1" outlineLevel="7">
      <c r="A2460" s="52">
        <v>1934</v>
      </c>
      <c r="B2460" s="26" t="s">
        <v>8155</v>
      </c>
      <c r="C2460" s="66" t="s">
        <v>8156</v>
      </c>
      <c r="D2460" s="66"/>
      <c r="E2460" s="66"/>
      <c r="F2460" s="66"/>
      <c r="G2460" s="27" t="s">
        <v>8157</v>
      </c>
      <c r="H2460" s="33">
        <v>432</v>
      </c>
      <c r="I2460" s="29"/>
      <c r="J2460" s="25">
        <v>12</v>
      </c>
      <c r="K2460" s="30">
        <v>86.31</v>
      </c>
      <c r="L2460" s="17"/>
      <c r="M2460" s="29">
        <f>K2460*L2460</f>
        <v>0</v>
      </c>
      <c r="N2460" s="31">
        <f>0.073*L2460</f>
        <v>0</v>
      </c>
      <c r="O2460" s="32">
        <f>0.00017*L2460</f>
        <v>0</v>
      </c>
      <c r="P2460" s="36"/>
      <c r="Q2460" s="29" t="s">
        <v>8158</v>
      </c>
      <c r="R2460" s="29" t="s">
        <v>611</v>
      </c>
      <c r="S2460" s="26" t="str">
        <f>HYPERLINK("https://miland.ru/api/getInfo/image/76a87f6b-f58a-11ee-a25b-00155d82e908")</f>
        <v>https://miland.ru/api/getInfo/image/76a87f6b-f58a-11ee-a25b-00155d82e908</v>
      </c>
    </row>
    <row r="2461" spans="1:19" s="2" customFormat="1" ht="96.2" customHeight="1" outlineLevel="7">
      <c r="A2461" s="52">
        <v>1935</v>
      </c>
      <c r="B2461" s="26" t="s">
        <v>8159</v>
      </c>
      <c r="C2461" s="66" t="s">
        <v>8160</v>
      </c>
      <c r="D2461" s="66"/>
      <c r="E2461" s="66"/>
      <c r="F2461" s="66"/>
      <c r="G2461" s="27" t="s">
        <v>8161</v>
      </c>
      <c r="H2461" s="33">
        <v>348</v>
      </c>
      <c r="I2461" s="29"/>
      <c r="J2461" s="25">
        <v>12</v>
      </c>
      <c r="K2461" s="30">
        <v>86.31</v>
      </c>
      <c r="L2461" s="17"/>
      <c r="M2461" s="29">
        <f>K2461*L2461</f>
        <v>0</v>
      </c>
      <c r="N2461" s="31">
        <f>0.073*L2461</f>
        <v>0</v>
      </c>
      <c r="O2461" s="32">
        <f>0.00017*L2461</f>
        <v>0</v>
      </c>
      <c r="P2461" s="36"/>
      <c r="Q2461" s="29" t="s">
        <v>8162</v>
      </c>
      <c r="R2461" s="29" t="s">
        <v>611</v>
      </c>
      <c r="S2461" s="26" t="str">
        <f>HYPERLINK("https://miland.ru/api/getInfo/image/51b3fd76-f58a-11ee-a25b-00155d82e908")</f>
        <v>https://miland.ru/api/getInfo/image/51b3fd76-f58a-11ee-a25b-00155d82e908</v>
      </c>
    </row>
    <row r="2462" spans="1:19" s="2" customFormat="1" ht="96.2" customHeight="1" outlineLevel="7">
      <c r="A2462" s="52">
        <v>1936</v>
      </c>
      <c r="B2462" s="26" t="s">
        <v>8163</v>
      </c>
      <c r="C2462" s="66" t="s">
        <v>8164</v>
      </c>
      <c r="D2462" s="66"/>
      <c r="E2462" s="66"/>
      <c r="F2462" s="66"/>
      <c r="G2462" s="27" t="s">
        <v>8165</v>
      </c>
      <c r="H2462" s="33">
        <v>48</v>
      </c>
      <c r="I2462" s="29"/>
      <c r="J2462" s="25">
        <v>12</v>
      </c>
      <c r="K2462" s="30">
        <v>86.31</v>
      </c>
      <c r="L2462" s="17"/>
      <c r="M2462" s="29">
        <f>K2462*L2462</f>
        <v>0</v>
      </c>
      <c r="N2462" s="31">
        <f>0.073*L2462</f>
        <v>0</v>
      </c>
      <c r="O2462" s="32">
        <f>0.00017*L2462</f>
        <v>0</v>
      </c>
      <c r="P2462" s="36"/>
      <c r="Q2462" s="29" t="s">
        <v>8166</v>
      </c>
      <c r="R2462" s="29" t="s">
        <v>611</v>
      </c>
      <c r="S2462" s="26" t="str">
        <f>HYPERLINK("https://miland.ru/api/getInfo/image/3247b210-f58a-11ee-a25b-00155d82e908")</f>
        <v>https://miland.ru/api/getInfo/image/3247b210-f58a-11ee-a25b-00155d82e908</v>
      </c>
    </row>
    <row r="2463" spans="1:19" s="2" customFormat="1" ht="96.2" customHeight="1" outlineLevel="7">
      <c r="A2463" s="52">
        <v>1937</v>
      </c>
      <c r="B2463" s="26" t="s">
        <v>8167</v>
      </c>
      <c r="C2463" s="66" t="s">
        <v>8168</v>
      </c>
      <c r="D2463" s="66"/>
      <c r="E2463" s="66"/>
      <c r="F2463" s="66"/>
      <c r="G2463" s="27" t="s">
        <v>8169</v>
      </c>
      <c r="H2463" s="28" t="s">
        <v>44</v>
      </c>
      <c r="I2463" s="29"/>
      <c r="J2463" s="25">
        <v>12</v>
      </c>
      <c r="K2463" s="30">
        <v>86.31</v>
      </c>
      <c r="L2463" s="17"/>
      <c r="M2463" s="29">
        <f>K2463*L2463</f>
        <v>0</v>
      </c>
      <c r="N2463" s="31">
        <f>0.073*L2463</f>
        <v>0</v>
      </c>
      <c r="O2463" s="32">
        <f>0.00017*L2463</f>
        <v>0</v>
      </c>
      <c r="P2463" s="36"/>
      <c r="Q2463" s="29" t="s">
        <v>8170</v>
      </c>
      <c r="R2463" s="29" t="s">
        <v>611</v>
      </c>
      <c r="S2463" s="26" t="str">
        <f>HYPERLINK("https://miland.ru/api/getInfo/image/159d2022-f58a-11ee-a25b-00155d82e908")</f>
        <v>https://miland.ru/api/getInfo/image/159d2022-f58a-11ee-a25b-00155d82e908</v>
      </c>
    </row>
    <row r="2464" spans="1:19" s="1" customFormat="1" ht="12" customHeight="1" outlineLevel="7">
      <c r="A2464" s="64" t="s">
        <v>8171</v>
      </c>
      <c r="B2464" s="64"/>
      <c r="C2464" s="64"/>
      <c r="D2464" s="64"/>
      <c r="E2464" s="64"/>
      <c r="F2464" s="64"/>
      <c r="G2464" s="8"/>
      <c r="H2464" s="12"/>
      <c r="I2464" s="2"/>
      <c r="J2464" s="2"/>
      <c r="K2464" s="13"/>
      <c r="L2464" s="2"/>
      <c r="M2464" s="2"/>
      <c r="N2464" s="2"/>
      <c r="O2464" s="2"/>
      <c r="P2464" s="2"/>
      <c r="Q2464" s="2"/>
      <c r="R2464" s="2"/>
      <c r="S2464" s="2"/>
    </row>
    <row r="2465" spans="1:19" s="2" customFormat="1" ht="96.2" customHeight="1" outlineLevel="7">
      <c r="A2465" s="52">
        <v>1938</v>
      </c>
      <c r="B2465" s="26" t="s">
        <v>8172</v>
      </c>
      <c r="C2465" s="66" t="s">
        <v>8173</v>
      </c>
      <c r="D2465" s="66"/>
      <c r="E2465" s="66"/>
      <c r="F2465" s="66"/>
      <c r="G2465" s="27" t="s">
        <v>8174</v>
      </c>
      <c r="H2465" s="28" t="s">
        <v>44</v>
      </c>
      <c r="I2465" s="29"/>
      <c r="J2465" s="25">
        <v>12</v>
      </c>
      <c r="K2465" s="30">
        <v>86.31</v>
      </c>
      <c r="L2465" s="17"/>
      <c r="M2465" s="29">
        <f>K2465*L2465</f>
        <v>0</v>
      </c>
      <c r="N2465" s="31">
        <f>0.129*L2465</f>
        <v>0</v>
      </c>
      <c r="O2465" s="32">
        <f>0.00027*L2465</f>
        <v>0</v>
      </c>
      <c r="P2465" s="36"/>
      <c r="Q2465" s="29" t="s">
        <v>8175</v>
      </c>
      <c r="R2465" s="29" t="s">
        <v>611</v>
      </c>
      <c r="S2465" s="26" t="str">
        <f>HYPERLINK("https://miland.ru/api/getInfo/image/12b6e05f-ce54-11ef-a268-00155d82e908")</f>
        <v>https://miland.ru/api/getInfo/image/12b6e05f-ce54-11ef-a268-00155d82e908</v>
      </c>
    </row>
    <row r="2466" spans="1:19" s="2" customFormat="1" ht="96.2" customHeight="1" outlineLevel="7">
      <c r="A2466" s="52">
        <v>1939</v>
      </c>
      <c r="B2466" s="26" t="s">
        <v>8176</v>
      </c>
      <c r="C2466" s="66" t="s">
        <v>8177</v>
      </c>
      <c r="D2466" s="66"/>
      <c r="E2466" s="66"/>
      <c r="F2466" s="66"/>
      <c r="G2466" s="27" t="s">
        <v>8178</v>
      </c>
      <c r="H2466" s="28" t="s">
        <v>44</v>
      </c>
      <c r="I2466" s="29"/>
      <c r="J2466" s="25">
        <v>12</v>
      </c>
      <c r="K2466" s="30">
        <v>86.31</v>
      </c>
      <c r="L2466" s="17"/>
      <c r="M2466" s="29">
        <f>K2466*L2466</f>
        <v>0</v>
      </c>
      <c r="N2466" s="31">
        <f>0.082*L2466</f>
        <v>0</v>
      </c>
      <c r="O2466" s="32">
        <f>0.00146*L2466</f>
        <v>0</v>
      </c>
      <c r="P2466" s="36"/>
      <c r="Q2466" s="29" t="s">
        <v>8179</v>
      </c>
      <c r="R2466" s="29" t="s">
        <v>611</v>
      </c>
      <c r="S2466" s="26" t="str">
        <f>HYPERLINK("https://miland.ru/api/getInfo/image/343a487f-ce54-11ef-a268-00155d82e908")</f>
        <v>https://miland.ru/api/getInfo/image/343a487f-ce54-11ef-a268-00155d82e908</v>
      </c>
    </row>
    <row r="2467" spans="1:19" s="2" customFormat="1" ht="96.2" customHeight="1" outlineLevel="7">
      <c r="A2467" s="52">
        <v>1940</v>
      </c>
      <c r="B2467" s="26" t="s">
        <v>8180</v>
      </c>
      <c r="C2467" s="66" t="s">
        <v>8181</v>
      </c>
      <c r="D2467" s="66"/>
      <c r="E2467" s="66"/>
      <c r="F2467" s="66"/>
      <c r="G2467" s="27" t="s">
        <v>8182</v>
      </c>
      <c r="H2467" s="28" t="s">
        <v>44</v>
      </c>
      <c r="I2467" s="29"/>
      <c r="J2467" s="25">
        <v>12</v>
      </c>
      <c r="K2467" s="30">
        <v>86.31</v>
      </c>
      <c r="L2467" s="17"/>
      <c r="M2467" s="29">
        <f>K2467*L2467</f>
        <v>0</v>
      </c>
      <c r="N2467" s="41">
        <f>0.1*L2467</f>
        <v>0</v>
      </c>
      <c r="O2467" s="32">
        <f>0.00027*L2467</f>
        <v>0</v>
      </c>
      <c r="P2467" s="36"/>
      <c r="Q2467" s="29" t="s">
        <v>8183</v>
      </c>
      <c r="R2467" s="29" t="s">
        <v>611</v>
      </c>
      <c r="S2467" s="26" t="str">
        <f>HYPERLINK("https://miland.ru/api/getInfo/image/63b74b0b-ce54-11ef-a268-00155d82e908")</f>
        <v>https://miland.ru/api/getInfo/image/63b74b0b-ce54-11ef-a268-00155d82e908</v>
      </c>
    </row>
    <row r="2468" spans="1:19" s="2" customFormat="1" ht="96.2" customHeight="1" outlineLevel="7">
      <c r="A2468" s="52">
        <v>1941</v>
      </c>
      <c r="B2468" s="26" t="s">
        <v>8184</v>
      </c>
      <c r="C2468" s="66" t="s">
        <v>8185</v>
      </c>
      <c r="D2468" s="66"/>
      <c r="E2468" s="66"/>
      <c r="F2468" s="66"/>
      <c r="G2468" s="27" t="s">
        <v>8186</v>
      </c>
      <c r="H2468" s="33">
        <v>180</v>
      </c>
      <c r="I2468" s="29"/>
      <c r="J2468" s="25">
        <v>12</v>
      </c>
      <c r="K2468" s="30">
        <v>86.31</v>
      </c>
      <c r="L2468" s="17"/>
      <c r="M2468" s="29">
        <f>K2468*L2468</f>
        <v>0</v>
      </c>
      <c r="N2468" s="31">
        <f>0.091*L2468</f>
        <v>0</v>
      </c>
      <c r="O2468" s="32">
        <f>0.00103*L2468</f>
        <v>0</v>
      </c>
      <c r="P2468" s="36"/>
      <c r="Q2468" s="29" t="s">
        <v>8187</v>
      </c>
      <c r="R2468" s="29" t="s">
        <v>611</v>
      </c>
      <c r="S2468" s="26" t="str">
        <f>HYPERLINK("https://miland.ru/api/getInfo/image/f75d730b-ce52-11ef-a268-00155d82e908")</f>
        <v>https://miland.ru/api/getInfo/image/f75d730b-ce52-11ef-a268-00155d82e908</v>
      </c>
    </row>
    <row r="2469" spans="1:19" s="1" customFormat="1" ht="12" customHeight="1" outlineLevel="7">
      <c r="A2469" s="64" t="s">
        <v>8188</v>
      </c>
      <c r="B2469" s="64"/>
      <c r="C2469" s="64"/>
      <c r="D2469" s="64"/>
      <c r="E2469" s="64"/>
      <c r="F2469" s="64"/>
      <c r="G2469" s="8"/>
      <c r="H2469" s="12"/>
      <c r="I2469" s="2"/>
      <c r="J2469" s="2"/>
      <c r="K2469" s="13"/>
      <c r="L2469" s="2"/>
      <c r="M2469" s="2"/>
      <c r="N2469" s="2"/>
      <c r="O2469" s="2"/>
      <c r="P2469" s="2"/>
      <c r="Q2469" s="2"/>
      <c r="R2469" s="2"/>
      <c r="S2469" s="2"/>
    </row>
    <row r="2470" spans="1:19" s="2" customFormat="1" ht="96.2" customHeight="1" outlineLevel="7">
      <c r="A2470" s="53">
        <v>1942</v>
      </c>
      <c r="B2470" s="10" t="s">
        <v>8189</v>
      </c>
      <c r="C2470" s="65" t="s">
        <v>8190</v>
      </c>
      <c r="D2470" s="65"/>
      <c r="E2470" s="65"/>
      <c r="F2470" s="65"/>
      <c r="G2470" s="11" t="s">
        <v>8191</v>
      </c>
      <c r="H2470" s="21" t="s">
        <v>44</v>
      </c>
      <c r="I2470" s="15"/>
      <c r="J2470" s="9">
        <v>12</v>
      </c>
      <c r="K2470" s="16">
        <v>77.900000000000006</v>
      </c>
      <c r="L2470" s="17"/>
      <c r="M2470" s="15">
        <f t="shared" ref="M2470:M2475" si="117">K2470*L2470</f>
        <v>0</v>
      </c>
      <c r="N2470" s="55">
        <f>0.1*L2470</f>
        <v>0</v>
      </c>
      <c r="O2470" s="19">
        <f>0.00037*L2470</f>
        <v>0</v>
      </c>
      <c r="P2470" s="24" t="s">
        <v>26</v>
      </c>
      <c r="Q2470" s="15" t="s">
        <v>8192</v>
      </c>
      <c r="R2470" s="15"/>
      <c r="S2470" s="10" t="str">
        <f>HYPERLINK("https://miland.ru/api/getInfo/image/8490424b-fb7d-11f0-a28e-00155d82e908")</f>
        <v>https://miland.ru/api/getInfo/image/8490424b-fb7d-11f0-a28e-00155d82e908</v>
      </c>
    </row>
    <row r="2471" spans="1:19" s="2" customFormat="1" ht="96.2" customHeight="1" outlineLevel="7">
      <c r="A2471" s="53">
        <v>1943</v>
      </c>
      <c r="B2471" s="10" t="s">
        <v>8193</v>
      </c>
      <c r="C2471" s="65" t="s">
        <v>8194</v>
      </c>
      <c r="D2471" s="65"/>
      <c r="E2471" s="65"/>
      <c r="F2471" s="65"/>
      <c r="G2471" s="11" t="s">
        <v>8195</v>
      </c>
      <c r="H2471" s="21" t="s">
        <v>44</v>
      </c>
      <c r="I2471" s="15"/>
      <c r="J2471" s="9">
        <v>12</v>
      </c>
      <c r="K2471" s="16">
        <v>77.900000000000006</v>
      </c>
      <c r="L2471" s="17"/>
      <c r="M2471" s="15">
        <f t="shared" si="117"/>
        <v>0</v>
      </c>
      <c r="N2471" s="55">
        <f>0.1*L2471</f>
        <v>0</v>
      </c>
      <c r="O2471" s="19">
        <f>0.00038*L2471</f>
        <v>0</v>
      </c>
      <c r="P2471" s="24" t="s">
        <v>26</v>
      </c>
      <c r="Q2471" s="15" t="s">
        <v>8196</v>
      </c>
      <c r="R2471" s="15"/>
      <c r="S2471" s="10" t="str">
        <f>HYPERLINK("https://miland.ru/api/getInfo/image/9ff9dd3c-fb7d-11f0-a28e-00155d82e908")</f>
        <v>https://miland.ru/api/getInfo/image/9ff9dd3c-fb7d-11f0-a28e-00155d82e908</v>
      </c>
    </row>
    <row r="2472" spans="1:19" s="2" customFormat="1" ht="96.2" customHeight="1" outlineLevel="7">
      <c r="A2472" s="53">
        <v>1944</v>
      </c>
      <c r="B2472" s="10" t="s">
        <v>8197</v>
      </c>
      <c r="C2472" s="65" t="s">
        <v>8198</v>
      </c>
      <c r="D2472" s="65"/>
      <c r="E2472" s="65"/>
      <c r="F2472" s="65"/>
      <c r="G2472" s="11" t="s">
        <v>8199</v>
      </c>
      <c r="H2472" s="21" t="s">
        <v>44</v>
      </c>
      <c r="I2472" s="15"/>
      <c r="J2472" s="9">
        <v>12</v>
      </c>
      <c r="K2472" s="16">
        <v>77.900000000000006</v>
      </c>
      <c r="L2472" s="17"/>
      <c r="M2472" s="15">
        <f t="shared" si="117"/>
        <v>0</v>
      </c>
      <c r="N2472" s="55">
        <f>0.1*L2472</f>
        <v>0</v>
      </c>
      <c r="O2472" s="19">
        <f>0.00037*L2472</f>
        <v>0</v>
      </c>
      <c r="P2472" s="24" t="s">
        <v>26</v>
      </c>
      <c r="Q2472" s="15" t="s">
        <v>8200</v>
      </c>
      <c r="R2472" s="15"/>
      <c r="S2472" s="10" t="str">
        <f>HYPERLINK("https://miland.ru/api/getInfo/image/cde49f6e-fb7d-11f0-a28e-00155d82e908")</f>
        <v>https://miland.ru/api/getInfo/image/cde49f6e-fb7d-11f0-a28e-00155d82e908</v>
      </c>
    </row>
    <row r="2473" spans="1:19" s="2" customFormat="1" ht="96.2" customHeight="1" outlineLevel="7">
      <c r="A2473" s="52">
        <v>1945</v>
      </c>
      <c r="B2473" s="26" t="s">
        <v>8201</v>
      </c>
      <c r="C2473" s="66" t="s">
        <v>8202</v>
      </c>
      <c r="D2473" s="66"/>
      <c r="E2473" s="66"/>
      <c r="F2473" s="66"/>
      <c r="G2473" s="27" t="s">
        <v>8203</v>
      </c>
      <c r="H2473" s="28" t="s">
        <v>44</v>
      </c>
      <c r="I2473" s="29"/>
      <c r="J2473" s="25">
        <v>12</v>
      </c>
      <c r="K2473" s="30">
        <v>77.900000000000006</v>
      </c>
      <c r="L2473" s="17"/>
      <c r="M2473" s="29">
        <f t="shared" si="117"/>
        <v>0</v>
      </c>
      <c r="N2473" s="31">
        <f>0.097*L2473</f>
        <v>0</v>
      </c>
      <c r="O2473" s="32">
        <f>0.00037*L2473</f>
        <v>0</v>
      </c>
      <c r="P2473" s="36"/>
      <c r="Q2473" s="29" t="s">
        <v>8204</v>
      </c>
      <c r="R2473" s="29" t="s">
        <v>611</v>
      </c>
      <c r="S2473" s="26" t="str">
        <f>HYPERLINK("https://miland.ru/api/getInfo/image/5f83c939-a346-11ef-a267-00155d82e908")</f>
        <v>https://miland.ru/api/getInfo/image/5f83c939-a346-11ef-a267-00155d82e908</v>
      </c>
    </row>
    <row r="2474" spans="1:19" s="2" customFormat="1" ht="96.2" customHeight="1" outlineLevel="7">
      <c r="A2474" s="52">
        <v>1946</v>
      </c>
      <c r="B2474" s="26" t="s">
        <v>8205</v>
      </c>
      <c r="C2474" s="66" t="s">
        <v>8206</v>
      </c>
      <c r="D2474" s="66"/>
      <c r="E2474" s="66"/>
      <c r="F2474" s="66"/>
      <c r="G2474" s="27" t="s">
        <v>8207</v>
      </c>
      <c r="H2474" s="28" t="s">
        <v>44</v>
      </c>
      <c r="I2474" s="29"/>
      <c r="J2474" s="25">
        <v>12</v>
      </c>
      <c r="K2474" s="30">
        <v>77.900000000000006</v>
      </c>
      <c r="L2474" s="17"/>
      <c r="M2474" s="29">
        <f t="shared" si="117"/>
        <v>0</v>
      </c>
      <c r="N2474" s="31">
        <f>0.088*L2474</f>
        <v>0</v>
      </c>
      <c r="O2474" s="32">
        <f>0.00036*L2474</f>
        <v>0</v>
      </c>
      <c r="P2474" s="36"/>
      <c r="Q2474" s="29" t="s">
        <v>8208</v>
      </c>
      <c r="R2474" s="29" t="s">
        <v>611</v>
      </c>
      <c r="S2474" s="26" t="str">
        <f>HYPERLINK("https://miland.ru/api/getInfo/image/403cd668-a346-11ef-a267-00155d82e908")</f>
        <v>https://miland.ru/api/getInfo/image/403cd668-a346-11ef-a267-00155d82e908</v>
      </c>
    </row>
    <row r="2475" spans="1:19" s="2" customFormat="1" ht="96.2" customHeight="1" outlineLevel="7">
      <c r="A2475" s="52">
        <v>1947</v>
      </c>
      <c r="B2475" s="26" t="s">
        <v>8209</v>
      </c>
      <c r="C2475" s="66" t="s">
        <v>8210</v>
      </c>
      <c r="D2475" s="66"/>
      <c r="E2475" s="66"/>
      <c r="F2475" s="66"/>
      <c r="G2475" s="27" t="s">
        <v>8211</v>
      </c>
      <c r="H2475" s="33">
        <v>480</v>
      </c>
      <c r="I2475" s="29"/>
      <c r="J2475" s="25">
        <v>12</v>
      </c>
      <c r="K2475" s="30">
        <v>77.900000000000006</v>
      </c>
      <c r="L2475" s="17"/>
      <c r="M2475" s="29">
        <f t="shared" si="117"/>
        <v>0</v>
      </c>
      <c r="N2475" s="31">
        <f>0.095*L2475</f>
        <v>0</v>
      </c>
      <c r="O2475" s="32">
        <f>0.00036*L2475</f>
        <v>0</v>
      </c>
      <c r="P2475" s="36"/>
      <c r="Q2475" s="29" t="s">
        <v>8212</v>
      </c>
      <c r="R2475" s="29" t="s">
        <v>611</v>
      </c>
      <c r="S2475" s="26" t="str">
        <f>HYPERLINK("https://miland.ru/api/getInfo/image/174f5293-a346-11ef-a267-00155d82e908")</f>
        <v>https://miland.ru/api/getInfo/image/174f5293-a346-11ef-a267-00155d82e908</v>
      </c>
    </row>
    <row r="2476" spans="1:19" s="1" customFormat="1" ht="12" customHeight="1" outlineLevel="7">
      <c r="A2476" s="64" t="s">
        <v>8213</v>
      </c>
      <c r="B2476" s="64"/>
      <c r="C2476" s="64"/>
      <c r="D2476" s="64"/>
      <c r="E2476" s="64"/>
      <c r="F2476" s="64"/>
      <c r="G2476" s="8"/>
      <c r="H2476" s="12"/>
      <c r="I2476" s="2"/>
      <c r="J2476" s="2"/>
      <c r="K2476" s="13"/>
      <c r="L2476" s="2"/>
      <c r="M2476" s="2"/>
      <c r="N2476" s="2"/>
      <c r="O2476" s="2"/>
      <c r="P2476" s="2"/>
      <c r="Q2476" s="2"/>
      <c r="R2476" s="2"/>
      <c r="S2476" s="2"/>
    </row>
    <row r="2477" spans="1:19" s="2" customFormat="1" ht="96.2" customHeight="1" outlineLevel="7">
      <c r="A2477" s="52">
        <v>1948</v>
      </c>
      <c r="B2477" s="26" t="s">
        <v>8214</v>
      </c>
      <c r="C2477" s="66" t="s">
        <v>8215</v>
      </c>
      <c r="D2477" s="66"/>
      <c r="E2477" s="66"/>
      <c r="F2477" s="66"/>
      <c r="G2477" s="27" t="s">
        <v>8216</v>
      </c>
      <c r="H2477" s="33">
        <v>24</v>
      </c>
      <c r="I2477" s="29"/>
      <c r="J2477" s="25">
        <v>12</v>
      </c>
      <c r="K2477" s="30">
        <v>102.42</v>
      </c>
      <c r="L2477" s="17"/>
      <c r="M2477" s="29">
        <f>K2477*L2477</f>
        <v>0</v>
      </c>
      <c r="N2477" s="31">
        <f>0.073*L2477</f>
        <v>0</v>
      </c>
      <c r="O2477" s="32">
        <f>0.00051*L2477</f>
        <v>0</v>
      </c>
      <c r="P2477" s="36"/>
      <c r="Q2477" s="29" t="s">
        <v>8217</v>
      </c>
      <c r="R2477" s="29" t="s">
        <v>611</v>
      </c>
      <c r="S2477" s="26" t="str">
        <f>HYPERLINK("https://miland.ru/api/getInfo/image/12006d59-9dce-11eb-a201-ac1f6b442185")</f>
        <v>https://miland.ru/api/getInfo/image/12006d59-9dce-11eb-a201-ac1f6b442185</v>
      </c>
    </row>
    <row r="2478" spans="1:19" s="1" customFormat="1" ht="12" customHeight="1" outlineLevel="7">
      <c r="A2478" s="64" t="s">
        <v>8218</v>
      </c>
      <c r="B2478" s="64"/>
      <c r="C2478" s="64"/>
      <c r="D2478" s="64"/>
      <c r="E2478" s="64"/>
      <c r="F2478" s="64"/>
      <c r="G2478" s="8"/>
      <c r="H2478" s="12"/>
      <c r="I2478" s="2"/>
      <c r="J2478" s="2"/>
      <c r="K2478" s="13"/>
      <c r="L2478" s="2"/>
      <c r="M2478" s="2"/>
      <c r="N2478" s="2"/>
      <c r="O2478" s="2"/>
      <c r="P2478" s="2"/>
      <c r="Q2478" s="2"/>
      <c r="R2478" s="2"/>
      <c r="S2478" s="2"/>
    </row>
    <row r="2479" spans="1:19" s="2" customFormat="1" ht="96.2" customHeight="1" outlineLevel="7">
      <c r="A2479" s="53">
        <v>1949</v>
      </c>
      <c r="B2479" s="10" t="s">
        <v>8219</v>
      </c>
      <c r="C2479" s="65" t="s">
        <v>8220</v>
      </c>
      <c r="D2479" s="65"/>
      <c r="E2479" s="65"/>
      <c r="F2479" s="65"/>
      <c r="G2479" s="11" t="s">
        <v>8221</v>
      </c>
      <c r="H2479" s="14">
        <v>276</v>
      </c>
      <c r="I2479" s="15"/>
      <c r="J2479" s="9">
        <v>12</v>
      </c>
      <c r="K2479" s="16">
        <v>73.8</v>
      </c>
      <c r="L2479" s="17"/>
      <c r="M2479" s="15">
        <f>K2479*L2479</f>
        <v>0</v>
      </c>
      <c r="N2479" s="18">
        <f>0.098*L2479</f>
        <v>0</v>
      </c>
      <c r="O2479" s="19">
        <f>0.00037*L2479</f>
        <v>0</v>
      </c>
      <c r="P2479" s="24" t="s">
        <v>26</v>
      </c>
      <c r="Q2479" s="15" t="s">
        <v>8222</v>
      </c>
      <c r="R2479" s="15"/>
      <c r="S2479" s="10" t="str">
        <f>HYPERLINK("https://miland.ru/api/getInfo/image/3df03120-fb7d-11f0-a28e-00155d82e908")</f>
        <v>https://miland.ru/api/getInfo/image/3df03120-fb7d-11f0-a28e-00155d82e908</v>
      </c>
    </row>
    <row r="2480" spans="1:19" s="1" customFormat="1" ht="12" customHeight="1" outlineLevel="7">
      <c r="A2480" s="64" t="s">
        <v>8223</v>
      </c>
      <c r="B2480" s="64"/>
      <c r="C2480" s="64"/>
      <c r="D2480" s="64"/>
      <c r="E2480" s="64"/>
      <c r="F2480" s="64"/>
      <c r="G2480" s="8"/>
      <c r="H2480" s="12"/>
      <c r="I2480" s="2"/>
      <c r="J2480" s="2"/>
      <c r="K2480" s="13"/>
      <c r="L2480" s="2"/>
      <c r="M2480" s="2"/>
      <c r="N2480" s="2"/>
      <c r="O2480" s="2"/>
      <c r="P2480" s="2"/>
      <c r="Q2480" s="2"/>
      <c r="R2480" s="2"/>
      <c r="S2480" s="2"/>
    </row>
    <row r="2481" spans="1:19" s="2" customFormat="1" ht="96.2" customHeight="1" outlineLevel="7">
      <c r="A2481" s="53">
        <v>1950</v>
      </c>
      <c r="B2481" s="10" t="s">
        <v>8224</v>
      </c>
      <c r="C2481" s="65" t="s">
        <v>8225</v>
      </c>
      <c r="D2481" s="65"/>
      <c r="E2481" s="65"/>
      <c r="F2481" s="65"/>
      <c r="G2481" s="11" t="s">
        <v>8226</v>
      </c>
      <c r="H2481" s="21" t="s">
        <v>44</v>
      </c>
      <c r="I2481" s="15"/>
      <c r="J2481" s="9">
        <v>12</v>
      </c>
      <c r="K2481" s="16">
        <v>86.31</v>
      </c>
      <c r="L2481" s="17"/>
      <c r="M2481" s="15">
        <f t="shared" ref="M2481:M2496" si="118">K2481*L2481</f>
        <v>0</v>
      </c>
      <c r="N2481" s="55">
        <f>0.1*L2481</f>
        <v>0</v>
      </c>
      <c r="O2481" s="19">
        <f>0.00037*L2481</f>
        <v>0</v>
      </c>
      <c r="P2481" s="24" t="s">
        <v>26</v>
      </c>
      <c r="Q2481" s="15" t="s">
        <v>8227</v>
      </c>
      <c r="R2481" s="15"/>
      <c r="S2481" s="10" t="str">
        <f>HYPERLINK("https://miland.ru/api/getInfo/image/a0a0272b-fb7e-11f0-a28e-00155d82e908")</f>
        <v>https://miland.ru/api/getInfo/image/a0a0272b-fb7e-11f0-a28e-00155d82e908</v>
      </c>
    </row>
    <row r="2482" spans="1:19" s="2" customFormat="1" ht="96.2" customHeight="1" outlineLevel="7">
      <c r="A2482" s="53">
        <v>1951</v>
      </c>
      <c r="B2482" s="10" t="s">
        <v>8228</v>
      </c>
      <c r="C2482" s="65" t="s">
        <v>8229</v>
      </c>
      <c r="D2482" s="65"/>
      <c r="E2482" s="65"/>
      <c r="F2482" s="65"/>
      <c r="G2482" s="11" t="s">
        <v>8230</v>
      </c>
      <c r="H2482" s="21" t="s">
        <v>44</v>
      </c>
      <c r="I2482" s="15"/>
      <c r="J2482" s="9">
        <v>12</v>
      </c>
      <c r="K2482" s="16">
        <v>86.31</v>
      </c>
      <c r="L2482" s="17"/>
      <c r="M2482" s="15">
        <f t="shared" si="118"/>
        <v>0</v>
      </c>
      <c r="N2482" s="55">
        <f>0.1*L2482</f>
        <v>0</v>
      </c>
      <c r="O2482" s="19">
        <f>0.00027*L2482</f>
        <v>0</v>
      </c>
      <c r="P2482" s="24" t="s">
        <v>26</v>
      </c>
      <c r="Q2482" s="15" t="s">
        <v>8231</v>
      </c>
      <c r="R2482" s="15"/>
      <c r="S2482" s="10" t="str">
        <f>HYPERLINK("https://miland.ru/api/getInfo/image/64dce23d-fb7e-11f0-a28e-00155d82e908")</f>
        <v>https://miland.ru/api/getInfo/image/64dce23d-fb7e-11f0-a28e-00155d82e908</v>
      </c>
    </row>
    <row r="2483" spans="1:19" s="2" customFormat="1" ht="96.2" customHeight="1" outlineLevel="7">
      <c r="A2483" s="53">
        <v>1952</v>
      </c>
      <c r="B2483" s="10" t="s">
        <v>8232</v>
      </c>
      <c r="C2483" s="65" t="s">
        <v>8233</v>
      </c>
      <c r="D2483" s="65"/>
      <c r="E2483" s="65"/>
      <c r="F2483" s="65"/>
      <c r="G2483" s="11" t="s">
        <v>8234</v>
      </c>
      <c r="H2483" s="14">
        <v>40</v>
      </c>
      <c r="I2483" s="15"/>
      <c r="J2483" s="9">
        <v>20</v>
      </c>
      <c r="K2483" s="16">
        <v>86.31</v>
      </c>
      <c r="L2483" s="17"/>
      <c r="M2483" s="15">
        <f t="shared" si="118"/>
        <v>0</v>
      </c>
      <c r="N2483" s="23">
        <f>0.09*L2483</f>
        <v>0</v>
      </c>
      <c r="O2483" s="19">
        <f>0.00043*L2483</f>
        <v>0</v>
      </c>
      <c r="P2483" s="24" t="s">
        <v>26</v>
      </c>
      <c r="Q2483" s="15"/>
      <c r="R2483" s="15" t="s">
        <v>611</v>
      </c>
      <c r="S2483" s="10" t="str">
        <f>HYPERLINK("https://miland.ru/api/getInfo/image/da11b5c4-da57-11f0-a28c-00155d82e908")</f>
        <v>https://miland.ru/api/getInfo/image/da11b5c4-da57-11f0-a28c-00155d82e908</v>
      </c>
    </row>
    <row r="2484" spans="1:19" s="2" customFormat="1" ht="96.2" customHeight="1" outlineLevel="7">
      <c r="A2484" s="52">
        <v>1953</v>
      </c>
      <c r="B2484" s="26" t="s">
        <v>8235</v>
      </c>
      <c r="C2484" s="66" t="s">
        <v>8236</v>
      </c>
      <c r="D2484" s="66"/>
      <c r="E2484" s="66"/>
      <c r="F2484" s="66"/>
      <c r="G2484" s="27" t="s">
        <v>8237</v>
      </c>
      <c r="H2484" s="28" t="s">
        <v>44</v>
      </c>
      <c r="I2484" s="29"/>
      <c r="J2484" s="25">
        <v>12</v>
      </c>
      <c r="K2484" s="30">
        <v>86.31</v>
      </c>
      <c r="L2484" s="17"/>
      <c r="M2484" s="29">
        <f t="shared" si="118"/>
        <v>0</v>
      </c>
      <c r="N2484" s="31">
        <f>0.084*L2484</f>
        <v>0</v>
      </c>
      <c r="O2484" s="32">
        <f>0.00064*L2484</f>
        <v>0</v>
      </c>
      <c r="P2484" s="36"/>
      <c r="Q2484" s="29" t="s">
        <v>8238</v>
      </c>
      <c r="R2484" s="29" t="s">
        <v>611</v>
      </c>
      <c r="S2484" s="26" t="str">
        <f>HYPERLINK("https://miland.ru/api/getInfo/image/17beff7d-a348-11ef-a267-00155d82e908")</f>
        <v>https://miland.ru/api/getInfo/image/17beff7d-a348-11ef-a267-00155d82e908</v>
      </c>
    </row>
    <row r="2485" spans="1:19" s="2" customFormat="1" ht="96.2" customHeight="1" outlineLevel="7">
      <c r="A2485" s="52">
        <v>1954</v>
      </c>
      <c r="B2485" s="26" t="s">
        <v>8239</v>
      </c>
      <c r="C2485" s="66" t="s">
        <v>8240</v>
      </c>
      <c r="D2485" s="66"/>
      <c r="E2485" s="66"/>
      <c r="F2485" s="66"/>
      <c r="G2485" s="27" t="s">
        <v>8241</v>
      </c>
      <c r="H2485" s="33">
        <v>72</v>
      </c>
      <c r="I2485" s="29"/>
      <c r="J2485" s="25">
        <v>12</v>
      </c>
      <c r="K2485" s="30">
        <v>86.31</v>
      </c>
      <c r="L2485" s="17"/>
      <c r="M2485" s="29">
        <f t="shared" si="118"/>
        <v>0</v>
      </c>
      <c r="N2485" s="31">
        <f>0.074*L2485</f>
        <v>0</v>
      </c>
      <c r="O2485" s="32">
        <f>0.00081*L2485</f>
        <v>0</v>
      </c>
      <c r="P2485" s="36"/>
      <c r="Q2485" s="29" t="s">
        <v>8242</v>
      </c>
      <c r="R2485" s="29" t="s">
        <v>611</v>
      </c>
      <c r="S2485" s="26" t="str">
        <f>HYPERLINK("https://miland.ru/api/getInfo/image/005471f9-e523-11ee-a25a-00155d82e908")</f>
        <v>https://miland.ru/api/getInfo/image/005471f9-e523-11ee-a25a-00155d82e908</v>
      </c>
    </row>
    <row r="2486" spans="1:19" s="2" customFormat="1" ht="96.2" customHeight="1" outlineLevel="7">
      <c r="A2486" s="53">
        <v>1955</v>
      </c>
      <c r="B2486" s="10" t="s">
        <v>8243</v>
      </c>
      <c r="C2486" s="65" t="s">
        <v>8244</v>
      </c>
      <c r="D2486" s="65"/>
      <c r="E2486" s="65"/>
      <c r="F2486" s="65"/>
      <c r="G2486" s="11" t="s">
        <v>8245</v>
      </c>
      <c r="H2486" s="14">
        <v>20</v>
      </c>
      <c r="I2486" s="15"/>
      <c r="J2486" s="9">
        <v>20</v>
      </c>
      <c r="K2486" s="16">
        <v>86.31</v>
      </c>
      <c r="L2486" s="17"/>
      <c r="M2486" s="15">
        <f t="shared" si="118"/>
        <v>0</v>
      </c>
      <c r="N2486" s="55">
        <f>0.9*L2486</f>
        <v>0</v>
      </c>
      <c r="O2486" s="19">
        <f>0.00017*L2486</f>
        <v>0</v>
      </c>
      <c r="P2486" s="24" t="s">
        <v>26</v>
      </c>
      <c r="Q2486" s="15"/>
      <c r="R2486" s="15" t="s">
        <v>611</v>
      </c>
      <c r="S2486" s="10" t="str">
        <f>HYPERLINK("https://miland.ru/api/getInfo/image/2033542f-da59-11f0-a28c-00155d82e908")</f>
        <v>https://miland.ru/api/getInfo/image/2033542f-da59-11f0-a28c-00155d82e908</v>
      </c>
    </row>
    <row r="2487" spans="1:19" s="2" customFormat="1" ht="96.2" customHeight="1" outlineLevel="7">
      <c r="A2487" s="52">
        <v>1956</v>
      </c>
      <c r="B2487" s="26" t="s">
        <v>8246</v>
      </c>
      <c r="C2487" s="66" t="s">
        <v>8247</v>
      </c>
      <c r="D2487" s="66"/>
      <c r="E2487" s="66"/>
      <c r="F2487" s="66"/>
      <c r="G2487" s="27" t="s">
        <v>8248</v>
      </c>
      <c r="H2487" s="28" t="s">
        <v>44</v>
      </c>
      <c r="I2487" s="29"/>
      <c r="J2487" s="25">
        <v>12</v>
      </c>
      <c r="K2487" s="30">
        <v>86.31</v>
      </c>
      <c r="L2487" s="17"/>
      <c r="M2487" s="29">
        <f t="shared" si="118"/>
        <v>0</v>
      </c>
      <c r="N2487" s="31">
        <f>0.091*L2487</f>
        <v>0</v>
      </c>
      <c r="O2487" s="32">
        <f>0.00045*L2487</f>
        <v>0</v>
      </c>
      <c r="P2487" s="36"/>
      <c r="Q2487" s="29" t="s">
        <v>8249</v>
      </c>
      <c r="R2487" s="29" t="s">
        <v>611</v>
      </c>
      <c r="S2487" s="26" t="str">
        <f>HYPERLINK("https://miland.ru/api/getInfo/image/08e4c7af-a349-11ef-a267-00155d82e908")</f>
        <v>https://miland.ru/api/getInfo/image/08e4c7af-a349-11ef-a267-00155d82e908</v>
      </c>
    </row>
    <row r="2488" spans="1:19" s="2" customFormat="1" ht="96.2" customHeight="1" outlineLevel="7">
      <c r="A2488" s="52">
        <v>1957</v>
      </c>
      <c r="B2488" s="26" t="s">
        <v>8250</v>
      </c>
      <c r="C2488" s="66" t="s">
        <v>8251</v>
      </c>
      <c r="D2488" s="66"/>
      <c r="E2488" s="66"/>
      <c r="F2488" s="66"/>
      <c r="G2488" s="27" t="s">
        <v>8252</v>
      </c>
      <c r="H2488" s="28" t="s">
        <v>44</v>
      </c>
      <c r="I2488" s="29"/>
      <c r="J2488" s="25">
        <v>12</v>
      </c>
      <c r="K2488" s="30">
        <v>86.31</v>
      </c>
      <c r="L2488" s="17"/>
      <c r="M2488" s="29">
        <f t="shared" si="118"/>
        <v>0</v>
      </c>
      <c r="N2488" s="31">
        <f>0.088*L2488</f>
        <v>0</v>
      </c>
      <c r="O2488" s="32">
        <f>0.00055*L2488</f>
        <v>0</v>
      </c>
      <c r="P2488" s="36"/>
      <c r="Q2488" s="29" t="s">
        <v>8253</v>
      </c>
      <c r="R2488" s="29" t="s">
        <v>611</v>
      </c>
      <c r="S2488" s="26" t="str">
        <f>HYPERLINK("https://miland.ru/api/getInfo/image/801ccd60-a347-11ef-a267-00155d82e908")</f>
        <v>https://miland.ru/api/getInfo/image/801ccd60-a347-11ef-a267-00155d82e908</v>
      </c>
    </row>
    <row r="2489" spans="1:19" s="2" customFormat="1" ht="96.2" customHeight="1" outlineLevel="7">
      <c r="A2489" s="52">
        <v>1958</v>
      </c>
      <c r="B2489" s="26" t="s">
        <v>8254</v>
      </c>
      <c r="C2489" s="66" t="s">
        <v>8255</v>
      </c>
      <c r="D2489" s="66"/>
      <c r="E2489" s="66"/>
      <c r="F2489" s="66"/>
      <c r="G2489" s="27" t="s">
        <v>8256</v>
      </c>
      <c r="H2489" s="28" t="s">
        <v>44</v>
      </c>
      <c r="I2489" s="29"/>
      <c r="J2489" s="25">
        <v>12</v>
      </c>
      <c r="K2489" s="30">
        <v>86.31</v>
      </c>
      <c r="L2489" s="17"/>
      <c r="M2489" s="29">
        <f t="shared" si="118"/>
        <v>0</v>
      </c>
      <c r="N2489" s="31">
        <f>0.095*L2489</f>
        <v>0</v>
      </c>
      <c r="O2489" s="32">
        <f>0.00046*L2489</f>
        <v>0</v>
      </c>
      <c r="P2489" s="36"/>
      <c r="Q2489" s="29" t="s">
        <v>8257</v>
      </c>
      <c r="R2489" s="29" t="s">
        <v>611</v>
      </c>
      <c r="S2489" s="26" t="str">
        <f>HYPERLINK("https://miland.ru/api/getInfo/image/4c5aa13d-a347-11ef-a267-00155d82e908")</f>
        <v>https://miland.ru/api/getInfo/image/4c5aa13d-a347-11ef-a267-00155d82e908</v>
      </c>
    </row>
    <row r="2490" spans="1:19" s="2" customFormat="1" ht="96.2" customHeight="1" outlineLevel="7">
      <c r="A2490" s="52">
        <v>1959</v>
      </c>
      <c r="B2490" s="26" t="s">
        <v>8258</v>
      </c>
      <c r="C2490" s="66" t="s">
        <v>8259</v>
      </c>
      <c r="D2490" s="66"/>
      <c r="E2490" s="66"/>
      <c r="F2490" s="66"/>
      <c r="G2490" s="27" t="s">
        <v>8260</v>
      </c>
      <c r="H2490" s="33">
        <v>12</v>
      </c>
      <c r="I2490" s="29"/>
      <c r="J2490" s="25">
        <v>12</v>
      </c>
      <c r="K2490" s="30">
        <v>86.31</v>
      </c>
      <c r="L2490" s="17"/>
      <c r="M2490" s="29">
        <f t="shared" si="118"/>
        <v>0</v>
      </c>
      <c r="N2490" s="31">
        <f>0.073*L2490</f>
        <v>0</v>
      </c>
      <c r="O2490" s="35">
        <f>0.0006*L2490</f>
        <v>0</v>
      </c>
      <c r="P2490" s="36"/>
      <c r="Q2490" s="29" t="s">
        <v>8261</v>
      </c>
      <c r="R2490" s="29" t="s">
        <v>611</v>
      </c>
      <c r="S2490" s="26" t="str">
        <f>HYPERLINK("https://miland.ru/api/getInfo/image/8312a6e2-f591-11ee-a25b-00155d82e908")</f>
        <v>https://miland.ru/api/getInfo/image/8312a6e2-f591-11ee-a25b-00155d82e908</v>
      </c>
    </row>
    <row r="2491" spans="1:19" s="2" customFormat="1" ht="96.2" customHeight="1" outlineLevel="7">
      <c r="A2491" s="52">
        <v>1960</v>
      </c>
      <c r="B2491" s="26" t="s">
        <v>8262</v>
      </c>
      <c r="C2491" s="66" t="s">
        <v>8263</v>
      </c>
      <c r="D2491" s="66"/>
      <c r="E2491" s="66"/>
      <c r="F2491" s="66"/>
      <c r="G2491" s="27" t="s">
        <v>8245</v>
      </c>
      <c r="H2491" s="28" t="s">
        <v>44</v>
      </c>
      <c r="I2491" s="29"/>
      <c r="J2491" s="25">
        <v>12</v>
      </c>
      <c r="K2491" s="30">
        <v>86.31</v>
      </c>
      <c r="L2491" s="17"/>
      <c r="M2491" s="29">
        <f t="shared" si="118"/>
        <v>0</v>
      </c>
      <c r="N2491" s="31">
        <f>0.108*L2491</f>
        <v>0</v>
      </c>
      <c r="O2491" s="32">
        <f>0.00082*L2491</f>
        <v>0</v>
      </c>
      <c r="P2491" s="36"/>
      <c r="Q2491" s="29" t="s">
        <v>8264</v>
      </c>
      <c r="R2491" s="29" t="s">
        <v>611</v>
      </c>
      <c r="S2491" s="26" t="str">
        <f>HYPERLINK("https://miland.ru/api/getInfo/image/a89299e5-a347-11ef-a267-00155d82e908")</f>
        <v>https://miland.ru/api/getInfo/image/a89299e5-a347-11ef-a267-00155d82e908</v>
      </c>
    </row>
    <row r="2492" spans="1:19" s="2" customFormat="1" ht="96.2" customHeight="1" outlineLevel="7">
      <c r="A2492" s="52">
        <v>1961</v>
      </c>
      <c r="B2492" s="26" t="s">
        <v>8265</v>
      </c>
      <c r="C2492" s="66" t="s">
        <v>8266</v>
      </c>
      <c r="D2492" s="66"/>
      <c r="E2492" s="66"/>
      <c r="F2492" s="66"/>
      <c r="G2492" s="27" t="s">
        <v>8267</v>
      </c>
      <c r="H2492" s="33">
        <v>48</v>
      </c>
      <c r="I2492" s="29"/>
      <c r="J2492" s="25">
        <v>24</v>
      </c>
      <c r="K2492" s="30">
        <v>65.680000000000007</v>
      </c>
      <c r="L2492" s="17"/>
      <c r="M2492" s="29">
        <f t="shared" si="118"/>
        <v>0</v>
      </c>
      <c r="N2492" s="31">
        <f>0.004*L2492</f>
        <v>0</v>
      </c>
      <c r="O2492" s="32">
        <f>0.00112*L2492</f>
        <v>0</v>
      </c>
      <c r="P2492" s="36"/>
      <c r="Q2492" s="29" t="s">
        <v>8268</v>
      </c>
      <c r="R2492" s="29"/>
      <c r="S2492" s="26" t="str">
        <f>HYPERLINK("https://miland.ru/api/getInfo/image/39eec22a-2f08-11f0-a27c-00155d82e908")</f>
        <v>https://miland.ru/api/getInfo/image/39eec22a-2f08-11f0-a27c-00155d82e908</v>
      </c>
    </row>
    <row r="2493" spans="1:19" s="2" customFormat="1" ht="96.2" customHeight="1" outlineLevel="7">
      <c r="A2493" s="52">
        <v>1962</v>
      </c>
      <c r="B2493" s="26" t="s">
        <v>8269</v>
      </c>
      <c r="C2493" s="66" t="s">
        <v>8270</v>
      </c>
      <c r="D2493" s="66"/>
      <c r="E2493" s="66"/>
      <c r="F2493" s="66"/>
      <c r="G2493" s="27" t="s">
        <v>8271</v>
      </c>
      <c r="H2493" s="28" t="s">
        <v>44</v>
      </c>
      <c r="I2493" s="29"/>
      <c r="J2493" s="25">
        <v>12</v>
      </c>
      <c r="K2493" s="30">
        <v>86.31</v>
      </c>
      <c r="L2493" s="17"/>
      <c r="M2493" s="29">
        <f t="shared" si="118"/>
        <v>0</v>
      </c>
      <c r="N2493" s="31">
        <f>0.083*L2493</f>
        <v>0</v>
      </c>
      <c r="O2493" s="32">
        <f>0.00037*L2493</f>
        <v>0</v>
      </c>
      <c r="P2493" s="36"/>
      <c r="Q2493" s="29" t="s">
        <v>8272</v>
      </c>
      <c r="R2493" s="29" t="s">
        <v>611</v>
      </c>
      <c r="S2493" s="26" t="str">
        <f>HYPERLINK("https://miland.ru/api/getInfo/image/44e6f8f9-a348-11ef-a267-00155d82e908")</f>
        <v>https://miland.ru/api/getInfo/image/44e6f8f9-a348-11ef-a267-00155d82e908</v>
      </c>
    </row>
    <row r="2494" spans="1:19" s="2" customFormat="1" ht="96.2" customHeight="1" outlineLevel="7">
      <c r="A2494" s="53">
        <v>1963</v>
      </c>
      <c r="B2494" s="10" t="s">
        <v>8273</v>
      </c>
      <c r="C2494" s="65" t="s">
        <v>8274</v>
      </c>
      <c r="D2494" s="65"/>
      <c r="E2494" s="65"/>
      <c r="F2494" s="65"/>
      <c r="G2494" s="11" t="s">
        <v>8234</v>
      </c>
      <c r="H2494" s="14">
        <v>156</v>
      </c>
      <c r="I2494" s="15"/>
      <c r="J2494" s="9">
        <v>24</v>
      </c>
      <c r="K2494" s="16">
        <v>65.680000000000007</v>
      </c>
      <c r="L2494" s="17"/>
      <c r="M2494" s="15">
        <f t="shared" si="118"/>
        <v>0</v>
      </c>
      <c r="N2494" s="18">
        <f>0.004*L2494</f>
        <v>0</v>
      </c>
      <c r="O2494" s="19">
        <f>0.00112*L2494</f>
        <v>0</v>
      </c>
      <c r="P2494" s="24" t="s">
        <v>26</v>
      </c>
      <c r="Q2494" s="15" t="s">
        <v>8275</v>
      </c>
      <c r="R2494" s="15"/>
      <c r="S2494" s="10" t="str">
        <f>HYPERLINK("https://miland.ru/api/getInfo/image/180501b6-2f08-11f0-a27c-00155d82e908")</f>
        <v>https://miland.ru/api/getInfo/image/180501b6-2f08-11f0-a27c-00155d82e908</v>
      </c>
    </row>
    <row r="2495" spans="1:19" s="2" customFormat="1" ht="96.2" customHeight="1" outlineLevel="7">
      <c r="A2495" s="53">
        <v>1964</v>
      </c>
      <c r="B2495" s="10" t="s">
        <v>8276</v>
      </c>
      <c r="C2495" s="65" t="s">
        <v>8277</v>
      </c>
      <c r="D2495" s="65"/>
      <c r="E2495" s="65"/>
      <c r="F2495" s="65"/>
      <c r="G2495" s="11" t="s">
        <v>8278</v>
      </c>
      <c r="H2495" s="21" t="s">
        <v>44</v>
      </c>
      <c r="I2495" s="15"/>
      <c r="J2495" s="9">
        <v>12</v>
      </c>
      <c r="K2495" s="16">
        <v>86.31</v>
      </c>
      <c r="L2495" s="17"/>
      <c r="M2495" s="15">
        <f t="shared" si="118"/>
        <v>0</v>
      </c>
      <c r="N2495" s="55">
        <f>0.1*L2495</f>
        <v>0</v>
      </c>
      <c r="O2495" s="19">
        <f>0.00045*L2495</f>
        <v>0</v>
      </c>
      <c r="P2495" s="24" t="s">
        <v>26</v>
      </c>
      <c r="Q2495" s="15" t="s">
        <v>8279</v>
      </c>
      <c r="R2495" s="15"/>
      <c r="S2495" s="10" t="str">
        <f>HYPERLINK("https://miland.ru/api/getInfo/image/4c91524b-fb7e-11f0-a28e-00155d82e908")</f>
        <v>https://miland.ru/api/getInfo/image/4c91524b-fb7e-11f0-a28e-00155d82e908</v>
      </c>
    </row>
    <row r="2496" spans="1:19" s="2" customFormat="1" ht="96.2" customHeight="1" outlineLevel="7">
      <c r="A2496" s="53">
        <v>1965</v>
      </c>
      <c r="B2496" s="10" t="s">
        <v>8280</v>
      </c>
      <c r="C2496" s="65" t="s">
        <v>8281</v>
      </c>
      <c r="D2496" s="65"/>
      <c r="E2496" s="65"/>
      <c r="F2496" s="65"/>
      <c r="G2496" s="11" t="s">
        <v>8282</v>
      </c>
      <c r="H2496" s="21" t="s">
        <v>44</v>
      </c>
      <c r="I2496" s="15"/>
      <c r="J2496" s="9">
        <v>12</v>
      </c>
      <c r="K2496" s="16">
        <v>86.31</v>
      </c>
      <c r="L2496" s="17"/>
      <c r="M2496" s="15">
        <f t="shared" si="118"/>
        <v>0</v>
      </c>
      <c r="N2496" s="55">
        <f>0.1*L2496</f>
        <v>0</v>
      </c>
      <c r="O2496" s="19">
        <f>0.00037*L2496</f>
        <v>0</v>
      </c>
      <c r="P2496" s="24" t="s">
        <v>26</v>
      </c>
      <c r="Q2496" s="15" t="s">
        <v>8283</v>
      </c>
      <c r="R2496" s="15"/>
      <c r="S2496" s="10" t="str">
        <f>HYPERLINK("https://miland.ru/api/getInfo/image/7dcf132c-fb7e-11f0-a28e-00155d82e908")</f>
        <v>https://miland.ru/api/getInfo/image/7dcf132c-fb7e-11f0-a28e-00155d82e908</v>
      </c>
    </row>
    <row r="2497" spans="1:19" s="1" customFormat="1" ht="12" customHeight="1" outlineLevel="7">
      <c r="A2497" s="64" t="s">
        <v>8284</v>
      </c>
      <c r="B2497" s="64"/>
      <c r="C2497" s="64"/>
      <c r="D2497" s="64"/>
      <c r="E2497" s="64"/>
      <c r="F2497" s="64"/>
      <c r="G2497" s="8"/>
      <c r="H2497" s="12"/>
      <c r="I2497" s="2"/>
      <c r="J2497" s="2"/>
      <c r="K2497" s="13"/>
      <c r="L2497" s="2"/>
      <c r="M2497" s="2"/>
      <c r="N2497" s="2"/>
      <c r="O2497" s="2"/>
      <c r="P2497" s="2"/>
      <c r="Q2497" s="2"/>
      <c r="R2497" s="2"/>
      <c r="S2497" s="2"/>
    </row>
    <row r="2498" spans="1:19" s="2" customFormat="1" ht="96.2" customHeight="1" outlineLevel="7">
      <c r="A2498" s="53">
        <v>1966</v>
      </c>
      <c r="B2498" s="10" t="s">
        <v>8285</v>
      </c>
      <c r="C2498" s="65" t="s">
        <v>8286</v>
      </c>
      <c r="D2498" s="65"/>
      <c r="E2498" s="65"/>
      <c r="F2498" s="65"/>
      <c r="G2498" s="11" t="s">
        <v>8287</v>
      </c>
      <c r="H2498" s="21" t="s">
        <v>44</v>
      </c>
      <c r="I2498" s="15"/>
      <c r="J2498" s="9">
        <v>12</v>
      </c>
      <c r="K2498" s="16">
        <v>86.31</v>
      </c>
      <c r="L2498" s="17"/>
      <c r="M2498" s="15">
        <f t="shared" ref="M2498:M2518" si="119">K2498*L2498</f>
        <v>0</v>
      </c>
      <c r="N2498" s="55">
        <f>0.1*L2498</f>
        <v>0</v>
      </c>
      <c r="O2498" s="19">
        <f>0.00036*L2498</f>
        <v>0</v>
      </c>
      <c r="P2498" s="24" t="s">
        <v>26</v>
      </c>
      <c r="Q2498" s="15" t="s">
        <v>8288</v>
      </c>
      <c r="R2498" s="15"/>
      <c r="S2498" s="10" t="str">
        <f>HYPERLINK("https://miland.ru/api/getInfo/image/1e5d03c3-fb7e-11f0-a28e-00155d82e908")</f>
        <v>https://miland.ru/api/getInfo/image/1e5d03c3-fb7e-11f0-a28e-00155d82e908</v>
      </c>
    </row>
    <row r="2499" spans="1:19" s="2" customFormat="1" ht="96.2" customHeight="1" outlineLevel="7">
      <c r="A2499" s="53">
        <v>1967</v>
      </c>
      <c r="B2499" s="10" t="s">
        <v>8289</v>
      </c>
      <c r="C2499" s="65" t="s">
        <v>8290</v>
      </c>
      <c r="D2499" s="65"/>
      <c r="E2499" s="65"/>
      <c r="F2499" s="65"/>
      <c r="G2499" s="11" t="s">
        <v>8291</v>
      </c>
      <c r="H2499" s="21" t="s">
        <v>44</v>
      </c>
      <c r="I2499" s="15"/>
      <c r="J2499" s="9">
        <v>12</v>
      </c>
      <c r="K2499" s="16">
        <v>86.31</v>
      </c>
      <c r="L2499" s="17"/>
      <c r="M2499" s="15">
        <f t="shared" si="119"/>
        <v>0</v>
      </c>
      <c r="N2499" s="23">
        <f>0.09*L2499</f>
        <v>0</v>
      </c>
      <c r="O2499" s="19">
        <f>0.00039*L2499</f>
        <v>0</v>
      </c>
      <c r="P2499" s="24" t="s">
        <v>26</v>
      </c>
      <c r="Q2499" s="15" t="s">
        <v>8292</v>
      </c>
      <c r="R2499" s="15"/>
      <c r="S2499" s="10" t="str">
        <f>HYPERLINK("https://miland.ru/api/getInfo/image/e616b41c-fb7d-11f0-a28e-00155d82e908")</f>
        <v>https://miland.ru/api/getInfo/image/e616b41c-fb7d-11f0-a28e-00155d82e908</v>
      </c>
    </row>
    <row r="2500" spans="1:19" s="2" customFormat="1" ht="96.2" customHeight="1" outlineLevel="7">
      <c r="A2500" s="52">
        <v>1968</v>
      </c>
      <c r="B2500" s="26" t="s">
        <v>8293</v>
      </c>
      <c r="C2500" s="66" t="s">
        <v>8294</v>
      </c>
      <c r="D2500" s="66"/>
      <c r="E2500" s="66"/>
      <c r="F2500" s="66"/>
      <c r="G2500" s="27" t="s">
        <v>8295</v>
      </c>
      <c r="H2500" s="28" t="s">
        <v>44</v>
      </c>
      <c r="I2500" s="29"/>
      <c r="J2500" s="25">
        <v>12</v>
      </c>
      <c r="K2500" s="30">
        <v>70.010000000000005</v>
      </c>
      <c r="L2500" s="17"/>
      <c r="M2500" s="29">
        <f t="shared" si="119"/>
        <v>0</v>
      </c>
      <c r="N2500" s="31">
        <f>0.089*L2500</f>
        <v>0</v>
      </c>
      <c r="O2500" s="32">
        <f>0.00026*L2500</f>
        <v>0</v>
      </c>
      <c r="P2500" s="36"/>
      <c r="Q2500" s="29" t="s">
        <v>8296</v>
      </c>
      <c r="R2500" s="29" t="s">
        <v>611</v>
      </c>
      <c r="S2500" s="26" t="str">
        <f>HYPERLINK("https://miland.ru/api/getInfo/image/f21f3806-b6d0-11ef-a267-00155d82e908")</f>
        <v>https://miland.ru/api/getInfo/image/f21f3806-b6d0-11ef-a267-00155d82e908</v>
      </c>
    </row>
    <row r="2501" spans="1:19" s="2" customFormat="1" ht="96.2" customHeight="1" outlineLevel="7">
      <c r="A2501" s="52">
        <v>1969</v>
      </c>
      <c r="B2501" s="26" t="s">
        <v>8297</v>
      </c>
      <c r="C2501" s="66" t="s">
        <v>8298</v>
      </c>
      <c r="D2501" s="66"/>
      <c r="E2501" s="66"/>
      <c r="F2501" s="66"/>
      <c r="G2501" s="27" t="s">
        <v>8299</v>
      </c>
      <c r="H2501" s="28" t="s">
        <v>44</v>
      </c>
      <c r="I2501" s="29"/>
      <c r="J2501" s="25">
        <v>12</v>
      </c>
      <c r="K2501" s="30">
        <v>70.010000000000005</v>
      </c>
      <c r="L2501" s="17"/>
      <c r="M2501" s="29">
        <f t="shared" si="119"/>
        <v>0</v>
      </c>
      <c r="N2501" s="31">
        <f>22.646*L2501</f>
        <v>0</v>
      </c>
      <c r="O2501" s="32">
        <f>0.07087*L2501</f>
        <v>0</v>
      </c>
      <c r="P2501" s="36"/>
      <c r="Q2501" s="29" t="s">
        <v>8300</v>
      </c>
      <c r="R2501" s="29" t="s">
        <v>611</v>
      </c>
      <c r="S2501" s="26" t="str">
        <f>HYPERLINK("https://miland.ru/api/getInfo/image/37245c0a-b6d1-11ef-a267-00155d82e908")</f>
        <v>https://miland.ru/api/getInfo/image/37245c0a-b6d1-11ef-a267-00155d82e908</v>
      </c>
    </row>
    <row r="2502" spans="1:19" s="2" customFormat="1" ht="96.2" customHeight="1" outlineLevel="7">
      <c r="A2502" s="52">
        <v>1970</v>
      </c>
      <c r="B2502" s="26" t="s">
        <v>8301</v>
      </c>
      <c r="C2502" s="66" t="s">
        <v>8302</v>
      </c>
      <c r="D2502" s="66"/>
      <c r="E2502" s="66"/>
      <c r="F2502" s="66"/>
      <c r="G2502" s="27" t="s">
        <v>8303</v>
      </c>
      <c r="H2502" s="28" t="s">
        <v>44</v>
      </c>
      <c r="I2502" s="29"/>
      <c r="J2502" s="25">
        <v>12</v>
      </c>
      <c r="K2502" s="30">
        <v>70.010000000000005</v>
      </c>
      <c r="L2502" s="17"/>
      <c r="M2502" s="29">
        <f t="shared" si="119"/>
        <v>0</v>
      </c>
      <c r="N2502" s="31">
        <f>0.089*L2502</f>
        <v>0</v>
      </c>
      <c r="O2502" s="32">
        <f>0.00026*L2502</f>
        <v>0</v>
      </c>
      <c r="P2502" s="36"/>
      <c r="Q2502" s="29" t="s">
        <v>8304</v>
      </c>
      <c r="R2502" s="29" t="s">
        <v>611</v>
      </c>
      <c r="S2502" s="26" t="str">
        <f>HYPERLINK("https://miland.ru/api/getInfo/image/163a8077-b6d1-11ef-a267-00155d82e908")</f>
        <v>https://miland.ru/api/getInfo/image/163a8077-b6d1-11ef-a267-00155d82e908</v>
      </c>
    </row>
    <row r="2503" spans="1:19" s="2" customFormat="1" ht="96.2" customHeight="1" outlineLevel="7">
      <c r="A2503" s="52">
        <v>1971</v>
      </c>
      <c r="B2503" s="26" t="s">
        <v>8305</v>
      </c>
      <c r="C2503" s="66" t="s">
        <v>8306</v>
      </c>
      <c r="D2503" s="66"/>
      <c r="E2503" s="66"/>
      <c r="F2503" s="66"/>
      <c r="G2503" s="27" t="s">
        <v>8307</v>
      </c>
      <c r="H2503" s="28" t="s">
        <v>44</v>
      </c>
      <c r="I2503" s="29"/>
      <c r="J2503" s="25">
        <v>12</v>
      </c>
      <c r="K2503" s="30">
        <v>86.31</v>
      </c>
      <c r="L2503" s="17"/>
      <c r="M2503" s="29">
        <f t="shared" si="119"/>
        <v>0</v>
      </c>
      <c r="N2503" s="31">
        <f>0.088*L2503</f>
        <v>0</v>
      </c>
      <c r="O2503" s="32">
        <f>0.00028*L2503</f>
        <v>0</v>
      </c>
      <c r="P2503" s="36"/>
      <c r="Q2503" s="29" t="s">
        <v>8308</v>
      </c>
      <c r="R2503" s="29" t="s">
        <v>611</v>
      </c>
      <c r="S2503" s="26" t="str">
        <f>HYPERLINK("https://miland.ru/api/getInfo/image/0cb0c22e-a342-11ef-a267-00155d82e908")</f>
        <v>https://miland.ru/api/getInfo/image/0cb0c22e-a342-11ef-a267-00155d82e908</v>
      </c>
    </row>
    <row r="2504" spans="1:19" s="2" customFormat="1" ht="96.2" customHeight="1" outlineLevel="7">
      <c r="A2504" s="52">
        <v>1972</v>
      </c>
      <c r="B2504" s="26" t="s">
        <v>8309</v>
      </c>
      <c r="C2504" s="66" t="s">
        <v>8310</v>
      </c>
      <c r="D2504" s="66"/>
      <c r="E2504" s="66"/>
      <c r="F2504" s="66"/>
      <c r="G2504" s="27" t="s">
        <v>8311</v>
      </c>
      <c r="H2504" s="28" t="s">
        <v>44</v>
      </c>
      <c r="I2504" s="29"/>
      <c r="J2504" s="25">
        <v>12</v>
      </c>
      <c r="K2504" s="30">
        <v>86.31</v>
      </c>
      <c r="L2504" s="17"/>
      <c r="M2504" s="29">
        <f t="shared" si="119"/>
        <v>0</v>
      </c>
      <c r="N2504" s="31">
        <f>0.091*L2504</f>
        <v>0</v>
      </c>
      <c r="O2504" s="32">
        <f>0.00035*L2504</f>
        <v>0</v>
      </c>
      <c r="P2504" s="36"/>
      <c r="Q2504" s="29" t="s">
        <v>8312</v>
      </c>
      <c r="R2504" s="29" t="s">
        <v>611</v>
      </c>
      <c r="S2504" s="26" t="str">
        <f>HYPERLINK("https://miland.ru/api/getInfo/image/bab423cb-a341-11ef-a267-00155d82e908")</f>
        <v>https://miland.ru/api/getInfo/image/bab423cb-a341-11ef-a267-00155d82e908</v>
      </c>
    </row>
    <row r="2505" spans="1:19" s="2" customFormat="1" ht="96.2" customHeight="1" outlineLevel="7">
      <c r="A2505" s="52">
        <v>1973</v>
      </c>
      <c r="B2505" s="26" t="s">
        <v>8313</v>
      </c>
      <c r="C2505" s="66" t="s">
        <v>8314</v>
      </c>
      <c r="D2505" s="66"/>
      <c r="E2505" s="66"/>
      <c r="F2505" s="66"/>
      <c r="G2505" s="27" t="s">
        <v>8315</v>
      </c>
      <c r="H2505" s="28" t="s">
        <v>44</v>
      </c>
      <c r="I2505" s="29"/>
      <c r="J2505" s="25">
        <v>12</v>
      </c>
      <c r="K2505" s="30">
        <v>86.31</v>
      </c>
      <c r="L2505" s="17"/>
      <c r="M2505" s="29">
        <f t="shared" si="119"/>
        <v>0</v>
      </c>
      <c r="N2505" s="31">
        <f>0.045*L2505</f>
        <v>0</v>
      </c>
      <c r="O2505" s="32">
        <f>0.00117*L2505</f>
        <v>0</v>
      </c>
      <c r="P2505" s="36"/>
      <c r="Q2505" s="29" t="s">
        <v>8316</v>
      </c>
      <c r="R2505" s="29" t="s">
        <v>611</v>
      </c>
      <c r="S2505" s="26" t="str">
        <f>HYPERLINK("https://miland.ru/api/getInfo/image/361856d6-a342-11ef-a267-00155d82e908")</f>
        <v>https://miland.ru/api/getInfo/image/361856d6-a342-11ef-a267-00155d82e908</v>
      </c>
    </row>
    <row r="2506" spans="1:19" s="2" customFormat="1" ht="96.2" customHeight="1" outlineLevel="7">
      <c r="A2506" s="52">
        <v>1974</v>
      </c>
      <c r="B2506" s="26" t="s">
        <v>8317</v>
      </c>
      <c r="C2506" s="66" t="s">
        <v>8318</v>
      </c>
      <c r="D2506" s="66"/>
      <c r="E2506" s="66"/>
      <c r="F2506" s="66"/>
      <c r="G2506" s="27" t="s">
        <v>8319</v>
      </c>
      <c r="H2506" s="28" t="s">
        <v>44</v>
      </c>
      <c r="I2506" s="29"/>
      <c r="J2506" s="25">
        <v>12</v>
      </c>
      <c r="K2506" s="30">
        <v>86.31</v>
      </c>
      <c r="L2506" s="17"/>
      <c r="M2506" s="29">
        <f t="shared" si="119"/>
        <v>0</v>
      </c>
      <c r="N2506" s="31">
        <f>0.061*L2506</f>
        <v>0</v>
      </c>
      <c r="O2506" s="32">
        <f>0.00119*L2506</f>
        <v>0</v>
      </c>
      <c r="P2506" s="36"/>
      <c r="Q2506" s="29" t="s">
        <v>8320</v>
      </c>
      <c r="R2506" s="29" t="s">
        <v>611</v>
      </c>
      <c r="S2506" s="26" t="str">
        <f>HYPERLINK("https://miland.ru/api/getInfo/image/91dfcd2a-a341-11ef-a267-00155d82e908")</f>
        <v>https://miland.ru/api/getInfo/image/91dfcd2a-a341-11ef-a267-00155d82e908</v>
      </c>
    </row>
    <row r="2507" spans="1:19" s="2" customFormat="1" ht="96.2" customHeight="1" outlineLevel="7">
      <c r="A2507" s="53">
        <v>1975</v>
      </c>
      <c r="B2507" s="10" t="s">
        <v>8321</v>
      </c>
      <c r="C2507" s="65" t="s">
        <v>8322</v>
      </c>
      <c r="D2507" s="65"/>
      <c r="E2507" s="65"/>
      <c r="F2507" s="65"/>
      <c r="G2507" s="11" t="s">
        <v>8323</v>
      </c>
      <c r="H2507" s="14">
        <v>120</v>
      </c>
      <c r="I2507" s="15"/>
      <c r="J2507" s="9">
        <v>36</v>
      </c>
      <c r="K2507" s="16">
        <v>63.76</v>
      </c>
      <c r="L2507" s="17"/>
      <c r="M2507" s="15">
        <f t="shared" si="119"/>
        <v>0</v>
      </c>
      <c r="N2507" s="18">
        <f>0.005*L2507</f>
        <v>0</v>
      </c>
      <c r="O2507" s="19">
        <f>0.00083*L2507</f>
        <v>0</v>
      </c>
      <c r="P2507" s="24" t="s">
        <v>26</v>
      </c>
      <c r="Q2507" s="15" t="s">
        <v>8324</v>
      </c>
      <c r="R2507" s="15"/>
      <c r="S2507" s="10" t="str">
        <f>HYPERLINK("https://miland.ru/api/getInfo/image/33f960f3-2f03-11f0-a27c-00155d82e908")</f>
        <v>https://miland.ru/api/getInfo/image/33f960f3-2f03-11f0-a27c-00155d82e908</v>
      </c>
    </row>
    <row r="2508" spans="1:19" s="2" customFormat="1" ht="96.2" customHeight="1" outlineLevel="7">
      <c r="A2508" s="53">
        <v>1976</v>
      </c>
      <c r="B2508" s="10" t="s">
        <v>8325</v>
      </c>
      <c r="C2508" s="65" t="s">
        <v>8326</v>
      </c>
      <c r="D2508" s="65"/>
      <c r="E2508" s="65"/>
      <c r="F2508" s="65"/>
      <c r="G2508" s="11" t="s">
        <v>8327</v>
      </c>
      <c r="H2508" s="14">
        <v>360</v>
      </c>
      <c r="I2508" s="15"/>
      <c r="J2508" s="9">
        <v>48</v>
      </c>
      <c r="K2508" s="16">
        <v>63.76</v>
      </c>
      <c r="L2508" s="17"/>
      <c r="M2508" s="15">
        <f t="shared" si="119"/>
        <v>0</v>
      </c>
      <c r="N2508" s="18">
        <f>0.005*L2508</f>
        <v>0</v>
      </c>
      <c r="O2508" s="19">
        <f>0.00083*L2508</f>
        <v>0</v>
      </c>
      <c r="P2508" s="24" t="s">
        <v>26</v>
      </c>
      <c r="Q2508" s="15" t="s">
        <v>8328</v>
      </c>
      <c r="R2508" s="15"/>
      <c r="S2508" s="10" t="str">
        <f>HYPERLINK("https://miland.ru/api/getInfo/image/1e48463a-2f02-11f0-a27c-00155d82e908")</f>
        <v>https://miland.ru/api/getInfo/image/1e48463a-2f02-11f0-a27c-00155d82e908</v>
      </c>
    </row>
    <row r="2509" spans="1:19" s="2" customFormat="1" ht="96.2" customHeight="1" outlineLevel="7">
      <c r="A2509" s="53">
        <v>1977</v>
      </c>
      <c r="B2509" s="10" t="s">
        <v>8329</v>
      </c>
      <c r="C2509" s="65" t="s">
        <v>8330</v>
      </c>
      <c r="D2509" s="65"/>
      <c r="E2509" s="65"/>
      <c r="F2509" s="65"/>
      <c r="G2509" s="11" t="s">
        <v>8331</v>
      </c>
      <c r="H2509" s="14">
        <v>180</v>
      </c>
      <c r="I2509" s="15"/>
      <c r="J2509" s="9">
        <v>36</v>
      </c>
      <c r="K2509" s="16">
        <v>63.76</v>
      </c>
      <c r="L2509" s="17"/>
      <c r="M2509" s="15">
        <f t="shared" si="119"/>
        <v>0</v>
      </c>
      <c r="N2509" s="18">
        <f>0.086*L2509</f>
        <v>0</v>
      </c>
      <c r="O2509" s="19">
        <f>0.00033*L2509</f>
        <v>0</v>
      </c>
      <c r="P2509" s="24" t="s">
        <v>26</v>
      </c>
      <c r="Q2509" s="15" t="s">
        <v>8332</v>
      </c>
      <c r="R2509" s="15"/>
      <c r="S2509" s="10" t="str">
        <f>HYPERLINK("https://miland.ru/api/getInfo/image/a8c2c9c3-2f02-11f0-a27c-00155d82e908")</f>
        <v>https://miland.ru/api/getInfo/image/a8c2c9c3-2f02-11f0-a27c-00155d82e908</v>
      </c>
    </row>
    <row r="2510" spans="1:19" s="2" customFormat="1" ht="96.2" customHeight="1" outlineLevel="7">
      <c r="A2510" s="53">
        <v>1978</v>
      </c>
      <c r="B2510" s="10" t="s">
        <v>8333</v>
      </c>
      <c r="C2510" s="65" t="s">
        <v>8334</v>
      </c>
      <c r="D2510" s="65"/>
      <c r="E2510" s="65"/>
      <c r="F2510" s="65"/>
      <c r="G2510" s="11" t="s">
        <v>8335</v>
      </c>
      <c r="H2510" s="21" t="s">
        <v>44</v>
      </c>
      <c r="I2510" s="15"/>
      <c r="J2510" s="9">
        <v>48</v>
      </c>
      <c r="K2510" s="16">
        <v>63.76</v>
      </c>
      <c r="L2510" s="17"/>
      <c r="M2510" s="15">
        <f t="shared" si="119"/>
        <v>0</v>
      </c>
      <c r="N2510" s="18">
        <f t="shared" ref="N2510:N2518" si="120">0.005*L2510</f>
        <v>0</v>
      </c>
      <c r="O2510" s="19">
        <f>0.00074*L2510</f>
        <v>0</v>
      </c>
      <c r="P2510" s="24" t="s">
        <v>26</v>
      </c>
      <c r="Q2510" s="15" t="s">
        <v>8336</v>
      </c>
      <c r="R2510" s="15"/>
      <c r="S2510" s="10" t="str">
        <f>HYPERLINK("https://miland.ru/api/getInfo/image/ce034aac-2f03-11f0-a27c-00155d82e908")</f>
        <v>https://miland.ru/api/getInfo/image/ce034aac-2f03-11f0-a27c-00155d82e908</v>
      </c>
    </row>
    <row r="2511" spans="1:19" s="2" customFormat="1" ht="96.2" customHeight="1" outlineLevel="7">
      <c r="A2511" s="53">
        <v>1979</v>
      </c>
      <c r="B2511" s="10" t="s">
        <v>8337</v>
      </c>
      <c r="C2511" s="65" t="s">
        <v>8338</v>
      </c>
      <c r="D2511" s="65"/>
      <c r="E2511" s="65"/>
      <c r="F2511" s="65"/>
      <c r="G2511" s="11" t="s">
        <v>8339</v>
      </c>
      <c r="H2511" s="14">
        <v>300</v>
      </c>
      <c r="I2511" s="15"/>
      <c r="J2511" s="9">
        <v>36</v>
      </c>
      <c r="K2511" s="16">
        <v>63.76</v>
      </c>
      <c r="L2511" s="17"/>
      <c r="M2511" s="15">
        <f t="shared" si="119"/>
        <v>0</v>
      </c>
      <c r="N2511" s="18">
        <f t="shared" si="120"/>
        <v>0</v>
      </c>
      <c r="O2511" s="19">
        <f>0.00083*L2511</f>
        <v>0</v>
      </c>
      <c r="P2511" s="24" t="s">
        <v>26</v>
      </c>
      <c r="Q2511" s="15" t="s">
        <v>8340</v>
      </c>
      <c r="R2511" s="15"/>
      <c r="S2511" s="10" t="str">
        <f>HYPERLINK("https://miland.ru/api/getInfo/image/ced4cac1-2f02-11f0-a27c-00155d82e908")</f>
        <v>https://miland.ru/api/getInfo/image/ced4cac1-2f02-11f0-a27c-00155d82e908</v>
      </c>
    </row>
    <row r="2512" spans="1:19" s="2" customFormat="1" ht="96.2" customHeight="1" outlineLevel="7">
      <c r="A2512" s="53">
        <v>1980</v>
      </c>
      <c r="B2512" s="10" t="s">
        <v>8341</v>
      </c>
      <c r="C2512" s="65" t="s">
        <v>8342</v>
      </c>
      <c r="D2512" s="65"/>
      <c r="E2512" s="65"/>
      <c r="F2512" s="65"/>
      <c r="G2512" s="11" t="s">
        <v>8343</v>
      </c>
      <c r="H2512" s="14">
        <v>300</v>
      </c>
      <c r="I2512" s="15"/>
      <c r="J2512" s="9">
        <v>36</v>
      </c>
      <c r="K2512" s="16">
        <v>68.16</v>
      </c>
      <c r="L2512" s="17"/>
      <c r="M2512" s="15">
        <f t="shared" si="119"/>
        <v>0</v>
      </c>
      <c r="N2512" s="18">
        <f t="shared" si="120"/>
        <v>0</v>
      </c>
      <c r="O2512" s="19">
        <f>0.00083*L2512</f>
        <v>0</v>
      </c>
      <c r="P2512" s="24" t="s">
        <v>26</v>
      </c>
      <c r="Q2512" s="15" t="s">
        <v>8344</v>
      </c>
      <c r="R2512" s="15"/>
      <c r="S2512" s="10" t="str">
        <f>HYPERLINK("https://miland.ru/api/getInfo/image/67cff70b-2f03-11f0-a27c-00155d82e908")</f>
        <v>https://miland.ru/api/getInfo/image/67cff70b-2f03-11f0-a27c-00155d82e908</v>
      </c>
    </row>
    <row r="2513" spans="1:19" s="2" customFormat="1" ht="96.2" customHeight="1" outlineLevel="7">
      <c r="A2513" s="53">
        <v>1981</v>
      </c>
      <c r="B2513" s="10" t="s">
        <v>8345</v>
      </c>
      <c r="C2513" s="65" t="s">
        <v>8346</v>
      </c>
      <c r="D2513" s="65"/>
      <c r="E2513" s="65"/>
      <c r="F2513" s="65"/>
      <c r="G2513" s="11" t="s">
        <v>8347</v>
      </c>
      <c r="H2513" s="14">
        <v>336</v>
      </c>
      <c r="I2513" s="15"/>
      <c r="J2513" s="9">
        <v>48</v>
      </c>
      <c r="K2513" s="16">
        <v>63.76</v>
      </c>
      <c r="L2513" s="17"/>
      <c r="M2513" s="15">
        <f t="shared" si="119"/>
        <v>0</v>
      </c>
      <c r="N2513" s="18">
        <f t="shared" si="120"/>
        <v>0</v>
      </c>
      <c r="O2513" s="19">
        <f>0.00083*L2513</f>
        <v>0</v>
      </c>
      <c r="P2513" s="24" t="s">
        <v>26</v>
      </c>
      <c r="Q2513" s="15" t="s">
        <v>8348</v>
      </c>
      <c r="R2513" s="15"/>
      <c r="S2513" s="10" t="str">
        <f>HYPERLINK("https://miland.ru/api/getInfo/image/fd1e2842-2f03-11f0-a27c-00155d82e908")</f>
        <v>https://miland.ru/api/getInfo/image/fd1e2842-2f03-11f0-a27c-00155d82e908</v>
      </c>
    </row>
    <row r="2514" spans="1:19" s="2" customFormat="1" ht="96.2" customHeight="1" outlineLevel="7">
      <c r="A2514" s="53">
        <v>1982</v>
      </c>
      <c r="B2514" s="10" t="s">
        <v>8349</v>
      </c>
      <c r="C2514" s="65" t="s">
        <v>8350</v>
      </c>
      <c r="D2514" s="65"/>
      <c r="E2514" s="65"/>
      <c r="F2514" s="65"/>
      <c r="G2514" s="11" t="s">
        <v>8351</v>
      </c>
      <c r="H2514" s="14">
        <v>396</v>
      </c>
      <c r="I2514" s="15"/>
      <c r="J2514" s="9">
        <v>36</v>
      </c>
      <c r="K2514" s="16">
        <v>63.76</v>
      </c>
      <c r="L2514" s="17"/>
      <c r="M2514" s="15">
        <f t="shared" si="119"/>
        <v>0</v>
      </c>
      <c r="N2514" s="18">
        <f t="shared" si="120"/>
        <v>0</v>
      </c>
      <c r="O2514" s="18">
        <f>0.001*L2514</f>
        <v>0</v>
      </c>
      <c r="P2514" s="24" t="s">
        <v>26</v>
      </c>
      <c r="Q2514" s="15" t="s">
        <v>8352</v>
      </c>
      <c r="R2514" s="15"/>
      <c r="S2514" s="10" t="str">
        <f>HYPERLINK("https://miland.ru/api/getInfo/image/8c41c438-2f03-11f0-a27c-00155d82e908")</f>
        <v>https://miland.ru/api/getInfo/image/8c41c438-2f03-11f0-a27c-00155d82e908</v>
      </c>
    </row>
    <row r="2515" spans="1:19" s="2" customFormat="1" ht="96.2" customHeight="1" outlineLevel="7">
      <c r="A2515" s="53">
        <v>1983</v>
      </c>
      <c r="B2515" s="10" t="s">
        <v>8353</v>
      </c>
      <c r="C2515" s="65" t="s">
        <v>8354</v>
      </c>
      <c r="D2515" s="65"/>
      <c r="E2515" s="65"/>
      <c r="F2515" s="65"/>
      <c r="G2515" s="11" t="s">
        <v>8355</v>
      </c>
      <c r="H2515" s="14">
        <v>420</v>
      </c>
      <c r="I2515" s="15"/>
      <c r="J2515" s="9">
        <v>48</v>
      </c>
      <c r="K2515" s="16">
        <v>63.76</v>
      </c>
      <c r="L2515" s="17"/>
      <c r="M2515" s="15">
        <f t="shared" si="119"/>
        <v>0</v>
      </c>
      <c r="N2515" s="18">
        <f t="shared" si="120"/>
        <v>0</v>
      </c>
      <c r="O2515" s="19">
        <f>0.00083*L2515</f>
        <v>0</v>
      </c>
      <c r="P2515" s="24" t="s">
        <v>26</v>
      </c>
      <c r="Q2515" s="15" t="s">
        <v>8356</v>
      </c>
      <c r="R2515" s="15"/>
      <c r="S2515" s="10" t="str">
        <f>HYPERLINK("https://miland.ru/api/getInfo/image/55154b7a-2f02-11f0-a27c-00155d82e908")</f>
        <v>https://miland.ru/api/getInfo/image/55154b7a-2f02-11f0-a27c-00155d82e908</v>
      </c>
    </row>
    <row r="2516" spans="1:19" s="2" customFormat="1" ht="96.2" customHeight="1" outlineLevel="7">
      <c r="A2516" s="53">
        <v>1984</v>
      </c>
      <c r="B2516" s="10" t="s">
        <v>8357</v>
      </c>
      <c r="C2516" s="65" t="s">
        <v>8358</v>
      </c>
      <c r="D2516" s="65"/>
      <c r="E2516" s="65"/>
      <c r="F2516" s="65"/>
      <c r="G2516" s="11" t="s">
        <v>8359</v>
      </c>
      <c r="H2516" s="14">
        <v>276</v>
      </c>
      <c r="I2516" s="15"/>
      <c r="J2516" s="9">
        <v>36</v>
      </c>
      <c r="K2516" s="16">
        <v>63.76</v>
      </c>
      <c r="L2516" s="17"/>
      <c r="M2516" s="15">
        <f t="shared" si="119"/>
        <v>0</v>
      </c>
      <c r="N2516" s="18">
        <f t="shared" si="120"/>
        <v>0</v>
      </c>
      <c r="O2516" s="19">
        <f>0.00083*L2516</f>
        <v>0</v>
      </c>
      <c r="P2516" s="24" t="s">
        <v>26</v>
      </c>
      <c r="Q2516" s="15" t="s">
        <v>8360</v>
      </c>
      <c r="R2516" s="15"/>
      <c r="S2516" s="10" t="str">
        <f>HYPERLINK("https://miland.ru/api/getInfo/image/ab8827db-2f03-11f0-a27c-00155d82e908")</f>
        <v>https://miland.ru/api/getInfo/image/ab8827db-2f03-11f0-a27c-00155d82e908</v>
      </c>
    </row>
    <row r="2517" spans="1:19" s="2" customFormat="1" ht="96.2" customHeight="1" outlineLevel="7">
      <c r="A2517" s="53">
        <v>1985</v>
      </c>
      <c r="B2517" s="10" t="s">
        <v>8361</v>
      </c>
      <c r="C2517" s="65" t="s">
        <v>8362</v>
      </c>
      <c r="D2517" s="65"/>
      <c r="E2517" s="65"/>
      <c r="F2517" s="65"/>
      <c r="G2517" s="11" t="s">
        <v>8363</v>
      </c>
      <c r="H2517" s="21" t="s">
        <v>44</v>
      </c>
      <c r="I2517" s="15"/>
      <c r="J2517" s="9">
        <v>48</v>
      </c>
      <c r="K2517" s="16">
        <v>63.76</v>
      </c>
      <c r="L2517" s="17"/>
      <c r="M2517" s="15">
        <f t="shared" si="119"/>
        <v>0</v>
      </c>
      <c r="N2517" s="18">
        <f t="shared" si="120"/>
        <v>0</v>
      </c>
      <c r="O2517" s="19">
        <f>0.00083*L2517</f>
        <v>0</v>
      </c>
      <c r="P2517" s="24" t="s">
        <v>26</v>
      </c>
      <c r="Q2517" s="15" t="s">
        <v>8364</v>
      </c>
      <c r="R2517" s="15"/>
      <c r="S2517" s="10" t="str">
        <f>HYPERLINK("https://miland.ru/api/getInfo/image/279a5cc0-2f04-11f0-a27c-00155d82e908")</f>
        <v>https://miland.ru/api/getInfo/image/279a5cc0-2f04-11f0-a27c-00155d82e908</v>
      </c>
    </row>
    <row r="2518" spans="1:19" s="2" customFormat="1" ht="96.2" customHeight="1" outlineLevel="7">
      <c r="A2518" s="53">
        <v>1986</v>
      </c>
      <c r="B2518" s="10" t="s">
        <v>8365</v>
      </c>
      <c r="C2518" s="65" t="s">
        <v>8366</v>
      </c>
      <c r="D2518" s="65"/>
      <c r="E2518" s="65"/>
      <c r="F2518" s="65"/>
      <c r="G2518" s="11" t="s">
        <v>8367</v>
      </c>
      <c r="H2518" s="14">
        <v>192</v>
      </c>
      <c r="I2518" s="15"/>
      <c r="J2518" s="9">
        <v>36</v>
      </c>
      <c r="K2518" s="16">
        <v>63.76</v>
      </c>
      <c r="L2518" s="17"/>
      <c r="M2518" s="15">
        <f t="shared" si="119"/>
        <v>0</v>
      </c>
      <c r="N2518" s="18">
        <f t="shared" si="120"/>
        <v>0</v>
      </c>
      <c r="O2518" s="19">
        <f>0.00083*L2518</f>
        <v>0</v>
      </c>
      <c r="P2518" s="24" t="s">
        <v>26</v>
      </c>
      <c r="Q2518" s="15" t="s">
        <v>8368</v>
      </c>
      <c r="R2518" s="15"/>
      <c r="S2518" s="10" t="str">
        <f>HYPERLINK("https://miland.ru/api/getInfo/image/ff2afc68-2f02-11f0-a27c-00155d82e908")</f>
        <v>https://miland.ru/api/getInfo/image/ff2afc68-2f02-11f0-a27c-00155d82e908</v>
      </c>
    </row>
    <row r="2519" spans="1:19" s="1" customFormat="1" ht="12" customHeight="1" outlineLevel="6">
      <c r="A2519" s="64" t="s">
        <v>8369</v>
      </c>
      <c r="B2519" s="64"/>
      <c r="C2519" s="64"/>
      <c r="D2519" s="64"/>
      <c r="E2519" s="64"/>
      <c r="F2519" s="64"/>
      <c r="G2519" s="8"/>
      <c r="H2519" s="12"/>
      <c r="I2519" s="2"/>
      <c r="J2519" s="2"/>
      <c r="K2519" s="13"/>
      <c r="L2519" s="2"/>
      <c r="M2519" s="2"/>
      <c r="N2519" s="2"/>
      <c r="O2519" s="2"/>
      <c r="P2519" s="2"/>
      <c r="Q2519" s="2"/>
      <c r="R2519" s="2"/>
      <c r="S2519" s="2"/>
    </row>
    <row r="2520" spans="1:19" s="2" customFormat="1" ht="96.2" customHeight="1" outlineLevel="7">
      <c r="A2520" s="52">
        <v>1987</v>
      </c>
      <c r="B2520" s="26" t="s">
        <v>8370</v>
      </c>
      <c r="C2520" s="66" t="s">
        <v>8371</v>
      </c>
      <c r="D2520" s="66"/>
      <c r="E2520" s="66"/>
      <c r="F2520" s="66"/>
      <c r="G2520" s="27" t="s">
        <v>8372</v>
      </c>
      <c r="H2520" s="33">
        <v>19</v>
      </c>
      <c r="I2520" s="29"/>
      <c r="J2520" s="25">
        <v>19</v>
      </c>
      <c r="K2520" s="30">
        <v>48.32</v>
      </c>
      <c r="L2520" s="17"/>
      <c r="M2520" s="29">
        <f t="shared" ref="M2520:M2531" si="121">K2520*L2520</f>
        <v>0</v>
      </c>
      <c r="N2520" s="31">
        <f>0.004*L2520</f>
        <v>0</v>
      </c>
      <c r="O2520" s="32">
        <f>0.00112*L2520</f>
        <v>0</v>
      </c>
      <c r="P2520" s="36"/>
      <c r="Q2520" s="29" t="s">
        <v>8373</v>
      </c>
      <c r="R2520" s="29"/>
      <c r="S2520" s="26"/>
    </row>
    <row r="2521" spans="1:19" s="2" customFormat="1" ht="96.2" customHeight="1" outlineLevel="7">
      <c r="A2521" s="52">
        <v>1988</v>
      </c>
      <c r="B2521" s="26" t="s">
        <v>8374</v>
      </c>
      <c r="C2521" s="66" t="s">
        <v>8375</v>
      </c>
      <c r="D2521" s="66"/>
      <c r="E2521" s="66"/>
      <c r="F2521" s="66"/>
      <c r="G2521" s="27" t="s">
        <v>8376</v>
      </c>
      <c r="H2521" s="28" t="s">
        <v>44</v>
      </c>
      <c r="I2521" s="29"/>
      <c r="J2521" s="25">
        <v>24</v>
      </c>
      <c r="K2521" s="30">
        <v>48.32</v>
      </c>
      <c r="L2521" s="17"/>
      <c r="M2521" s="29">
        <f t="shared" si="121"/>
        <v>0</v>
      </c>
      <c r="N2521" s="31">
        <f>0.004*L2521</f>
        <v>0</v>
      </c>
      <c r="O2521" s="32">
        <f>0.00112*L2521</f>
        <v>0</v>
      </c>
      <c r="P2521" s="36"/>
      <c r="Q2521" s="29" t="s">
        <v>8377</v>
      </c>
      <c r="R2521" s="29"/>
      <c r="S2521" s="26" t="str">
        <f>HYPERLINK("https://miland.ru/api/getInfo/image/704e6437-2efd-11f0-a27c-00155d82e908")</f>
        <v>https://miland.ru/api/getInfo/image/704e6437-2efd-11f0-a27c-00155d82e908</v>
      </c>
    </row>
    <row r="2522" spans="1:19" s="2" customFormat="1" ht="96.2" customHeight="1" outlineLevel="7">
      <c r="A2522" s="52">
        <v>1989</v>
      </c>
      <c r="B2522" s="26" t="s">
        <v>8378</v>
      </c>
      <c r="C2522" s="66" t="s">
        <v>8379</v>
      </c>
      <c r="D2522" s="66"/>
      <c r="E2522" s="66"/>
      <c r="F2522" s="66"/>
      <c r="G2522" s="27" t="s">
        <v>8380</v>
      </c>
      <c r="H2522" s="28" t="s">
        <v>44</v>
      </c>
      <c r="I2522" s="29"/>
      <c r="J2522" s="25">
        <v>24</v>
      </c>
      <c r="K2522" s="30">
        <v>48.32</v>
      </c>
      <c r="L2522" s="17"/>
      <c r="M2522" s="29">
        <f t="shared" si="121"/>
        <v>0</v>
      </c>
      <c r="N2522" s="31">
        <f>0.004*L2522</f>
        <v>0</v>
      </c>
      <c r="O2522" s="32">
        <f>0.00112*L2522</f>
        <v>0</v>
      </c>
      <c r="P2522" s="36"/>
      <c r="Q2522" s="29" t="s">
        <v>8381</v>
      </c>
      <c r="R2522" s="29"/>
      <c r="S2522" s="26" t="str">
        <f>HYPERLINK("https://miland.ru/api/getInfo/image/392853ea-2efe-11f0-a27c-00155d82e908")</f>
        <v>https://miland.ru/api/getInfo/image/392853ea-2efe-11f0-a27c-00155d82e908</v>
      </c>
    </row>
    <row r="2523" spans="1:19" s="2" customFormat="1" ht="96.2" customHeight="1" outlineLevel="7">
      <c r="A2523" s="52">
        <v>1990</v>
      </c>
      <c r="B2523" s="26" t="s">
        <v>8382</v>
      </c>
      <c r="C2523" s="66" t="s">
        <v>8383</v>
      </c>
      <c r="D2523" s="66"/>
      <c r="E2523" s="66"/>
      <c r="F2523" s="66"/>
      <c r="G2523" s="27" t="s">
        <v>8384</v>
      </c>
      <c r="H2523" s="33">
        <v>408</v>
      </c>
      <c r="I2523" s="29"/>
      <c r="J2523" s="25">
        <v>24</v>
      </c>
      <c r="K2523" s="30">
        <v>48.32</v>
      </c>
      <c r="L2523" s="17"/>
      <c r="M2523" s="29">
        <f t="shared" si="121"/>
        <v>0</v>
      </c>
      <c r="N2523" s="31">
        <f>0.004*L2523</f>
        <v>0</v>
      </c>
      <c r="O2523" s="32">
        <f>0.00112*L2523</f>
        <v>0</v>
      </c>
      <c r="P2523" s="36"/>
      <c r="Q2523" s="29" t="s">
        <v>8385</v>
      </c>
      <c r="R2523" s="29"/>
      <c r="S2523" s="26" t="str">
        <f>HYPERLINK("https://miland.ru/api/getInfo/image/f5e36338-2efd-11f0-a27c-00155d82e908")</f>
        <v>https://miland.ru/api/getInfo/image/f5e36338-2efd-11f0-a27c-00155d82e908</v>
      </c>
    </row>
    <row r="2524" spans="1:19" s="2" customFormat="1" ht="96.2" customHeight="1" outlineLevel="7">
      <c r="A2524" s="53">
        <v>1991</v>
      </c>
      <c r="B2524" s="10" t="s">
        <v>8386</v>
      </c>
      <c r="C2524" s="65" t="s">
        <v>8387</v>
      </c>
      <c r="D2524" s="65"/>
      <c r="E2524" s="65"/>
      <c r="F2524" s="65"/>
      <c r="G2524" s="11" t="s">
        <v>8384</v>
      </c>
      <c r="H2524" s="14">
        <v>120</v>
      </c>
      <c r="I2524" s="15"/>
      <c r="J2524" s="9">
        <v>24</v>
      </c>
      <c r="K2524" s="16">
        <v>70.73</v>
      </c>
      <c r="L2524" s="17"/>
      <c r="M2524" s="15">
        <f t="shared" si="121"/>
        <v>0</v>
      </c>
      <c r="N2524" s="23">
        <f>0.07*L2524</f>
        <v>0</v>
      </c>
      <c r="O2524" s="19">
        <f>0.00043*L2524</f>
        <v>0</v>
      </c>
      <c r="P2524" s="24" t="s">
        <v>26</v>
      </c>
      <c r="Q2524" s="15"/>
      <c r="R2524" s="15" t="s">
        <v>611</v>
      </c>
      <c r="S2524" s="10" t="str">
        <f>HYPERLINK("https://miland.ru/api/getInfo/image/b7750002-da61-11f0-a28c-00155d82e908")</f>
        <v>https://miland.ru/api/getInfo/image/b7750002-da61-11f0-a28c-00155d82e908</v>
      </c>
    </row>
    <row r="2525" spans="1:19" s="2" customFormat="1" ht="96.2" customHeight="1" outlineLevel="7">
      <c r="A2525" s="53">
        <v>1992</v>
      </c>
      <c r="B2525" s="10" t="s">
        <v>8388</v>
      </c>
      <c r="C2525" s="65" t="s">
        <v>8389</v>
      </c>
      <c r="D2525" s="65"/>
      <c r="E2525" s="65"/>
      <c r="F2525" s="65"/>
      <c r="G2525" s="11" t="s">
        <v>8390</v>
      </c>
      <c r="H2525" s="14">
        <v>24</v>
      </c>
      <c r="I2525" s="15"/>
      <c r="J2525" s="9">
        <v>24</v>
      </c>
      <c r="K2525" s="16">
        <v>70.73</v>
      </c>
      <c r="L2525" s="17"/>
      <c r="M2525" s="15">
        <f t="shared" si="121"/>
        <v>0</v>
      </c>
      <c r="N2525" s="23">
        <f>0.07*L2525</f>
        <v>0</v>
      </c>
      <c r="O2525" s="19">
        <f>0.00026*L2525</f>
        <v>0</v>
      </c>
      <c r="P2525" s="24" t="s">
        <v>26</v>
      </c>
      <c r="Q2525" s="15"/>
      <c r="R2525" s="15" t="s">
        <v>611</v>
      </c>
      <c r="S2525" s="10" t="str">
        <f>HYPERLINK("https://miland.ru/api/getInfo/image/d6c20224-da64-11f0-a28c-00155d82e908")</f>
        <v>https://miland.ru/api/getInfo/image/d6c20224-da64-11f0-a28c-00155d82e908</v>
      </c>
    </row>
    <row r="2526" spans="1:19" s="2" customFormat="1" ht="96.2" customHeight="1" outlineLevel="7">
      <c r="A2526" s="53">
        <v>1993</v>
      </c>
      <c r="B2526" s="10" t="s">
        <v>8391</v>
      </c>
      <c r="C2526" s="65" t="s">
        <v>8392</v>
      </c>
      <c r="D2526" s="65"/>
      <c r="E2526" s="65"/>
      <c r="F2526" s="65"/>
      <c r="G2526" s="11" t="s">
        <v>8393</v>
      </c>
      <c r="H2526" s="14">
        <v>264</v>
      </c>
      <c r="I2526" s="15"/>
      <c r="J2526" s="9">
        <v>12</v>
      </c>
      <c r="K2526" s="16">
        <v>70.73</v>
      </c>
      <c r="L2526" s="17"/>
      <c r="M2526" s="15">
        <f t="shared" si="121"/>
        <v>0</v>
      </c>
      <c r="N2526" s="23">
        <f>0.08*L2526</f>
        <v>0</v>
      </c>
      <c r="O2526" s="19">
        <f>0.00038*L2526</f>
        <v>0</v>
      </c>
      <c r="P2526" s="24" t="s">
        <v>26</v>
      </c>
      <c r="Q2526" s="15" t="s">
        <v>8394</v>
      </c>
      <c r="R2526" s="15"/>
      <c r="S2526" s="10" t="str">
        <f>HYPERLINK("https://miland.ru/api/getInfo/image/7c1af749-fb82-11f0-a28e-00155d82e908")</f>
        <v>https://miland.ru/api/getInfo/image/7c1af749-fb82-11f0-a28e-00155d82e908</v>
      </c>
    </row>
    <row r="2527" spans="1:19" s="2" customFormat="1" ht="96.2" customHeight="1" outlineLevel="7">
      <c r="A2527" s="53">
        <v>1994</v>
      </c>
      <c r="B2527" s="10" t="s">
        <v>8395</v>
      </c>
      <c r="C2527" s="65" t="s">
        <v>8396</v>
      </c>
      <c r="D2527" s="65"/>
      <c r="E2527" s="65"/>
      <c r="F2527" s="65"/>
      <c r="G2527" s="11" t="s">
        <v>8397</v>
      </c>
      <c r="H2527" s="14">
        <v>240</v>
      </c>
      <c r="I2527" s="15"/>
      <c r="J2527" s="9">
        <v>12</v>
      </c>
      <c r="K2527" s="16">
        <v>70.73</v>
      </c>
      <c r="L2527" s="17"/>
      <c r="M2527" s="15">
        <f t="shared" si="121"/>
        <v>0</v>
      </c>
      <c r="N2527" s="23">
        <f>0.08*L2527</f>
        <v>0</v>
      </c>
      <c r="O2527" s="19">
        <f>0.00037*L2527</f>
        <v>0</v>
      </c>
      <c r="P2527" s="24" t="s">
        <v>26</v>
      </c>
      <c r="Q2527" s="15" t="s">
        <v>8398</v>
      </c>
      <c r="R2527" s="15"/>
      <c r="S2527" s="10" t="str">
        <f>HYPERLINK("https://miland.ru/api/getInfo/image/120208f1-fb83-11f0-a28e-00155d82e908")</f>
        <v>https://miland.ru/api/getInfo/image/120208f1-fb83-11f0-a28e-00155d82e908</v>
      </c>
    </row>
    <row r="2528" spans="1:19" s="2" customFormat="1" ht="96.2" customHeight="1" outlineLevel="7">
      <c r="A2528" s="52">
        <v>1995</v>
      </c>
      <c r="B2528" s="26" t="s">
        <v>8399</v>
      </c>
      <c r="C2528" s="66" t="s">
        <v>8400</v>
      </c>
      <c r="D2528" s="66"/>
      <c r="E2528" s="66"/>
      <c r="F2528" s="66"/>
      <c r="G2528" s="27" t="s">
        <v>8401</v>
      </c>
      <c r="H2528" s="33">
        <v>36</v>
      </c>
      <c r="I2528" s="29"/>
      <c r="J2528" s="25">
        <v>12</v>
      </c>
      <c r="K2528" s="30">
        <v>70.73</v>
      </c>
      <c r="L2528" s="17"/>
      <c r="M2528" s="29">
        <f t="shared" si="121"/>
        <v>0</v>
      </c>
      <c r="N2528" s="31">
        <f>0.103*L2528</f>
        <v>0</v>
      </c>
      <c r="O2528" s="32">
        <f>0.00028*L2528</f>
        <v>0</v>
      </c>
      <c r="P2528" s="36"/>
      <c r="Q2528" s="29" t="s">
        <v>8402</v>
      </c>
      <c r="R2528" s="29" t="s">
        <v>611</v>
      </c>
      <c r="S2528" s="26" t="str">
        <f>HYPERLINK("https://miland.ru/api/getInfo/image/601c99a4-a34b-11ef-a267-00155d82e908")</f>
        <v>https://miland.ru/api/getInfo/image/601c99a4-a34b-11ef-a267-00155d82e908</v>
      </c>
    </row>
    <row r="2529" spans="1:19" s="2" customFormat="1" ht="96.2" customHeight="1" outlineLevel="7">
      <c r="A2529" s="53">
        <v>1996</v>
      </c>
      <c r="B2529" s="10" t="s">
        <v>8403</v>
      </c>
      <c r="C2529" s="65" t="s">
        <v>8404</v>
      </c>
      <c r="D2529" s="65"/>
      <c r="E2529" s="65"/>
      <c r="F2529" s="65"/>
      <c r="G2529" s="11" t="s">
        <v>8405</v>
      </c>
      <c r="H2529" s="14">
        <v>192</v>
      </c>
      <c r="I2529" s="15"/>
      <c r="J2529" s="9">
        <v>12</v>
      </c>
      <c r="K2529" s="16">
        <v>70.73</v>
      </c>
      <c r="L2529" s="17"/>
      <c r="M2529" s="15">
        <f t="shared" si="121"/>
        <v>0</v>
      </c>
      <c r="N2529" s="18">
        <f>0.088*L2529</f>
        <v>0</v>
      </c>
      <c r="O2529" s="19">
        <f>0.00039*L2529</f>
        <v>0</v>
      </c>
      <c r="P2529" s="24" t="s">
        <v>26</v>
      </c>
      <c r="Q2529" s="15" t="s">
        <v>8406</v>
      </c>
      <c r="R2529" s="15"/>
      <c r="S2529" s="10" t="str">
        <f>HYPERLINK("https://miland.ru/api/getInfo/image/f12763f6-fb82-11f0-a28e-00155d82e908")</f>
        <v>https://miland.ru/api/getInfo/image/f12763f6-fb82-11f0-a28e-00155d82e908</v>
      </c>
    </row>
    <row r="2530" spans="1:19" s="2" customFormat="1" ht="96.2" customHeight="1" outlineLevel="7">
      <c r="A2530" s="52">
        <v>1997</v>
      </c>
      <c r="B2530" s="26" t="s">
        <v>8407</v>
      </c>
      <c r="C2530" s="66" t="s">
        <v>8408</v>
      </c>
      <c r="D2530" s="66"/>
      <c r="E2530" s="66"/>
      <c r="F2530" s="66"/>
      <c r="G2530" s="27" t="s">
        <v>8409</v>
      </c>
      <c r="H2530" s="33">
        <v>492</v>
      </c>
      <c r="I2530" s="29"/>
      <c r="J2530" s="25">
        <v>24</v>
      </c>
      <c r="K2530" s="30">
        <v>48.32</v>
      </c>
      <c r="L2530" s="17"/>
      <c r="M2530" s="29">
        <f t="shared" si="121"/>
        <v>0</v>
      </c>
      <c r="N2530" s="31">
        <f>0.004*L2530</f>
        <v>0</v>
      </c>
      <c r="O2530" s="32">
        <f>0.00112*L2530</f>
        <v>0</v>
      </c>
      <c r="P2530" s="36"/>
      <c r="Q2530" s="29" t="s">
        <v>8410</v>
      </c>
      <c r="R2530" s="29"/>
      <c r="S2530" s="26" t="str">
        <f>HYPERLINK("https://miland.ru/api/getInfo/image/1a2895fd-2efe-11f0-a27c-00155d82e908")</f>
        <v>https://miland.ru/api/getInfo/image/1a2895fd-2efe-11f0-a27c-00155d82e908</v>
      </c>
    </row>
    <row r="2531" spans="1:19" s="2" customFormat="1" ht="96.2" customHeight="1" outlineLevel="7">
      <c r="A2531" s="53">
        <v>1998</v>
      </c>
      <c r="B2531" s="10" t="s">
        <v>8411</v>
      </c>
      <c r="C2531" s="65" t="s">
        <v>8412</v>
      </c>
      <c r="D2531" s="65"/>
      <c r="E2531" s="65"/>
      <c r="F2531" s="65"/>
      <c r="G2531" s="11" t="s">
        <v>8376</v>
      </c>
      <c r="H2531" s="14">
        <v>48</v>
      </c>
      <c r="I2531" s="15"/>
      <c r="J2531" s="9">
        <v>24</v>
      </c>
      <c r="K2531" s="16">
        <v>70.73</v>
      </c>
      <c r="L2531" s="17"/>
      <c r="M2531" s="15">
        <f t="shared" si="121"/>
        <v>0</v>
      </c>
      <c r="N2531" s="23">
        <f>0.07*L2531</f>
        <v>0</v>
      </c>
      <c r="O2531" s="19">
        <f>0.00017*L2531</f>
        <v>0</v>
      </c>
      <c r="P2531" s="24" t="s">
        <v>26</v>
      </c>
      <c r="Q2531" s="15"/>
      <c r="R2531" s="15" t="s">
        <v>611</v>
      </c>
      <c r="S2531" s="10" t="str">
        <f>HYPERLINK("https://miland.ru/api/getInfo/image/64f2ed00-da63-11f0-a28c-00155d82e908")</f>
        <v>https://miland.ru/api/getInfo/image/64f2ed00-da63-11f0-a28c-00155d82e908</v>
      </c>
    </row>
    <row r="2532" spans="1:19" s="1" customFormat="1" ht="12" customHeight="1" outlineLevel="6">
      <c r="A2532" s="64" t="s">
        <v>7805</v>
      </c>
      <c r="B2532" s="64"/>
      <c r="C2532" s="64"/>
      <c r="D2532" s="64"/>
      <c r="E2532" s="64"/>
      <c r="F2532" s="64"/>
      <c r="G2532" s="8"/>
      <c r="H2532" s="12"/>
      <c r="I2532" s="2"/>
      <c r="J2532" s="2"/>
      <c r="K2532" s="13"/>
      <c r="L2532" s="2"/>
      <c r="M2532" s="2"/>
      <c r="N2532" s="2"/>
      <c r="O2532" s="2"/>
      <c r="P2532" s="2"/>
      <c r="Q2532" s="2"/>
      <c r="R2532" s="2"/>
      <c r="S2532" s="2"/>
    </row>
    <row r="2533" spans="1:19" s="1" customFormat="1" ht="12" customHeight="1" outlineLevel="7">
      <c r="A2533" s="64" t="s">
        <v>8413</v>
      </c>
      <c r="B2533" s="64"/>
      <c r="C2533" s="64"/>
      <c r="D2533" s="64"/>
      <c r="E2533" s="64"/>
      <c r="F2533" s="64"/>
      <c r="G2533" s="8"/>
      <c r="H2533" s="12"/>
      <c r="I2533" s="2"/>
      <c r="J2533" s="2"/>
      <c r="K2533" s="13"/>
      <c r="L2533" s="2"/>
      <c r="M2533" s="2"/>
      <c r="N2533" s="2"/>
      <c r="O2533" s="2"/>
      <c r="P2533" s="2"/>
      <c r="Q2533" s="2"/>
      <c r="R2533" s="2"/>
      <c r="S2533" s="2"/>
    </row>
    <row r="2534" spans="1:19" s="2" customFormat="1" ht="96.2" customHeight="1" outlineLevel="7">
      <c r="A2534" s="52">
        <v>1999</v>
      </c>
      <c r="B2534" s="26" t="s">
        <v>8414</v>
      </c>
      <c r="C2534" s="66" t="s">
        <v>8415</v>
      </c>
      <c r="D2534" s="66"/>
      <c r="E2534" s="66"/>
      <c r="F2534" s="66"/>
      <c r="G2534" s="27" t="s">
        <v>8416</v>
      </c>
      <c r="H2534" s="28" t="s">
        <v>44</v>
      </c>
      <c r="I2534" s="29"/>
      <c r="J2534" s="25">
        <v>12</v>
      </c>
      <c r="K2534" s="30">
        <v>73.64</v>
      </c>
      <c r="L2534" s="17"/>
      <c r="M2534" s="29">
        <f>K2534*L2534</f>
        <v>0</v>
      </c>
      <c r="N2534" s="34">
        <f>0.08*L2534</f>
        <v>0</v>
      </c>
      <c r="O2534" s="32">
        <f>0.00156*L2534</f>
        <v>0</v>
      </c>
      <c r="P2534" s="36"/>
      <c r="Q2534" s="29" t="s">
        <v>8417</v>
      </c>
      <c r="R2534" s="29" t="s">
        <v>611</v>
      </c>
      <c r="S2534" s="26" t="str">
        <f>HYPERLINK("https://miland.ru/api/getInfo/image/92574eab-fe4c-11ef-a275-00155d82e908")</f>
        <v>https://miland.ru/api/getInfo/image/92574eab-fe4c-11ef-a275-00155d82e908</v>
      </c>
    </row>
    <row r="2535" spans="1:19" s="1" customFormat="1" ht="12" customHeight="1" outlineLevel="7">
      <c r="A2535" s="64" t="s">
        <v>8118</v>
      </c>
      <c r="B2535" s="64"/>
      <c r="C2535" s="64"/>
      <c r="D2535" s="64"/>
      <c r="E2535" s="64"/>
      <c r="F2535" s="64"/>
      <c r="G2535" s="8"/>
      <c r="H2535" s="12"/>
      <c r="I2535" s="2"/>
      <c r="J2535" s="2"/>
      <c r="K2535" s="13"/>
      <c r="L2535" s="2"/>
      <c r="M2535" s="2"/>
      <c r="N2535" s="2"/>
      <c r="O2535" s="2"/>
      <c r="P2535" s="2"/>
      <c r="Q2535" s="2"/>
      <c r="R2535" s="2"/>
      <c r="S2535" s="2"/>
    </row>
    <row r="2536" spans="1:19" s="2" customFormat="1" ht="96.2" customHeight="1" outlineLevel="7">
      <c r="A2536" s="52">
        <v>2000</v>
      </c>
      <c r="B2536" s="26" t="s">
        <v>8418</v>
      </c>
      <c r="C2536" s="66" t="s">
        <v>8419</v>
      </c>
      <c r="D2536" s="66"/>
      <c r="E2536" s="66"/>
      <c r="F2536" s="66"/>
      <c r="G2536" s="27" t="s">
        <v>8420</v>
      </c>
      <c r="H2536" s="28" t="s">
        <v>44</v>
      </c>
      <c r="I2536" s="29"/>
      <c r="J2536" s="25">
        <v>12</v>
      </c>
      <c r="K2536" s="30">
        <v>73.64</v>
      </c>
      <c r="L2536" s="17"/>
      <c r="M2536" s="29">
        <f>K2536*L2536</f>
        <v>0</v>
      </c>
      <c r="N2536" s="31">
        <f>0.077*L2536</f>
        <v>0</v>
      </c>
      <c r="O2536" s="35">
        <f>0.0016*L2536</f>
        <v>0</v>
      </c>
      <c r="P2536" s="36"/>
      <c r="Q2536" s="29" t="s">
        <v>8421</v>
      </c>
      <c r="R2536" s="29" t="s">
        <v>611</v>
      </c>
      <c r="S2536" s="26" t="str">
        <f>HYPERLINK("https://miland.ru/api/getInfo/image/bcca679f-fe4b-11ef-a275-00155d82e908")</f>
        <v>https://miland.ru/api/getInfo/image/bcca679f-fe4b-11ef-a275-00155d82e908</v>
      </c>
    </row>
    <row r="2537" spans="1:19" s="1" customFormat="1" ht="12" customHeight="1" outlineLevel="7">
      <c r="A2537" s="64" t="s">
        <v>7806</v>
      </c>
      <c r="B2537" s="64"/>
      <c r="C2537" s="64"/>
      <c r="D2537" s="64"/>
      <c r="E2537" s="64"/>
      <c r="F2537" s="64"/>
      <c r="G2537" s="8"/>
      <c r="H2537" s="12"/>
      <c r="I2537" s="2"/>
      <c r="J2537" s="2"/>
      <c r="K2537" s="13"/>
      <c r="L2537" s="2"/>
      <c r="M2537" s="2"/>
      <c r="N2537" s="2"/>
      <c r="O2537" s="2"/>
      <c r="P2537" s="2"/>
      <c r="Q2537" s="2"/>
      <c r="R2537" s="2"/>
      <c r="S2537" s="2"/>
    </row>
    <row r="2538" spans="1:19" s="2" customFormat="1" ht="96.2" customHeight="1" outlineLevel="7">
      <c r="A2538" s="52">
        <v>2001</v>
      </c>
      <c r="B2538" s="26" t="s">
        <v>8422</v>
      </c>
      <c r="C2538" s="66" t="s">
        <v>8423</v>
      </c>
      <c r="D2538" s="66"/>
      <c r="E2538" s="66"/>
      <c r="F2538" s="66"/>
      <c r="G2538" s="27" t="s">
        <v>8424</v>
      </c>
      <c r="H2538" s="33">
        <v>84</v>
      </c>
      <c r="I2538" s="29"/>
      <c r="J2538" s="25">
        <v>12</v>
      </c>
      <c r="K2538" s="30">
        <v>60.48</v>
      </c>
      <c r="L2538" s="17"/>
      <c r="M2538" s="29">
        <f>K2538*L2538</f>
        <v>0</v>
      </c>
      <c r="N2538" s="34">
        <f>0.65*L2538</f>
        <v>0</v>
      </c>
      <c r="O2538" s="32">
        <f>0.00313*L2538</f>
        <v>0</v>
      </c>
      <c r="P2538" s="36"/>
      <c r="Q2538" s="29" t="s">
        <v>8425</v>
      </c>
      <c r="R2538" s="29" t="s">
        <v>611</v>
      </c>
      <c r="S2538" s="26" t="str">
        <f>HYPERLINK("https://miland.ru/api/getInfo/image/6ba14c0f-03a6-11ef-a25d-00155d82e908")</f>
        <v>https://miland.ru/api/getInfo/image/6ba14c0f-03a6-11ef-a25d-00155d82e908</v>
      </c>
    </row>
    <row r="2539" spans="1:19" s="2" customFormat="1" ht="96.2" customHeight="1" outlineLevel="7">
      <c r="A2539" s="52">
        <v>2002</v>
      </c>
      <c r="B2539" s="26" t="s">
        <v>8426</v>
      </c>
      <c r="C2539" s="66" t="s">
        <v>8427</v>
      </c>
      <c r="D2539" s="66"/>
      <c r="E2539" s="66"/>
      <c r="F2539" s="66"/>
      <c r="G2539" s="27" t="s">
        <v>8428</v>
      </c>
      <c r="H2539" s="28" t="s">
        <v>44</v>
      </c>
      <c r="I2539" s="29"/>
      <c r="J2539" s="25">
        <v>12</v>
      </c>
      <c r="K2539" s="30">
        <v>53.3</v>
      </c>
      <c r="L2539" s="17"/>
      <c r="M2539" s="29">
        <f>K2539*L2539</f>
        <v>0</v>
      </c>
      <c r="N2539" s="31">
        <f>0.076*L2539</f>
        <v>0</v>
      </c>
      <c r="O2539" s="32">
        <f>0.00183*L2539</f>
        <v>0</v>
      </c>
      <c r="P2539" s="36"/>
      <c r="Q2539" s="29" t="s">
        <v>8429</v>
      </c>
      <c r="R2539" s="29" t="s">
        <v>611</v>
      </c>
      <c r="S2539" s="26" t="str">
        <f>HYPERLINK("https://miland.ru/api/getInfo/image/55b01e87-03a6-11ef-a25d-00155d82e908")</f>
        <v>https://miland.ru/api/getInfo/image/55b01e87-03a6-11ef-a25d-00155d82e908</v>
      </c>
    </row>
    <row r="2540" spans="1:19" s="2" customFormat="1" ht="96.2" customHeight="1" outlineLevel="7">
      <c r="A2540" s="52">
        <v>2003</v>
      </c>
      <c r="B2540" s="26" t="s">
        <v>8430</v>
      </c>
      <c r="C2540" s="66" t="s">
        <v>8431</v>
      </c>
      <c r="D2540" s="66"/>
      <c r="E2540" s="66"/>
      <c r="F2540" s="66"/>
      <c r="G2540" s="27" t="s">
        <v>8432</v>
      </c>
      <c r="H2540" s="28" t="s">
        <v>44</v>
      </c>
      <c r="I2540" s="29"/>
      <c r="J2540" s="25">
        <v>12</v>
      </c>
      <c r="K2540" s="30">
        <v>53.3</v>
      </c>
      <c r="L2540" s="17"/>
      <c r="M2540" s="29">
        <f>K2540*L2540</f>
        <v>0</v>
      </c>
      <c r="N2540" s="31">
        <f>0.074*L2540</f>
        <v>0</v>
      </c>
      <c r="O2540" s="32">
        <f>0.00063*L2540</f>
        <v>0</v>
      </c>
      <c r="P2540" s="36"/>
      <c r="Q2540" s="29" t="s">
        <v>8433</v>
      </c>
      <c r="R2540" s="29" t="s">
        <v>611</v>
      </c>
      <c r="S2540" s="26" t="str">
        <f>HYPERLINK("https://miland.ru/api/getInfo/image/3fe5168a-03a6-11ef-a25d-00155d82e908")</f>
        <v>https://miland.ru/api/getInfo/image/3fe5168a-03a6-11ef-a25d-00155d82e908</v>
      </c>
    </row>
    <row r="2541" spans="1:19" s="1" customFormat="1" ht="12" customHeight="1" outlineLevel="6">
      <c r="A2541" s="64" t="s">
        <v>8434</v>
      </c>
      <c r="B2541" s="64"/>
      <c r="C2541" s="64"/>
      <c r="D2541" s="64"/>
      <c r="E2541" s="64"/>
      <c r="F2541" s="64"/>
      <c r="G2541" s="8"/>
      <c r="H2541" s="12"/>
      <c r="I2541" s="2"/>
      <c r="J2541" s="2"/>
      <c r="K2541" s="13"/>
      <c r="L2541" s="2"/>
      <c r="M2541" s="2"/>
      <c r="N2541" s="2"/>
      <c r="O2541" s="2"/>
      <c r="P2541" s="2"/>
      <c r="Q2541" s="2"/>
      <c r="R2541" s="2"/>
      <c r="S2541" s="2"/>
    </row>
    <row r="2542" spans="1:19" s="2" customFormat="1" ht="96.2" customHeight="1" outlineLevel="7">
      <c r="A2542" s="52">
        <v>2004</v>
      </c>
      <c r="B2542" s="26" t="s">
        <v>8435</v>
      </c>
      <c r="C2542" s="66" t="s">
        <v>8436</v>
      </c>
      <c r="D2542" s="66"/>
      <c r="E2542" s="66"/>
      <c r="F2542" s="66"/>
      <c r="G2542" s="27" t="s">
        <v>8437</v>
      </c>
      <c r="H2542" s="33">
        <v>228</v>
      </c>
      <c r="I2542" s="29"/>
      <c r="J2542" s="25">
        <v>12</v>
      </c>
      <c r="K2542" s="30">
        <v>70.73</v>
      </c>
      <c r="L2542" s="17"/>
      <c r="M2542" s="29">
        <f>K2542*L2542</f>
        <v>0</v>
      </c>
      <c r="N2542" s="31">
        <f>0.079*L2542</f>
        <v>0</v>
      </c>
      <c r="O2542" s="32">
        <f>0.00028*L2542</f>
        <v>0</v>
      </c>
      <c r="P2542" s="36"/>
      <c r="Q2542" s="29" t="s">
        <v>8438</v>
      </c>
      <c r="R2542" s="29" t="s">
        <v>611</v>
      </c>
      <c r="S2542" s="26" t="str">
        <f>HYPERLINK("https://miland.ru/api/getInfo/image/a2218ed6-a34b-11ef-a267-00155d82e908")</f>
        <v>https://miland.ru/api/getInfo/image/a2218ed6-a34b-11ef-a267-00155d82e908</v>
      </c>
    </row>
    <row r="2543" spans="1:19" s="2" customFormat="1" ht="96.2" customHeight="1" outlineLevel="7">
      <c r="A2543" s="52">
        <v>2005</v>
      </c>
      <c r="B2543" s="26" t="s">
        <v>8439</v>
      </c>
      <c r="C2543" s="66" t="s">
        <v>8440</v>
      </c>
      <c r="D2543" s="66"/>
      <c r="E2543" s="66"/>
      <c r="F2543" s="66"/>
      <c r="G2543" s="27" t="s">
        <v>8441</v>
      </c>
      <c r="H2543" s="33">
        <v>228</v>
      </c>
      <c r="I2543" s="29"/>
      <c r="J2543" s="25">
        <v>12</v>
      </c>
      <c r="K2543" s="30">
        <v>70.73</v>
      </c>
      <c r="L2543" s="17"/>
      <c r="M2543" s="29">
        <f>K2543*L2543</f>
        <v>0</v>
      </c>
      <c r="N2543" s="31">
        <f>0.084*L2543</f>
        <v>0</v>
      </c>
      <c r="O2543" s="32">
        <f>0.00056*L2543</f>
        <v>0</v>
      </c>
      <c r="P2543" s="36"/>
      <c r="Q2543" s="29" t="s">
        <v>8442</v>
      </c>
      <c r="R2543" s="29" t="s">
        <v>611</v>
      </c>
      <c r="S2543" s="26" t="str">
        <f>HYPERLINK("https://miland.ru/api/getInfo/image/c49eba8c-a34b-11ef-a267-00155d82e908")</f>
        <v>https://miland.ru/api/getInfo/image/c49eba8c-a34b-11ef-a267-00155d82e908</v>
      </c>
    </row>
    <row r="2544" spans="1:19" s="1" customFormat="1" ht="12" customHeight="1" outlineLevel="5">
      <c r="A2544" s="64" t="s">
        <v>8443</v>
      </c>
      <c r="B2544" s="64"/>
      <c r="C2544" s="64"/>
      <c r="D2544" s="64"/>
      <c r="E2544" s="64"/>
      <c r="F2544" s="64"/>
      <c r="G2544" s="8"/>
      <c r="H2544" s="12"/>
      <c r="I2544" s="2"/>
      <c r="J2544" s="2"/>
      <c r="K2544" s="13"/>
      <c r="L2544" s="2"/>
      <c r="M2544" s="2"/>
      <c r="N2544" s="2"/>
      <c r="O2544" s="2"/>
      <c r="P2544" s="2"/>
      <c r="Q2544" s="2"/>
      <c r="R2544" s="2"/>
      <c r="S2544" s="2"/>
    </row>
    <row r="2545" spans="1:19" s="1" customFormat="1" ht="12" customHeight="1" outlineLevel="6">
      <c r="A2545" s="64" t="s">
        <v>8444</v>
      </c>
      <c r="B2545" s="64"/>
      <c r="C2545" s="64"/>
      <c r="D2545" s="64"/>
      <c r="E2545" s="64"/>
      <c r="F2545" s="64"/>
      <c r="G2545" s="8"/>
      <c r="H2545" s="12"/>
      <c r="I2545" s="2"/>
      <c r="J2545" s="2"/>
      <c r="K2545" s="13"/>
      <c r="L2545" s="2"/>
      <c r="M2545" s="2"/>
      <c r="N2545" s="2"/>
      <c r="O2545" s="2"/>
      <c r="P2545" s="2"/>
      <c r="Q2545" s="2"/>
      <c r="R2545" s="2"/>
      <c r="S2545" s="2"/>
    </row>
    <row r="2546" spans="1:19" s="1" customFormat="1" ht="12" customHeight="1" outlineLevel="7">
      <c r="A2546" s="64" t="s">
        <v>8445</v>
      </c>
      <c r="B2546" s="64"/>
      <c r="C2546" s="64"/>
      <c r="D2546" s="64"/>
      <c r="E2546" s="64"/>
      <c r="F2546" s="64"/>
      <c r="G2546" s="8"/>
      <c r="H2546" s="12"/>
      <c r="I2546" s="2"/>
      <c r="J2546" s="2"/>
      <c r="K2546" s="13"/>
      <c r="L2546" s="2"/>
      <c r="M2546" s="2"/>
      <c r="N2546" s="2"/>
      <c r="O2546" s="2"/>
      <c r="P2546" s="2"/>
      <c r="Q2546" s="2"/>
      <c r="R2546" s="2"/>
      <c r="S2546" s="2"/>
    </row>
    <row r="2547" spans="1:19" s="2" customFormat="1" ht="96.2" customHeight="1" outlineLevel="7">
      <c r="A2547" s="52">
        <v>2006</v>
      </c>
      <c r="B2547" s="26" t="s">
        <v>8446</v>
      </c>
      <c r="C2547" s="66" t="s">
        <v>8447</v>
      </c>
      <c r="D2547" s="66"/>
      <c r="E2547" s="66"/>
      <c r="F2547" s="66"/>
      <c r="G2547" s="27" t="s">
        <v>8448</v>
      </c>
      <c r="H2547" s="28" t="s">
        <v>44</v>
      </c>
      <c r="I2547" s="29"/>
      <c r="J2547" s="25">
        <v>12</v>
      </c>
      <c r="K2547" s="30">
        <v>86.85</v>
      </c>
      <c r="L2547" s="17"/>
      <c r="M2547" s="29">
        <f t="shared" ref="M2547:M2566" si="122">K2547*L2547</f>
        <v>0</v>
      </c>
      <c r="N2547" s="31">
        <f>0.114*L2547</f>
        <v>0</v>
      </c>
      <c r="O2547" s="32">
        <f>0.00163*L2547</f>
        <v>0</v>
      </c>
      <c r="P2547" s="36"/>
      <c r="Q2547" s="29" t="s">
        <v>8449</v>
      </c>
      <c r="R2547" s="29" t="s">
        <v>611</v>
      </c>
      <c r="S2547" s="26" t="str">
        <f>HYPERLINK("https://miland.ru/api/getInfo/image/a40974c5-b6d1-11ef-a267-00155d82e908")</f>
        <v>https://miland.ru/api/getInfo/image/a40974c5-b6d1-11ef-a267-00155d82e908</v>
      </c>
    </row>
    <row r="2548" spans="1:19" s="2" customFormat="1" ht="96.2" customHeight="1" outlineLevel="7">
      <c r="A2548" s="53">
        <v>2007</v>
      </c>
      <c r="B2548" s="10" t="s">
        <v>8450</v>
      </c>
      <c r="C2548" s="65" t="s">
        <v>8451</v>
      </c>
      <c r="D2548" s="65"/>
      <c r="E2548" s="65"/>
      <c r="F2548" s="65"/>
      <c r="G2548" s="11" t="s">
        <v>8452</v>
      </c>
      <c r="H2548" s="21" t="s">
        <v>44</v>
      </c>
      <c r="I2548" s="15"/>
      <c r="J2548" s="9">
        <v>12</v>
      </c>
      <c r="K2548" s="16">
        <v>111.34</v>
      </c>
      <c r="L2548" s="17"/>
      <c r="M2548" s="15">
        <f t="shared" si="122"/>
        <v>0</v>
      </c>
      <c r="N2548" s="18">
        <f>0.105*L2548</f>
        <v>0</v>
      </c>
      <c r="O2548" s="19">
        <f>0.00131*L2548</f>
        <v>0</v>
      </c>
      <c r="P2548" s="24" t="s">
        <v>26</v>
      </c>
      <c r="Q2548" s="15" t="s">
        <v>8453</v>
      </c>
      <c r="R2548" s="15"/>
      <c r="S2548" s="10" t="str">
        <f>HYPERLINK("https://miland.ru/api/getInfo/image/5f69b4ad-fb85-11f0-a28e-00155d82e908")</f>
        <v>https://miland.ru/api/getInfo/image/5f69b4ad-fb85-11f0-a28e-00155d82e908</v>
      </c>
    </row>
    <row r="2549" spans="1:19" s="2" customFormat="1" ht="96.2" customHeight="1" outlineLevel="7">
      <c r="A2549" s="53">
        <v>2008</v>
      </c>
      <c r="B2549" s="10" t="s">
        <v>8454</v>
      </c>
      <c r="C2549" s="65" t="s">
        <v>8455</v>
      </c>
      <c r="D2549" s="65"/>
      <c r="E2549" s="65"/>
      <c r="F2549" s="65"/>
      <c r="G2549" s="11" t="s">
        <v>8456</v>
      </c>
      <c r="H2549" s="14">
        <v>30</v>
      </c>
      <c r="I2549" s="15"/>
      <c r="J2549" s="9">
        <v>30</v>
      </c>
      <c r="K2549" s="16">
        <v>111.34</v>
      </c>
      <c r="L2549" s="17"/>
      <c r="M2549" s="15">
        <f t="shared" si="122"/>
        <v>0</v>
      </c>
      <c r="N2549" s="56">
        <f>100*L2549</f>
        <v>0</v>
      </c>
      <c r="O2549" s="19">
        <f>0.00025*L2549</f>
        <v>0</v>
      </c>
      <c r="P2549" s="24" t="s">
        <v>26</v>
      </c>
      <c r="Q2549" s="15"/>
      <c r="R2549" s="15" t="s">
        <v>611</v>
      </c>
      <c r="S2549" s="10" t="str">
        <f>HYPERLINK("https://miland.ru/api/getInfo/image/398f8e67-d9bc-11f0-a28c-00155d82e908")</f>
        <v>https://miland.ru/api/getInfo/image/398f8e67-d9bc-11f0-a28c-00155d82e908</v>
      </c>
    </row>
    <row r="2550" spans="1:19" s="2" customFormat="1" ht="96.2" customHeight="1" outlineLevel="7">
      <c r="A2550" s="52">
        <v>2009</v>
      </c>
      <c r="B2550" s="26" t="s">
        <v>8457</v>
      </c>
      <c r="C2550" s="66" t="s">
        <v>8458</v>
      </c>
      <c r="D2550" s="66"/>
      <c r="E2550" s="66"/>
      <c r="F2550" s="66"/>
      <c r="G2550" s="27" t="s">
        <v>8456</v>
      </c>
      <c r="H2550" s="33">
        <v>144</v>
      </c>
      <c r="I2550" s="29"/>
      <c r="J2550" s="25">
        <v>36</v>
      </c>
      <c r="K2550" s="30">
        <v>80.739999999999995</v>
      </c>
      <c r="L2550" s="17"/>
      <c r="M2550" s="29">
        <f t="shared" si="122"/>
        <v>0</v>
      </c>
      <c r="N2550" s="31">
        <f>0.007*L2550</f>
        <v>0</v>
      </c>
      <c r="O2550" s="32">
        <f>0.00149*L2550</f>
        <v>0</v>
      </c>
      <c r="P2550" s="36"/>
      <c r="Q2550" s="29" t="s">
        <v>8459</v>
      </c>
      <c r="R2550" s="29"/>
      <c r="S2550" s="26" t="str">
        <f>HYPERLINK("https://miland.ru/api/getInfo/image/e824fde6-2f04-11f0-a27c-00155d82e908")</f>
        <v>https://miland.ru/api/getInfo/image/e824fde6-2f04-11f0-a27c-00155d82e908</v>
      </c>
    </row>
    <row r="2551" spans="1:19" s="2" customFormat="1" ht="96.2" customHeight="1" outlineLevel="7">
      <c r="A2551" s="52">
        <v>2010</v>
      </c>
      <c r="B2551" s="26" t="s">
        <v>8460</v>
      </c>
      <c r="C2551" s="66" t="s">
        <v>8461</v>
      </c>
      <c r="D2551" s="66"/>
      <c r="E2551" s="66"/>
      <c r="F2551" s="66"/>
      <c r="G2551" s="27" t="s">
        <v>8462</v>
      </c>
      <c r="H2551" s="28" t="s">
        <v>44</v>
      </c>
      <c r="I2551" s="29"/>
      <c r="J2551" s="25">
        <v>12</v>
      </c>
      <c r="K2551" s="30">
        <v>111.34</v>
      </c>
      <c r="L2551" s="17"/>
      <c r="M2551" s="29">
        <f t="shared" si="122"/>
        <v>0</v>
      </c>
      <c r="N2551" s="31">
        <f>0.115*L2551</f>
        <v>0</v>
      </c>
      <c r="O2551" s="32">
        <f>0.00152*L2551</f>
        <v>0</v>
      </c>
      <c r="P2551" s="36"/>
      <c r="Q2551" s="29" t="s">
        <v>8463</v>
      </c>
      <c r="R2551" s="29" t="s">
        <v>611</v>
      </c>
      <c r="S2551" s="26" t="str">
        <f>HYPERLINK("https://miland.ru/api/getInfo/image/a88aac5f-a34c-11ef-a267-00155d82e908")</f>
        <v>https://miland.ru/api/getInfo/image/a88aac5f-a34c-11ef-a267-00155d82e908</v>
      </c>
    </row>
    <row r="2552" spans="1:19" s="2" customFormat="1" ht="96.2" customHeight="1" outlineLevel="7">
      <c r="A2552" s="52">
        <v>2011</v>
      </c>
      <c r="B2552" s="26" t="s">
        <v>8464</v>
      </c>
      <c r="C2552" s="66" t="s">
        <v>8465</v>
      </c>
      <c r="D2552" s="66"/>
      <c r="E2552" s="66"/>
      <c r="F2552" s="66"/>
      <c r="G2552" s="27" t="s">
        <v>8466</v>
      </c>
      <c r="H2552" s="33">
        <v>396</v>
      </c>
      <c r="I2552" s="29"/>
      <c r="J2552" s="25">
        <v>36</v>
      </c>
      <c r="K2552" s="30">
        <v>80.739999999999995</v>
      </c>
      <c r="L2552" s="17"/>
      <c r="M2552" s="29">
        <f t="shared" si="122"/>
        <v>0</v>
      </c>
      <c r="N2552" s="31">
        <f t="shared" ref="N2552:N2558" si="123">0.007*L2552</f>
        <v>0</v>
      </c>
      <c r="O2552" s="32">
        <f t="shared" ref="O2552:O2558" si="124">0.00149*L2552</f>
        <v>0</v>
      </c>
      <c r="P2552" s="36"/>
      <c r="Q2552" s="29" t="s">
        <v>8467</v>
      </c>
      <c r="R2552" s="29"/>
      <c r="S2552" s="26" t="str">
        <f>HYPERLINK("https://miland.ru/api/getInfo/image/99302773-2f04-11f0-a27c-00155d82e908")</f>
        <v>https://miland.ru/api/getInfo/image/99302773-2f04-11f0-a27c-00155d82e908</v>
      </c>
    </row>
    <row r="2553" spans="1:19" s="2" customFormat="1" ht="96.2" customHeight="1" outlineLevel="7">
      <c r="A2553" s="52">
        <v>2012</v>
      </c>
      <c r="B2553" s="26" t="s">
        <v>8468</v>
      </c>
      <c r="C2553" s="66" t="s">
        <v>8469</v>
      </c>
      <c r="D2553" s="66"/>
      <c r="E2553" s="66"/>
      <c r="F2553" s="66"/>
      <c r="G2553" s="27" t="s">
        <v>8470</v>
      </c>
      <c r="H2553" s="33">
        <v>120</v>
      </c>
      <c r="I2553" s="29"/>
      <c r="J2553" s="25">
        <v>36</v>
      </c>
      <c r="K2553" s="30">
        <v>80.739999999999995</v>
      </c>
      <c r="L2553" s="17"/>
      <c r="M2553" s="29">
        <f t="shared" si="122"/>
        <v>0</v>
      </c>
      <c r="N2553" s="31">
        <f t="shared" si="123"/>
        <v>0</v>
      </c>
      <c r="O2553" s="32">
        <f t="shared" si="124"/>
        <v>0</v>
      </c>
      <c r="P2553" s="36"/>
      <c r="Q2553" s="29" t="s">
        <v>8471</v>
      </c>
      <c r="R2553" s="29"/>
      <c r="S2553" s="26" t="str">
        <f>HYPERLINK("https://miland.ru/api/getInfo/image/1899de3a-2f05-11f0-a27c-00155d82e908")</f>
        <v>https://miland.ru/api/getInfo/image/1899de3a-2f05-11f0-a27c-00155d82e908</v>
      </c>
    </row>
    <row r="2554" spans="1:19" s="2" customFormat="1" ht="96.2" customHeight="1" outlineLevel="7">
      <c r="A2554" s="52">
        <v>2013</v>
      </c>
      <c r="B2554" s="26" t="s">
        <v>8472</v>
      </c>
      <c r="C2554" s="66" t="s">
        <v>8473</v>
      </c>
      <c r="D2554" s="66"/>
      <c r="E2554" s="66"/>
      <c r="F2554" s="66"/>
      <c r="G2554" s="27" t="s">
        <v>8474</v>
      </c>
      <c r="H2554" s="33">
        <v>108</v>
      </c>
      <c r="I2554" s="29"/>
      <c r="J2554" s="25">
        <v>36</v>
      </c>
      <c r="K2554" s="30">
        <v>80.739999999999995</v>
      </c>
      <c r="L2554" s="17"/>
      <c r="M2554" s="29">
        <f t="shared" si="122"/>
        <v>0</v>
      </c>
      <c r="N2554" s="31">
        <f t="shared" si="123"/>
        <v>0</v>
      </c>
      <c r="O2554" s="32">
        <f t="shared" si="124"/>
        <v>0</v>
      </c>
      <c r="P2554" s="36"/>
      <c r="Q2554" s="29" t="s">
        <v>8475</v>
      </c>
      <c r="R2554" s="29"/>
      <c r="S2554" s="26" t="str">
        <f>HYPERLINK("https://miland.ru/api/getInfo/image/3f83538f-2f05-11f0-a27c-00155d82e908")</f>
        <v>https://miland.ru/api/getInfo/image/3f83538f-2f05-11f0-a27c-00155d82e908</v>
      </c>
    </row>
    <row r="2555" spans="1:19" s="2" customFormat="1" ht="96.2" customHeight="1" outlineLevel="7">
      <c r="A2555" s="53">
        <v>2014</v>
      </c>
      <c r="B2555" s="10" t="s">
        <v>8476</v>
      </c>
      <c r="C2555" s="65" t="s">
        <v>8477</v>
      </c>
      <c r="D2555" s="65"/>
      <c r="E2555" s="65"/>
      <c r="F2555" s="65"/>
      <c r="G2555" s="11" t="s">
        <v>8478</v>
      </c>
      <c r="H2555" s="14">
        <v>216</v>
      </c>
      <c r="I2555" s="15"/>
      <c r="J2555" s="9">
        <v>48</v>
      </c>
      <c r="K2555" s="16">
        <v>80.739999999999995</v>
      </c>
      <c r="L2555" s="17"/>
      <c r="M2555" s="15">
        <f t="shared" si="122"/>
        <v>0</v>
      </c>
      <c r="N2555" s="18">
        <f t="shared" si="123"/>
        <v>0</v>
      </c>
      <c r="O2555" s="19">
        <f t="shared" si="124"/>
        <v>0</v>
      </c>
      <c r="P2555" s="24" t="s">
        <v>26</v>
      </c>
      <c r="Q2555" s="15" t="s">
        <v>8479</v>
      </c>
      <c r="R2555" s="15"/>
      <c r="S2555" s="10" t="str">
        <f>HYPERLINK("https://miland.ru/api/getInfo/image/14922728-2f06-11f0-a27c-00155d82e908")</f>
        <v>https://miland.ru/api/getInfo/image/14922728-2f06-11f0-a27c-00155d82e908</v>
      </c>
    </row>
    <row r="2556" spans="1:19" s="2" customFormat="1" ht="96.2" customHeight="1" outlineLevel="7">
      <c r="A2556" s="52">
        <v>2015</v>
      </c>
      <c r="B2556" s="26" t="s">
        <v>8480</v>
      </c>
      <c r="C2556" s="66" t="s">
        <v>8481</v>
      </c>
      <c r="D2556" s="66"/>
      <c r="E2556" s="66"/>
      <c r="F2556" s="66"/>
      <c r="G2556" s="27" t="s">
        <v>8482</v>
      </c>
      <c r="H2556" s="33">
        <v>468</v>
      </c>
      <c r="I2556" s="29"/>
      <c r="J2556" s="25">
        <v>36</v>
      </c>
      <c r="K2556" s="30">
        <v>80.739999999999995</v>
      </c>
      <c r="L2556" s="17"/>
      <c r="M2556" s="29">
        <f t="shared" si="122"/>
        <v>0</v>
      </c>
      <c r="N2556" s="31">
        <f t="shared" si="123"/>
        <v>0</v>
      </c>
      <c r="O2556" s="32">
        <f t="shared" si="124"/>
        <v>0</v>
      </c>
      <c r="P2556" s="36"/>
      <c r="Q2556" s="29" t="s">
        <v>8483</v>
      </c>
      <c r="R2556" s="29"/>
      <c r="S2556" s="26" t="str">
        <f>HYPERLINK("https://miland.ru/api/getInfo/image/cb568611-2f04-11f0-a27c-00155d82e908")</f>
        <v>https://miland.ru/api/getInfo/image/cb568611-2f04-11f0-a27c-00155d82e908</v>
      </c>
    </row>
    <row r="2557" spans="1:19" s="2" customFormat="1" ht="96.2" customHeight="1" outlineLevel="7">
      <c r="A2557" s="53">
        <v>2016</v>
      </c>
      <c r="B2557" s="10" t="s">
        <v>8484</v>
      </c>
      <c r="C2557" s="65" t="s">
        <v>8485</v>
      </c>
      <c r="D2557" s="65"/>
      <c r="E2557" s="65"/>
      <c r="F2557" s="65"/>
      <c r="G2557" s="11" t="s">
        <v>8486</v>
      </c>
      <c r="H2557" s="21" t="s">
        <v>44</v>
      </c>
      <c r="I2557" s="15"/>
      <c r="J2557" s="9">
        <v>48</v>
      </c>
      <c r="K2557" s="16">
        <v>80.739999999999995</v>
      </c>
      <c r="L2557" s="17"/>
      <c r="M2557" s="15">
        <f t="shared" si="122"/>
        <v>0</v>
      </c>
      <c r="N2557" s="18">
        <f t="shared" si="123"/>
        <v>0</v>
      </c>
      <c r="O2557" s="19">
        <f t="shared" si="124"/>
        <v>0</v>
      </c>
      <c r="P2557" s="24" t="s">
        <v>26</v>
      </c>
      <c r="Q2557" s="15" t="s">
        <v>8487</v>
      </c>
      <c r="R2557" s="15"/>
      <c r="S2557" s="10" t="str">
        <f>HYPERLINK("https://miland.ru/api/getInfo/image/3d4cb0df-2f06-11f0-a27c-00155d82e908")</f>
        <v>https://miland.ru/api/getInfo/image/3d4cb0df-2f06-11f0-a27c-00155d82e908</v>
      </c>
    </row>
    <row r="2558" spans="1:19" s="2" customFormat="1" ht="96.2" customHeight="1" outlineLevel="7">
      <c r="A2558" s="52">
        <v>2017</v>
      </c>
      <c r="B2558" s="26" t="s">
        <v>8488</v>
      </c>
      <c r="C2558" s="66" t="s">
        <v>8489</v>
      </c>
      <c r="D2558" s="66"/>
      <c r="E2558" s="66"/>
      <c r="F2558" s="66"/>
      <c r="G2558" s="27" t="s">
        <v>8490</v>
      </c>
      <c r="H2558" s="33">
        <v>324</v>
      </c>
      <c r="I2558" s="29"/>
      <c r="J2558" s="25">
        <v>36</v>
      </c>
      <c r="K2558" s="30">
        <v>80.739999999999995</v>
      </c>
      <c r="L2558" s="17"/>
      <c r="M2558" s="29">
        <f t="shared" si="122"/>
        <v>0</v>
      </c>
      <c r="N2558" s="31">
        <f t="shared" si="123"/>
        <v>0</v>
      </c>
      <c r="O2558" s="32">
        <f t="shared" si="124"/>
        <v>0</v>
      </c>
      <c r="P2558" s="36"/>
      <c r="Q2558" s="29" t="s">
        <v>8491</v>
      </c>
      <c r="R2558" s="29"/>
      <c r="S2558" s="26" t="str">
        <f>HYPERLINK("https://miland.ru/api/getInfo/image/6823ae25-2f05-11f0-a27c-00155d82e908")</f>
        <v>https://miland.ru/api/getInfo/image/6823ae25-2f05-11f0-a27c-00155d82e908</v>
      </c>
    </row>
    <row r="2559" spans="1:19" s="2" customFormat="1" ht="96.2" customHeight="1" outlineLevel="7">
      <c r="A2559" s="52">
        <v>2018</v>
      </c>
      <c r="B2559" s="26" t="s">
        <v>8492</v>
      </c>
      <c r="C2559" s="66" t="s">
        <v>8493</v>
      </c>
      <c r="D2559" s="66"/>
      <c r="E2559" s="66"/>
      <c r="F2559" s="66"/>
      <c r="G2559" s="27" t="s">
        <v>8494</v>
      </c>
      <c r="H2559" s="28" t="s">
        <v>44</v>
      </c>
      <c r="I2559" s="29"/>
      <c r="J2559" s="25">
        <v>12</v>
      </c>
      <c r="K2559" s="30">
        <v>111.34</v>
      </c>
      <c r="L2559" s="17"/>
      <c r="M2559" s="29">
        <f t="shared" si="122"/>
        <v>0</v>
      </c>
      <c r="N2559" s="31">
        <f>0.137*L2559</f>
        <v>0</v>
      </c>
      <c r="O2559" s="32">
        <f>0.00186*L2559</f>
        <v>0</v>
      </c>
      <c r="P2559" s="36"/>
      <c r="Q2559" s="29" t="s">
        <v>8495</v>
      </c>
      <c r="R2559" s="29" t="s">
        <v>611</v>
      </c>
      <c r="S2559" s="26" t="str">
        <f>HYPERLINK("https://miland.ru/api/getInfo/image/69802939-a34c-11ef-a267-00155d82e908")</f>
        <v>https://miland.ru/api/getInfo/image/69802939-a34c-11ef-a267-00155d82e908</v>
      </c>
    </row>
    <row r="2560" spans="1:19" s="2" customFormat="1" ht="96.2" customHeight="1" outlineLevel="7">
      <c r="A2560" s="53">
        <v>2019</v>
      </c>
      <c r="B2560" s="10" t="s">
        <v>8496</v>
      </c>
      <c r="C2560" s="65" t="s">
        <v>8497</v>
      </c>
      <c r="D2560" s="65"/>
      <c r="E2560" s="65"/>
      <c r="F2560" s="65"/>
      <c r="G2560" s="11" t="s">
        <v>8490</v>
      </c>
      <c r="H2560" s="14">
        <v>30</v>
      </c>
      <c r="I2560" s="15"/>
      <c r="J2560" s="9">
        <v>30</v>
      </c>
      <c r="K2560" s="16">
        <v>111.34</v>
      </c>
      <c r="L2560" s="17"/>
      <c r="M2560" s="15">
        <f t="shared" si="122"/>
        <v>0</v>
      </c>
      <c r="N2560" s="23">
        <f>0.11*L2560</f>
        <v>0</v>
      </c>
      <c r="O2560" s="19">
        <f>0.00062*L2560</f>
        <v>0</v>
      </c>
      <c r="P2560" s="24" t="s">
        <v>26</v>
      </c>
      <c r="Q2560" s="15"/>
      <c r="R2560" s="15" t="s">
        <v>611</v>
      </c>
      <c r="S2560" s="10" t="str">
        <f>HYPERLINK("https://miland.ru/api/getInfo/image/fce80802-da7e-11f0-a28c-00155d82e908")</f>
        <v>https://miland.ru/api/getInfo/image/fce80802-da7e-11f0-a28c-00155d82e908</v>
      </c>
    </row>
    <row r="2561" spans="1:19" s="2" customFormat="1" ht="96.2" customHeight="1" outlineLevel="7">
      <c r="A2561" s="53">
        <v>2020</v>
      </c>
      <c r="B2561" s="10" t="s">
        <v>8498</v>
      </c>
      <c r="C2561" s="65" t="s">
        <v>8499</v>
      </c>
      <c r="D2561" s="65"/>
      <c r="E2561" s="65"/>
      <c r="F2561" s="65"/>
      <c r="G2561" s="11" t="s">
        <v>8500</v>
      </c>
      <c r="H2561" s="14">
        <v>132</v>
      </c>
      <c r="I2561" s="15"/>
      <c r="J2561" s="9">
        <v>60</v>
      </c>
      <c r="K2561" s="16">
        <v>80.739999999999995</v>
      </c>
      <c r="L2561" s="17"/>
      <c r="M2561" s="15">
        <f t="shared" si="122"/>
        <v>0</v>
      </c>
      <c r="N2561" s="18">
        <f>0.007*L2561</f>
        <v>0</v>
      </c>
      <c r="O2561" s="19">
        <f>0.00149*L2561</f>
        <v>0</v>
      </c>
      <c r="P2561" s="24" t="s">
        <v>26</v>
      </c>
      <c r="Q2561" s="15" t="s">
        <v>8501</v>
      </c>
      <c r="R2561" s="15"/>
      <c r="S2561" s="10" t="str">
        <f>HYPERLINK("https://miland.ru/api/getInfo/image/4d19207b-2f04-11f0-a27c-00155d82e908")</f>
        <v>https://miland.ru/api/getInfo/image/4d19207b-2f04-11f0-a27c-00155d82e908</v>
      </c>
    </row>
    <row r="2562" spans="1:19" s="2" customFormat="1" ht="96.2" customHeight="1" outlineLevel="7">
      <c r="A2562" s="53">
        <v>2021</v>
      </c>
      <c r="B2562" s="10" t="s">
        <v>8502</v>
      </c>
      <c r="C2562" s="65" t="s">
        <v>8503</v>
      </c>
      <c r="D2562" s="65"/>
      <c r="E2562" s="65"/>
      <c r="F2562" s="65"/>
      <c r="G2562" s="11" t="s">
        <v>8470</v>
      </c>
      <c r="H2562" s="14">
        <v>90</v>
      </c>
      <c r="I2562" s="15"/>
      <c r="J2562" s="9">
        <v>30</v>
      </c>
      <c r="K2562" s="16">
        <v>111.34</v>
      </c>
      <c r="L2562" s="17"/>
      <c r="M2562" s="15">
        <f t="shared" si="122"/>
        <v>0</v>
      </c>
      <c r="N2562" s="23">
        <f>0.11*L2562</f>
        <v>0</v>
      </c>
      <c r="O2562" s="19">
        <f>0.00061*L2562</f>
        <v>0</v>
      </c>
      <c r="P2562" s="24" t="s">
        <v>26</v>
      </c>
      <c r="Q2562" s="15"/>
      <c r="R2562" s="15" t="s">
        <v>611</v>
      </c>
      <c r="S2562" s="10" t="str">
        <f>HYPERLINK("https://miland.ru/api/getInfo/image/29f5051d-da7e-11f0-a28c-00155d82e908")</f>
        <v>https://miland.ru/api/getInfo/image/29f5051d-da7e-11f0-a28c-00155d82e908</v>
      </c>
    </row>
    <row r="2563" spans="1:19" s="2" customFormat="1" ht="96.2" customHeight="1" outlineLevel="7">
      <c r="A2563" s="53">
        <v>2022</v>
      </c>
      <c r="B2563" s="10" t="s">
        <v>8504</v>
      </c>
      <c r="C2563" s="65" t="s">
        <v>8505</v>
      </c>
      <c r="D2563" s="65"/>
      <c r="E2563" s="65"/>
      <c r="F2563" s="65"/>
      <c r="G2563" s="11" t="s">
        <v>8506</v>
      </c>
      <c r="H2563" s="21" t="s">
        <v>44</v>
      </c>
      <c r="I2563" s="15"/>
      <c r="J2563" s="9">
        <v>12</v>
      </c>
      <c r="K2563" s="16">
        <v>111.34</v>
      </c>
      <c r="L2563" s="17"/>
      <c r="M2563" s="15">
        <f t="shared" si="122"/>
        <v>0</v>
      </c>
      <c r="N2563" s="18">
        <f>0.101*L2563</f>
        <v>0</v>
      </c>
      <c r="O2563" s="19">
        <f>0.00074*L2563</f>
        <v>0</v>
      </c>
      <c r="P2563" s="24" t="s">
        <v>26</v>
      </c>
      <c r="Q2563" s="15" t="s">
        <v>8507</v>
      </c>
      <c r="R2563" s="15"/>
      <c r="S2563" s="10" t="str">
        <f>HYPERLINK("https://miland.ru/api/getInfo/image/87a7dec1-fb83-11f0-a28e-00155d82e908")</f>
        <v>https://miland.ru/api/getInfo/image/87a7dec1-fb83-11f0-a28e-00155d82e908</v>
      </c>
    </row>
    <row r="2564" spans="1:19" s="2" customFormat="1" ht="96.2" customHeight="1" outlineLevel="7">
      <c r="A2564" s="53">
        <v>2023</v>
      </c>
      <c r="B2564" s="10" t="s">
        <v>8508</v>
      </c>
      <c r="C2564" s="65" t="s">
        <v>8509</v>
      </c>
      <c r="D2564" s="65"/>
      <c r="E2564" s="65"/>
      <c r="F2564" s="65"/>
      <c r="G2564" s="11" t="s">
        <v>8510</v>
      </c>
      <c r="H2564" s="21" t="s">
        <v>44</v>
      </c>
      <c r="I2564" s="15"/>
      <c r="J2564" s="9">
        <v>12</v>
      </c>
      <c r="K2564" s="16">
        <v>111.34</v>
      </c>
      <c r="L2564" s="17"/>
      <c r="M2564" s="15">
        <f t="shared" si="122"/>
        <v>0</v>
      </c>
      <c r="N2564" s="55">
        <f>0.1*L2564</f>
        <v>0</v>
      </c>
      <c r="O2564" s="19">
        <f>0.00022*L2564</f>
        <v>0</v>
      </c>
      <c r="P2564" s="24" t="s">
        <v>26</v>
      </c>
      <c r="Q2564" s="15" t="s">
        <v>8511</v>
      </c>
      <c r="R2564" s="15"/>
      <c r="S2564" s="10" t="str">
        <f>HYPERLINK("https://miland.ru/api/getInfo/image/36f8fb9b-fb83-11f0-a28e-00155d82e908")</f>
        <v>https://miland.ru/api/getInfo/image/36f8fb9b-fb83-11f0-a28e-00155d82e908</v>
      </c>
    </row>
    <row r="2565" spans="1:19" s="2" customFormat="1" ht="96.2" customHeight="1" outlineLevel="7">
      <c r="A2565" s="53">
        <v>2024</v>
      </c>
      <c r="B2565" s="10" t="s">
        <v>8512</v>
      </c>
      <c r="C2565" s="65" t="s">
        <v>8513</v>
      </c>
      <c r="D2565" s="65"/>
      <c r="E2565" s="65"/>
      <c r="F2565" s="65"/>
      <c r="G2565" s="11" t="s">
        <v>8514</v>
      </c>
      <c r="H2565" s="21" t="s">
        <v>44</v>
      </c>
      <c r="I2565" s="15"/>
      <c r="J2565" s="9">
        <v>12</v>
      </c>
      <c r="K2565" s="16">
        <v>111.34</v>
      </c>
      <c r="L2565" s="17"/>
      <c r="M2565" s="15">
        <f t="shared" si="122"/>
        <v>0</v>
      </c>
      <c r="N2565" s="18">
        <f>0.099*L2565</f>
        <v>0</v>
      </c>
      <c r="O2565" s="19">
        <f>0.00227*L2565</f>
        <v>0</v>
      </c>
      <c r="P2565" s="24" t="s">
        <v>26</v>
      </c>
      <c r="Q2565" s="15" t="s">
        <v>8515</v>
      </c>
      <c r="R2565" s="15"/>
      <c r="S2565" s="10" t="str">
        <f>HYPERLINK("https://miland.ru/api/getInfo/image/830a0076-fb85-11f0-a28e-00155d82e908")</f>
        <v>https://miland.ru/api/getInfo/image/830a0076-fb85-11f0-a28e-00155d82e908</v>
      </c>
    </row>
    <row r="2566" spans="1:19" s="2" customFormat="1" ht="96.2" customHeight="1" outlineLevel="7">
      <c r="A2566" s="52">
        <v>2025</v>
      </c>
      <c r="B2566" s="26" t="s">
        <v>8516</v>
      </c>
      <c r="C2566" s="66" t="s">
        <v>8517</v>
      </c>
      <c r="D2566" s="66"/>
      <c r="E2566" s="66"/>
      <c r="F2566" s="66"/>
      <c r="G2566" s="27" t="s">
        <v>8518</v>
      </c>
      <c r="H2566" s="28" t="s">
        <v>44</v>
      </c>
      <c r="I2566" s="29"/>
      <c r="J2566" s="25">
        <v>12</v>
      </c>
      <c r="K2566" s="30">
        <v>111.34</v>
      </c>
      <c r="L2566" s="17"/>
      <c r="M2566" s="29">
        <f t="shared" si="122"/>
        <v>0</v>
      </c>
      <c r="N2566" s="31">
        <f>0.114*L2566</f>
        <v>0</v>
      </c>
      <c r="O2566" s="32">
        <f>0.00182*L2566</f>
        <v>0</v>
      </c>
      <c r="P2566" s="36"/>
      <c r="Q2566" s="29" t="s">
        <v>8519</v>
      </c>
      <c r="R2566" s="29" t="s">
        <v>611</v>
      </c>
      <c r="S2566" s="26" t="str">
        <f>HYPERLINK("https://miland.ru/api/getInfo/image/f2700f81-a34c-11ef-a267-00155d82e908")</f>
        <v>https://miland.ru/api/getInfo/image/f2700f81-a34c-11ef-a267-00155d82e908</v>
      </c>
    </row>
    <row r="2567" spans="1:19" s="1" customFormat="1" ht="12" customHeight="1" outlineLevel="7">
      <c r="A2567" s="64" t="s">
        <v>8520</v>
      </c>
      <c r="B2567" s="64"/>
      <c r="C2567" s="64"/>
      <c r="D2567" s="64"/>
      <c r="E2567" s="64"/>
      <c r="F2567" s="64"/>
      <c r="G2567" s="8"/>
      <c r="H2567" s="12"/>
      <c r="I2567" s="2"/>
      <c r="J2567" s="2"/>
      <c r="K2567" s="13"/>
      <c r="L2567" s="2"/>
      <c r="M2567" s="2"/>
      <c r="N2567" s="2"/>
      <c r="O2567" s="2"/>
      <c r="P2567" s="2"/>
      <c r="Q2567" s="2"/>
      <c r="R2567" s="2"/>
      <c r="S2567" s="2"/>
    </row>
    <row r="2568" spans="1:19" s="2" customFormat="1" ht="96.2" customHeight="1" outlineLevel="7">
      <c r="A2568" s="53">
        <v>2026</v>
      </c>
      <c r="B2568" s="10" t="s">
        <v>8521</v>
      </c>
      <c r="C2568" s="65" t="s">
        <v>8522</v>
      </c>
      <c r="D2568" s="65"/>
      <c r="E2568" s="65"/>
      <c r="F2568" s="65"/>
      <c r="G2568" s="11" t="s">
        <v>8523</v>
      </c>
      <c r="H2568" s="14">
        <v>30</v>
      </c>
      <c r="I2568" s="15"/>
      <c r="J2568" s="9">
        <v>30</v>
      </c>
      <c r="K2568" s="16">
        <v>111.34</v>
      </c>
      <c r="L2568" s="17"/>
      <c r="M2568" s="15">
        <f t="shared" ref="M2568:M2574" si="125">K2568*L2568</f>
        <v>0</v>
      </c>
      <c r="N2568" s="23">
        <f>0.11*L2568</f>
        <v>0</v>
      </c>
      <c r="O2568" s="19">
        <f>0.00001*L2568</f>
        <v>0</v>
      </c>
      <c r="P2568" s="24" t="s">
        <v>26</v>
      </c>
      <c r="Q2568" s="15"/>
      <c r="R2568" s="15" t="s">
        <v>611</v>
      </c>
      <c r="S2568" s="10" t="str">
        <f>HYPERLINK("https://miland.ru/api/getInfo/image/604d1c77-da5a-11f0-a28c-00155d82e908")</f>
        <v>https://miland.ru/api/getInfo/image/604d1c77-da5a-11f0-a28c-00155d82e908</v>
      </c>
    </row>
    <row r="2569" spans="1:19" s="2" customFormat="1" ht="96.2" customHeight="1" outlineLevel="7">
      <c r="A2569" s="53">
        <v>2027</v>
      </c>
      <c r="B2569" s="10" t="s">
        <v>8524</v>
      </c>
      <c r="C2569" s="65" t="s">
        <v>8525</v>
      </c>
      <c r="D2569" s="65"/>
      <c r="E2569" s="65"/>
      <c r="F2569" s="65"/>
      <c r="G2569" s="11" t="s">
        <v>8526</v>
      </c>
      <c r="H2569" s="14">
        <v>90</v>
      </c>
      <c r="I2569" s="15"/>
      <c r="J2569" s="9">
        <v>30</v>
      </c>
      <c r="K2569" s="16">
        <v>111.34</v>
      </c>
      <c r="L2569" s="17"/>
      <c r="M2569" s="15">
        <f t="shared" si="125"/>
        <v>0</v>
      </c>
      <c r="N2569" s="23">
        <f>0.21*L2569</f>
        <v>0</v>
      </c>
      <c r="O2569" s="19">
        <f>0.00062*L2569</f>
        <v>0</v>
      </c>
      <c r="P2569" s="24" t="s">
        <v>26</v>
      </c>
      <c r="Q2569" s="15"/>
      <c r="R2569" s="15" t="s">
        <v>611</v>
      </c>
      <c r="S2569" s="10" t="str">
        <f>HYPERLINK("https://miland.ru/api/getInfo/image/bad2e464-da5a-11f0-a28c-00155d82e908")</f>
        <v>https://miland.ru/api/getInfo/image/bad2e464-da5a-11f0-a28c-00155d82e908</v>
      </c>
    </row>
    <row r="2570" spans="1:19" s="2" customFormat="1" ht="96.2" customHeight="1" outlineLevel="7">
      <c r="A2570" s="52">
        <v>2028</v>
      </c>
      <c r="B2570" s="26" t="s">
        <v>8527</v>
      </c>
      <c r="C2570" s="66" t="s">
        <v>8528</v>
      </c>
      <c r="D2570" s="66"/>
      <c r="E2570" s="66"/>
      <c r="F2570" s="66"/>
      <c r="G2570" s="27" t="s">
        <v>8529</v>
      </c>
      <c r="H2570" s="28" t="s">
        <v>44</v>
      </c>
      <c r="I2570" s="29"/>
      <c r="J2570" s="25">
        <v>12</v>
      </c>
      <c r="K2570" s="30">
        <v>102.77</v>
      </c>
      <c r="L2570" s="17"/>
      <c r="M2570" s="29">
        <f t="shared" si="125"/>
        <v>0</v>
      </c>
      <c r="N2570" s="31">
        <f>0.113*L2570</f>
        <v>0</v>
      </c>
      <c r="O2570" s="32">
        <f>0.00058*L2570</f>
        <v>0</v>
      </c>
      <c r="P2570" s="36"/>
      <c r="Q2570" s="29" t="s">
        <v>8530</v>
      </c>
      <c r="R2570" s="29" t="s">
        <v>611</v>
      </c>
      <c r="S2570" s="26" t="str">
        <f>HYPERLINK("https://miland.ru/api/getInfo/image/da627229-b6d1-11ef-a267-00155d82e908")</f>
        <v>https://miland.ru/api/getInfo/image/da627229-b6d1-11ef-a267-00155d82e908</v>
      </c>
    </row>
    <row r="2571" spans="1:19" s="2" customFormat="1" ht="96.2" customHeight="1" outlineLevel="7">
      <c r="A2571" s="52">
        <v>2029</v>
      </c>
      <c r="B2571" s="26" t="s">
        <v>8531</v>
      </c>
      <c r="C2571" s="66" t="s">
        <v>8532</v>
      </c>
      <c r="D2571" s="66"/>
      <c r="E2571" s="66"/>
      <c r="F2571" s="66"/>
      <c r="G2571" s="27" t="s">
        <v>8533</v>
      </c>
      <c r="H2571" s="33">
        <v>90</v>
      </c>
      <c r="I2571" s="29"/>
      <c r="J2571" s="25">
        <v>36</v>
      </c>
      <c r="K2571" s="30">
        <v>111.34</v>
      </c>
      <c r="L2571" s="17"/>
      <c r="M2571" s="29">
        <f t="shared" si="125"/>
        <v>0</v>
      </c>
      <c r="N2571" s="41">
        <f>0.1*L2571</f>
        <v>0</v>
      </c>
      <c r="O2571" s="32">
        <f>0.00061*L2571</f>
        <v>0</v>
      </c>
      <c r="P2571" s="36"/>
      <c r="Q2571" s="29" t="s">
        <v>8534</v>
      </c>
      <c r="R2571" s="29" t="s">
        <v>611</v>
      </c>
      <c r="S2571" s="26" t="str">
        <f>HYPERLINK("https://miland.ru/api/getInfo/image/148328e8-da5a-11f0-a28c-00155d82e908")</f>
        <v>https://miland.ru/api/getInfo/image/148328e8-da5a-11f0-a28c-00155d82e908</v>
      </c>
    </row>
    <row r="2572" spans="1:19" s="2" customFormat="1" ht="96.2" customHeight="1" outlineLevel="7">
      <c r="A2572" s="52">
        <v>2030</v>
      </c>
      <c r="B2572" s="26" t="s">
        <v>8535</v>
      </c>
      <c r="C2572" s="66" t="s">
        <v>8536</v>
      </c>
      <c r="D2572" s="66"/>
      <c r="E2572" s="66"/>
      <c r="F2572" s="66"/>
      <c r="G2572" s="27" t="s">
        <v>8537</v>
      </c>
      <c r="H2572" s="33">
        <v>60</v>
      </c>
      <c r="I2572" s="29"/>
      <c r="J2572" s="25">
        <v>12</v>
      </c>
      <c r="K2572" s="30">
        <v>111.34</v>
      </c>
      <c r="L2572" s="17"/>
      <c r="M2572" s="29">
        <f t="shared" si="125"/>
        <v>0</v>
      </c>
      <c r="N2572" s="31">
        <f>0.103*L2572</f>
        <v>0</v>
      </c>
      <c r="O2572" s="32">
        <f>0.00102*L2572</f>
        <v>0</v>
      </c>
      <c r="P2572" s="36"/>
      <c r="Q2572" s="29" t="s">
        <v>8538</v>
      </c>
      <c r="R2572" s="29" t="s">
        <v>611</v>
      </c>
      <c r="S2572" s="26" t="str">
        <f>HYPERLINK("https://miland.ru/api/getInfo/image/01572ead-e526-11ee-a25a-00155d82e908")</f>
        <v>https://miland.ru/api/getInfo/image/01572ead-e526-11ee-a25a-00155d82e908</v>
      </c>
    </row>
    <row r="2573" spans="1:19" s="2" customFormat="1" ht="96.2" customHeight="1" outlineLevel="7">
      <c r="A2573" s="52">
        <v>2031</v>
      </c>
      <c r="B2573" s="26" t="s">
        <v>8539</v>
      </c>
      <c r="C2573" s="66" t="s">
        <v>8540</v>
      </c>
      <c r="D2573" s="66"/>
      <c r="E2573" s="66"/>
      <c r="F2573" s="66"/>
      <c r="G2573" s="27" t="s">
        <v>8526</v>
      </c>
      <c r="H2573" s="33">
        <v>156</v>
      </c>
      <c r="I2573" s="29"/>
      <c r="J2573" s="25">
        <v>36</v>
      </c>
      <c r="K2573" s="30">
        <v>83.68</v>
      </c>
      <c r="L2573" s="17"/>
      <c r="M2573" s="29">
        <f t="shared" si="125"/>
        <v>0</v>
      </c>
      <c r="N2573" s="31">
        <f>0.007*L2573</f>
        <v>0</v>
      </c>
      <c r="O2573" s="32">
        <f>0.00149*L2573</f>
        <v>0</v>
      </c>
      <c r="P2573" s="36"/>
      <c r="Q2573" s="29" t="s">
        <v>8541</v>
      </c>
      <c r="R2573" s="29"/>
      <c r="S2573" s="26" t="str">
        <f>HYPERLINK("https://miland.ru/api/getInfo/image/dc670678-2f06-11f0-a27c-00155d82e908")</f>
        <v>https://miland.ru/api/getInfo/image/dc670678-2f06-11f0-a27c-00155d82e908</v>
      </c>
    </row>
    <row r="2574" spans="1:19" s="2" customFormat="1" ht="96.2" customHeight="1" outlineLevel="7">
      <c r="A2574" s="52">
        <v>2032</v>
      </c>
      <c r="B2574" s="26" t="s">
        <v>8542</v>
      </c>
      <c r="C2574" s="66" t="s">
        <v>8543</v>
      </c>
      <c r="D2574" s="66"/>
      <c r="E2574" s="66"/>
      <c r="F2574" s="66"/>
      <c r="G2574" s="27" t="s">
        <v>8544</v>
      </c>
      <c r="H2574" s="33">
        <v>180</v>
      </c>
      <c r="I2574" s="29"/>
      <c r="J2574" s="25">
        <v>36</v>
      </c>
      <c r="K2574" s="30">
        <v>83.68</v>
      </c>
      <c r="L2574" s="17"/>
      <c r="M2574" s="29">
        <f t="shared" si="125"/>
        <v>0</v>
      </c>
      <c r="N2574" s="31">
        <f>0.007*L2574</f>
        <v>0</v>
      </c>
      <c r="O2574" s="32">
        <f>0.00149*L2574</f>
        <v>0</v>
      </c>
      <c r="P2574" s="36"/>
      <c r="Q2574" s="29" t="s">
        <v>8545</v>
      </c>
      <c r="R2574" s="29"/>
      <c r="S2574" s="26" t="str">
        <f>HYPERLINK("https://miland.ru/api/getInfo/image/feb6cd89-2f06-11f0-a27c-00155d82e908")</f>
        <v>https://miland.ru/api/getInfo/image/feb6cd89-2f06-11f0-a27c-00155d82e908</v>
      </c>
    </row>
    <row r="2575" spans="1:19" s="1" customFormat="1" ht="12" customHeight="1" outlineLevel="7">
      <c r="A2575" s="64" t="s">
        <v>8546</v>
      </c>
      <c r="B2575" s="64"/>
      <c r="C2575" s="64"/>
      <c r="D2575" s="64"/>
      <c r="E2575" s="64"/>
      <c r="F2575" s="64"/>
      <c r="G2575" s="8"/>
      <c r="H2575" s="12"/>
      <c r="I2575" s="2"/>
      <c r="J2575" s="2"/>
      <c r="K2575" s="13"/>
      <c r="L2575" s="2"/>
      <c r="M2575" s="2"/>
      <c r="N2575" s="2"/>
      <c r="O2575" s="2"/>
      <c r="P2575" s="2"/>
      <c r="Q2575" s="2"/>
      <c r="R2575" s="2"/>
      <c r="S2575" s="2"/>
    </row>
    <row r="2576" spans="1:19" s="2" customFormat="1" ht="96.2" customHeight="1" outlineLevel="7">
      <c r="A2576" s="52">
        <v>2033</v>
      </c>
      <c r="B2576" s="26" t="s">
        <v>8547</v>
      </c>
      <c r="C2576" s="66" t="s">
        <v>8548</v>
      </c>
      <c r="D2576" s="66"/>
      <c r="E2576" s="66"/>
      <c r="F2576" s="66"/>
      <c r="G2576" s="27" t="s">
        <v>8549</v>
      </c>
      <c r="H2576" s="28" t="s">
        <v>44</v>
      </c>
      <c r="I2576" s="29"/>
      <c r="J2576" s="25">
        <v>12</v>
      </c>
      <c r="K2576" s="30">
        <v>107.63</v>
      </c>
      <c r="L2576" s="17"/>
      <c r="M2576" s="29">
        <f>K2576*L2576</f>
        <v>0</v>
      </c>
      <c r="N2576" s="31">
        <f>0.107*L2576</f>
        <v>0</v>
      </c>
      <c r="O2576" s="32">
        <f>0.00037*L2576</f>
        <v>0</v>
      </c>
      <c r="P2576" s="36"/>
      <c r="Q2576" s="29" t="s">
        <v>8550</v>
      </c>
      <c r="R2576" s="29" t="s">
        <v>611</v>
      </c>
      <c r="S2576" s="26" t="str">
        <f>HYPERLINK("https://miland.ru/api/getInfo/image/2d481944-a34c-11ef-a267-00155d82e908")</f>
        <v>https://miland.ru/api/getInfo/image/2d481944-a34c-11ef-a267-00155d82e908</v>
      </c>
    </row>
    <row r="2577" spans="1:19" s="2" customFormat="1" ht="96.2" customHeight="1" outlineLevel="7">
      <c r="A2577" s="53">
        <v>2034</v>
      </c>
      <c r="B2577" s="10" t="s">
        <v>8551</v>
      </c>
      <c r="C2577" s="65" t="s">
        <v>8552</v>
      </c>
      <c r="D2577" s="65"/>
      <c r="E2577" s="65"/>
      <c r="F2577" s="65"/>
      <c r="G2577" s="11" t="s">
        <v>8553</v>
      </c>
      <c r="H2577" s="21" t="s">
        <v>44</v>
      </c>
      <c r="I2577" s="15"/>
      <c r="J2577" s="9">
        <v>12</v>
      </c>
      <c r="K2577" s="16">
        <v>107.63</v>
      </c>
      <c r="L2577" s="17"/>
      <c r="M2577" s="15">
        <f>K2577*L2577</f>
        <v>0</v>
      </c>
      <c r="N2577" s="18">
        <f>0.101*L2577</f>
        <v>0</v>
      </c>
      <c r="O2577" s="19">
        <f>0.00147*L2577</f>
        <v>0</v>
      </c>
      <c r="P2577" s="24" t="s">
        <v>26</v>
      </c>
      <c r="Q2577" s="15" t="s">
        <v>8554</v>
      </c>
      <c r="R2577" s="15"/>
      <c r="S2577" s="10" t="str">
        <f>HYPERLINK("https://miland.ru/api/getInfo/image/a528175c-fb85-11f0-a28e-00155d82e908")</f>
        <v>https://miland.ru/api/getInfo/image/a528175c-fb85-11f0-a28e-00155d82e908</v>
      </c>
    </row>
    <row r="2578" spans="1:19" s="1" customFormat="1" ht="12" customHeight="1" outlineLevel="6">
      <c r="A2578" s="64" t="s">
        <v>8555</v>
      </c>
      <c r="B2578" s="64"/>
      <c r="C2578" s="64"/>
      <c r="D2578" s="64"/>
      <c r="E2578" s="64"/>
      <c r="F2578" s="64"/>
      <c r="G2578" s="8"/>
      <c r="H2578" s="12"/>
      <c r="I2578" s="2"/>
      <c r="J2578" s="2"/>
      <c r="K2578" s="13"/>
      <c r="L2578" s="2"/>
      <c r="M2578" s="2"/>
      <c r="N2578" s="2"/>
      <c r="O2578" s="2"/>
      <c r="P2578" s="2"/>
      <c r="Q2578" s="2"/>
      <c r="R2578" s="2"/>
      <c r="S2578" s="2"/>
    </row>
    <row r="2579" spans="1:19" s="2" customFormat="1" ht="96.2" customHeight="1" outlineLevel="7">
      <c r="A2579" s="53">
        <v>2035</v>
      </c>
      <c r="B2579" s="10" t="s">
        <v>8556</v>
      </c>
      <c r="C2579" s="65" t="s">
        <v>8557</v>
      </c>
      <c r="D2579" s="65"/>
      <c r="E2579" s="65"/>
      <c r="F2579" s="65"/>
      <c r="G2579" s="11" t="s">
        <v>8558</v>
      </c>
      <c r="H2579" s="14">
        <v>90</v>
      </c>
      <c r="I2579" s="15"/>
      <c r="J2579" s="9">
        <v>30</v>
      </c>
      <c r="K2579" s="16">
        <v>90.46</v>
      </c>
      <c r="L2579" s="17"/>
      <c r="M2579" s="15">
        <f t="shared" ref="M2579:M2587" si="126">K2579*L2579</f>
        <v>0</v>
      </c>
      <c r="N2579" s="23">
        <f>0.09*L2579</f>
        <v>0</v>
      </c>
      <c r="O2579" s="19">
        <f>0.00072*L2579</f>
        <v>0</v>
      </c>
      <c r="P2579" s="24" t="s">
        <v>26</v>
      </c>
      <c r="Q2579" s="15"/>
      <c r="R2579" s="15" t="s">
        <v>611</v>
      </c>
      <c r="S2579" s="10" t="str">
        <f>HYPERLINK("https://miland.ru/api/getInfo/image/cc3ba66c-da7c-11f0-a28c-00155d82e908")</f>
        <v>https://miland.ru/api/getInfo/image/cc3ba66c-da7c-11f0-a28c-00155d82e908</v>
      </c>
    </row>
    <row r="2580" spans="1:19" s="2" customFormat="1" ht="96.2" customHeight="1" outlineLevel="7">
      <c r="A2580" s="52">
        <v>2036</v>
      </c>
      <c r="B2580" s="26" t="s">
        <v>8559</v>
      </c>
      <c r="C2580" s="66" t="s">
        <v>8560</v>
      </c>
      <c r="D2580" s="66"/>
      <c r="E2580" s="66"/>
      <c r="F2580" s="66"/>
      <c r="G2580" s="27" t="s">
        <v>8558</v>
      </c>
      <c r="H2580" s="33">
        <v>48</v>
      </c>
      <c r="I2580" s="29"/>
      <c r="J2580" s="25">
        <v>36</v>
      </c>
      <c r="K2580" s="30">
        <v>63.76</v>
      </c>
      <c r="L2580" s="17"/>
      <c r="M2580" s="29">
        <f t="shared" si="126"/>
        <v>0</v>
      </c>
      <c r="N2580" s="31">
        <f>0.006*L2580</f>
        <v>0</v>
      </c>
      <c r="O2580" s="32">
        <f>0.00144*L2580</f>
        <v>0</v>
      </c>
      <c r="P2580" s="36"/>
      <c r="Q2580" s="29" t="s">
        <v>8561</v>
      </c>
      <c r="R2580" s="29"/>
      <c r="S2580" s="26" t="str">
        <f>HYPERLINK("https://miland.ru/api/getInfo/image/0765271f-2eff-11f0-a27c-00155d82e908")</f>
        <v>https://miland.ru/api/getInfo/image/0765271f-2eff-11f0-a27c-00155d82e908</v>
      </c>
    </row>
    <row r="2581" spans="1:19" s="2" customFormat="1" ht="96.2" customHeight="1" outlineLevel="7">
      <c r="A2581" s="53">
        <v>2037</v>
      </c>
      <c r="B2581" s="10" t="s">
        <v>8562</v>
      </c>
      <c r="C2581" s="65" t="s">
        <v>8563</v>
      </c>
      <c r="D2581" s="65"/>
      <c r="E2581" s="65"/>
      <c r="F2581" s="65"/>
      <c r="G2581" s="11" t="s">
        <v>8564</v>
      </c>
      <c r="H2581" s="21" t="s">
        <v>44</v>
      </c>
      <c r="I2581" s="15"/>
      <c r="J2581" s="9">
        <v>12</v>
      </c>
      <c r="K2581" s="16">
        <v>90.46</v>
      </c>
      <c r="L2581" s="17"/>
      <c r="M2581" s="15">
        <f t="shared" si="126"/>
        <v>0</v>
      </c>
      <c r="N2581" s="23">
        <f>0.09*L2581</f>
        <v>0</v>
      </c>
      <c r="O2581" s="19">
        <f>0.00071*L2581</f>
        <v>0</v>
      </c>
      <c r="P2581" s="24" t="s">
        <v>26</v>
      </c>
      <c r="Q2581" s="15" t="s">
        <v>8565</v>
      </c>
      <c r="R2581" s="15"/>
      <c r="S2581" s="10" t="str">
        <f>HYPERLINK("https://miland.ru/api/getInfo/image/2e894e02-fb86-11f0-a28e-00155d82e908")</f>
        <v>https://miland.ru/api/getInfo/image/2e894e02-fb86-11f0-a28e-00155d82e908</v>
      </c>
    </row>
    <row r="2582" spans="1:19" s="2" customFormat="1" ht="96.2" customHeight="1" outlineLevel="7">
      <c r="A2582" s="53">
        <v>2038</v>
      </c>
      <c r="B2582" s="10" t="s">
        <v>8566</v>
      </c>
      <c r="C2582" s="65" t="s">
        <v>8567</v>
      </c>
      <c r="D2582" s="65"/>
      <c r="E2582" s="65"/>
      <c r="F2582" s="65"/>
      <c r="G2582" s="11" t="s">
        <v>8568</v>
      </c>
      <c r="H2582" s="21" t="s">
        <v>44</v>
      </c>
      <c r="I2582" s="15"/>
      <c r="J2582" s="9">
        <v>12</v>
      </c>
      <c r="K2582" s="16">
        <v>90.46</v>
      </c>
      <c r="L2582" s="17"/>
      <c r="M2582" s="15">
        <f t="shared" si="126"/>
        <v>0</v>
      </c>
      <c r="N2582" s="18">
        <f>0.092*L2582</f>
        <v>0</v>
      </c>
      <c r="O2582" s="19">
        <f>0.00133*L2582</f>
        <v>0</v>
      </c>
      <c r="P2582" s="24" t="s">
        <v>26</v>
      </c>
      <c r="Q2582" s="15" t="s">
        <v>8569</v>
      </c>
      <c r="R2582" s="15"/>
      <c r="S2582" s="10" t="str">
        <f>HYPERLINK("https://miland.ru/api/getInfo/image/9e32b74b-fb86-11f0-a28e-00155d82e908")</f>
        <v>https://miland.ru/api/getInfo/image/9e32b74b-fb86-11f0-a28e-00155d82e908</v>
      </c>
    </row>
    <row r="2583" spans="1:19" s="2" customFormat="1" ht="96.2" customHeight="1" outlineLevel="7">
      <c r="A2583" s="53">
        <v>2039</v>
      </c>
      <c r="B2583" s="10" t="s">
        <v>8570</v>
      </c>
      <c r="C2583" s="65" t="s">
        <v>8571</v>
      </c>
      <c r="D2583" s="65"/>
      <c r="E2583" s="65"/>
      <c r="F2583" s="65"/>
      <c r="G2583" s="11" t="s">
        <v>8572</v>
      </c>
      <c r="H2583" s="21" t="s">
        <v>44</v>
      </c>
      <c r="I2583" s="15"/>
      <c r="J2583" s="9">
        <v>12</v>
      </c>
      <c r="K2583" s="16">
        <v>90.46</v>
      </c>
      <c r="L2583" s="17"/>
      <c r="M2583" s="15">
        <f t="shared" si="126"/>
        <v>0</v>
      </c>
      <c r="N2583" s="18">
        <f>0.089*L2583</f>
        <v>0</v>
      </c>
      <c r="O2583" s="19">
        <f>0.00062*L2583</f>
        <v>0</v>
      </c>
      <c r="P2583" s="24" t="s">
        <v>26</v>
      </c>
      <c r="Q2583" s="15" t="s">
        <v>8573</v>
      </c>
      <c r="R2583" s="15"/>
      <c r="S2583" s="10" t="str">
        <f>HYPERLINK("https://miland.ru/api/getInfo/image/efe52e0d-fb85-11f0-a28e-00155d82e908")</f>
        <v>https://miland.ru/api/getInfo/image/efe52e0d-fb85-11f0-a28e-00155d82e908</v>
      </c>
    </row>
    <row r="2584" spans="1:19" s="2" customFormat="1" ht="96.2" customHeight="1" outlineLevel="7">
      <c r="A2584" s="53">
        <v>2040</v>
      </c>
      <c r="B2584" s="10" t="s">
        <v>8574</v>
      </c>
      <c r="C2584" s="65" t="s">
        <v>8575</v>
      </c>
      <c r="D2584" s="65"/>
      <c r="E2584" s="65"/>
      <c r="F2584" s="65"/>
      <c r="G2584" s="11" t="s">
        <v>8576</v>
      </c>
      <c r="H2584" s="14">
        <v>240</v>
      </c>
      <c r="I2584" s="15"/>
      <c r="J2584" s="9">
        <v>30</v>
      </c>
      <c r="K2584" s="16">
        <v>90.46</v>
      </c>
      <c r="L2584" s="17"/>
      <c r="M2584" s="15">
        <f t="shared" si="126"/>
        <v>0</v>
      </c>
      <c r="N2584" s="55">
        <f>0.9*L2584</f>
        <v>0</v>
      </c>
      <c r="O2584" s="19">
        <f>0.00072*L2584</f>
        <v>0</v>
      </c>
      <c r="P2584" s="24" t="s">
        <v>26</v>
      </c>
      <c r="Q2584" s="15"/>
      <c r="R2584" s="15" t="s">
        <v>611</v>
      </c>
      <c r="S2584" s="10" t="str">
        <f>HYPERLINK("https://miland.ru/api/getInfo/image/40b150b1-da7b-11f0-a28c-00155d82e908")</f>
        <v>https://miland.ru/api/getInfo/image/40b150b1-da7b-11f0-a28c-00155d82e908</v>
      </c>
    </row>
    <row r="2585" spans="1:19" s="2" customFormat="1" ht="96.2" customHeight="1" outlineLevel="7">
      <c r="A2585" s="52">
        <v>2041</v>
      </c>
      <c r="B2585" s="26" t="s">
        <v>8577</v>
      </c>
      <c r="C2585" s="66" t="s">
        <v>8578</v>
      </c>
      <c r="D2585" s="66"/>
      <c r="E2585" s="66"/>
      <c r="F2585" s="66"/>
      <c r="G2585" s="27" t="s">
        <v>8579</v>
      </c>
      <c r="H2585" s="33">
        <v>48</v>
      </c>
      <c r="I2585" s="29"/>
      <c r="J2585" s="25">
        <v>12</v>
      </c>
      <c r="K2585" s="30">
        <v>90.46</v>
      </c>
      <c r="L2585" s="17"/>
      <c r="M2585" s="29">
        <f t="shared" si="126"/>
        <v>0</v>
      </c>
      <c r="N2585" s="31">
        <f>0.112*L2585</f>
        <v>0</v>
      </c>
      <c r="O2585" s="35">
        <f>0.0006*L2585</f>
        <v>0</v>
      </c>
      <c r="P2585" s="36"/>
      <c r="Q2585" s="29" t="s">
        <v>8580</v>
      </c>
      <c r="R2585" s="29" t="s">
        <v>611</v>
      </c>
      <c r="S2585" s="26" t="str">
        <f>HYPERLINK("https://miland.ru/api/getInfo/image/b03f84cf-a34d-11ef-a267-00155d82e908")</f>
        <v>https://miland.ru/api/getInfo/image/b03f84cf-a34d-11ef-a267-00155d82e908</v>
      </c>
    </row>
    <row r="2586" spans="1:19" s="2" customFormat="1" ht="96.2" customHeight="1" outlineLevel="7">
      <c r="A2586" s="53">
        <v>2042</v>
      </c>
      <c r="B2586" s="10" t="s">
        <v>8581</v>
      </c>
      <c r="C2586" s="65" t="s">
        <v>8582</v>
      </c>
      <c r="D2586" s="65"/>
      <c r="E2586" s="65"/>
      <c r="F2586" s="65"/>
      <c r="G2586" s="11" t="s">
        <v>8583</v>
      </c>
      <c r="H2586" s="21" t="s">
        <v>44</v>
      </c>
      <c r="I2586" s="15"/>
      <c r="J2586" s="9">
        <v>12</v>
      </c>
      <c r="K2586" s="16">
        <v>90.46</v>
      </c>
      <c r="L2586" s="17"/>
      <c r="M2586" s="15">
        <f t="shared" si="126"/>
        <v>0</v>
      </c>
      <c r="N2586" s="18">
        <f>0.093*L2586</f>
        <v>0</v>
      </c>
      <c r="O2586" s="19">
        <f>0.00111*L2586</f>
        <v>0</v>
      </c>
      <c r="P2586" s="24" t="s">
        <v>26</v>
      </c>
      <c r="Q2586" s="15" t="s">
        <v>8584</v>
      </c>
      <c r="R2586" s="15"/>
      <c r="S2586" s="10" t="str">
        <f>HYPERLINK("https://miland.ru/api/getInfo/image/d31ff910-fb85-11f0-a28e-00155d82e908")</f>
        <v>https://miland.ru/api/getInfo/image/d31ff910-fb85-11f0-a28e-00155d82e908</v>
      </c>
    </row>
    <row r="2587" spans="1:19" s="2" customFormat="1" ht="96.2" customHeight="1" outlineLevel="7">
      <c r="A2587" s="53">
        <v>2043</v>
      </c>
      <c r="B2587" s="10" t="s">
        <v>8585</v>
      </c>
      <c r="C2587" s="65" t="s">
        <v>8586</v>
      </c>
      <c r="D2587" s="65"/>
      <c r="E2587" s="65"/>
      <c r="F2587" s="65"/>
      <c r="G2587" s="11" t="s">
        <v>8587</v>
      </c>
      <c r="H2587" s="21" t="s">
        <v>44</v>
      </c>
      <c r="I2587" s="15"/>
      <c r="J2587" s="9">
        <v>12</v>
      </c>
      <c r="K2587" s="16">
        <v>90.46</v>
      </c>
      <c r="L2587" s="17"/>
      <c r="M2587" s="15">
        <f t="shared" si="126"/>
        <v>0</v>
      </c>
      <c r="N2587" s="18">
        <f>0.091*L2587</f>
        <v>0</v>
      </c>
      <c r="O2587" s="19">
        <f>0.00158*L2587</f>
        <v>0</v>
      </c>
      <c r="P2587" s="24" t="s">
        <v>26</v>
      </c>
      <c r="Q2587" s="15" t="s">
        <v>8588</v>
      </c>
      <c r="R2587" s="15"/>
      <c r="S2587" s="10" t="str">
        <f>HYPERLINK("https://miland.ru/api/getInfo/image/0e72c810-fb86-11f0-a28e-00155d82e908")</f>
        <v>https://miland.ru/api/getInfo/image/0e72c810-fb86-11f0-a28e-00155d82e908</v>
      </c>
    </row>
    <row r="2588" spans="1:19" s="1" customFormat="1" ht="12" customHeight="1" outlineLevel="6">
      <c r="A2588" s="64" t="s">
        <v>7805</v>
      </c>
      <c r="B2588" s="64"/>
      <c r="C2588" s="64"/>
      <c r="D2588" s="64"/>
      <c r="E2588" s="64"/>
      <c r="F2588" s="64"/>
      <c r="G2588" s="8"/>
      <c r="H2588" s="12"/>
      <c r="I2588" s="2"/>
      <c r="J2588" s="2"/>
      <c r="K2588" s="13"/>
      <c r="L2588" s="2"/>
      <c r="M2588" s="2"/>
      <c r="N2588" s="2"/>
      <c r="O2588" s="2"/>
      <c r="P2588" s="2"/>
      <c r="Q2588" s="2"/>
      <c r="R2588" s="2"/>
      <c r="S2588" s="2"/>
    </row>
    <row r="2589" spans="1:19" s="1" customFormat="1" ht="12" customHeight="1" outlineLevel="7">
      <c r="A2589" s="64" t="s">
        <v>8118</v>
      </c>
      <c r="B2589" s="64"/>
      <c r="C2589" s="64"/>
      <c r="D2589" s="64"/>
      <c r="E2589" s="64"/>
      <c r="F2589" s="64"/>
      <c r="G2589" s="8"/>
      <c r="H2589" s="12"/>
      <c r="I2589" s="2"/>
      <c r="J2589" s="2"/>
      <c r="K2589" s="13"/>
      <c r="L2589" s="2"/>
      <c r="M2589" s="2"/>
      <c r="N2589" s="2"/>
      <c r="O2589" s="2"/>
      <c r="P2589" s="2"/>
      <c r="Q2589" s="2"/>
      <c r="R2589" s="2"/>
      <c r="S2589" s="2"/>
    </row>
    <row r="2590" spans="1:19" s="2" customFormat="1" ht="96.2" customHeight="1" outlineLevel="7">
      <c r="A2590" s="52">
        <v>2044</v>
      </c>
      <c r="B2590" s="26" t="s">
        <v>8589</v>
      </c>
      <c r="C2590" s="66" t="s">
        <v>8590</v>
      </c>
      <c r="D2590" s="66"/>
      <c r="E2590" s="66"/>
      <c r="F2590" s="66"/>
      <c r="G2590" s="27" t="s">
        <v>8591</v>
      </c>
      <c r="H2590" s="33">
        <v>96</v>
      </c>
      <c r="I2590" s="29"/>
      <c r="J2590" s="25">
        <v>12</v>
      </c>
      <c r="K2590" s="30">
        <v>88.29</v>
      </c>
      <c r="L2590" s="17"/>
      <c r="M2590" s="29">
        <f>K2590*L2590</f>
        <v>0</v>
      </c>
      <c r="N2590" s="41">
        <f>0.1*L2590</f>
        <v>0</v>
      </c>
      <c r="O2590" s="32">
        <f>0.00263*L2590</f>
        <v>0</v>
      </c>
      <c r="P2590" s="36"/>
      <c r="Q2590" s="29" t="s">
        <v>8592</v>
      </c>
      <c r="R2590" s="29" t="s">
        <v>611</v>
      </c>
      <c r="S2590" s="26" t="str">
        <f>HYPERLINK("https://miland.ru/api/getInfo/image/247ad530-fe4c-11ef-a275-00155d82e908")</f>
        <v>https://miland.ru/api/getInfo/image/247ad530-fe4c-11ef-a275-00155d82e908</v>
      </c>
    </row>
    <row r="2591" spans="1:19" s="1" customFormat="1" ht="12" customHeight="1" outlineLevel="5">
      <c r="A2591" s="64" t="s">
        <v>8593</v>
      </c>
      <c r="B2591" s="64"/>
      <c r="C2591" s="64"/>
      <c r="D2591" s="64"/>
      <c r="E2591" s="64"/>
      <c r="F2591" s="64"/>
      <c r="G2591" s="8"/>
      <c r="H2591" s="12"/>
      <c r="I2591" s="2"/>
      <c r="J2591" s="2"/>
      <c r="K2591" s="13"/>
      <c r="L2591" s="2"/>
      <c r="M2591" s="2"/>
      <c r="N2591" s="2"/>
      <c r="O2591" s="2"/>
      <c r="P2591" s="2"/>
      <c r="Q2591" s="2"/>
      <c r="R2591" s="2"/>
      <c r="S2591" s="2"/>
    </row>
    <row r="2592" spans="1:19" s="1" customFormat="1" ht="12" customHeight="1" outlineLevel="6">
      <c r="A2592" s="64" t="s">
        <v>8594</v>
      </c>
      <c r="B2592" s="64"/>
      <c r="C2592" s="64"/>
      <c r="D2592" s="64"/>
      <c r="E2592" s="64"/>
      <c r="F2592" s="64"/>
      <c r="G2592" s="8"/>
      <c r="H2592" s="12"/>
      <c r="I2592" s="2"/>
      <c r="J2592" s="2"/>
      <c r="K2592" s="13"/>
      <c r="L2592" s="2"/>
      <c r="M2592" s="2"/>
      <c r="N2592" s="2"/>
      <c r="O2592" s="2"/>
      <c r="P2592" s="2"/>
      <c r="Q2592" s="2"/>
      <c r="R2592" s="2"/>
      <c r="S2592" s="2"/>
    </row>
    <row r="2593" spans="1:19" s="2" customFormat="1" ht="96.2" customHeight="1" outlineLevel="7">
      <c r="A2593" s="52">
        <v>2045</v>
      </c>
      <c r="B2593" s="26" t="s">
        <v>8595</v>
      </c>
      <c r="C2593" s="66" t="s">
        <v>8596</v>
      </c>
      <c r="D2593" s="66"/>
      <c r="E2593" s="66"/>
      <c r="F2593" s="66"/>
      <c r="G2593" s="27" t="s">
        <v>8597</v>
      </c>
      <c r="H2593" s="33">
        <v>264</v>
      </c>
      <c r="I2593" s="29"/>
      <c r="J2593" s="25">
        <v>12</v>
      </c>
      <c r="K2593" s="30">
        <v>47.67</v>
      </c>
      <c r="L2593" s="17"/>
      <c r="M2593" s="29">
        <f>K2593*L2593</f>
        <v>0</v>
      </c>
      <c r="N2593" s="31">
        <f>0.028*L2593</f>
        <v>0</v>
      </c>
      <c r="O2593" s="32">
        <f>0.00008*L2593</f>
        <v>0</v>
      </c>
      <c r="P2593" s="36"/>
      <c r="Q2593" s="29" t="s">
        <v>8598</v>
      </c>
      <c r="R2593" s="29" t="s">
        <v>611</v>
      </c>
      <c r="S2593" s="26" t="str">
        <f>HYPERLINK("https://miland.ru/api/getInfo/image/84c5329a-7b8e-11ed-a22a-00155d82e902")</f>
        <v>https://miland.ru/api/getInfo/image/84c5329a-7b8e-11ed-a22a-00155d82e902</v>
      </c>
    </row>
    <row r="2594" spans="1:19" s="2" customFormat="1" ht="96.2" customHeight="1" outlineLevel="7">
      <c r="A2594" s="52">
        <v>2046</v>
      </c>
      <c r="B2594" s="26" t="s">
        <v>8599</v>
      </c>
      <c r="C2594" s="66" t="s">
        <v>8600</v>
      </c>
      <c r="D2594" s="66"/>
      <c r="E2594" s="66"/>
      <c r="F2594" s="66"/>
      <c r="G2594" s="27" t="s">
        <v>8601</v>
      </c>
      <c r="H2594" s="33">
        <v>36</v>
      </c>
      <c r="I2594" s="29"/>
      <c r="J2594" s="25">
        <v>12</v>
      </c>
      <c r="K2594" s="30">
        <v>47.67</v>
      </c>
      <c r="L2594" s="17"/>
      <c r="M2594" s="29">
        <f>K2594*L2594</f>
        <v>0</v>
      </c>
      <c r="N2594" s="34">
        <f>0.28*L2594</f>
        <v>0</v>
      </c>
      <c r="O2594" s="32">
        <f>0.00008*L2594</f>
        <v>0</v>
      </c>
      <c r="P2594" s="36"/>
      <c r="Q2594" s="29" t="s">
        <v>8602</v>
      </c>
      <c r="R2594" s="29" t="s">
        <v>611</v>
      </c>
      <c r="S2594" s="26" t="str">
        <f>HYPERLINK("https://miland.ru/api/getInfo/image/88effb03-7b8f-11ed-a22a-00155d82e902")</f>
        <v>https://miland.ru/api/getInfo/image/88effb03-7b8f-11ed-a22a-00155d82e902</v>
      </c>
    </row>
    <row r="2595" spans="1:19" s="2" customFormat="1" ht="96.2" customHeight="1" outlineLevel="7">
      <c r="A2595" s="52">
        <v>2047</v>
      </c>
      <c r="B2595" s="26" t="s">
        <v>8603</v>
      </c>
      <c r="C2595" s="66" t="s">
        <v>8604</v>
      </c>
      <c r="D2595" s="66"/>
      <c r="E2595" s="66"/>
      <c r="F2595" s="66"/>
      <c r="G2595" s="27" t="s">
        <v>8605</v>
      </c>
      <c r="H2595" s="28" t="s">
        <v>44</v>
      </c>
      <c r="I2595" s="29"/>
      <c r="J2595" s="25">
        <v>12</v>
      </c>
      <c r="K2595" s="30">
        <v>47.67</v>
      </c>
      <c r="L2595" s="17"/>
      <c r="M2595" s="29">
        <f>K2595*L2595</f>
        <v>0</v>
      </c>
      <c r="N2595" s="31">
        <f>0.033*L2595</f>
        <v>0</v>
      </c>
      <c r="O2595" s="35">
        <f>0.0001*L2595</f>
        <v>0</v>
      </c>
      <c r="P2595" s="36"/>
      <c r="Q2595" s="29" t="s">
        <v>8606</v>
      </c>
      <c r="R2595" s="29" t="s">
        <v>611</v>
      </c>
      <c r="S2595" s="26" t="str">
        <f>HYPERLINK("https://miland.ru/api/getInfo/image/07e0e05a-7b8e-11ed-a22a-00155d82e902")</f>
        <v>https://miland.ru/api/getInfo/image/07e0e05a-7b8e-11ed-a22a-00155d82e902</v>
      </c>
    </row>
    <row r="2596" spans="1:19" s="2" customFormat="1" ht="96.2" customHeight="1" outlineLevel="7">
      <c r="A2596" s="52">
        <v>2048</v>
      </c>
      <c r="B2596" s="26" t="s">
        <v>8607</v>
      </c>
      <c r="C2596" s="66" t="s">
        <v>8608</v>
      </c>
      <c r="D2596" s="66"/>
      <c r="E2596" s="66"/>
      <c r="F2596" s="66"/>
      <c r="G2596" s="27" t="s">
        <v>8609</v>
      </c>
      <c r="H2596" s="28" t="s">
        <v>44</v>
      </c>
      <c r="I2596" s="29"/>
      <c r="J2596" s="25">
        <v>12</v>
      </c>
      <c r="K2596" s="30">
        <v>47.67</v>
      </c>
      <c r="L2596" s="17"/>
      <c r="M2596" s="29">
        <f>K2596*L2596</f>
        <v>0</v>
      </c>
      <c r="N2596" s="31">
        <f>0.028*L2596</f>
        <v>0</v>
      </c>
      <c r="O2596" s="32">
        <f>0.00007*L2596</f>
        <v>0</v>
      </c>
      <c r="P2596" s="36"/>
      <c r="Q2596" s="29" t="s">
        <v>8610</v>
      </c>
      <c r="R2596" s="29" t="s">
        <v>611</v>
      </c>
      <c r="S2596" s="26" t="str">
        <f>HYPERLINK("https://miland.ru/api/getInfo/image/433fff92-7b90-11ed-a22a-00155d82e902")</f>
        <v>https://miland.ru/api/getInfo/image/433fff92-7b90-11ed-a22a-00155d82e902</v>
      </c>
    </row>
    <row r="2597" spans="1:19" s="1" customFormat="1" ht="12" customHeight="1" outlineLevel="6">
      <c r="A2597" s="64" t="s">
        <v>8611</v>
      </c>
      <c r="B2597" s="64"/>
      <c r="C2597" s="64"/>
      <c r="D2597" s="64"/>
      <c r="E2597" s="64"/>
      <c r="F2597" s="64"/>
      <c r="G2597" s="8"/>
      <c r="H2597" s="12"/>
      <c r="I2597" s="2"/>
      <c r="J2597" s="2"/>
      <c r="K2597" s="13"/>
      <c r="L2597" s="2"/>
      <c r="M2597" s="2"/>
      <c r="N2597" s="2"/>
      <c r="O2597" s="2"/>
      <c r="P2597" s="2"/>
      <c r="Q2597" s="2"/>
      <c r="R2597" s="2"/>
      <c r="S2597" s="2"/>
    </row>
    <row r="2598" spans="1:19" s="2" customFormat="1" ht="96.2" customHeight="1" outlineLevel="7">
      <c r="A2598" s="52">
        <v>2049</v>
      </c>
      <c r="B2598" s="26" t="s">
        <v>8612</v>
      </c>
      <c r="C2598" s="66" t="s">
        <v>8613</v>
      </c>
      <c r="D2598" s="66"/>
      <c r="E2598" s="66"/>
      <c r="F2598" s="66"/>
      <c r="G2598" s="27" t="s">
        <v>8614</v>
      </c>
      <c r="H2598" s="28" t="s">
        <v>44</v>
      </c>
      <c r="I2598" s="29"/>
      <c r="J2598" s="25">
        <v>12</v>
      </c>
      <c r="K2598" s="30">
        <v>73.900000000000006</v>
      </c>
      <c r="L2598" s="17"/>
      <c r="M2598" s="29">
        <f>K2598*L2598</f>
        <v>0</v>
      </c>
      <c r="N2598" s="31">
        <f>0.065*L2598</f>
        <v>0</v>
      </c>
      <c r="O2598" s="35">
        <f>0.0002*L2598</f>
        <v>0</v>
      </c>
      <c r="P2598" s="36"/>
      <c r="Q2598" s="29" t="s">
        <v>8615</v>
      </c>
      <c r="R2598" s="29" t="s">
        <v>611</v>
      </c>
      <c r="S2598" s="26" t="str">
        <f>HYPERLINK("https://miland.ru/api/getInfo/image/160d9882-7ba4-11ed-a22a-00155d82e902")</f>
        <v>https://miland.ru/api/getInfo/image/160d9882-7ba4-11ed-a22a-00155d82e902</v>
      </c>
    </row>
    <row r="2599" spans="1:19" s="2" customFormat="1" ht="96.2" customHeight="1" outlineLevel="7">
      <c r="A2599" s="52">
        <v>2050</v>
      </c>
      <c r="B2599" s="26" t="s">
        <v>8616</v>
      </c>
      <c r="C2599" s="66" t="s">
        <v>8617</v>
      </c>
      <c r="D2599" s="66"/>
      <c r="E2599" s="66"/>
      <c r="F2599" s="66"/>
      <c r="G2599" s="27" t="s">
        <v>8618</v>
      </c>
      <c r="H2599" s="28" t="s">
        <v>44</v>
      </c>
      <c r="I2599" s="29"/>
      <c r="J2599" s="25">
        <v>12</v>
      </c>
      <c r="K2599" s="30">
        <v>73.900000000000006</v>
      </c>
      <c r="L2599" s="17"/>
      <c r="M2599" s="29">
        <f>K2599*L2599</f>
        <v>0</v>
      </c>
      <c r="N2599" s="34">
        <f>0.06*L2599</f>
        <v>0</v>
      </c>
      <c r="O2599" s="32">
        <f>0.00023*L2599</f>
        <v>0</v>
      </c>
      <c r="P2599" s="36"/>
      <c r="Q2599" s="29" t="s">
        <v>8619</v>
      </c>
      <c r="R2599" s="29" t="s">
        <v>611</v>
      </c>
      <c r="S2599" s="26" t="str">
        <f>HYPERLINK("https://miland.ru/api/getInfo/image/338ce005-7b93-11ed-a22a-00155d82e902")</f>
        <v>https://miland.ru/api/getInfo/image/338ce005-7b93-11ed-a22a-00155d82e902</v>
      </c>
    </row>
    <row r="2600" spans="1:19" s="2" customFormat="1" ht="96.2" customHeight="1" outlineLevel="7">
      <c r="A2600" s="52">
        <v>2051</v>
      </c>
      <c r="B2600" s="26" t="s">
        <v>8620</v>
      </c>
      <c r="C2600" s="66" t="s">
        <v>8621</v>
      </c>
      <c r="D2600" s="66"/>
      <c r="E2600" s="66"/>
      <c r="F2600" s="66"/>
      <c r="G2600" s="27" t="s">
        <v>8622</v>
      </c>
      <c r="H2600" s="33">
        <v>36</v>
      </c>
      <c r="I2600" s="29"/>
      <c r="J2600" s="25">
        <v>12</v>
      </c>
      <c r="K2600" s="30">
        <v>73.900000000000006</v>
      </c>
      <c r="L2600" s="17"/>
      <c r="M2600" s="29">
        <f>K2600*L2600</f>
        <v>0</v>
      </c>
      <c r="N2600" s="34">
        <f>0.06*L2600</f>
        <v>0</v>
      </c>
      <c r="O2600" s="32">
        <f>0.00608*L2600</f>
        <v>0</v>
      </c>
      <c r="P2600" s="36"/>
      <c r="Q2600" s="29" t="s">
        <v>8623</v>
      </c>
      <c r="R2600" s="29" t="s">
        <v>611</v>
      </c>
      <c r="S2600" s="26" t="str">
        <f>HYPERLINK("https://miland.ru/api/getInfo/image/90d5ca19-7ba3-11ed-a22a-00155d82e902")</f>
        <v>https://miland.ru/api/getInfo/image/90d5ca19-7ba3-11ed-a22a-00155d82e902</v>
      </c>
    </row>
    <row r="2601" spans="1:19" s="1" customFormat="1" ht="12" customHeight="1" outlineLevel="4">
      <c r="A2601" s="64" t="s">
        <v>8624</v>
      </c>
      <c r="B2601" s="64"/>
      <c r="C2601" s="64"/>
      <c r="D2601" s="64"/>
      <c r="E2601" s="64"/>
      <c r="F2601" s="64"/>
      <c r="G2601" s="8"/>
      <c r="H2601" s="12"/>
      <c r="I2601" s="2"/>
      <c r="J2601" s="2"/>
      <c r="K2601" s="13"/>
      <c r="L2601" s="2"/>
      <c r="M2601" s="2"/>
      <c r="N2601" s="2"/>
      <c r="O2601" s="2"/>
      <c r="P2601" s="2"/>
      <c r="Q2601" s="2"/>
      <c r="R2601" s="2"/>
      <c r="S2601" s="2"/>
    </row>
    <row r="2602" spans="1:19" s="1" customFormat="1" ht="12" customHeight="1" outlineLevel="5">
      <c r="A2602" s="64" t="s">
        <v>8625</v>
      </c>
      <c r="B2602" s="64"/>
      <c r="C2602" s="64"/>
      <c r="D2602" s="64"/>
      <c r="E2602" s="64"/>
      <c r="F2602" s="64"/>
      <c r="G2602" s="8"/>
      <c r="H2602" s="12"/>
      <c r="I2602" s="2"/>
      <c r="J2602" s="2"/>
      <c r="K2602" s="13"/>
      <c r="L2602" s="2"/>
      <c r="M2602" s="2"/>
      <c r="N2602" s="2"/>
      <c r="O2602" s="2"/>
      <c r="P2602" s="2"/>
      <c r="Q2602" s="2"/>
      <c r="R2602" s="2"/>
      <c r="S2602" s="2"/>
    </row>
    <row r="2603" spans="1:19" s="1" customFormat="1" ht="12" customHeight="1" outlineLevel="6">
      <c r="A2603" s="64" t="s">
        <v>8626</v>
      </c>
      <c r="B2603" s="64"/>
      <c r="C2603" s="64"/>
      <c r="D2603" s="64"/>
      <c r="E2603" s="64"/>
      <c r="F2603" s="64"/>
      <c r="G2603" s="8"/>
      <c r="H2603" s="12"/>
      <c r="I2603" s="2"/>
      <c r="J2603" s="2"/>
      <c r="K2603" s="13"/>
      <c r="L2603" s="2"/>
      <c r="M2603" s="2"/>
      <c r="N2603" s="2"/>
      <c r="O2603" s="2"/>
      <c r="P2603" s="2"/>
      <c r="Q2603" s="2"/>
      <c r="R2603" s="2"/>
      <c r="S2603" s="2"/>
    </row>
    <row r="2604" spans="1:19" s="2" customFormat="1" ht="96.2" customHeight="1" outlineLevel="7">
      <c r="A2604" s="52">
        <v>2052</v>
      </c>
      <c r="B2604" s="26" t="s">
        <v>8627</v>
      </c>
      <c r="C2604" s="66" t="s">
        <v>8628</v>
      </c>
      <c r="D2604" s="66"/>
      <c r="E2604" s="66"/>
      <c r="F2604" s="66"/>
      <c r="G2604" s="27" t="s">
        <v>8629</v>
      </c>
      <c r="H2604" s="28" t="s">
        <v>44</v>
      </c>
      <c r="I2604" s="29"/>
      <c r="J2604" s="25">
        <v>3</v>
      </c>
      <c r="K2604" s="30">
        <v>241.3</v>
      </c>
      <c r="L2604" s="17"/>
      <c r="M2604" s="29">
        <f>K2604*L2604</f>
        <v>0</v>
      </c>
      <c r="N2604" s="31">
        <f>0.073*L2604</f>
        <v>0</v>
      </c>
      <c r="O2604" s="32">
        <f>0.00036*L2604</f>
        <v>0</v>
      </c>
      <c r="P2604" s="36"/>
      <c r="Q2604" s="29" t="s">
        <v>8630</v>
      </c>
      <c r="R2604" s="29" t="s">
        <v>611</v>
      </c>
      <c r="S2604" s="26" t="str">
        <f>HYPERLINK("https://miland.ru/api/getInfo/image/d8c08bc6-5bf4-11f0-a281-00155d82e908")</f>
        <v>https://miland.ru/api/getInfo/image/d8c08bc6-5bf4-11f0-a281-00155d82e908</v>
      </c>
    </row>
    <row r="2605" spans="1:19" s="1" customFormat="1" ht="12" customHeight="1" outlineLevel="5">
      <c r="A2605" s="64" t="s">
        <v>8631</v>
      </c>
      <c r="B2605" s="64"/>
      <c r="C2605" s="64"/>
      <c r="D2605" s="64"/>
      <c r="E2605" s="64"/>
      <c r="F2605" s="64"/>
      <c r="G2605" s="8"/>
      <c r="H2605" s="12"/>
      <c r="I2605" s="2"/>
      <c r="J2605" s="2"/>
      <c r="K2605" s="13"/>
      <c r="L2605" s="2"/>
      <c r="M2605" s="2"/>
      <c r="N2605" s="2"/>
      <c r="O2605" s="2"/>
      <c r="P2605" s="2"/>
      <c r="Q2605" s="2"/>
      <c r="R2605" s="2"/>
      <c r="S2605" s="2"/>
    </row>
    <row r="2606" spans="1:19" s="1" customFormat="1" ht="12" customHeight="1" outlineLevel="6">
      <c r="A2606" s="64" t="s">
        <v>8632</v>
      </c>
      <c r="B2606" s="64"/>
      <c r="C2606" s="64"/>
      <c r="D2606" s="64"/>
      <c r="E2606" s="64"/>
      <c r="F2606" s="64"/>
      <c r="G2606" s="8"/>
      <c r="H2606" s="12"/>
      <c r="I2606" s="2"/>
      <c r="J2606" s="2"/>
      <c r="K2606" s="13"/>
      <c r="L2606" s="2"/>
      <c r="M2606" s="2"/>
      <c r="N2606" s="2"/>
      <c r="O2606" s="2"/>
      <c r="P2606" s="2"/>
      <c r="Q2606" s="2"/>
      <c r="R2606" s="2"/>
      <c r="S2606" s="2"/>
    </row>
    <row r="2607" spans="1:19" s="2" customFormat="1" ht="96.2" customHeight="1" outlineLevel="7">
      <c r="A2607" s="52">
        <v>2053</v>
      </c>
      <c r="B2607" s="26" t="s">
        <v>8633</v>
      </c>
      <c r="C2607" s="66" t="s">
        <v>8634</v>
      </c>
      <c r="D2607" s="66"/>
      <c r="E2607" s="66"/>
      <c r="F2607" s="66"/>
      <c r="G2607" s="27" t="s">
        <v>8635</v>
      </c>
      <c r="H2607" s="28" t="s">
        <v>44</v>
      </c>
      <c r="I2607" s="29"/>
      <c r="J2607" s="25">
        <v>100</v>
      </c>
      <c r="K2607" s="30">
        <v>4.88</v>
      </c>
      <c r="L2607" s="17"/>
      <c r="M2607" s="29">
        <f>K2607*L2607</f>
        <v>0</v>
      </c>
      <c r="N2607" s="31">
        <f>0.001*L2607</f>
        <v>0</v>
      </c>
      <c r="O2607" s="32">
        <f>0.00006*L2607</f>
        <v>0</v>
      </c>
      <c r="P2607" s="36"/>
      <c r="Q2607" s="29" t="s">
        <v>8636</v>
      </c>
      <c r="R2607" s="29" t="s">
        <v>611</v>
      </c>
      <c r="S2607" s="26" t="str">
        <f>HYPERLINK("https://miland.ru/api/getInfo/image/5d6ec73b-18c5-11ef-a25d-00155d82e908")</f>
        <v>https://miland.ru/api/getInfo/image/5d6ec73b-18c5-11ef-a25d-00155d82e908</v>
      </c>
    </row>
    <row r="2608" spans="1:19" s="2" customFormat="1" ht="96.2" customHeight="1" outlineLevel="7">
      <c r="A2608" s="52">
        <v>2054</v>
      </c>
      <c r="B2608" s="26" t="s">
        <v>8637</v>
      </c>
      <c r="C2608" s="66" t="s">
        <v>8638</v>
      </c>
      <c r="D2608" s="66"/>
      <c r="E2608" s="66"/>
      <c r="F2608" s="66"/>
      <c r="G2608" s="27" t="s">
        <v>8639</v>
      </c>
      <c r="H2608" s="33">
        <v>100</v>
      </c>
      <c r="I2608" s="29"/>
      <c r="J2608" s="25">
        <v>100</v>
      </c>
      <c r="K2608" s="30">
        <v>5.7</v>
      </c>
      <c r="L2608" s="17"/>
      <c r="M2608" s="29">
        <f>K2608*L2608</f>
        <v>0</v>
      </c>
      <c r="N2608" s="31">
        <f>0.003*L2608</f>
        <v>0</v>
      </c>
      <c r="O2608" s="32">
        <f>0.00007*L2608</f>
        <v>0</v>
      </c>
      <c r="P2608" s="36"/>
      <c r="Q2608" s="29" t="s">
        <v>8640</v>
      </c>
      <c r="R2608" s="29"/>
      <c r="S2608" s="26" t="str">
        <f>HYPERLINK("https://miland.ru/api/getInfo/image/cd4b0ecc-a66f-11eb-a201-ac1f6b442185")</f>
        <v>https://miland.ru/api/getInfo/image/cd4b0ecc-a66f-11eb-a201-ac1f6b442185</v>
      </c>
    </row>
    <row r="2609" spans="1:19" s="2" customFormat="1" ht="96.2" customHeight="1" outlineLevel="7">
      <c r="A2609" s="52">
        <v>2055</v>
      </c>
      <c r="B2609" s="26" t="s">
        <v>8641</v>
      </c>
      <c r="C2609" s="66" t="s">
        <v>8642</v>
      </c>
      <c r="D2609" s="66"/>
      <c r="E2609" s="66"/>
      <c r="F2609" s="66"/>
      <c r="G2609" s="27" t="s">
        <v>8643</v>
      </c>
      <c r="H2609" s="28" t="s">
        <v>44</v>
      </c>
      <c r="I2609" s="29"/>
      <c r="J2609" s="25">
        <v>100</v>
      </c>
      <c r="K2609" s="30">
        <v>5.98</v>
      </c>
      <c r="L2609" s="17"/>
      <c r="M2609" s="29">
        <f>K2609*L2609</f>
        <v>0</v>
      </c>
      <c r="N2609" s="31">
        <f>0.002*L2609</f>
        <v>0</v>
      </c>
      <c r="O2609" s="32">
        <f>0.00006*L2609</f>
        <v>0</v>
      </c>
      <c r="P2609" s="36"/>
      <c r="Q2609" s="29" t="s">
        <v>8644</v>
      </c>
      <c r="R2609" s="29"/>
      <c r="S2609" s="26" t="str">
        <f>HYPERLINK("https://miland.ru/api/getInfo/image/9f4b26b9-bbfc-11ec-a211-ac1f6b442185")</f>
        <v>https://miland.ru/api/getInfo/image/9f4b26b9-bbfc-11ec-a211-ac1f6b442185</v>
      </c>
    </row>
    <row r="2610" spans="1:19" s="1" customFormat="1" ht="12" customHeight="1" outlineLevel="7">
      <c r="A2610" s="64" t="s">
        <v>7805</v>
      </c>
      <c r="B2610" s="64"/>
      <c r="C2610" s="64"/>
      <c r="D2610" s="64"/>
      <c r="E2610" s="64"/>
      <c r="F2610" s="64"/>
      <c r="G2610" s="8"/>
      <c r="H2610" s="12"/>
      <c r="I2610" s="2"/>
      <c r="J2610" s="2"/>
      <c r="K2610" s="13"/>
      <c r="L2610" s="2"/>
      <c r="M2610" s="2"/>
      <c r="N2610" s="2"/>
      <c r="O2610" s="2"/>
      <c r="P2610" s="2"/>
      <c r="Q2610" s="2"/>
      <c r="R2610" s="2"/>
      <c r="S2610" s="2"/>
    </row>
    <row r="2611" spans="1:19" s="1" customFormat="1" ht="12" customHeight="1" outlineLevel="7">
      <c r="A2611" s="64" t="s">
        <v>8413</v>
      </c>
      <c r="B2611" s="64"/>
      <c r="C2611" s="64"/>
      <c r="D2611" s="64"/>
      <c r="E2611" s="64"/>
      <c r="F2611" s="64"/>
      <c r="G2611" s="8"/>
      <c r="H2611" s="12"/>
      <c r="I2611" s="2"/>
      <c r="J2611" s="2"/>
      <c r="K2611" s="13"/>
      <c r="L2611" s="2"/>
      <c r="M2611" s="2"/>
      <c r="N2611" s="2"/>
      <c r="O2611" s="2"/>
      <c r="P2611" s="2"/>
      <c r="Q2611" s="2"/>
      <c r="R2611" s="2"/>
      <c r="S2611" s="2"/>
    </row>
    <row r="2612" spans="1:19" s="2" customFormat="1" ht="96.2" customHeight="1" outlineLevel="7">
      <c r="A2612" s="52">
        <v>2056</v>
      </c>
      <c r="B2612" s="26" t="s">
        <v>8645</v>
      </c>
      <c r="C2612" s="66" t="s">
        <v>8646</v>
      </c>
      <c r="D2612" s="66"/>
      <c r="E2612" s="66"/>
      <c r="F2612" s="66"/>
      <c r="G2612" s="27" t="s">
        <v>8647</v>
      </c>
      <c r="H2612" s="28" t="s">
        <v>44</v>
      </c>
      <c r="I2612" s="29"/>
      <c r="J2612" s="25">
        <v>100</v>
      </c>
      <c r="K2612" s="30">
        <v>6.75</v>
      </c>
      <c r="L2612" s="17"/>
      <c r="M2612" s="29">
        <f>K2612*L2612</f>
        <v>0</v>
      </c>
      <c r="N2612" s="31">
        <f>0.003*L2612</f>
        <v>0</v>
      </c>
      <c r="O2612" s="32">
        <f>0.00012*L2612</f>
        <v>0</v>
      </c>
      <c r="P2612" s="36"/>
      <c r="Q2612" s="29" t="s">
        <v>8648</v>
      </c>
      <c r="R2612" s="29"/>
      <c r="S2612" s="26" t="str">
        <f>HYPERLINK("https://miland.ru/api/getInfo/image/eade213e-1a84-11f0-a279-00155d82e908")</f>
        <v>https://miland.ru/api/getInfo/image/eade213e-1a84-11f0-a279-00155d82e908</v>
      </c>
    </row>
    <row r="2613" spans="1:19" s="1" customFormat="1" ht="12" customHeight="1" outlineLevel="7">
      <c r="A2613" s="64" t="s">
        <v>7806</v>
      </c>
      <c r="B2613" s="64"/>
      <c r="C2613" s="64"/>
      <c r="D2613" s="64"/>
      <c r="E2613" s="64"/>
      <c r="F2613" s="64"/>
      <c r="G2613" s="8"/>
      <c r="H2613" s="12"/>
      <c r="I2613" s="2"/>
      <c r="J2613" s="2"/>
      <c r="K2613" s="13"/>
      <c r="L2613" s="2"/>
      <c r="M2613" s="2"/>
      <c r="N2613" s="2"/>
      <c r="O2613" s="2"/>
      <c r="P2613" s="2"/>
      <c r="Q2613" s="2"/>
      <c r="R2613" s="2"/>
      <c r="S2613" s="2"/>
    </row>
    <row r="2614" spans="1:19" s="2" customFormat="1" ht="96.2" customHeight="1" outlineLevel="7">
      <c r="A2614" s="52">
        <v>2057</v>
      </c>
      <c r="B2614" s="26" t="s">
        <v>8649</v>
      </c>
      <c r="C2614" s="66" t="s">
        <v>8650</v>
      </c>
      <c r="D2614" s="66"/>
      <c r="E2614" s="66"/>
      <c r="F2614" s="66"/>
      <c r="G2614" s="27" t="s">
        <v>8651</v>
      </c>
      <c r="H2614" s="28" t="s">
        <v>44</v>
      </c>
      <c r="I2614" s="29"/>
      <c r="J2614" s="25">
        <v>100</v>
      </c>
      <c r="K2614" s="30">
        <v>6.75</v>
      </c>
      <c r="L2614" s="17"/>
      <c r="M2614" s="29">
        <f>K2614*L2614</f>
        <v>0</v>
      </c>
      <c r="N2614" s="31">
        <f>0.003*L2614</f>
        <v>0</v>
      </c>
      <c r="O2614" s="32">
        <f>0.00012*L2614</f>
        <v>0</v>
      </c>
      <c r="P2614" s="36"/>
      <c r="Q2614" s="29" t="s">
        <v>8652</v>
      </c>
      <c r="R2614" s="29"/>
      <c r="S2614" s="26" t="str">
        <f>HYPERLINK("https://miland.ru/api/getInfo/image/522f7c1c-4b7d-11f0-a27c-00155d82e908")</f>
        <v>https://miland.ru/api/getInfo/image/522f7c1c-4b7d-11f0-a27c-00155d82e908</v>
      </c>
    </row>
    <row r="2615" spans="1:19" s="1" customFormat="1" ht="12" customHeight="1" outlineLevel="6">
      <c r="A2615" s="64" t="s">
        <v>8653</v>
      </c>
      <c r="B2615" s="64"/>
      <c r="C2615" s="64"/>
      <c r="D2615" s="64"/>
      <c r="E2615" s="64"/>
      <c r="F2615" s="64"/>
      <c r="G2615" s="8"/>
      <c r="H2615" s="12"/>
      <c r="I2615" s="2"/>
      <c r="J2615" s="2"/>
      <c r="K2615" s="13"/>
      <c r="L2615" s="2"/>
      <c r="M2615" s="2"/>
      <c r="N2615" s="2"/>
      <c r="O2615" s="2"/>
      <c r="P2615" s="2"/>
      <c r="Q2615" s="2"/>
      <c r="R2615" s="2"/>
      <c r="S2615" s="2"/>
    </row>
    <row r="2616" spans="1:19" s="2" customFormat="1" ht="96.2" customHeight="1" outlineLevel="7">
      <c r="A2616" s="52">
        <v>2058</v>
      </c>
      <c r="B2616" s="26" t="s">
        <v>8654</v>
      </c>
      <c r="C2616" s="66" t="s">
        <v>8655</v>
      </c>
      <c r="D2616" s="66"/>
      <c r="E2616" s="66"/>
      <c r="F2616" s="66"/>
      <c r="G2616" s="27" t="s">
        <v>8656</v>
      </c>
      <c r="H2616" s="33">
        <v>150</v>
      </c>
      <c r="I2616" s="29"/>
      <c r="J2616" s="25">
        <v>50</v>
      </c>
      <c r="K2616" s="30">
        <v>10.99</v>
      </c>
      <c r="L2616" s="17"/>
      <c r="M2616" s="29">
        <f t="shared" ref="M2616:M2622" si="127">K2616*L2616</f>
        <v>0</v>
      </c>
      <c r="N2616" s="31">
        <f>0.009*L2616</f>
        <v>0</v>
      </c>
      <c r="O2616" s="32">
        <f>0.00025*L2616</f>
        <v>0</v>
      </c>
      <c r="P2616" s="36"/>
      <c r="Q2616" s="29" t="s">
        <v>8657</v>
      </c>
      <c r="R2616" s="29" t="s">
        <v>611</v>
      </c>
      <c r="S2616" s="26" t="str">
        <f>HYPERLINK("https://miland.ru/api/getInfo/image/065dba1c-1c42-11f0-a279-00155d82e908")</f>
        <v>https://miland.ru/api/getInfo/image/065dba1c-1c42-11f0-a279-00155d82e908</v>
      </c>
    </row>
    <row r="2617" spans="1:19" s="2" customFormat="1" ht="96.2" customHeight="1" outlineLevel="7">
      <c r="A2617" s="52">
        <v>2059</v>
      </c>
      <c r="B2617" s="26" t="s">
        <v>8658</v>
      </c>
      <c r="C2617" s="66" t="s">
        <v>8659</v>
      </c>
      <c r="D2617" s="66"/>
      <c r="E2617" s="66"/>
      <c r="F2617" s="66"/>
      <c r="G2617" s="27" t="s">
        <v>8660</v>
      </c>
      <c r="H2617" s="28" t="s">
        <v>44</v>
      </c>
      <c r="I2617" s="29"/>
      <c r="J2617" s="25">
        <v>50</v>
      </c>
      <c r="K2617" s="30">
        <v>10.76</v>
      </c>
      <c r="L2617" s="17"/>
      <c r="M2617" s="29">
        <f t="shared" si="127"/>
        <v>0</v>
      </c>
      <c r="N2617" s="31">
        <f>0.013*L2617</f>
        <v>0</v>
      </c>
      <c r="O2617" s="32">
        <f>0.00026*L2617</f>
        <v>0</v>
      </c>
      <c r="P2617" s="36"/>
      <c r="Q2617" s="29" t="s">
        <v>8661</v>
      </c>
      <c r="R2617" s="29"/>
      <c r="S2617" s="26" t="str">
        <f>HYPERLINK("https://miland.ru/api/getInfo/image/8342dc27-02e1-11ef-a25d-00155d82e908")</f>
        <v>https://miland.ru/api/getInfo/image/8342dc27-02e1-11ef-a25d-00155d82e908</v>
      </c>
    </row>
    <row r="2618" spans="1:19" s="2" customFormat="1" ht="96.2" customHeight="1" outlineLevel="7">
      <c r="A2618" s="52">
        <v>2060</v>
      </c>
      <c r="B2618" s="26" t="s">
        <v>8662</v>
      </c>
      <c r="C2618" s="66" t="s">
        <v>8663</v>
      </c>
      <c r="D2618" s="66"/>
      <c r="E2618" s="66"/>
      <c r="F2618" s="66"/>
      <c r="G2618" s="27" t="s">
        <v>8664</v>
      </c>
      <c r="H2618" s="28" t="s">
        <v>44</v>
      </c>
      <c r="I2618" s="29"/>
      <c r="J2618" s="25">
        <v>50</v>
      </c>
      <c r="K2618" s="30">
        <v>19.18</v>
      </c>
      <c r="L2618" s="17"/>
      <c r="M2618" s="29">
        <f t="shared" si="127"/>
        <v>0</v>
      </c>
      <c r="N2618" s="31">
        <f>0.015*L2618</f>
        <v>0</v>
      </c>
      <c r="O2618" s="32">
        <f>0.00025*L2618</f>
        <v>0</v>
      </c>
      <c r="P2618" s="36"/>
      <c r="Q2618" s="29" t="s">
        <v>8665</v>
      </c>
      <c r="R2618" s="29"/>
      <c r="S2618" s="26" t="str">
        <f>HYPERLINK("https://miland.ru/api/getInfo/image/64b7d33e-1c44-11f0-a279-00155d82e908")</f>
        <v>https://miland.ru/api/getInfo/image/64b7d33e-1c44-11f0-a279-00155d82e908</v>
      </c>
    </row>
    <row r="2619" spans="1:19" s="2" customFormat="1" ht="96.2" customHeight="1" outlineLevel="7">
      <c r="A2619" s="52">
        <v>2061</v>
      </c>
      <c r="B2619" s="26" t="s">
        <v>8666</v>
      </c>
      <c r="C2619" s="66" t="s">
        <v>8667</v>
      </c>
      <c r="D2619" s="66"/>
      <c r="E2619" s="66"/>
      <c r="F2619" s="66"/>
      <c r="G2619" s="27" t="s">
        <v>8668</v>
      </c>
      <c r="H2619" s="28" t="s">
        <v>44</v>
      </c>
      <c r="I2619" s="29"/>
      <c r="J2619" s="25">
        <v>50</v>
      </c>
      <c r="K2619" s="30">
        <v>19.18</v>
      </c>
      <c r="L2619" s="17"/>
      <c r="M2619" s="29">
        <f t="shared" si="127"/>
        <v>0</v>
      </c>
      <c r="N2619" s="31">
        <f>0.015*L2619</f>
        <v>0</v>
      </c>
      <c r="O2619" s="32">
        <f>0.00025*L2619</f>
        <v>0</v>
      </c>
      <c r="P2619" s="36"/>
      <c r="Q2619" s="29" t="s">
        <v>8669</v>
      </c>
      <c r="R2619" s="29"/>
      <c r="S2619" s="26" t="str">
        <f>HYPERLINK("https://miland.ru/api/getInfo/image/f98d1b89-1c43-11f0-a279-00155d82e908")</f>
        <v>https://miland.ru/api/getInfo/image/f98d1b89-1c43-11f0-a279-00155d82e908</v>
      </c>
    </row>
    <row r="2620" spans="1:19" s="2" customFormat="1" ht="96.2" customHeight="1" outlineLevel="7">
      <c r="A2620" s="53">
        <v>2062</v>
      </c>
      <c r="B2620" s="10" t="s">
        <v>8670</v>
      </c>
      <c r="C2620" s="65" t="s">
        <v>8671</v>
      </c>
      <c r="D2620" s="65"/>
      <c r="E2620" s="65"/>
      <c r="F2620" s="65"/>
      <c r="G2620" s="11" t="s">
        <v>8672</v>
      </c>
      <c r="H2620" s="21" t="s">
        <v>44</v>
      </c>
      <c r="I2620" s="15"/>
      <c r="J2620" s="9">
        <v>50</v>
      </c>
      <c r="K2620" s="16">
        <v>23.06</v>
      </c>
      <c r="L2620" s="17"/>
      <c r="M2620" s="15">
        <f t="shared" si="127"/>
        <v>0</v>
      </c>
      <c r="N2620" s="18">
        <f>0.016*L2620</f>
        <v>0</v>
      </c>
      <c r="O2620" s="19">
        <f>0.00012*L2620</f>
        <v>0</v>
      </c>
      <c r="P2620" s="24" t="s">
        <v>26</v>
      </c>
      <c r="Q2620" s="15" t="s">
        <v>8673</v>
      </c>
      <c r="R2620" s="15"/>
      <c r="S2620" s="10" t="str">
        <f>HYPERLINK("https://miland.ru/api/getInfo/image/3dff990d-3331-11f1-a292-00155d82e908")</f>
        <v>https://miland.ru/api/getInfo/image/3dff990d-3331-11f1-a292-00155d82e908</v>
      </c>
    </row>
    <row r="2621" spans="1:19" s="2" customFormat="1" ht="96.2" customHeight="1" outlineLevel="7">
      <c r="A2621" s="52">
        <v>2063</v>
      </c>
      <c r="B2621" s="26" t="s">
        <v>8674</v>
      </c>
      <c r="C2621" s="66" t="s">
        <v>8675</v>
      </c>
      <c r="D2621" s="66"/>
      <c r="E2621" s="66"/>
      <c r="F2621" s="66"/>
      <c r="G2621" s="27" t="s">
        <v>8676</v>
      </c>
      <c r="H2621" s="28" t="s">
        <v>44</v>
      </c>
      <c r="I2621" s="29"/>
      <c r="J2621" s="25">
        <v>25</v>
      </c>
      <c r="K2621" s="30">
        <v>18.510000000000002</v>
      </c>
      <c r="L2621" s="17"/>
      <c r="M2621" s="29">
        <f t="shared" si="127"/>
        <v>0</v>
      </c>
      <c r="N2621" s="31">
        <f>0.012*L2621</f>
        <v>0</v>
      </c>
      <c r="O2621" s="32">
        <f>0.00012*L2621</f>
        <v>0</v>
      </c>
      <c r="P2621" s="36"/>
      <c r="Q2621" s="29" t="s">
        <v>8677</v>
      </c>
      <c r="R2621" s="29"/>
      <c r="S2621" s="26" t="str">
        <f>HYPERLINK("https://miland.ru/api/getInfo/image/932f1f1c-1c45-11f0-a279-00155d82e908")</f>
        <v>https://miland.ru/api/getInfo/image/932f1f1c-1c45-11f0-a279-00155d82e908</v>
      </c>
    </row>
    <row r="2622" spans="1:19" s="2" customFormat="1" ht="96.2" customHeight="1" outlineLevel="7">
      <c r="A2622" s="52">
        <v>2064</v>
      </c>
      <c r="B2622" s="26" t="s">
        <v>8678</v>
      </c>
      <c r="C2622" s="66" t="s">
        <v>8679</v>
      </c>
      <c r="D2622" s="66"/>
      <c r="E2622" s="66"/>
      <c r="F2622" s="66"/>
      <c r="G2622" s="27" t="s">
        <v>8680</v>
      </c>
      <c r="H2622" s="28" t="s">
        <v>44</v>
      </c>
      <c r="I2622" s="29"/>
      <c r="J2622" s="25">
        <v>50</v>
      </c>
      <c r="K2622" s="30">
        <v>23.06</v>
      </c>
      <c r="L2622" s="17"/>
      <c r="M2622" s="29">
        <f t="shared" si="127"/>
        <v>0</v>
      </c>
      <c r="N2622" s="31">
        <f>0.017*L2622</f>
        <v>0</v>
      </c>
      <c r="O2622" s="32">
        <f>0.00025*L2622</f>
        <v>0</v>
      </c>
      <c r="P2622" s="36"/>
      <c r="Q2622" s="29" t="s">
        <v>8681</v>
      </c>
      <c r="R2622" s="29"/>
      <c r="S2622" s="26" t="str">
        <f>HYPERLINK("https://miland.ru/api/getInfo/image/e70e95a4-a67d-11eb-a201-ac1f6b442185")</f>
        <v>https://miland.ru/api/getInfo/image/e70e95a4-a67d-11eb-a201-ac1f6b442185</v>
      </c>
    </row>
    <row r="2623" spans="1:19" s="1" customFormat="1" ht="12" customHeight="1" outlineLevel="7">
      <c r="A2623" s="64" t="s">
        <v>7805</v>
      </c>
      <c r="B2623" s="64"/>
      <c r="C2623" s="64"/>
      <c r="D2623" s="64"/>
      <c r="E2623" s="64"/>
      <c r="F2623" s="64"/>
      <c r="G2623" s="8"/>
      <c r="H2623" s="12"/>
      <c r="I2623" s="2"/>
      <c r="J2623" s="2"/>
      <c r="K2623" s="13"/>
      <c r="L2623" s="2"/>
      <c r="M2623" s="2"/>
      <c r="N2623" s="2"/>
      <c r="O2623" s="2"/>
      <c r="P2623" s="2"/>
      <c r="Q2623" s="2"/>
      <c r="R2623" s="2"/>
      <c r="S2623" s="2"/>
    </row>
    <row r="2624" spans="1:19" s="1" customFormat="1" ht="12" customHeight="1" outlineLevel="7">
      <c r="A2624" s="64" t="s">
        <v>8413</v>
      </c>
      <c r="B2624" s="64"/>
      <c r="C2624" s="64"/>
      <c r="D2624" s="64"/>
      <c r="E2624" s="64"/>
      <c r="F2624" s="64"/>
      <c r="G2624" s="8"/>
      <c r="H2624" s="12"/>
      <c r="I2624" s="2"/>
      <c r="J2624" s="2"/>
      <c r="K2624" s="13"/>
      <c r="L2624" s="2"/>
      <c r="M2624" s="2"/>
      <c r="N2624" s="2"/>
      <c r="O2624" s="2"/>
      <c r="P2624" s="2"/>
      <c r="Q2624" s="2"/>
      <c r="R2624" s="2"/>
      <c r="S2624" s="2"/>
    </row>
    <row r="2625" spans="1:19" s="2" customFormat="1" ht="96.2" customHeight="1" outlineLevel="7">
      <c r="A2625" s="52">
        <v>2065</v>
      </c>
      <c r="B2625" s="26" t="s">
        <v>8682</v>
      </c>
      <c r="C2625" s="66" t="s">
        <v>8683</v>
      </c>
      <c r="D2625" s="66"/>
      <c r="E2625" s="66"/>
      <c r="F2625" s="66"/>
      <c r="G2625" s="27" t="s">
        <v>8684</v>
      </c>
      <c r="H2625" s="28" t="s">
        <v>44</v>
      </c>
      <c r="I2625" s="29"/>
      <c r="J2625" s="25">
        <v>50</v>
      </c>
      <c r="K2625" s="30">
        <v>21.98</v>
      </c>
      <c r="L2625" s="17"/>
      <c r="M2625" s="29">
        <f>K2625*L2625</f>
        <v>0</v>
      </c>
      <c r="N2625" s="31">
        <f>0.013*L2625</f>
        <v>0</v>
      </c>
      <c r="O2625" s="32">
        <f>0.00024*L2625</f>
        <v>0</v>
      </c>
      <c r="P2625" s="36"/>
      <c r="Q2625" s="29" t="s">
        <v>8685</v>
      </c>
      <c r="R2625" s="29"/>
      <c r="S2625" s="26" t="str">
        <f>HYPERLINK("https://miland.ru/api/getInfo/image/3a2ebfe2-1a86-11f0-a279-00155d82e908")</f>
        <v>https://miland.ru/api/getInfo/image/3a2ebfe2-1a86-11f0-a279-00155d82e908</v>
      </c>
    </row>
    <row r="2626" spans="1:19" s="1" customFormat="1" ht="12" customHeight="1" outlineLevel="7">
      <c r="A2626" s="64" t="s">
        <v>7806</v>
      </c>
      <c r="B2626" s="64"/>
      <c r="C2626" s="64"/>
      <c r="D2626" s="64"/>
      <c r="E2626" s="64"/>
      <c r="F2626" s="64"/>
      <c r="G2626" s="8"/>
      <c r="H2626" s="12"/>
      <c r="I2626" s="2"/>
      <c r="J2626" s="2"/>
      <c r="K2626" s="13"/>
      <c r="L2626" s="2"/>
      <c r="M2626" s="2"/>
      <c r="N2626" s="2"/>
      <c r="O2626" s="2"/>
      <c r="P2626" s="2"/>
      <c r="Q2626" s="2"/>
      <c r="R2626" s="2"/>
      <c r="S2626" s="2"/>
    </row>
    <row r="2627" spans="1:19" s="2" customFormat="1" ht="96.2" customHeight="1" outlineLevel="7">
      <c r="A2627" s="52">
        <v>2066</v>
      </c>
      <c r="B2627" s="26" t="s">
        <v>8686</v>
      </c>
      <c r="C2627" s="66" t="s">
        <v>8687</v>
      </c>
      <c r="D2627" s="66"/>
      <c r="E2627" s="66"/>
      <c r="F2627" s="66"/>
      <c r="G2627" s="27" t="s">
        <v>8688</v>
      </c>
      <c r="H2627" s="28" t="s">
        <v>44</v>
      </c>
      <c r="I2627" s="29"/>
      <c r="J2627" s="25">
        <v>50</v>
      </c>
      <c r="K2627" s="30">
        <v>21.98</v>
      </c>
      <c r="L2627" s="17"/>
      <c r="M2627" s="29">
        <f>K2627*L2627</f>
        <v>0</v>
      </c>
      <c r="N2627" s="31">
        <f>0.013*L2627</f>
        <v>0</v>
      </c>
      <c r="O2627" s="32">
        <f>0.00012*L2627</f>
        <v>0</v>
      </c>
      <c r="P2627" s="36"/>
      <c r="Q2627" s="29" t="s">
        <v>8689</v>
      </c>
      <c r="R2627" s="29" t="s">
        <v>611</v>
      </c>
      <c r="S2627" s="26" t="str">
        <f>HYPERLINK("https://miland.ru/api/getInfo/image/ca1f76af-4b7f-11f0-a27c-00155d82e908")</f>
        <v>https://miland.ru/api/getInfo/image/ca1f76af-4b7f-11f0-a27c-00155d82e908</v>
      </c>
    </row>
    <row r="2628" spans="1:19" s="1" customFormat="1" ht="12" customHeight="1" outlineLevel="6">
      <c r="A2628" s="64" t="s">
        <v>8690</v>
      </c>
      <c r="B2628" s="64"/>
      <c r="C2628" s="64"/>
      <c r="D2628" s="64"/>
      <c r="E2628" s="64"/>
      <c r="F2628" s="64"/>
      <c r="G2628" s="8"/>
      <c r="H2628" s="12"/>
      <c r="I2628" s="2"/>
      <c r="J2628" s="2"/>
      <c r="K2628" s="13"/>
      <c r="L2628" s="2"/>
      <c r="M2628" s="2"/>
      <c r="N2628" s="2"/>
      <c r="O2628" s="2"/>
      <c r="P2628" s="2"/>
      <c r="Q2628" s="2"/>
      <c r="R2628" s="2"/>
      <c r="S2628" s="2"/>
    </row>
    <row r="2629" spans="1:19" s="2" customFormat="1" ht="96.2" customHeight="1" outlineLevel="7">
      <c r="A2629" s="52">
        <v>2067</v>
      </c>
      <c r="B2629" s="26" t="s">
        <v>8691</v>
      </c>
      <c r="C2629" s="66" t="s">
        <v>8692</v>
      </c>
      <c r="D2629" s="66"/>
      <c r="E2629" s="66"/>
      <c r="F2629" s="66"/>
      <c r="G2629" s="27" t="s">
        <v>8693</v>
      </c>
      <c r="H2629" s="28" t="s">
        <v>44</v>
      </c>
      <c r="I2629" s="29"/>
      <c r="J2629" s="25">
        <v>25</v>
      </c>
      <c r="K2629" s="30">
        <v>19.97</v>
      </c>
      <c r="L2629" s="17"/>
      <c r="M2629" s="29">
        <f>K2629*L2629</f>
        <v>0</v>
      </c>
      <c r="N2629" s="34">
        <f>0.02*L2629</f>
        <v>0</v>
      </c>
      <c r="O2629" s="32">
        <f>0.00035*L2629</f>
        <v>0</v>
      </c>
      <c r="P2629" s="36"/>
      <c r="Q2629" s="29" t="s">
        <v>8694</v>
      </c>
      <c r="R2629" s="29" t="s">
        <v>611</v>
      </c>
      <c r="S2629" s="26" t="str">
        <f>HYPERLINK("https://miland.ru/api/getInfo/image/a4151734-d9f3-11ed-a232-00155d82e902")</f>
        <v>https://miland.ru/api/getInfo/image/a4151734-d9f3-11ed-a232-00155d82e902</v>
      </c>
    </row>
    <row r="2630" spans="1:19" s="1" customFormat="1" ht="12" customHeight="1" outlineLevel="6">
      <c r="A2630" s="64" t="s">
        <v>8695</v>
      </c>
      <c r="B2630" s="64"/>
      <c r="C2630" s="64"/>
      <c r="D2630" s="64"/>
      <c r="E2630" s="64"/>
      <c r="F2630" s="64"/>
      <c r="G2630" s="8"/>
      <c r="H2630" s="12"/>
      <c r="I2630" s="2"/>
      <c r="J2630" s="2"/>
      <c r="K2630" s="13"/>
      <c r="L2630" s="2"/>
      <c r="M2630" s="2"/>
      <c r="N2630" s="2"/>
      <c r="O2630" s="2"/>
      <c r="P2630" s="2"/>
      <c r="Q2630" s="2"/>
      <c r="R2630" s="2"/>
      <c r="S2630" s="2"/>
    </row>
    <row r="2631" spans="1:19" s="2" customFormat="1" ht="96.2" customHeight="1" outlineLevel="7">
      <c r="A2631" s="53">
        <v>2068</v>
      </c>
      <c r="B2631" s="10" t="s">
        <v>8696</v>
      </c>
      <c r="C2631" s="65" t="s">
        <v>8697</v>
      </c>
      <c r="D2631" s="65"/>
      <c r="E2631" s="65"/>
      <c r="F2631" s="65"/>
      <c r="G2631" s="11" t="s">
        <v>8698</v>
      </c>
      <c r="H2631" s="21" t="s">
        <v>44</v>
      </c>
      <c r="I2631" s="15"/>
      <c r="J2631" s="9">
        <v>25</v>
      </c>
      <c r="K2631" s="16">
        <v>29.28</v>
      </c>
      <c r="L2631" s="17"/>
      <c r="M2631" s="15">
        <f>K2631*L2631</f>
        <v>0</v>
      </c>
      <c r="N2631" s="15">
        <v>0</v>
      </c>
      <c r="O2631" s="15">
        <v>0</v>
      </c>
      <c r="P2631" s="24" t="s">
        <v>26</v>
      </c>
      <c r="Q2631" s="15" t="s">
        <v>8699</v>
      </c>
      <c r="R2631" s="15"/>
      <c r="S2631" s="10" t="str">
        <f>HYPERLINK("https://miland.ru/api/getInfo/image/2df64c55-3961-11f1-a293-00155d82e908")</f>
        <v>https://miland.ru/api/getInfo/image/2df64c55-3961-11f1-a293-00155d82e908</v>
      </c>
    </row>
    <row r="2632" spans="1:19" s="2" customFormat="1" ht="96.2" customHeight="1" outlineLevel="7">
      <c r="A2632" s="53">
        <v>2069</v>
      </c>
      <c r="B2632" s="10" t="s">
        <v>8700</v>
      </c>
      <c r="C2632" s="65" t="s">
        <v>8701</v>
      </c>
      <c r="D2632" s="65"/>
      <c r="E2632" s="65"/>
      <c r="F2632" s="65"/>
      <c r="G2632" s="11" t="s">
        <v>8702</v>
      </c>
      <c r="H2632" s="21" t="s">
        <v>44</v>
      </c>
      <c r="I2632" s="15"/>
      <c r="J2632" s="9">
        <v>25</v>
      </c>
      <c r="K2632" s="16">
        <v>29.28</v>
      </c>
      <c r="L2632" s="17"/>
      <c r="M2632" s="15">
        <f>K2632*L2632</f>
        <v>0</v>
      </c>
      <c r="N2632" s="15">
        <v>0</v>
      </c>
      <c r="O2632" s="15">
        <v>0</v>
      </c>
      <c r="P2632" s="24" t="s">
        <v>26</v>
      </c>
      <c r="Q2632" s="15" t="s">
        <v>8703</v>
      </c>
      <c r="R2632" s="15"/>
      <c r="S2632" s="10" t="str">
        <f>HYPERLINK("https://miland.ru/api/getInfo/image/65027de6-3961-11f1-a293-00155d82e908")</f>
        <v>https://miland.ru/api/getInfo/image/65027de6-3961-11f1-a293-00155d82e908</v>
      </c>
    </row>
    <row r="2633" spans="1:19" s="2" customFormat="1" ht="96.2" customHeight="1" outlineLevel="7">
      <c r="A2633" s="53">
        <v>2070</v>
      </c>
      <c r="B2633" s="10" t="s">
        <v>8704</v>
      </c>
      <c r="C2633" s="65" t="s">
        <v>8705</v>
      </c>
      <c r="D2633" s="65"/>
      <c r="E2633" s="65"/>
      <c r="F2633" s="65"/>
      <c r="G2633" s="11" t="s">
        <v>8706</v>
      </c>
      <c r="H2633" s="21" t="s">
        <v>44</v>
      </c>
      <c r="I2633" s="15"/>
      <c r="J2633" s="9">
        <v>25</v>
      </c>
      <c r="K2633" s="16">
        <v>29.28</v>
      </c>
      <c r="L2633" s="17"/>
      <c r="M2633" s="15">
        <f>K2633*L2633</f>
        <v>0</v>
      </c>
      <c r="N2633" s="15">
        <v>0</v>
      </c>
      <c r="O2633" s="15">
        <v>0</v>
      </c>
      <c r="P2633" s="24" t="s">
        <v>26</v>
      </c>
      <c r="Q2633" s="15" t="s">
        <v>8707</v>
      </c>
      <c r="R2633" s="15"/>
      <c r="S2633" s="10" t="str">
        <f>HYPERLINK("https://miland.ru/api/getInfo/image/ece258d6-3960-11f1-a293-00155d82e908")</f>
        <v>https://miland.ru/api/getInfo/image/ece258d6-3960-11f1-a293-00155d82e908</v>
      </c>
    </row>
    <row r="2634" spans="1:19" s="2" customFormat="1" ht="96.2" customHeight="1" outlineLevel="7">
      <c r="A2634" s="53">
        <v>2071</v>
      </c>
      <c r="B2634" s="10" t="s">
        <v>8708</v>
      </c>
      <c r="C2634" s="65" t="s">
        <v>8709</v>
      </c>
      <c r="D2634" s="65"/>
      <c r="E2634" s="65"/>
      <c r="F2634" s="65"/>
      <c r="G2634" s="11" t="s">
        <v>8710</v>
      </c>
      <c r="H2634" s="21" t="s">
        <v>44</v>
      </c>
      <c r="I2634" s="15"/>
      <c r="J2634" s="9">
        <v>25</v>
      </c>
      <c r="K2634" s="16">
        <v>29.28</v>
      </c>
      <c r="L2634" s="17"/>
      <c r="M2634" s="15">
        <f>K2634*L2634</f>
        <v>0</v>
      </c>
      <c r="N2634" s="15">
        <v>0</v>
      </c>
      <c r="O2634" s="15">
        <v>0</v>
      </c>
      <c r="P2634" s="24" t="s">
        <v>26</v>
      </c>
      <c r="Q2634" s="15" t="s">
        <v>8711</v>
      </c>
      <c r="R2634" s="15"/>
      <c r="S2634" s="10" t="str">
        <f>HYPERLINK("https://miland.ru/api/getInfo/image/54430bec-3961-11f1-a293-00155d82e908")</f>
        <v>https://miland.ru/api/getInfo/image/54430bec-3961-11f1-a293-00155d82e908</v>
      </c>
    </row>
    <row r="2635" spans="1:19" s="2" customFormat="1" ht="96.2" customHeight="1" outlineLevel="7">
      <c r="A2635" s="53">
        <v>2072</v>
      </c>
      <c r="B2635" s="10" t="s">
        <v>8712</v>
      </c>
      <c r="C2635" s="65" t="s">
        <v>8713</v>
      </c>
      <c r="D2635" s="65"/>
      <c r="E2635" s="65"/>
      <c r="F2635" s="65"/>
      <c r="G2635" s="11" t="s">
        <v>8714</v>
      </c>
      <c r="H2635" s="21" t="s">
        <v>44</v>
      </c>
      <c r="I2635" s="15"/>
      <c r="J2635" s="9">
        <v>25</v>
      </c>
      <c r="K2635" s="16">
        <v>29.28</v>
      </c>
      <c r="L2635" s="17"/>
      <c r="M2635" s="15">
        <f>K2635*L2635</f>
        <v>0</v>
      </c>
      <c r="N2635" s="15">
        <v>0</v>
      </c>
      <c r="O2635" s="15">
        <v>0</v>
      </c>
      <c r="P2635" s="24" t="s">
        <v>26</v>
      </c>
      <c r="Q2635" s="15" t="s">
        <v>8715</v>
      </c>
      <c r="R2635" s="15"/>
      <c r="S2635" s="10" t="str">
        <f>HYPERLINK("https://miland.ru/api/getInfo/image/7c648cd3-3961-11f1-a293-00155d82e908")</f>
        <v>https://miland.ru/api/getInfo/image/7c648cd3-3961-11f1-a293-00155d82e908</v>
      </c>
    </row>
    <row r="2636" spans="1:19" s="1" customFormat="1" ht="12" customHeight="1" outlineLevel="6">
      <c r="A2636" s="64" t="s">
        <v>8716</v>
      </c>
      <c r="B2636" s="64"/>
      <c r="C2636" s="64"/>
      <c r="D2636" s="64"/>
      <c r="E2636" s="64"/>
      <c r="F2636" s="64"/>
      <c r="G2636" s="8"/>
      <c r="H2636" s="12"/>
      <c r="I2636" s="2"/>
      <c r="J2636" s="2"/>
      <c r="K2636" s="13"/>
      <c r="L2636" s="2"/>
      <c r="M2636" s="2"/>
      <c r="N2636" s="2"/>
      <c r="O2636" s="2"/>
      <c r="P2636" s="2"/>
      <c r="Q2636" s="2"/>
      <c r="R2636" s="2"/>
      <c r="S2636" s="2"/>
    </row>
    <row r="2637" spans="1:19" s="2" customFormat="1" ht="96.2" customHeight="1" outlineLevel="7">
      <c r="A2637" s="52">
        <v>2073</v>
      </c>
      <c r="B2637" s="26" t="s">
        <v>8717</v>
      </c>
      <c r="C2637" s="66" t="s">
        <v>8718</v>
      </c>
      <c r="D2637" s="66"/>
      <c r="E2637" s="66"/>
      <c r="F2637" s="66"/>
      <c r="G2637" s="27" t="s">
        <v>8719</v>
      </c>
      <c r="H2637" s="28" t="s">
        <v>44</v>
      </c>
      <c r="I2637" s="29"/>
      <c r="J2637" s="25">
        <v>50</v>
      </c>
      <c r="K2637" s="30">
        <v>31.22</v>
      </c>
      <c r="L2637" s="17"/>
      <c r="M2637" s="29">
        <f>K2637*L2637</f>
        <v>0</v>
      </c>
      <c r="N2637" s="31">
        <f>0.058*L2637</f>
        <v>0</v>
      </c>
      <c r="O2637" s="32">
        <f>0.00052*L2637</f>
        <v>0</v>
      </c>
      <c r="P2637" s="36"/>
      <c r="Q2637" s="29" t="s">
        <v>8720</v>
      </c>
      <c r="R2637" s="29"/>
      <c r="S2637" s="26" t="str">
        <f>HYPERLINK("https://miland.ru/api/getInfo/image/1c5b36aa-1c4d-11f0-a279-00155d82e908")</f>
        <v>https://miland.ru/api/getInfo/image/1c5b36aa-1c4d-11f0-a279-00155d82e908</v>
      </c>
    </row>
    <row r="2638" spans="1:19" s="2" customFormat="1" ht="96.2" customHeight="1" outlineLevel="7">
      <c r="A2638" s="52">
        <v>2074</v>
      </c>
      <c r="B2638" s="26" t="s">
        <v>8721</v>
      </c>
      <c r="C2638" s="66" t="s">
        <v>8722</v>
      </c>
      <c r="D2638" s="66"/>
      <c r="E2638" s="66"/>
      <c r="F2638" s="66"/>
      <c r="G2638" s="27" t="s">
        <v>8723</v>
      </c>
      <c r="H2638" s="33">
        <v>250</v>
      </c>
      <c r="I2638" s="29"/>
      <c r="J2638" s="25">
        <v>50</v>
      </c>
      <c r="K2638" s="30">
        <v>24.21</v>
      </c>
      <c r="L2638" s="17"/>
      <c r="M2638" s="29">
        <f>K2638*L2638</f>
        <v>0</v>
      </c>
      <c r="N2638" s="31">
        <f>0.023*L2638</f>
        <v>0</v>
      </c>
      <c r="O2638" s="32">
        <f>0.00087*L2638</f>
        <v>0</v>
      </c>
      <c r="P2638" s="36"/>
      <c r="Q2638" s="29" t="s">
        <v>8724</v>
      </c>
      <c r="R2638" s="29" t="s">
        <v>611</v>
      </c>
      <c r="S2638" s="26" t="str">
        <f>HYPERLINK("https://miland.ru/api/getInfo/image/6826b3ab-1c4b-11f0-a279-00155d82e908")</f>
        <v>https://miland.ru/api/getInfo/image/6826b3ab-1c4b-11f0-a279-00155d82e908</v>
      </c>
    </row>
    <row r="2639" spans="1:19" s="1" customFormat="1" ht="12" customHeight="1" outlineLevel="5">
      <c r="A2639" s="64" t="s">
        <v>8725</v>
      </c>
      <c r="B2639" s="64"/>
      <c r="C2639" s="64"/>
      <c r="D2639" s="64"/>
      <c r="E2639" s="64"/>
      <c r="F2639" s="64"/>
      <c r="G2639" s="8"/>
      <c r="H2639" s="12"/>
      <c r="I2639" s="2"/>
      <c r="J2639" s="2"/>
      <c r="K2639" s="13"/>
      <c r="L2639" s="2"/>
      <c r="M2639" s="2"/>
      <c r="N2639" s="2"/>
      <c r="O2639" s="2"/>
      <c r="P2639" s="2"/>
      <c r="Q2639" s="2"/>
      <c r="R2639" s="2"/>
      <c r="S2639" s="2"/>
    </row>
    <row r="2640" spans="1:19" s="1" customFormat="1" ht="12" customHeight="1" outlineLevel="6">
      <c r="A2640" s="64" t="s">
        <v>8726</v>
      </c>
      <c r="B2640" s="64"/>
      <c r="C2640" s="64"/>
      <c r="D2640" s="64"/>
      <c r="E2640" s="64"/>
      <c r="F2640" s="64"/>
      <c r="G2640" s="8"/>
      <c r="H2640" s="12"/>
      <c r="I2640" s="2"/>
      <c r="J2640" s="2"/>
      <c r="K2640" s="13"/>
      <c r="L2640" s="2"/>
      <c r="M2640" s="2"/>
      <c r="N2640" s="2"/>
      <c r="O2640" s="2"/>
      <c r="P2640" s="2"/>
      <c r="Q2640" s="2"/>
      <c r="R2640" s="2"/>
      <c r="S2640" s="2"/>
    </row>
    <row r="2641" spans="1:19" s="2" customFormat="1" ht="96.2" customHeight="1" outlineLevel="7">
      <c r="A2641" s="52">
        <v>2075</v>
      </c>
      <c r="B2641" s="26" t="s">
        <v>8727</v>
      </c>
      <c r="C2641" s="66" t="s">
        <v>8728</v>
      </c>
      <c r="D2641" s="66"/>
      <c r="E2641" s="66"/>
      <c r="F2641" s="66"/>
      <c r="G2641" s="27" t="s">
        <v>8729</v>
      </c>
      <c r="H2641" s="28" t="s">
        <v>44</v>
      </c>
      <c r="I2641" s="29"/>
      <c r="J2641" s="25">
        <v>50</v>
      </c>
      <c r="K2641" s="30">
        <v>14.44</v>
      </c>
      <c r="L2641" s="17"/>
      <c r="M2641" s="29">
        <f>K2641*L2641</f>
        <v>0</v>
      </c>
      <c r="N2641" s="31">
        <f>0.011*L2641</f>
        <v>0</v>
      </c>
      <c r="O2641" s="32">
        <f>0.00022*L2641</f>
        <v>0</v>
      </c>
      <c r="P2641" s="36"/>
      <c r="Q2641" s="29" t="s">
        <v>8730</v>
      </c>
      <c r="R2641" s="29"/>
      <c r="S2641" s="26" t="str">
        <f>HYPERLINK("https://miland.ru/api/getInfo/image/8f40e588-1c4e-11f0-a279-00155d82e908")</f>
        <v>https://miland.ru/api/getInfo/image/8f40e588-1c4e-11f0-a279-00155d82e908</v>
      </c>
    </row>
    <row r="2642" spans="1:19" s="2" customFormat="1" ht="96.2" customHeight="1" outlineLevel="7">
      <c r="A2642" s="52">
        <v>2076</v>
      </c>
      <c r="B2642" s="26" t="s">
        <v>8731</v>
      </c>
      <c r="C2642" s="66" t="s">
        <v>8732</v>
      </c>
      <c r="D2642" s="66"/>
      <c r="E2642" s="66"/>
      <c r="F2642" s="66"/>
      <c r="G2642" s="27" t="s">
        <v>8733</v>
      </c>
      <c r="H2642" s="28" t="s">
        <v>44</v>
      </c>
      <c r="I2642" s="29"/>
      <c r="J2642" s="25">
        <v>50</v>
      </c>
      <c r="K2642" s="30">
        <v>14.44</v>
      </c>
      <c r="L2642" s="17"/>
      <c r="M2642" s="29">
        <f>K2642*L2642</f>
        <v>0</v>
      </c>
      <c r="N2642" s="31">
        <f>0.013*L2642</f>
        <v>0</v>
      </c>
      <c r="O2642" s="35">
        <f>0.0003*L2642</f>
        <v>0</v>
      </c>
      <c r="P2642" s="36"/>
      <c r="Q2642" s="29" t="s">
        <v>8734</v>
      </c>
      <c r="R2642" s="29"/>
      <c r="S2642" s="26" t="str">
        <f>HYPERLINK("https://miland.ru/api/getInfo/image/dd0cc579-bc01-11ec-a211-ac1f6b442185")</f>
        <v>https://miland.ru/api/getInfo/image/dd0cc579-bc01-11ec-a211-ac1f6b442185</v>
      </c>
    </row>
    <row r="2643" spans="1:19" s="1" customFormat="1" ht="12" customHeight="1" outlineLevel="6">
      <c r="A2643" s="64" t="s">
        <v>8735</v>
      </c>
      <c r="B2643" s="64"/>
      <c r="C2643" s="64"/>
      <c r="D2643" s="64"/>
      <c r="E2643" s="64"/>
      <c r="F2643" s="64"/>
      <c r="G2643" s="8"/>
      <c r="H2643" s="12"/>
      <c r="I2643" s="2"/>
      <c r="J2643" s="2"/>
      <c r="K2643" s="13"/>
      <c r="L2643" s="2"/>
      <c r="M2643" s="2"/>
      <c r="N2643" s="2"/>
      <c r="O2643" s="2"/>
      <c r="P2643" s="2"/>
      <c r="Q2643" s="2"/>
      <c r="R2643" s="2"/>
      <c r="S2643" s="2"/>
    </row>
    <row r="2644" spans="1:19" s="2" customFormat="1" ht="96.2" customHeight="1" outlineLevel="7">
      <c r="A2644" s="52">
        <v>2077</v>
      </c>
      <c r="B2644" s="26" t="s">
        <v>8736</v>
      </c>
      <c r="C2644" s="66" t="s">
        <v>8737</v>
      </c>
      <c r="D2644" s="66"/>
      <c r="E2644" s="66"/>
      <c r="F2644" s="66"/>
      <c r="G2644" s="27" t="s">
        <v>8738</v>
      </c>
      <c r="H2644" s="28" t="s">
        <v>44</v>
      </c>
      <c r="I2644" s="29"/>
      <c r="J2644" s="25">
        <v>50</v>
      </c>
      <c r="K2644" s="30">
        <v>21.9</v>
      </c>
      <c r="L2644" s="17"/>
      <c r="M2644" s="29">
        <f>K2644*L2644</f>
        <v>0</v>
      </c>
      <c r="N2644" s="31">
        <f>0.002*L2644</f>
        <v>0</v>
      </c>
      <c r="O2644" s="32">
        <f>0.00033*L2644</f>
        <v>0</v>
      </c>
      <c r="P2644" s="36"/>
      <c r="Q2644" s="29" t="s">
        <v>8739</v>
      </c>
      <c r="R2644" s="29"/>
      <c r="S2644" s="26" t="str">
        <f>HYPERLINK("https://miland.ru/api/getInfo/image/54b0458a-1c50-11f0-a279-00155d82e908")</f>
        <v>https://miland.ru/api/getInfo/image/54b0458a-1c50-11f0-a279-00155d82e908</v>
      </c>
    </row>
    <row r="2645" spans="1:19" s="1" customFormat="1" ht="12" customHeight="1" outlineLevel="6">
      <c r="A2645" s="64" t="s">
        <v>8740</v>
      </c>
      <c r="B2645" s="64"/>
      <c r="C2645" s="64"/>
      <c r="D2645" s="64"/>
      <c r="E2645" s="64"/>
      <c r="F2645" s="64"/>
      <c r="G2645" s="8"/>
      <c r="H2645" s="12"/>
      <c r="I2645" s="2"/>
      <c r="J2645" s="2"/>
      <c r="K2645" s="13"/>
      <c r="L2645" s="2"/>
      <c r="M2645" s="2"/>
      <c r="N2645" s="2"/>
      <c r="O2645" s="2"/>
      <c r="P2645" s="2"/>
      <c r="Q2645" s="2"/>
      <c r="R2645" s="2"/>
      <c r="S2645" s="2"/>
    </row>
    <row r="2646" spans="1:19" s="2" customFormat="1" ht="96.2" customHeight="1" outlineLevel="7">
      <c r="A2646" s="52">
        <v>2078</v>
      </c>
      <c r="B2646" s="26" t="s">
        <v>8741</v>
      </c>
      <c r="C2646" s="66" t="s">
        <v>8742</v>
      </c>
      <c r="D2646" s="66"/>
      <c r="E2646" s="66"/>
      <c r="F2646" s="66"/>
      <c r="G2646" s="27" t="s">
        <v>8743</v>
      </c>
      <c r="H2646" s="28" t="s">
        <v>44</v>
      </c>
      <c r="I2646" s="29"/>
      <c r="J2646" s="25">
        <v>25</v>
      </c>
      <c r="K2646" s="30">
        <v>54.26</v>
      </c>
      <c r="L2646" s="17"/>
      <c r="M2646" s="29">
        <f>K2646*L2646</f>
        <v>0</v>
      </c>
      <c r="N2646" s="34">
        <f>0.05*L2646</f>
        <v>0</v>
      </c>
      <c r="O2646" s="32">
        <f>0.00144*L2646</f>
        <v>0</v>
      </c>
      <c r="P2646" s="36"/>
      <c r="Q2646" s="29" t="s">
        <v>8744</v>
      </c>
      <c r="R2646" s="29"/>
      <c r="S2646" s="26" t="str">
        <f>HYPERLINK("https://miland.ru/api/getInfo/image/39a8d756-1c53-11f0-a279-00155d82e908")</f>
        <v>https://miland.ru/api/getInfo/image/39a8d756-1c53-11f0-a279-00155d82e908</v>
      </c>
    </row>
    <row r="2647" spans="1:19" s="2" customFormat="1" ht="96.2" customHeight="1" outlineLevel="7">
      <c r="A2647" s="52">
        <v>2079</v>
      </c>
      <c r="B2647" s="26" t="s">
        <v>8745</v>
      </c>
      <c r="C2647" s="66" t="s">
        <v>8746</v>
      </c>
      <c r="D2647" s="66"/>
      <c r="E2647" s="66"/>
      <c r="F2647" s="66"/>
      <c r="G2647" s="27" t="s">
        <v>8747</v>
      </c>
      <c r="H2647" s="28" t="s">
        <v>44</v>
      </c>
      <c r="I2647" s="29"/>
      <c r="J2647" s="25">
        <v>25</v>
      </c>
      <c r="K2647" s="30">
        <v>54.26</v>
      </c>
      <c r="L2647" s="17"/>
      <c r="M2647" s="29">
        <f>K2647*L2647</f>
        <v>0</v>
      </c>
      <c r="N2647" s="31">
        <f>0.012*L2647</f>
        <v>0</v>
      </c>
      <c r="O2647" s="35">
        <f>0.0003*L2647</f>
        <v>0</v>
      </c>
      <c r="P2647" s="36"/>
      <c r="Q2647" s="29" t="s">
        <v>8748</v>
      </c>
      <c r="R2647" s="29"/>
      <c r="S2647" s="26" t="str">
        <f>HYPERLINK("https://miland.ru/api/getInfo/image/2d233715-dcf1-11ec-a213-ac1f6b442185")</f>
        <v>https://miland.ru/api/getInfo/image/2d233715-dcf1-11ec-a213-ac1f6b442185</v>
      </c>
    </row>
    <row r="2648" spans="1:19" s="1" customFormat="1" ht="12" customHeight="1" outlineLevel="5">
      <c r="A2648" s="64" t="s">
        <v>8749</v>
      </c>
      <c r="B2648" s="64"/>
      <c r="C2648" s="64"/>
      <c r="D2648" s="64"/>
      <c r="E2648" s="64"/>
      <c r="F2648" s="64"/>
      <c r="G2648" s="8"/>
      <c r="H2648" s="12"/>
      <c r="I2648" s="2"/>
      <c r="J2648" s="2"/>
      <c r="K2648" s="13"/>
      <c r="L2648" s="2"/>
      <c r="M2648" s="2"/>
      <c r="N2648" s="2"/>
      <c r="O2648" s="2"/>
      <c r="P2648" s="2"/>
      <c r="Q2648" s="2"/>
      <c r="R2648" s="2"/>
      <c r="S2648" s="2"/>
    </row>
    <row r="2649" spans="1:19" s="1" customFormat="1" ht="12" customHeight="1" outlineLevel="6">
      <c r="A2649" s="64" t="s">
        <v>8750</v>
      </c>
      <c r="B2649" s="64"/>
      <c r="C2649" s="64"/>
      <c r="D2649" s="64"/>
      <c r="E2649" s="64"/>
      <c r="F2649" s="64"/>
      <c r="G2649" s="8"/>
      <c r="H2649" s="12"/>
      <c r="I2649" s="2"/>
      <c r="J2649" s="2"/>
      <c r="K2649" s="13"/>
      <c r="L2649" s="2"/>
      <c r="M2649" s="2"/>
      <c r="N2649" s="2"/>
      <c r="O2649" s="2"/>
      <c r="P2649" s="2"/>
      <c r="Q2649" s="2"/>
      <c r="R2649" s="2"/>
      <c r="S2649" s="2"/>
    </row>
    <row r="2650" spans="1:19" s="2" customFormat="1" ht="96.2" customHeight="1" outlineLevel="7">
      <c r="A2650" s="52">
        <v>2080</v>
      </c>
      <c r="B2650" s="26" t="s">
        <v>8751</v>
      </c>
      <c r="C2650" s="66" t="s">
        <v>8752</v>
      </c>
      <c r="D2650" s="66"/>
      <c r="E2650" s="66"/>
      <c r="F2650" s="66"/>
      <c r="G2650" s="27" t="s">
        <v>8753</v>
      </c>
      <c r="H2650" s="33">
        <v>5</v>
      </c>
      <c r="I2650" s="29"/>
      <c r="J2650" s="25">
        <v>5</v>
      </c>
      <c r="K2650" s="30">
        <v>51.56</v>
      </c>
      <c r="L2650" s="17"/>
      <c r="M2650" s="29">
        <f>K2650*L2650</f>
        <v>0</v>
      </c>
      <c r="N2650" s="31">
        <f>0.045*L2650</f>
        <v>0</v>
      </c>
      <c r="O2650" s="32">
        <f>0.00066*L2650</f>
        <v>0</v>
      </c>
      <c r="P2650" s="36"/>
      <c r="Q2650" s="29" t="s">
        <v>8754</v>
      </c>
      <c r="R2650" s="29"/>
      <c r="S2650" s="26" t="str">
        <f>HYPERLINK("https://miland.ru/api/getInfo/image/8f2e12b5-1c54-11f0-a279-00155d82e908")</f>
        <v>https://miland.ru/api/getInfo/image/8f2e12b5-1c54-11f0-a279-00155d82e908</v>
      </c>
    </row>
    <row r="2651" spans="1:19" s="1" customFormat="1" ht="12" customHeight="1" outlineLevel="3">
      <c r="A2651" s="64" t="s">
        <v>8755</v>
      </c>
      <c r="B2651" s="64"/>
      <c r="C2651" s="64"/>
      <c r="D2651" s="64"/>
      <c r="E2651" s="64"/>
      <c r="F2651" s="64"/>
      <c r="G2651" s="8"/>
      <c r="H2651" s="12"/>
      <c r="I2651" s="2"/>
      <c r="J2651" s="2"/>
      <c r="K2651" s="13"/>
      <c r="L2651" s="2"/>
      <c r="M2651" s="2"/>
      <c r="N2651" s="2"/>
      <c r="O2651" s="2"/>
      <c r="P2651" s="2"/>
      <c r="Q2651" s="2"/>
      <c r="R2651" s="2"/>
      <c r="S2651" s="2"/>
    </row>
    <row r="2652" spans="1:19" s="1" customFormat="1" ht="12" customHeight="1" outlineLevel="4">
      <c r="A2652" s="64" t="s">
        <v>8756</v>
      </c>
      <c r="B2652" s="64"/>
      <c r="C2652" s="64"/>
      <c r="D2652" s="64"/>
      <c r="E2652" s="64"/>
      <c r="F2652" s="64"/>
      <c r="G2652" s="8"/>
      <c r="H2652" s="12"/>
      <c r="I2652" s="2"/>
      <c r="J2652" s="2"/>
      <c r="K2652" s="13"/>
      <c r="L2652" s="2"/>
      <c r="M2652" s="2"/>
      <c r="N2652" s="2"/>
      <c r="O2652" s="2"/>
      <c r="P2652" s="2"/>
      <c r="Q2652" s="2"/>
      <c r="R2652" s="2"/>
      <c r="S2652" s="2"/>
    </row>
    <row r="2653" spans="1:19" s="1" customFormat="1" ht="12" customHeight="1" outlineLevel="5">
      <c r="A2653" s="64" t="s">
        <v>8757</v>
      </c>
      <c r="B2653" s="64"/>
      <c r="C2653" s="64"/>
      <c r="D2653" s="64"/>
      <c r="E2653" s="64"/>
      <c r="F2653" s="64"/>
      <c r="G2653" s="8"/>
      <c r="H2653" s="12"/>
      <c r="I2653" s="2"/>
      <c r="J2653" s="2"/>
      <c r="K2653" s="13"/>
      <c r="L2653" s="2"/>
      <c r="M2653" s="2"/>
      <c r="N2653" s="2"/>
      <c r="O2653" s="2"/>
      <c r="P2653" s="2"/>
      <c r="Q2653" s="2"/>
      <c r="R2653" s="2"/>
      <c r="S2653" s="2"/>
    </row>
    <row r="2654" spans="1:19" s="2" customFormat="1" ht="96.2" customHeight="1" outlineLevel="6">
      <c r="A2654" s="53">
        <v>2081</v>
      </c>
      <c r="B2654" s="10" t="s">
        <v>8758</v>
      </c>
      <c r="C2654" s="65" t="s">
        <v>8759</v>
      </c>
      <c r="D2654" s="65"/>
      <c r="E2654" s="65"/>
      <c r="F2654" s="65"/>
      <c r="G2654" s="11" t="s">
        <v>8760</v>
      </c>
      <c r="H2654" s="14">
        <v>288</v>
      </c>
      <c r="I2654" s="15"/>
      <c r="J2654" s="9">
        <v>2</v>
      </c>
      <c r="K2654" s="16">
        <v>397.72</v>
      </c>
      <c r="L2654" s="17"/>
      <c r="M2654" s="15">
        <f t="shared" ref="M2654:M2667" si="128">K2654*L2654</f>
        <v>0</v>
      </c>
      <c r="N2654" s="18">
        <f>0.593*L2654</f>
        <v>0</v>
      </c>
      <c r="O2654" s="19">
        <f>0.00076*L2654</f>
        <v>0</v>
      </c>
      <c r="P2654" s="24" t="s">
        <v>26</v>
      </c>
      <c r="Q2654" s="15" t="s">
        <v>8761</v>
      </c>
      <c r="R2654" s="15"/>
      <c r="S2654" s="10" t="str">
        <f>HYPERLINK("https://miland.ru/api/getInfo/image/7edbf609-f505-11f0-a28d-00155d82e908")</f>
        <v>https://miland.ru/api/getInfo/image/7edbf609-f505-11f0-a28d-00155d82e908</v>
      </c>
    </row>
    <row r="2655" spans="1:19" s="2" customFormat="1" ht="96.2" customHeight="1" outlineLevel="6">
      <c r="A2655" s="52">
        <v>2082</v>
      </c>
      <c r="B2655" s="26" t="s">
        <v>8762</v>
      </c>
      <c r="C2655" s="66" t="s">
        <v>8763</v>
      </c>
      <c r="D2655" s="66"/>
      <c r="E2655" s="66"/>
      <c r="F2655" s="66"/>
      <c r="G2655" s="27" t="s">
        <v>8764</v>
      </c>
      <c r="H2655" s="33">
        <v>1</v>
      </c>
      <c r="I2655" s="29"/>
      <c r="J2655" s="25">
        <v>1</v>
      </c>
      <c r="K2655" s="30">
        <v>397.72</v>
      </c>
      <c r="L2655" s="17"/>
      <c r="M2655" s="29">
        <f t="shared" si="128"/>
        <v>0</v>
      </c>
      <c r="N2655" s="31">
        <f>0.548*L2655</f>
        <v>0</v>
      </c>
      <c r="O2655" s="32">
        <f>0.00163*L2655</f>
        <v>0</v>
      </c>
      <c r="P2655" s="36"/>
      <c r="Q2655" s="29" t="s">
        <v>8765</v>
      </c>
      <c r="R2655" s="29" t="s">
        <v>611</v>
      </c>
      <c r="S2655" s="26" t="str">
        <f>HYPERLINK("https://miland.ru/api/getInfo/image/e0b2e4b1-e20b-11ef-a274-00155d82e908")</f>
        <v>https://miland.ru/api/getInfo/image/e0b2e4b1-e20b-11ef-a274-00155d82e908</v>
      </c>
    </row>
    <row r="2656" spans="1:19" s="2" customFormat="1" ht="96.2" customHeight="1" outlineLevel="6">
      <c r="A2656" s="53">
        <v>2083</v>
      </c>
      <c r="B2656" s="10" t="s">
        <v>8766</v>
      </c>
      <c r="C2656" s="65" t="s">
        <v>8767</v>
      </c>
      <c r="D2656" s="65"/>
      <c r="E2656" s="65"/>
      <c r="F2656" s="65"/>
      <c r="G2656" s="11" t="s">
        <v>8768</v>
      </c>
      <c r="H2656" s="14">
        <v>290</v>
      </c>
      <c r="I2656" s="15"/>
      <c r="J2656" s="9">
        <v>2</v>
      </c>
      <c r="K2656" s="16">
        <v>397.72</v>
      </c>
      <c r="L2656" s="17"/>
      <c r="M2656" s="15">
        <f t="shared" si="128"/>
        <v>0</v>
      </c>
      <c r="N2656" s="18">
        <f>0.479*L2656</f>
        <v>0</v>
      </c>
      <c r="O2656" s="19">
        <f>0.00081*L2656</f>
        <v>0</v>
      </c>
      <c r="P2656" s="24" t="s">
        <v>26</v>
      </c>
      <c r="Q2656" s="15" t="s">
        <v>8769</v>
      </c>
      <c r="R2656" s="15"/>
      <c r="S2656" s="10" t="str">
        <f>HYPERLINK("https://miland.ru/api/getInfo/image/1675941b-f507-11f0-a28d-00155d82e908")</f>
        <v>https://miland.ru/api/getInfo/image/1675941b-f507-11f0-a28d-00155d82e908</v>
      </c>
    </row>
    <row r="2657" spans="1:19" s="2" customFormat="1" ht="96.2" customHeight="1" outlineLevel="6">
      <c r="A2657" s="52">
        <v>2084</v>
      </c>
      <c r="B2657" s="26" t="s">
        <v>8770</v>
      </c>
      <c r="C2657" s="66" t="s">
        <v>8771</v>
      </c>
      <c r="D2657" s="66"/>
      <c r="E2657" s="66"/>
      <c r="F2657" s="66"/>
      <c r="G2657" s="27" t="s">
        <v>8772</v>
      </c>
      <c r="H2657" s="33">
        <v>16</v>
      </c>
      <c r="I2657" s="29"/>
      <c r="J2657" s="25">
        <v>2</v>
      </c>
      <c r="K2657" s="30">
        <v>397.72</v>
      </c>
      <c r="L2657" s="17"/>
      <c r="M2657" s="29">
        <f t="shared" si="128"/>
        <v>0</v>
      </c>
      <c r="N2657" s="34">
        <f>0.59*L2657</f>
        <v>0</v>
      </c>
      <c r="O2657" s="32">
        <f>0.00112*L2657</f>
        <v>0</v>
      </c>
      <c r="P2657" s="36"/>
      <c r="Q2657" s="29" t="s">
        <v>8773</v>
      </c>
      <c r="R2657" s="29" t="s">
        <v>611</v>
      </c>
      <c r="S2657" s="26" t="str">
        <f>HYPERLINK("https://miland.ru/api/getInfo/image/e5474f1a-6367-11ea-a243-ac1f6b442184")</f>
        <v>https://miland.ru/api/getInfo/image/e5474f1a-6367-11ea-a243-ac1f6b442184</v>
      </c>
    </row>
    <row r="2658" spans="1:19" s="2" customFormat="1" ht="96.2" customHeight="1" outlineLevel="6">
      <c r="A2658" s="53">
        <v>2085</v>
      </c>
      <c r="B2658" s="10" t="s">
        <v>8774</v>
      </c>
      <c r="C2658" s="65" t="s">
        <v>8775</v>
      </c>
      <c r="D2658" s="65"/>
      <c r="E2658" s="65"/>
      <c r="F2658" s="65"/>
      <c r="G2658" s="11" t="s">
        <v>8776</v>
      </c>
      <c r="H2658" s="14">
        <v>306</v>
      </c>
      <c r="I2658" s="15"/>
      <c r="J2658" s="9">
        <v>2</v>
      </c>
      <c r="K2658" s="16">
        <v>397.72</v>
      </c>
      <c r="L2658" s="17"/>
      <c r="M2658" s="15">
        <f t="shared" si="128"/>
        <v>0</v>
      </c>
      <c r="N2658" s="18">
        <f>0.547*L2658</f>
        <v>0</v>
      </c>
      <c r="O2658" s="19">
        <f>0.00094*L2658</f>
        <v>0</v>
      </c>
      <c r="P2658" s="24" t="s">
        <v>26</v>
      </c>
      <c r="Q2658" s="15" t="s">
        <v>8777</v>
      </c>
      <c r="R2658" s="15"/>
      <c r="S2658" s="10" t="str">
        <f>HYPERLINK("https://miland.ru/api/getInfo/image/34da3ccd-f506-11f0-a28d-00155d82e908")</f>
        <v>https://miland.ru/api/getInfo/image/34da3ccd-f506-11f0-a28d-00155d82e908</v>
      </c>
    </row>
    <row r="2659" spans="1:19" s="2" customFormat="1" ht="96.2" customHeight="1" outlineLevel="6">
      <c r="A2659" s="52">
        <v>2086</v>
      </c>
      <c r="B2659" s="26" t="s">
        <v>8778</v>
      </c>
      <c r="C2659" s="66" t="s">
        <v>8779</v>
      </c>
      <c r="D2659" s="66"/>
      <c r="E2659" s="66"/>
      <c r="F2659" s="66"/>
      <c r="G2659" s="27" t="s">
        <v>8780</v>
      </c>
      <c r="H2659" s="33">
        <v>306</v>
      </c>
      <c r="I2659" s="29"/>
      <c r="J2659" s="25">
        <v>2</v>
      </c>
      <c r="K2659" s="30">
        <v>397.72</v>
      </c>
      <c r="L2659" s="17"/>
      <c r="M2659" s="29">
        <f t="shared" si="128"/>
        <v>0</v>
      </c>
      <c r="N2659" s="34">
        <f>0.56*L2659</f>
        <v>0</v>
      </c>
      <c r="O2659" s="32">
        <f>0.00079*L2659</f>
        <v>0</v>
      </c>
      <c r="P2659" s="36"/>
      <c r="Q2659" s="29" t="s">
        <v>8781</v>
      </c>
      <c r="R2659" s="29" t="s">
        <v>611</v>
      </c>
      <c r="S2659" s="26" t="str">
        <f>HYPERLINK("https://miland.ru/api/getInfo/image/9914241e-baa6-11ee-a25a-00155d82e908")</f>
        <v>https://miland.ru/api/getInfo/image/9914241e-baa6-11ee-a25a-00155d82e908</v>
      </c>
    </row>
    <row r="2660" spans="1:19" s="2" customFormat="1" ht="96.2" customHeight="1" outlineLevel="6">
      <c r="A2660" s="52">
        <v>2087</v>
      </c>
      <c r="B2660" s="26" t="s">
        <v>8782</v>
      </c>
      <c r="C2660" s="66" t="s">
        <v>8783</v>
      </c>
      <c r="D2660" s="66"/>
      <c r="E2660" s="66"/>
      <c r="F2660" s="66"/>
      <c r="G2660" s="27" t="s">
        <v>8784</v>
      </c>
      <c r="H2660" s="33">
        <v>334</v>
      </c>
      <c r="I2660" s="29"/>
      <c r="J2660" s="25">
        <v>2</v>
      </c>
      <c r="K2660" s="30">
        <v>397.72</v>
      </c>
      <c r="L2660" s="17"/>
      <c r="M2660" s="29">
        <f t="shared" si="128"/>
        <v>0</v>
      </c>
      <c r="N2660" s="34">
        <f>0.56*L2660</f>
        <v>0</v>
      </c>
      <c r="O2660" s="32">
        <f>0.00079*L2660</f>
        <v>0</v>
      </c>
      <c r="P2660" s="36"/>
      <c r="Q2660" s="29" t="s">
        <v>8785</v>
      </c>
      <c r="R2660" s="29" t="s">
        <v>611</v>
      </c>
      <c r="S2660" s="26" t="str">
        <f>HYPERLINK("https://miland.ru/api/getInfo/image/e1716227-baa6-11ee-a25a-00155d82e908")</f>
        <v>https://miland.ru/api/getInfo/image/e1716227-baa6-11ee-a25a-00155d82e908</v>
      </c>
    </row>
    <row r="2661" spans="1:19" s="2" customFormat="1" ht="96.2" customHeight="1" outlineLevel="6">
      <c r="A2661" s="52">
        <v>2088</v>
      </c>
      <c r="B2661" s="26" t="s">
        <v>8786</v>
      </c>
      <c r="C2661" s="66" t="s">
        <v>8787</v>
      </c>
      <c r="D2661" s="66"/>
      <c r="E2661" s="66"/>
      <c r="F2661" s="66"/>
      <c r="G2661" s="27" t="s">
        <v>8788</v>
      </c>
      <c r="H2661" s="33">
        <v>69</v>
      </c>
      <c r="I2661" s="29"/>
      <c r="J2661" s="25">
        <v>2</v>
      </c>
      <c r="K2661" s="30">
        <v>397.72</v>
      </c>
      <c r="L2661" s="17"/>
      <c r="M2661" s="29">
        <f t="shared" si="128"/>
        <v>0</v>
      </c>
      <c r="N2661" s="31">
        <f>0.593*L2661</f>
        <v>0</v>
      </c>
      <c r="O2661" s="32">
        <f>0.00076*L2661</f>
        <v>0</v>
      </c>
      <c r="P2661" s="36"/>
      <c r="Q2661" s="29" t="s">
        <v>8789</v>
      </c>
      <c r="R2661" s="29" t="s">
        <v>611</v>
      </c>
      <c r="S2661" s="26" t="str">
        <f>HYPERLINK("https://miland.ru/api/getInfo/image/10e69845-e20c-11ef-a274-00155d82e908")</f>
        <v>https://miland.ru/api/getInfo/image/10e69845-e20c-11ef-a274-00155d82e908</v>
      </c>
    </row>
    <row r="2662" spans="1:19" s="2" customFormat="1" ht="96.2" customHeight="1" outlineLevel="6">
      <c r="A2662" s="53">
        <v>2089</v>
      </c>
      <c r="B2662" s="10" t="s">
        <v>8790</v>
      </c>
      <c r="C2662" s="65" t="s">
        <v>8791</v>
      </c>
      <c r="D2662" s="65"/>
      <c r="E2662" s="65"/>
      <c r="F2662" s="65"/>
      <c r="G2662" s="11" t="s">
        <v>8792</v>
      </c>
      <c r="H2662" s="14">
        <v>324</v>
      </c>
      <c r="I2662" s="15"/>
      <c r="J2662" s="9">
        <v>2</v>
      </c>
      <c r="K2662" s="16">
        <v>397.72</v>
      </c>
      <c r="L2662" s="17"/>
      <c r="M2662" s="15">
        <f t="shared" si="128"/>
        <v>0</v>
      </c>
      <c r="N2662" s="18">
        <f>0.547*L2662</f>
        <v>0</v>
      </c>
      <c r="O2662" s="19">
        <f>0.00094*L2662</f>
        <v>0</v>
      </c>
      <c r="P2662" s="24" t="s">
        <v>26</v>
      </c>
      <c r="Q2662" s="15" t="s">
        <v>8793</v>
      </c>
      <c r="R2662" s="15"/>
      <c r="S2662" s="10" t="str">
        <f>HYPERLINK("https://miland.ru/api/getInfo/image/a40aeca2-f506-11f0-a28d-00155d82e908")</f>
        <v>https://miland.ru/api/getInfo/image/a40aeca2-f506-11f0-a28d-00155d82e908</v>
      </c>
    </row>
    <row r="2663" spans="1:19" s="2" customFormat="1" ht="96.2" customHeight="1" outlineLevel="6">
      <c r="A2663" s="53">
        <v>2090</v>
      </c>
      <c r="B2663" s="10" t="s">
        <v>8794</v>
      </c>
      <c r="C2663" s="65" t="s">
        <v>8795</v>
      </c>
      <c r="D2663" s="65"/>
      <c r="E2663" s="65"/>
      <c r="F2663" s="65"/>
      <c r="G2663" s="11" t="s">
        <v>8796</v>
      </c>
      <c r="H2663" s="14">
        <v>283</v>
      </c>
      <c r="I2663" s="15"/>
      <c r="J2663" s="9">
        <v>2</v>
      </c>
      <c r="K2663" s="16">
        <v>397.72</v>
      </c>
      <c r="L2663" s="17"/>
      <c r="M2663" s="15">
        <f t="shared" si="128"/>
        <v>0</v>
      </c>
      <c r="N2663" s="18">
        <f>0.547*L2663</f>
        <v>0</v>
      </c>
      <c r="O2663" s="19">
        <f>0.00094*L2663</f>
        <v>0</v>
      </c>
      <c r="P2663" s="24" t="s">
        <v>26</v>
      </c>
      <c r="Q2663" s="15" t="s">
        <v>8797</v>
      </c>
      <c r="R2663" s="15"/>
      <c r="S2663" s="10" t="str">
        <f>HYPERLINK("https://miland.ru/api/getInfo/image/f46c9a2b-f506-11f0-a28d-00155d82e908")</f>
        <v>https://miland.ru/api/getInfo/image/f46c9a2b-f506-11f0-a28d-00155d82e908</v>
      </c>
    </row>
    <row r="2664" spans="1:19" s="2" customFormat="1" ht="96.2" customHeight="1" outlineLevel="6">
      <c r="A2664" s="52">
        <v>2091</v>
      </c>
      <c r="B2664" s="26" t="s">
        <v>8798</v>
      </c>
      <c r="C2664" s="66" t="s">
        <v>8799</v>
      </c>
      <c r="D2664" s="66"/>
      <c r="E2664" s="66"/>
      <c r="F2664" s="66"/>
      <c r="G2664" s="27" t="s">
        <v>8800</v>
      </c>
      <c r="H2664" s="33">
        <v>135</v>
      </c>
      <c r="I2664" s="29"/>
      <c r="J2664" s="25">
        <v>2</v>
      </c>
      <c r="K2664" s="30">
        <v>397.72</v>
      </c>
      <c r="L2664" s="17"/>
      <c r="M2664" s="29">
        <f t="shared" si="128"/>
        <v>0</v>
      </c>
      <c r="N2664" s="34">
        <f>0.56*L2664</f>
        <v>0</v>
      </c>
      <c r="O2664" s="32">
        <f>0.00079*L2664</f>
        <v>0</v>
      </c>
      <c r="P2664" s="36"/>
      <c r="Q2664" s="29" t="s">
        <v>8801</v>
      </c>
      <c r="R2664" s="29" t="s">
        <v>611</v>
      </c>
      <c r="S2664" s="26" t="str">
        <f>HYPERLINK("https://miland.ru/api/getInfo/image/cb128842-baa6-11ee-a25a-00155d82e908")</f>
        <v>https://miland.ru/api/getInfo/image/cb128842-baa6-11ee-a25a-00155d82e908</v>
      </c>
    </row>
    <row r="2665" spans="1:19" s="2" customFormat="1" ht="96.2" customHeight="1" outlineLevel="6">
      <c r="A2665" s="53">
        <v>2092</v>
      </c>
      <c r="B2665" s="10" t="s">
        <v>8802</v>
      </c>
      <c r="C2665" s="65" t="s">
        <v>8803</v>
      </c>
      <c r="D2665" s="65"/>
      <c r="E2665" s="65"/>
      <c r="F2665" s="65"/>
      <c r="G2665" s="11" t="s">
        <v>8804</v>
      </c>
      <c r="H2665" s="14">
        <v>304</v>
      </c>
      <c r="I2665" s="15"/>
      <c r="J2665" s="9">
        <v>2</v>
      </c>
      <c r="K2665" s="16">
        <v>397.72</v>
      </c>
      <c r="L2665" s="17"/>
      <c r="M2665" s="15">
        <f t="shared" si="128"/>
        <v>0</v>
      </c>
      <c r="N2665" s="18">
        <f>0.547*L2665</f>
        <v>0</v>
      </c>
      <c r="O2665" s="19">
        <f>0.00094*L2665</f>
        <v>0</v>
      </c>
      <c r="P2665" s="24" t="s">
        <v>26</v>
      </c>
      <c r="Q2665" s="15" t="s">
        <v>8805</v>
      </c>
      <c r="R2665" s="15"/>
      <c r="S2665" s="10" t="str">
        <f>HYPERLINK("https://miland.ru/api/getInfo/image/7602f191-f506-11f0-a28d-00155d82e908")</f>
        <v>https://miland.ru/api/getInfo/image/7602f191-f506-11f0-a28d-00155d82e908</v>
      </c>
    </row>
    <row r="2666" spans="1:19" s="2" customFormat="1" ht="96.2" customHeight="1" outlineLevel="6">
      <c r="A2666" s="53">
        <v>2093</v>
      </c>
      <c r="B2666" s="10" t="s">
        <v>8806</v>
      </c>
      <c r="C2666" s="65" t="s">
        <v>8807</v>
      </c>
      <c r="D2666" s="65"/>
      <c r="E2666" s="65"/>
      <c r="F2666" s="65"/>
      <c r="G2666" s="11" t="s">
        <v>8808</v>
      </c>
      <c r="H2666" s="14">
        <v>289</v>
      </c>
      <c r="I2666" s="15"/>
      <c r="J2666" s="9">
        <v>2</v>
      </c>
      <c r="K2666" s="16">
        <v>397.72</v>
      </c>
      <c r="L2666" s="17"/>
      <c r="M2666" s="15">
        <f t="shared" si="128"/>
        <v>0</v>
      </c>
      <c r="N2666" s="18">
        <f>0.547*L2666</f>
        <v>0</v>
      </c>
      <c r="O2666" s="19">
        <f>0.00094*L2666</f>
        <v>0</v>
      </c>
      <c r="P2666" s="24" t="s">
        <v>26</v>
      </c>
      <c r="Q2666" s="15" t="s">
        <v>8809</v>
      </c>
      <c r="R2666" s="15"/>
      <c r="S2666" s="10" t="str">
        <f>HYPERLINK("https://miland.ru/api/getInfo/image/cfdd69ab-f506-11f0-a28d-00155d82e908")</f>
        <v>https://miland.ru/api/getInfo/image/cfdd69ab-f506-11f0-a28d-00155d82e908</v>
      </c>
    </row>
    <row r="2667" spans="1:19" s="2" customFormat="1" ht="96.2" customHeight="1" outlineLevel="6">
      <c r="A2667" s="52">
        <v>2094</v>
      </c>
      <c r="B2667" s="26" t="s">
        <v>8810</v>
      </c>
      <c r="C2667" s="66" t="s">
        <v>8811</v>
      </c>
      <c r="D2667" s="66"/>
      <c r="E2667" s="66"/>
      <c r="F2667" s="66"/>
      <c r="G2667" s="27" t="s">
        <v>8812</v>
      </c>
      <c r="H2667" s="33">
        <v>60</v>
      </c>
      <c r="I2667" s="29"/>
      <c r="J2667" s="25">
        <v>2</v>
      </c>
      <c r="K2667" s="30">
        <v>397.72</v>
      </c>
      <c r="L2667" s="17"/>
      <c r="M2667" s="29">
        <f t="shared" si="128"/>
        <v>0</v>
      </c>
      <c r="N2667" s="34">
        <f>0.56*L2667</f>
        <v>0</v>
      </c>
      <c r="O2667" s="32">
        <f>0.00079*L2667</f>
        <v>0</v>
      </c>
      <c r="P2667" s="36"/>
      <c r="Q2667" s="29" t="s">
        <v>8813</v>
      </c>
      <c r="R2667" s="29" t="s">
        <v>611</v>
      </c>
      <c r="S2667" s="26" t="str">
        <f>HYPERLINK("https://miland.ru/api/getInfo/image/88711625-baa5-11ee-a25a-00155d82e908")</f>
        <v>https://miland.ru/api/getInfo/image/88711625-baa5-11ee-a25a-00155d82e908</v>
      </c>
    </row>
    <row r="2668" spans="1:19" s="1" customFormat="1" ht="12" customHeight="1" outlineLevel="5">
      <c r="A2668" s="64" t="s">
        <v>8814</v>
      </c>
      <c r="B2668" s="64"/>
      <c r="C2668" s="64"/>
      <c r="D2668" s="64"/>
      <c r="E2668" s="64"/>
      <c r="F2668" s="64"/>
      <c r="G2668" s="8"/>
      <c r="H2668" s="12"/>
      <c r="I2668" s="2"/>
      <c r="J2668" s="2"/>
      <c r="K2668" s="13"/>
      <c r="L2668" s="2"/>
      <c r="M2668" s="2"/>
      <c r="N2668" s="2"/>
      <c r="O2668" s="2"/>
      <c r="P2668" s="2"/>
      <c r="Q2668" s="2"/>
      <c r="R2668" s="2"/>
      <c r="S2668" s="2"/>
    </row>
    <row r="2669" spans="1:19" s="2" customFormat="1" ht="96.2" customHeight="1" outlineLevel="6">
      <c r="A2669" s="52">
        <v>2095</v>
      </c>
      <c r="B2669" s="26" t="s">
        <v>8815</v>
      </c>
      <c r="C2669" s="66" t="s">
        <v>8816</v>
      </c>
      <c r="D2669" s="66"/>
      <c r="E2669" s="66"/>
      <c r="F2669" s="66"/>
      <c r="G2669" s="27" t="s">
        <v>8817</v>
      </c>
      <c r="H2669" s="33">
        <v>345</v>
      </c>
      <c r="I2669" s="29"/>
      <c r="J2669" s="25">
        <v>1</v>
      </c>
      <c r="K2669" s="30">
        <v>444.82</v>
      </c>
      <c r="L2669" s="17"/>
      <c r="M2669" s="29">
        <f t="shared" ref="M2669:M2681" si="129">K2669*L2669</f>
        <v>0</v>
      </c>
      <c r="N2669" s="31">
        <f>0.548*L2669</f>
        <v>0</v>
      </c>
      <c r="O2669" s="32">
        <f>0.00163*L2669</f>
        <v>0</v>
      </c>
      <c r="P2669" s="36"/>
      <c r="Q2669" s="29" t="s">
        <v>8818</v>
      </c>
      <c r="R2669" s="29" t="s">
        <v>611</v>
      </c>
      <c r="S2669" s="26" t="str">
        <f>HYPERLINK("https://miland.ru/api/getInfo/image/403eae12-bab1-11ee-a25a-00155d82e908")</f>
        <v>https://miland.ru/api/getInfo/image/403eae12-bab1-11ee-a25a-00155d82e908</v>
      </c>
    </row>
    <row r="2670" spans="1:19" s="2" customFormat="1" ht="96.2" customHeight="1" outlineLevel="6">
      <c r="A2670" s="53">
        <v>2096</v>
      </c>
      <c r="B2670" s="10" t="s">
        <v>8819</v>
      </c>
      <c r="C2670" s="65" t="s">
        <v>8820</v>
      </c>
      <c r="D2670" s="65"/>
      <c r="E2670" s="65"/>
      <c r="F2670" s="65"/>
      <c r="G2670" s="11" t="s">
        <v>8821</v>
      </c>
      <c r="H2670" s="14">
        <v>369</v>
      </c>
      <c r="I2670" s="15"/>
      <c r="J2670" s="9">
        <v>1</v>
      </c>
      <c r="K2670" s="16">
        <v>444.82</v>
      </c>
      <c r="L2670" s="17"/>
      <c r="M2670" s="15">
        <f t="shared" si="129"/>
        <v>0</v>
      </c>
      <c r="N2670" s="23">
        <f>0.05*L2670</f>
        <v>0</v>
      </c>
      <c r="O2670" s="20">
        <f>0.0007*L2670</f>
        <v>0</v>
      </c>
      <c r="P2670" s="24" t="s">
        <v>26</v>
      </c>
      <c r="Q2670" s="15" t="s">
        <v>8822</v>
      </c>
      <c r="R2670" s="15"/>
      <c r="S2670" s="10" t="str">
        <f>HYPERLINK("https://miland.ru/api/getInfo/image/72ee78e2-f50c-11f0-a28d-00155d82e908")</f>
        <v>https://miland.ru/api/getInfo/image/72ee78e2-f50c-11f0-a28d-00155d82e908</v>
      </c>
    </row>
    <row r="2671" spans="1:19" s="2" customFormat="1" ht="96.2" customHeight="1" outlineLevel="6">
      <c r="A2671" s="53">
        <v>2097</v>
      </c>
      <c r="B2671" s="10" t="s">
        <v>8823</v>
      </c>
      <c r="C2671" s="65" t="s">
        <v>8824</v>
      </c>
      <c r="D2671" s="65"/>
      <c r="E2671" s="65"/>
      <c r="F2671" s="65"/>
      <c r="G2671" s="11" t="s">
        <v>8825</v>
      </c>
      <c r="H2671" s="14">
        <v>340</v>
      </c>
      <c r="I2671" s="15"/>
      <c r="J2671" s="9">
        <v>1</v>
      </c>
      <c r="K2671" s="16">
        <v>444.82</v>
      </c>
      <c r="L2671" s="17"/>
      <c r="M2671" s="15">
        <f t="shared" si="129"/>
        <v>0</v>
      </c>
      <c r="N2671" s="18">
        <f>0.593*L2671</f>
        <v>0</v>
      </c>
      <c r="O2671" s="19">
        <f>0.00076*L2671</f>
        <v>0</v>
      </c>
      <c r="P2671" s="24" t="s">
        <v>26</v>
      </c>
      <c r="Q2671" s="15" t="s">
        <v>8826</v>
      </c>
      <c r="R2671" s="15"/>
      <c r="S2671" s="10" t="str">
        <f>HYPERLINK("https://miland.ru/api/getInfo/image/d054628b-f50c-11f0-a28d-00155d82e908")</f>
        <v>https://miland.ru/api/getInfo/image/d054628b-f50c-11f0-a28d-00155d82e908</v>
      </c>
    </row>
    <row r="2672" spans="1:19" s="2" customFormat="1" ht="96.2" customHeight="1" outlineLevel="6">
      <c r="A2672" s="52">
        <v>2098</v>
      </c>
      <c r="B2672" s="26" t="s">
        <v>8827</v>
      </c>
      <c r="C2672" s="66" t="s">
        <v>8828</v>
      </c>
      <c r="D2672" s="66"/>
      <c r="E2672" s="66"/>
      <c r="F2672" s="66"/>
      <c r="G2672" s="27" t="s">
        <v>8829</v>
      </c>
      <c r="H2672" s="28" t="s">
        <v>44</v>
      </c>
      <c r="I2672" s="29"/>
      <c r="J2672" s="25">
        <v>1</v>
      </c>
      <c r="K2672" s="30">
        <v>444.82</v>
      </c>
      <c r="L2672" s="17"/>
      <c r="M2672" s="29">
        <f t="shared" si="129"/>
        <v>0</v>
      </c>
      <c r="N2672" s="31">
        <f>0.561*L2672</f>
        <v>0</v>
      </c>
      <c r="O2672" s="35">
        <f>0.0009*L2672</f>
        <v>0</v>
      </c>
      <c r="P2672" s="36"/>
      <c r="Q2672" s="29" t="s">
        <v>8830</v>
      </c>
      <c r="R2672" s="29" t="s">
        <v>611</v>
      </c>
      <c r="S2672" s="26" t="str">
        <f>HYPERLINK("https://miland.ru/api/getInfo/image/1bb565b8-bab1-11ee-a25a-00155d82e908")</f>
        <v>https://miland.ru/api/getInfo/image/1bb565b8-bab1-11ee-a25a-00155d82e908</v>
      </c>
    </row>
    <row r="2673" spans="1:19" s="2" customFormat="1" ht="96.2" customHeight="1" outlineLevel="6">
      <c r="A2673" s="52">
        <v>2099</v>
      </c>
      <c r="B2673" s="26" t="s">
        <v>8831</v>
      </c>
      <c r="C2673" s="66" t="s">
        <v>8832</v>
      </c>
      <c r="D2673" s="66"/>
      <c r="E2673" s="66"/>
      <c r="F2673" s="66"/>
      <c r="G2673" s="27" t="s">
        <v>8833</v>
      </c>
      <c r="H2673" s="33">
        <v>462</v>
      </c>
      <c r="I2673" s="29"/>
      <c r="J2673" s="25">
        <v>1</v>
      </c>
      <c r="K2673" s="30">
        <v>444.82</v>
      </c>
      <c r="L2673" s="17"/>
      <c r="M2673" s="29">
        <f t="shared" si="129"/>
        <v>0</v>
      </c>
      <c r="N2673" s="31">
        <f>0.557*L2673</f>
        <v>0</v>
      </c>
      <c r="O2673" s="32">
        <f>0.00129*L2673</f>
        <v>0</v>
      </c>
      <c r="P2673" s="36"/>
      <c r="Q2673" s="29" t="s">
        <v>8834</v>
      </c>
      <c r="R2673" s="29" t="s">
        <v>611</v>
      </c>
      <c r="S2673" s="26" t="str">
        <f>HYPERLINK("https://miland.ru/api/getInfo/image/13c0d20a-e210-11ef-a274-00155d82e908")</f>
        <v>https://miland.ru/api/getInfo/image/13c0d20a-e210-11ef-a274-00155d82e908</v>
      </c>
    </row>
    <row r="2674" spans="1:19" s="2" customFormat="1" ht="96.2" customHeight="1" outlineLevel="6">
      <c r="A2674" s="52">
        <v>2100</v>
      </c>
      <c r="B2674" s="26" t="s">
        <v>8835</v>
      </c>
      <c r="C2674" s="66" t="s">
        <v>8836</v>
      </c>
      <c r="D2674" s="66"/>
      <c r="E2674" s="66"/>
      <c r="F2674" s="66"/>
      <c r="G2674" s="27" t="s">
        <v>8837</v>
      </c>
      <c r="H2674" s="33">
        <v>433</v>
      </c>
      <c r="I2674" s="29"/>
      <c r="J2674" s="25">
        <v>1</v>
      </c>
      <c r="K2674" s="30">
        <v>444.82</v>
      </c>
      <c r="L2674" s="17"/>
      <c r="M2674" s="29">
        <f t="shared" si="129"/>
        <v>0</v>
      </c>
      <c r="N2674" s="31">
        <f>0.548*L2674</f>
        <v>0</v>
      </c>
      <c r="O2674" s="32">
        <f>0.00163*L2674</f>
        <v>0</v>
      </c>
      <c r="P2674" s="36"/>
      <c r="Q2674" s="29" t="s">
        <v>8838</v>
      </c>
      <c r="R2674" s="29" t="s">
        <v>611</v>
      </c>
      <c r="S2674" s="26" t="str">
        <f>HYPERLINK("https://miland.ru/api/getInfo/image/44bb8006-e210-11ef-a274-00155d82e908")</f>
        <v>https://miland.ru/api/getInfo/image/44bb8006-e210-11ef-a274-00155d82e908</v>
      </c>
    </row>
    <row r="2675" spans="1:19" s="2" customFormat="1" ht="96.2" customHeight="1" outlineLevel="6">
      <c r="A2675" s="52">
        <v>2101</v>
      </c>
      <c r="B2675" s="26" t="s">
        <v>8839</v>
      </c>
      <c r="C2675" s="66" t="s">
        <v>8840</v>
      </c>
      <c r="D2675" s="66"/>
      <c r="E2675" s="66"/>
      <c r="F2675" s="66"/>
      <c r="G2675" s="27" t="s">
        <v>8841</v>
      </c>
      <c r="H2675" s="33">
        <v>156</v>
      </c>
      <c r="I2675" s="29"/>
      <c r="J2675" s="25">
        <v>1</v>
      </c>
      <c r="K2675" s="30">
        <v>444.82</v>
      </c>
      <c r="L2675" s="17"/>
      <c r="M2675" s="29">
        <f t="shared" si="129"/>
        <v>0</v>
      </c>
      <c r="N2675" s="31">
        <f>0.561*L2675</f>
        <v>0</v>
      </c>
      <c r="O2675" s="35">
        <f>0.0009*L2675</f>
        <v>0</v>
      </c>
      <c r="P2675" s="36"/>
      <c r="Q2675" s="29" t="s">
        <v>8842</v>
      </c>
      <c r="R2675" s="29" t="s">
        <v>611</v>
      </c>
      <c r="S2675" s="26" t="str">
        <f>HYPERLINK("https://miland.ru/api/getInfo/image/ed83b817-bab0-11ee-a25a-00155d82e908")</f>
        <v>https://miland.ru/api/getInfo/image/ed83b817-bab0-11ee-a25a-00155d82e908</v>
      </c>
    </row>
    <row r="2676" spans="1:19" s="2" customFormat="1" ht="96.2" customHeight="1" outlineLevel="6">
      <c r="A2676" s="52">
        <v>2102</v>
      </c>
      <c r="B2676" s="26" t="s">
        <v>8843</v>
      </c>
      <c r="C2676" s="66" t="s">
        <v>8844</v>
      </c>
      <c r="D2676" s="66"/>
      <c r="E2676" s="66"/>
      <c r="F2676" s="66"/>
      <c r="G2676" s="27" t="s">
        <v>8845</v>
      </c>
      <c r="H2676" s="33">
        <v>22</v>
      </c>
      <c r="I2676" s="29"/>
      <c r="J2676" s="25">
        <v>1</v>
      </c>
      <c r="K2676" s="30">
        <v>444.82</v>
      </c>
      <c r="L2676" s="17"/>
      <c r="M2676" s="29">
        <f t="shared" si="129"/>
        <v>0</v>
      </c>
      <c r="N2676" s="31">
        <f>0.548*L2676</f>
        <v>0</v>
      </c>
      <c r="O2676" s="32">
        <f>0.00163*L2676</f>
        <v>0</v>
      </c>
      <c r="P2676" s="36"/>
      <c r="Q2676" s="29" t="s">
        <v>8846</v>
      </c>
      <c r="R2676" s="29" t="s">
        <v>611</v>
      </c>
      <c r="S2676" s="26" t="str">
        <f>HYPERLINK("https://miland.ru/api/getInfo/image/bdcc9656-e20f-11ef-a274-00155d82e908")</f>
        <v>https://miland.ru/api/getInfo/image/bdcc9656-e20f-11ef-a274-00155d82e908</v>
      </c>
    </row>
    <row r="2677" spans="1:19" s="2" customFormat="1" ht="96.2" customHeight="1" outlineLevel="6">
      <c r="A2677" s="52">
        <v>2103</v>
      </c>
      <c r="B2677" s="26" t="s">
        <v>8847</v>
      </c>
      <c r="C2677" s="66" t="s">
        <v>8848</v>
      </c>
      <c r="D2677" s="66"/>
      <c r="E2677" s="66"/>
      <c r="F2677" s="66"/>
      <c r="G2677" s="27" t="s">
        <v>8849</v>
      </c>
      <c r="H2677" s="33">
        <v>288</v>
      </c>
      <c r="I2677" s="29"/>
      <c r="J2677" s="25">
        <v>1</v>
      </c>
      <c r="K2677" s="30">
        <v>444.82</v>
      </c>
      <c r="L2677" s="17"/>
      <c r="M2677" s="29">
        <f t="shared" si="129"/>
        <v>0</v>
      </c>
      <c r="N2677" s="31">
        <f>0.551*L2677</f>
        <v>0</v>
      </c>
      <c r="O2677" s="32">
        <f>0.00138*L2677</f>
        <v>0</v>
      </c>
      <c r="P2677" s="36"/>
      <c r="Q2677" s="29" t="s">
        <v>8850</v>
      </c>
      <c r="R2677" s="29" t="s">
        <v>611</v>
      </c>
      <c r="S2677" s="26" t="str">
        <f>HYPERLINK("https://miland.ru/api/getInfo/image/9f6ff007-9c86-11ed-a22e-00155d82e902")</f>
        <v>https://miland.ru/api/getInfo/image/9f6ff007-9c86-11ed-a22e-00155d82e902</v>
      </c>
    </row>
    <row r="2678" spans="1:19" s="2" customFormat="1" ht="96.2" customHeight="1" outlineLevel="6">
      <c r="A2678" s="52">
        <v>2104</v>
      </c>
      <c r="B2678" s="26" t="s">
        <v>8851</v>
      </c>
      <c r="C2678" s="66" t="s">
        <v>8852</v>
      </c>
      <c r="D2678" s="66"/>
      <c r="E2678" s="66"/>
      <c r="F2678" s="66"/>
      <c r="G2678" s="27" t="s">
        <v>8853</v>
      </c>
      <c r="H2678" s="33">
        <v>419</v>
      </c>
      <c r="I2678" s="29"/>
      <c r="J2678" s="25">
        <v>1</v>
      </c>
      <c r="K2678" s="30">
        <v>444.82</v>
      </c>
      <c r="L2678" s="17"/>
      <c r="M2678" s="29">
        <f t="shared" si="129"/>
        <v>0</v>
      </c>
      <c r="N2678" s="31">
        <f>0.551*L2678</f>
        <v>0</v>
      </c>
      <c r="O2678" s="32">
        <f>0.00138*L2678</f>
        <v>0</v>
      </c>
      <c r="P2678" s="36"/>
      <c r="Q2678" s="29" t="s">
        <v>8854</v>
      </c>
      <c r="R2678" s="29" t="s">
        <v>611</v>
      </c>
      <c r="S2678" s="26" t="str">
        <f>HYPERLINK("https://miland.ru/api/getInfo/image/0229a1b2-9c86-11ed-a22e-00155d82e902")</f>
        <v>https://miland.ru/api/getInfo/image/0229a1b2-9c86-11ed-a22e-00155d82e902</v>
      </c>
    </row>
    <row r="2679" spans="1:19" s="2" customFormat="1" ht="96.2" customHeight="1" outlineLevel="6">
      <c r="A2679" s="52">
        <v>2105</v>
      </c>
      <c r="B2679" s="26" t="s">
        <v>8855</v>
      </c>
      <c r="C2679" s="66" t="s">
        <v>8856</v>
      </c>
      <c r="D2679" s="66"/>
      <c r="E2679" s="66"/>
      <c r="F2679" s="66"/>
      <c r="G2679" s="27" t="s">
        <v>8857</v>
      </c>
      <c r="H2679" s="33">
        <v>254</v>
      </c>
      <c r="I2679" s="29"/>
      <c r="J2679" s="25">
        <v>1</v>
      </c>
      <c r="K2679" s="30">
        <v>444.82</v>
      </c>
      <c r="L2679" s="17"/>
      <c r="M2679" s="29">
        <f t="shared" si="129"/>
        <v>0</v>
      </c>
      <c r="N2679" s="31">
        <f>0.561*L2679</f>
        <v>0</v>
      </c>
      <c r="O2679" s="35">
        <f>0.0009*L2679</f>
        <v>0</v>
      </c>
      <c r="P2679" s="36"/>
      <c r="Q2679" s="29" t="s">
        <v>8858</v>
      </c>
      <c r="R2679" s="29" t="s">
        <v>611</v>
      </c>
      <c r="S2679" s="26" t="str">
        <f>HYPERLINK("https://miland.ru/api/getInfo/image/0cad45b2-bab1-11ee-a25a-00155d82e908")</f>
        <v>https://miland.ru/api/getInfo/image/0cad45b2-bab1-11ee-a25a-00155d82e908</v>
      </c>
    </row>
    <row r="2680" spans="1:19" s="2" customFormat="1" ht="96.2" customHeight="1" outlineLevel="6">
      <c r="A2680" s="53">
        <v>2106</v>
      </c>
      <c r="B2680" s="10" t="s">
        <v>8859</v>
      </c>
      <c r="C2680" s="65" t="s">
        <v>8860</v>
      </c>
      <c r="D2680" s="65"/>
      <c r="E2680" s="65"/>
      <c r="F2680" s="65"/>
      <c r="G2680" s="11" t="s">
        <v>8861</v>
      </c>
      <c r="H2680" s="14">
        <v>358</v>
      </c>
      <c r="I2680" s="15"/>
      <c r="J2680" s="9">
        <v>1</v>
      </c>
      <c r="K2680" s="16">
        <v>444.82</v>
      </c>
      <c r="L2680" s="17"/>
      <c r="M2680" s="15">
        <f t="shared" si="129"/>
        <v>0</v>
      </c>
      <c r="N2680" s="18">
        <f>0.547*L2680</f>
        <v>0</v>
      </c>
      <c r="O2680" s="19">
        <f>0.00094*L2680</f>
        <v>0</v>
      </c>
      <c r="P2680" s="24" t="s">
        <v>26</v>
      </c>
      <c r="Q2680" s="15" t="s">
        <v>8862</v>
      </c>
      <c r="R2680" s="15"/>
      <c r="S2680" s="10" t="str">
        <f>HYPERLINK("https://miland.ru/api/getInfo/image/bad0fe9c-f50c-11f0-a28d-00155d82e908")</f>
        <v>https://miland.ru/api/getInfo/image/bad0fe9c-f50c-11f0-a28d-00155d82e908</v>
      </c>
    </row>
    <row r="2681" spans="1:19" s="2" customFormat="1" ht="96.2" customHeight="1" outlineLevel="6">
      <c r="A2681" s="52">
        <v>2107</v>
      </c>
      <c r="B2681" s="26" t="s">
        <v>8863</v>
      </c>
      <c r="C2681" s="66" t="s">
        <v>8864</v>
      </c>
      <c r="D2681" s="66"/>
      <c r="E2681" s="66"/>
      <c r="F2681" s="66"/>
      <c r="G2681" s="27" t="s">
        <v>8865</v>
      </c>
      <c r="H2681" s="33">
        <v>322</v>
      </c>
      <c r="I2681" s="29"/>
      <c r="J2681" s="25">
        <v>1</v>
      </c>
      <c r="K2681" s="30">
        <v>444.82</v>
      </c>
      <c r="L2681" s="17"/>
      <c r="M2681" s="29">
        <f t="shared" si="129"/>
        <v>0</v>
      </c>
      <c r="N2681" s="31">
        <f>0.561*L2681</f>
        <v>0</v>
      </c>
      <c r="O2681" s="35">
        <f>0.0009*L2681</f>
        <v>0</v>
      </c>
      <c r="P2681" s="36"/>
      <c r="Q2681" s="29" t="s">
        <v>8866</v>
      </c>
      <c r="R2681" s="29" t="s">
        <v>611</v>
      </c>
      <c r="S2681" s="26" t="str">
        <f>HYPERLINK("https://miland.ru/api/getInfo/image/30de5687-bab1-11ee-a25a-00155d82e908")</f>
        <v>https://miland.ru/api/getInfo/image/30de5687-bab1-11ee-a25a-00155d82e908</v>
      </c>
    </row>
    <row r="2682" spans="1:19" s="1" customFormat="1" ht="12" customHeight="1" outlineLevel="4">
      <c r="A2682" s="64" t="s">
        <v>8867</v>
      </c>
      <c r="B2682" s="64"/>
      <c r="C2682" s="64"/>
      <c r="D2682" s="64"/>
      <c r="E2682" s="64"/>
      <c r="F2682" s="64"/>
      <c r="G2682" s="8"/>
      <c r="H2682" s="12"/>
      <c r="I2682" s="2"/>
      <c r="J2682" s="2"/>
      <c r="K2682" s="13"/>
      <c r="L2682" s="2"/>
      <c r="M2682" s="2"/>
      <c r="N2682" s="2"/>
      <c r="O2682" s="2"/>
      <c r="P2682" s="2"/>
      <c r="Q2682" s="2"/>
      <c r="R2682" s="2"/>
      <c r="S2682" s="2"/>
    </row>
    <row r="2683" spans="1:19" s="1" customFormat="1" ht="12" customHeight="1" outlineLevel="5">
      <c r="A2683" s="64" t="s">
        <v>8757</v>
      </c>
      <c r="B2683" s="64"/>
      <c r="C2683" s="64"/>
      <c r="D2683" s="64"/>
      <c r="E2683" s="64"/>
      <c r="F2683" s="64"/>
      <c r="G2683" s="8"/>
      <c r="H2683" s="12"/>
      <c r="I2683" s="2"/>
      <c r="J2683" s="2"/>
      <c r="K2683" s="13"/>
      <c r="L2683" s="2"/>
      <c r="M2683" s="2"/>
      <c r="N2683" s="2"/>
      <c r="O2683" s="2"/>
      <c r="P2683" s="2"/>
      <c r="Q2683" s="2"/>
      <c r="R2683" s="2"/>
      <c r="S2683" s="2"/>
    </row>
    <row r="2684" spans="1:19" s="2" customFormat="1" ht="96.2" customHeight="1" outlineLevel="6">
      <c r="A2684" s="53">
        <v>2108</v>
      </c>
      <c r="B2684" s="10" t="s">
        <v>8868</v>
      </c>
      <c r="C2684" s="65" t="s">
        <v>8869</v>
      </c>
      <c r="D2684" s="65"/>
      <c r="E2684" s="65"/>
      <c r="F2684" s="65"/>
      <c r="G2684" s="11" t="s">
        <v>8870</v>
      </c>
      <c r="H2684" s="21" t="s">
        <v>44</v>
      </c>
      <c r="I2684" s="15"/>
      <c r="J2684" s="9">
        <v>50</v>
      </c>
      <c r="K2684" s="16">
        <v>54.12</v>
      </c>
      <c r="L2684" s="17"/>
      <c r="M2684" s="15">
        <f>K2684*L2684</f>
        <v>0</v>
      </c>
      <c r="N2684" s="18">
        <f>3.145*L2684</f>
        <v>0</v>
      </c>
      <c r="O2684" s="19">
        <f>0.02975*L2684</f>
        <v>0</v>
      </c>
      <c r="P2684" s="24" t="s">
        <v>26</v>
      </c>
      <c r="Q2684" s="15" t="s">
        <v>8871</v>
      </c>
      <c r="R2684" s="15"/>
      <c r="S2684" s="10" t="str">
        <f>HYPERLINK("https://miland.ru/api/getInfo/image/488d3cd7-f513-11f0-a28d-00155d82e908")</f>
        <v>https://miland.ru/api/getInfo/image/488d3cd7-f513-11f0-a28d-00155d82e908</v>
      </c>
    </row>
    <row r="2685" spans="1:19" s="2" customFormat="1" ht="96.2" customHeight="1" outlineLevel="6">
      <c r="A2685" s="53">
        <v>2109</v>
      </c>
      <c r="B2685" s="10" t="s">
        <v>8872</v>
      </c>
      <c r="C2685" s="65" t="s">
        <v>8873</v>
      </c>
      <c r="D2685" s="65"/>
      <c r="E2685" s="65"/>
      <c r="F2685" s="65"/>
      <c r="G2685" s="11" t="s">
        <v>8874</v>
      </c>
      <c r="H2685" s="21" t="s">
        <v>44</v>
      </c>
      <c r="I2685" s="15"/>
      <c r="J2685" s="9">
        <v>50</v>
      </c>
      <c r="K2685" s="16">
        <v>58.4</v>
      </c>
      <c r="L2685" s="17"/>
      <c r="M2685" s="15">
        <f>K2685*L2685</f>
        <v>0</v>
      </c>
      <c r="N2685" s="23">
        <f>0.06*L2685</f>
        <v>0</v>
      </c>
      <c r="O2685" s="20">
        <f>0.0007*L2685</f>
        <v>0</v>
      </c>
      <c r="P2685" s="24" t="s">
        <v>26</v>
      </c>
      <c r="Q2685" s="15" t="s">
        <v>8875</v>
      </c>
      <c r="R2685" s="15"/>
      <c r="S2685" s="10" t="str">
        <f>HYPERLINK("https://miland.ru/api/getInfo/image/a87258d7-f514-11f0-a28d-00155d82e908")</f>
        <v>https://miland.ru/api/getInfo/image/a87258d7-f514-11f0-a28d-00155d82e908</v>
      </c>
    </row>
    <row r="2686" spans="1:19" s="2" customFormat="1" ht="96.2" customHeight="1" outlineLevel="6">
      <c r="A2686" s="52">
        <v>2110</v>
      </c>
      <c r="B2686" s="26" t="s">
        <v>8876</v>
      </c>
      <c r="C2686" s="66" t="s">
        <v>8877</v>
      </c>
      <c r="D2686" s="66"/>
      <c r="E2686" s="66"/>
      <c r="F2686" s="66"/>
      <c r="G2686" s="27" t="s">
        <v>8878</v>
      </c>
      <c r="H2686" s="33">
        <v>100</v>
      </c>
      <c r="I2686" s="29"/>
      <c r="J2686" s="25">
        <v>50</v>
      </c>
      <c r="K2686" s="30">
        <v>54.12</v>
      </c>
      <c r="L2686" s="17"/>
      <c r="M2686" s="29">
        <f>K2686*L2686</f>
        <v>0</v>
      </c>
      <c r="N2686" s="34">
        <f>0.05*L2686</f>
        <v>0</v>
      </c>
      <c r="O2686" s="32">
        <f>0.00044*L2686</f>
        <v>0</v>
      </c>
      <c r="P2686" s="36"/>
      <c r="Q2686" s="29" t="s">
        <v>8879</v>
      </c>
      <c r="R2686" s="29" t="s">
        <v>611</v>
      </c>
      <c r="S2686" s="26" t="str">
        <f>HYPERLINK("https://miland.ru/api/getInfo/image/cbcda323-baae-11ee-a25a-00155d82e908")</f>
        <v>https://miland.ru/api/getInfo/image/cbcda323-baae-11ee-a25a-00155d82e908</v>
      </c>
    </row>
    <row r="2687" spans="1:19" s="1" customFormat="1" ht="12" customHeight="1" outlineLevel="5">
      <c r="A2687" s="64" t="s">
        <v>8880</v>
      </c>
      <c r="B2687" s="64"/>
      <c r="C2687" s="64"/>
      <c r="D2687" s="64"/>
      <c r="E2687" s="64"/>
      <c r="F2687" s="64"/>
      <c r="G2687" s="8"/>
      <c r="H2687" s="12"/>
      <c r="I2687" s="2"/>
      <c r="J2687" s="2"/>
      <c r="K2687" s="13"/>
      <c r="L2687" s="2"/>
      <c r="M2687" s="2"/>
      <c r="N2687" s="2"/>
      <c r="O2687" s="2"/>
      <c r="P2687" s="2"/>
      <c r="Q2687" s="2"/>
      <c r="R2687" s="2"/>
      <c r="S2687" s="2"/>
    </row>
    <row r="2688" spans="1:19" s="2" customFormat="1" ht="96.2" customHeight="1" outlineLevel="6">
      <c r="A2688" s="53">
        <v>2111</v>
      </c>
      <c r="B2688" s="10" t="s">
        <v>8881</v>
      </c>
      <c r="C2688" s="65" t="s">
        <v>8882</v>
      </c>
      <c r="D2688" s="65"/>
      <c r="E2688" s="65"/>
      <c r="F2688" s="65"/>
      <c r="G2688" s="11" t="s">
        <v>8883</v>
      </c>
      <c r="H2688" s="21" t="s">
        <v>44</v>
      </c>
      <c r="I2688" s="15"/>
      <c r="J2688" s="9">
        <v>5</v>
      </c>
      <c r="K2688" s="16">
        <v>139.85</v>
      </c>
      <c r="L2688" s="17"/>
      <c r="M2688" s="15">
        <f>K2688*L2688</f>
        <v>0</v>
      </c>
      <c r="N2688" s="18">
        <f>0.102*L2688</f>
        <v>0</v>
      </c>
      <c r="O2688" s="19">
        <f>0.00072*L2688</f>
        <v>0</v>
      </c>
      <c r="P2688" s="24" t="s">
        <v>26</v>
      </c>
      <c r="Q2688" s="15" t="s">
        <v>8884</v>
      </c>
      <c r="R2688" s="15"/>
      <c r="S2688" s="10" t="str">
        <f>HYPERLINK("https://miland.ru/api/getInfo/image/ff015581-1ebd-11f1-a28f-00155d82e908")</f>
        <v>https://miland.ru/api/getInfo/image/ff015581-1ebd-11f1-a28f-00155d82e908</v>
      </c>
    </row>
    <row r="2689" spans="1:19" s="1" customFormat="1" ht="12" customHeight="1" outlineLevel="3">
      <c r="A2689" s="64" t="s">
        <v>8885</v>
      </c>
      <c r="B2689" s="64"/>
      <c r="C2689" s="64"/>
      <c r="D2689" s="64"/>
      <c r="E2689" s="64"/>
      <c r="F2689" s="64"/>
      <c r="G2689" s="8"/>
      <c r="H2689" s="12"/>
      <c r="I2689" s="2"/>
      <c r="J2689" s="2"/>
      <c r="K2689" s="13"/>
      <c r="L2689" s="2"/>
      <c r="M2689" s="2"/>
      <c r="N2689" s="2"/>
      <c r="O2689" s="2"/>
      <c r="P2689" s="2"/>
      <c r="Q2689" s="2"/>
      <c r="R2689" s="2"/>
      <c r="S2689" s="2"/>
    </row>
    <row r="2690" spans="1:19" s="1" customFormat="1" ht="12" customHeight="1" outlineLevel="4">
      <c r="A2690" s="64" t="s">
        <v>8886</v>
      </c>
      <c r="B2690" s="64"/>
      <c r="C2690" s="64"/>
      <c r="D2690" s="64"/>
      <c r="E2690" s="64"/>
      <c r="F2690" s="64"/>
      <c r="G2690" s="8"/>
      <c r="H2690" s="12"/>
      <c r="I2690" s="2"/>
      <c r="J2690" s="2"/>
      <c r="K2690" s="13"/>
      <c r="L2690" s="2"/>
      <c r="M2690" s="2"/>
      <c r="N2690" s="2"/>
      <c r="O2690" s="2"/>
      <c r="P2690" s="2"/>
      <c r="Q2690" s="2"/>
      <c r="R2690" s="2"/>
      <c r="S2690" s="2"/>
    </row>
    <row r="2691" spans="1:19" s="2" customFormat="1" ht="96.2" customHeight="1" outlineLevel="5">
      <c r="A2691" s="54">
        <v>2112</v>
      </c>
      <c r="B2691" s="39" t="s">
        <v>8887</v>
      </c>
      <c r="C2691" s="67" t="s">
        <v>8888</v>
      </c>
      <c r="D2691" s="67"/>
      <c r="E2691" s="67"/>
      <c r="F2691" s="67"/>
      <c r="G2691" s="40" t="s">
        <v>8889</v>
      </c>
      <c r="H2691" s="42">
        <v>159</v>
      </c>
      <c r="I2691" s="43"/>
      <c r="J2691" s="38">
        <v>6</v>
      </c>
      <c r="K2691" s="44">
        <v>17.38</v>
      </c>
      <c r="L2691" s="17"/>
      <c r="M2691" s="43">
        <f>K2691*L2691</f>
        <v>0</v>
      </c>
      <c r="N2691" s="47">
        <f>0.012*L2691</f>
        <v>0</v>
      </c>
      <c r="O2691" s="46">
        <f>0.00003*L2691</f>
        <v>0</v>
      </c>
      <c r="P2691" s="49"/>
      <c r="Q2691" s="43" t="s">
        <v>8890</v>
      </c>
      <c r="R2691" s="43" t="s">
        <v>611</v>
      </c>
      <c r="S2691" s="39" t="str">
        <f>HYPERLINK("https://miland.ru/api/getInfo/image/5bf336a1-9d1f-11eb-a201-ac1f6b442185")</f>
        <v>https://miland.ru/api/getInfo/image/5bf336a1-9d1f-11eb-a201-ac1f6b442185</v>
      </c>
    </row>
    <row r="2692" spans="1:19" s="1" customFormat="1" ht="12" customHeight="1" outlineLevel="4">
      <c r="A2692" s="64" t="s">
        <v>8891</v>
      </c>
      <c r="B2692" s="64"/>
      <c r="C2692" s="64"/>
      <c r="D2692" s="64"/>
      <c r="E2692" s="64"/>
      <c r="F2692" s="64"/>
      <c r="G2692" s="8"/>
      <c r="H2692" s="12"/>
      <c r="I2692" s="2"/>
      <c r="J2692" s="2"/>
      <c r="K2692" s="13"/>
      <c r="L2692" s="2"/>
      <c r="M2692" s="2"/>
      <c r="N2692" s="2"/>
      <c r="O2692" s="2"/>
      <c r="P2692" s="2"/>
      <c r="Q2692" s="2"/>
      <c r="R2692" s="2"/>
      <c r="S2692" s="2"/>
    </row>
    <row r="2693" spans="1:19" s="1" customFormat="1" ht="12" customHeight="1" outlineLevel="5">
      <c r="A2693" s="64" t="s">
        <v>8892</v>
      </c>
      <c r="B2693" s="64"/>
      <c r="C2693" s="64"/>
      <c r="D2693" s="64"/>
      <c r="E2693" s="64"/>
      <c r="F2693" s="64"/>
      <c r="G2693" s="8"/>
      <c r="H2693" s="12"/>
      <c r="I2693" s="2"/>
      <c r="J2693" s="2"/>
      <c r="K2693" s="13"/>
      <c r="L2693" s="2"/>
      <c r="M2693" s="2"/>
      <c r="N2693" s="2"/>
      <c r="O2693" s="2"/>
      <c r="P2693" s="2"/>
      <c r="Q2693" s="2"/>
      <c r="R2693" s="2"/>
      <c r="S2693" s="2"/>
    </row>
    <row r="2694" spans="1:19" s="1" customFormat="1" ht="12" customHeight="1" outlineLevel="6">
      <c r="A2694" s="64" t="s">
        <v>8893</v>
      </c>
      <c r="B2694" s="64"/>
      <c r="C2694" s="64"/>
      <c r="D2694" s="64"/>
      <c r="E2694" s="64"/>
      <c r="F2694" s="64"/>
      <c r="G2694" s="8"/>
      <c r="H2694" s="12"/>
      <c r="I2694" s="2"/>
      <c r="J2694" s="2"/>
      <c r="K2694" s="13"/>
      <c r="L2694" s="2"/>
      <c r="M2694" s="2"/>
      <c r="N2694" s="2"/>
      <c r="O2694" s="2"/>
      <c r="P2694" s="2"/>
      <c r="Q2694" s="2"/>
      <c r="R2694" s="2"/>
      <c r="S2694" s="2"/>
    </row>
    <row r="2695" spans="1:19" s="2" customFormat="1" ht="96.2" customHeight="1" outlineLevel="7">
      <c r="A2695" s="52">
        <v>2113</v>
      </c>
      <c r="B2695" s="26" t="s">
        <v>8894</v>
      </c>
      <c r="C2695" s="66" t="s">
        <v>8895</v>
      </c>
      <c r="D2695" s="66"/>
      <c r="E2695" s="66"/>
      <c r="F2695" s="66"/>
      <c r="G2695" s="27" t="s">
        <v>8896</v>
      </c>
      <c r="H2695" s="33">
        <v>13</v>
      </c>
      <c r="I2695" s="29"/>
      <c r="J2695" s="25">
        <v>1</v>
      </c>
      <c r="K2695" s="30">
        <v>550.71</v>
      </c>
      <c r="L2695" s="17"/>
      <c r="M2695" s="29">
        <f t="shared" ref="M2695:M2700" si="130">K2695*L2695</f>
        <v>0</v>
      </c>
      <c r="N2695" s="31">
        <f>0.437*L2695</f>
        <v>0</v>
      </c>
      <c r="O2695" s="32">
        <f>0.00455*L2695</f>
        <v>0</v>
      </c>
      <c r="P2695" s="36"/>
      <c r="Q2695" s="29" t="s">
        <v>8897</v>
      </c>
      <c r="R2695" s="29" t="s">
        <v>611</v>
      </c>
      <c r="S2695" s="26" t="str">
        <f>HYPERLINK("https://miland.ru/api/getInfo/image/b28ee300-e226-11ef-a274-00155d82e908")</f>
        <v>https://miland.ru/api/getInfo/image/b28ee300-e226-11ef-a274-00155d82e908</v>
      </c>
    </row>
    <row r="2696" spans="1:19" s="2" customFormat="1" ht="96.2" customHeight="1" outlineLevel="7">
      <c r="A2696" s="52">
        <v>2114</v>
      </c>
      <c r="B2696" s="26" t="s">
        <v>8898</v>
      </c>
      <c r="C2696" s="66" t="s">
        <v>8899</v>
      </c>
      <c r="D2696" s="66"/>
      <c r="E2696" s="66"/>
      <c r="F2696" s="66"/>
      <c r="G2696" s="27" t="s">
        <v>8900</v>
      </c>
      <c r="H2696" s="33">
        <v>30</v>
      </c>
      <c r="I2696" s="29"/>
      <c r="J2696" s="25">
        <v>1</v>
      </c>
      <c r="K2696" s="30">
        <v>550.71</v>
      </c>
      <c r="L2696" s="17"/>
      <c r="M2696" s="29">
        <f t="shared" si="130"/>
        <v>0</v>
      </c>
      <c r="N2696" s="31">
        <f>0.437*L2696</f>
        <v>0</v>
      </c>
      <c r="O2696" s="32">
        <f>0.00455*L2696</f>
        <v>0</v>
      </c>
      <c r="P2696" s="36"/>
      <c r="Q2696" s="29" t="s">
        <v>8901</v>
      </c>
      <c r="R2696" s="29" t="s">
        <v>611</v>
      </c>
      <c r="S2696" s="26" t="str">
        <f>HYPERLINK("https://miland.ru/api/getInfo/image/133e3a28-e227-11ef-a274-00155d82e908")</f>
        <v>https://miland.ru/api/getInfo/image/133e3a28-e227-11ef-a274-00155d82e908</v>
      </c>
    </row>
    <row r="2697" spans="1:19" s="2" customFormat="1" ht="96.2" customHeight="1" outlineLevel="7">
      <c r="A2697" s="52">
        <v>2115</v>
      </c>
      <c r="B2697" s="26" t="s">
        <v>8902</v>
      </c>
      <c r="C2697" s="66" t="s">
        <v>8903</v>
      </c>
      <c r="D2697" s="66"/>
      <c r="E2697" s="66"/>
      <c r="F2697" s="66"/>
      <c r="G2697" s="27" t="s">
        <v>8904</v>
      </c>
      <c r="H2697" s="33">
        <v>12</v>
      </c>
      <c r="I2697" s="29"/>
      <c r="J2697" s="25">
        <v>1</v>
      </c>
      <c r="K2697" s="30">
        <v>550.71</v>
      </c>
      <c r="L2697" s="17"/>
      <c r="M2697" s="29">
        <f t="shared" si="130"/>
        <v>0</v>
      </c>
      <c r="N2697" s="31">
        <f>0.437*L2697</f>
        <v>0</v>
      </c>
      <c r="O2697" s="32">
        <f>0.00455*L2697</f>
        <v>0</v>
      </c>
      <c r="P2697" s="36"/>
      <c r="Q2697" s="29" t="s">
        <v>8905</v>
      </c>
      <c r="R2697" s="29" t="s">
        <v>611</v>
      </c>
      <c r="S2697" s="26" t="str">
        <f>HYPERLINK("https://miland.ru/api/getInfo/image/e3227fcc-e226-11ef-a274-00155d82e908")</f>
        <v>https://miland.ru/api/getInfo/image/e3227fcc-e226-11ef-a274-00155d82e908</v>
      </c>
    </row>
    <row r="2698" spans="1:19" s="2" customFormat="1" ht="96.2" customHeight="1" outlineLevel="7">
      <c r="A2698" s="52">
        <v>2116</v>
      </c>
      <c r="B2698" s="26" t="s">
        <v>8906</v>
      </c>
      <c r="C2698" s="66" t="s">
        <v>8907</v>
      </c>
      <c r="D2698" s="66"/>
      <c r="E2698" s="66"/>
      <c r="F2698" s="66"/>
      <c r="G2698" s="27" t="s">
        <v>8908</v>
      </c>
      <c r="H2698" s="33">
        <v>7</v>
      </c>
      <c r="I2698" s="29"/>
      <c r="J2698" s="25">
        <v>1</v>
      </c>
      <c r="K2698" s="30">
        <v>550.71</v>
      </c>
      <c r="L2698" s="17"/>
      <c r="M2698" s="29">
        <f t="shared" si="130"/>
        <v>0</v>
      </c>
      <c r="N2698" s="31">
        <f>0.437*L2698</f>
        <v>0</v>
      </c>
      <c r="O2698" s="32">
        <f>0.00455*L2698</f>
        <v>0</v>
      </c>
      <c r="P2698" s="36"/>
      <c r="Q2698" s="29" t="s">
        <v>8909</v>
      </c>
      <c r="R2698" s="29" t="s">
        <v>611</v>
      </c>
      <c r="S2698" s="26" t="str">
        <f>HYPERLINK("https://miland.ru/api/getInfo/image/21d4d72d-e227-11ef-a274-00155d82e908")</f>
        <v>https://miland.ru/api/getInfo/image/21d4d72d-e227-11ef-a274-00155d82e908</v>
      </c>
    </row>
    <row r="2699" spans="1:19" s="2" customFormat="1" ht="96.2" customHeight="1" outlineLevel="7">
      <c r="A2699" s="52">
        <v>2117</v>
      </c>
      <c r="B2699" s="26" t="s">
        <v>8910</v>
      </c>
      <c r="C2699" s="66" t="s">
        <v>8911</v>
      </c>
      <c r="D2699" s="66"/>
      <c r="E2699" s="66"/>
      <c r="F2699" s="66"/>
      <c r="G2699" s="27" t="s">
        <v>8912</v>
      </c>
      <c r="H2699" s="33">
        <v>23</v>
      </c>
      <c r="I2699" s="29"/>
      <c r="J2699" s="25">
        <v>1</v>
      </c>
      <c r="K2699" s="30">
        <v>588.01</v>
      </c>
      <c r="L2699" s="17"/>
      <c r="M2699" s="29">
        <f t="shared" si="130"/>
        <v>0</v>
      </c>
      <c r="N2699" s="31">
        <f>0.437*L2699</f>
        <v>0</v>
      </c>
      <c r="O2699" s="32">
        <f>0.00455*L2699</f>
        <v>0</v>
      </c>
      <c r="P2699" s="36"/>
      <c r="Q2699" s="29" t="s">
        <v>8913</v>
      </c>
      <c r="R2699" s="29" t="s">
        <v>611</v>
      </c>
      <c r="S2699" s="26" t="str">
        <f>HYPERLINK("https://miland.ru/api/getInfo/image/3db12576-e227-11ef-a274-00155d82e908")</f>
        <v>https://miland.ru/api/getInfo/image/3db12576-e227-11ef-a274-00155d82e908</v>
      </c>
    </row>
    <row r="2700" spans="1:19" s="2" customFormat="1" ht="96.2" customHeight="1" outlineLevel="7">
      <c r="A2700" s="53">
        <v>2118</v>
      </c>
      <c r="B2700" s="10" t="s">
        <v>8914</v>
      </c>
      <c r="C2700" s="65" t="s">
        <v>8915</v>
      </c>
      <c r="D2700" s="65"/>
      <c r="E2700" s="65"/>
      <c r="F2700" s="65"/>
      <c r="G2700" s="11" t="s">
        <v>8916</v>
      </c>
      <c r="H2700" s="14">
        <v>75</v>
      </c>
      <c r="I2700" s="15"/>
      <c r="J2700" s="9">
        <v>1</v>
      </c>
      <c r="K2700" s="16">
        <v>604.27</v>
      </c>
      <c r="L2700" s="17"/>
      <c r="M2700" s="15">
        <f t="shared" si="130"/>
        <v>0</v>
      </c>
      <c r="N2700" s="18">
        <f>0.456*L2700</f>
        <v>0</v>
      </c>
      <c r="O2700" s="19">
        <f>0.00447*L2700</f>
        <v>0</v>
      </c>
      <c r="P2700" s="24" t="s">
        <v>26</v>
      </c>
      <c r="Q2700" s="15" t="s">
        <v>8917</v>
      </c>
      <c r="R2700" s="15"/>
      <c r="S2700" s="10" t="str">
        <f>HYPERLINK("https://miland.ru/api/getInfo/image/859b83ed-f606-11f0-a28d-00155d82e908")</f>
        <v>https://miland.ru/api/getInfo/image/859b83ed-f606-11f0-a28d-00155d82e908</v>
      </c>
    </row>
    <row r="2701" spans="1:19" s="1" customFormat="1" ht="12" customHeight="1" outlineLevel="5">
      <c r="A2701" s="64" t="s">
        <v>8918</v>
      </c>
      <c r="B2701" s="64"/>
      <c r="C2701" s="64"/>
      <c r="D2701" s="64"/>
      <c r="E2701" s="64"/>
      <c r="F2701" s="64"/>
      <c r="G2701" s="8"/>
      <c r="H2701" s="12"/>
      <c r="I2701" s="2"/>
      <c r="J2701" s="2"/>
      <c r="K2701" s="13"/>
      <c r="L2701" s="2"/>
      <c r="M2701" s="2"/>
      <c r="N2701" s="2"/>
      <c r="O2701" s="2"/>
      <c r="P2701" s="2"/>
      <c r="Q2701" s="2"/>
      <c r="R2701" s="2"/>
      <c r="S2701" s="2"/>
    </row>
    <row r="2702" spans="1:19" s="2" customFormat="1" ht="96.2" customHeight="1" outlineLevel="6">
      <c r="A2702" s="53">
        <v>2119</v>
      </c>
      <c r="B2702" s="10" t="s">
        <v>8919</v>
      </c>
      <c r="C2702" s="65" t="s">
        <v>8920</v>
      </c>
      <c r="D2702" s="65"/>
      <c r="E2702" s="65"/>
      <c r="F2702" s="65"/>
      <c r="G2702" s="11" t="s">
        <v>8921</v>
      </c>
      <c r="H2702" s="14">
        <v>143</v>
      </c>
      <c r="I2702" s="15"/>
      <c r="J2702" s="9">
        <v>1</v>
      </c>
      <c r="K2702" s="16">
        <v>540.89</v>
      </c>
      <c r="L2702" s="17"/>
      <c r="M2702" s="15">
        <f>K2702*L2702</f>
        <v>0</v>
      </c>
      <c r="N2702" s="18">
        <f>0.467*L2702</f>
        <v>0</v>
      </c>
      <c r="O2702" s="19">
        <f>0.00423*L2702</f>
        <v>0</v>
      </c>
      <c r="P2702" s="24" t="s">
        <v>26</v>
      </c>
      <c r="Q2702" s="15" t="s">
        <v>8922</v>
      </c>
      <c r="R2702" s="15"/>
      <c r="S2702" s="10" t="str">
        <f>HYPERLINK("https://miland.ru/api/getInfo/image/2a5a800b-2f22-11f1-a292-00155d82e908")</f>
        <v>https://miland.ru/api/getInfo/image/2a5a800b-2f22-11f1-a292-00155d82e908</v>
      </c>
    </row>
    <row r="2703" spans="1:19" s="2" customFormat="1" ht="96.2" customHeight="1" outlineLevel="6">
      <c r="A2703" s="53">
        <v>2120</v>
      </c>
      <c r="B2703" s="10" t="s">
        <v>8923</v>
      </c>
      <c r="C2703" s="65" t="s">
        <v>8924</v>
      </c>
      <c r="D2703" s="65"/>
      <c r="E2703" s="65"/>
      <c r="F2703" s="65"/>
      <c r="G2703" s="11" t="s">
        <v>8925</v>
      </c>
      <c r="H2703" s="14">
        <v>124</v>
      </c>
      <c r="I2703" s="15"/>
      <c r="J2703" s="9">
        <v>1</v>
      </c>
      <c r="K2703" s="16">
        <v>540.89</v>
      </c>
      <c r="L2703" s="17"/>
      <c r="M2703" s="15">
        <f>K2703*L2703</f>
        <v>0</v>
      </c>
      <c r="N2703" s="18">
        <f>0.471*L2703</f>
        <v>0</v>
      </c>
      <c r="O2703" s="19">
        <f>0.00467*L2703</f>
        <v>0</v>
      </c>
      <c r="P2703" s="24" t="s">
        <v>26</v>
      </c>
      <c r="Q2703" s="15" t="s">
        <v>8926</v>
      </c>
      <c r="R2703" s="15"/>
      <c r="S2703" s="10" t="str">
        <f>HYPERLINK("https://miland.ru/api/getInfo/image/46120a21-2f22-11f1-a292-00155d82e908")</f>
        <v>https://miland.ru/api/getInfo/image/46120a21-2f22-11f1-a292-00155d82e908</v>
      </c>
    </row>
    <row r="2704" spans="1:19" s="2" customFormat="1" ht="96.2" customHeight="1" outlineLevel="6">
      <c r="A2704" s="53">
        <v>2121</v>
      </c>
      <c r="B2704" s="10" t="s">
        <v>8927</v>
      </c>
      <c r="C2704" s="65" t="s">
        <v>8928</v>
      </c>
      <c r="D2704" s="65"/>
      <c r="E2704" s="65"/>
      <c r="F2704" s="65"/>
      <c r="G2704" s="11" t="s">
        <v>8929</v>
      </c>
      <c r="H2704" s="14">
        <v>181</v>
      </c>
      <c r="I2704" s="15"/>
      <c r="J2704" s="9">
        <v>1</v>
      </c>
      <c r="K2704" s="16">
        <v>540.89</v>
      </c>
      <c r="L2704" s="17"/>
      <c r="M2704" s="15">
        <f>K2704*L2704</f>
        <v>0</v>
      </c>
      <c r="N2704" s="18">
        <f>0.487*L2704</f>
        <v>0</v>
      </c>
      <c r="O2704" s="19">
        <f>0.00395*L2704</f>
        <v>0</v>
      </c>
      <c r="P2704" s="24" t="s">
        <v>26</v>
      </c>
      <c r="Q2704" s="15" t="s">
        <v>8930</v>
      </c>
      <c r="R2704" s="15"/>
      <c r="S2704" s="10" t="str">
        <f>HYPERLINK("https://miland.ru/api/getInfo/image/0fcbbeeb-2f22-11f1-a292-00155d82e908")</f>
        <v>https://miland.ru/api/getInfo/image/0fcbbeeb-2f22-11f1-a292-00155d82e908</v>
      </c>
    </row>
    <row r="2705" spans="1:19" s="2" customFormat="1" ht="96.2" customHeight="1" outlineLevel="6">
      <c r="A2705" s="53">
        <v>2122</v>
      </c>
      <c r="B2705" s="10" t="s">
        <v>8931</v>
      </c>
      <c r="C2705" s="65" t="s">
        <v>8932</v>
      </c>
      <c r="D2705" s="65"/>
      <c r="E2705" s="65"/>
      <c r="F2705" s="65"/>
      <c r="G2705" s="11" t="s">
        <v>8933</v>
      </c>
      <c r="H2705" s="14">
        <v>131</v>
      </c>
      <c r="I2705" s="15"/>
      <c r="J2705" s="9">
        <v>1</v>
      </c>
      <c r="K2705" s="16">
        <v>540.89</v>
      </c>
      <c r="L2705" s="17"/>
      <c r="M2705" s="15">
        <f>K2705*L2705</f>
        <v>0</v>
      </c>
      <c r="N2705" s="18">
        <f>0.454*L2705</f>
        <v>0</v>
      </c>
      <c r="O2705" s="19">
        <f>0.00432*L2705</f>
        <v>0</v>
      </c>
      <c r="P2705" s="24" t="s">
        <v>26</v>
      </c>
      <c r="Q2705" s="15" t="s">
        <v>8934</v>
      </c>
      <c r="R2705" s="15"/>
      <c r="S2705" s="10" t="str">
        <f>HYPERLINK("https://miland.ru/api/getInfo/image/f34cecc6-2f21-11f1-a292-00155d82e908")</f>
        <v>https://miland.ru/api/getInfo/image/f34cecc6-2f21-11f1-a292-00155d82e908</v>
      </c>
    </row>
    <row r="2706" spans="1:19" s="1" customFormat="1" ht="12" customHeight="1" outlineLevel="5">
      <c r="A2706" s="64" t="s">
        <v>8935</v>
      </c>
      <c r="B2706" s="64"/>
      <c r="C2706" s="64"/>
      <c r="D2706" s="64"/>
      <c r="E2706" s="64"/>
      <c r="F2706" s="64"/>
      <c r="G2706" s="8"/>
      <c r="H2706" s="12"/>
      <c r="I2706" s="2"/>
      <c r="J2706" s="2"/>
      <c r="K2706" s="13"/>
      <c r="L2706" s="2"/>
      <c r="M2706" s="2"/>
      <c r="N2706" s="2"/>
      <c r="O2706" s="2"/>
      <c r="P2706" s="2"/>
      <c r="Q2706" s="2"/>
      <c r="R2706" s="2"/>
      <c r="S2706" s="2"/>
    </row>
    <row r="2707" spans="1:19" s="1" customFormat="1" ht="12" customHeight="1" outlineLevel="6">
      <c r="A2707" s="64" t="s">
        <v>8936</v>
      </c>
      <c r="B2707" s="64"/>
      <c r="C2707" s="64"/>
      <c r="D2707" s="64"/>
      <c r="E2707" s="64"/>
      <c r="F2707" s="64"/>
      <c r="G2707" s="8"/>
      <c r="H2707" s="12"/>
      <c r="I2707" s="2"/>
      <c r="J2707" s="2"/>
      <c r="K2707" s="13"/>
      <c r="L2707" s="2"/>
      <c r="M2707" s="2"/>
      <c r="N2707" s="2"/>
      <c r="O2707" s="2"/>
      <c r="P2707" s="2"/>
      <c r="Q2707" s="2"/>
      <c r="R2707" s="2"/>
      <c r="S2707" s="2"/>
    </row>
    <row r="2708" spans="1:19" s="2" customFormat="1" ht="96.2" customHeight="1" outlineLevel="7">
      <c r="A2708" s="53">
        <v>2123</v>
      </c>
      <c r="B2708" s="10" t="s">
        <v>8937</v>
      </c>
      <c r="C2708" s="65" t="s">
        <v>8938</v>
      </c>
      <c r="D2708" s="65"/>
      <c r="E2708" s="65"/>
      <c r="F2708" s="65"/>
      <c r="G2708" s="11" t="s">
        <v>8939</v>
      </c>
      <c r="H2708" s="14">
        <v>22</v>
      </c>
      <c r="I2708" s="15"/>
      <c r="J2708" s="9">
        <v>1</v>
      </c>
      <c r="K2708" s="16">
        <v>534.05999999999995</v>
      </c>
      <c r="L2708" s="17"/>
      <c r="M2708" s="15">
        <f>K2708*L2708</f>
        <v>0</v>
      </c>
      <c r="N2708" s="18">
        <f>0.405*L2708</f>
        <v>0</v>
      </c>
      <c r="O2708" s="19">
        <f>0.00378*L2708</f>
        <v>0</v>
      </c>
      <c r="P2708" s="24" t="s">
        <v>26</v>
      </c>
      <c r="Q2708" s="15" t="s">
        <v>8940</v>
      </c>
      <c r="R2708" s="15"/>
      <c r="S2708" s="10" t="str">
        <f>HYPERLINK("https://miland.ru/api/getInfo/image/34a1ec40-f688-11f0-a28d-00155d82e908")</f>
        <v>https://miland.ru/api/getInfo/image/34a1ec40-f688-11f0-a28d-00155d82e908</v>
      </c>
    </row>
    <row r="2709" spans="1:19" s="2" customFormat="1" ht="96.2" customHeight="1" outlineLevel="7">
      <c r="A2709" s="53">
        <v>2124</v>
      </c>
      <c r="B2709" s="10" t="s">
        <v>8941</v>
      </c>
      <c r="C2709" s="65" t="s">
        <v>8942</v>
      </c>
      <c r="D2709" s="65"/>
      <c r="E2709" s="65"/>
      <c r="F2709" s="65"/>
      <c r="G2709" s="11" t="s">
        <v>8943</v>
      </c>
      <c r="H2709" s="14">
        <v>12</v>
      </c>
      <c r="I2709" s="15"/>
      <c r="J2709" s="9">
        <v>1</v>
      </c>
      <c r="K2709" s="16">
        <v>534.05999999999995</v>
      </c>
      <c r="L2709" s="17"/>
      <c r="M2709" s="15">
        <f>K2709*L2709</f>
        <v>0</v>
      </c>
      <c r="N2709" s="18">
        <f>0.405*L2709</f>
        <v>0</v>
      </c>
      <c r="O2709" s="19">
        <f>0.00378*L2709</f>
        <v>0</v>
      </c>
      <c r="P2709" s="24" t="s">
        <v>26</v>
      </c>
      <c r="Q2709" s="15" t="s">
        <v>8944</v>
      </c>
      <c r="R2709" s="15"/>
      <c r="S2709" s="10" t="str">
        <f>HYPERLINK("https://miland.ru/api/getInfo/image/c73e8381-f687-11f0-a28d-00155d82e908")</f>
        <v>https://miland.ru/api/getInfo/image/c73e8381-f687-11f0-a28d-00155d82e908</v>
      </c>
    </row>
    <row r="2710" spans="1:19" s="2" customFormat="1" ht="96.2" customHeight="1" outlineLevel="7">
      <c r="A2710" s="52">
        <v>2125</v>
      </c>
      <c r="B2710" s="26" t="s">
        <v>8945</v>
      </c>
      <c r="C2710" s="66" t="s">
        <v>8946</v>
      </c>
      <c r="D2710" s="66"/>
      <c r="E2710" s="66"/>
      <c r="F2710" s="66"/>
      <c r="G2710" s="27" t="s">
        <v>8947</v>
      </c>
      <c r="H2710" s="33">
        <v>7</v>
      </c>
      <c r="I2710" s="29"/>
      <c r="J2710" s="25">
        <v>1</v>
      </c>
      <c r="K2710" s="30">
        <v>442.62</v>
      </c>
      <c r="L2710" s="17"/>
      <c r="M2710" s="29">
        <f>K2710*L2710</f>
        <v>0</v>
      </c>
      <c r="N2710" s="34">
        <f>0.27*L2710</f>
        <v>0</v>
      </c>
      <c r="O2710" s="32">
        <f>0.00194*L2710</f>
        <v>0</v>
      </c>
      <c r="P2710" s="36"/>
      <c r="Q2710" s="29" t="s">
        <v>8948</v>
      </c>
      <c r="R2710" s="29" t="s">
        <v>611</v>
      </c>
      <c r="S2710" s="26" t="str">
        <f>HYPERLINK("https://miland.ru/api/getInfo/image/f30852eb-e229-11ef-a274-00155d82e908")</f>
        <v>https://miland.ru/api/getInfo/image/f30852eb-e229-11ef-a274-00155d82e908</v>
      </c>
    </row>
    <row r="2711" spans="1:19" s="2" customFormat="1" ht="96.2" customHeight="1" outlineLevel="7">
      <c r="A2711" s="53">
        <v>2126</v>
      </c>
      <c r="B2711" s="10" t="s">
        <v>8949</v>
      </c>
      <c r="C2711" s="65" t="s">
        <v>8950</v>
      </c>
      <c r="D2711" s="65"/>
      <c r="E2711" s="65"/>
      <c r="F2711" s="65"/>
      <c r="G2711" s="11" t="s">
        <v>8951</v>
      </c>
      <c r="H2711" s="14">
        <v>14</v>
      </c>
      <c r="I2711" s="15"/>
      <c r="J2711" s="9">
        <v>1</v>
      </c>
      <c r="K2711" s="16">
        <v>534.05999999999995</v>
      </c>
      <c r="L2711" s="17"/>
      <c r="M2711" s="15">
        <f>K2711*L2711</f>
        <v>0</v>
      </c>
      <c r="N2711" s="18">
        <f>0.272*L2711</f>
        <v>0</v>
      </c>
      <c r="O2711" s="19">
        <f>0.00226*L2711</f>
        <v>0</v>
      </c>
      <c r="P2711" s="24" t="s">
        <v>26</v>
      </c>
      <c r="Q2711" s="15" t="s">
        <v>8952</v>
      </c>
      <c r="R2711" s="15"/>
      <c r="S2711" s="10" t="str">
        <f>HYPERLINK("https://miland.ru/api/getInfo/image/898f3cfd-f688-11f0-a28d-00155d82e908")</f>
        <v>https://miland.ru/api/getInfo/image/898f3cfd-f688-11f0-a28d-00155d82e908</v>
      </c>
    </row>
    <row r="2712" spans="1:19" s="2" customFormat="1" ht="96.2" customHeight="1" outlineLevel="7">
      <c r="A2712" s="53">
        <v>2127</v>
      </c>
      <c r="B2712" s="10" t="s">
        <v>8953</v>
      </c>
      <c r="C2712" s="65" t="s">
        <v>8954</v>
      </c>
      <c r="D2712" s="65"/>
      <c r="E2712" s="65"/>
      <c r="F2712" s="65"/>
      <c r="G2712" s="11" t="s">
        <v>8955</v>
      </c>
      <c r="H2712" s="14">
        <v>22</v>
      </c>
      <c r="I2712" s="15"/>
      <c r="J2712" s="9">
        <v>1</v>
      </c>
      <c r="K2712" s="16">
        <v>534.05999999999995</v>
      </c>
      <c r="L2712" s="17"/>
      <c r="M2712" s="15">
        <f>K2712*L2712</f>
        <v>0</v>
      </c>
      <c r="N2712" s="18">
        <f>0.405*L2712</f>
        <v>0</v>
      </c>
      <c r="O2712" s="19">
        <f>0.00378*L2712</f>
        <v>0</v>
      </c>
      <c r="P2712" s="24" t="s">
        <v>26</v>
      </c>
      <c r="Q2712" s="15" t="s">
        <v>8956</v>
      </c>
      <c r="R2712" s="15"/>
      <c r="S2712" s="10" t="str">
        <f>HYPERLINK("https://miland.ru/api/getInfo/image/69399816-f688-11f0-a28d-00155d82e908")</f>
        <v>https://miland.ru/api/getInfo/image/69399816-f688-11f0-a28d-00155d82e908</v>
      </c>
    </row>
    <row r="2713" spans="1:19" s="1" customFormat="1" ht="12" customHeight="1" outlineLevel="6">
      <c r="A2713" s="64" t="s">
        <v>8957</v>
      </c>
      <c r="B2713" s="64"/>
      <c r="C2713" s="64"/>
      <c r="D2713" s="64"/>
      <c r="E2713" s="64"/>
      <c r="F2713" s="64"/>
      <c r="G2713" s="8"/>
      <c r="H2713" s="12"/>
      <c r="I2713" s="2"/>
      <c r="J2713" s="2"/>
      <c r="K2713" s="13"/>
      <c r="L2713" s="2"/>
      <c r="M2713" s="2"/>
      <c r="N2713" s="2"/>
      <c r="O2713" s="2"/>
      <c r="P2713" s="2"/>
      <c r="Q2713" s="2"/>
      <c r="R2713" s="2"/>
      <c r="S2713" s="2"/>
    </row>
    <row r="2714" spans="1:19" s="2" customFormat="1" ht="96.2" customHeight="1" outlineLevel="7">
      <c r="A2714" s="53">
        <v>2128</v>
      </c>
      <c r="B2714" s="10" t="s">
        <v>8958</v>
      </c>
      <c r="C2714" s="65" t="s">
        <v>8959</v>
      </c>
      <c r="D2714" s="65"/>
      <c r="E2714" s="65"/>
      <c r="F2714" s="65"/>
      <c r="G2714" s="11" t="s">
        <v>8960</v>
      </c>
      <c r="H2714" s="14">
        <v>165</v>
      </c>
      <c r="I2714" s="15"/>
      <c r="J2714" s="9">
        <v>2</v>
      </c>
      <c r="K2714" s="16">
        <v>376.09</v>
      </c>
      <c r="L2714" s="17"/>
      <c r="M2714" s="15">
        <f>K2714*L2714</f>
        <v>0</v>
      </c>
      <c r="N2714" s="18">
        <f>0.491*L2714</f>
        <v>0</v>
      </c>
      <c r="O2714" s="19">
        <f>0.00353*L2714</f>
        <v>0</v>
      </c>
      <c r="P2714" s="24" t="s">
        <v>26</v>
      </c>
      <c r="Q2714" s="15" t="s">
        <v>8961</v>
      </c>
      <c r="R2714" s="15"/>
      <c r="S2714" s="10" t="str">
        <f>HYPERLINK("https://miland.ru/api/getInfo/image/636c6fad-2f22-11f1-a292-00155d82e908")</f>
        <v>https://miland.ru/api/getInfo/image/636c6fad-2f22-11f1-a292-00155d82e908</v>
      </c>
    </row>
    <row r="2715" spans="1:19" s="2" customFormat="1" ht="96.2" customHeight="1" outlineLevel="7">
      <c r="A2715" s="53">
        <v>2129</v>
      </c>
      <c r="B2715" s="10" t="s">
        <v>8962</v>
      </c>
      <c r="C2715" s="65" t="s">
        <v>8963</v>
      </c>
      <c r="D2715" s="65"/>
      <c r="E2715" s="65"/>
      <c r="F2715" s="65"/>
      <c r="G2715" s="11" t="s">
        <v>8964</v>
      </c>
      <c r="H2715" s="14">
        <v>127</v>
      </c>
      <c r="I2715" s="15"/>
      <c r="J2715" s="9">
        <v>1</v>
      </c>
      <c r="K2715" s="16">
        <v>401.44</v>
      </c>
      <c r="L2715" s="17"/>
      <c r="M2715" s="15">
        <f>K2715*L2715</f>
        <v>0</v>
      </c>
      <c r="N2715" s="18">
        <f>0.494*L2715</f>
        <v>0</v>
      </c>
      <c r="O2715" s="19">
        <f>0.00371*L2715</f>
        <v>0</v>
      </c>
      <c r="P2715" s="24" t="s">
        <v>26</v>
      </c>
      <c r="Q2715" s="15" t="s">
        <v>8965</v>
      </c>
      <c r="R2715" s="15"/>
      <c r="S2715" s="10" t="str">
        <f>HYPERLINK("https://miland.ru/api/getInfo/image/877078c4-2f22-11f1-a292-00155d82e908")</f>
        <v>https://miland.ru/api/getInfo/image/877078c4-2f22-11f1-a292-00155d82e908</v>
      </c>
    </row>
    <row r="2716" spans="1:19" s="1" customFormat="1" ht="12" customHeight="1" outlineLevel="6">
      <c r="A2716" s="64" t="s">
        <v>8966</v>
      </c>
      <c r="B2716" s="64"/>
      <c r="C2716" s="64"/>
      <c r="D2716" s="64"/>
      <c r="E2716" s="64"/>
      <c r="F2716" s="64"/>
      <c r="G2716" s="8"/>
      <c r="H2716" s="12"/>
      <c r="I2716" s="2"/>
      <c r="J2716" s="2"/>
      <c r="K2716" s="13"/>
      <c r="L2716" s="2"/>
      <c r="M2716" s="2"/>
      <c r="N2716" s="2"/>
      <c r="O2716" s="2"/>
      <c r="P2716" s="2"/>
      <c r="Q2716" s="2"/>
      <c r="R2716" s="2"/>
      <c r="S2716" s="2"/>
    </row>
    <row r="2717" spans="1:19" s="2" customFormat="1" ht="96.2" customHeight="1" outlineLevel="7">
      <c r="A2717" s="53">
        <v>2130</v>
      </c>
      <c r="B2717" s="10" t="s">
        <v>8967</v>
      </c>
      <c r="C2717" s="65" t="s">
        <v>8968</v>
      </c>
      <c r="D2717" s="65"/>
      <c r="E2717" s="65"/>
      <c r="F2717" s="65"/>
      <c r="G2717" s="11" t="s">
        <v>8969</v>
      </c>
      <c r="H2717" s="14">
        <v>24</v>
      </c>
      <c r="I2717" s="15"/>
      <c r="J2717" s="9">
        <v>1</v>
      </c>
      <c r="K2717" s="16">
        <v>499.02</v>
      </c>
      <c r="L2717" s="17"/>
      <c r="M2717" s="15">
        <f>K2717*L2717</f>
        <v>0</v>
      </c>
      <c r="N2717" s="18">
        <f>0.405*L2717</f>
        <v>0</v>
      </c>
      <c r="O2717" s="19">
        <f>0.00378*L2717</f>
        <v>0</v>
      </c>
      <c r="P2717" s="24" t="s">
        <v>26</v>
      </c>
      <c r="Q2717" s="15" t="s">
        <v>8970</v>
      </c>
      <c r="R2717" s="15"/>
      <c r="S2717" s="10" t="str">
        <f>HYPERLINK("https://miland.ru/api/getInfo/image/13f22463-f689-11f0-a28d-00155d82e908")</f>
        <v>https://miland.ru/api/getInfo/image/13f22463-f689-11f0-a28d-00155d82e908</v>
      </c>
    </row>
    <row r="2718" spans="1:19" s="2" customFormat="1" ht="96.2" customHeight="1" outlineLevel="7">
      <c r="A2718" s="52">
        <v>2131</v>
      </c>
      <c r="B2718" s="26" t="s">
        <v>8971</v>
      </c>
      <c r="C2718" s="66" t="s">
        <v>8972</v>
      </c>
      <c r="D2718" s="66"/>
      <c r="E2718" s="66"/>
      <c r="F2718" s="66"/>
      <c r="G2718" s="27" t="s">
        <v>8973</v>
      </c>
      <c r="H2718" s="33">
        <v>2</v>
      </c>
      <c r="I2718" s="29"/>
      <c r="J2718" s="25">
        <v>1</v>
      </c>
      <c r="K2718" s="30">
        <v>515.36</v>
      </c>
      <c r="L2718" s="17"/>
      <c r="M2718" s="29">
        <f>K2718*L2718</f>
        <v>0</v>
      </c>
      <c r="N2718" s="34">
        <f>0.27*L2718</f>
        <v>0</v>
      </c>
      <c r="O2718" s="32">
        <f>0.00186*L2718</f>
        <v>0</v>
      </c>
      <c r="P2718" s="36"/>
      <c r="Q2718" s="29" t="s">
        <v>8974</v>
      </c>
      <c r="R2718" s="29" t="s">
        <v>611</v>
      </c>
      <c r="S2718" s="26" t="str">
        <f>HYPERLINK("https://miland.ru/api/getInfo/image/21198270-e3b1-11ef-a274-00155d82e908")</f>
        <v>https://miland.ru/api/getInfo/image/21198270-e3b1-11ef-a274-00155d82e908</v>
      </c>
    </row>
    <row r="2719" spans="1:19" s="2" customFormat="1" ht="96.2" customHeight="1" outlineLevel="7">
      <c r="A2719" s="52">
        <v>2132</v>
      </c>
      <c r="B2719" s="26" t="s">
        <v>8975</v>
      </c>
      <c r="C2719" s="66" t="s">
        <v>8976</v>
      </c>
      <c r="D2719" s="66"/>
      <c r="E2719" s="66"/>
      <c r="F2719" s="66"/>
      <c r="G2719" s="27" t="s">
        <v>8977</v>
      </c>
      <c r="H2719" s="33">
        <v>3</v>
      </c>
      <c r="I2719" s="29"/>
      <c r="J2719" s="25">
        <v>1</v>
      </c>
      <c r="K2719" s="30">
        <v>492.49</v>
      </c>
      <c r="L2719" s="17"/>
      <c r="M2719" s="29">
        <f>K2719*L2719</f>
        <v>0</v>
      </c>
      <c r="N2719" s="31">
        <f>0.424*L2719</f>
        <v>0</v>
      </c>
      <c r="O2719" s="32">
        <f>0.00384*L2719</f>
        <v>0</v>
      </c>
      <c r="P2719" s="36"/>
      <c r="Q2719" s="29" t="s">
        <v>8978</v>
      </c>
      <c r="R2719" s="29" t="s">
        <v>611</v>
      </c>
      <c r="S2719" s="26" t="str">
        <f>HYPERLINK("https://miland.ru/api/getInfo/image/b99369d4-bf47-11ee-a25a-00155d82e908")</f>
        <v>https://miland.ru/api/getInfo/image/b99369d4-bf47-11ee-a25a-00155d82e908</v>
      </c>
    </row>
    <row r="2720" spans="1:19" s="2" customFormat="1" ht="96.2" customHeight="1" outlineLevel="7">
      <c r="A2720" s="53">
        <v>2133</v>
      </c>
      <c r="B2720" s="10" t="s">
        <v>8979</v>
      </c>
      <c r="C2720" s="65" t="s">
        <v>8980</v>
      </c>
      <c r="D2720" s="65"/>
      <c r="E2720" s="65"/>
      <c r="F2720" s="65"/>
      <c r="G2720" s="11" t="s">
        <v>8981</v>
      </c>
      <c r="H2720" s="14">
        <v>3</v>
      </c>
      <c r="I2720" s="15"/>
      <c r="J2720" s="9">
        <v>1</v>
      </c>
      <c r="K2720" s="16">
        <v>499.02</v>
      </c>
      <c r="L2720" s="17"/>
      <c r="M2720" s="15">
        <f>K2720*L2720</f>
        <v>0</v>
      </c>
      <c r="N2720" s="18">
        <f>0.405*L2720</f>
        <v>0</v>
      </c>
      <c r="O2720" s="19">
        <f>0.00378*L2720</f>
        <v>0</v>
      </c>
      <c r="P2720" s="24" t="s">
        <v>26</v>
      </c>
      <c r="Q2720" s="15" t="s">
        <v>8982</v>
      </c>
      <c r="R2720" s="15"/>
      <c r="S2720" s="10" t="str">
        <f>HYPERLINK("https://miland.ru/api/getInfo/image/a372eecc-f688-11f0-a28d-00155d82e908")</f>
        <v>https://miland.ru/api/getInfo/image/a372eecc-f688-11f0-a28d-00155d82e908</v>
      </c>
    </row>
    <row r="2721" spans="1:19" s="2" customFormat="1" ht="96.2" customHeight="1" outlineLevel="7">
      <c r="A2721" s="53">
        <v>2134</v>
      </c>
      <c r="B2721" s="10" t="s">
        <v>8983</v>
      </c>
      <c r="C2721" s="65" t="s">
        <v>8984</v>
      </c>
      <c r="D2721" s="65"/>
      <c r="E2721" s="65"/>
      <c r="F2721" s="65"/>
      <c r="G2721" s="11" t="s">
        <v>8985</v>
      </c>
      <c r="H2721" s="14">
        <v>8</v>
      </c>
      <c r="I2721" s="15"/>
      <c r="J2721" s="9">
        <v>1</v>
      </c>
      <c r="K2721" s="16">
        <v>499.02</v>
      </c>
      <c r="L2721" s="17"/>
      <c r="M2721" s="15">
        <f>K2721*L2721</f>
        <v>0</v>
      </c>
      <c r="N2721" s="18">
        <f>0.405*L2721</f>
        <v>0</v>
      </c>
      <c r="O2721" s="19">
        <f>0.00378*L2721</f>
        <v>0</v>
      </c>
      <c r="P2721" s="24" t="s">
        <v>26</v>
      </c>
      <c r="Q2721" s="15" t="s">
        <v>8986</v>
      </c>
      <c r="R2721" s="15"/>
      <c r="S2721" s="10" t="str">
        <f>HYPERLINK("https://miland.ru/api/getInfo/image/b834affa-f688-11f0-a28d-00155d82e908")</f>
        <v>https://miland.ru/api/getInfo/image/b834affa-f688-11f0-a28d-00155d82e908</v>
      </c>
    </row>
    <row r="2722" spans="1:19" s="1" customFormat="1" ht="12" customHeight="1" outlineLevel="4">
      <c r="A2722" s="64" t="s">
        <v>8987</v>
      </c>
      <c r="B2722" s="64"/>
      <c r="C2722" s="64"/>
      <c r="D2722" s="64"/>
      <c r="E2722" s="64"/>
      <c r="F2722" s="64"/>
      <c r="G2722" s="8"/>
      <c r="H2722" s="12"/>
      <c r="I2722" s="2"/>
      <c r="J2722" s="2"/>
      <c r="K2722" s="13"/>
      <c r="L2722" s="2"/>
      <c r="M2722" s="2"/>
      <c r="N2722" s="2"/>
      <c r="O2722" s="2"/>
      <c r="P2722" s="2"/>
      <c r="Q2722" s="2"/>
      <c r="R2722" s="2"/>
      <c r="S2722" s="2"/>
    </row>
    <row r="2723" spans="1:19" s="2" customFormat="1" ht="96.2" customHeight="1" outlineLevel="5">
      <c r="A2723" s="53">
        <v>2135</v>
      </c>
      <c r="B2723" s="10" t="s">
        <v>8988</v>
      </c>
      <c r="C2723" s="65" t="s">
        <v>8989</v>
      </c>
      <c r="D2723" s="65"/>
      <c r="E2723" s="65"/>
      <c r="F2723" s="65"/>
      <c r="G2723" s="11" t="s">
        <v>8990</v>
      </c>
      <c r="H2723" s="14">
        <v>24</v>
      </c>
      <c r="I2723" s="15"/>
      <c r="J2723" s="9">
        <v>1</v>
      </c>
      <c r="K2723" s="22">
        <v>1603.82</v>
      </c>
      <c r="L2723" s="17"/>
      <c r="M2723" s="15">
        <f t="shared" ref="M2723:M2737" si="131">K2723*L2723</f>
        <v>0</v>
      </c>
      <c r="N2723" s="18">
        <f>0.437*L2723</f>
        <v>0</v>
      </c>
      <c r="O2723" s="19">
        <f>0.00455*L2723</f>
        <v>0</v>
      </c>
      <c r="P2723" s="24" t="s">
        <v>26</v>
      </c>
      <c r="Q2723" s="15" t="s">
        <v>8991</v>
      </c>
      <c r="R2723" s="15"/>
      <c r="S2723" s="10" t="str">
        <f>HYPERLINK("https://miland.ru/api/getInfo/image/91cfbb4c-f689-11f0-a28d-00155d82e908")</f>
        <v>https://miland.ru/api/getInfo/image/91cfbb4c-f689-11f0-a28d-00155d82e908</v>
      </c>
    </row>
    <row r="2724" spans="1:19" s="2" customFormat="1" ht="96.2" customHeight="1" outlineLevel="5">
      <c r="A2724" s="53">
        <v>2136</v>
      </c>
      <c r="B2724" s="10" t="s">
        <v>8992</v>
      </c>
      <c r="C2724" s="65" t="s">
        <v>8993</v>
      </c>
      <c r="D2724" s="65"/>
      <c r="E2724" s="65"/>
      <c r="F2724" s="65"/>
      <c r="G2724" s="11" t="s">
        <v>8994</v>
      </c>
      <c r="H2724" s="14">
        <v>38</v>
      </c>
      <c r="I2724" s="15"/>
      <c r="J2724" s="9">
        <v>1</v>
      </c>
      <c r="K2724" s="22">
        <v>1603.82</v>
      </c>
      <c r="L2724" s="17"/>
      <c r="M2724" s="15">
        <f t="shared" si="131"/>
        <v>0</v>
      </c>
      <c r="N2724" s="18">
        <f>0.437*L2724</f>
        <v>0</v>
      </c>
      <c r="O2724" s="19">
        <f>0.00455*L2724</f>
        <v>0</v>
      </c>
      <c r="P2724" s="24" t="s">
        <v>26</v>
      </c>
      <c r="Q2724" s="15" t="s">
        <v>8995</v>
      </c>
      <c r="R2724" s="15"/>
      <c r="S2724" s="10" t="str">
        <f>HYPERLINK("https://miland.ru/api/getInfo/image/6faa381a-f689-11f0-a28d-00155d82e908")</f>
        <v>https://miland.ru/api/getInfo/image/6faa381a-f689-11f0-a28d-00155d82e908</v>
      </c>
    </row>
    <row r="2725" spans="1:19" s="2" customFormat="1" ht="96.2" customHeight="1" outlineLevel="5">
      <c r="A2725" s="53">
        <v>2137</v>
      </c>
      <c r="B2725" s="10" t="s">
        <v>8996</v>
      </c>
      <c r="C2725" s="65" t="s">
        <v>8997</v>
      </c>
      <c r="D2725" s="65"/>
      <c r="E2725" s="65"/>
      <c r="F2725" s="65"/>
      <c r="G2725" s="11" t="s">
        <v>8998</v>
      </c>
      <c r="H2725" s="14">
        <v>3</v>
      </c>
      <c r="I2725" s="15"/>
      <c r="J2725" s="9">
        <v>1</v>
      </c>
      <c r="K2725" s="22">
        <v>1603.82</v>
      </c>
      <c r="L2725" s="17"/>
      <c r="M2725" s="15">
        <f t="shared" si="131"/>
        <v>0</v>
      </c>
      <c r="N2725" s="18">
        <f>1.414*L2725</f>
        <v>0</v>
      </c>
      <c r="O2725" s="20">
        <f>0.0087*L2725</f>
        <v>0</v>
      </c>
      <c r="P2725" s="24" t="s">
        <v>26</v>
      </c>
      <c r="Q2725" s="15" t="s">
        <v>8999</v>
      </c>
      <c r="R2725" s="15"/>
      <c r="S2725" s="10" t="str">
        <f>HYPERLINK("https://miland.ru/api/getInfo/image/8056bdaf-f689-11f0-a28d-00155d82e908")</f>
        <v>https://miland.ru/api/getInfo/image/8056bdaf-f689-11f0-a28d-00155d82e908</v>
      </c>
    </row>
    <row r="2726" spans="1:19" s="2" customFormat="1" ht="96.2" customHeight="1" outlineLevel="5">
      <c r="A2726" s="52">
        <v>2138</v>
      </c>
      <c r="B2726" s="26" t="s">
        <v>9000</v>
      </c>
      <c r="C2726" s="66" t="s">
        <v>9001</v>
      </c>
      <c r="D2726" s="66"/>
      <c r="E2726" s="66"/>
      <c r="F2726" s="66"/>
      <c r="G2726" s="27" t="s">
        <v>9002</v>
      </c>
      <c r="H2726" s="33">
        <v>10</v>
      </c>
      <c r="I2726" s="29"/>
      <c r="J2726" s="25">
        <v>1</v>
      </c>
      <c r="K2726" s="37">
        <v>2386.25</v>
      </c>
      <c r="L2726" s="17"/>
      <c r="M2726" s="29">
        <f t="shared" si="131"/>
        <v>0</v>
      </c>
      <c r="N2726" s="31">
        <f>3.753*L2726</f>
        <v>0</v>
      </c>
      <c r="O2726" s="32">
        <f>0.01745*L2726</f>
        <v>0</v>
      </c>
      <c r="P2726" s="36"/>
      <c r="Q2726" s="29" t="s">
        <v>9003</v>
      </c>
      <c r="R2726" s="29" t="s">
        <v>611</v>
      </c>
      <c r="S2726" s="26" t="str">
        <f>HYPERLINK("https://miland.ru/api/getInfo/image/ec61862d-21c3-11f0-a279-00155d82e908")</f>
        <v>https://miland.ru/api/getInfo/image/ec61862d-21c3-11f0-a279-00155d82e908</v>
      </c>
    </row>
    <row r="2727" spans="1:19" s="2" customFormat="1" ht="96.2" customHeight="1" outlineLevel="5">
      <c r="A2727" s="52">
        <v>2139</v>
      </c>
      <c r="B2727" s="26" t="s">
        <v>9004</v>
      </c>
      <c r="C2727" s="66" t="s">
        <v>9005</v>
      </c>
      <c r="D2727" s="66"/>
      <c r="E2727" s="66"/>
      <c r="F2727" s="66"/>
      <c r="G2727" s="27" t="s">
        <v>9006</v>
      </c>
      <c r="H2727" s="33">
        <v>6</v>
      </c>
      <c r="I2727" s="29"/>
      <c r="J2727" s="25">
        <v>1</v>
      </c>
      <c r="K2727" s="37">
        <v>2588.85</v>
      </c>
      <c r="L2727" s="17"/>
      <c r="M2727" s="29">
        <f t="shared" si="131"/>
        <v>0</v>
      </c>
      <c r="N2727" s="31">
        <f>3.736*L2727</f>
        <v>0</v>
      </c>
      <c r="O2727" s="32">
        <f>0.01813*L2727</f>
        <v>0</v>
      </c>
      <c r="P2727" s="36"/>
      <c r="Q2727" s="29" t="s">
        <v>9007</v>
      </c>
      <c r="R2727" s="29" t="s">
        <v>611</v>
      </c>
      <c r="S2727" s="26" t="str">
        <f>HYPERLINK("https://miland.ru/api/getInfo/image/8148cb90-21ba-11f0-a279-00155d82e908")</f>
        <v>https://miland.ru/api/getInfo/image/8148cb90-21ba-11f0-a279-00155d82e908</v>
      </c>
    </row>
    <row r="2728" spans="1:19" s="2" customFormat="1" ht="96.2" customHeight="1" outlineLevel="5">
      <c r="A2728" s="53">
        <v>2140</v>
      </c>
      <c r="B2728" s="10" t="s">
        <v>9008</v>
      </c>
      <c r="C2728" s="65" t="s">
        <v>9009</v>
      </c>
      <c r="D2728" s="65"/>
      <c r="E2728" s="65"/>
      <c r="F2728" s="65"/>
      <c r="G2728" s="11" t="s">
        <v>9010</v>
      </c>
      <c r="H2728" s="14">
        <v>1</v>
      </c>
      <c r="I2728" s="15"/>
      <c r="J2728" s="9">
        <v>1</v>
      </c>
      <c r="K2728" s="22">
        <v>2028.34</v>
      </c>
      <c r="L2728" s="17"/>
      <c r="M2728" s="15">
        <f t="shared" si="131"/>
        <v>0</v>
      </c>
      <c r="N2728" s="18">
        <f>3.753*L2728</f>
        <v>0</v>
      </c>
      <c r="O2728" s="19">
        <f>0.01866*L2728</f>
        <v>0</v>
      </c>
      <c r="P2728" s="24" t="s">
        <v>26</v>
      </c>
      <c r="Q2728" s="15" t="s">
        <v>9011</v>
      </c>
      <c r="R2728" s="15"/>
      <c r="S2728" s="10" t="str">
        <f>HYPERLINK("https://miland.ru/api/getInfo/image/8f182a28-2f1f-11f1-a292-00155d82e908")</f>
        <v>https://miland.ru/api/getInfo/image/8f182a28-2f1f-11f1-a292-00155d82e908</v>
      </c>
    </row>
    <row r="2729" spans="1:19" s="2" customFormat="1" ht="96.2" customHeight="1" outlineLevel="5">
      <c r="A2729" s="52">
        <v>2141</v>
      </c>
      <c r="B2729" s="26" t="s">
        <v>9012</v>
      </c>
      <c r="C2729" s="66" t="s">
        <v>9013</v>
      </c>
      <c r="D2729" s="66"/>
      <c r="E2729" s="66"/>
      <c r="F2729" s="66"/>
      <c r="G2729" s="27" t="s">
        <v>9014</v>
      </c>
      <c r="H2729" s="33">
        <v>5</v>
      </c>
      <c r="I2729" s="29"/>
      <c r="J2729" s="25">
        <v>1</v>
      </c>
      <c r="K2729" s="37">
        <v>1481.3</v>
      </c>
      <c r="L2729" s="17"/>
      <c r="M2729" s="29">
        <f t="shared" si="131"/>
        <v>0</v>
      </c>
      <c r="N2729" s="31">
        <f>1.453*L2729</f>
        <v>0</v>
      </c>
      <c r="O2729" s="32">
        <f>0.00853*L2729</f>
        <v>0</v>
      </c>
      <c r="P2729" s="36"/>
      <c r="Q2729" s="29" t="s">
        <v>9015</v>
      </c>
      <c r="R2729" s="29" t="s">
        <v>611</v>
      </c>
      <c r="S2729" s="26" t="str">
        <f>HYPERLINK("https://miland.ru/api/getInfo/image/44e6a67c-e3b8-11ef-a274-00155d82e908")</f>
        <v>https://miland.ru/api/getInfo/image/44e6a67c-e3b8-11ef-a274-00155d82e908</v>
      </c>
    </row>
    <row r="2730" spans="1:19" s="2" customFormat="1" ht="96.2" customHeight="1" outlineLevel="5">
      <c r="A2730" s="52">
        <v>2142</v>
      </c>
      <c r="B2730" s="26" t="s">
        <v>9016</v>
      </c>
      <c r="C2730" s="66" t="s">
        <v>9017</v>
      </c>
      <c r="D2730" s="66"/>
      <c r="E2730" s="66"/>
      <c r="F2730" s="66"/>
      <c r="G2730" s="27" t="s">
        <v>9018</v>
      </c>
      <c r="H2730" s="33">
        <v>11</v>
      </c>
      <c r="I2730" s="29"/>
      <c r="J2730" s="25">
        <v>1</v>
      </c>
      <c r="K2730" s="37">
        <v>1481.3</v>
      </c>
      <c r="L2730" s="17"/>
      <c r="M2730" s="29">
        <f t="shared" si="131"/>
        <v>0</v>
      </c>
      <c r="N2730" s="31">
        <f>1.434*L2730</f>
        <v>0</v>
      </c>
      <c r="O2730" s="32">
        <f>0.00865*L2730</f>
        <v>0</v>
      </c>
      <c r="P2730" s="36"/>
      <c r="Q2730" s="29" t="s">
        <v>9019</v>
      </c>
      <c r="R2730" s="29" t="s">
        <v>611</v>
      </c>
      <c r="S2730" s="26" t="str">
        <f>HYPERLINK("https://miland.ru/api/getInfo/image/38f13842-e3b9-11ef-a274-00155d82e908")</f>
        <v>https://miland.ru/api/getInfo/image/38f13842-e3b9-11ef-a274-00155d82e908</v>
      </c>
    </row>
    <row r="2731" spans="1:19" s="2" customFormat="1" ht="96.2" customHeight="1" outlineLevel="5">
      <c r="A2731" s="52">
        <v>2143</v>
      </c>
      <c r="B2731" s="26" t="s">
        <v>9020</v>
      </c>
      <c r="C2731" s="66" t="s">
        <v>9021</v>
      </c>
      <c r="D2731" s="66"/>
      <c r="E2731" s="66"/>
      <c r="F2731" s="66"/>
      <c r="G2731" s="27" t="s">
        <v>9022</v>
      </c>
      <c r="H2731" s="33">
        <v>29</v>
      </c>
      <c r="I2731" s="29"/>
      <c r="J2731" s="25">
        <v>1</v>
      </c>
      <c r="K2731" s="37">
        <v>1481.3</v>
      </c>
      <c r="L2731" s="17"/>
      <c r="M2731" s="29">
        <f t="shared" si="131"/>
        <v>0</v>
      </c>
      <c r="N2731" s="31">
        <f>1.434*L2731</f>
        <v>0</v>
      </c>
      <c r="O2731" s="32">
        <f>0.00865*L2731</f>
        <v>0</v>
      </c>
      <c r="P2731" s="36"/>
      <c r="Q2731" s="29" t="s">
        <v>9023</v>
      </c>
      <c r="R2731" s="29" t="s">
        <v>611</v>
      </c>
      <c r="S2731" s="26" t="str">
        <f>HYPERLINK("https://miland.ru/api/getInfo/image/edf676db-e3b9-11ef-a274-00155d82e908")</f>
        <v>https://miland.ru/api/getInfo/image/edf676db-e3b9-11ef-a274-00155d82e908</v>
      </c>
    </row>
    <row r="2732" spans="1:19" s="2" customFormat="1" ht="96.2" customHeight="1" outlineLevel="5">
      <c r="A2732" s="52">
        <v>2144</v>
      </c>
      <c r="B2732" s="26" t="s">
        <v>9024</v>
      </c>
      <c r="C2732" s="66" t="s">
        <v>9025</v>
      </c>
      <c r="D2732" s="66"/>
      <c r="E2732" s="66"/>
      <c r="F2732" s="66"/>
      <c r="G2732" s="27" t="s">
        <v>9026</v>
      </c>
      <c r="H2732" s="33">
        <v>19</v>
      </c>
      <c r="I2732" s="29"/>
      <c r="J2732" s="25">
        <v>1</v>
      </c>
      <c r="K2732" s="37">
        <v>1481.3</v>
      </c>
      <c r="L2732" s="17"/>
      <c r="M2732" s="29">
        <f t="shared" si="131"/>
        <v>0</v>
      </c>
      <c r="N2732" s="31">
        <f>1.434*L2732</f>
        <v>0</v>
      </c>
      <c r="O2732" s="32">
        <f>0.00865*L2732</f>
        <v>0</v>
      </c>
      <c r="P2732" s="36"/>
      <c r="Q2732" s="29" t="s">
        <v>9027</v>
      </c>
      <c r="R2732" s="29" t="s">
        <v>611</v>
      </c>
      <c r="S2732" s="26" t="str">
        <f>HYPERLINK("https://miland.ru/api/getInfo/image/90b3d590-e3b8-11ef-a274-00155d82e908")</f>
        <v>https://miland.ru/api/getInfo/image/90b3d590-e3b8-11ef-a274-00155d82e908</v>
      </c>
    </row>
    <row r="2733" spans="1:19" s="2" customFormat="1" ht="96.2" customHeight="1" outlineLevel="5">
      <c r="A2733" s="52">
        <v>2145</v>
      </c>
      <c r="B2733" s="26" t="s">
        <v>9028</v>
      </c>
      <c r="C2733" s="66" t="s">
        <v>9029</v>
      </c>
      <c r="D2733" s="66"/>
      <c r="E2733" s="66"/>
      <c r="F2733" s="66"/>
      <c r="G2733" s="27" t="s">
        <v>9030</v>
      </c>
      <c r="H2733" s="33">
        <v>105</v>
      </c>
      <c r="I2733" s="29"/>
      <c r="J2733" s="25">
        <v>1</v>
      </c>
      <c r="K2733" s="37">
        <v>1481.3</v>
      </c>
      <c r="L2733" s="17"/>
      <c r="M2733" s="29">
        <f t="shared" si="131"/>
        <v>0</v>
      </c>
      <c r="N2733" s="31">
        <f>1.427*L2733</f>
        <v>0</v>
      </c>
      <c r="O2733" s="32">
        <f>0.00872*L2733</f>
        <v>0</v>
      </c>
      <c r="P2733" s="36"/>
      <c r="Q2733" s="29" t="s">
        <v>9031</v>
      </c>
      <c r="R2733" s="29" t="s">
        <v>611</v>
      </c>
      <c r="S2733" s="26" t="str">
        <f>HYPERLINK("https://miland.ru/api/getInfo/image/fa7d9321-e3ba-11ef-a274-00155d82e908")</f>
        <v>https://miland.ru/api/getInfo/image/fa7d9321-e3ba-11ef-a274-00155d82e908</v>
      </c>
    </row>
    <row r="2734" spans="1:19" s="2" customFormat="1" ht="96.2" customHeight="1" outlineLevel="5">
      <c r="A2734" s="52">
        <v>2146</v>
      </c>
      <c r="B2734" s="26" t="s">
        <v>9032</v>
      </c>
      <c r="C2734" s="66" t="s">
        <v>9033</v>
      </c>
      <c r="D2734" s="66"/>
      <c r="E2734" s="66"/>
      <c r="F2734" s="66"/>
      <c r="G2734" s="27" t="s">
        <v>9034</v>
      </c>
      <c r="H2734" s="33">
        <v>7</v>
      </c>
      <c r="I2734" s="29"/>
      <c r="J2734" s="25">
        <v>1</v>
      </c>
      <c r="K2734" s="37">
        <v>1883.98</v>
      </c>
      <c r="L2734" s="17"/>
      <c r="M2734" s="29">
        <f t="shared" si="131"/>
        <v>0</v>
      </c>
      <c r="N2734" s="31">
        <f>1.434*L2734</f>
        <v>0</v>
      </c>
      <c r="O2734" s="32">
        <f>0.00865*L2734</f>
        <v>0</v>
      </c>
      <c r="P2734" s="36"/>
      <c r="Q2734" s="29" t="s">
        <v>9035</v>
      </c>
      <c r="R2734" s="29" t="s">
        <v>611</v>
      </c>
      <c r="S2734" s="26" t="str">
        <f>HYPERLINK("https://miland.ru/api/getInfo/image/3ca30127-e3bb-11ef-a274-00155d82e908")</f>
        <v>https://miland.ru/api/getInfo/image/3ca30127-e3bb-11ef-a274-00155d82e908</v>
      </c>
    </row>
    <row r="2735" spans="1:19" s="2" customFormat="1" ht="96.2" customHeight="1" outlineLevel="5">
      <c r="A2735" s="53">
        <v>2147</v>
      </c>
      <c r="B2735" s="10" t="s">
        <v>9036</v>
      </c>
      <c r="C2735" s="65" t="s">
        <v>9037</v>
      </c>
      <c r="D2735" s="65"/>
      <c r="E2735" s="65"/>
      <c r="F2735" s="65"/>
      <c r="G2735" s="11" t="s">
        <v>9038</v>
      </c>
      <c r="H2735" s="14">
        <v>18</v>
      </c>
      <c r="I2735" s="15"/>
      <c r="J2735" s="9">
        <v>1</v>
      </c>
      <c r="K2735" s="22">
        <v>1603.82</v>
      </c>
      <c r="L2735" s="17"/>
      <c r="M2735" s="15">
        <f t="shared" si="131"/>
        <v>0</v>
      </c>
      <c r="N2735" s="18">
        <f>0.437*L2735</f>
        <v>0</v>
      </c>
      <c r="O2735" s="19">
        <f>0.00455*L2735</f>
        <v>0</v>
      </c>
      <c r="P2735" s="24" t="s">
        <v>26</v>
      </c>
      <c r="Q2735" s="15" t="s">
        <v>9039</v>
      </c>
      <c r="R2735" s="15"/>
      <c r="S2735" s="10" t="str">
        <f>HYPERLINK("https://miland.ru/api/getInfo/image/4b07ccc4-f689-11f0-a28d-00155d82e908")</f>
        <v>https://miland.ru/api/getInfo/image/4b07ccc4-f689-11f0-a28d-00155d82e908</v>
      </c>
    </row>
    <row r="2736" spans="1:19" s="2" customFormat="1" ht="96.2" customHeight="1" outlineLevel="5">
      <c r="A2736" s="53">
        <v>2148</v>
      </c>
      <c r="B2736" s="10" t="s">
        <v>9040</v>
      </c>
      <c r="C2736" s="65" t="s">
        <v>9041</v>
      </c>
      <c r="D2736" s="65"/>
      <c r="E2736" s="65"/>
      <c r="F2736" s="65"/>
      <c r="G2736" s="11" t="s">
        <v>9042</v>
      </c>
      <c r="H2736" s="14">
        <v>27</v>
      </c>
      <c r="I2736" s="15"/>
      <c r="J2736" s="9">
        <v>1</v>
      </c>
      <c r="K2736" s="22">
        <v>1603.82</v>
      </c>
      <c r="L2736" s="17"/>
      <c r="M2736" s="15">
        <f t="shared" si="131"/>
        <v>0</v>
      </c>
      <c r="N2736" s="18">
        <f>1.414*L2736</f>
        <v>0</v>
      </c>
      <c r="O2736" s="20">
        <f>0.0087*L2736</f>
        <v>0</v>
      </c>
      <c r="P2736" s="24" t="s">
        <v>26</v>
      </c>
      <c r="Q2736" s="15" t="s">
        <v>9043</v>
      </c>
      <c r="R2736" s="15"/>
      <c r="S2736" s="10" t="str">
        <f>HYPERLINK("https://miland.ru/api/getInfo/image/3a013fda-f689-11f0-a28d-00155d82e908")</f>
        <v>https://miland.ru/api/getInfo/image/3a013fda-f689-11f0-a28d-00155d82e908</v>
      </c>
    </row>
    <row r="2737" spans="1:19" s="2" customFormat="1" ht="96.2" customHeight="1" outlineLevel="5">
      <c r="A2737" s="52">
        <v>2149</v>
      </c>
      <c r="B2737" s="26" t="s">
        <v>9044</v>
      </c>
      <c r="C2737" s="66" t="s">
        <v>9045</v>
      </c>
      <c r="D2737" s="66"/>
      <c r="E2737" s="66"/>
      <c r="F2737" s="66"/>
      <c r="G2737" s="27" t="s">
        <v>9046</v>
      </c>
      <c r="H2737" s="33">
        <v>3</v>
      </c>
      <c r="I2737" s="29"/>
      <c r="J2737" s="25">
        <v>1</v>
      </c>
      <c r="K2737" s="37">
        <v>1481.3</v>
      </c>
      <c r="L2737" s="17"/>
      <c r="M2737" s="29">
        <f t="shared" si="131"/>
        <v>0</v>
      </c>
      <c r="N2737" s="41">
        <f>1.4*L2737</f>
        <v>0</v>
      </c>
      <c r="O2737" s="32">
        <f>0.00793*L2737</f>
        <v>0</v>
      </c>
      <c r="P2737" s="36"/>
      <c r="Q2737" s="29" t="s">
        <v>9047</v>
      </c>
      <c r="R2737" s="29" t="s">
        <v>611</v>
      </c>
      <c r="S2737" s="26" t="str">
        <f>HYPERLINK("https://miland.ru/api/getInfo/image/668ce442-bf4a-11ee-a25a-00155d82e908")</f>
        <v>https://miland.ru/api/getInfo/image/668ce442-bf4a-11ee-a25a-00155d82e908</v>
      </c>
    </row>
    <row r="2738" spans="1:19" s="1" customFormat="1" ht="12" customHeight="1" outlineLevel="4">
      <c r="A2738" s="64" t="s">
        <v>9048</v>
      </c>
      <c r="B2738" s="64"/>
      <c r="C2738" s="64"/>
      <c r="D2738" s="64"/>
      <c r="E2738" s="64"/>
      <c r="F2738" s="64"/>
      <c r="G2738" s="8"/>
      <c r="H2738" s="12"/>
      <c r="I2738" s="2"/>
      <c r="J2738" s="2"/>
      <c r="K2738" s="13"/>
      <c r="L2738" s="2"/>
      <c r="M2738" s="2"/>
      <c r="N2738" s="2"/>
      <c r="O2738" s="2"/>
      <c r="P2738" s="2"/>
      <c r="Q2738" s="2"/>
      <c r="R2738" s="2"/>
      <c r="S2738" s="2"/>
    </row>
    <row r="2739" spans="1:19" s="2" customFormat="1" ht="96.2" customHeight="1" outlineLevel="5">
      <c r="A2739" s="52">
        <v>2150</v>
      </c>
      <c r="B2739" s="26" t="s">
        <v>9049</v>
      </c>
      <c r="C2739" s="66" t="s">
        <v>9050</v>
      </c>
      <c r="D2739" s="66"/>
      <c r="E2739" s="66"/>
      <c r="F2739" s="66"/>
      <c r="G2739" s="27" t="s">
        <v>9051</v>
      </c>
      <c r="H2739" s="33">
        <v>47</v>
      </c>
      <c r="I2739" s="29"/>
      <c r="J2739" s="25">
        <v>1</v>
      </c>
      <c r="K2739" s="37">
        <v>1801.19</v>
      </c>
      <c r="L2739" s="17"/>
      <c r="M2739" s="29">
        <f t="shared" ref="M2739:M2746" si="132">K2739*L2739</f>
        <v>0</v>
      </c>
      <c r="N2739" s="31">
        <f>1.415*L2739</f>
        <v>0</v>
      </c>
      <c r="O2739" s="32">
        <f>0.00906*L2739</f>
        <v>0</v>
      </c>
      <c r="P2739" s="36"/>
      <c r="Q2739" s="29" t="s">
        <v>9052</v>
      </c>
      <c r="R2739" s="29" t="s">
        <v>611</v>
      </c>
      <c r="S2739" s="26" t="str">
        <f>HYPERLINK("https://miland.ru/api/getInfo/image/0107d63a-e22d-11ef-a274-00155d82e908")</f>
        <v>https://miland.ru/api/getInfo/image/0107d63a-e22d-11ef-a274-00155d82e908</v>
      </c>
    </row>
    <row r="2740" spans="1:19" s="2" customFormat="1" ht="96.2" customHeight="1" outlineLevel="5">
      <c r="A2740" s="52">
        <v>2151</v>
      </c>
      <c r="B2740" s="26" t="s">
        <v>9053</v>
      </c>
      <c r="C2740" s="66" t="s">
        <v>9054</v>
      </c>
      <c r="D2740" s="66"/>
      <c r="E2740" s="66"/>
      <c r="F2740" s="66"/>
      <c r="G2740" s="27" t="s">
        <v>9055</v>
      </c>
      <c r="H2740" s="33">
        <v>44</v>
      </c>
      <c r="I2740" s="29"/>
      <c r="J2740" s="25">
        <v>1</v>
      </c>
      <c r="K2740" s="37">
        <v>1801.19</v>
      </c>
      <c r="L2740" s="17"/>
      <c r="M2740" s="29">
        <f t="shared" si="132"/>
        <v>0</v>
      </c>
      <c r="N2740" s="31">
        <f>1.415*L2740</f>
        <v>0</v>
      </c>
      <c r="O2740" s="32">
        <f>0.00906*L2740</f>
        <v>0</v>
      </c>
      <c r="P2740" s="36"/>
      <c r="Q2740" s="29" t="s">
        <v>9056</v>
      </c>
      <c r="R2740" s="29" t="s">
        <v>611</v>
      </c>
      <c r="S2740" s="26" t="str">
        <f>HYPERLINK("https://miland.ru/api/getInfo/image/5d0df07e-e22d-11ef-a274-00155d82e908")</f>
        <v>https://miland.ru/api/getInfo/image/5d0df07e-e22d-11ef-a274-00155d82e908</v>
      </c>
    </row>
    <row r="2741" spans="1:19" s="2" customFormat="1" ht="96.2" customHeight="1" outlineLevel="5">
      <c r="A2741" s="52">
        <v>2152</v>
      </c>
      <c r="B2741" s="26" t="s">
        <v>9057</v>
      </c>
      <c r="C2741" s="66" t="s">
        <v>9058</v>
      </c>
      <c r="D2741" s="66"/>
      <c r="E2741" s="66"/>
      <c r="F2741" s="66"/>
      <c r="G2741" s="27" t="s">
        <v>9059</v>
      </c>
      <c r="H2741" s="33">
        <v>12</v>
      </c>
      <c r="I2741" s="29"/>
      <c r="J2741" s="25">
        <v>1</v>
      </c>
      <c r="K2741" s="37">
        <v>1801.19</v>
      </c>
      <c r="L2741" s="17"/>
      <c r="M2741" s="29">
        <f t="shared" si="132"/>
        <v>0</v>
      </c>
      <c r="N2741" s="34">
        <f>1.34*L2741</f>
        <v>0</v>
      </c>
      <c r="O2741" s="32">
        <f>0.00845*L2741</f>
        <v>0</v>
      </c>
      <c r="P2741" s="36"/>
      <c r="Q2741" s="29" t="s">
        <v>9060</v>
      </c>
      <c r="R2741" s="29" t="s">
        <v>611</v>
      </c>
      <c r="S2741" s="26" t="str">
        <f>HYPERLINK("https://miland.ru/api/getInfo/image/4cec1575-6479-11ea-a243-ac1f6b442184")</f>
        <v>https://miland.ru/api/getInfo/image/4cec1575-6479-11ea-a243-ac1f6b442184</v>
      </c>
    </row>
    <row r="2742" spans="1:19" s="2" customFormat="1" ht="96.2" customHeight="1" outlineLevel="5">
      <c r="A2742" s="52">
        <v>2153</v>
      </c>
      <c r="B2742" s="26" t="s">
        <v>9061</v>
      </c>
      <c r="C2742" s="66" t="s">
        <v>9062</v>
      </c>
      <c r="D2742" s="66"/>
      <c r="E2742" s="66"/>
      <c r="F2742" s="66"/>
      <c r="G2742" s="27" t="s">
        <v>9063</v>
      </c>
      <c r="H2742" s="33">
        <v>18</v>
      </c>
      <c r="I2742" s="29"/>
      <c r="J2742" s="25">
        <v>1</v>
      </c>
      <c r="K2742" s="37">
        <v>1801.19</v>
      </c>
      <c r="L2742" s="17"/>
      <c r="M2742" s="29">
        <f t="shared" si="132"/>
        <v>0</v>
      </c>
      <c r="N2742" s="31">
        <f>1.415*L2742</f>
        <v>0</v>
      </c>
      <c r="O2742" s="32">
        <f>0.00906*L2742</f>
        <v>0</v>
      </c>
      <c r="P2742" s="36"/>
      <c r="Q2742" s="29" t="s">
        <v>9064</v>
      </c>
      <c r="R2742" s="29" t="s">
        <v>611</v>
      </c>
      <c r="S2742" s="26" t="str">
        <f>HYPERLINK("https://miland.ru/api/getInfo/image/7853be4a-e22d-11ef-a274-00155d82e908")</f>
        <v>https://miland.ru/api/getInfo/image/7853be4a-e22d-11ef-a274-00155d82e908</v>
      </c>
    </row>
    <row r="2743" spans="1:19" s="2" customFormat="1" ht="96.2" customHeight="1" outlineLevel="5">
      <c r="A2743" s="52">
        <v>2154</v>
      </c>
      <c r="B2743" s="26" t="s">
        <v>9065</v>
      </c>
      <c r="C2743" s="66" t="s">
        <v>9066</v>
      </c>
      <c r="D2743" s="66"/>
      <c r="E2743" s="66"/>
      <c r="F2743" s="66"/>
      <c r="G2743" s="27" t="s">
        <v>9067</v>
      </c>
      <c r="H2743" s="33">
        <v>16</v>
      </c>
      <c r="I2743" s="29"/>
      <c r="J2743" s="25">
        <v>1</v>
      </c>
      <c r="K2743" s="37">
        <v>1801.19</v>
      </c>
      <c r="L2743" s="17"/>
      <c r="M2743" s="29">
        <f t="shared" si="132"/>
        <v>0</v>
      </c>
      <c r="N2743" s="31">
        <f>1.415*L2743</f>
        <v>0</v>
      </c>
      <c r="O2743" s="32">
        <f>0.00906*L2743</f>
        <v>0</v>
      </c>
      <c r="P2743" s="36"/>
      <c r="Q2743" s="29" t="s">
        <v>9068</v>
      </c>
      <c r="R2743" s="29" t="s">
        <v>611</v>
      </c>
      <c r="S2743" s="26" t="str">
        <f>HYPERLINK("https://miland.ru/api/getInfo/image/45ab3512-e22d-11ef-a274-00155d82e908")</f>
        <v>https://miland.ru/api/getInfo/image/45ab3512-e22d-11ef-a274-00155d82e908</v>
      </c>
    </row>
    <row r="2744" spans="1:19" s="2" customFormat="1" ht="96.2" customHeight="1" outlineLevel="5">
      <c r="A2744" s="52">
        <v>2155</v>
      </c>
      <c r="B2744" s="26" t="s">
        <v>9069</v>
      </c>
      <c r="C2744" s="66" t="s">
        <v>9070</v>
      </c>
      <c r="D2744" s="66"/>
      <c r="E2744" s="66"/>
      <c r="F2744" s="66"/>
      <c r="G2744" s="27" t="s">
        <v>9071</v>
      </c>
      <c r="H2744" s="33">
        <v>43</v>
      </c>
      <c r="I2744" s="29"/>
      <c r="J2744" s="25">
        <v>1</v>
      </c>
      <c r="K2744" s="37">
        <v>1801.19</v>
      </c>
      <c r="L2744" s="17"/>
      <c r="M2744" s="29">
        <f t="shared" si="132"/>
        <v>0</v>
      </c>
      <c r="N2744" s="31">
        <f>1.415*L2744</f>
        <v>0</v>
      </c>
      <c r="O2744" s="32">
        <f>0.00906*L2744</f>
        <v>0</v>
      </c>
      <c r="P2744" s="36"/>
      <c r="Q2744" s="29" t="s">
        <v>9072</v>
      </c>
      <c r="R2744" s="29" t="s">
        <v>611</v>
      </c>
      <c r="S2744" s="26" t="str">
        <f>HYPERLINK("https://miland.ru/api/getInfo/image/a46ca21f-e22d-11ef-a274-00155d82e908")</f>
        <v>https://miland.ru/api/getInfo/image/a46ca21f-e22d-11ef-a274-00155d82e908</v>
      </c>
    </row>
    <row r="2745" spans="1:19" s="2" customFormat="1" ht="96.2" customHeight="1" outlineLevel="5">
      <c r="A2745" s="52">
        <v>2156</v>
      </c>
      <c r="B2745" s="26" t="s">
        <v>9073</v>
      </c>
      <c r="C2745" s="66" t="s">
        <v>9074</v>
      </c>
      <c r="D2745" s="66"/>
      <c r="E2745" s="66"/>
      <c r="F2745" s="66"/>
      <c r="G2745" s="27" t="s">
        <v>9075</v>
      </c>
      <c r="H2745" s="33">
        <v>8</v>
      </c>
      <c r="I2745" s="29"/>
      <c r="J2745" s="25">
        <v>1</v>
      </c>
      <c r="K2745" s="37">
        <v>2081.6</v>
      </c>
      <c r="L2745" s="17"/>
      <c r="M2745" s="29">
        <f t="shared" si="132"/>
        <v>0</v>
      </c>
      <c r="N2745" s="31">
        <f>1.415*L2745</f>
        <v>0</v>
      </c>
      <c r="O2745" s="32">
        <f>0.00906*L2745</f>
        <v>0</v>
      </c>
      <c r="P2745" s="36"/>
      <c r="Q2745" s="29" t="s">
        <v>9076</v>
      </c>
      <c r="R2745" s="29" t="s">
        <v>611</v>
      </c>
      <c r="S2745" s="26" t="str">
        <f>HYPERLINK("https://miland.ru/api/getInfo/image/eaee0736-e22d-11ef-a274-00155d82e908")</f>
        <v>https://miland.ru/api/getInfo/image/eaee0736-e22d-11ef-a274-00155d82e908</v>
      </c>
    </row>
    <row r="2746" spans="1:19" s="2" customFormat="1" ht="96.2" customHeight="1" outlineLevel="5">
      <c r="A2746" s="52">
        <v>2157</v>
      </c>
      <c r="B2746" s="26" t="s">
        <v>9077</v>
      </c>
      <c r="C2746" s="66" t="s">
        <v>9078</v>
      </c>
      <c r="D2746" s="66"/>
      <c r="E2746" s="66"/>
      <c r="F2746" s="66"/>
      <c r="G2746" s="27" t="s">
        <v>9079</v>
      </c>
      <c r="H2746" s="33">
        <v>5</v>
      </c>
      <c r="I2746" s="29"/>
      <c r="J2746" s="25">
        <v>1</v>
      </c>
      <c r="K2746" s="37">
        <v>1801.19</v>
      </c>
      <c r="L2746" s="17"/>
      <c r="M2746" s="29">
        <f t="shared" si="132"/>
        <v>0</v>
      </c>
      <c r="N2746" s="34">
        <f>1.34*L2746</f>
        <v>0</v>
      </c>
      <c r="O2746" s="32">
        <f>0.00845*L2746</f>
        <v>0</v>
      </c>
      <c r="P2746" s="36"/>
      <c r="Q2746" s="29" t="s">
        <v>9080</v>
      </c>
      <c r="R2746" s="29" t="s">
        <v>611</v>
      </c>
      <c r="S2746" s="26" t="str">
        <f>HYPERLINK("https://miland.ru/api/getInfo/image/25d04604-d6d1-11ee-a25a-00155d82e908")</f>
        <v>https://miland.ru/api/getInfo/image/25d04604-d6d1-11ee-a25a-00155d82e908</v>
      </c>
    </row>
    <row r="2747" spans="1:19" s="1" customFormat="1" ht="12" customHeight="1" outlineLevel="4">
      <c r="A2747" s="64" t="s">
        <v>9081</v>
      </c>
      <c r="B2747" s="64"/>
      <c r="C2747" s="64"/>
      <c r="D2747" s="64"/>
      <c r="E2747" s="64"/>
      <c r="F2747" s="64"/>
      <c r="G2747" s="8"/>
      <c r="H2747" s="12"/>
      <c r="I2747" s="2"/>
      <c r="J2747" s="2"/>
      <c r="K2747" s="13"/>
      <c r="L2747" s="2"/>
      <c r="M2747" s="2"/>
      <c r="N2747" s="2"/>
      <c r="O2747" s="2"/>
      <c r="P2747" s="2"/>
      <c r="Q2747" s="2"/>
      <c r="R2747" s="2"/>
      <c r="S2747" s="2"/>
    </row>
    <row r="2748" spans="1:19" s="1" customFormat="1" ht="12" customHeight="1" outlineLevel="5">
      <c r="A2748" s="64" t="s">
        <v>9082</v>
      </c>
      <c r="B2748" s="64"/>
      <c r="C2748" s="64"/>
      <c r="D2748" s="64"/>
      <c r="E2748" s="64"/>
      <c r="F2748" s="64"/>
      <c r="G2748" s="8"/>
      <c r="H2748" s="12"/>
      <c r="I2748" s="2"/>
      <c r="J2748" s="2"/>
      <c r="K2748" s="13"/>
      <c r="L2748" s="2"/>
      <c r="M2748" s="2"/>
      <c r="N2748" s="2"/>
      <c r="O2748" s="2"/>
      <c r="P2748" s="2"/>
      <c r="Q2748" s="2"/>
      <c r="R2748" s="2"/>
      <c r="S2748" s="2"/>
    </row>
    <row r="2749" spans="1:19" s="1" customFormat="1" ht="12" customHeight="1" outlineLevel="6">
      <c r="A2749" s="64" t="s">
        <v>9083</v>
      </c>
      <c r="B2749" s="64"/>
      <c r="C2749" s="64"/>
      <c r="D2749" s="64"/>
      <c r="E2749" s="64"/>
      <c r="F2749" s="64"/>
      <c r="G2749" s="8"/>
      <c r="H2749" s="12"/>
      <c r="I2749" s="2"/>
      <c r="J2749" s="2"/>
      <c r="K2749" s="13"/>
      <c r="L2749" s="2"/>
      <c r="M2749" s="2"/>
      <c r="N2749" s="2"/>
      <c r="O2749" s="2"/>
      <c r="P2749" s="2"/>
      <c r="Q2749" s="2"/>
      <c r="R2749" s="2"/>
      <c r="S2749" s="2"/>
    </row>
    <row r="2750" spans="1:19" s="2" customFormat="1" ht="96.2" customHeight="1" outlineLevel="7">
      <c r="A2750" s="52">
        <v>2158</v>
      </c>
      <c r="B2750" s="26" t="s">
        <v>9084</v>
      </c>
      <c r="C2750" s="66" t="s">
        <v>9085</v>
      </c>
      <c r="D2750" s="66"/>
      <c r="E2750" s="66"/>
      <c r="F2750" s="66"/>
      <c r="G2750" s="27" t="s">
        <v>9086</v>
      </c>
      <c r="H2750" s="33">
        <v>13</v>
      </c>
      <c r="I2750" s="29"/>
      <c r="J2750" s="25">
        <v>5</v>
      </c>
      <c r="K2750" s="30">
        <v>118.67</v>
      </c>
      <c r="L2750" s="17"/>
      <c r="M2750" s="29">
        <f>K2750*L2750</f>
        <v>0</v>
      </c>
      <c r="N2750" s="31">
        <f>0.142*L2750</f>
        <v>0</v>
      </c>
      <c r="O2750" s="32">
        <f>0.00337*L2750</f>
        <v>0</v>
      </c>
      <c r="P2750" s="36"/>
      <c r="Q2750" s="29" t="s">
        <v>9087</v>
      </c>
      <c r="R2750" s="29" t="s">
        <v>611</v>
      </c>
      <c r="S2750" s="26" t="str">
        <f>HYPERLINK("https://miland.ru/api/getInfo/image/e76b2989-ce04-11ed-a230-00155d82e902")</f>
        <v>https://miland.ru/api/getInfo/image/e76b2989-ce04-11ed-a230-00155d82e902</v>
      </c>
    </row>
    <row r="2751" spans="1:19" s="2" customFormat="1" ht="96.2" customHeight="1" outlineLevel="7">
      <c r="A2751" s="52">
        <v>2159</v>
      </c>
      <c r="B2751" s="26" t="s">
        <v>9088</v>
      </c>
      <c r="C2751" s="66" t="s">
        <v>9089</v>
      </c>
      <c r="D2751" s="66"/>
      <c r="E2751" s="66"/>
      <c r="F2751" s="66"/>
      <c r="G2751" s="27" t="s">
        <v>9090</v>
      </c>
      <c r="H2751" s="33">
        <v>4</v>
      </c>
      <c r="I2751" s="29"/>
      <c r="J2751" s="25">
        <v>4</v>
      </c>
      <c r="K2751" s="30">
        <v>154.88999999999999</v>
      </c>
      <c r="L2751" s="17"/>
      <c r="M2751" s="29">
        <f>K2751*L2751</f>
        <v>0</v>
      </c>
      <c r="N2751" s="31">
        <f>0.159*L2751</f>
        <v>0</v>
      </c>
      <c r="O2751" s="32">
        <f>0.00335*L2751</f>
        <v>0</v>
      </c>
      <c r="P2751" s="36"/>
      <c r="Q2751" s="29" t="s">
        <v>9091</v>
      </c>
      <c r="R2751" s="29" t="s">
        <v>611</v>
      </c>
      <c r="S2751" s="26" t="str">
        <f>HYPERLINK("https://miland.ru/api/getInfo/image/94b712bf-d7ca-11ee-a25a-00155d82e908")</f>
        <v>https://miland.ru/api/getInfo/image/94b712bf-d7ca-11ee-a25a-00155d82e908</v>
      </c>
    </row>
    <row r="2752" spans="1:19" s="1" customFormat="1" ht="12" customHeight="1" outlineLevel="5">
      <c r="A2752" s="64" t="s">
        <v>9092</v>
      </c>
      <c r="B2752" s="64"/>
      <c r="C2752" s="64"/>
      <c r="D2752" s="64"/>
      <c r="E2752" s="64"/>
      <c r="F2752" s="64"/>
      <c r="G2752" s="8"/>
      <c r="H2752" s="12"/>
      <c r="I2752" s="2"/>
      <c r="J2752" s="2"/>
      <c r="K2752" s="13"/>
      <c r="L2752" s="2"/>
      <c r="M2752" s="2"/>
      <c r="N2752" s="2"/>
      <c r="O2752" s="2"/>
      <c r="P2752" s="2"/>
      <c r="Q2752" s="2"/>
      <c r="R2752" s="2"/>
      <c r="S2752" s="2"/>
    </row>
    <row r="2753" spans="1:19" s="2" customFormat="1" ht="96.2" customHeight="1" outlineLevel="6">
      <c r="A2753" s="52">
        <v>2160</v>
      </c>
      <c r="B2753" s="26" t="s">
        <v>9093</v>
      </c>
      <c r="C2753" s="66" t="s">
        <v>9094</v>
      </c>
      <c r="D2753" s="66"/>
      <c r="E2753" s="66"/>
      <c r="F2753" s="66"/>
      <c r="G2753" s="27" t="s">
        <v>9095</v>
      </c>
      <c r="H2753" s="33">
        <v>5</v>
      </c>
      <c r="I2753" s="29"/>
      <c r="J2753" s="25">
        <v>2</v>
      </c>
      <c r="K2753" s="30">
        <v>377.09</v>
      </c>
      <c r="L2753" s="17"/>
      <c r="M2753" s="29">
        <f t="shared" ref="M2753:M2760" si="133">K2753*L2753</f>
        <v>0</v>
      </c>
      <c r="N2753" s="34">
        <f>0.25*L2753</f>
        <v>0</v>
      </c>
      <c r="O2753" s="32">
        <f>0.00776*L2753</f>
        <v>0</v>
      </c>
      <c r="P2753" s="36"/>
      <c r="Q2753" s="29" t="s">
        <v>9096</v>
      </c>
      <c r="R2753" s="29" t="s">
        <v>611</v>
      </c>
      <c r="S2753" s="26" t="str">
        <f>HYPERLINK("https://miland.ru/api/getInfo/image/e474e567-2b39-11f0-a27b-00155d82e908")</f>
        <v>https://miland.ru/api/getInfo/image/e474e567-2b39-11f0-a27b-00155d82e908</v>
      </c>
    </row>
    <row r="2754" spans="1:19" s="2" customFormat="1" ht="96.2" customHeight="1" outlineLevel="6">
      <c r="A2754" s="52">
        <v>2161</v>
      </c>
      <c r="B2754" s="26" t="s">
        <v>9097</v>
      </c>
      <c r="C2754" s="66" t="s">
        <v>9098</v>
      </c>
      <c r="D2754" s="66"/>
      <c r="E2754" s="66"/>
      <c r="F2754" s="66"/>
      <c r="G2754" s="27" t="s">
        <v>9099</v>
      </c>
      <c r="H2754" s="33">
        <v>1</v>
      </c>
      <c r="I2754" s="29"/>
      <c r="J2754" s="25">
        <v>1</v>
      </c>
      <c r="K2754" s="30">
        <v>304.45</v>
      </c>
      <c r="L2754" s="17"/>
      <c r="M2754" s="29">
        <f t="shared" si="133"/>
        <v>0</v>
      </c>
      <c r="N2754" s="31">
        <f>0.209*L2754</f>
        <v>0</v>
      </c>
      <c r="O2754" s="32">
        <f>0.00551*L2754</f>
        <v>0</v>
      </c>
      <c r="P2754" s="36"/>
      <c r="Q2754" s="29" t="s">
        <v>9100</v>
      </c>
      <c r="R2754" s="29" t="s">
        <v>611</v>
      </c>
      <c r="S2754" s="26" t="str">
        <f>HYPERLINK("https://miland.ru/api/getInfo/image/96a5a0b4-2b38-11f0-a27b-00155d82e908")</f>
        <v>https://miland.ru/api/getInfo/image/96a5a0b4-2b38-11f0-a27b-00155d82e908</v>
      </c>
    </row>
    <row r="2755" spans="1:19" s="2" customFormat="1" ht="11.1" customHeight="1" outlineLevel="6">
      <c r="A2755" s="52">
        <v>2162</v>
      </c>
      <c r="B2755" s="26" t="s">
        <v>9101</v>
      </c>
      <c r="C2755" s="66" t="s">
        <v>9102</v>
      </c>
      <c r="D2755" s="66"/>
      <c r="E2755" s="66"/>
      <c r="F2755" s="66"/>
      <c r="G2755" s="27" t="s">
        <v>9103</v>
      </c>
      <c r="H2755" s="33">
        <v>4</v>
      </c>
      <c r="I2755" s="29"/>
      <c r="J2755" s="25">
        <v>2</v>
      </c>
      <c r="K2755" s="30">
        <v>377.09</v>
      </c>
      <c r="L2755" s="17"/>
      <c r="M2755" s="29">
        <f t="shared" si="133"/>
        <v>0</v>
      </c>
      <c r="N2755" s="31">
        <f>0.249*L2755</f>
        <v>0</v>
      </c>
      <c r="O2755" s="32">
        <f>0.00719*L2755</f>
        <v>0</v>
      </c>
      <c r="P2755" s="36"/>
      <c r="Q2755" s="29" t="s">
        <v>9104</v>
      </c>
      <c r="R2755" s="29" t="s">
        <v>611</v>
      </c>
      <c r="S2755" s="26"/>
    </row>
    <row r="2756" spans="1:19" s="2" customFormat="1" ht="96.2" customHeight="1" outlineLevel="6">
      <c r="A2756" s="52">
        <v>2163</v>
      </c>
      <c r="B2756" s="26" t="s">
        <v>9105</v>
      </c>
      <c r="C2756" s="66" t="s">
        <v>9106</v>
      </c>
      <c r="D2756" s="66"/>
      <c r="E2756" s="66"/>
      <c r="F2756" s="66"/>
      <c r="G2756" s="27" t="s">
        <v>9107</v>
      </c>
      <c r="H2756" s="33">
        <v>3</v>
      </c>
      <c r="I2756" s="29"/>
      <c r="J2756" s="25">
        <v>2</v>
      </c>
      <c r="K2756" s="30">
        <v>304.45</v>
      </c>
      <c r="L2756" s="17"/>
      <c r="M2756" s="29">
        <f t="shared" si="133"/>
        <v>0</v>
      </c>
      <c r="N2756" s="31">
        <f>0.206*L2756</f>
        <v>0</v>
      </c>
      <c r="O2756" s="32">
        <f>0.00554*L2756</f>
        <v>0</v>
      </c>
      <c r="P2756" s="36"/>
      <c r="Q2756" s="29" t="s">
        <v>9108</v>
      </c>
      <c r="R2756" s="29" t="s">
        <v>611</v>
      </c>
      <c r="S2756" s="26" t="str">
        <f>HYPERLINK("https://miland.ru/api/getInfo/image/f177ce7f-2b3a-11f0-a27b-00155d82e908")</f>
        <v>https://miland.ru/api/getInfo/image/f177ce7f-2b3a-11f0-a27b-00155d82e908</v>
      </c>
    </row>
    <row r="2757" spans="1:19" s="2" customFormat="1" ht="96.2" customHeight="1" outlineLevel="6">
      <c r="A2757" s="52">
        <v>2164</v>
      </c>
      <c r="B2757" s="26" t="s">
        <v>9109</v>
      </c>
      <c r="C2757" s="66" t="s">
        <v>9110</v>
      </c>
      <c r="D2757" s="66"/>
      <c r="E2757" s="66"/>
      <c r="F2757" s="66"/>
      <c r="G2757" s="27" t="s">
        <v>9111</v>
      </c>
      <c r="H2757" s="33">
        <v>6</v>
      </c>
      <c r="I2757" s="29"/>
      <c r="J2757" s="25">
        <v>2</v>
      </c>
      <c r="K2757" s="30">
        <v>304.45</v>
      </c>
      <c r="L2757" s="17"/>
      <c r="M2757" s="29">
        <f t="shared" si="133"/>
        <v>0</v>
      </c>
      <c r="N2757" s="41">
        <f>0.2*L2757</f>
        <v>0</v>
      </c>
      <c r="O2757" s="32">
        <f>0.00539*L2757</f>
        <v>0</v>
      </c>
      <c r="P2757" s="36"/>
      <c r="Q2757" s="29" t="s">
        <v>9112</v>
      </c>
      <c r="R2757" s="29" t="s">
        <v>611</v>
      </c>
      <c r="S2757" s="26" t="str">
        <f>HYPERLINK("https://miland.ru/api/getInfo/image/2abec0c2-2b3d-11f0-a27b-00155d82e908")</f>
        <v>https://miland.ru/api/getInfo/image/2abec0c2-2b3d-11f0-a27b-00155d82e908</v>
      </c>
    </row>
    <row r="2758" spans="1:19" s="2" customFormat="1" ht="96.2" customHeight="1" outlineLevel="6">
      <c r="A2758" s="52">
        <v>2165</v>
      </c>
      <c r="B2758" s="26" t="s">
        <v>9113</v>
      </c>
      <c r="C2758" s="66" t="s">
        <v>9114</v>
      </c>
      <c r="D2758" s="66"/>
      <c r="E2758" s="66"/>
      <c r="F2758" s="66"/>
      <c r="G2758" s="27" t="s">
        <v>9115</v>
      </c>
      <c r="H2758" s="33">
        <v>7</v>
      </c>
      <c r="I2758" s="29"/>
      <c r="J2758" s="25">
        <v>1</v>
      </c>
      <c r="K2758" s="30">
        <v>521.95000000000005</v>
      </c>
      <c r="L2758" s="17"/>
      <c r="M2758" s="29">
        <f t="shared" si="133"/>
        <v>0</v>
      </c>
      <c r="N2758" s="31">
        <f>0.295*L2758</f>
        <v>0</v>
      </c>
      <c r="O2758" s="32">
        <f>0.01012*L2758</f>
        <v>0</v>
      </c>
      <c r="P2758" s="36"/>
      <c r="Q2758" s="29" t="s">
        <v>9116</v>
      </c>
      <c r="R2758" s="29" t="s">
        <v>611</v>
      </c>
      <c r="S2758" s="26" t="str">
        <f>HYPERLINK("https://miland.ru/api/getInfo/image/b0f6f828-2b3c-11f0-a27b-00155d82e908")</f>
        <v>https://miland.ru/api/getInfo/image/b0f6f828-2b3c-11f0-a27b-00155d82e908</v>
      </c>
    </row>
    <row r="2759" spans="1:19" s="2" customFormat="1" ht="96.2" customHeight="1" outlineLevel="6">
      <c r="A2759" s="52">
        <v>2166</v>
      </c>
      <c r="B2759" s="26" t="s">
        <v>9117</v>
      </c>
      <c r="C2759" s="66" t="s">
        <v>9118</v>
      </c>
      <c r="D2759" s="66"/>
      <c r="E2759" s="66"/>
      <c r="F2759" s="66"/>
      <c r="G2759" s="27" t="s">
        <v>9119</v>
      </c>
      <c r="H2759" s="33">
        <v>1</v>
      </c>
      <c r="I2759" s="29"/>
      <c r="J2759" s="25">
        <v>1</v>
      </c>
      <c r="K2759" s="30">
        <v>521.95000000000005</v>
      </c>
      <c r="L2759" s="17"/>
      <c r="M2759" s="29">
        <f t="shared" si="133"/>
        <v>0</v>
      </c>
      <c r="N2759" s="31">
        <f>0.296*L2759</f>
        <v>0</v>
      </c>
      <c r="O2759" s="32">
        <f>0.01017*L2759</f>
        <v>0</v>
      </c>
      <c r="P2759" s="36"/>
      <c r="Q2759" s="29" t="s">
        <v>9120</v>
      </c>
      <c r="R2759" s="29" t="s">
        <v>611</v>
      </c>
      <c r="S2759" s="26" t="str">
        <f>HYPERLINK("https://miland.ru/api/getInfo/image/6caabb43-2b3d-11f0-a27b-00155d82e908")</f>
        <v>https://miland.ru/api/getInfo/image/6caabb43-2b3d-11f0-a27b-00155d82e908</v>
      </c>
    </row>
    <row r="2760" spans="1:19" s="2" customFormat="1" ht="96.2" customHeight="1" outlineLevel="6">
      <c r="A2760" s="52">
        <v>2167</v>
      </c>
      <c r="B2760" s="26" t="s">
        <v>9121</v>
      </c>
      <c r="C2760" s="66" t="s">
        <v>9122</v>
      </c>
      <c r="D2760" s="66"/>
      <c r="E2760" s="66"/>
      <c r="F2760" s="66"/>
      <c r="G2760" s="27" t="s">
        <v>9123</v>
      </c>
      <c r="H2760" s="33">
        <v>3</v>
      </c>
      <c r="I2760" s="29"/>
      <c r="J2760" s="25">
        <v>2</v>
      </c>
      <c r="K2760" s="30">
        <v>304.45</v>
      </c>
      <c r="L2760" s="17"/>
      <c r="M2760" s="29">
        <f t="shared" si="133"/>
        <v>0</v>
      </c>
      <c r="N2760" s="31">
        <f>0.233*L2760</f>
        <v>0</v>
      </c>
      <c r="O2760" s="32">
        <f>0.00524*L2760</f>
        <v>0</v>
      </c>
      <c r="P2760" s="36"/>
      <c r="Q2760" s="29" t="s">
        <v>9124</v>
      </c>
      <c r="R2760" s="29" t="s">
        <v>611</v>
      </c>
      <c r="S2760" s="26" t="str">
        <f>HYPERLINK("https://miland.ru/api/getInfo/image/75cdaa13-2b3c-11f0-a27b-00155d82e908")</f>
        <v>https://miland.ru/api/getInfo/image/75cdaa13-2b3c-11f0-a27b-00155d82e908</v>
      </c>
    </row>
    <row r="2761" spans="1:19" s="1" customFormat="1" ht="12" customHeight="1" outlineLevel="5">
      <c r="A2761" s="64" t="s">
        <v>9125</v>
      </c>
      <c r="B2761" s="64"/>
      <c r="C2761" s="64"/>
      <c r="D2761" s="64"/>
      <c r="E2761" s="64"/>
      <c r="F2761" s="64"/>
      <c r="G2761" s="8"/>
      <c r="H2761" s="12"/>
      <c r="I2761" s="2"/>
      <c r="J2761" s="2"/>
      <c r="K2761" s="13"/>
      <c r="L2761" s="2"/>
      <c r="M2761" s="2"/>
      <c r="N2761" s="2"/>
      <c r="O2761" s="2"/>
      <c r="P2761" s="2"/>
      <c r="Q2761" s="2"/>
      <c r="R2761" s="2"/>
      <c r="S2761" s="2"/>
    </row>
    <row r="2762" spans="1:19" s="1" customFormat="1" ht="12" customHeight="1" outlineLevel="6">
      <c r="A2762" s="64" t="s">
        <v>9126</v>
      </c>
      <c r="B2762" s="64"/>
      <c r="C2762" s="64"/>
      <c r="D2762" s="64"/>
      <c r="E2762" s="64"/>
      <c r="F2762" s="64"/>
      <c r="G2762" s="8"/>
      <c r="H2762" s="12"/>
      <c r="I2762" s="2"/>
      <c r="J2762" s="2"/>
      <c r="K2762" s="13"/>
      <c r="L2762" s="2"/>
      <c r="M2762" s="2"/>
      <c r="N2762" s="2"/>
      <c r="O2762" s="2"/>
      <c r="P2762" s="2"/>
      <c r="Q2762" s="2"/>
      <c r="R2762" s="2"/>
      <c r="S2762" s="2"/>
    </row>
    <row r="2763" spans="1:19" s="2" customFormat="1" ht="96.2" customHeight="1" outlineLevel="7">
      <c r="A2763" s="52">
        <v>2168</v>
      </c>
      <c r="B2763" s="26" t="s">
        <v>9127</v>
      </c>
      <c r="C2763" s="66" t="s">
        <v>9128</v>
      </c>
      <c r="D2763" s="66"/>
      <c r="E2763" s="66"/>
      <c r="F2763" s="66"/>
      <c r="G2763" s="27" t="s">
        <v>9129</v>
      </c>
      <c r="H2763" s="33">
        <v>9</v>
      </c>
      <c r="I2763" s="29"/>
      <c r="J2763" s="25">
        <v>5</v>
      </c>
      <c r="K2763" s="30">
        <v>123.59</v>
      </c>
      <c r="L2763" s="17"/>
      <c r="M2763" s="29">
        <f>K2763*L2763</f>
        <v>0</v>
      </c>
      <c r="N2763" s="31">
        <f>0.138*L2763</f>
        <v>0</v>
      </c>
      <c r="O2763" s="32">
        <f>0.00074*L2763</f>
        <v>0</v>
      </c>
      <c r="P2763" s="36"/>
      <c r="Q2763" s="29" t="s">
        <v>9130</v>
      </c>
      <c r="R2763" s="29" t="s">
        <v>611</v>
      </c>
      <c r="S2763" s="26" t="str">
        <f>HYPERLINK("https://miland.ru/api/getInfo/image/89f02bf5-ce0e-11ed-a230-00155d82e902")</f>
        <v>https://miland.ru/api/getInfo/image/89f02bf5-ce0e-11ed-a230-00155d82e902</v>
      </c>
    </row>
    <row r="2764" spans="1:19" s="1" customFormat="1" ht="12" customHeight="1" outlineLevel="3">
      <c r="A2764" s="64" t="s">
        <v>9131</v>
      </c>
      <c r="B2764" s="64"/>
      <c r="C2764" s="64"/>
      <c r="D2764" s="64"/>
      <c r="E2764" s="64"/>
      <c r="F2764" s="64"/>
      <c r="G2764" s="8"/>
      <c r="H2764" s="12"/>
      <c r="I2764" s="2"/>
      <c r="J2764" s="2"/>
      <c r="K2764" s="13"/>
      <c r="L2764" s="2"/>
      <c r="M2764" s="2"/>
      <c r="N2764" s="2"/>
      <c r="O2764" s="2"/>
      <c r="P2764" s="2"/>
      <c r="Q2764" s="2"/>
      <c r="R2764" s="2"/>
      <c r="S2764" s="2"/>
    </row>
    <row r="2765" spans="1:19" s="1" customFormat="1" ht="12" customHeight="1" outlineLevel="4">
      <c r="A2765" s="64" t="s">
        <v>9132</v>
      </c>
      <c r="B2765" s="64"/>
      <c r="C2765" s="64"/>
      <c r="D2765" s="64"/>
      <c r="E2765" s="64"/>
      <c r="F2765" s="64"/>
      <c r="G2765" s="8"/>
      <c r="H2765" s="12"/>
      <c r="I2765" s="2"/>
      <c r="J2765" s="2"/>
      <c r="K2765" s="13"/>
      <c r="L2765" s="2"/>
      <c r="M2765" s="2"/>
      <c r="N2765" s="2"/>
      <c r="O2765" s="2"/>
      <c r="P2765" s="2"/>
      <c r="Q2765" s="2"/>
      <c r="R2765" s="2"/>
      <c r="S2765" s="2"/>
    </row>
    <row r="2766" spans="1:19" s="2" customFormat="1" ht="96.2" customHeight="1" outlineLevel="5">
      <c r="A2766" s="52">
        <v>2169</v>
      </c>
      <c r="B2766" s="26" t="s">
        <v>9133</v>
      </c>
      <c r="C2766" s="66" t="s">
        <v>9134</v>
      </c>
      <c r="D2766" s="66"/>
      <c r="E2766" s="66"/>
      <c r="F2766" s="66"/>
      <c r="G2766" s="27" t="s">
        <v>9135</v>
      </c>
      <c r="H2766" s="33">
        <v>40</v>
      </c>
      <c r="I2766" s="29"/>
      <c r="J2766" s="25">
        <v>20</v>
      </c>
      <c r="K2766" s="30">
        <v>28.68</v>
      </c>
      <c r="L2766" s="17"/>
      <c r="M2766" s="29">
        <f t="shared" ref="M2766:M2776" si="134">K2766*L2766</f>
        <v>0</v>
      </c>
      <c r="N2766" s="31">
        <f>0.033*L2766</f>
        <v>0</v>
      </c>
      <c r="O2766" s="32">
        <f>0.00017*L2766</f>
        <v>0</v>
      </c>
      <c r="P2766" s="36"/>
      <c r="Q2766" s="29" t="s">
        <v>9136</v>
      </c>
      <c r="R2766" s="29" t="s">
        <v>611</v>
      </c>
      <c r="S2766" s="26" t="str">
        <f>HYPERLINK("https://miland.ru/api/getInfo/image/e54c8811-e44f-11ef-a274-00155d82e908")</f>
        <v>https://miland.ru/api/getInfo/image/e54c8811-e44f-11ef-a274-00155d82e908</v>
      </c>
    </row>
    <row r="2767" spans="1:19" s="2" customFormat="1" ht="96.2" customHeight="1" outlineLevel="5">
      <c r="A2767" s="52">
        <v>2170</v>
      </c>
      <c r="B2767" s="26" t="s">
        <v>9137</v>
      </c>
      <c r="C2767" s="66" t="s">
        <v>9138</v>
      </c>
      <c r="D2767" s="66"/>
      <c r="E2767" s="66"/>
      <c r="F2767" s="66"/>
      <c r="G2767" s="27" t="s">
        <v>9139</v>
      </c>
      <c r="H2767" s="33">
        <v>60</v>
      </c>
      <c r="I2767" s="29"/>
      <c r="J2767" s="25">
        <v>20</v>
      </c>
      <c r="K2767" s="30">
        <v>28.68</v>
      </c>
      <c r="L2767" s="17"/>
      <c r="M2767" s="29">
        <f t="shared" si="134"/>
        <v>0</v>
      </c>
      <c r="N2767" s="34">
        <f>0.33*L2767</f>
        <v>0</v>
      </c>
      <c r="O2767" s="32">
        <f>0.00017*L2767</f>
        <v>0</v>
      </c>
      <c r="P2767" s="36"/>
      <c r="Q2767" s="29" t="s">
        <v>9140</v>
      </c>
      <c r="R2767" s="29" t="s">
        <v>611</v>
      </c>
      <c r="S2767" s="26" t="str">
        <f>HYPERLINK("https://miland.ru/api/getInfo/image/a21f75b1-e44f-11ef-a274-00155d82e908")</f>
        <v>https://miland.ru/api/getInfo/image/a21f75b1-e44f-11ef-a274-00155d82e908</v>
      </c>
    </row>
    <row r="2768" spans="1:19" s="2" customFormat="1" ht="96.2" customHeight="1" outlineLevel="5">
      <c r="A2768" s="53">
        <v>2171</v>
      </c>
      <c r="B2768" s="10" t="s">
        <v>9141</v>
      </c>
      <c r="C2768" s="65" t="s">
        <v>9142</v>
      </c>
      <c r="D2768" s="65"/>
      <c r="E2768" s="65"/>
      <c r="F2768" s="65"/>
      <c r="G2768" s="11" t="s">
        <v>9143</v>
      </c>
      <c r="H2768" s="14">
        <v>20</v>
      </c>
      <c r="I2768" s="15"/>
      <c r="J2768" s="9">
        <v>20</v>
      </c>
      <c r="K2768" s="16">
        <v>28.68</v>
      </c>
      <c r="L2768" s="17"/>
      <c r="M2768" s="15">
        <f t="shared" si="134"/>
        <v>0</v>
      </c>
      <c r="N2768" s="18">
        <f>6.928*L2768</f>
        <v>0</v>
      </c>
      <c r="O2768" s="19">
        <f>0.03955*L2768</f>
        <v>0</v>
      </c>
      <c r="P2768" s="24" t="s">
        <v>26</v>
      </c>
      <c r="Q2768" s="15" t="s">
        <v>9144</v>
      </c>
      <c r="R2768" s="15"/>
      <c r="S2768" s="10" t="str">
        <f>HYPERLINK("https://miland.ru/api/getInfo/image/a5ef0e6f-018f-11f1-a28e-00155d82e908")</f>
        <v>https://miland.ru/api/getInfo/image/a5ef0e6f-018f-11f1-a28e-00155d82e908</v>
      </c>
    </row>
    <row r="2769" spans="1:19" s="2" customFormat="1" ht="96.2" customHeight="1" outlineLevel="5">
      <c r="A2769" s="52">
        <v>2172</v>
      </c>
      <c r="B2769" s="26" t="s">
        <v>9145</v>
      </c>
      <c r="C2769" s="66" t="s">
        <v>9146</v>
      </c>
      <c r="D2769" s="66"/>
      <c r="E2769" s="66"/>
      <c r="F2769" s="66"/>
      <c r="G2769" s="27" t="s">
        <v>9147</v>
      </c>
      <c r="H2769" s="33">
        <v>80</v>
      </c>
      <c r="I2769" s="29"/>
      <c r="J2769" s="25">
        <v>20</v>
      </c>
      <c r="K2769" s="30">
        <v>28.68</v>
      </c>
      <c r="L2769" s="17"/>
      <c r="M2769" s="29">
        <f t="shared" si="134"/>
        <v>0</v>
      </c>
      <c r="N2769" s="31">
        <f>0.033*L2769</f>
        <v>0</v>
      </c>
      <c r="O2769" s="32">
        <f>0.00017*L2769</f>
        <v>0</v>
      </c>
      <c r="P2769" s="36"/>
      <c r="Q2769" s="29" t="s">
        <v>9148</v>
      </c>
      <c r="R2769" s="29" t="s">
        <v>611</v>
      </c>
      <c r="S2769" s="26" t="str">
        <f>HYPERLINK("https://miland.ru/api/getInfo/image/6b1df348-e450-11ef-a274-00155d82e908")</f>
        <v>https://miland.ru/api/getInfo/image/6b1df348-e450-11ef-a274-00155d82e908</v>
      </c>
    </row>
    <row r="2770" spans="1:19" s="2" customFormat="1" ht="96.2" customHeight="1" outlineLevel="5">
      <c r="A2770" s="52">
        <v>2173</v>
      </c>
      <c r="B2770" s="26" t="s">
        <v>9149</v>
      </c>
      <c r="C2770" s="66" t="s">
        <v>9150</v>
      </c>
      <c r="D2770" s="66"/>
      <c r="E2770" s="66"/>
      <c r="F2770" s="66"/>
      <c r="G2770" s="27" t="s">
        <v>9151</v>
      </c>
      <c r="H2770" s="28" t="s">
        <v>44</v>
      </c>
      <c r="I2770" s="29"/>
      <c r="J2770" s="25">
        <v>20</v>
      </c>
      <c r="K2770" s="30">
        <v>28.68</v>
      </c>
      <c r="L2770" s="17"/>
      <c r="M2770" s="29">
        <f t="shared" si="134"/>
        <v>0</v>
      </c>
      <c r="N2770" s="31">
        <f>0.033*L2770</f>
        <v>0</v>
      </c>
      <c r="O2770" s="32">
        <f>0.00017*L2770</f>
        <v>0</v>
      </c>
      <c r="P2770" s="36"/>
      <c r="Q2770" s="29" t="s">
        <v>9152</v>
      </c>
      <c r="R2770" s="29" t="s">
        <v>611</v>
      </c>
      <c r="S2770" s="26" t="str">
        <f>HYPERLINK("https://miland.ru/api/getInfo/image/5f04fabb-e44e-11ef-a274-00155d82e908")</f>
        <v>https://miland.ru/api/getInfo/image/5f04fabb-e44e-11ef-a274-00155d82e908</v>
      </c>
    </row>
    <row r="2771" spans="1:19" s="2" customFormat="1" ht="96.2" customHeight="1" outlineLevel="5">
      <c r="A2771" s="53">
        <v>2174</v>
      </c>
      <c r="B2771" s="10" t="s">
        <v>9153</v>
      </c>
      <c r="C2771" s="65" t="s">
        <v>9154</v>
      </c>
      <c r="D2771" s="65"/>
      <c r="E2771" s="65"/>
      <c r="F2771" s="65"/>
      <c r="G2771" s="11" t="s">
        <v>9155</v>
      </c>
      <c r="H2771" s="14">
        <v>40</v>
      </c>
      <c r="I2771" s="15"/>
      <c r="J2771" s="9">
        <v>20</v>
      </c>
      <c r="K2771" s="16">
        <v>28.68</v>
      </c>
      <c r="L2771" s="17"/>
      <c r="M2771" s="15">
        <f t="shared" si="134"/>
        <v>0</v>
      </c>
      <c r="N2771" s="18">
        <f>0.027*L2771</f>
        <v>0</v>
      </c>
      <c r="O2771" s="20">
        <f>0.0004*L2771</f>
        <v>0</v>
      </c>
      <c r="P2771" s="24" t="s">
        <v>26</v>
      </c>
      <c r="Q2771" s="15" t="s">
        <v>9156</v>
      </c>
      <c r="R2771" s="15"/>
      <c r="S2771" s="10" t="str">
        <f>HYPERLINK("https://miland.ru/api/getInfo/image/5a4414df-018f-11f1-a28e-00155d82e908")</f>
        <v>https://miland.ru/api/getInfo/image/5a4414df-018f-11f1-a28e-00155d82e908</v>
      </c>
    </row>
    <row r="2772" spans="1:19" s="2" customFormat="1" ht="96.2" customHeight="1" outlineLevel="5">
      <c r="A2772" s="53">
        <v>2175</v>
      </c>
      <c r="B2772" s="10" t="s">
        <v>9157</v>
      </c>
      <c r="C2772" s="65" t="s">
        <v>9158</v>
      </c>
      <c r="D2772" s="65"/>
      <c r="E2772" s="65"/>
      <c r="F2772" s="65"/>
      <c r="G2772" s="11" t="s">
        <v>9159</v>
      </c>
      <c r="H2772" s="14">
        <v>40</v>
      </c>
      <c r="I2772" s="15"/>
      <c r="J2772" s="9">
        <v>20</v>
      </c>
      <c r="K2772" s="16">
        <v>28.68</v>
      </c>
      <c r="L2772" s="17"/>
      <c r="M2772" s="15">
        <f t="shared" si="134"/>
        <v>0</v>
      </c>
      <c r="N2772" s="18">
        <f>0.027*L2772</f>
        <v>0</v>
      </c>
      <c r="O2772" s="19">
        <f>0.00046*L2772</f>
        <v>0</v>
      </c>
      <c r="P2772" s="24" t="s">
        <v>26</v>
      </c>
      <c r="Q2772" s="15" t="s">
        <v>9160</v>
      </c>
      <c r="R2772" s="15"/>
      <c r="S2772" s="10" t="str">
        <f>HYPERLINK("https://miland.ru/api/getInfo/image/8c2bd186-018f-11f1-a28e-00155d82e908")</f>
        <v>https://miland.ru/api/getInfo/image/8c2bd186-018f-11f1-a28e-00155d82e908</v>
      </c>
    </row>
    <row r="2773" spans="1:19" s="2" customFormat="1" ht="96.2" customHeight="1" outlineLevel="5">
      <c r="A2773" s="52">
        <v>2176</v>
      </c>
      <c r="B2773" s="26" t="s">
        <v>9161</v>
      </c>
      <c r="C2773" s="66" t="s">
        <v>9162</v>
      </c>
      <c r="D2773" s="66"/>
      <c r="E2773" s="66"/>
      <c r="F2773" s="66"/>
      <c r="G2773" s="27" t="s">
        <v>9163</v>
      </c>
      <c r="H2773" s="28" t="s">
        <v>44</v>
      </c>
      <c r="I2773" s="29"/>
      <c r="J2773" s="25">
        <v>20</v>
      </c>
      <c r="K2773" s="30">
        <v>28.68</v>
      </c>
      <c r="L2773" s="17"/>
      <c r="M2773" s="29">
        <f t="shared" si="134"/>
        <v>0</v>
      </c>
      <c r="N2773" s="31">
        <f>0.033*L2773</f>
        <v>0</v>
      </c>
      <c r="O2773" s="32">
        <f>0.00013*L2773</f>
        <v>0</v>
      </c>
      <c r="P2773" s="36"/>
      <c r="Q2773" s="29" t="s">
        <v>9164</v>
      </c>
      <c r="R2773" s="29" t="s">
        <v>611</v>
      </c>
      <c r="S2773" s="26" t="str">
        <f>HYPERLINK("https://miland.ru/api/getInfo/image/876c91be-e450-11ef-a274-00155d82e908")</f>
        <v>https://miland.ru/api/getInfo/image/876c91be-e450-11ef-a274-00155d82e908</v>
      </c>
    </row>
    <row r="2774" spans="1:19" s="2" customFormat="1" ht="96.2" customHeight="1" outlineLevel="5">
      <c r="A2774" s="53">
        <v>2177</v>
      </c>
      <c r="B2774" s="10" t="s">
        <v>9165</v>
      </c>
      <c r="C2774" s="65" t="s">
        <v>9166</v>
      </c>
      <c r="D2774" s="65"/>
      <c r="E2774" s="65"/>
      <c r="F2774" s="65"/>
      <c r="G2774" s="11" t="s">
        <v>9167</v>
      </c>
      <c r="H2774" s="14">
        <v>80</v>
      </c>
      <c r="I2774" s="15"/>
      <c r="J2774" s="9">
        <v>20</v>
      </c>
      <c r="K2774" s="16">
        <v>28.68</v>
      </c>
      <c r="L2774" s="17"/>
      <c r="M2774" s="15">
        <f t="shared" si="134"/>
        <v>0</v>
      </c>
      <c r="N2774" s="18">
        <f>0.027*L2774</f>
        <v>0</v>
      </c>
      <c r="O2774" s="19">
        <f>0.00077*L2774</f>
        <v>0</v>
      </c>
      <c r="P2774" s="24" t="s">
        <v>26</v>
      </c>
      <c r="Q2774" s="15" t="s">
        <v>9168</v>
      </c>
      <c r="R2774" s="15"/>
      <c r="S2774" s="10" t="str">
        <f>HYPERLINK("https://miland.ru/api/getInfo/image/dc514f97-018d-11f1-a28e-00155d82e908")</f>
        <v>https://miland.ru/api/getInfo/image/dc514f97-018d-11f1-a28e-00155d82e908</v>
      </c>
    </row>
    <row r="2775" spans="1:19" s="2" customFormat="1" ht="96.2" customHeight="1" outlineLevel="5">
      <c r="A2775" s="52">
        <v>2178</v>
      </c>
      <c r="B2775" s="26" t="s">
        <v>9169</v>
      </c>
      <c r="C2775" s="66" t="s">
        <v>9170</v>
      </c>
      <c r="D2775" s="66"/>
      <c r="E2775" s="66"/>
      <c r="F2775" s="66"/>
      <c r="G2775" s="27" t="s">
        <v>9171</v>
      </c>
      <c r="H2775" s="28" t="s">
        <v>44</v>
      </c>
      <c r="I2775" s="29"/>
      <c r="J2775" s="25">
        <v>20</v>
      </c>
      <c r="K2775" s="30">
        <v>28.68</v>
      </c>
      <c r="L2775" s="17"/>
      <c r="M2775" s="29">
        <f t="shared" si="134"/>
        <v>0</v>
      </c>
      <c r="N2775" s="31">
        <f>0.033*L2775</f>
        <v>0</v>
      </c>
      <c r="O2775" s="32">
        <f>0.00017*L2775</f>
        <v>0</v>
      </c>
      <c r="P2775" s="36"/>
      <c r="Q2775" s="29" t="s">
        <v>9172</v>
      </c>
      <c r="R2775" s="29" t="s">
        <v>611</v>
      </c>
      <c r="S2775" s="26" t="str">
        <f>HYPERLINK("https://miland.ru/api/getInfo/image/6aaf7df3-e44f-11ef-a274-00155d82e908")</f>
        <v>https://miland.ru/api/getInfo/image/6aaf7df3-e44f-11ef-a274-00155d82e908</v>
      </c>
    </row>
    <row r="2776" spans="1:19" s="2" customFormat="1" ht="96.2" customHeight="1" outlineLevel="5">
      <c r="A2776" s="52">
        <v>2179</v>
      </c>
      <c r="B2776" s="26" t="s">
        <v>9173</v>
      </c>
      <c r="C2776" s="66" t="s">
        <v>9174</v>
      </c>
      <c r="D2776" s="66"/>
      <c r="E2776" s="66"/>
      <c r="F2776" s="66"/>
      <c r="G2776" s="27" t="s">
        <v>9175</v>
      </c>
      <c r="H2776" s="33">
        <v>420</v>
      </c>
      <c r="I2776" s="29"/>
      <c r="J2776" s="25">
        <v>20</v>
      </c>
      <c r="K2776" s="30">
        <v>28.68</v>
      </c>
      <c r="L2776" s="17"/>
      <c r="M2776" s="29">
        <f t="shared" si="134"/>
        <v>0</v>
      </c>
      <c r="N2776" s="31">
        <f>0.032*L2776</f>
        <v>0</v>
      </c>
      <c r="O2776" s="35">
        <f>0.0003*L2776</f>
        <v>0</v>
      </c>
      <c r="P2776" s="36"/>
      <c r="Q2776" s="29" t="s">
        <v>9176</v>
      </c>
      <c r="R2776" s="29" t="s">
        <v>611</v>
      </c>
      <c r="S2776" s="26" t="str">
        <f>HYPERLINK("https://miland.ru/api/getInfo/image/4896223f-d49d-11ee-a25a-00155d82e908")</f>
        <v>https://miland.ru/api/getInfo/image/4896223f-d49d-11ee-a25a-00155d82e908</v>
      </c>
    </row>
    <row r="2777" spans="1:19" s="1" customFormat="1" ht="12" customHeight="1" outlineLevel="4">
      <c r="A2777" s="64" t="s">
        <v>9177</v>
      </c>
      <c r="B2777" s="64"/>
      <c r="C2777" s="64"/>
      <c r="D2777" s="64"/>
      <c r="E2777" s="64"/>
      <c r="F2777" s="64"/>
      <c r="G2777" s="8"/>
      <c r="H2777" s="12"/>
      <c r="I2777" s="2"/>
      <c r="J2777" s="2"/>
      <c r="K2777" s="13"/>
      <c r="L2777" s="2"/>
      <c r="M2777" s="2"/>
      <c r="N2777" s="2"/>
      <c r="O2777" s="2"/>
      <c r="P2777" s="2"/>
      <c r="Q2777" s="2"/>
      <c r="R2777" s="2"/>
      <c r="S2777" s="2"/>
    </row>
    <row r="2778" spans="1:19" s="2" customFormat="1" ht="96.2" customHeight="1" outlineLevel="5">
      <c r="A2778" s="53">
        <v>2180</v>
      </c>
      <c r="B2778" s="10" t="s">
        <v>9178</v>
      </c>
      <c r="C2778" s="65" t="s">
        <v>9179</v>
      </c>
      <c r="D2778" s="65"/>
      <c r="E2778" s="65"/>
      <c r="F2778" s="65"/>
      <c r="G2778" s="11" t="s">
        <v>9180</v>
      </c>
      <c r="H2778" s="14">
        <v>20</v>
      </c>
      <c r="I2778" s="15"/>
      <c r="J2778" s="9">
        <v>20</v>
      </c>
      <c r="K2778" s="16">
        <v>53.99</v>
      </c>
      <c r="L2778" s="17"/>
      <c r="M2778" s="15">
        <f>K2778*L2778</f>
        <v>0</v>
      </c>
      <c r="N2778" s="18">
        <f>0.041*L2778</f>
        <v>0</v>
      </c>
      <c r="O2778" s="20">
        <f>0.0002*L2778</f>
        <v>0</v>
      </c>
      <c r="P2778" s="24" t="s">
        <v>26</v>
      </c>
      <c r="Q2778" s="15" t="s">
        <v>9181</v>
      </c>
      <c r="R2778" s="15"/>
      <c r="S2778" s="10" t="str">
        <f>HYPERLINK("https://miland.ru/api/getInfo/image/43bd6bf9-035b-11f1-a28e-00155d82e908")</f>
        <v>https://miland.ru/api/getInfo/image/43bd6bf9-035b-11f1-a28e-00155d82e908</v>
      </c>
    </row>
    <row r="2779" spans="1:19" s="2" customFormat="1" ht="96.2" customHeight="1" outlineLevel="5">
      <c r="A2779" s="53">
        <v>2181</v>
      </c>
      <c r="B2779" s="10" t="s">
        <v>9182</v>
      </c>
      <c r="C2779" s="65" t="s">
        <v>9183</v>
      </c>
      <c r="D2779" s="65"/>
      <c r="E2779" s="65"/>
      <c r="F2779" s="65"/>
      <c r="G2779" s="11" t="s">
        <v>9184</v>
      </c>
      <c r="H2779" s="14">
        <v>200</v>
      </c>
      <c r="I2779" s="15"/>
      <c r="J2779" s="9">
        <v>20</v>
      </c>
      <c r="K2779" s="16">
        <v>53.99</v>
      </c>
      <c r="L2779" s="17"/>
      <c r="M2779" s="15">
        <f>K2779*L2779</f>
        <v>0</v>
      </c>
      <c r="N2779" s="18">
        <f>0.041*L2779</f>
        <v>0</v>
      </c>
      <c r="O2779" s="20">
        <f>0.0002*L2779</f>
        <v>0</v>
      </c>
      <c r="P2779" s="24" t="s">
        <v>26</v>
      </c>
      <c r="Q2779" s="15" t="s">
        <v>9185</v>
      </c>
      <c r="R2779" s="15"/>
      <c r="S2779" s="10" t="str">
        <f>HYPERLINK("https://miland.ru/api/getInfo/image/51d10107-0359-11f1-a28e-00155d82e908")</f>
        <v>https://miland.ru/api/getInfo/image/51d10107-0359-11f1-a28e-00155d82e908</v>
      </c>
    </row>
    <row r="2780" spans="1:19" s="1" customFormat="1" ht="12" customHeight="1" outlineLevel="4">
      <c r="A2780" s="64" t="s">
        <v>9186</v>
      </c>
      <c r="B2780" s="64"/>
      <c r="C2780" s="64"/>
      <c r="D2780" s="64"/>
      <c r="E2780" s="64"/>
      <c r="F2780" s="64"/>
      <c r="G2780" s="8"/>
      <c r="H2780" s="12"/>
      <c r="I2780" s="2"/>
      <c r="J2780" s="2"/>
      <c r="K2780" s="13"/>
      <c r="L2780" s="2"/>
      <c r="M2780" s="2"/>
      <c r="N2780" s="2"/>
      <c r="O2780" s="2"/>
      <c r="P2780" s="2"/>
      <c r="Q2780" s="2"/>
      <c r="R2780" s="2"/>
      <c r="S2780" s="2"/>
    </row>
    <row r="2781" spans="1:19" s="2" customFormat="1" ht="96.2" customHeight="1" outlineLevel="5">
      <c r="A2781" s="53">
        <v>2182</v>
      </c>
      <c r="B2781" s="10" t="s">
        <v>9187</v>
      </c>
      <c r="C2781" s="65" t="s">
        <v>9188</v>
      </c>
      <c r="D2781" s="65"/>
      <c r="E2781" s="65"/>
      <c r="F2781" s="65"/>
      <c r="G2781" s="11" t="s">
        <v>9189</v>
      </c>
      <c r="H2781" s="14">
        <v>100</v>
      </c>
      <c r="I2781" s="15"/>
      <c r="J2781" s="9">
        <v>20</v>
      </c>
      <c r="K2781" s="16">
        <v>57.96</v>
      </c>
      <c r="L2781" s="17"/>
      <c r="M2781" s="15">
        <f t="shared" ref="M2781:M2789" si="135">K2781*L2781</f>
        <v>0</v>
      </c>
      <c r="N2781" s="18">
        <f>0.043*L2781</f>
        <v>0</v>
      </c>
      <c r="O2781" s="20">
        <f>0.0004*L2781</f>
        <v>0</v>
      </c>
      <c r="P2781" s="24" t="s">
        <v>26</v>
      </c>
      <c r="Q2781" s="15" t="s">
        <v>9190</v>
      </c>
      <c r="R2781" s="15"/>
      <c r="S2781" s="10" t="str">
        <f>HYPERLINK("https://miland.ru/api/getInfo/image/20d894e1-f5dc-11f0-a28d-00155d82e908")</f>
        <v>https://miland.ru/api/getInfo/image/20d894e1-f5dc-11f0-a28d-00155d82e908</v>
      </c>
    </row>
    <row r="2782" spans="1:19" s="2" customFormat="1" ht="96.2" customHeight="1" outlineLevel="5">
      <c r="A2782" s="52">
        <v>2183</v>
      </c>
      <c r="B2782" s="26" t="s">
        <v>9191</v>
      </c>
      <c r="C2782" s="66" t="s">
        <v>9192</v>
      </c>
      <c r="D2782" s="66"/>
      <c r="E2782" s="66"/>
      <c r="F2782" s="66"/>
      <c r="G2782" s="27" t="s">
        <v>9193</v>
      </c>
      <c r="H2782" s="33">
        <v>20</v>
      </c>
      <c r="I2782" s="29"/>
      <c r="J2782" s="25">
        <v>20</v>
      </c>
      <c r="K2782" s="30">
        <v>54.3</v>
      </c>
      <c r="L2782" s="17"/>
      <c r="M2782" s="29">
        <f t="shared" si="135"/>
        <v>0</v>
      </c>
      <c r="N2782" s="31">
        <f>0.045*L2782</f>
        <v>0</v>
      </c>
      <c r="O2782" s="32">
        <f>0.00015*L2782</f>
        <v>0</v>
      </c>
      <c r="P2782" s="36"/>
      <c r="Q2782" s="29" t="s">
        <v>9194</v>
      </c>
      <c r="R2782" s="29" t="s">
        <v>611</v>
      </c>
      <c r="S2782" s="26" t="str">
        <f>HYPERLINK("https://miland.ru/api/getInfo/image/9c90c0a9-d4be-11ef-a26a-00155d82e908")</f>
        <v>https://miland.ru/api/getInfo/image/9c90c0a9-d4be-11ef-a26a-00155d82e908</v>
      </c>
    </row>
    <row r="2783" spans="1:19" s="2" customFormat="1" ht="96.2" customHeight="1" outlineLevel="5">
      <c r="A2783" s="53">
        <v>2184</v>
      </c>
      <c r="B2783" s="10" t="s">
        <v>9195</v>
      </c>
      <c r="C2783" s="65" t="s">
        <v>9196</v>
      </c>
      <c r="D2783" s="65"/>
      <c r="E2783" s="65"/>
      <c r="F2783" s="65"/>
      <c r="G2783" s="11" t="s">
        <v>9193</v>
      </c>
      <c r="H2783" s="14">
        <v>10</v>
      </c>
      <c r="I2783" s="15"/>
      <c r="J2783" s="9">
        <v>10</v>
      </c>
      <c r="K2783" s="16">
        <v>54.3</v>
      </c>
      <c r="L2783" s="17"/>
      <c r="M2783" s="15">
        <f t="shared" si="135"/>
        <v>0</v>
      </c>
      <c r="N2783" s="23">
        <f>0.05*L2783</f>
        <v>0</v>
      </c>
      <c r="O2783" s="19">
        <f>0.00015*L2783</f>
        <v>0</v>
      </c>
      <c r="P2783" s="24" t="s">
        <v>26</v>
      </c>
      <c r="Q2783" s="15"/>
      <c r="R2783" s="15" t="s">
        <v>611</v>
      </c>
      <c r="S2783" s="10" t="str">
        <f>HYPERLINK("https://miland.ru/api/getInfo/image/36d8124d-d75c-11f0-a28c-00155d82e908")</f>
        <v>https://miland.ru/api/getInfo/image/36d8124d-d75c-11f0-a28c-00155d82e908</v>
      </c>
    </row>
    <row r="2784" spans="1:19" s="2" customFormat="1" ht="96.2" customHeight="1" outlineLevel="5">
      <c r="A2784" s="52">
        <v>2185</v>
      </c>
      <c r="B2784" s="26" t="s">
        <v>9197</v>
      </c>
      <c r="C2784" s="66" t="s">
        <v>9198</v>
      </c>
      <c r="D2784" s="66"/>
      <c r="E2784" s="66"/>
      <c r="F2784" s="66"/>
      <c r="G2784" s="27" t="s">
        <v>9199</v>
      </c>
      <c r="H2784" s="33">
        <v>20</v>
      </c>
      <c r="I2784" s="29"/>
      <c r="J2784" s="25">
        <v>20</v>
      </c>
      <c r="K2784" s="30">
        <v>57.96</v>
      </c>
      <c r="L2784" s="17"/>
      <c r="M2784" s="29">
        <f t="shared" si="135"/>
        <v>0</v>
      </c>
      <c r="N2784" s="31">
        <f>0.045*L2784</f>
        <v>0</v>
      </c>
      <c r="O2784" s="32">
        <f>0.00016*L2784</f>
        <v>0</v>
      </c>
      <c r="P2784" s="36"/>
      <c r="Q2784" s="29" t="s">
        <v>9200</v>
      </c>
      <c r="R2784" s="29" t="s">
        <v>611</v>
      </c>
      <c r="S2784" s="26" t="str">
        <f>HYPERLINK("https://miland.ru/api/getInfo/image/b104cf59-d4be-11ef-a26a-00155d82e908")</f>
        <v>https://miland.ru/api/getInfo/image/b104cf59-d4be-11ef-a26a-00155d82e908</v>
      </c>
    </row>
    <row r="2785" spans="1:19" s="2" customFormat="1" ht="96.2" customHeight="1" outlineLevel="5">
      <c r="A2785" s="52">
        <v>2186</v>
      </c>
      <c r="B2785" s="26" t="s">
        <v>9201</v>
      </c>
      <c r="C2785" s="66" t="s">
        <v>9202</v>
      </c>
      <c r="D2785" s="66"/>
      <c r="E2785" s="66"/>
      <c r="F2785" s="66"/>
      <c r="G2785" s="27" t="s">
        <v>9203</v>
      </c>
      <c r="H2785" s="33">
        <v>100</v>
      </c>
      <c r="I2785" s="29"/>
      <c r="J2785" s="25">
        <v>30</v>
      </c>
      <c r="K2785" s="30">
        <v>57.96</v>
      </c>
      <c r="L2785" s="17"/>
      <c r="M2785" s="29">
        <f t="shared" si="135"/>
        <v>0</v>
      </c>
      <c r="N2785" s="31">
        <f>0.046*L2785</f>
        <v>0</v>
      </c>
      <c r="O2785" s="32">
        <f>0.00016*L2785</f>
        <v>0</v>
      </c>
      <c r="P2785" s="36"/>
      <c r="Q2785" s="29" t="s">
        <v>9204</v>
      </c>
      <c r="R2785" s="29" t="s">
        <v>611</v>
      </c>
      <c r="S2785" s="26" t="str">
        <f>HYPERLINK("https://miland.ru/api/getInfo/image/44b22d37-d4be-11ef-a26a-00155d82e908")</f>
        <v>https://miland.ru/api/getInfo/image/44b22d37-d4be-11ef-a26a-00155d82e908</v>
      </c>
    </row>
    <row r="2786" spans="1:19" s="2" customFormat="1" ht="96.2" customHeight="1" outlineLevel="5">
      <c r="A2786" s="53">
        <v>2187</v>
      </c>
      <c r="B2786" s="10" t="s">
        <v>9205</v>
      </c>
      <c r="C2786" s="65" t="s">
        <v>9206</v>
      </c>
      <c r="D2786" s="65"/>
      <c r="E2786" s="65"/>
      <c r="F2786" s="65"/>
      <c r="G2786" s="11" t="s">
        <v>9203</v>
      </c>
      <c r="H2786" s="14">
        <v>10</v>
      </c>
      <c r="I2786" s="15"/>
      <c r="J2786" s="9">
        <v>10</v>
      </c>
      <c r="K2786" s="16">
        <v>54.3</v>
      </c>
      <c r="L2786" s="17"/>
      <c r="M2786" s="15">
        <f t="shared" si="135"/>
        <v>0</v>
      </c>
      <c r="N2786" s="23">
        <f>0.05*L2786</f>
        <v>0</v>
      </c>
      <c r="O2786" s="19">
        <f>0.00015*L2786</f>
        <v>0</v>
      </c>
      <c r="P2786" s="24" t="s">
        <v>26</v>
      </c>
      <c r="Q2786" s="15"/>
      <c r="R2786" s="15" t="s">
        <v>611</v>
      </c>
      <c r="S2786" s="10" t="str">
        <f>HYPERLINK("https://miland.ru/api/getInfo/image/1dc1d138-d75d-11f0-a28c-00155d82e908")</f>
        <v>https://miland.ru/api/getInfo/image/1dc1d138-d75d-11f0-a28c-00155d82e908</v>
      </c>
    </row>
    <row r="2787" spans="1:19" s="2" customFormat="1" ht="96.2" customHeight="1" outlineLevel="5">
      <c r="A2787" s="52">
        <v>2188</v>
      </c>
      <c r="B2787" s="26" t="s">
        <v>9207</v>
      </c>
      <c r="C2787" s="66" t="s">
        <v>9208</v>
      </c>
      <c r="D2787" s="66"/>
      <c r="E2787" s="66"/>
      <c r="F2787" s="66"/>
      <c r="G2787" s="27" t="s">
        <v>9209</v>
      </c>
      <c r="H2787" s="33">
        <v>160</v>
      </c>
      <c r="I2787" s="29"/>
      <c r="J2787" s="25">
        <v>30</v>
      </c>
      <c r="K2787" s="30">
        <v>57.96</v>
      </c>
      <c r="L2787" s="17"/>
      <c r="M2787" s="29">
        <f t="shared" si="135"/>
        <v>0</v>
      </c>
      <c r="N2787" s="31">
        <f>0.045*L2787</f>
        <v>0</v>
      </c>
      <c r="O2787" s="32">
        <f>0.00015*L2787</f>
        <v>0</v>
      </c>
      <c r="P2787" s="36"/>
      <c r="Q2787" s="29" t="s">
        <v>9210</v>
      </c>
      <c r="R2787" s="29" t="s">
        <v>611</v>
      </c>
      <c r="S2787" s="26" t="str">
        <f>HYPERLINK("https://miland.ru/api/getInfo/image/c4815eb9-d4be-11ef-a26a-00155d82e908")</f>
        <v>https://miland.ru/api/getInfo/image/c4815eb9-d4be-11ef-a26a-00155d82e908</v>
      </c>
    </row>
    <row r="2788" spans="1:19" s="2" customFormat="1" ht="96.2" customHeight="1" outlineLevel="5">
      <c r="A2788" s="53">
        <v>2189</v>
      </c>
      <c r="B2788" s="10" t="s">
        <v>9211</v>
      </c>
      <c r="C2788" s="65" t="s">
        <v>9212</v>
      </c>
      <c r="D2788" s="65"/>
      <c r="E2788" s="65"/>
      <c r="F2788" s="65"/>
      <c r="G2788" s="11" t="s">
        <v>9209</v>
      </c>
      <c r="H2788" s="14">
        <v>90</v>
      </c>
      <c r="I2788" s="15"/>
      <c r="J2788" s="9">
        <v>20</v>
      </c>
      <c r="K2788" s="16">
        <v>54.3</v>
      </c>
      <c r="L2788" s="17"/>
      <c r="M2788" s="15">
        <f t="shared" si="135"/>
        <v>0</v>
      </c>
      <c r="N2788" s="23">
        <f>0.05*L2788</f>
        <v>0</v>
      </c>
      <c r="O2788" s="19">
        <f>0.00015*L2788</f>
        <v>0</v>
      </c>
      <c r="P2788" s="24" t="s">
        <v>26</v>
      </c>
      <c r="Q2788" s="15"/>
      <c r="R2788" s="15" t="s">
        <v>611</v>
      </c>
      <c r="S2788" s="10" t="str">
        <f>HYPERLINK("https://miland.ru/api/getInfo/image/a1e12e07-d75c-11f0-a28c-00155d82e908")</f>
        <v>https://miland.ru/api/getInfo/image/a1e12e07-d75c-11f0-a28c-00155d82e908</v>
      </c>
    </row>
    <row r="2789" spans="1:19" s="2" customFormat="1" ht="96.2" customHeight="1" outlineLevel="5">
      <c r="A2789" s="52">
        <v>2190</v>
      </c>
      <c r="B2789" s="26" t="s">
        <v>9213</v>
      </c>
      <c r="C2789" s="66" t="s">
        <v>9214</v>
      </c>
      <c r="D2789" s="66"/>
      <c r="E2789" s="66"/>
      <c r="F2789" s="66"/>
      <c r="G2789" s="27" t="s">
        <v>9215</v>
      </c>
      <c r="H2789" s="33">
        <v>20</v>
      </c>
      <c r="I2789" s="29"/>
      <c r="J2789" s="25">
        <v>20</v>
      </c>
      <c r="K2789" s="30">
        <v>54.3</v>
      </c>
      <c r="L2789" s="17"/>
      <c r="M2789" s="29">
        <f t="shared" si="135"/>
        <v>0</v>
      </c>
      <c r="N2789" s="34">
        <f>0.04*L2789</f>
        <v>0</v>
      </c>
      <c r="O2789" s="32">
        <f>0.00031*L2789</f>
        <v>0</v>
      </c>
      <c r="P2789" s="36"/>
      <c r="Q2789" s="29" t="s">
        <v>9216</v>
      </c>
      <c r="R2789" s="29" t="s">
        <v>611</v>
      </c>
      <c r="S2789" s="26" t="str">
        <f>HYPERLINK("https://miland.ru/api/getInfo/image/d39eb144-d183-11ee-a25a-00155d82e908")</f>
        <v>https://miland.ru/api/getInfo/image/d39eb144-d183-11ee-a25a-00155d82e908</v>
      </c>
    </row>
    <row r="2790" spans="1:19" s="1" customFormat="1" ht="12" customHeight="1" outlineLevel="4">
      <c r="A2790" s="64" t="s">
        <v>9217</v>
      </c>
      <c r="B2790" s="64"/>
      <c r="C2790" s="64"/>
      <c r="D2790" s="64"/>
      <c r="E2790" s="64"/>
      <c r="F2790" s="64"/>
      <c r="G2790" s="8"/>
      <c r="H2790" s="12"/>
      <c r="I2790" s="2"/>
      <c r="J2790" s="2"/>
      <c r="K2790" s="13"/>
      <c r="L2790" s="2"/>
      <c r="M2790" s="2"/>
      <c r="N2790" s="2"/>
      <c r="O2790" s="2"/>
      <c r="P2790" s="2"/>
      <c r="Q2790" s="2"/>
      <c r="R2790" s="2"/>
      <c r="S2790" s="2"/>
    </row>
    <row r="2791" spans="1:19" s="2" customFormat="1" ht="96.2" customHeight="1" outlineLevel="5">
      <c r="A2791" s="52">
        <v>2191</v>
      </c>
      <c r="B2791" s="26" t="s">
        <v>9218</v>
      </c>
      <c r="C2791" s="66" t="s">
        <v>9219</v>
      </c>
      <c r="D2791" s="66"/>
      <c r="E2791" s="66"/>
      <c r="F2791" s="66"/>
      <c r="G2791" s="27" t="s">
        <v>9220</v>
      </c>
      <c r="H2791" s="28" t="s">
        <v>44</v>
      </c>
      <c r="I2791" s="29"/>
      <c r="J2791" s="25">
        <v>20</v>
      </c>
      <c r="K2791" s="30">
        <v>70.47</v>
      </c>
      <c r="L2791" s="17"/>
      <c r="M2791" s="29">
        <f>K2791*L2791</f>
        <v>0</v>
      </c>
      <c r="N2791" s="31">
        <f>0.024*L2791</f>
        <v>0</v>
      </c>
      <c r="O2791" s="32">
        <f>0.00005*L2791</f>
        <v>0</v>
      </c>
      <c r="P2791" s="36"/>
      <c r="Q2791" s="29" t="s">
        <v>9221</v>
      </c>
      <c r="R2791" s="29" t="s">
        <v>611</v>
      </c>
      <c r="S2791" s="26" t="str">
        <f>HYPERLINK("https://miland.ru/api/getInfo/image/859299e4-bc6e-11eb-a205-ac1f6b442185")</f>
        <v>https://miland.ru/api/getInfo/image/859299e4-bc6e-11eb-a205-ac1f6b442185</v>
      </c>
    </row>
    <row r="2792" spans="1:19" s="2" customFormat="1" ht="96.2" customHeight="1" outlineLevel="5">
      <c r="A2792" s="52">
        <v>2192</v>
      </c>
      <c r="B2792" s="26" t="s">
        <v>9222</v>
      </c>
      <c r="C2792" s="66" t="s">
        <v>9223</v>
      </c>
      <c r="D2792" s="66"/>
      <c r="E2792" s="66"/>
      <c r="F2792" s="66"/>
      <c r="G2792" s="27" t="s">
        <v>9224</v>
      </c>
      <c r="H2792" s="33">
        <v>40</v>
      </c>
      <c r="I2792" s="29"/>
      <c r="J2792" s="25">
        <v>20</v>
      </c>
      <c r="K2792" s="30">
        <v>70.47</v>
      </c>
      <c r="L2792" s="17"/>
      <c r="M2792" s="29">
        <f>K2792*L2792</f>
        <v>0</v>
      </c>
      <c r="N2792" s="31">
        <f>0.024*L2792</f>
        <v>0</v>
      </c>
      <c r="O2792" s="32">
        <f>0.00005*L2792</f>
        <v>0</v>
      </c>
      <c r="P2792" s="36"/>
      <c r="Q2792" s="29" t="s">
        <v>9225</v>
      </c>
      <c r="R2792" s="29" t="s">
        <v>611</v>
      </c>
      <c r="S2792" s="26" t="str">
        <f>HYPERLINK("https://miland.ru/api/getInfo/image/d3806b0a-bc6d-11eb-a205-ac1f6b442185")</f>
        <v>https://miland.ru/api/getInfo/image/d3806b0a-bc6d-11eb-a205-ac1f6b442185</v>
      </c>
    </row>
    <row r="2793" spans="1:19" s="2" customFormat="1" ht="96.2" customHeight="1" outlineLevel="5">
      <c r="A2793" s="52">
        <v>2193</v>
      </c>
      <c r="B2793" s="26" t="s">
        <v>9226</v>
      </c>
      <c r="C2793" s="66" t="s">
        <v>9227</v>
      </c>
      <c r="D2793" s="66"/>
      <c r="E2793" s="66"/>
      <c r="F2793" s="66"/>
      <c r="G2793" s="27" t="s">
        <v>9228</v>
      </c>
      <c r="H2793" s="33">
        <v>60</v>
      </c>
      <c r="I2793" s="29"/>
      <c r="J2793" s="25">
        <v>20</v>
      </c>
      <c r="K2793" s="30">
        <v>70.47</v>
      </c>
      <c r="L2793" s="17"/>
      <c r="M2793" s="29">
        <f>K2793*L2793</f>
        <v>0</v>
      </c>
      <c r="N2793" s="31">
        <f>0.024*L2793</f>
        <v>0</v>
      </c>
      <c r="O2793" s="32">
        <f>0.00005*L2793</f>
        <v>0</v>
      </c>
      <c r="P2793" s="36"/>
      <c r="Q2793" s="29" t="s">
        <v>9229</v>
      </c>
      <c r="R2793" s="29" t="s">
        <v>611</v>
      </c>
      <c r="S2793" s="26" t="str">
        <f>HYPERLINK("https://miland.ru/api/getInfo/image/cc643b2d-bc6e-11eb-a205-ac1f6b442185")</f>
        <v>https://miland.ru/api/getInfo/image/cc643b2d-bc6e-11eb-a205-ac1f6b442185</v>
      </c>
    </row>
    <row r="2794" spans="1:19" s="1" customFormat="1" ht="12" customHeight="1" outlineLevel="3">
      <c r="A2794" s="64" t="s">
        <v>9230</v>
      </c>
      <c r="B2794" s="64"/>
      <c r="C2794" s="64"/>
      <c r="D2794" s="64"/>
      <c r="E2794" s="64"/>
      <c r="F2794" s="64"/>
      <c r="G2794" s="8"/>
      <c r="H2794" s="12"/>
      <c r="I2794" s="2"/>
      <c r="J2794" s="2"/>
      <c r="K2794" s="13"/>
      <c r="L2794" s="2"/>
      <c r="M2794" s="2"/>
      <c r="N2794" s="2"/>
      <c r="O2794" s="2"/>
      <c r="P2794" s="2"/>
      <c r="Q2794" s="2"/>
      <c r="R2794" s="2"/>
      <c r="S2794" s="2"/>
    </row>
    <row r="2795" spans="1:19" s="2" customFormat="1" ht="96.2" customHeight="1" outlineLevel="4">
      <c r="A2795" s="52">
        <v>2194</v>
      </c>
      <c r="B2795" s="26" t="s">
        <v>9231</v>
      </c>
      <c r="C2795" s="66" t="s">
        <v>9232</v>
      </c>
      <c r="D2795" s="66"/>
      <c r="E2795" s="66"/>
      <c r="F2795" s="66"/>
      <c r="G2795" s="27" t="s">
        <v>9233</v>
      </c>
      <c r="H2795" s="28" t="s">
        <v>44</v>
      </c>
      <c r="I2795" s="29"/>
      <c r="J2795" s="25">
        <v>10</v>
      </c>
      <c r="K2795" s="30">
        <v>78.98</v>
      </c>
      <c r="L2795" s="17"/>
      <c r="M2795" s="29">
        <f t="shared" ref="M2795:M2801" si="136">K2795*L2795</f>
        <v>0</v>
      </c>
      <c r="N2795" s="31">
        <f>0.014*L2795</f>
        <v>0</v>
      </c>
      <c r="O2795" s="32">
        <f>0.00028*L2795</f>
        <v>0</v>
      </c>
      <c r="P2795" s="36"/>
      <c r="Q2795" s="29" t="s">
        <v>9234</v>
      </c>
      <c r="R2795" s="29"/>
      <c r="S2795" s="26" t="str">
        <f>HYPERLINK("https://miland.ru/api/getInfo/image/701cd4ae-b5e2-11ee-a25a-00155d82e908")</f>
        <v>https://miland.ru/api/getInfo/image/701cd4ae-b5e2-11ee-a25a-00155d82e908</v>
      </c>
    </row>
    <row r="2796" spans="1:19" s="2" customFormat="1" ht="96.2" customHeight="1" outlineLevel="4">
      <c r="A2796" s="52">
        <v>2195</v>
      </c>
      <c r="B2796" s="26" t="s">
        <v>9235</v>
      </c>
      <c r="C2796" s="66" t="s">
        <v>9236</v>
      </c>
      <c r="D2796" s="66"/>
      <c r="E2796" s="66"/>
      <c r="F2796" s="66"/>
      <c r="G2796" s="27" t="s">
        <v>9237</v>
      </c>
      <c r="H2796" s="28" t="s">
        <v>44</v>
      </c>
      <c r="I2796" s="29"/>
      <c r="J2796" s="25">
        <v>10</v>
      </c>
      <c r="K2796" s="30">
        <v>61.42</v>
      </c>
      <c r="L2796" s="17"/>
      <c r="M2796" s="29">
        <f t="shared" si="136"/>
        <v>0</v>
      </c>
      <c r="N2796" s="31">
        <f>0.018*L2796</f>
        <v>0</v>
      </c>
      <c r="O2796" s="32">
        <f>0.00034*L2796</f>
        <v>0</v>
      </c>
      <c r="P2796" s="36"/>
      <c r="Q2796" s="29" t="s">
        <v>9238</v>
      </c>
      <c r="R2796" s="29"/>
      <c r="S2796" s="26" t="str">
        <f>HYPERLINK("https://miland.ru/api/getInfo/image/061b7b8c-9776-11eb-a200-ac1f6b442185")</f>
        <v>https://miland.ru/api/getInfo/image/061b7b8c-9776-11eb-a200-ac1f6b442185</v>
      </c>
    </row>
    <row r="2797" spans="1:19" s="2" customFormat="1" ht="96.2" customHeight="1" outlineLevel="4">
      <c r="A2797" s="52">
        <v>2196</v>
      </c>
      <c r="B2797" s="26" t="s">
        <v>9239</v>
      </c>
      <c r="C2797" s="66" t="s">
        <v>9240</v>
      </c>
      <c r="D2797" s="66"/>
      <c r="E2797" s="66"/>
      <c r="F2797" s="66"/>
      <c r="G2797" s="27" t="s">
        <v>9241</v>
      </c>
      <c r="H2797" s="28" t="s">
        <v>44</v>
      </c>
      <c r="I2797" s="29"/>
      <c r="J2797" s="25">
        <v>10</v>
      </c>
      <c r="K2797" s="30">
        <v>78.98</v>
      </c>
      <c r="L2797" s="17"/>
      <c r="M2797" s="29">
        <f t="shared" si="136"/>
        <v>0</v>
      </c>
      <c r="N2797" s="31">
        <f>0.012*L2797</f>
        <v>0</v>
      </c>
      <c r="O2797" s="35">
        <f>0.0005*L2797</f>
        <v>0</v>
      </c>
      <c r="P2797" s="36"/>
      <c r="Q2797" s="29" t="s">
        <v>9242</v>
      </c>
      <c r="R2797" s="29"/>
      <c r="S2797" s="26" t="str">
        <f>HYPERLINK("https://miland.ru/api/getInfo/image/a3a6f6ad-b5e2-11ee-a25a-00155d82e908")</f>
        <v>https://miland.ru/api/getInfo/image/a3a6f6ad-b5e2-11ee-a25a-00155d82e908</v>
      </c>
    </row>
    <row r="2798" spans="1:19" s="2" customFormat="1" ht="96.2" customHeight="1" outlineLevel="4">
      <c r="A2798" s="52">
        <v>2197</v>
      </c>
      <c r="B2798" s="26" t="s">
        <v>9243</v>
      </c>
      <c r="C2798" s="66" t="s">
        <v>9244</v>
      </c>
      <c r="D2798" s="66"/>
      <c r="E2798" s="66"/>
      <c r="F2798" s="66"/>
      <c r="G2798" s="27" t="s">
        <v>9245</v>
      </c>
      <c r="H2798" s="28" t="s">
        <v>44</v>
      </c>
      <c r="I2798" s="29"/>
      <c r="J2798" s="25">
        <v>10</v>
      </c>
      <c r="K2798" s="30">
        <v>61.42</v>
      </c>
      <c r="L2798" s="17"/>
      <c r="M2798" s="29">
        <f t="shared" si="136"/>
        <v>0</v>
      </c>
      <c r="N2798" s="31">
        <f>0.017*L2798</f>
        <v>0</v>
      </c>
      <c r="O2798" s="32">
        <f>0.00095*L2798</f>
        <v>0</v>
      </c>
      <c r="P2798" s="36"/>
      <c r="Q2798" s="29" t="s">
        <v>9246</v>
      </c>
      <c r="R2798" s="29"/>
      <c r="S2798" s="26" t="str">
        <f>HYPERLINK("https://miland.ru/api/getInfo/image/c3002f43-b5e2-11ee-a25a-00155d82e908")</f>
        <v>https://miland.ru/api/getInfo/image/c3002f43-b5e2-11ee-a25a-00155d82e908</v>
      </c>
    </row>
    <row r="2799" spans="1:19" s="2" customFormat="1" ht="96.2" customHeight="1" outlineLevel="4">
      <c r="A2799" s="52">
        <v>2198</v>
      </c>
      <c r="B2799" s="26" t="s">
        <v>9247</v>
      </c>
      <c r="C2799" s="66" t="s">
        <v>9248</v>
      </c>
      <c r="D2799" s="66"/>
      <c r="E2799" s="66"/>
      <c r="F2799" s="66"/>
      <c r="G2799" s="27" t="s">
        <v>9249</v>
      </c>
      <c r="H2799" s="28" t="s">
        <v>44</v>
      </c>
      <c r="I2799" s="29"/>
      <c r="J2799" s="25">
        <v>10</v>
      </c>
      <c r="K2799" s="30">
        <v>78.98</v>
      </c>
      <c r="L2799" s="17"/>
      <c r="M2799" s="29">
        <f t="shared" si="136"/>
        <v>0</v>
      </c>
      <c r="N2799" s="31">
        <f>0.011*L2799</f>
        <v>0</v>
      </c>
      <c r="O2799" s="32">
        <f>0.00025*L2799</f>
        <v>0</v>
      </c>
      <c r="P2799" s="36"/>
      <c r="Q2799" s="29" t="s">
        <v>9250</v>
      </c>
      <c r="R2799" s="29"/>
      <c r="S2799" s="26" t="str">
        <f>HYPERLINK("https://miland.ru/api/getInfo/image/4c906486-b5e2-11ee-a25a-00155d82e908")</f>
        <v>https://miland.ru/api/getInfo/image/4c906486-b5e2-11ee-a25a-00155d82e908</v>
      </c>
    </row>
    <row r="2800" spans="1:19" s="2" customFormat="1" ht="96.2" customHeight="1" outlineLevel="4">
      <c r="A2800" s="52">
        <v>2199</v>
      </c>
      <c r="B2800" s="26" t="s">
        <v>9251</v>
      </c>
      <c r="C2800" s="66" t="s">
        <v>9252</v>
      </c>
      <c r="D2800" s="66"/>
      <c r="E2800" s="66"/>
      <c r="F2800" s="66"/>
      <c r="G2800" s="27" t="s">
        <v>9253</v>
      </c>
      <c r="H2800" s="28" t="s">
        <v>44</v>
      </c>
      <c r="I2800" s="29"/>
      <c r="J2800" s="25">
        <v>10</v>
      </c>
      <c r="K2800" s="30">
        <v>78.98</v>
      </c>
      <c r="L2800" s="17"/>
      <c r="M2800" s="29">
        <f t="shared" si="136"/>
        <v>0</v>
      </c>
      <c r="N2800" s="31">
        <f>0.013*L2800</f>
        <v>0</v>
      </c>
      <c r="O2800" s="32">
        <f>0.00057*L2800</f>
        <v>0</v>
      </c>
      <c r="P2800" s="36"/>
      <c r="Q2800" s="29" t="s">
        <v>9254</v>
      </c>
      <c r="R2800" s="29"/>
      <c r="S2800" s="26" t="str">
        <f>HYPERLINK("https://miland.ru/api/getInfo/image/450d9b59-b5e0-11ee-a25a-00155d82e908")</f>
        <v>https://miland.ru/api/getInfo/image/450d9b59-b5e0-11ee-a25a-00155d82e908</v>
      </c>
    </row>
    <row r="2801" spans="1:19" s="2" customFormat="1" ht="96.2" customHeight="1" outlineLevel="4">
      <c r="A2801" s="52">
        <v>2200</v>
      </c>
      <c r="B2801" s="26" t="s">
        <v>9255</v>
      </c>
      <c r="C2801" s="66" t="s">
        <v>9256</v>
      </c>
      <c r="D2801" s="66"/>
      <c r="E2801" s="66"/>
      <c r="F2801" s="66"/>
      <c r="G2801" s="27" t="s">
        <v>9257</v>
      </c>
      <c r="H2801" s="28" t="s">
        <v>44</v>
      </c>
      <c r="I2801" s="29"/>
      <c r="J2801" s="25">
        <v>10</v>
      </c>
      <c r="K2801" s="30">
        <v>78.98</v>
      </c>
      <c r="L2801" s="17"/>
      <c r="M2801" s="29">
        <f t="shared" si="136"/>
        <v>0</v>
      </c>
      <c r="N2801" s="31">
        <f>0.015*L2801</f>
        <v>0</v>
      </c>
      <c r="O2801" s="32">
        <f>0.00037*L2801</f>
        <v>0</v>
      </c>
      <c r="P2801" s="36"/>
      <c r="Q2801" s="29" t="s">
        <v>9258</v>
      </c>
      <c r="R2801" s="29"/>
      <c r="S2801" s="26" t="str">
        <f>HYPERLINK("https://miland.ru/api/getInfo/image/c6e0ec38-976c-11eb-a200-ac1f6b442185")</f>
        <v>https://miland.ru/api/getInfo/image/c6e0ec38-976c-11eb-a200-ac1f6b442185</v>
      </c>
    </row>
    <row r="2802" spans="1:19" s="1" customFormat="1" ht="12" customHeight="1" outlineLevel="2">
      <c r="A2802" s="63" t="s">
        <v>9259</v>
      </c>
      <c r="B2802" s="63"/>
      <c r="C2802" s="63"/>
      <c r="D2802" s="63"/>
      <c r="E2802" s="63"/>
      <c r="F2802" s="63"/>
      <c r="G2802" s="8"/>
      <c r="H2802" s="12"/>
      <c r="I2802" s="2"/>
      <c r="J2802" s="2"/>
      <c r="K2802" s="13"/>
      <c r="L2802" s="2"/>
      <c r="M2802" s="2"/>
      <c r="N2802" s="2"/>
      <c r="O2802" s="2"/>
      <c r="P2802" s="2"/>
      <c r="Q2802" s="2"/>
      <c r="R2802" s="2"/>
      <c r="S2802" s="2"/>
    </row>
    <row r="2803" spans="1:19" s="1" customFormat="1" ht="12" customHeight="1" outlineLevel="3">
      <c r="A2803" s="64" t="s">
        <v>9260</v>
      </c>
      <c r="B2803" s="64"/>
      <c r="C2803" s="64"/>
      <c r="D2803" s="64"/>
      <c r="E2803" s="64"/>
      <c r="F2803" s="64"/>
      <c r="G2803" s="8"/>
      <c r="H2803" s="12"/>
      <c r="I2803" s="2"/>
      <c r="J2803" s="2"/>
      <c r="K2803" s="13"/>
      <c r="L2803" s="2"/>
      <c r="M2803" s="2"/>
      <c r="N2803" s="2"/>
      <c r="O2803" s="2"/>
      <c r="P2803" s="2"/>
      <c r="Q2803" s="2"/>
      <c r="R2803" s="2"/>
      <c r="S2803" s="2"/>
    </row>
    <row r="2804" spans="1:19" s="1" customFormat="1" ht="12" customHeight="1" outlineLevel="4">
      <c r="A2804" s="64" t="s">
        <v>9261</v>
      </c>
      <c r="B2804" s="64"/>
      <c r="C2804" s="64"/>
      <c r="D2804" s="64"/>
      <c r="E2804" s="64"/>
      <c r="F2804" s="64"/>
      <c r="G2804" s="8"/>
      <c r="H2804" s="12"/>
      <c r="I2804" s="2"/>
      <c r="J2804" s="2"/>
      <c r="K2804" s="13"/>
      <c r="L2804" s="2"/>
      <c r="M2804" s="2"/>
      <c r="N2804" s="2"/>
      <c r="O2804" s="2"/>
      <c r="P2804" s="2"/>
      <c r="Q2804" s="2"/>
      <c r="R2804" s="2"/>
      <c r="S2804" s="2"/>
    </row>
    <row r="2805" spans="1:19" s="1" customFormat="1" ht="12" customHeight="1" outlineLevel="5">
      <c r="A2805" s="64" t="s">
        <v>9262</v>
      </c>
      <c r="B2805" s="64"/>
      <c r="C2805" s="64"/>
      <c r="D2805" s="64"/>
      <c r="E2805" s="64"/>
      <c r="F2805" s="64"/>
      <c r="G2805" s="8"/>
      <c r="H2805" s="12"/>
      <c r="I2805" s="2"/>
      <c r="J2805" s="2"/>
      <c r="K2805" s="13"/>
      <c r="L2805" s="2"/>
      <c r="M2805" s="2"/>
      <c r="N2805" s="2"/>
      <c r="O2805" s="2"/>
      <c r="P2805" s="2"/>
      <c r="Q2805" s="2"/>
      <c r="R2805" s="2"/>
      <c r="S2805" s="2"/>
    </row>
    <row r="2806" spans="1:19" s="2" customFormat="1" ht="96.2" customHeight="1" outlineLevel="6">
      <c r="A2806" s="53">
        <v>2201</v>
      </c>
      <c r="B2806" s="10" t="s">
        <v>9263</v>
      </c>
      <c r="C2806" s="65" t="s">
        <v>9264</v>
      </c>
      <c r="D2806" s="65"/>
      <c r="E2806" s="65"/>
      <c r="F2806" s="65"/>
      <c r="G2806" s="11" t="s">
        <v>9265</v>
      </c>
      <c r="H2806" s="21" t="s">
        <v>44</v>
      </c>
      <c r="I2806" s="15"/>
      <c r="J2806" s="9">
        <v>1</v>
      </c>
      <c r="K2806" s="16">
        <v>586.5</v>
      </c>
      <c r="L2806" s="17"/>
      <c r="M2806" s="15">
        <f>K2806*L2806</f>
        <v>0</v>
      </c>
      <c r="N2806" s="18">
        <f>0.341*L2806</f>
        <v>0</v>
      </c>
      <c r="O2806" s="19">
        <f>0.00146*L2806</f>
        <v>0</v>
      </c>
      <c r="P2806" s="24" t="s">
        <v>26</v>
      </c>
      <c r="Q2806" s="15" t="s">
        <v>9266</v>
      </c>
      <c r="R2806" s="15"/>
      <c r="S2806" s="10" t="str">
        <f>HYPERLINK("https://miland.ru/api/getInfo/image/14d668f6-2817-11f1-a291-00155d82e908")</f>
        <v>https://miland.ru/api/getInfo/image/14d668f6-2817-11f1-a291-00155d82e908</v>
      </c>
    </row>
    <row r="2807" spans="1:19" s="2" customFormat="1" ht="96.2" customHeight="1" outlineLevel="6">
      <c r="A2807" s="53">
        <v>2202</v>
      </c>
      <c r="B2807" s="10" t="s">
        <v>9267</v>
      </c>
      <c r="C2807" s="65" t="s">
        <v>9268</v>
      </c>
      <c r="D2807" s="65"/>
      <c r="E2807" s="65"/>
      <c r="F2807" s="65"/>
      <c r="G2807" s="11" t="s">
        <v>9269</v>
      </c>
      <c r="H2807" s="21" t="s">
        <v>44</v>
      </c>
      <c r="I2807" s="15"/>
      <c r="J2807" s="9">
        <v>1</v>
      </c>
      <c r="K2807" s="16">
        <v>586.5</v>
      </c>
      <c r="L2807" s="17"/>
      <c r="M2807" s="15">
        <f>K2807*L2807</f>
        <v>0</v>
      </c>
      <c r="N2807" s="18">
        <f>0.347*L2807</f>
        <v>0</v>
      </c>
      <c r="O2807" s="20">
        <f>0.0015*L2807</f>
        <v>0</v>
      </c>
      <c r="P2807" s="24" t="s">
        <v>26</v>
      </c>
      <c r="Q2807" s="15" t="s">
        <v>9270</v>
      </c>
      <c r="R2807" s="15"/>
      <c r="S2807" s="10" t="str">
        <f>HYPERLINK("https://miland.ru/api/getInfo/image/dfb6dc96-2816-11f1-a291-00155d82e908")</f>
        <v>https://miland.ru/api/getInfo/image/dfb6dc96-2816-11f1-a291-00155d82e908</v>
      </c>
    </row>
    <row r="2808" spans="1:19" s="2" customFormat="1" ht="96.2" customHeight="1" outlineLevel="6">
      <c r="A2808" s="53">
        <v>2203</v>
      </c>
      <c r="B2808" s="10" t="s">
        <v>9271</v>
      </c>
      <c r="C2808" s="65" t="s">
        <v>9272</v>
      </c>
      <c r="D2808" s="65"/>
      <c r="E2808" s="65"/>
      <c r="F2808" s="65"/>
      <c r="G2808" s="11" t="s">
        <v>9273</v>
      </c>
      <c r="H2808" s="21" t="s">
        <v>44</v>
      </c>
      <c r="I2808" s="15"/>
      <c r="J2808" s="9">
        <v>1</v>
      </c>
      <c r="K2808" s="16">
        <v>586.5</v>
      </c>
      <c r="L2808" s="17"/>
      <c r="M2808" s="15">
        <f>K2808*L2808</f>
        <v>0</v>
      </c>
      <c r="N2808" s="18">
        <f>0.343*L2808</f>
        <v>0</v>
      </c>
      <c r="O2808" s="19">
        <f>0.00142*L2808</f>
        <v>0</v>
      </c>
      <c r="P2808" s="24" t="s">
        <v>26</v>
      </c>
      <c r="Q2808" s="15" t="s">
        <v>9274</v>
      </c>
      <c r="R2808" s="15"/>
      <c r="S2808" s="10" t="str">
        <f>HYPERLINK("https://miland.ru/api/getInfo/image/c1aac175-2816-11f1-a291-00155d82e908")</f>
        <v>https://miland.ru/api/getInfo/image/c1aac175-2816-11f1-a291-00155d82e908</v>
      </c>
    </row>
    <row r="2809" spans="1:19" s="2" customFormat="1" ht="96.2" customHeight="1" outlineLevel="6">
      <c r="A2809" s="53">
        <v>2204</v>
      </c>
      <c r="B2809" s="10" t="s">
        <v>9275</v>
      </c>
      <c r="C2809" s="65" t="s">
        <v>9276</v>
      </c>
      <c r="D2809" s="65"/>
      <c r="E2809" s="65"/>
      <c r="F2809" s="65"/>
      <c r="G2809" s="11" t="s">
        <v>9277</v>
      </c>
      <c r="H2809" s="21" t="s">
        <v>44</v>
      </c>
      <c r="I2809" s="15"/>
      <c r="J2809" s="9">
        <v>1</v>
      </c>
      <c r="K2809" s="16">
        <v>586.5</v>
      </c>
      <c r="L2809" s="17"/>
      <c r="M2809" s="15">
        <f>K2809*L2809</f>
        <v>0</v>
      </c>
      <c r="N2809" s="18">
        <f>0.322*L2809</f>
        <v>0</v>
      </c>
      <c r="O2809" s="20">
        <f>0.0014*L2809</f>
        <v>0</v>
      </c>
      <c r="P2809" s="24" t="s">
        <v>26</v>
      </c>
      <c r="Q2809" s="15" t="s">
        <v>9278</v>
      </c>
      <c r="R2809" s="15"/>
      <c r="S2809" s="10" t="str">
        <f>HYPERLINK("https://miland.ru/api/getInfo/image/fb9fcafe-2816-11f1-a291-00155d82e908")</f>
        <v>https://miland.ru/api/getInfo/image/fb9fcafe-2816-11f1-a291-00155d82e908</v>
      </c>
    </row>
    <row r="2810" spans="1:19" s="1" customFormat="1" ht="12" customHeight="1" outlineLevel="5">
      <c r="A2810" s="64" t="s">
        <v>9279</v>
      </c>
      <c r="B2810" s="64"/>
      <c r="C2810" s="64"/>
      <c r="D2810" s="64"/>
      <c r="E2810" s="64"/>
      <c r="F2810" s="64"/>
      <c r="G2810" s="8"/>
      <c r="H2810" s="12"/>
      <c r="I2810" s="2"/>
      <c r="J2810" s="2"/>
      <c r="K2810" s="13"/>
      <c r="L2810" s="2"/>
      <c r="M2810" s="2"/>
      <c r="N2810" s="2"/>
      <c r="O2810" s="2"/>
      <c r="P2810" s="2"/>
      <c r="Q2810" s="2"/>
      <c r="R2810" s="2"/>
      <c r="S2810" s="2"/>
    </row>
    <row r="2811" spans="1:19" s="1" customFormat="1" ht="12" customHeight="1" outlineLevel="6">
      <c r="A2811" s="64" t="s">
        <v>9280</v>
      </c>
      <c r="B2811" s="64"/>
      <c r="C2811" s="64"/>
      <c r="D2811" s="64"/>
      <c r="E2811" s="64"/>
      <c r="F2811" s="64"/>
      <c r="G2811" s="8"/>
      <c r="H2811" s="12"/>
      <c r="I2811" s="2"/>
      <c r="J2811" s="2"/>
      <c r="K2811" s="13"/>
      <c r="L2811" s="2"/>
      <c r="M2811" s="2"/>
      <c r="N2811" s="2"/>
      <c r="O2811" s="2"/>
      <c r="P2811" s="2"/>
      <c r="Q2811" s="2"/>
      <c r="R2811" s="2"/>
      <c r="S2811" s="2"/>
    </row>
    <row r="2812" spans="1:19" s="2" customFormat="1" ht="96.2" customHeight="1" outlineLevel="7">
      <c r="A2812" s="53">
        <v>2205</v>
      </c>
      <c r="B2812" s="10" t="s">
        <v>9281</v>
      </c>
      <c r="C2812" s="65" t="s">
        <v>9282</v>
      </c>
      <c r="D2812" s="65"/>
      <c r="E2812" s="65"/>
      <c r="F2812" s="65"/>
      <c r="G2812" s="11" t="s">
        <v>9283</v>
      </c>
      <c r="H2812" s="21" t="s">
        <v>44</v>
      </c>
      <c r="I2812" s="15"/>
      <c r="J2812" s="9">
        <v>1</v>
      </c>
      <c r="K2812" s="16">
        <v>557.11</v>
      </c>
      <c r="L2812" s="17"/>
      <c r="M2812" s="15">
        <f>K2812*L2812</f>
        <v>0</v>
      </c>
      <c r="N2812" s="18">
        <f>0.372*L2812</f>
        <v>0</v>
      </c>
      <c r="O2812" s="19">
        <f>0.00147*L2812</f>
        <v>0</v>
      </c>
      <c r="P2812" s="24" t="s">
        <v>26</v>
      </c>
      <c r="Q2812" s="15" t="s">
        <v>9284</v>
      </c>
      <c r="R2812" s="15"/>
      <c r="S2812" s="10" t="str">
        <f>HYPERLINK("https://miland.ru/api/getInfo/image/55e3028e-2815-11f1-a291-00155d82e908")</f>
        <v>https://miland.ru/api/getInfo/image/55e3028e-2815-11f1-a291-00155d82e908</v>
      </c>
    </row>
    <row r="2813" spans="1:19" s="2" customFormat="1" ht="96.2" customHeight="1" outlineLevel="7">
      <c r="A2813" s="53">
        <v>2206</v>
      </c>
      <c r="B2813" s="10" t="s">
        <v>9285</v>
      </c>
      <c r="C2813" s="65" t="s">
        <v>9286</v>
      </c>
      <c r="D2813" s="65"/>
      <c r="E2813" s="65"/>
      <c r="F2813" s="65"/>
      <c r="G2813" s="11" t="s">
        <v>9287</v>
      </c>
      <c r="H2813" s="21" t="s">
        <v>44</v>
      </c>
      <c r="I2813" s="15"/>
      <c r="J2813" s="9">
        <v>1</v>
      </c>
      <c r="K2813" s="16">
        <v>650.67999999999995</v>
      </c>
      <c r="L2813" s="17"/>
      <c r="M2813" s="15">
        <f>K2813*L2813</f>
        <v>0</v>
      </c>
      <c r="N2813" s="18">
        <f>0.489*L2813</f>
        <v>0</v>
      </c>
      <c r="O2813" s="19">
        <f>0.00191*L2813</f>
        <v>0</v>
      </c>
      <c r="P2813" s="24" t="s">
        <v>26</v>
      </c>
      <c r="Q2813" s="15" t="s">
        <v>9288</v>
      </c>
      <c r="R2813" s="15"/>
      <c r="S2813" s="10" t="str">
        <f>HYPERLINK("https://miland.ru/api/getInfo/image/64f272d5-2815-11f1-a291-00155d82e908")</f>
        <v>https://miland.ru/api/getInfo/image/64f272d5-2815-11f1-a291-00155d82e908</v>
      </c>
    </row>
    <row r="2814" spans="1:19" s="2" customFormat="1" ht="96.2" customHeight="1" outlineLevel="7">
      <c r="A2814" s="53">
        <v>2207</v>
      </c>
      <c r="B2814" s="10" t="s">
        <v>9289</v>
      </c>
      <c r="C2814" s="65" t="s">
        <v>9290</v>
      </c>
      <c r="D2814" s="65"/>
      <c r="E2814" s="65"/>
      <c r="F2814" s="65"/>
      <c r="G2814" s="11" t="s">
        <v>9291</v>
      </c>
      <c r="H2814" s="21" t="s">
        <v>44</v>
      </c>
      <c r="I2814" s="15"/>
      <c r="J2814" s="9">
        <v>1</v>
      </c>
      <c r="K2814" s="16">
        <v>752.97</v>
      </c>
      <c r="L2814" s="17"/>
      <c r="M2814" s="15">
        <f>K2814*L2814</f>
        <v>0</v>
      </c>
      <c r="N2814" s="23">
        <f>0.66*L2814</f>
        <v>0</v>
      </c>
      <c r="O2814" s="19">
        <f>0.00261*L2814</f>
        <v>0</v>
      </c>
      <c r="P2814" s="24" t="s">
        <v>26</v>
      </c>
      <c r="Q2814" s="15" t="s">
        <v>9292</v>
      </c>
      <c r="R2814" s="15"/>
      <c r="S2814" s="10" t="str">
        <f>HYPERLINK("https://miland.ru/api/getInfo/image/7883c26a-2815-11f1-a291-00155d82e908")</f>
        <v>https://miland.ru/api/getInfo/image/7883c26a-2815-11f1-a291-00155d82e908</v>
      </c>
    </row>
    <row r="2815" spans="1:19" s="1" customFormat="1" ht="12" customHeight="1" outlineLevel="6">
      <c r="A2815" s="64" t="s">
        <v>9293</v>
      </c>
      <c r="B2815" s="64"/>
      <c r="C2815" s="64"/>
      <c r="D2815" s="64"/>
      <c r="E2815" s="64"/>
      <c r="F2815" s="64"/>
      <c r="G2815" s="8"/>
      <c r="H2815" s="12"/>
      <c r="I2815" s="2"/>
      <c r="J2815" s="2"/>
      <c r="K2815" s="13"/>
      <c r="L2815" s="2"/>
      <c r="M2815" s="2"/>
      <c r="N2815" s="2"/>
      <c r="O2815" s="2"/>
      <c r="P2815" s="2"/>
      <c r="Q2815" s="2"/>
      <c r="R2815" s="2"/>
      <c r="S2815" s="2"/>
    </row>
    <row r="2816" spans="1:19" s="2" customFormat="1" ht="96.2" customHeight="1" outlineLevel="7">
      <c r="A2816" s="53">
        <v>2208</v>
      </c>
      <c r="B2816" s="10" t="s">
        <v>9294</v>
      </c>
      <c r="C2816" s="65" t="s">
        <v>9295</v>
      </c>
      <c r="D2816" s="65"/>
      <c r="E2816" s="65"/>
      <c r="F2816" s="65"/>
      <c r="G2816" s="11" t="s">
        <v>9296</v>
      </c>
      <c r="H2816" s="21" t="s">
        <v>44</v>
      </c>
      <c r="I2816" s="15"/>
      <c r="J2816" s="9">
        <v>1</v>
      </c>
      <c r="K2816" s="16">
        <v>557.11</v>
      </c>
      <c r="L2816" s="17"/>
      <c r="M2816" s="15">
        <f>K2816*L2816</f>
        <v>0</v>
      </c>
      <c r="N2816" s="18">
        <f>0.348*L2816</f>
        <v>0</v>
      </c>
      <c r="O2816" s="19">
        <f>0.00147*L2816</f>
        <v>0</v>
      </c>
      <c r="P2816" s="24" t="s">
        <v>26</v>
      </c>
      <c r="Q2816" s="15" t="s">
        <v>9297</v>
      </c>
      <c r="R2816" s="15"/>
      <c r="S2816" s="10" t="str">
        <f>HYPERLINK("https://miland.ru/api/getInfo/image/14056f48-2815-11f1-a291-00155d82e908")</f>
        <v>https://miland.ru/api/getInfo/image/14056f48-2815-11f1-a291-00155d82e908</v>
      </c>
    </row>
    <row r="2817" spans="1:19" s="2" customFormat="1" ht="96.2" customHeight="1" outlineLevel="7">
      <c r="A2817" s="53">
        <v>2209</v>
      </c>
      <c r="B2817" s="10" t="s">
        <v>9298</v>
      </c>
      <c r="C2817" s="65" t="s">
        <v>9299</v>
      </c>
      <c r="D2817" s="65"/>
      <c r="E2817" s="65"/>
      <c r="F2817" s="65"/>
      <c r="G2817" s="11" t="s">
        <v>9300</v>
      </c>
      <c r="H2817" s="21" t="s">
        <v>44</v>
      </c>
      <c r="I2817" s="15"/>
      <c r="J2817" s="9">
        <v>1</v>
      </c>
      <c r="K2817" s="16">
        <v>650.67999999999995</v>
      </c>
      <c r="L2817" s="17"/>
      <c r="M2817" s="15">
        <f>K2817*L2817</f>
        <v>0</v>
      </c>
      <c r="N2817" s="18">
        <f>0.488*L2817</f>
        <v>0</v>
      </c>
      <c r="O2817" s="19">
        <f>0.00196*L2817</f>
        <v>0</v>
      </c>
      <c r="P2817" s="24" t="s">
        <v>26</v>
      </c>
      <c r="Q2817" s="15" t="s">
        <v>9301</v>
      </c>
      <c r="R2817" s="15"/>
      <c r="S2817" s="10" t="str">
        <f>HYPERLINK("https://miland.ru/api/getInfo/image/25880254-2815-11f1-a291-00155d82e908")</f>
        <v>https://miland.ru/api/getInfo/image/25880254-2815-11f1-a291-00155d82e908</v>
      </c>
    </row>
    <row r="2818" spans="1:19" s="2" customFormat="1" ht="96.2" customHeight="1" outlineLevel="7">
      <c r="A2818" s="53">
        <v>2210</v>
      </c>
      <c r="B2818" s="10" t="s">
        <v>9302</v>
      </c>
      <c r="C2818" s="65" t="s">
        <v>9303</v>
      </c>
      <c r="D2818" s="65"/>
      <c r="E2818" s="65"/>
      <c r="F2818" s="65"/>
      <c r="G2818" s="11" t="s">
        <v>9304</v>
      </c>
      <c r="H2818" s="21" t="s">
        <v>44</v>
      </c>
      <c r="I2818" s="15"/>
      <c r="J2818" s="9">
        <v>1</v>
      </c>
      <c r="K2818" s="16">
        <v>752.97</v>
      </c>
      <c r="L2818" s="17"/>
      <c r="M2818" s="15">
        <f>K2818*L2818</f>
        <v>0</v>
      </c>
      <c r="N2818" s="18">
        <f>0.642*L2818</f>
        <v>0</v>
      </c>
      <c r="O2818" s="19">
        <f>0.00246*L2818</f>
        <v>0</v>
      </c>
      <c r="P2818" s="24" t="s">
        <v>26</v>
      </c>
      <c r="Q2818" s="15" t="s">
        <v>9305</v>
      </c>
      <c r="R2818" s="15"/>
      <c r="S2818" s="10" t="str">
        <f>HYPERLINK("https://miland.ru/api/getInfo/image/38d850d7-2815-11f1-a291-00155d82e908")</f>
        <v>https://miland.ru/api/getInfo/image/38d850d7-2815-11f1-a291-00155d82e908</v>
      </c>
    </row>
    <row r="2819" spans="1:19" s="1" customFormat="1" ht="12" customHeight="1" outlineLevel="6">
      <c r="A2819" s="64" t="s">
        <v>9306</v>
      </c>
      <c r="B2819" s="64"/>
      <c r="C2819" s="64"/>
      <c r="D2819" s="64"/>
      <c r="E2819" s="64"/>
      <c r="F2819" s="64"/>
      <c r="G2819" s="8"/>
      <c r="H2819" s="12"/>
      <c r="I2819" s="2"/>
      <c r="J2819" s="2"/>
      <c r="K2819" s="13"/>
      <c r="L2819" s="2"/>
      <c r="M2819" s="2"/>
      <c r="N2819" s="2"/>
      <c r="O2819" s="2"/>
      <c r="P2819" s="2"/>
      <c r="Q2819" s="2"/>
      <c r="R2819" s="2"/>
      <c r="S2819" s="2"/>
    </row>
    <row r="2820" spans="1:19" s="2" customFormat="1" ht="96.2" customHeight="1" outlineLevel="7">
      <c r="A2820" s="53">
        <v>2211</v>
      </c>
      <c r="B2820" s="10" t="s">
        <v>9307</v>
      </c>
      <c r="C2820" s="65" t="s">
        <v>9308</v>
      </c>
      <c r="D2820" s="65"/>
      <c r="E2820" s="65"/>
      <c r="F2820" s="65"/>
      <c r="G2820" s="11" t="s">
        <v>9309</v>
      </c>
      <c r="H2820" s="21" t="s">
        <v>44</v>
      </c>
      <c r="I2820" s="15"/>
      <c r="J2820" s="9">
        <v>1</v>
      </c>
      <c r="K2820" s="16">
        <v>557.11</v>
      </c>
      <c r="L2820" s="17"/>
      <c r="M2820" s="15">
        <f>K2820*L2820</f>
        <v>0</v>
      </c>
      <c r="N2820" s="18">
        <f>0.344*L2820</f>
        <v>0</v>
      </c>
      <c r="O2820" s="19">
        <f>0.00147*L2820</f>
        <v>0</v>
      </c>
      <c r="P2820" s="24" t="s">
        <v>26</v>
      </c>
      <c r="Q2820" s="15" t="s">
        <v>9310</v>
      </c>
      <c r="R2820" s="15"/>
      <c r="S2820" s="10" t="str">
        <f>HYPERLINK("https://miland.ru/api/getInfo/image/8b8c57db-2815-11f1-a291-00155d82e908")</f>
        <v>https://miland.ru/api/getInfo/image/8b8c57db-2815-11f1-a291-00155d82e908</v>
      </c>
    </row>
    <row r="2821" spans="1:19" s="2" customFormat="1" ht="96.2" customHeight="1" outlineLevel="7">
      <c r="A2821" s="53">
        <v>2212</v>
      </c>
      <c r="B2821" s="10" t="s">
        <v>9311</v>
      </c>
      <c r="C2821" s="65" t="s">
        <v>9312</v>
      </c>
      <c r="D2821" s="65"/>
      <c r="E2821" s="65"/>
      <c r="F2821" s="65"/>
      <c r="G2821" s="11" t="s">
        <v>9313</v>
      </c>
      <c r="H2821" s="21" t="s">
        <v>44</v>
      </c>
      <c r="I2821" s="15"/>
      <c r="J2821" s="9">
        <v>1</v>
      </c>
      <c r="K2821" s="16">
        <v>650.67999999999995</v>
      </c>
      <c r="L2821" s="17"/>
      <c r="M2821" s="15">
        <f>K2821*L2821</f>
        <v>0</v>
      </c>
      <c r="N2821" s="18">
        <f>0.483*L2821</f>
        <v>0</v>
      </c>
      <c r="O2821" s="19">
        <f>0.00215*L2821</f>
        <v>0</v>
      </c>
      <c r="P2821" s="24" t="s">
        <v>26</v>
      </c>
      <c r="Q2821" s="15" t="s">
        <v>9314</v>
      </c>
      <c r="R2821" s="15"/>
      <c r="S2821" s="10" t="str">
        <f>HYPERLINK("https://miland.ru/api/getInfo/image/b4bc2a59-2815-11f1-a291-00155d82e908")</f>
        <v>https://miland.ru/api/getInfo/image/b4bc2a59-2815-11f1-a291-00155d82e908</v>
      </c>
    </row>
    <row r="2822" spans="1:19" s="2" customFormat="1" ht="96.2" customHeight="1" outlineLevel="7">
      <c r="A2822" s="53">
        <v>2213</v>
      </c>
      <c r="B2822" s="10" t="s">
        <v>9315</v>
      </c>
      <c r="C2822" s="65" t="s">
        <v>9316</v>
      </c>
      <c r="D2822" s="65"/>
      <c r="E2822" s="65"/>
      <c r="F2822" s="65"/>
      <c r="G2822" s="11" t="s">
        <v>9317</v>
      </c>
      <c r="H2822" s="21" t="s">
        <v>44</v>
      </c>
      <c r="I2822" s="15"/>
      <c r="J2822" s="9">
        <v>1</v>
      </c>
      <c r="K2822" s="16">
        <v>752.97</v>
      </c>
      <c r="L2822" s="17"/>
      <c r="M2822" s="15">
        <f>K2822*L2822</f>
        <v>0</v>
      </c>
      <c r="N2822" s="18">
        <f>0.636*L2822</f>
        <v>0</v>
      </c>
      <c r="O2822" s="20">
        <f>0.0024*L2822</f>
        <v>0</v>
      </c>
      <c r="P2822" s="24" t="s">
        <v>26</v>
      </c>
      <c r="Q2822" s="15" t="s">
        <v>9318</v>
      </c>
      <c r="R2822" s="15"/>
      <c r="S2822" s="10" t="str">
        <f>HYPERLINK("https://miland.ru/api/getInfo/image/c8ed147f-2815-11f1-a291-00155d82e908")</f>
        <v>https://miland.ru/api/getInfo/image/c8ed147f-2815-11f1-a291-00155d82e908</v>
      </c>
    </row>
    <row r="2823" spans="1:19" s="1" customFormat="1" ht="12" customHeight="1" outlineLevel="5">
      <c r="A2823" s="64" t="s">
        <v>9319</v>
      </c>
      <c r="B2823" s="64"/>
      <c r="C2823" s="64"/>
      <c r="D2823" s="64"/>
      <c r="E2823" s="64"/>
      <c r="F2823" s="64"/>
      <c r="G2823" s="8"/>
      <c r="H2823" s="12"/>
      <c r="I2823" s="2"/>
      <c r="J2823" s="2"/>
      <c r="K2823" s="13"/>
      <c r="L2823" s="2"/>
      <c r="M2823" s="2"/>
      <c r="N2823" s="2"/>
      <c r="O2823" s="2"/>
      <c r="P2823" s="2"/>
      <c r="Q2823" s="2"/>
      <c r="R2823" s="2"/>
      <c r="S2823" s="2"/>
    </row>
    <row r="2824" spans="1:19" s="2" customFormat="1" ht="96.2" customHeight="1" outlineLevel="6">
      <c r="A2824" s="53">
        <v>2214</v>
      </c>
      <c r="B2824" s="10" t="s">
        <v>9320</v>
      </c>
      <c r="C2824" s="65" t="s">
        <v>9321</v>
      </c>
      <c r="D2824" s="65"/>
      <c r="E2824" s="65"/>
      <c r="F2824" s="65"/>
      <c r="G2824" s="11" t="s">
        <v>9322</v>
      </c>
      <c r="H2824" s="21" t="s">
        <v>44</v>
      </c>
      <c r="I2824" s="15"/>
      <c r="J2824" s="9">
        <v>1</v>
      </c>
      <c r="K2824" s="16">
        <v>557.11</v>
      </c>
      <c r="L2824" s="17"/>
      <c r="M2824" s="15">
        <f>K2824*L2824</f>
        <v>0</v>
      </c>
      <c r="N2824" s="18">
        <f>0.373*L2824</f>
        <v>0</v>
      </c>
      <c r="O2824" s="19">
        <f>0.00147*L2824</f>
        <v>0</v>
      </c>
      <c r="P2824" s="24" t="s">
        <v>26</v>
      </c>
      <c r="Q2824" s="15" t="s">
        <v>9323</v>
      </c>
      <c r="R2824" s="15"/>
      <c r="S2824" s="10" t="str">
        <f>HYPERLINK("https://miland.ru/api/getInfo/image/c6bbf9e5-2814-11f1-a291-00155d82e908")</f>
        <v>https://miland.ru/api/getInfo/image/c6bbf9e5-2814-11f1-a291-00155d82e908</v>
      </c>
    </row>
    <row r="2825" spans="1:19" s="2" customFormat="1" ht="96.2" customHeight="1" outlineLevel="6">
      <c r="A2825" s="53">
        <v>2215</v>
      </c>
      <c r="B2825" s="10" t="s">
        <v>9324</v>
      </c>
      <c r="C2825" s="65" t="s">
        <v>9325</v>
      </c>
      <c r="D2825" s="65"/>
      <c r="E2825" s="65"/>
      <c r="F2825" s="65"/>
      <c r="G2825" s="11" t="s">
        <v>9326</v>
      </c>
      <c r="H2825" s="21" t="s">
        <v>44</v>
      </c>
      <c r="I2825" s="15"/>
      <c r="J2825" s="9">
        <v>1</v>
      </c>
      <c r="K2825" s="16">
        <v>650.67999999999995</v>
      </c>
      <c r="L2825" s="17"/>
      <c r="M2825" s="15">
        <f>K2825*L2825</f>
        <v>0</v>
      </c>
      <c r="N2825" s="18">
        <f>0.521*L2825</f>
        <v>0</v>
      </c>
      <c r="O2825" s="19">
        <f>0.00227*L2825</f>
        <v>0</v>
      </c>
      <c r="P2825" s="24" t="s">
        <v>26</v>
      </c>
      <c r="Q2825" s="15" t="s">
        <v>9327</v>
      </c>
      <c r="R2825" s="15"/>
      <c r="S2825" s="10" t="str">
        <f>HYPERLINK("https://miland.ru/api/getInfo/image/eabd0322-2814-11f1-a291-00155d82e908")</f>
        <v>https://miland.ru/api/getInfo/image/eabd0322-2814-11f1-a291-00155d82e908</v>
      </c>
    </row>
    <row r="2826" spans="1:19" s="2" customFormat="1" ht="96.2" customHeight="1" outlineLevel="6">
      <c r="A2826" s="53">
        <v>2216</v>
      </c>
      <c r="B2826" s="10" t="s">
        <v>9328</v>
      </c>
      <c r="C2826" s="65" t="s">
        <v>9329</v>
      </c>
      <c r="D2826" s="65"/>
      <c r="E2826" s="65"/>
      <c r="F2826" s="65"/>
      <c r="G2826" s="11" t="s">
        <v>9330</v>
      </c>
      <c r="H2826" s="21" t="s">
        <v>44</v>
      </c>
      <c r="I2826" s="15"/>
      <c r="J2826" s="9">
        <v>1</v>
      </c>
      <c r="K2826" s="16">
        <v>752.97</v>
      </c>
      <c r="L2826" s="17"/>
      <c r="M2826" s="15">
        <f>K2826*L2826</f>
        <v>0</v>
      </c>
      <c r="N2826" s="18">
        <f>0.693*L2826</f>
        <v>0</v>
      </c>
      <c r="O2826" s="19">
        <f>0.00214*L2826</f>
        <v>0</v>
      </c>
      <c r="P2826" s="24" t="s">
        <v>26</v>
      </c>
      <c r="Q2826" s="15" t="s">
        <v>9331</v>
      </c>
      <c r="R2826" s="15"/>
      <c r="S2826" s="10" t="str">
        <f>HYPERLINK("https://miland.ru/api/getInfo/image/fa4666f2-2814-11f1-a291-00155d82e908")</f>
        <v>https://miland.ru/api/getInfo/image/fa4666f2-2814-11f1-a291-00155d82e908</v>
      </c>
    </row>
    <row r="2827" spans="1:19" s="1" customFormat="1" ht="12" customHeight="1" outlineLevel="5">
      <c r="A2827" s="64" t="s">
        <v>9332</v>
      </c>
      <c r="B2827" s="64"/>
      <c r="C2827" s="64"/>
      <c r="D2827" s="64"/>
      <c r="E2827" s="64"/>
      <c r="F2827" s="64"/>
      <c r="G2827" s="8"/>
      <c r="H2827" s="12"/>
      <c r="I2827" s="2"/>
      <c r="J2827" s="2"/>
      <c r="K2827" s="13"/>
      <c r="L2827" s="2"/>
      <c r="M2827" s="2"/>
      <c r="N2827" s="2"/>
      <c r="O2827" s="2"/>
      <c r="P2827" s="2"/>
      <c r="Q2827" s="2"/>
      <c r="R2827" s="2"/>
      <c r="S2827" s="2"/>
    </row>
    <row r="2828" spans="1:19" s="1" customFormat="1" ht="12" customHeight="1" outlineLevel="6">
      <c r="A2828" s="64" t="s">
        <v>9333</v>
      </c>
      <c r="B2828" s="64"/>
      <c r="C2828" s="64"/>
      <c r="D2828" s="64"/>
      <c r="E2828" s="64"/>
      <c r="F2828" s="64"/>
      <c r="G2828" s="8"/>
      <c r="H2828" s="12"/>
      <c r="I2828" s="2"/>
      <c r="J2828" s="2"/>
      <c r="K2828" s="13"/>
      <c r="L2828" s="2"/>
      <c r="M2828" s="2"/>
      <c r="N2828" s="2"/>
      <c r="O2828" s="2"/>
      <c r="P2828" s="2"/>
      <c r="Q2828" s="2"/>
      <c r="R2828" s="2"/>
      <c r="S2828" s="2"/>
    </row>
    <row r="2829" spans="1:19" s="2" customFormat="1" ht="96.2" customHeight="1" outlineLevel="7">
      <c r="A2829" s="52">
        <v>2217</v>
      </c>
      <c r="B2829" s="26" t="s">
        <v>9334</v>
      </c>
      <c r="C2829" s="66" t="s">
        <v>9335</v>
      </c>
      <c r="D2829" s="66"/>
      <c r="E2829" s="66"/>
      <c r="F2829" s="66"/>
      <c r="G2829" s="27" t="s">
        <v>9336</v>
      </c>
      <c r="H2829" s="28" t="s">
        <v>44</v>
      </c>
      <c r="I2829" s="29"/>
      <c r="J2829" s="25">
        <v>1</v>
      </c>
      <c r="K2829" s="30">
        <v>557.11</v>
      </c>
      <c r="L2829" s="17"/>
      <c r="M2829" s="29">
        <f>K2829*L2829</f>
        <v>0</v>
      </c>
      <c r="N2829" s="31">
        <f>0.398*L2829</f>
        <v>0</v>
      </c>
      <c r="O2829" s="32">
        <f>0.00156*L2829</f>
        <v>0</v>
      </c>
      <c r="P2829" s="36"/>
      <c r="Q2829" s="29" t="s">
        <v>9337</v>
      </c>
      <c r="R2829" s="29"/>
      <c r="S2829" s="26" t="str">
        <f>HYPERLINK("https://miland.ru/api/getInfo/image/88d1dbd3-15ca-11f0-a279-00155d82e908")</f>
        <v>https://miland.ru/api/getInfo/image/88d1dbd3-15ca-11f0-a279-00155d82e908</v>
      </c>
    </row>
    <row r="2830" spans="1:19" s="2" customFormat="1" ht="96.2" customHeight="1" outlineLevel="7">
      <c r="A2830" s="52">
        <v>2218</v>
      </c>
      <c r="B2830" s="26" t="s">
        <v>9338</v>
      </c>
      <c r="C2830" s="66" t="s">
        <v>9339</v>
      </c>
      <c r="D2830" s="66"/>
      <c r="E2830" s="66"/>
      <c r="F2830" s="66"/>
      <c r="G2830" s="27" t="s">
        <v>9340</v>
      </c>
      <c r="H2830" s="28" t="s">
        <v>44</v>
      </c>
      <c r="I2830" s="29"/>
      <c r="J2830" s="25">
        <v>1</v>
      </c>
      <c r="K2830" s="30">
        <v>650.67999999999995</v>
      </c>
      <c r="L2830" s="17"/>
      <c r="M2830" s="29">
        <f>K2830*L2830</f>
        <v>0</v>
      </c>
      <c r="N2830" s="31">
        <f>0.483*L2830</f>
        <v>0</v>
      </c>
      <c r="O2830" s="32">
        <f>0.00198*L2830</f>
        <v>0</v>
      </c>
      <c r="P2830" s="36"/>
      <c r="Q2830" s="29" t="s">
        <v>9341</v>
      </c>
      <c r="R2830" s="29"/>
      <c r="S2830" s="26" t="str">
        <f>HYPERLINK("https://miland.ru/api/getInfo/image/1f5a08a2-15cb-11f0-a279-00155d82e908")</f>
        <v>https://miland.ru/api/getInfo/image/1f5a08a2-15cb-11f0-a279-00155d82e908</v>
      </c>
    </row>
    <row r="2831" spans="1:19" s="2" customFormat="1" ht="96.2" customHeight="1" outlineLevel="7">
      <c r="A2831" s="52">
        <v>2219</v>
      </c>
      <c r="B2831" s="26" t="s">
        <v>9342</v>
      </c>
      <c r="C2831" s="66" t="s">
        <v>9343</v>
      </c>
      <c r="D2831" s="66"/>
      <c r="E2831" s="66"/>
      <c r="F2831" s="66"/>
      <c r="G2831" s="27" t="s">
        <v>9344</v>
      </c>
      <c r="H2831" s="28" t="s">
        <v>44</v>
      </c>
      <c r="I2831" s="29"/>
      <c r="J2831" s="25">
        <v>1</v>
      </c>
      <c r="K2831" s="30">
        <v>752.97</v>
      </c>
      <c r="L2831" s="17"/>
      <c r="M2831" s="29">
        <f>K2831*L2831</f>
        <v>0</v>
      </c>
      <c r="N2831" s="31">
        <f>0.703*L2831</f>
        <v>0</v>
      </c>
      <c r="O2831" s="32">
        <f>0.00223*L2831</f>
        <v>0</v>
      </c>
      <c r="P2831" s="36"/>
      <c r="Q2831" s="29" t="s">
        <v>9345</v>
      </c>
      <c r="R2831" s="29"/>
      <c r="S2831" s="26" t="str">
        <f>HYPERLINK("https://miland.ru/api/getInfo/image/8abec956-15cb-11f0-a279-00155d82e908")</f>
        <v>https://miland.ru/api/getInfo/image/8abec956-15cb-11f0-a279-00155d82e908</v>
      </c>
    </row>
    <row r="2832" spans="1:19" s="1" customFormat="1" ht="12" customHeight="1" outlineLevel="6">
      <c r="A2832" s="64" t="s">
        <v>9346</v>
      </c>
      <c r="B2832" s="64"/>
      <c r="C2832" s="64"/>
      <c r="D2832" s="64"/>
      <c r="E2832" s="64"/>
      <c r="F2832" s="64"/>
      <c r="G2832" s="8"/>
      <c r="H2832" s="12"/>
      <c r="I2832" s="2"/>
      <c r="J2832" s="2"/>
      <c r="K2832" s="13"/>
      <c r="L2832" s="2"/>
      <c r="M2832" s="2"/>
      <c r="N2832" s="2"/>
      <c r="O2832" s="2"/>
      <c r="P2832" s="2"/>
      <c r="Q2832" s="2"/>
      <c r="R2832" s="2"/>
      <c r="S2832" s="2"/>
    </row>
    <row r="2833" spans="1:19" s="2" customFormat="1" ht="96.2" customHeight="1" outlineLevel="7">
      <c r="A2833" s="53">
        <v>2220</v>
      </c>
      <c r="B2833" s="10" t="s">
        <v>9347</v>
      </c>
      <c r="C2833" s="65" t="s">
        <v>9348</v>
      </c>
      <c r="D2833" s="65"/>
      <c r="E2833" s="65"/>
      <c r="F2833" s="65"/>
      <c r="G2833" s="11" t="s">
        <v>9349</v>
      </c>
      <c r="H2833" s="21" t="s">
        <v>44</v>
      </c>
      <c r="I2833" s="15"/>
      <c r="J2833" s="9">
        <v>1</v>
      </c>
      <c r="K2833" s="16">
        <v>557.11</v>
      </c>
      <c r="L2833" s="17"/>
      <c r="M2833" s="15">
        <f>K2833*L2833</f>
        <v>0</v>
      </c>
      <c r="N2833" s="18">
        <f>0.387*L2833</f>
        <v>0</v>
      </c>
      <c r="O2833" s="19">
        <f>0.00151*L2833</f>
        <v>0</v>
      </c>
      <c r="P2833" s="24" t="s">
        <v>26</v>
      </c>
      <c r="Q2833" s="15" t="s">
        <v>9350</v>
      </c>
      <c r="R2833" s="15"/>
      <c r="S2833" s="10" t="str">
        <f>HYPERLINK("https://miland.ru/api/getInfo/image/391de106-2814-11f1-a291-00155d82e908")</f>
        <v>https://miland.ru/api/getInfo/image/391de106-2814-11f1-a291-00155d82e908</v>
      </c>
    </row>
    <row r="2834" spans="1:19" s="2" customFormat="1" ht="96.2" customHeight="1" outlineLevel="7">
      <c r="A2834" s="53">
        <v>2221</v>
      </c>
      <c r="B2834" s="10" t="s">
        <v>9351</v>
      </c>
      <c r="C2834" s="65" t="s">
        <v>9352</v>
      </c>
      <c r="D2834" s="65"/>
      <c r="E2834" s="65"/>
      <c r="F2834" s="65"/>
      <c r="G2834" s="11" t="s">
        <v>9353</v>
      </c>
      <c r="H2834" s="21" t="s">
        <v>44</v>
      </c>
      <c r="I2834" s="15"/>
      <c r="J2834" s="9">
        <v>1</v>
      </c>
      <c r="K2834" s="16">
        <v>650.67999999999995</v>
      </c>
      <c r="L2834" s="17"/>
      <c r="M2834" s="15">
        <f>K2834*L2834</f>
        <v>0</v>
      </c>
      <c r="N2834" s="18">
        <f>0.477*L2834</f>
        <v>0</v>
      </c>
      <c r="O2834" s="19">
        <f>0.00179*L2834</f>
        <v>0</v>
      </c>
      <c r="P2834" s="24" t="s">
        <v>26</v>
      </c>
      <c r="Q2834" s="15" t="s">
        <v>9354</v>
      </c>
      <c r="R2834" s="15"/>
      <c r="S2834" s="10" t="str">
        <f>HYPERLINK("https://miland.ru/api/getInfo/image/53140148-2814-11f1-a291-00155d82e908")</f>
        <v>https://miland.ru/api/getInfo/image/53140148-2814-11f1-a291-00155d82e908</v>
      </c>
    </row>
    <row r="2835" spans="1:19" s="2" customFormat="1" ht="96.2" customHeight="1" outlineLevel="7">
      <c r="A2835" s="53">
        <v>2222</v>
      </c>
      <c r="B2835" s="10" t="s">
        <v>9355</v>
      </c>
      <c r="C2835" s="65" t="s">
        <v>9356</v>
      </c>
      <c r="D2835" s="65"/>
      <c r="E2835" s="65"/>
      <c r="F2835" s="65"/>
      <c r="G2835" s="11" t="s">
        <v>9357</v>
      </c>
      <c r="H2835" s="21" t="s">
        <v>44</v>
      </c>
      <c r="I2835" s="15"/>
      <c r="J2835" s="9">
        <v>1</v>
      </c>
      <c r="K2835" s="16">
        <v>752.97</v>
      </c>
      <c r="L2835" s="17"/>
      <c r="M2835" s="15">
        <f>K2835*L2835</f>
        <v>0</v>
      </c>
      <c r="N2835" s="18">
        <f>0.617*L2835</f>
        <v>0</v>
      </c>
      <c r="O2835" s="19">
        <f>0.00232*L2835</f>
        <v>0</v>
      </c>
      <c r="P2835" s="24" t="s">
        <v>26</v>
      </c>
      <c r="Q2835" s="15" t="s">
        <v>9358</v>
      </c>
      <c r="R2835" s="15"/>
      <c r="S2835" s="10" t="str">
        <f>HYPERLINK("https://miland.ru/api/getInfo/image/6a8e9227-2814-11f1-a291-00155d82e908")</f>
        <v>https://miland.ru/api/getInfo/image/6a8e9227-2814-11f1-a291-00155d82e908</v>
      </c>
    </row>
    <row r="2836" spans="1:19" s="1" customFormat="1" ht="12" customHeight="1" outlineLevel="6">
      <c r="A2836" s="64" t="s">
        <v>9359</v>
      </c>
      <c r="B2836" s="64"/>
      <c r="C2836" s="64"/>
      <c r="D2836" s="64"/>
      <c r="E2836" s="64"/>
      <c r="F2836" s="64"/>
      <c r="G2836" s="8"/>
      <c r="H2836" s="12"/>
      <c r="I2836" s="2"/>
      <c r="J2836" s="2"/>
      <c r="K2836" s="13"/>
      <c r="L2836" s="2"/>
      <c r="M2836" s="2"/>
      <c r="N2836" s="2"/>
      <c r="O2836" s="2"/>
      <c r="P2836" s="2"/>
      <c r="Q2836" s="2"/>
      <c r="R2836" s="2"/>
      <c r="S2836" s="2"/>
    </row>
    <row r="2837" spans="1:19" s="2" customFormat="1" ht="96.2" customHeight="1" outlineLevel="7">
      <c r="A2837" s="53">
        <v>2223</v>
      </c>
      <c r="B2837" s="10" t="s">
        <v>9360</v>
      </c>
      <c r="C2837" s="65" t="s">
        <v>9361</v>
      </c>
      <c r="D2837" s="65"/>
      <c r="E2837" s="65"/>
      <c r="F2837" s="65"/>
      <c r="G2837" s="11" t="s">
        <v>9362</v>
      </c>
      <c r="H2837" s="21" t="s">
        <v>44</v>
      </c>
      <c r="I2837" s="15"/>
      <c r="J2837" s="9">
        <v>1</v>
      </c>
      <c r="K2837" s="16">
        <v>557.11</v>
      </c>
      <c r="L2837" s="17"/>
      <c r="M2837" s="15">
        <f>K2837*L2837</f>
        <v>0</v>
      </c>
      <c r="N2837" s="18">
        <f>0.346*L2837</f>
        <v>0</v>
      </c>
      <c r="O2837" s="19">
        <f>0.00147*L2837</f>
        <v>0</v>
      </c>
      <c r="P2837" s="24" t="s">
        <v>26</v>
      </c>
      <c r="Q2837" s="15" t="s">
        <v>9363</v>
      </c>
      <c r="R2837" s="15"/>
      <c r="S2837" s="10" t="str">
        <f>HYPERLINK("https://miland.ru/api/getInfo/image/f25752f2-2813-11f1-a291-00155d82e908")</f>
        <v>https://miland.ru/api/getInfo/image/f25752f2-2813-11f1-a291-00155d82e908</v>
      </c>
    </row>
    <row r="2838" spans="1:19" s="2" customFormat="1" ht="96.2" customHeight="1" outlineLevel="7">
      <c r="A2838" s="53">
        <v>2224</v>
      </c>
      <c r="B2838" s="10" t="s">
        <v>9364</v>
      </c>
      <c r="C2838" s="65" t="s">
        <v>9365</v>
      </c>
      <c r="D2838" s="65"/>
      <c r="E2838" s="65"/>
      <c r="F2838" s="65"/>
      <c r="G2838" s="11" t="s">
        <v>9366</v>
      </c>
      <c r="H2838" s="21" t="s">
        <v>44</v>
      </c>
      <c r="I2838" s="15"/>
      <c r="J2838" s="9">
        <v>1</v>
      </c>
      <c r="K2838" s="16">
        <v>650.67999999999995</v>
      </c>
      <c r="L2838" s="17"/>
      <c r="M2838" s="15">
        <f>K2838*L2838</f>
        <v>0</v>
      </c>
      <c r="N2838" s="18">
        <f>0.497*L2838</f>
        <v>0</v>
      </c>
      <c r="O2838" s="19">
        <f>0.00243*L2838</f>
        <v>0</v>
      </c>
      <c r="P2838" s="24" t="s">
        <v>26</v>
      </c>
      <c r="Q2838" s="15" t="s">
        <v>9367</v>
      </c>
      <c r="R2838" s="15"/>
      <c r="S2838" s="10" t="str">
        <f>HYPERLINK("https://miland.ru/api/getInfo/image/0644acdf-2814-11f1-a291-00155d82e908")</f>
        <v>https://miland.ru/api/getInfo/image/0644acdf-2814-11f1-a291-00155d82e908</v>
      </c>
    </row>
    <row r="2839" spans="1:19" s="2" customFormat="1" ht="96.2" customHeight="1" outlineLevel="7">
      <c r="A2839" s="53">
        <v>2225</v>
      </c>
      <c r="B2839" s="10" t="s">
        <v>9368</v>
      </c>
      <c r="C2839" s="65" t="s">
        <v>9369</v>
      </c>
      <c r="D2839" s="65"/>
      <c r="E2839" s="65"/>
      <c r="F2839" s="65"/>
      <c r="G2839" s="11" t="s">
        <v>9370</v>
      </c>
      <c r="H2839" s="21" t="s">
        <v>44</v>
      </c>
      <c r="I2839" s="15"/>
      <c r="J2839" s="9">
        <v>1</v>
      </c>
      <c r="K2839" s="16">
        <v>752.97</v>
      </c>
      <c r="L2839" s="17"/>
      <c r="M2839" s="15">
        <f>K2839*L2839</f>
        <v>0</v>
      </c>
      <c r="N2839" s="55">
        <f>0.6*L2839</f>
        <v>0</v>
      </c>
      <c r="O2839" s="19">
        <f>0.00225*L2839</f>
        <v>0</v>
      </c>
      <c r="P2839" s="24" t="s">
        <v>26</v>
      </c>
      <c r="Q2839" s="15" t="s">
        <v>9371</v>
      </c>
      <c r="R2839" s="15"/>
      <c r="S2839" s="10" t="str">
        <f>HYPERLINK("https://miland.ru/api/getInfo/image/1a5e6e69-2814-11f1-a291-00155d82e908")</f>
        <v>https://miland.ru/api/getInfo/image/1a5e6e69-2814-11f1-a291-00155d82e908</v>
      </c>
    </row>
    <row r="2840" spans="1:19" s="1" customFormat="1" ht="12" customHeight="1" outlineLevel="6">
      <c r="A2840" s="64" t="s">
        <v>9372</v>
      </c>
      <c r="B2840" s="64"/>
      <c r="C2840" s="64"/>
      <c r="D2840" s="64"/>
      <c r="E2840" s="64"/>
      <c r="F2840" s="64"/>
      <c r="G2840" s="8"/>
      <c r="H2840" s="12"/>
      <c r="I2840" s="2"/>
      <c r="J2840" s="2"/>
      <c r="K2840" s="13"/>
      <c r="L2840" s="2"/>
      <c r="M2840" s="2"/>
      <c r="N2840" s="2"/>
      <c r="O2840" s="2"/>
      <c r="P2840" s="2"/>
      <c r="Q2840" s="2"/>
      <c r="R2840" s="2"/>
      <c r="S2840" s="2"/>
    </row>
    <row r="2841" spans="1:19" s="2" customFormat="1" ht="96.2" customHeight="1" outlineLevel="7">
      <c r="A2841" s="52">
        <v>2226</v>
      </c>
      <c r="B2841" s="26" t="s">
        <v>9373</v>
      </c>
      <c r="C2841" s="66" t="s">
        <v>9374</v>
      </c>
      <c r="D2841" s="66"/>
      <c r="E2841" s="66"/>
      <c r="F2841" s="66"/>
      <c r="G2841" s="27" t="s">
        <v>9375</v>
      </c>
      <c r="H2841" s="28" t="s">
        <v>44</v>
      </c>
      <c r="I2841" s="29"/>
      <c r="J2841" s="25">
        <v>1</v>
      </c>
      <c r="K2841" s="30">
        <v>557.11</v>
      </c>
      <c r="L2841" s="17"/>
      <c r="M2841" s="29">
        <f>K2841*L2841</f>
        <v>0</v>
      </c>
      <c r="N2841" s="31">
        <f>0.381*L2841</f>
        <v>0</v>
      </c>
      <c r="O2841" s="32">
        <f>0.00147*L2841</f>
        <v>0</v>
      </c>
      <c r="P2841" s="36"/>
      <c r="Q2841" s="29" t="s">
        <v>9376</v>
      </c>
      <c r="R2841" s="29"/>
      <c r="S2841" s="26" t="str">
        <f>HYPERLINK("https://miland.ru/api/getInfo/image/ecd2f170-15cb-11f0-a279-00155d82e908")</f>
        <v>https://miland.ru/api/getInfo/image/ecd2f170-15cb-11f0-a279-00155d82e908</v>
      </c>
    </row>
    <row r="2842" spans="1:19" s="2" customFormat="1" ht="96.2" customHeight="1" outlineLevel="7">
      <c r="A2842" s="52">
        <v>2227</v>
      </c>
      <c r="B2842" s="26" t="s">
        <v>9377</v>
      </c>
      <c r="C2842" s="66" t="s">
        <v>9378</v>
      </c>
      <c r="D2842" s="66"/>
      <c r="E2842" s="66"/>
      <c r="F2842" s="66"/>
      <c r="G2842" s="27" t="s">
        <v>9379</v>
      </c>
      <c r="H2842" s="28" t="s">
        <v>44</v>
      </c>
      <c r="I2842" s="29"/>
      <c r="J2842" s="25">
        <v>1</v>
      </c>
      <c r="K2842" s="30">
        <v>650.67999999999995</v>
      </c>
      <c r="L2842" s="17"/>
      <c r="M2842" s="29">
        <f>K2842*L2842</f>
        <v>0</v>
      </c>
      <c r="N2842" s="31">
        <f>0.501*L2842</f>
        <v>0</v>
      </c>
      <c r="O2842" s="32">
        <f>0.00209*L2842</f>
        <v>0</v>
      </c>
      <c r="P2842" s="36"/>
      <c r="Q2842" s="29" t="s">
        <v>9380</v>
      </c>
      <c r="R2842" s="29"/>
      <c r="S2842" s="26" t="str">
        <f>HYPERLINK("https://miland.ru/api/getInfo/image/3a3b818e-15cc-11f0-a279-00155d82e908")</f>
        <v>https://miland.ru/api/getInfo/image/3a3b818e-15cc-11f0-a279-00155d82e908</v>
      </c>
    </row>
    <row r="2843" spans="1:19" s="2" customFormat="1" ht="96.2" customHeight="1" outlineLevel="7">
      <c r="A2843" s="52">
        <v>2228</v>
      </c>
      <c r="B2843" s="26" t="s">
        <v>9381</v>
      </c>
      <c r="C2843" s="66" t="s">
        <v>9382</v>
      </c>
      <c r="D2843" s="66"/>
      <c r="E2843" s="66"/>
      <c r="F2843" s="66"/>
      <c r="G2843" s="27" t="s">
        <v>9383</v>
      </c>
      <c r="H2843" s="28" t="s">
        <v>44</v>
      </c>
      <c r="I2843" s="29"/>
      <c r="J2843" s="25">
        <v>1</v>
      </c>
      <c r="K2843" s="30">
        <v>752.97</v>
      </c>
      <c r="L2843" s="17"/>
      <c r="M2843" s="29">
        <f>K2843*L2843</f>
        <v>0</v>
      </c>
      <c r="N2843" s="31">
        <f>0.639*L2843</f>
        <v>0</v>
      </c>
      <c r="O2843" s="32">
        <f>0.00232*L2843</f>
        <v>0</v>
      </c>
      <c r="P2843" s="36"/>
      <c r="Q2843" s="29" t="s">
        <v>9384</v>
      </c>
      <c r="R2843" s="29"/>
      <c r="S2843" s="26" t="str">
        <f>HYPERLINK("https://miland.ru/api/getInfo/image/922e751e-15cc-11f0-a279-00155d82e908")</f>
        <v>https://miland.ru/api/getInfo/image/922e751e-15cc-11f0-a279-00155d82e908</v>
      </c>
    </row>
    <row r="2844" spans="1:19" s="1" customFormat="1" ht="12" customHeight="1" outlineLevel="5">
      <c r="A2844" s="64" t="s">
        <v>9385</v>
      </c>
      <c r="B2844" s="64"/>
      <c r="C2844" s="64"/>
      <c r="D2844" s="64"/>
      <c r="E2844" s="64"/>
      <c r="F2844" s="64"/>
      <c r="G2844" s="8"/>
      <c r="H2844" s="12"/>
      <c r="I2844" s="2"/>
      <c r="J2844" s="2"/>
      <c r="K2844" s="13"/>
      <c r="L2844" s="2"/>
      <c r="M2844" s="2"/>
      <c r="N2844" s="2"/>
      <c r="O2844" s="2"/>
      <c r="P2844" s="2"/>
      <c r="Q2844" s="2"/>
      <c r="R2844" s="2"/>
      <c r="S2844" s="2"/>
    </row>
    <row r="2845" spans="1:19" s="1" customFormat="1" ht="12" customHeight="1" outlineLevel="6">
      <c r="A2845" s="64" t="s">
        <v>9386</v>
      </c>
      <c r="B2845" s="64"/>
      <c r="C2845" s="64"/>
      <c r="D2845" s="64"/>
      <c r="E2845" s="64"/>
      <c r="F2845" s="64"/>
      <c r="G2845" s="8"/>
      <c r="H2845" s="12"/>
      <c r="I2845" s="2"/>
      <c r="J2845" s="2"/>
      <c r="K2845" s="13"/>
      <c r="L2845" s="2"/>
      <c r="M2845" s="2"/>
      <c r="N2845" s="2"/>
      <c r="O2845" s="2"/>
      <c r="P2845" s="2"/>
      <c r="Q2845" s="2"/>
      <c r="R2845" s="2"/>
      <c r="S2845" s="2"/>
    </row>
    <row r="2846" spans="1:19" s="2" customFormat="1" ht="96.2" customHeight="1" outlineLevel="7">
      <c r="A2846" s="53">
        <v>2229</v>
      </c>
      <c r="B2846" s="10" t="s">
        <v>9387</v>
      </c>
      <c r="C2846" s="65" t="s">
        <v>9388</v>
      </c>
      <c r="D2846" s="65"/>
      <c r="E2846" s="65"/>
      <c r="F2846" s="65"/>
      <c r="G2846" s="11" t="s">
        <v>9389</v>
      </c>
      <c r="H2846" s="21" t="s">
        <v>44</v>
      </c>
      <c r="I2846" s="15"/>
      <c r="J2846" s="9">
        <v>1</v>
      </c>
      <c r="K2846" s="16">
        <v>557.11</v>
      </c>
      <c r="L2846" s="17"/>
      <c r="M2846" s="15">
        <f>K2846*L2846</f>
        <v>0</v>
      </c>
      <c r="N2846" s="18">
        <f>0.342*L2846</f>
        <v>0</v>
      </c>
      <c r="O2846" s="19">
        <f>0.00147*L2846</f>
        <v>0</v>
      </c>
      <c r="P2846" s="24" t="s">
        <v>26</v>
      </c>
      <c r="Q2846" s="15" t="s">
        <v>9390</v>
      </c>
      <c r="R2846" s="15"/>
      <c r="S2846" s="10" t="str">
        <f>HYPERLINK("https://miland.ru/api/getInfo/image/5bd013b3-2816-11f1-a291-00155d82e908")</f>
        <v>https://miland.ru/api/getInfo/image/5bd013b3-2816-11f1-a291-00155d82e908</v>
      </c>
    </row>
    <row r="2847" spans="1:19" s="2" customFormat="1" ht="96.2" customHeight="1" outlineLevel="7">
      <c r="A2847" s="53">
        <v>2230</v>
      </c>
      <c r="B2847" s="10" t="s">
        <v>9391</v>
      </c>
      <c r="C2847" s="65" t="s">
        <v>9392</v>
      </c>
      <c r="D2847" s="65"/>
      <c r="E2847" s="65"/>
      <c r="F2847" s="65"/>
      <c r="G2847" s="11" t="s">
        <v>9393</v>
      </c>
      <c r="H2847" s="21" t="s">
        <v>44</v>
      </c>
      <c r="I2847" s="15"/>
      <c r="J2847" s="9">
        <v>1</v>
      </c>
      <c r="K2847" s="16">
        <v>650.67999999999995</v>
      </c>
      <c r="L2847" s="17"/>
      <c r="M2847" s="15">
        <f>K2847*L2847</f>
        <v>0</v>
      </c>
      <c r="N2847" s="18">
        <f>0.489*L2847</f>
        <v>0</v>
      </c>
      <c r="O2847" s="20">
        <f>0.0019*L2847</f>
        <v>0</v>
      </c>
      <c r="P2847" s="24" t="s">
        <v>26</v>
      </c>
      <c r="Q2847" s="15" t="s">
        <v>9394</v>
      </c>
      <c r="R2847" s="15"/>
      <c r="S2847" s="10" t="str">
        <f>HYPERLINK("https://miland.ru/api/getInfo/image/7f2ef289-2816-11f1-a291-00155d82e908")</f>
        <v>https://miland.ru/api/getInfo/image/7f2ef289-2816-11f1-a291-00155d82e908</v>
      </c>
    </row>
    <row r="2848" spans="1:19" s="2" customFormat="1" ht="96.2" customHeight="1" outlineLevel="7">
      <c r="A2848" s="53">
        <v>2231</v>
      </c>
      <c r="B2848" s="10" t="s">
        <v>9395</v>
      </c>
      <c r="C2848" s="65" t="s">
        <v>9396</v>
      </c>
      <c r="D2848" s="65"/>
      <c r="E2848" s="65"/>
      <c r="F2848" s="65"/>
      <c r="G2848" s="11" t="s">
        <v>9397</v>
      </c>
      <c r="H2848" s="21" t="s">
        <v>44</v>
      </c>
      <c r="I2848" s="15"/>
      <c r="J2848" s="9">
        <v>1</v>
      </c>
      <c r="K2848" s="16">
        <v>752.97</v>
      </c>
      <c r="L2848" s="17"/>
      <c r="M2848" s="15">
        <f>K2848*L2848</f>
        <v>0</v>
      </c>
      <c r="N2848" s="18">
        <f>0.607*L2848</f>
        <v>0</v>
      </c>
      <c r="O2848" s="19">
        <f>0.00233*L2848</f>
        <v>0</v>
      </c>
      <c r="P2848" s="24" t="s">
        <v>26</v>
      </c>
      <c r="Q2848" s="15" t="s">
        <v>9398</v>
      </c>
      <c r="R2848" s="15"/>
      <c r="S2848" s="10" t="str">
        <f>HYPERLINK("https://miland.ru/api/getInfo/image/97f2d29b-2816-11f1-a291-00155d82e908")</f>
        <v>https://miland.ru/api/getInfo/image/97f2d29b-2816-11f1-a291-00155d82e908</v>
      </c>
    </row>
    <row r="2849" spans="1:19" s="1" customFormat="1" ht="12" customHeight="1" outlineLevel="6">
      <c r="A2849" s="64" t="s">
        <v>9399</v>
      </c>
      <c r="B2849" s="64"/>
      <c r="C2849" s="64"/>
      <c r="D2849" s="64"/>
      <c r="E2849" s="64"/>
      <c r="F2849" s="64"/>
      <c r="G2849" s="8"/>
      <c r="H2849" s="12"/>
      <c r="I2849" s="2"/>
      <c r="J2849" s="2"/>
      <c r="K2849" s="13"/>
      <c r="L2849" s="2"/>
      <c r="M2849" s="2"/>
      <c r="N2849" s="2"/>
      <c r="O2849" s="2"/>
      <c r="P2849" s="2"/>
      <c r="Q2849" s="2"/>
      <c r="R2849" s="2"/>
      <c r="S2849" s="2"/>
    </row>
    <row r="2850" spans="1:19" s="2" customFormat="1" ht="96.2" customHeight="1" outlineLevel="7">
      <c r="A2850" s="53">
        <v>2232</v>
      </c>
      <c r="B2850" s="10" t="s">
        <v>9400</v>
      </c>
      <c r="C2850" s="65" t="s">
        <v>9401</v>
      </c>
      <c r="D2850" s="65"/>
      <c r="E2850" s="65"/>
      <c r="F2850" s="65"/>
      <c r="G2850" s="11" t="s">
        <v>9402</v>
      </c>
      <c r="H2850" s="21" t="s">
        <v>44</v>
      </c>
      <c r="I2850" s="15"/>
      <c r="J2850" s="9">
        <v>1</v>
      </c>
      <c r="K2850" s="16">
        <v>557.11</v>
      </c>
      <c r="L2850" s="17"/>
      <c r="M2850" s="15">
        <f>K2850*L2850</f>
        <v>0</v>
      </c>
      <c r="N2850" s="18">
        <f>0.347*L2850</f>
        <v>0</v>
      </c>
      <c r="O2850" s="19">
        <f>0.00147*L2850</f>
        <v>0</v>
      </c>
      <c r="P2850" s="24" t="s">
        <v>26</v>
      </c>
      <c r="Q2850" s="15" t="s">
        <v>9403</v>
      </c>
      <c r="R2850" s="15"/>
      <c r="S2850" s="10" t="str">
        <f>HYPERLINK("https://miland.ru/api/getInfo/image/dd424f8d-2815-11f1-a291-00155d82e908")</f>
        <v>https://miland.ru/api/getInfo/image/dd424f8d-2815-11f1-a291-00155d82e908</v>
      </c>
    </row>
    <row r="2851" spans="1:19" s="2" customFormat="1" ht="96.2" customHeight="1" outlineLevel="7">
      <c r="A2851" s="53">
        <v>2233</v>
      </c>
      <c r="B2851" s="10" t="s">
        <v>9404</v>
      </c>
      <c r="C2851" s="65" t="s">
        <v>9405</v>
      </c>
      <c r="D2851" s="65"/>
      <c r="E2851" s="65"/>
      <c r="F2851" s="65"/>
      <c r="G2851" s="11" t="s">
        <v>9406</v>
      </c>
      <c r="H2851" s="21" t="s">
        <v>44</v>
      </c>
      <c r="I2851" s="15"/>
      <c r="J2851" s="9">
        <v>1</v>
      </c>
      <c r="K2851" s="16">
        <v>650.67999999999995</v>
      </c>
      <c r="L2851" s="17"/>
      <c r="M2851" s="15">
        <f>K2851*L2851</f>
        <v>0</v>
      </c>
      <c r="N2851" s="18">
        <f>0.472*L2851</f>
        <v>0</v>
      </c>
      <c r="O2851" s="19">
        <f>0.00197*L2851</f>
        <v>0</v>
      </c>
      <c r="P2851" s="24" t="s">
        <v>26</v>
      </c>
      <c r="Q2851" s="15" t="s">
        <v>9407</v>
      </c>
      <c r="R2851" s="15"/>
      <c r="S2851" s="10" t="str">
        <f>HYPERLINK("https://miland.ru/api/getInfo/image/f305c08f-2815-11f1-a291-00155d82e908")</f>
        <v>https://miland.ru/api/getInfo/image/f305c08f-2815-11f1-a291-00155d82e908</v>
      </c>
    </row>
    <row r="2852" spans="1:19" s="2" customFormat="1" ht="96.2" customHeight="1" outlineLevel="7">
      <c r="A2852" s="53">
        <v>2234</v>
      </c>
      <c r="B2852" s="10" t="s">
        <v>9408</v>
      </c>
      <c r="C2852" s="65" t="s">
        <v>9409</v>
      </c>
      <c r="D2852" s="65"/>
      <c r="E2852" s="65"/>
      <c r="F2852" s="65"/>
      <c r="G2852" s="11" t="s">
        <v>9410</v>
      </c>
      <c r="H2852" s="21" t="s">
        <v>44</v>
      </c>
      <c r="I2852" s="15"/>
      <c r="J2852" s="9">
        <v>1</v>
      </c>
      <c r="K2852" s="16">
        <v>752.97</v>
      </c>
      <c r="L2852" s="17"/>
      <c r="M2852" s="15">
        <f>K2852*L2852</f>
        <v>0</v>
      </c>
      <c r="N2852" s="18">
        <f>0.566*L2852</f>
        <v>0</v>
      </c>
      <c r="O2852" s="19">
        <f>0.00232*L2852</f>
        <v>0</v>
      </c>
      <c r="P2852" s="24" t="s">
        <v>26</v>
      </c>
      <c r="Q2852" s="15" t="s">
        <v>9411</v>
      </c>
      <c r="R2852" s="15"/>
      <c r="S2852" s="10" t="str">
        <f>HYPERLINK("https://miland.ru/api/getInfo/image/4365508a-2816-11f1-a291-00155d82e908")</f>
        <v>https://miland.ru/api/getInfo/image/4365508a-2816-11f1-a291-00155d82e908</v>
      </c>
    </row>
    <row r="2853" spans="1:19" s="1" customFormat="1" ht="12" customHeight="1" outlineLevel="5">
      <c r="A2853" s="64" t="s">
        <v>4121</v>
      </c>
      <c r="B2853" s="64"/>
      <c r="C2853" s="64"/>
      <c r="D2853" s="64"/>
      <c r="E2853" s="64"/>
      <c r="F2853" s="64"/>
      <c r="G2853" s="8"/>
      <c r="H2853" s="12"/>
      <c r="I2853" s="2"/>
      <c r="J2853" s="2"/>
      <c r="K2853" s="13"/>
      <c r="L2853" s="2"/>
      <c r="M2853" s="2"/>
      <c r="N2853" s="2"/>
      <c r="O2853" s="2"/>
      <c r="P2853" s="2"/>
      <c r="Q2853" s="2"/>
      <c r="R2853" s="2"/>
      <c r="S2853" s="2"/>
    </row>
    <row r="2854" spans="1:19" s="2" customFormat="1" ht="96.2" customHeight="1" outlineLevel="6">
      <c r="A2854" s="52">
        <v>2235</v>
      </c>
      <c r="B2854" s="26" t="s">
        <v>9412</v>
      </c>
      <c r="C2854" s="66" t="s">
        <v>9413</v>
      </c>
      <c r="D2854" s="66"/>
      <c r="E2854" s="66"/>
      <c r="F2854" s="66"/>
      <c r="G2854" s="27" t="s">
        <v>9414</v>
      </c>
      <c r="H2854" s="33">
        <v>408</v>
      </c>
      <c r="I2854" s="29"/>
      <c r="J2854" s="25">
        <v>1</v>
      </c>
      <c r="K2854" s="37">
        <v>1348.58</v>
      </c>
      <c r="L2854" s="17"/>
      <c r="M2854" s="29">
        <f>K2854*L2854</f>
        <v>0</v>
      </c>
      <c r="N2854" s="31">
        <f>0.686*L2854</f>
        <v>0</v>
      </c>
      <c r="O2854" s="32">
        <f>0.00275*L2854</f>
        <v>0</v>
      </c>
      <c r="P2854" s="36"/>
      <c r="Q2854" s="29" t="s">
        <v>9415</v>
      </c>
      <c r="R2854" s="29" t="s">
        <v>611</v>
      </c>
      <c r="S2854" s="26" t="str">
        <f>HYPERLINK("https://miland.ru/api/getInfo/image/273ec49a-18ce-11ef-a25d-00155d82e908")</f>
        <v>https://miland.ru/api/getInfo/image/273ec49a-18ce-11ef-a25d-00155d82e908</v>
      </c>
    </row>
    <row r="2855" spans="1:19" s="2" customFormat="1" ht="96.2" customHeight="1" outlineLevel="6">
      <c r="A2855" s="52">
        <v>2236</v>
      </c>
      <c r="B2855" s="26" t="s">
        <v>9416</v>
      </c>
      <c r="C2855" s="66" t="s">
        <v>9417</v>
      </c>
      <c r="D2855" s="66"/>
      <c r="E2855" s="66"/>
      <c r="F2855" s="66"/>
      <c r="G2855" s="27" t="s">
        <v>9418</v>
      </c>
      <c r="H2855" s="28" t="s">
        <v>44</v>
      </c>
      <c r="I2855" s="29"/>
      <c r="J2855" s="25">
        <v>1</v>
      </c>
      <c r="K2855" s="37">
        <v>1131.6199999999999</v>
      </c>
      <c r="L2855" s="17"/>
      <c r="M2855" s="29">
        <f>K2855*L2855</f>
        <v>0</v>
      </c>
      <c r="N2855" s="31">
        <f>0.915*L2855</f>
        <v>0</v>
      </c>
      <c r="O2855" s="32">
        <f>0.00246*L2855</f>
        <v>0</v>
      </c>
      <c r="P2855" s="36"/>
      <c r="Q2855" s="29" t="s">
        <v>9419</v>
      </c>
      <c r="R2855" s="29"/>
      <c r="S2855" s="26" t="str">
        <f>HYPERLINK("https://miland.ru/api/getInfo/image/f87e00b9-18cd-11ef-a25d-00155d82e908")</f>
        <v>https://miland.ru/api/getInfo/image/f87e00b9-18cd-11ef-a25d-00155d82e908</v>
      </c>
    </row>
    <row r="2856" spans="1:19" s="2" customFormat="1" ht="96.2" customHeight="1" outlineLevel="6">
      <c r="A2856" s="52">
        <v>2237</v>
      </c>
      <c r="B2856" s="26" t="s">
        <v>9420</v>
      </c>
      <c r="C2856" s="66" t="s">
        <v>9421</v>
      </c>
      <c r="D2856" s="66"/>
      <c r="E2856" s="66"/>
      <c r="F2856" s="66"/>
      <c r="G2856" s="27" t="s">
        <v>9422</v>
      </c>
      <c r="H2856" s="28" t="s">
        <v>44</v>
      </c>
      <c r="I2856" s="29"/>
      <c r="J2856" s="25">
        <v>1</v>
      </c>
      <c r="K2856" s="37">
        <v>1218.6600000000001</v>
      </c>
      <c r="L2856" s="17"/>
      <c r="M2856" s="29">
        <f>K2856*L2856</f>
        <v>0</v>
      </c>
      <c r="N2856" s="31">
        <f>1.108*L2856</f>
        <v>0</v>
      </c>
      <c r="O2856" s="32">
        <f>0.00311*L2856</f>
        <v>0</v>
      </c>
      <c r="P2856" s="36"/>
      <c r="Q2856" s="29" t="s">
        <v>9423</v>
      </c>
      <c r="R2856" s="29"/>
      <c r="S2856" s="26" t="str">
        <f>HYPERLINK("https://miland.ru/api/getInfo/image/cdfc74c5-18cd-11ef-a25d-00155d82e908")</f>
        <v>https://miland.ru/api/getInfo/image/cdfc74c5-18cd-11ef-a25d-00155d82e908</v>
      </c>
    </row>
    <row r="2857" spans="1:19" s="1" customFormat="1" ht="12" customHeight="1" outlineLevel="5">
      <c r="A2857" s="64" t="s">
        <v>2855</v>
      </c>
      <c r="B2857" s="64"/>
      <c r="C2857" s="64"/>
      <c r="D2857" s="64"/>
      <c r="E2857" s="64"/>
      <c r="F2857" s="64"/>
      <c r="G2857" s="8"/>
      <c r="H2857" s="12"/>
      <c r="I2857" s="2"/>
      <c r="J2857" s="2"/>
      <c r="K2857" s="13"/>
      <c r="L2857" s="2"/>
      <c r="M2857" s="2"/>
      <c r="N2857" s="2"/>
      <c r="O2857" s="2"/>
      <c r="P2857" s="2"/>
      <c r="Q2857" s="2"/>
      <c r="R2857" s="2"/>
      <c r="S2857" s="2"/>
    </row>
    <row r="2858" spans="1:19" s="1" customFormat="1" ht="12" customHeight="1" outlineLevel="6">
      <c r="A2858" s="64" t="s">
        <v>9424</v>
      </c>
      <c r="B2858" s="64"/>
      <c r="C2858" s="64"/>
      <c r="D2858" s="64"/>
      <c r="E2858" s="64"/>
      <c r="F2858" s="64"/>
      <c r="G2858" s="8"/>
      <c r="H2858" s="12"/>
      <c r="I2858" s="2"/>
      <c r="J2858" s="2"/>
      <c r="K2858" s="13"/>
      <c r="L2858" s="2"/>
      <c r="M2858" s="2"/>
      <c r="N2858" s="2"/>
      <c r="O2858" s="2"/>
      <c r="P2858" s="2"/>
      <c r="Q2858" s="2"/>
      <c r="R2858" s="2"/>
      <c r="S2858" s="2"/>
    </row>
    <row r="2859" spans="1:19" s="2" customFormat="1" ht="96.2" customHeight="1" outlineLevel="7">
      <c r="A2859" s="53">
        <v>2238</v>
      </c>
      <c r="B2859" s="10" t="s">
        <v>9425</v>
      </c>
      <c r="C2859" s="65" t="s">
        <v>9426</v>
      </c>
      <c r="D2859" s="65"/>
      <c r="E2859" s="65"/>
      <c r="F2859" s="65"/>
      <c r="G2859" s="11" t="s">
        <v>9427</v>
      </c>
      <c r="H2859" s="21" t="s">
        <v>44</v>
      </c>
      <c r="I2859" s="15"/>
      <c r="J2859" s="9">
        <v>1</v>
      </c>
      <c r="K2859" s="16">
        <v>638.74</v>
      </c>
      <c r="L2859" s="17"/>
      <c r="M2859" s="15">
        <f>K2859*L2859</f>
        <v>0</v>
      </c>
      <c r="N2859" s="18">
        <f>0.384*L2859</f>
        <v>0</v>
      </c>
      <c r="O2859" s="19">
        <f>0.00161*L2859</f>
        <v>0</v>
      </c>
      <c r="P2859" s="24" t="s">
        <v>26</v>
      </c>
      <c r="Q2859" s="15" t="s">
        <v>9428</v>
      </c>
      <c r="R2859" s="15"/>
      <c r="S2859" s="10" t="str">
        <f>HYPERLINK("https://miland.ru/api/getInfo/image/34fadd67-2817-11f1-a291-00155d82e908")</f>
        <v>https://miland.ru/api/getInfo/image/34fadd67-2817-11f1-a291-00155d82e908</v>
      </c>
    </row>
    <row r="2860" spans="1:19" s="2" customFormat="1" ht="96.2" customHeight="1" outlineLevel="7">
      <c r="A2860" s="53">
        <v>2239</v>
      </c>
      <c r="B2860" s="10" t="s">
        <v>9429</v>
      </c>
      <c r="C2860" s="65" t="s">
        <v>9430</v>
      </c>
      <c r="D2860" s="65"/>
      <c r="E2860" s="65"/>
      <c r="F2860" s="65"/>
      <c r="G2860" s="11" t="s">
        <v>9431</v>
      </c>
      <c r="H2860" s="21" t="s">
        <v>44</v>
      </c>
      <c r="I2860" s="15"/>
      <c r="J2860" s="9">
        <v>1</v>
      </c>
      <c r="K2860" s="16">
        <v>680.4</v>
      </c>
      <c r="L2860" s="17"/>
      <c r="M2860" s="15">
        <f>K2860*L2860</f>
        <v>0</v>
      </c>
      <c r="N2860" s="18">
        <f>0.486*L2860</f>
        <v>0</v>
      </c>
      <c r="O2860" s="19">
        <f>0.00197*L2860</f>
        <v>0</v>
      </c>
      <c r="P2860" s="24" t="s">
        <v>26</v>
      </c>
      <c r="Q2860" s="15" t="s">
        <v>9432</v>
      </c>
      <c r="R2860" s="15"/>
      <c r="S2860" s="10" t="str">
        <f>HYPERLINK("https://miland.ru/api/getInfo/image/50d5c172-2817-11f1-a291-00155d82e908")</f>
        <v>https://miland.ru/api/getInfo/image/50d5c172-2817-11f1-a291-00155d82e908</v>
      </c>
    </row>
    <row r="2861" spans="1:19" s="2" customFormat="1" ht="96.2" customHeight="1" outlineLevel="7">
      <c r="A2861" s="53">
        <v>2240</v>
      </c>
      <c r="B2861" s="10" t="s">
        <v>9433</v>
      </c>
      <c r="C2861" s="65" t="s">
        <v>9434</v>
      </c>
      <c r="D2861" s="65"/>
      <c r="E2861" s="65"/>
      <c r="F2861" s="65"/>
      <c r="G2861" s="11" t="s">
        <v>9435</v>
      </c>
      <c r="H2861" s="21" t="s">
        <v>44</v>
      </c>
      <c r="I2861" s="15"/>
      <c r="J2861" s="9">
        <v>1</v>
      </c>
      <c r="K2861" s="16">
        <v>777.6</v>
      </c>
      <c r="L2861" s="17"/>
      <c r="M2861" s="15">
        <f>K2861*L2861</f>
        <v>0</v>
      </c>
      <c r="N2861" s="18">
        <f>0.608*L2861</f>
        <v>0</v>
      </c>
      <c r="O2861" s="19">
        <f>0.00223*L2861</f>
        <v>0</v>
      </c>
      <c r="P2861" s="24" t="s">
        <v>26</v>
      </c>
      <c r="Q2861" s="15" t="s">
        <v>9436</v>
      </c>
      <c r="R2861" s="15"/>
      <c r="S2861" s="10" t="str">
        <f>HYPERLINK("https://miland.ru/api/getInfo/image/6947ffe4-2817-11f1-a291-00155d82e908")</f>
        <v>https://miland.ru/api/getInfo/image/6947ffe4-2817-11f1-a291-00155d82e908</v>
      </c>
    </row>
    <row r="2862" spans="1:19" s="1" customFormat="1" ht="12" customHeight="1" outlineLevel="6">
      <c r="A2862" s="64" t="s">
        <v>9437</v>
      </c>
      <c r="B2862" s="64"/>
      <c r="C2862" s="64"/>
      <c r="D2862" s="64"/>
      <c r="E2862" s="64"/>
      <c r="F2862" s="64"/>
      <c r="G2862" s="8"/>
      <c r="H2862" s="12"/>
      <c r="I2862" s="2"/>
      <c r="J2862" s="2"/>
      <c r="K2862" s="13"/>
      <c r="L2862" s="2"/>
      <c r="M2862" s="2"/>
      <c r="N2862" s="2"/>
      <c r="O2862" s="2"/>
      <c r="P2862" s="2"/>
      <c r="Q2862" s="2"/>
      <c r="R2862" s="2"/>
      <c r="S2862" s="2"/>
    </row>
    <row r="2863" spans="1:19" s="2" customFormat="1" ht="96.2" customHeight="1" outlineLevel="7">
      <c r="A2863" s="53">
        <v>2241</v>
      </c>
      <c r="B2863" s="10" t="s">
        <v>9438</v>
      </c>
      <c r="C2863" s="65" t="s">
        <v>9439</v>
      </c>
      <c r="D2863" s="65"/>
      <c r="E2863" s="65"/>
      <c r="F2863" s="65"/>
      <c r="G2863" s="11" t="s">
        <v>9440</v>
      </c>
      <c r="H2863" s="21" t="s">
        <v>44</v>
      </c>
      <c r="I2863" s="15"/>
      <c r="J2863" s="9">
        <v>1</v>
      </c>
      <c r="K2863" s="16">
        <v>638.74</v>
      </c>
      <c r="L2863" s="17"/>
      <c r="M2863" s="15">
        <f>K2863*L2863</f>
        <v>0</v>
      </c>
      <c r="N2863" s="18">
        <f>0.382*L2863</f>
        <v>0</v>
      </c>
      <c r="O2863" s="19">
        <f>0.00142*L2863</f>
        <v>0</v>
      </c>
      <c r="P2863" s="24" t="s">
        <v>26</v>
      </c>
      <c r="Q2863" s="15" t="s">
        <v>9441</v>
      </c>
      <c r="R2863" s="15"/>
      <c r="S2863" s="10" t="str">
        <f>HYPERLINK("https://miland.ru/api/getInfo/image/8148b55e-2817-11f1-a291-00155d82e908")</f>
        <v>https://miland.ru/api/getInfo/image/8148b55e-2817-11f1-a291-00155d82e908</v>
      </c>
    </row>
    <row r="2864" spans="1:19" s="2" customFormat="1" ht="96.2" customHeight="1" outlineLevel="7">
      <c r="A2864" s="53">
        <v>2242</v>
      </c>
      <c r="B2864" s="10" t="s">
        <v>9442</v>
      </c>
      <c r="C2864" s="65" t="s">
        <v>9443</v>
      </c>
      <c r="D2864" s="65"/>
      <c r="E2864" s="65"/>
      <c r="F2864" s="65"/>
      <c r="G2864" s="11" t="s">
        <v>9444</v>
      </c>
      <c r="H2864" s="21" t="s">
        <v>44</v>
      </c>
      <c r="I2864" s="15"/>
      <c r="J2864" s="9">
        <v>1</v>
      </c>
      <c r="K2864" s="16">
        <v>680.4</v>
      </c>
      <c r="L2864" s="17"/>
      <c r="M2864" s="15">
        <f>K2864*L2864</f>
        <v>0</v>
      </c>
      <c r="N2864" s="18">
        <f>0.491*L2864</f>
        <v>0</v>
      </c>
      <c r="O2864" s="19">
        <f>0.00189*L2864</f>
        <v>0</v>
      </c>
      <c r="P2864" s="24" t="s">
        <v>26</v>
      </c>
      <c r="Q2864" s="15" t="s">
        <v>9445</v>
      </c>
      <c r="R2864" s="15"/>
      <c r="S2864" s="10" t="str">
        <f>HYPERLINK("https://miland.ru/api/getInfo/image/9dc1d50d-2817-11f1-a291-00155d82e908")</f>
        <v>https://miland.ru/api/getInfo/image/9dc1d50d-2817-11f1-a291-00155d82e908</v>
      </c>
    </row>
    <row r="2865" spans="1:19" s="2" customFormat="1" ht="96.2" customHeight="1" outlineLevel="7">
      <c r="A2865" s="53">
        <v>2243</v>
      </c>
      <c r="B2865" s="10" t="s">
        <v>9446</v>
      </c>
      <c r="C2865" s="65" t="s">
        <v>9447</v>
      </c>
      <c r="D2865" s="65"/>
      <c r="E2865" s="65"/>
      <c r="F2865" s="65"/>
      <c r="G2865" s="11" t="s">
        <v>9448</v>
      </c>
      <c r="H2865" s="21" t="s">
        <v>44</v>
      </c>
      <c r="I2865" s="15"/>
      <c r="J2865" s="9">
        <v>1</v>
      </c>
      <c r="K2865" s="16">
        <v>777.6</v>
      </c>
      <c r="L2865" s="17"/>
      <c r="M2865" s="15">
        <f>K2865*L2865</f>
        <v>0</v>
      </c>
      <c r="N2865" s="18">
        <f>0.595*L2865</f>
        <v>0</v>
      </c>
      <c r="O2865" s="19">
        <f>0.00247*L2865</f>
        <v>0</v>
      </c>
      <c r="P2865" s="24" t="s">
        <v>26</v>
      </c>
      <c r="Q2865" s="15" t="s">
        <v>9449</v>
      </c>
      <c r="R2865" s="15"/>
      <c r="S2865" s="10" t="str">
        <f>HYPERLINK("https://miland.ru/api/getInfo/image/bd1787a2-2817-11f1-a291-00155d82e908")</f>
        <v>https://miland.ru/api/getInfo/image/bd1787a2-2817-11f1-a291-00155d82e908</v>
      </c>
    </row>
    <row r="2866" spans="1:19" s="1" customFormat="1" ht="12" customHeight="1" outlineLevel="6">
      <c r="A2866" s="64" t="s">
        <v>9450</v>
      </c>
      <c r="B2866" s="64"/>
      <c r="C2866" s="64"/>
      <c r="D2866" s="64"/>
      <c r="E2866" s="64"/>
      <c r="F2866" s="64"/>
      <c r="G2866" s="8"/>
      <c r="H2866" s="12"/>
      <c r="I2866" s="2"/>
      <c r="J2866" s="2"/>
      <c r="K2866" s="13"/>
      <c r="L2866" s="2"/>
      <c r="M2866" s="2"/>
      <c r="N2866" s="2"/>
      <c r="O2866" s="2"/>
      <c r="P2866" s="2"/>
      <c r="Q2866" s="2"/>
      <c r="R2866" s="2"/>
      <c r="S2866" s="2"/>
    </row>
    <row r="2867" spans="1:19" s="2" customFormat="1" ht="96.2" customHeight="1" outlineLevel="7">
      <c r="A2867" s="53">
        <v>2244</v>
      </c>
      <c r="B2867" s="10" t="s">
        <v>9451</v>
      </c>
      <c r="C2867" s="65" t="s">
        <v>9452</v>
      </c>
      <c r="D2867" s="65"/>
      <c r="E2867" s="65"/>
      <c r="F2867" s="65"/>
      <c r="G2867" s="11" t="s">
        <v>9453</v>
      </c>
      <c r="H2867" s="21" t="s">
        <v>44</v>
      </c>
      <c r="I2867" s="15"/>
      <c r="J2867" s="9">
        <v>1</v>
      </c>
      <c r="K2867" s="16">
        <v>638.74</v>
      </c>
      <c r="L2867" s="17"/>
      <c r="M2867" s="15">
        <f>K2867*L2867</f>
        <v>0</v>
      </c>
      <c r="N2867" s="18">
        <f>0.409*L2867</f>
        <v>0</v>
      </c>
      <c r="O2867" s="19">
        <f>0.00141*L2867</f>
        <v>0</v>
      </c>
      <c r="P2867" s="24" t="s">
        <v>26</v>
      </c>
      <c r="Q2867" s="15" t="s">
        <v>9454</v>
      </c>
      <c r="R2867" s="15"/>
      <c r="S2867" s="10" t="str">
        <f>HYPERLINK("https://miland.ru/api/getInfo/image/d2dc3474-2817-11f1-a291-00155d82e908")</f>
        <v>https://miland.ru/api/getInfo/image/d2dc3474-2817-11f1-a291-00155d82e908</v>
      </c>
    </row>
    <row r="2868" spans="1:19" s="2" customFormat="1" ht="96.2" customHeight="1" outlineLevel="7">
      <c r="A2868" s="53">
        <v>2245</v>
      </c>
      <c r="B2868" s="10" t="s">
        <v>9455</v>
      </c>
      <c r="C2868" s="65" t="s">
        <v>9456</v>
      </c>
      <c r="D2868" s="65"/>
      <c r="E2868" s="65"/>
      <c r="F2868" s="65"/>
      <c r="G2868" s="11" t="s">
        <v>9457</v>
      </c>
      <c r="H2868" s="21" t="s">
        <v>44</v>
      </c>
      <c r="I2868" s="15"/>
      <c r="J2868" s="9">
        <v>1</v>
      </c>
      <c r="K2868" s="16">
        <v>680.4</v>
      </c>
      <c r="L2868" s="17"/>
      <c r="M2868" s="15">
        <f>K2868*L2868</f>
        <v>0</v>
      </c>
      <c r="N2868" s="18">
        <f>0.486*L2868</f>
        <v>0</v>
      </c>
      <c r="O2868" s="19">
        <f>0.00179*L2868</f>
        <v>0</v>
      </c>
      <c r="P2868" s="24" t="s">
        <v>26</v>
      </c>
      <c r="Q2868" s="15" t="s">
        <v>9458</v>
      </c>
      <c r="R2868" s="15"/>
      <c r="S2868" s="10" t="str">
        <f>HYPERLINK("https://miland.ru/api/getInfo/image/f270c7fa-2817-11f1-a291-00155d82e908")</f>
        <v>https://miland.ru/api/getInfo/image/f270c7fa-2817-11f1-a291-00155d82e908</v>
      </c>
    </row>
    <row r="2869" spans="1:19" s="2" customFormat="1" ht="96.2" customHeight="1" outlineLevel="7">
      <c r="A2869" s="53">
        <v>2246</v>
      </c>
      <c r="B2869" s="10" t="s">
        <v>9459</v>
      </c>
      <c r="C2869" s="65" t="s">
        <v>9460</v>
      </c>
      <c r="D2869" s="65"/>
      <c r="E2869" s="65"/>
      <c r="F2869" s="65"/>
      <c r="G2869" s="11" t="s">
        <v>9461</v>
      </c>
      <c r="H2869" s="21" t="s">
        <v>44</v>
      </c>
      <c r="I2869" s="15"/>
      <c r="J2869" s="9">
        <v>1</v>
      </c>
      <c r="K2869" s="16">
        <v>777.6</v>
      </c>
      <c r="L2869" s="17"/>
      <c r="M2869" s="15">
        <f>K2869*L2869</f>
        <v>0</v>
      </c>
      <c r="N2869" s="18">
        <f>0.597*L2869</f>
        <v>0</v>
      </c>
      <c r="O2869" s="19">
        <f>0.00264*L2869</f>
        <v>0</v>
      </c>
      <c r="P2869" s="24" t="s">
        <v>26</v>
      </c>
      <c r="Q2869" s="15" t="s">
        <v>9462</v>
      </c>
      <c r="R2869" s="15"/>
      <c r="S2869" s="10" t="str">
        <f>HYPERLINK("https://miland.ru/api/getInfo/image/0b5ca0ca-2818-11f1-a291-00155d82e908")</f>
        <v>https://miland.ru/api/getInfo/image/0b5ca0ca-2818-11f1-a291-00155d82e908</v>
      </c>
    </row>
    <row r="2870" spans="1:19" s="1" customFormat="1" ht="12" customHeight="1" outlineLevel="4">
      <c r="A2870" s="64" t="s">
        <v>9463</v>
      </c>
      <c r="B2870" s="64"/>
      <c r="C2870" s="64"/>
      <c r="D2870" s="64"/>
      <c r="E2870" s="64"/>
      <c r="F2870" s="64"/>
      <c r="G2870" s="8"/>
      <c r="H2870" s="12"/>
      <c r="I2870" s="2"/>
      <c r="J2870" s="2"/>
      <c r="K2870" s="13"/>
      <c r="L2870" s="2"/>
      <c r="M2870" s="2"/>
      <c r="N2870" s="2"/>
      <c r="O2870" s="2"/>
      <c r="P2870" s="2"/>
      <c r="Q2870" s="2"/>
      <c r="R2870" s="2"/>
      <c r="S2870" s="2"/>
    </row>
    <row r="2871" spans="1:19" s="2" customFormat="1" ht="96.2" customHeight="1" outlineLevel="5">
      <c r="A2871" s="52">
        <v>2247</v>
      </c>
      <c r="B2871" s="26" t="s">
        <v>9464</v>
      </c>
      <c r="C2871" s="66" t="s">
        <v>9465</v>
      </c>
      <c r="D2871" s="66"/>
      <c r="E2871" s="66"/>
      <c r="F2871" s="66"/>
      <c r="G2871" s="27" t="s">
        <v>9466</v>
      </c>
      <c r="H2871" s="33">
        <v>12</v>
      </c>
      <c r="I2871" s="29"/>
      <c r="J2871" s="25">
        <v>1</v>
      </c>
      <c r="K2871" s="37">
        <v>1535.35</v>
      </c>
      <c r="L2871" s="17"/>
      <c r="M2871" s="29">
        <f>K2871*L2871</f>
        <v>0</v>
      </c>
      <c r="N2871" s="31">
        <f>0.958*L2871</f>
        <v>0</v>
      </c>
      <c r="O2871" s="32">
        <f>0.00355*L2871</f>
        <v>0</v>
      </c>
      <c r="P2871" s="36"/>
      <c r="Q2871" s="29" t="s">
        <v>9467</v>
      </c>
      <c r="R2871" s="29" t="s">
        <v>611</v>
      </c>
      <c r="S2871" s="26" t="str">
        <f>HYPERLINK("https://miland.ru/api/getInfo/image/9e0765c5-fc82-11ee-a25d-00155d82e908")</f>
        <v>https://miland.ru/api/getInfo/image/9e0765c5-fc82-11ee-a25d-00155d82e908</v>
      </c>
    </row>
    <row r="2872" spans="1:19" s="2" customFormat="1" ht="96.2" customHeight="1" outlineLevel="5">
      <c r="A2872" s="52">
        <v>2248</v>
      </c>
      <c r="B2872" s="26" t="s">
        <v>9468</v>
      </c>
      <c r="C2872" s="66" t="s">
        <v>9469</v>
      </c>
      <c r="D2872" s="66"/>
      <c r="E2872" s="66"/>
      <c r="F2872" s="66"/>
      <c r="G2872" s="27" t="s">
        <v>9470</v>
      </c>
      <c r="H2872" s="33">
        <v>235</v>
      </c>
      <c r="I2872" s="29"/>
      <c r="J2872" s="25">
        <v>1</v>
      </c>
      <c r="K2872" s="37">
        <v>1298.3900000000001</v>
      </c>
      <c r="L2872" s="17"/>
      <c r="M2872" s="29">
        <f>K2872*L2872</f>
        <v>0</v>
      </c>
      <c r="N2872" s="31">
        <f>0.357*L2872</f>
        <v>0</v>
      </c>
      <c r="O2872" s="32">
        <f>0.00147*L2872</f>
        <v>0</v>
      </c>
      <c r="P2872" s="36"/>
      <c r="Q2872" s="29" t="s">
        <v>9471</v>
      </c>
      <c r="R2872" s="29" t="s">
        <v>611</v>
      </c>
      <c r="S2872" s="26" t="str">
        <f>HYPERLINK("https://miland.ru/api/getInfo/image/e3fa41d4-27fa-11ef-a25f-00155d82e908")</f>
        <v>https://miland.ru/api/getInfo/image/e3fa41d4-27fa-11ef-a25f-00155d82e908</v>
      </c>
    </row>
    <row r="2873" spans="1:19" s="2" customFormat="1" ht="96.2" customHeight="1" outlineLevel="5">
      <c r="A2873" s="52">
        <v>2249</v>
      </c>
      <c r="B2873" s="26" t="s">
        <v>9472</v>
      </c>
      <c r="C2873" s="66" t="s">
        <v>9473</v>
      </c>
      <c r="D2873" s="66"/>
      <c r="E2873" s="66"/>
      <c r="F2873" s="66"/>
      <c r="G2873" s="27" t="s">
        <v>9474</v>
      </c>
      <c r="H2873" s="33">
        <v>239</v>
      </c>
      <c r="I2873" s="29"/>
      <c r="J2873" s="25">
        <v>1</v>
      </c>
      <c r="K2873" s="37">
        <v>1120.17</v>
      </c>
      <c r="L2873" s="17"/>
      <c r="M2873" s="29">
        <f>K2873*L2873</f>
        <v>0</v>
      </c>
      <c r="N2873" s="31">
        <f>0.487*L2873</f>
        <v>0</v>
      </c>
      <c r="O2873" s="32">
        <f>0.00523*L2873</f>
        <v>0</v>
      </c>
      <c r="P2873" s="36"/>
      <c r="Q2873" s="29" t="s">
        <v>9475</v>
      </c>
      <c r="R2873" s="29" t="s">
        <v>611</v>
      </c>
      <c r="S2873" s="26" t="str">
        <f>HYPERLINK("https://miland.ru/api/getInfo/image/1e748f42-27fb-11ef-a25f-00155d82e908")</f>
        <v>https://miland.ru/api/getInfo/image/1e748f42-27fb-11ef-a25f-00155d82e908</v>
      </c>
    </row>
    <row r="2874" spans="1:19" s="2" customFormat="1" ht="96.2" customHeight="1" outlineLevel="5">
      <c r="A2874" s="52">
        <v>2250</v>
      </c>
      <c r="B2874" s="26" t="s">
        <v>9476</v>
      </c>
      <c r="C2874" s="66" t="s">
        <v>9477</v>
      </c>
      <c r="D2874" s="66"/>
      <c r="E2874" s="66"/>
      <c r="F2874" s="66"/>
      <c r="G2874" s="27" t="s">
        <v>9478</v>
      </c>
      <c r="H2874" s="33">
        <v>5</v>
      </c>
      <c r="I2874" s="29"/>
      <c r="J2874" s="25">
        <v>1</v>
      </c>
      <c r="K2874" s="37">
        <v>1295.6199999999999</v>
      </c>
      <c r="L2874" s="17"/>
      <c r="M2874" s="29">
        <f>K2874*L2874</f>
        <v>0</v>
      </c>
      <c r="N2874" s="31">
        <f>1.009*L2874</f>
        <v>0</v>
      </c>
      <c r="O2874" s="35">
        <f>0.0072*L2874</f>
        <v>0</v>
      </c>
      <c r="P2874" s="36"/>
      <c r="Q2874" s="29" t="s">
        <v>9479</v>
      </c>
      <c r="R2874" s="29" t="s">
        <v>611</v>
      </c>
      <c r="S2874" s="26" t="str">
        <f>HYPERLINK("https://miland.ru/api/getInfo/image/35ac7dc2-27fb-11ef-a25f-00155d82e908")</f>
        <v>https://miland.ru/api/getInfo/image/35ac7dc2-27fb-11ef-a25f-00155d82e908</v>
      </c>
    </row>
    <row r="2875" spans="1:19" s="1" customFormat="1" ht="12" customHeight="1" outlineLevel="3">
      <c r="A2875" s="64" t="s">
        <v>9480</v>
      </c>
      <c r="B2875" s="64"/>
      <c r="C2875" s="64"/>
      <c r="D2875" s="64"/>
      <c r="E2875" s="64"/>
      <c r="F2875" s="64"/>
      <c r="G2875" s="8"/>
      <c r="H2875" s="12"/>
      <c r="I2875" s="2"/>
      <c r="J2875" s="2"/>
      <c r="K2875" s="13"/>
      <c r="L2875" s="2"/>
      <c r="M2875" s="2"/>
      <c r="N2875" s="2"/>
      <c r="O2875" s="2"/>
      <c r="P2875" s="2"/>
      <c r="Q2875" s="2"/>
      <c r="R2875" s="2"/>
      <c r="S2875" s="2"/>
    </row>
    <row r="2876" spans="1:19" s="1" customFormat="1" ht="12" customHeight="1" outlineLevel="4">
      <c r="A2876" s="64" t="s">
        <v>9481</v>
      </c>
      <c r="B2876" s="64"/>
      <c r="C2876" s="64"/>
      <c r="D2876" s="64"/>
      <c r="E2876" s="64"/>
      <c r="F2876" s="64"/>
      <c r="G2876" s="8"/>
      <c r="H2876" s="12"/>
      <c r="I2876" s="2"/>
      <c r="J2876" s="2"/>
      <c r="K2876" s="13"/>
      <c r="L2876" s="2"/>
      <c r="M2876" s="2"/>
      <c r="N2876" s="2"/>
      <c r="O2876" s="2"/>
      <c r="P2876" s="2"/>
      <c r="Q2876" s="2"/>
      <c r="R2876" s="2"/>
      <c r="S2876" s="2"/>
    </row>
    <row r="2877" spans="1:19" s="2" customFormat="1" ht="96.2" customHeight="1" outlineLevel="5">
      <c r="A2877" s="52">
        <v>2251</v>
      </c>
      <c r="B2877" s="26" t="s">
        <v>9482</v>
      </c>
      <c r="C2877" s="66" t="s">
        <v>9483</v>
      </c>
      <c r="D2877" s="66"/>
      <c r="E2877" s="66"/>
      <c r="F2877" s="66"/>
      <c r="G2877" s="27" t="s">
        <v>9484</v>
      </c>
      <c r="H2877" s="33">
        <v>332</v>
      </c>
      <c r="I2877" s="29"/>
      <c r="J2877" s="25">
        <v>1</v>
      </c>
      <c r="K2877" s="30">
        <v>513.61</v>
      </c>
      <c r="L2877" s="17"/>
      <c r="M2877" s="29">
        <f>K2877*L2877</f>
        <v>0</v>
      </c>
      <c r="N2877" s="31">
        <f>0.377*L2877</f>
        <v>0</v>
      </c>
      <c r="O2877" s="32">
        <f>0.00128*L2877</f>
        <v>0</v>
      </c>
      <c r="P2877" s="36"/>
      <c r="Q2877" s="29" t="s">
        <v>9485</v>
      </c>
      <c r="R2877" s="29"/>
      <c r="S2877" s="26" t="str">
        <f>HYPERLINK("https://miland.ru/api/getInfo/image/26e2d72c-15ca-11f0-a279-00155d82e908")</f>
        <v>https://miland.ru/api/getInfo/image/26e2d72c-15ca-11f0-a279-00155d82e908</v>
      </c>
    </row>
    <row r="2878" spans="1:19" s="2" customFormat="1" ht="96.2" customHeight="1" outlineLevel="5">
      <c r="A2878" s="53">
        <v>2252</v>
      </c>
      <c r="B2878" s="10" t="s">
        <v>9486</v>
      </c>
      <c r="C2878" s="65" t="s">
        <v>9487</v>
      </c>
      <c r="D2878" s="65"/>
      <c r="E2878" s="65"/>
      <c r="F2878" s="65"/>
      <c r="G2878" s="11" t="s">
        <v>9488</v>
      </c>
      <c r="H2878" s="21" t="s">
        <v>44</v>
      </c>
      <c r="I2878" s="15"/>
      <c r="J2878" s="9">
        <v>1</v>
      </c>
      <c r="K2878" s="16">
        <v>653.53</v>
      </c>
      <c r="L2878" s="17"/>
      <c r="M2878" s="15">
        <f>K2878*L2878</f>
        <v>0</v>
      </c>
      <c r="N2878" s="18">
        <f>0.575*L2878</f>
        <v>0</v>
      </c>
      <c r="O2878" s="19">
        <f>0.00222*L2878</f>
        <v>0</v>
      </c>
      <c r="P2878" s="24" t="s">
        <v>26</v>
      </c>
      <c r="Q2878" s="15" t="s">
        <v>9489</v>
      </c>
      <c r="R2878" s="15"/>
      <c r="S2878" s="10" t="str">
        <f>HYPERLINK("https://miland.ru/api/getInfo/image/53b35931-2811-11f1-a291-00155d82e908")</f>
        <v>https://miland.ru/api/getInfo/image/53b35931-2811-11f1-a291-00155d82e908</v>
      </c>
    </row>
    <row r="2879" spans="1:19" s="2" customFormat="1" ht="96.2" customHeight="1" outlineLevel="5">
      <c r="A2879" s="53">
        <v>2253</v>
      </c>
      <c r="B2879" s="10" t="s">
        <v>9490</v>
      </c>
      <c r="C2879" s="65" t="s">
        <v>9491</v>
      </c>
      <c r="D2879" s="65"/>
      <c r="E2879" s="65"/>
      <c r="F2879" s="65"/>
      <c r="G2879" s="11" t="s">
        <v>9492</v>
      </c>
      <c r="H2879" s="21" t="s">
        <v>44</v>
      </c>
      <c r="I2879" s="15"/>
      <c r="J2879" s="9">
        <v>1</v>
      </c>
      <c r="K2879" s="16">
        <v>653.53</v>
      </c>
      <c r="L2879" s="17"/>
      <c r="M2879" s="15">
        <f>K2879*L2879</f>
        <v>0</v>
      </c>
      <c r="N2879" s="18">
        <f>0.556*L2879</f>
        <v>0</v>
      </c>
      <c r="O2879" s="19">
        <f>0.00216*L2879</f>
        <v>0</v>
      </c>
      <c r="P2879" s="24" t="s">
        <v>26</v>
      </c>
      <c r="Q2879" s="15" t="s">
        <v>9493</v>
      </c>
      <c r="R2879" s="15"/>
      <c r="S2879" s="10" t="str">
        <f>HYPERLINK("https://miland.ru/api/getInfo/image/6a7b32c2-2811-11f1-a291-00155d82e908")</f>
        <v>https://miland.ru/api/getInfo/image/6a7b32c2-2811-11f1-a291-00155d82e908</v>
      </c>
    </row>
    <row r="2880" spans="1:19" s="2" customFormat="1" ht="96.2" customHeight="1" outlineLevel="5">
      <c r="A2880" s="53">
        <v>2254</v>
      </c>
      <c r="B2880" s="10" t="s">
        <v>9494</v>
      </c>
      <c r="C2880" s="65" t="s">
        <v>9495</v>
      </c>
      <c r="D2880" s="65"/>
      <c r="E2880" s="65"/>
      <c r="F2880" s="65"/>
      <c r="G2880" s="11" t="s">
        <v>9496</v>
      </c>
      <c r="H2880" s="21" t="s">
        <v>44</v>
      </c>
      <c r="I2880" s="15"/>
      <c r="J2880" s="9">
        <v>1</v>
      </c>
      <c r="K2880" s="16">
        <v>653.53</v>
      </c>
      <c r="L2880" s="17"/>
      <c r="M2880" s="15">
        <f>K2880*L2880</f>
        <v>0</v>
      </c>
      <c r="N2880" s="18">
        <f>0.574*L2880</f>
        <v>0</v>
      </c>
      <c r="O2880" s="19">
        <f>0.00253*L2880</f>
        <v>0</v>
      </c>
      <c r="P2880" s="24" t="s">
        <v>26</v>
      </c>
      <c r="Q2880" s="15" t="s">
        <v>9497</v>
      </c>
      <c r="R2880" s="15"/>
      <c r="S2880" s="10" t="str">
        <f>HYPERLINK("https://miland.ru/api/getInfo/image/08c92616-2811-11f1-a291-00155d82e908")</f>
        <v>https://miland.ru/api/getInfo/image/08c92616-2811-11f1-a291-00155d82e908</v>
      </c>
    </row>
    <row r="2881" spans="1:19" s="1" customFormat="1" ht="12" customHeight="1" outlineLevel="4">
      <c r="A2881" s="64" t="s">
        <v>9498</v>
      </c>
      <c r="B2881" s="64"/>
      <c r="C2881" s="64"/>
      <c r="D2881" s="64"/>
      <c r="E2881" s="64"/>
      <c r="F2881" s="64"/>
      <c r="G2881" s="8"/>
      <c r="H2881" s="12"/>
      <c r="I2881" s="2"/>
      <c r="J2881" s="2"/>
      <c r="K2881" s="13"/>
      <c r="L2881" s="2"/>
      <c r="M2881" s="2"/>
      <c r="N2881" s="2"/>
      <c r="O2881" s="2"/>
      <c r="P2881" s="2"/>
      <c r="Q2881" s="2"/>
      <c r="R2881" s="2"/>
      <c r="S2881" s="2"/>
    </row>
    <row r="2882" spans="1:19" s="2" customFormat="1" ht="96.2" customHeight="1" outlineLevel="5">
      <c r="A2882" s="52">
        <v>2255</v>
      </c>
      <c r="B2882" s="26" t="s">
        <v>9499</v>
      </c>
      <c r="C2882" s="66" t="s">
        <v>9500</v>
      </c>
      <c r="D2882" s="66"/>
      <c r="E2882" s="66"/>
      <c r="F2882" s="66"/>
      <c r="G2882" s="27" t="s">
        <v>9501</v>
      </c>
      <c r="H2882" s="33">
        <v>198</v>
      </c>
      <c r="I2882" s="29"/>
      <c r="J2882" s="25">
        <v>1</v>
      </c>
      <c r="K2882" s="30">
        <v>687.05</v>
      </c>
      <c r="L2882" s="17"/>
      <c r="M2882" s="29">
        <f t="shared" ref="M2882:M2901" si="137">K2882*L2882</f>
        <v>0</v>
      </c>
      <c r="N2882" s="31">
        <f>0.476*L2882</f>
        <v>0</v>
      </c>
      <c r="O2882" s="32">
        <f>0.00177*L2882</f>
        <v>0</v>
      </c>
      <c r="P2882" s="36"/>
      <c r="Q2882" s="29" t="s">
        <v>9502</v>
      </c>
      <c r="R2882" s="29"/>
      <c r="S2882" s="26" t="str">
        <f>HYPERLINK("https://miland.ru/api/getInfo/image/9e5df90d-6310-11f0-a282-00155d82e908")</f>
        <v>https://miland.ru/api/getInfo/image/9e5df90d-6310-11f0-a282-00155d82e908</v>
      </c>
    </row>
    <row r="2883" spans="1:19" s="2" customFormat="1" ht="96.2" customHeight="1" outlineLevel="5">
      <c r="A2883" s="52">
        <v>2256</v>
      </c>
      <c r="B2883" s="26" t="s">
        <v>9503</v>
      </c>
      <c r="C2883" s="66" t="s">
        <v>9504</v>
      </c>
      <c r="D2883" s="66"/>
      <c r="E2883" s="66"/>
      <c r="F2883" s="66"/>
      <c r="G2883" s="27" t="s">
        <v>9505</v>
      </c>
      <c r="H2883" s="33">
        <v>3</v>
      </c>
      <c r="I2883" s="29"/>
      <c r="J2883" s="25">
        <v>1</v>
      </c>
      <c r="K2883" s="30">
        <v>688.86</v>
      </c>
      <c r="L2883" s="17"/>
      <c r="M2883" s="29">
        <f t="shared" si="137"/>
        <v>0</v>
      </c>
      <c r="N2883" s="31">
        <f>0.478*L2883</f>
        <v>0</v>
      </c>
      <c r="O2883" s="32">
        <f>0.00163*L2883</f>
        <v>0</v>
      </c>
      <c r="P2883" s="36"/>
      <c r="Q2883" s="29" t="s">
        <v>9506</v>
      </c>
      <c r="R2883" s="29" t="s">
        <v>611</v>
      </c>
      <c r="S2883" s="26" t="str">
        <f>HYPERLINK("https://miland.ru/api/getInfo/image/b774dcf1-2198-11f0-a279-00155d82e908")</f>
        <v>https://miland.ru/api/getInfo/image/b774dcf1-2198-11f0-a279-00155d82e908</v>
      </c>
    </row>
    <row r="2884" spans="1:19" s="2" customFormat="1" ht="96.2" customHeight="1" outlineLevel="5">
      <c r="A2884" s="53">
        <v>2257</v>
      </c>
      <c r="B2884" s="10" t="s">
        <v>9507</v>
      </c>
      <c r="C2884" s="65" t="s">
        <v>9508</v>
      </c>
      <c r="D2884" s="65"/>
      <c r="E2884" s="65"/>
      <c r="F2884" s="65"/>
      <c r="G2884" s="11" t="s">
        <v>9509</v>
      </c>
      <c r="H2884" s="14">
        <v>47</v>
      </c>
      <c r="I2884" s="15"/>
      <c r="J2884" s="9">
        <v>1</v>
      </c>
      <c r="K2884" s="16">
        <v>624.86</v>
      </c>
      <c r="L2884" s="17"/>
      <c r="M2884" s="15">
        <f t="shared" si="137"/>
        <v>0</v>
      </c>
      <c r="N2884" s="18">
        <f>0.346*L2884</f>
        <v>0</v>
      </c>
      <c r="O2884" s="19">
        <f>0.00137*L2884</f>
        <v>0</v>
      </c>
      <c r="P2884" s="24" t="s">
        <v>26</v>
      </c>
      <c r="Q2884" s="15" t="s">
        <v>9510</v>
      </c>
      <c r="R2884" s="15"/>
      <c r="S2884" s="10" t="str">
        <f>HYPERLINK("https://miland.ru/api/getInfo/image/6637a618-2e6d-11f1-a292-00155d82e908")</f>
        <v>https://miland.ru/api/getInfo/image/6637a618-2e6d-11f1-a292-00155d82e908</v>
      </c>
    </row>
    <row r="2885" spans="1:19" s="2" customFormat="1" ht="96.2" customHeight="1" outlineLevel="5">
      <c r="A2885" s="52">
        <v>2258</v>
      </c>
      <c r="B2885" s="26" t="s">
        <v>9511</v>
      </c>
      <c r="C2885" s="66" t="s">
        <v>9512</v>
      </c>
      <c r="D2885" s="66"/>
      <c r="E2885" s="66"/>
      <c r="F2885" s="66"/>
      <c r="G2885" s="27" t="s">
        <v>9513</v>
      </c>
      <c r="H2885" s="33">
        <v>1</v>
      </c>
      <c r="I2885" s="29"/>
      <c r="J2885" s="25">
        <v>1</v>
      </c>
      <c r="K2885" s="30">
        <v>543.66</v>
      </c>
      <c r="L2885" s="17"/>
      <c r="M2885" s="29">
        <f t="shared" si="137"/>
        <v>0</v>
      </c>
      <c r="N2885" s="31">
        <f>0.381*L2885</f>
        <v>0</v>
      </c>
      <c r="O2885" s="32">
        <f>0.00136*L2885</f>
        <v>0</v>
      </c>
      <c r="P2885" s="36"/>
      <c r="Q2885" s="29" t="s">
        <v>9514</v>
      </c>
      <c r="R2885" s="29"/>
      <c r="S2885" s="26" t="str">
        <f>HYPERLINK("https://miland.ru/api/getInfo/image/5ef4ae39-fc81-11ee-a25d-00155d82e908")</f>
        <v>https://miland.ru/api/getInfo/image/5ef4ae39-fc81-11ee-a25d-00155d82e908</v>
      </c>
    </row>
    <row r="2886" spans="1:19" s="2" customFormat="1" ht="96.2" customHeight="1" outlineLevel="5">
      <c r="A2886" s="52">
        <v>2259</v>
      </c>
      <c r="B2886" s="26" t="s">
        <v>9515</v>
      </c>
      <c r="C2886" s="66" t="s">
        <v>9516</v>
      </c>
      <c r="D2886" s="66"/>
      <c r="E2886" s="66"/>
      <c r="F2886" s="66"/>
      <c r="G2886" s="27" t="s">
        <v>9517</v>
      </c>
      <c r="H2886" s="33">
        <v>3</v>
      </c>
      <c r="I2886" s="29"/>
      <c r="J2886" s="25">
        <v>1</v>
      </c>
      <c r="K2886" s="30">
        <v>541.25</v>
      </c>
      <c r="L2886" s="17"/>
      <c r="M2886" s="29">
        <f t="shared" si="137"/>
        <v>0</v>
      </c>
      <c r="N2886" s="31">
        <f>0.348*L2886</f>
        <v>0</v>
      </c>
      <c r="O2886" s="32">
        <f>0.00157*L2886</f>
        <v>0</v>
      </c>
      <c r="P2886" s="36"/>
      <c r="Q2886" s="29" t="s">
        <v>9518</v>
      </c>
      <c r="R2886" s="29" t="s">
        <v>611</v>
      </c>
      <c r="S2886" s="26" t="str">
        <f>HYPERLINK("https://miland.ru/api/getInfo/image/6cc9242f-2199-11f0-a279-00155d82e908")</f>
        <v>https://miland.ru/api/getInfo/image/6cc9242f-2199-11f0-a279-00155d82e908</v>
      </c>
    </row>
    <row r="2887" spans="1:19" s="2" customFormat="1" ht="96.2" customHeight="1" outlineLevel="5">
      <c r="A2887" s="52">
        <v>2260</v>
      </c>
      <c r="B2887" s="26" t="s">
        <v>9519</v>
      </c>
      <c r="C2887" s="66" t="s">
        <v>9520</v>
      </c>
      <c r="D2887" s="66"/>
      <c r="E2887" s="66"/>
      <c r="F2887" s="66"/>
      <c r="G2887" s="27" t="s">
        <v>9521</v>
      </c>
      <c r="H2887" s="33">
        <v>1</v>
      </c>
      <c r="I2887" s="29"/>
      <c r="J2887" s="25">
        <v>1</v>
      </c>
      <c r="K2887" s="30">
        <v>541.25</v>
      </c>
      <c r="L2887" s="17"/>
      <c r="M2887" s="29">
        <f t="shared" si="137"/>
        <v>0</v>
      </c>
      <c r="N2887" s="31">
        <f>0.355*L2887</f>
        <v>0</v>
      </c>
      <c r="O2887" s="32">
        <f>0.00161*L2887</f>
        <v>0</v>
      </c>
      <c r="P2887" s="36"/>
      <c r="Q2887" s="29" t="s">
        <v>9522</v>
      </c>
      <c r="R2887" s="29"/>
      <c r="S2887" s="26" t="str">
        <f>HYPERLINK("https://miland.ru/api/getInfo/image/433e351f-fc82-11ee-a25d-00155d82e908")</f>
        <v>https://miland.ru/api/getInfo/image/433e351f-fc82-11ee-a25d-00155d82e908</v>
      </c>
    </row>
    <row r="2888" spans="1:19" s="2" customFormat="1" ht="96.2" customHeight="1" outlineLevel="5">
      <c r="A2888" s="52">
        <v>2261</v>
      </c>
      <c r="B2888" s="26" t="s">
        <v>9523</v>
      </c>
      <c r="C2888" s="66" t="s">
        <v>9524</v>
      </c>
      <c r="D2888" s="66"/>
      <c r="E2888" s="66"/>
      <c r="F2888" s="66"/>
      <c r="G2888" s="27" t="s">
        <v>9525</v>
      </c>
      <c r="H2888" s="33">
        <v>1</v>
      </c>
      <c r="I2888" s="29"/>
      <c r="J2888" s="25">
        <v>1</v>
      </c>
      <c r="K2888" s="30">
        <v>541.25</v>
      </c>
      <c r="L2888" s="17"/>
      <c r="M2888" s="29">
        <f t="shared" si="137"/>
        <v>0</v>
      </c>
      <c r="N2888" s="31">
        <f>0.438*L2888</f>
        <v>0</v>
      </c>
      <c r="O2888" s="32">
        <f>0.00172*L2888</f>
        <v>0</v>
      </c>
      <c r="P2888" s="36"/>
      <c r="Q2888" s="29" t="s">
        <v>9526</v>
      </c>
      <c r="R2888" s="29"/>
      <c r="S2888" s="26" t="str">
        <f>HYPERLINK("https://miland.ru/api/getInfo/image/01e909af-fc82-11ee-a25d-00155d82e908")</f>
        <v>https://miland.ru/api/getInfo/image/01e909af-fc82-11ee-a25d-00155d82e908</v>
      </c>
    </row>
    <row r="2889" spans="1:19" s="2" customFormat="1" ht="96.2" customHeight="1" outlineLevel="5">
      <c r="A2889" s="52">
        <v>2262</v>
      </c>
      <c r="B2889" s="26" t="s">
        <v>9527</v>
      </c>
      <c r="C2889" s="66" t="s">
        <v>9528</v>
      </c>
      <c r="D2889" s="66"/>
      <c r="E2889" s="66"/>
      <c r="F2889" s="66"/>
      <c r="G2889" s="27" t="s">
        <v>9529</v>
      </c>
      <c r="H2889" s="33">
        <v>9</v>
      </c>
      <c r="I2889" s="29"/>
      <c r="J2889" s="25">
        <v>1</v>
      </c>
      <c r="K2889" s="30">
        <v>698.99</v>
      </c>
      <c r="L2889" s="17"/>
      <c r="M2889" s="29">
        <f t="shared" si="137"/>
        <v>0</v>
      </c>
      <c r="N2889" s="31">
        <f>0.467*L2889</f>
        <v>0</v>
      </c>
      <c r="O2889" s="32">
        <f>0.00253*L2889</f>
        <v>0</v>
      </c>
      <c r="P2889" s="36"/>
      <c r="Q2889" s="29" t="s">
        <v>9530</v>
      </c>
      <c r="R2889" s="29" t="s">
        <v>611</v>
      </c>
      <c r="S2889" s="26" t="str">
        <f>HYPERLINK("https://miland.ru/api/getInfo/image/ff8422f8-2199-11f0-a279-00155d82e908")</f>
        <v>https://miland.ru/api/getInfo/image/ff8422f8-2199-11f0-a279-00155d82e908</v>
      </c>
    </row>
    <row r="2890" spans="1:19" s="2" customFormat="1" ht="96.2" customHeight="1" outlineLevel="5">
      <c r="A2890" s="52">
        <v>2263</v>
      </c>
      <c r="B2890" s="26" t="s">
        <v>9531</v>
      </c>
      <c r="C2890" s="66" t="s">
        <v>9532</v>
      </c>
      <c r="D2890" s="66"/>
      <c r="E2890" s="66"/>
      <c r="F2890" s="66"/>
      <c r="G2890" s="27" t="s">
        <v>9533</v>
      </c>
      <c r="H2890" s="33">
        <v>29</v>
      </c>
      <c r="I2890" s="29"/>
      <c r="J2890" s="25">
        <v>1</v>
      </c>
      <c r="K2890" s="30">
        <v>815.43</v>
      </c>
      <c r="L2890" s="17"/>
      <c r="M2890" s="29">
        <f t="shared" si="137"/>
        <v>0</v>
      </c>
      <c r="N2890" s="31">
        <f>0.473*L2890</f>
        <v>0</v>
      </c>
      <c r="O2890" s="32">
        <f>0.00252*L2890</f>
        <v>0</v>
      </c>
      <c r="P2890" s="36"/>
      <c r="Q2890" s="29" t="s">
        <v>9534</v>
      </c>
      <c r="R2890" s="29" t="s">
        <v>611</v>
      </c>
      <c r="S2890" s="26" t="str">
        <f>HYPERLINK("https://miland.ru/api/getInfo/image/d65ca49f-2193-11f0-a279-00155d82e908")</f>
        <v>https://miland.ru/api/getInfo/image/d65ca49f-2193-11f0-a279-00155d82e908</v>
      </c>
    </row>
    <row r="2891" spans="1:19" s="2" customFormat="1" ht="96.2" customHeight="1" outlineLevel="5">
      <c r="A2891" s="53">
        <v>2264</v>
      </c>
      <c r="B2891" s="10" t="s">
        <v>9535</v>
      </c>
      <c r="C2891" s="65" t="s">
        <v>9536</v>
      </c>
      <c r="D2891" s="65"/>
      <c r="E2891" s="65"/>
      <c r="F2891" s="65"/>
      <c r="G2891" s="11" t="s">
        <v>9537</v>
      </c>
      <c r="H2891" s="14">
        <v>233</v>
      </c>
      <c r="I2891" s="15"/>
      <c r="J2891" s="9">
        <v>1</v>
      </c>
      <c r="K2891" s="16">
        <v>879.43</v>
      </c>
      <c r="L2891" s="17"/>
      <c r="M2891" s="15">
        <f t="shared" si="137"/>
        <v>0</v>
      </c>
      <c r="N2891" s="18">
        <f>0.529*L2891</f>
        <v>0</v>
      </c>
      <c r="O2891" s="19">
        <f>0.00283*L2891</f>
        <v>0</v>
      </c>
      <c r="P2891" s="24" t="s">
        <v>26</v>
      </c>
      <c r="Q2891" s="15" t="s">
        <v>9538</v>
      </c>
      <c r="R2891" s="15"/>
      <c r="S2891" s="10" t="str">
        <f>HYPERLINK("https://miland.ru/api/getInfo/image/5dfd4aab-2e73-11f1-a292-00155d82e908")</f>
        <v>https://miland.ru/api/getInfo/image/5dfd4aab-2e73-11f1-a292-00155d82e908</v>
      </c>
    </row>
    <row r="2892" spans="1:19" s="2" customFormat="1" ht="96.2" customHeight="1" outlineLevel="5">
      <c r="A2892" s="53">
        <v>2265</v>
      </c>
      <c r="B2892" s="10" t="s">
        <v>9539</v>
      </c>
      <c r="C2892" s="65" t="s">
        <v>9540</v>
      </c>
      <c r="D2892" s="65"/>
      <c r="E2892" s="65"/>
      <c r="F2892" s="65"/>
      <c r="G2892" s="11" t="s">
        <v>9541</v>
      </c>
      <c r="H2892" s="14">
        <v>283</v>
      </c>
      <c r="I2892" s="15"/>
      <c r="J2892" s="9">
        <v>1</v>
      </c>
      <c r="K2892" s="16">
        <v>879.43</v>
      </c>
      <c r="L2892" s="17"/>
      <c r="M2892" s="15">
        <f t="shared" si="137"/>
        <v>0</v>
      </c>
      <c r="N2892" s="18">
        <f>0.476*L2892</f>
        <v>0</v>
      </c>
      <c r="O2892" s="19">
        <f>0.00268*L2892</f>
        <v>0</v>
      </c>
      <c r="P2892" s="24" t="s">
        <v>26</v>
      </c>
      <c r="Q2892" s="15" t="s">
        <v>9542</v>
      </c>
      <c r="R2892" s="15"/>
      <c r="S2892" s="10" t="str">
        <f>HYPERLINK("https://miland.ru/api/getInfo/image/10b18d3c-2e73-11f1-a292-00155d82e908")</f>
        <v>https://miland.ru/api/getInfo/image/10b18d3c-2e73-11f1-a292-00155d82e908</v>
      </c>
    </row>
    <row r="2893" spans="1:19" s="2" customFormat="1" ht="96.2" customHeight="1" outlineLevel="5">
      <c r="A2893" s="53">
        <v>2266</v>
      </c>
      <c r="B2893" s="10" t="s">
        <v>9543</v>
      </c>
      <c r="C2893" s="65" t="s">
        <v>9544</v>
      </c>
      <c r="D2893" s="65"/>
      <c r="E2893" s="65"/>
      <c r="F2893" s="65"/>
      <c r="G2893" s="11" t="s">
        <v>9545</v>
      </c>
      <c r="H2893" s="14">
        <v>267</v>
      </c>
      <c r="I2893" s="15"/>
      <c r="J2893" s="9">
        <v>1</v>
      </c>
      <c r="K2893" s="16">
        <v>879.43</v>
      </c>
      <c r="L2893" s="17"/>
      <c r="M2893" s="15">
        <f t="shared" si="137"/>
        <v>0</v>
      </c>
      <c r="N2893" s="18">
        <f>0.466*L2893</f>
        <v>0</v>
      </c>
      <c r="O2893" s="19">
        <f>0.00258*L2893</f>
        <v>0</v>
      </c>
      <c r="P2893" s="24" t="s">
        <v>26</v>
      </c>
      <c r="Q2893" s="15" t="s">
        <v>9546</v>
      </c>
      <c r="R2893" s="15"/>
      <c r="S2893" s="10" t="str">
        <f>HYPERLINK("https://miland.ru/api/getInfo/image/f2b7c059-2e71-11f1-a292-00155d82e908")</f>
        <v>https://miland.ru/api/getInfo/image/f2b7c059-2e71-11f1-a292-00155d82e908</v>
      </c>
    </row>
    <row r="2894" spans="1:19" s="2" customFormat="1" ht="96.2" customHeight="1" outlineLevel="5">
      <c r="A2894" s="52">
        <v>2267</v>
      </c>
      <c r="B2894" s="26" t="s">
        <v>9547</v>
      </c>
      <c r="C2894" s="66" t="s">
        <v>9548</v>
      </c>
      <c r="D2894" s="66"/>
      <c r="E2894" s="66"/>
      <c r="F2894" s="66"/>
      <c r="G2894" s="27" t="s">
        <v>9549</v>
      </c>
      <c r="H2894" s="33">
        <v>145</v>
      </c>
      <c r="I2894" s="29"/>
      <c r="J2894" s="25">
        <v>1</v>
      </c>
      <c r="K2894" s="37">
        <v>1087.32</v>
      </c>
      <c r="L2894" s="17"/>
      <c r="M2894" s="29">
        <f t="shared" si="137"/>
        <v>0</v>
      </c>
      <c r="N2894" s="31">
        <f>0.767*L2894</f>
        <v>0</v>
      </c>
      <c r="O2894" s="32">
        <f>0.00317*L2894</f>
        <v>0</v>
      </c>
      <c r="P2894" s="36"/>
      <c r="Q2894" s="29" t="s">
        <v>9550</v>
      </c>
      <c r="R2894" s="29"/>
      <c r="S2894" s="26" t="str">
        <f>HYPERLINK("https://miland.ru/api/getInfo/image/ca1248ee-fc82-11ee-a25d-00155d82e908")</f>
        <v>https://miland.ru/api/getInfo/image/ca1248ee-fc82-11ee-a25d-00155d82e908</v>
      </c>
    </row>
    <row r="2895" spans="1:19" s="2" customFormat="1" ht="96.2" customHeight="1" outlineLevel="5">
      <c r="A2895" s="52">
        <v>2268</v>
      </c>
      <c r="B2895" s="26" t="s">
        <v>9551</v>
      </c>
      <c r="C2895" s="66" t="s">
        <v>9552</v>
      </c>
      <c r="D2895" s="66"/>
      <c r="E2895" s="66"/>
      <c r="F2895" s="66"/>
      <c r="G2895" s="27" t="s">
        <v>9553</v>
      </c>
      <c r="H2895" s="33">
        <v>9</v>
      </c>
      <c r="I2895" s="29"/>
      <c r="J2895" s="25">
        <v>1</v>
      </c>
      <c r="K2895" s="30">
        <v>968.72</v>
      </c>
      <c r="L2895" s="17"/>
      <c r="M2895" s="29">
        <f t="shared" si="137"/>
        <v>0</v>
      </c>
      <c r="N2895" s="31">
        <f>0.702*L2895</f>
        <v>0</v>
      </c>
      <c r="O2895" s="32">
        <f>0.00255*L2895</f>
        <v>0</v>
      </c>
      <c r="P2895" s="36"/>
      <c r="Q2895" s="29" t="s">
        <v>9554</v>
      </c>
      <c r="R2895" s="29" t="s">
        <v>611</v>
      </c>
      <c r="S2895" s="26" t="str">
        <f>HYPERLINK("https://miland.ru/api/getInfo/image/431ca0db-219a-11f0-a279-00155d82e908")</f>
        <v>https://miland.ru/api/getInfo/image/431ca0db-219a-11f0-a279-00155d82e908</v>
      </c>
    </row>
    <row r="2896" spans="1:19" s="2" customFormat="1" ht="96.2" customHeight="1" outlineLevel="5">
      <c r="A2896" s="52">
        <v>2269</v>
      </c>
      <c r="B2896" s="26" t="s">
        <v>9555</v>
      </c>
      <c r="C2896" s="66" t="s">
        <v>9556</v>
      </c>
      <c r="D2896" s="66"/>
      <c r="E2896" s="66"/>
      <c r="F2896" s="66"/>
      <c r="G2896" s="27" t="s">
        <v>9557</v>
      </c>
      <c r="H2896" s="33">
        <v>8</v>
      </c>
      <c r="I2896" s="29"/>
      <c r="J2896" s="25">
        <v>1</v>
      </c>
      <c r="K2896" s="37">
        <v>1153.24</v>
      </c>
      <c r="L2896" s="17"/>
      <c r="M2896" s="29">
        <f t="shared" si="137"/>
        <v>0</v>
      </c>
      <c r="N2896" s="34">
        <f>0.79*L2896</f>
        <v>0</v>
      </c>
      <c r="O2896" s="35">
        <f>0.0037*L2896</f>
        <v>0</v>
      </c>
      <c r="P2896" s="36"/>
      <c r="Q2896" s="29" t="s">
        <v>9558</v>
      </c>
      <c r="R2896" s="29" t="s">
        <v>611</v>
      </c>
      <c r="S2896" s="26" t="str">
        <f>HYPERLINK("https://miland.ru/api/getInfo/image/237c11d9-2199-11f0-a279-00155d82e908")</f>
        <v>https://miland.ru/api/getInfo/image/237c11d9-2199-11f0-a279-00155d82e908</v>
      </c>
    </row>
    <row r="2897" spans="1:19" s="2" customFormat="1" ht="96.2" customHeight="1" outlineLevel="5">
      <c r="A2897" s="53">
        <v>2270</v>
      </c>
      <c r="B2897" s="10" t="s">
        <v>9559</v>
      </c>
      <c r="C2897" s="65" t="s">
        <v>9560</v>
      </c>
      <c r="D2897" s="65"/>
      <c r="E2897" s="65"/>
      <c r="F2897" s="65"/>
      <c r="G2897" s="11" t="s">
        <v>9561</v>
      </c>
      <c r="H2897" s="14">
        <v>100</v>
      </c>
      <c r="I2897" s="15"/>
      <c r="J2897" s="9">
        <v>1</v>
      </c>
      <c r="K2897" s="22">
        <v>1157.1400000000001</v>
      </c>
      <c r="L2897" s="17"/>
      <c r="M2897" s="15">
        <f t="shared" si="137"/>
        <v>0</v>
      </c>
      <c r="N2897" s="18">
        <f>0.723*L2897</f>
        <v>0</v>
      </c>
      <c r="O2897" s="19">
        <f>0.00187*L2897</f>
        <v>0</v>
      </c>
      <c r="P2897" s="24" t="s">
        <v>26</v>
      </c>
      <c r="Q2897" s="15" t="s">
        <v>9562</v>
      </c>
      <c r="R2897" s="15"/>
      <c r="S2897" s="10" t="str">
        <f>HYPERLINK("https://miland.ru/api/getInfo/image/b1e788e7-2e6d-11f1-a292-00155d82e908")</f>
        <v>https://miland.ru/api/getInfo/image/b1e788e7-2e6d-11f1-a292-00155d82e908</v>
      </c>
    </row>
    <row r="2898" spans="1:19" s="2" customFormat="1" ht="96.2" customHeight="1" outlineLevel="5">
      <c r="A2898" s="52">
        <v>2271</v>
      </c>
      <c r="B2898" s="26" t="s">
        <v>9563</v>
      </c>
      <c r="C2898" s="66" t="s">
        <v>9564</v>
      </c>
      <c r="D2898" s="66"/>
      <c r="E2898" s="66"/>
      <c r="F2898" s="66"/>
      <c r="G2898" s="27" t="s">
        <v>9565</v>
      </c>
      <c r="H2898" s="33">
        <v>2</v>
      </c>
      <c r="I2898" s="29"/>
      <c r="J2898" s="25">
        <v>1</v>
      </c>
      <c r="K2898" s="37">
        <v>1397.99</v>
      </c>
      <c r="L2898" s="17"/>
      <c r="M2898" s="29">
        <f t="shared" si="137"/>
        <v>0</v>
      </c>
      <c r="N2898" s="31">
        <f>0.892*L2898</f>
        <v>0</v>
      </c>
      <c r="O2898" s="35">
        <f>0.0035*L2898</f>
        <v>0</v>
      </c>
      <c r="P2898" s="36"/>
      <c r="Q2898" s="29" t="s">
        <v>9566</v>
      </c>
      <c r="R2898" s="29"/>
      <c r="S2898" s="26" t="str">
        <f>HYPERLINK("https://miland.ru/api/getInfo/image/8abccf68-fc81-11ee-a25d-00155d82e908")</f>
        <v>https://miland.ru/api/getInfo/image/8abccf68-fc81-11ee-a25d-00155d82e908</v>
      </c>
    </row>
    <row r="2899" spans="1:19" s="2" customFormat="1" ht="96.2" customHeight="1" outlineLevel="5">
      <c r="A2899" s="52">
        <v>2272</v>
      </c>
      <c r="B2899" s="26" t="s">
        <v>9567</v>
      </c>
      <c r="C2899" s="66" t="s">
        <v>9568</v>
      </c>
      <c r="D2899" s="66"/>
      <c r="E2899" s="66"/>
      <c r="F2899" s="66"/>
      <c r="G2899" s="27" t="s">
        <v>9569</v>
      </c>
      <c r="H2899" s="33">
        <v>279</v>
      </c>
      <c r="I2899" s="29"/>
      <c r="J2899" s="25">
        <v>1</v>
      </c>
      <c r="K2899" s="37">
        <v>1633.22</v>
      </c>
      <c r="L2899" s="17"/>
      <c r="M2899" s="29">
        <f t="shared" si="137"/>
        <v>0</v>
      </c>
      <c r="N2899" s="31">
        <f>0.849*L2899</f>
        <v>0</v>
      </c>
      <c r="O2899" s="32">
        <f>0.00358*L2899</f>
        <v>0</v>
      </c>
      <c r="P2899" s="36"/>
      <c r="Q2899" s="29" t="s">
        <v>9570</v>
      </c>
      <c r="R2899" s="29"/>
      <c r="S2899" s="26" t="str">
        <f>HYPERLINK("https://miland.ru/api/getInfo/image/a7e1f38d-fc80-11ee-a25d-00155d82e908")</f>
        <v>https://miland.ru/api/getInfo/image/a7e1f38d-fc80-11ee-a25d-00155d82e908</v>
      </c>
    </row>
    <row r="2900" spans="1:19" s="2" customFormat="1" ht="96.2" customHeight="1" outlineLevel="5">
      <c r="A2900" s="52">
        <v>2273</v>
      </c>
      <c r="B2900" s="26" t="s">
        <v>9571</v>
      </c>
      <c r="C2900" s="66" t="s">
        <v>9572</v>
      </c>
      <c r="D2900" s="66"/>
      <c r="E2900" s="66"/>
      <c r="F2900" s="66"/>
      <c r="G2900" s="27" t="s">
        <v>9573</v>
      </c>
      <c r="H2900" s="28" t="s">
        <v>44</v>
      </c>
      <c r="I2900" s="29"/>
      <c r="J2900" s="25">
        <v>1</v>
      </c>
      <c r="K2900" s="30">
        <v>514.16</v>
      </c>
      <c r="L2900" s="17"/>
      <c r="M2900" s="29">
        <f t="shared" si="137"/>
        <v>0</v>
      </c>
      <c r="N2900" s="31">
        <f>0.352*L2900</f>
        <v>0</v>
      </c>
      <c r="O2900" s="32">
        <f>0.00155*L2900</f>
        <v>0</v>
      </c>
      <c r="P2900" s="36"/>
      <c r="Q2900" s="29" t="s">
        <v>9574</v>
      </c>
      <c r="R2900" s="29"/>
      <c r="S2900" s="26" t="str">
        <f>HYPERLINK("https://miland.ru/api/getInfo/image/deea02de-0bc9-11f0-a279-00155d82e908")</f>
        <v>https://miland.ru/api/getInfo/image/deea02de-0bc9-11f0-a279-00155d82e908</v>
      </c>
    </row>
    <row r="2901" spans="1:19" s="2" customFormat="1" ht="96.2" customHeight="1" outlineLevel="5">
      <c r="A2901" s="52">
        <v>2274</v>
      </c>
      <c r="B2901" s="26" t="s">
        <v>9575</v>
      </c>
      <c r="C2901" s="66" t="s">
        <v>9576</v>
      </c>
      <c r="D2901" s="66"/>
      <c r="E2901" s="66"/>
      <c r="F2901" s="66"/>
      <c r="G2901" s="27" t="s">
        <v>9577</v>
      </c>
      <c r="H2901" s="33">
        <v>3</v>
      </c>
      <c r="I2901" s="29"/>
      <c r="J2901" s="25">
        <v>1</v>
      </c>
      <c r="K2901" s="30">
        <v>507.42</v>
      </c>
      <c r="L2901" s="17"/>
      <c r="M2901" s="29">
        <f t="shared" si="137"/>
        <v>0</v>
      </c>
      <c r="N2901" s="31">
        <f>0.432*L2901</f>
        <v>0</v>
      </c>
      <c r="O2901" s="32">
        <f>0.00196*L2901</f>
        <v>0</v>
      </c>
      <c r="P2901" s="36"/>
      <c r="Q2901" s="29" t="s">
        <v>9578</v>
      </c>
      <c r="R2901" s="29" t="s">
        <v>611</v>
      </c>
      <c r="S2901" s="26" t="str">
        <f>HYPERLINK("https://miland.ru/api/getInfo/image/b2128a3d-2199-11f0-a279-00155d82e908")</f>
        <v>https://miland.ru/api/getInfo/image/b2128a3d-2199-11f0-a279-00155d82e908</v>
      </c>
    </row>
    <row r="2902" spans="1:19" s="1" customFormat="1" ht="12" customHeight="1" outlineLevel="3">
      <c r="A2902" s="64" t="s">
        <v>9579</v>
      </c>
      <c r="B2902" s="64"/>
      <c r="C2902" s="64"/>
      <c r="D2902" s="64"/>
      <c r="E2902" s="64"/>
      <c r="F2902" s="64"/>
      <c r="G2902" s="8"/>
      <c r="H2902" s="12"/>
      <c r="I2902" s="2"/>
      <c r="J2902" s="2"/>
      <c r="K2902" s="13"/>
      <c r="L2902" s="2"/>
      <c r="M2902" s="2"/>
      <c r="N2902" s="2"/>
      <c r="O2902" s="2"/>
      <c r="P2902" s="2"/>
      <c r="Q2902" s="2"/>
      <c r="R2902" s="2"/>
      <c r="S2902" s="2"/>
    </row>
    <row r="2903" spans="1:19" s="2" customFormat="1" ht="96.2" customHeight="1" outlineLevel="4">
      <c r="A2903" s="52">
        <v>2275</v>
      </c>
      <c r="B2903" s="26" t="s">
        <v>9580</v>
      </c>
      <c r="C2903" s="66" t="s">
        <v>9581</v>
      </c>
      <c r="D2903" s="66"/>
      <c r="E2903" s="66"/>
      <c r="F2903" s="66"/>
      <c r="G2903" s="27" t="s">
        <v>9582</v>
      </c>
      <c r="H2903" s="33">
        <v>1</v>
      </c>
      <c r="I2903" s="29"/>
      <c r="J2903" s="25">
        <v>1</v>
      </c>
      <c r="K2903" s="30">
        <v>241.04</v>
      </c>
      <c r="L2903" s="17"/>
      <c r="M2903" s="29">
        <f t="shared" ref="M2903:M2919" si="138">K2903*L2903</f>
        <v>0</v>
      </c>
      <c r="N2903" s="31">
        <f>0.205*L2903</f>
        <v>0</v>
      </c>
      <c r="O2903" s="32">
        <f>0.00119*L2903</f>
        <v>0</v>
      </c>
      <c r="P2903" s="36"/>
      <c r="Q2903" s="29" t="s">
        <v>9583</v>
      </c>
      <c r="R2903" s="29" t="s">
        <v>611</v>
      </c>
      <c r="S2903" s="26" t="str">
        <f>HYPERLINK("https://miland.ru/api/getInfo/image/7d63829a-c88b-11ed-a230-00155d82e902")</f>
        <v>https://miland.ru/api/getInfo/image/7d63829a-c88b-11ed-a230-00155d82e902</v>
      </c>
    </row>
    <row r="2904" spans="1:19" s="2" customFormat="1" ht="96.2" customHeight="1" outlineLevel="4">
      <c r="A2904" s="52">
        <v>2276</v>
      </c>
      <c r="B2904" s="26" t="s">
        <v>9584</v>
      </c>
      <c r="C2904" s="66" t="s">
        <v>9585</v>
      </c>
      <c r="D2904" s="66"/>
      <c r="E2904" s="66"/>
      <c r="F2904" s="66"/>
      <c r="G2904" s="27" t="s">
        <v>9586</v>
      </c>
      <c r="H2904" s="33">
        <v>2</v>
      </c>
      <c r="I2904" s="29"/>
      <c r="J2904" s="25">
        <v>2</v>
      </c>
      <c r="K2904" s="30">
        <v>241.04</v>
      </c>
      <c r="L2904" s="17"/>
      <c r="M2904" s="29">
        <f t="shared" si="138"/>
        <v>0</v>
      </c>
      <c r="N2904" s="31">
        <f>0.205*L2904</f>
        <v>0</v>
      </c>
      <c r="O2904" s="32">
        <f>0.00119*L2904</f>
        <v>0</v>
      </c>
      <c r="P2904" s="36"/>
      <c r="Q2904" s="29" t="s">
        <v>9587</v>
      </c>
      <c r="R2904" s="29" t="s">
        <v>611</v>
      </c>
      <c r="S2904" s="26" t="str">
        <f>HYPERLINK("https://miland.ru/api/getInfo/image/6f32f892-c88a-11ed-a230-00155d82e902")</f>
        <v>https://miland.ru/api/getInfo/image/6f32f892-c88a-11ed-a230-00155d82e902</v>
      </c>
    </row>
    <row r="2905" spans="1:19" s="2" customFormat="1" ht="96.2" customHeight="1" outlineLevel="4">
      <c r="A2905" s="52">
        <v>2277</v>
      </c>
      <c r="B2905" s="26" t="s">
        <v>9588</v>
      </c>
      <c r="C2905" s="66" t="s">
        <v>9589</v>
      </c>
      <c r="D2905" s="66"/>
      <c r="E2905" s="66"/>
      <c r="F2905" s="66"/>
      <c r="G2905" s="27" t="s">
        <v>9590</v>
      </c>
      <c r="H2905" s="33">
        <v>2</v>
      </c>
      <c r="I2905" s="29"/>
      <c r="J2905" s="25">
        <v>2</v>
      </c>
      <c r="K2905" s="30">
        <v>194.75</v>
      </c>
      <c r="L2905" s="17"/>
      <c r="M2905" s="29">
        <f t="shared" si="138"/>
        <v>0</v>
      </c>
      <c r="N2905" s="31">
        <f>0.205*L2905</f>
        <v>0</v>
      </c>
      <c r="O2905" s="32">
        <f>0.00119*L2905</f>
        <v>0</v>
      </c>
      <c r="P2905" s="36"/>
      <c r="Q2905" s="29" t="s">
        <v>9591</v>
      </c>
      <c r="R2905" s="29" t="s">
        <v>611</v>
      </c>
      <c r="S2905" s="26" t="str">
        <f>HYPERLINK("https://miland.ru/api/getInfo/image/eb09e55e-c88a-11ed-a230-00155d82e902")</f>
        <v>https://miland.ru/api/getInfo/image/eb09e55e-c88a-11ed-a230-00155d82e902</v>
      </c>
    </row>
    <row r="2906" spans="1:19" s="2" customFormat="1" ht="96.2" customHeight="1" outlineLevel="4">
      <c r="A2906" s="52">
        <v>2278</v>
      </c>
      <c r="B2906" s="26" t="s">
        <v>9592</v>
      </c>
      <c r="C2906" s="66" t="s">
        <v>9593</v>
      </c>
      <c r="D2906" s="66"/>
      <c r="E2906" s="66"/>
      <c r="F2906" s="66"/>
      <c r="G2906" s="27" t="s">
        <v>9594</v>
      </c>
      <c r="H2906" s="33">
        <v>359</v>
      </c>
      <c r="I2906" s="29"/>
      <c r="J2906" s="25">
        <v>3</v>
      </c>
      <c r="K2906" s="30">
        <v>241.04</v>
      </c>
      <c r="L2906" s="17"/>
      <c r="M2906" s="29">
        <f t="shared" si="138"/>
        <v>0</v>
      </c>
      <c r="N2906" s="31">
        <f>0.192*L2906</f>
        <v>0</v>
      </c>
      <c r="O2906" s="32">
        <f>0.00125*L2906</f>
        <v>0</v>
      </c>
      <c r="P2906" s="36"/>
      <c r="Q2906" s="29" t="s">
        <v>9595</v>
      </c>
      <c r="R2906" s="29"/>
      <c r="S2906" s="26" t="str">
        <f>HYPERLINK("https://miland.ru/api/getInfo/image/0d54154c-ad5d-11ef-a267-00155d82e908")</f>
        <v>https://miland.ru/api/getInfo/image/0d54154c-ad5d-11ef-a267-00155d82e908</v>
      </c>
    </row>
    <row r="2907" spans="1:19" s="2" customFormat="1" ht="96.2" customHeight="1" outlineLevel="4">
      <c r="A2907" s="52">
        <v>2279</v>
      </c>
      <c r="B2907" s="26" t="s">
        <v>9596</v>
      </c>
      <c r="C2907" s="66" t="s">
        <v>9597</v>
      </c>
      <c r="D2907" s="66"/>
      <c r="E2907" s="66"/>
      <c r="F2907" s="66"/>
      <c r="G2907" s="27" t="s">
        <v>9598</v>
      </c>
      <c r="H2907" s="33">
        <v>2</v>
      </c>
      <c r="I2907" s="29"/>
      <c r="J2907" s="25">
        <v>2</v>
      </c>
      <c r="K2907" s="30">
        <v>241.04</v>
      </c>
      <c r="L2907" s="17"/>
      <c r="M2907" s="29">
        <f t="shared" si="138"/>
        <v>0</v>
      </c>
      <c r="N2907" s="31">
        <f>0.194*L2907</f>
        <v>0</v>
      </c>
      <c r="O2907" s="32">
        <f>0.00127*L2907</f>
        <v>0</v>
      </c>
      <c r="P2907" s="36"/>
      <c r="Q2907" s="29" t="s">
        <v>9599</v>
      </c>
      <c r="R2907" s="29" t="s">
        <v>611</v>
      </c>
      <c r="S2907" s="26" t="str">
        <f>HYPERLINK("https://miland.ru/api/getInfo/image/7f156612-ad5d-11ef-a267-00155d82e908")</f>
        <v>https://miland.ru/api/getInfo/image/7f156612-ad5d-11ef-a267-00155d82e908</v>
      </c>
    </row>
    <row r="2908" spans="1:19" s="2" customFormat="1" ht="96.2" customHeight="1" outlineLevel="4">
      <c r="A2908" s="53">
        <v>2280</v>
      </c>
      <c r="B2908" s="10" t="s">
        <v>9600</v>
      </c>
      <c r="C2908" s="65" t="s">
        <v>9601</v>
      </c>
      <c r="D2908" s="65"/>
      <c r="E2908" s="65"/>
      <c r="F2908" s="65"/>
      <c r="G2908" s="11" t="s">
        <v>9602</v>
      </c>
      <c r="H2908" s="14">
        <v>88</v>
      </c>
      <c r="I2908" s="15"/>
      <c r="J2908" s="9">
        <v>3</v>
      </c>
      <c r="K2908" s="16">
        <v>241.04</v>
      </c>
      <c r="L2908" s="17"/>
      <c r="M2908" s="15">
        <f t="shared" si="138"/>
        <v>0</v>
      </c>
      <c r="N2908" s="18">
        <f>0.188*L2908</f>
        <v>0</v>
      </c>
      <c r="O2908" s="19">
        <f>0.00135*L2908</f>
        <v>0</v>
      </c>
      <c r="P2908" s="24" t="s">
        <v>26</v>
      </c>
      <c r="Q2908" s="15" t="s">
        <v>9603</v>
      </c>
      <c r="R2908" s="15"/>
      <c r="S2908" s="10" t="str">
        <f>HYPERLINK("https://miland.ru/api/getInfo/image/b339b93e-fdba-11f0-a28e-00155d82e908")</f>
        <v>https://miland.ru/api/getInfo/image/b339b93e-fdba-11f0-a28e-00155d82e908</v>
      </c>
    </row>
    <row r="2909" spans="1:19" s="2" customFormat="1" ht="96.2" customHeight="1" outlineLevel="4">
      <c r="A2909" s="52">
        <v>2281</v>
      </c>
      <c r="B2909" s="26" t="s">
        <v>9604</v>
      </c>
      <c r="C2909" s="66" t="s">
        <v>9605</v>
      </c>
      <c r="D2909" s="66"/>
      <c r="E2909" s="66"/>
      <c r="F2909" s="66"/>
      <c r="G2909" s="27" t="s">
        <v>9606</v>
      </c>
      <c r="H2909" s="33">
        <v>2</v>
      </c>
      <c r="I2909" s="29"/>
      <c r="J2909" s="25">
        <v>2</v>
      </c>
      <c r="K2909" s="30">
        <v>241.04</v>
      </c>
      <c r="L2909" s="17"/>
      <c r="M2909" s="29">
        <f t="shared" si="138"/>
        <v>0</v>
      </c>
      <c r="N2909" s="41">
        <f>0.2*L2909</f>
        <v>0</v>
      </c>
      <c r="O2909" s="32">
        <f>0.00122*L2909</f>
        <v>0</v>
      </c>
      <c r="P2909" s="36"/>
      <c r="Q2909" s="29" t="s">
        <v>9607</v>
      </c>
      <c r="R2909" s="29" t="s">
        <v>611</v>
      </c>
      <c r="S2909" s="26" t="str">
        <f>HYPERLINK("https://miland.ru/api/getInfo/image/c5c1abe0-ad5d-11ef-a267-00155d82e908")</f>
        <v>https://miland.ru/api/getInfo/image/c5c1abe0-ad5d-11ef-a267-00155d82e908</v>
      </c>
    </row>
    <row r="2910" spans="1:19" s="2" customFormat="1" ht="96.2" customHeight="1" outlineLevel="4">
      <c r="A2910" s="52">
        <v>2282</v>
      </c>
      <c r="B2910" s="26" t="s">
        <v>9608</v>
      </c>
      <c r="C2910" s="66" t="s">
        <v>9609</v>
      </c>
      <c r="D2910" s="66"/>
      <c r="E2910" s="66"/>
      <c r="F2910" s="66"/>
      <c r="G2910" s="27" t="s">
        <v>9610</v>
      </c>
      <c r="H2910" s="33">
        <v>3</v>
      </c>
      <c r="I2910" s="29"/>
      <c r="J2910" s="25">
        <v>3</v>
      </c>
      <c r="K2910" s="30">
        <v>241.04</v>
      </c>
      <c r="L2910" s="17"/>
      <c r="M2910" s="29">
        <f t="shared" si="138"/>
        <v>0</v>
      </c>
      <c r="N2910" s="41">
        <f>0.2*L2910</f>
        <v>0</v>
      </c>
      <c r="O2910" s="32">
        <f>0.00122*L2910</f>
        <v>0</v>
      </c>
      <c r="P2910" s="36"/>
      <c r="Q2910" s="29" t="s">
        <v>9611</v>
      </c>
      <c r="R2910" s="29" t="s">
        <v>611</v>
      </c>
      <c r="S2910" s="26" t="str">
        <f>HYPERLINK("https://miland.ru/api/getInfo/image/699ad2dc-ad5d-11ef-a267-00155d82e908")</f>
        <v>https://miland.ru/api/getInfo/image/699ad2dc-ad5d-11ef-a267-00155d82e908</v>
      </c>
    </row>
    <row r="2911" spans="1:19" s="2" customFormat="1" ht="96.2" customHeight="1" outlineLevel="4">
      <c r="A2911" s="53">
        <v>2283</v>
      </c>
      <c r="B2911" s="10" t="s">
        <v>9612</v>
      </c>
      <c r="C2911" s="65" t="s">
        <v>9613</v>
      </c>
      <c r="D2911" s="65"/>
      <c r="E2911" s="65"/>
      <c r="F2911" s="65"/>
      <c r="G2911" s="11" t="s">
        <v>9614</v>
      </c>
      <c r="H2911" s="14">
        <v>118</v>
      </c>
      <c r="I2911" s="15"/>
      <c r="J2911" s="9">
        <v>3</v>
      </c>
      <c r="K2911" s="16">
        <v>241.04</v>
      </c>
      <c r="L2911" s="17"/>
      <c r="M2911" s="15">
        <f t="shared" si="138"/>
        <v>0</v>
      </c>
      <c r="N2911" s="18">
        <f>0.188*L2911</f>
        <v>0</v>
      </c>
      <c r="O2911" s="19">
        <f>0.00135*L2911</f>
        <v>0</v>
      </c>
      <c r="P2911" s="24" t="s">
        <v>26</v>
      </c>
      <c r="Q2911" s="15" t="s">
        <v>9615</v>
      </c>
      <c r="R2911" s="15"/>
      <c r="S2911" s="10" t="str">
        <f>HYPERLINK("https://miland.ru/api/getInfo/image/4bd77029-fdbb-11f0-a28e-00155d82e908")</f>
        <v>https://miland.ru/api/getInfo/image/4bd77029-fdbb-11f0-a28e-00155d82e908</v>
      </c>
    </row>
    <row r="2912" spans="1:19" s="2" customFormat="1" ht="96.2" customHeight="1" outlineLevel="4">
      <c r="A2912" s="53">
        <v>2284</v>
      </c>
      <c r="B2912" s="10" t="s">
        <v>9616</v>
      </c>
      <c r="C2912" s="65" t="s">
        <v>9617</v>
      </c>
      <c r="D2912" s="65"/>
      <c r="E2912" s="65"/>
      <c r="F2912" s="65"/>
      <c r="G2912" s="11" t="s">
        <v>9618</v>
      </c>
      <c r="H2912" s="14">
        <v>165</v>
      </c>
      <c r="I2912" s="15"/>
      <c r="J2912" s="9">
        <v>3</v>
      </c>
      <c r="K2912" s="16">
        <v>241.04</v>
      </c>
      <c r="L2912" s="17"/>
      <c r="M2912" s="15">
        <f t="shared" si="138"/>
        <v>0</v>
      </c>
      <c r="N2912" s="18">
        <f>0.188*L2912</f>
        <v>0</v>
      </c>
      <c r="O2912" s="19">
        <f>0.00135*L2912</f>
        <v>0</v>
      </c>
      <c r="P2912" s="24" t="s">
        <v>26</v>
      </c>
      <c r="Q2912" s="15" t="s">
        <v>9619</v>
      </c>
      <c r="R2912" s="15"/>
      <c r="S2912" s="10" t="str">
        <f>HYPERLINK("https://miland.ru/api/getInfo/image/1fa37267-fdbb-11f0-a28e-00155d82e908")</f>
        <v>https://miland.ru/api/getInfo/image/1fa37267-fdbb-11f0-a28e-00155d82e908</v>
      </c>
    </row>
    <row r="2913" spans="1:19" s="2" customFormat="1" ht="96.2" customHeight="1" outlineLevel="4">
      <c r="A2913" s="53">
        <v>2285</v>
      </c>
      <c r="B2913" s="10" t="s">
        <v>9620</v>
      </c>
      <c r="C2913" s="65" t="s">
        <v>9621</v>
      </c>
      <c r="D2913" s="65"/>
      <c r="E2913" s="65"/>
      <c r="F2913" s="65"/>
      <c r="G2913" s="11" t="s">
        <v>9622</v>
      </c>
      <c r="H2913" s="14">
        <v>180</v>
      </c>
      <c r="I2913" s="15"/>
      <c r="J2913" s="9">
        <v>3</v>
      </c>
      <c r="K2913" s="16">
        <v>241.04</v>
      </c>
      <c r="L2913" s="17"/>
      <c r="M2913" s="15">
        <f t="shared" si="138"/>
        <v>0</v>
      </c>
      <c r="N2913" s="18">
        <f>0.188*L2913</f>
        <v>0</v>
      </c>
      <c r="O2913" s="19">
        <f>0.00135*L2913</f>
        <v>0</v>
      </c>
      <c r="P2913" s="24" t="s">
        <v>26</v>
      </c>
      <c r="Q2913" s="15" t="s">
        <v>9623</v>
      </c>
      <c r="R2913" s="15"/>
      <c r="S2913" s="10" t="str">
        <f>HYPERLINK("https://miland.ru/api/getInfo/image/f75d2b37-fdba-11f0-a28e-00155d82e908")</f>
        <v>https://miland.ru/api/getInfo/image/f75d2b37-fdba-11f0-a28e-00155d82e908</v>
      </c>
    </row>
    <row r="2914" spans="1:19" s="2" customFormat="1" ht="96.2" customHeight="1" outlineLevel="4">
      <c r="A2914" s="52">
        <v>2286</v>
      </c>
      <c r="B2914" s="26" t="s">
        <v>9624</v>
      </c>
      <c r="C2914" s="66" t="s">
        <v>9625</v>
      </c>
      <c r="D2914" s="66"/>
      <c r="E2914" s="66"/>
      <c r="F2914" s="66"/>
      <c r="G2914" s="27" t="s">
        <v>9626</v>
      </c>
      <c r="H2914" s="33">
        <v>228</v>
      </c>
      <c r="I2914" s="29"/>
      <c r="J2914" s="25">
        <v>3</v>
      </c>
      <c r="K2914" s="30">
        <v>241.04</v>
      </c>
      <c r="L2914" s="17"/>
      <c r="M2914" s="29">
        <f t="shared" si="138"/>
        <v>0</v>
      </c>
      <c r="N2914" s="31">
        <f>0.192*L2914</f>
        <v>0</v>
      </c>
      <c r="O2914" s="32">
        <f>0.00013*L2914</f>
        <v>0</v>
      </c>
      <c r="P2914" s="36"/>
      <c r="Q2914" s="29" t="s">
        <v>9627</v>
      </c>
      <c r="R2914" s="29"/>
      <c r="S2914" s="26" t="str">
        <f>HYPERLINK("https://miland.ru/api/getInfo/image/520748c0-ad5d-11ef-a267-00155d82e908")</f>
        <v>https://miland.ru/api/getInfo/image/520748c0-ad5d-11ef-a267-00155d82e908</v>
      </c>
    </row>
    <row r="2915" spans="1:19" s="2" customFormat="1" ht="96.2" customHeight="1" outlineLevel="4">
      <c r="A2915" s="53">
        <v>2287</v>
      </c>
      <c r="B2915" s="10" t="s">
        <v>9628</v>
      </c>
      <c r="C2915" s="65" t="s">
        <v>9629</v>
      </c>
      <c r="D2915" s="65"/>
      <c r="E2915" s="65"/>
      <c r="F2915" s="65"/>
      <c r="G2915" s="11" t="s">
        <v>9630</v>
      </c>
      <c r="H2915" s="14">
        <v>159</v>
      </c>
      <c r="I2915" s="15"/>
      <c r="J2915" s="9">
        <v>3</v>
      </c>
      <c r="K2915" s="16">
        <v>241.04</v>
      </c>
      <c r="L2915" s="17"/>
      <c r="M2915" s="15">
        <f t="shared" si="138"/>
        <v>0</v>
      </c>
      <c r="N2915" s="18">
        <f>0.188*L2915</f>
        <v>0</v>
      </c>
      <c r="O2915" s="19">
        <f>0.00135*L2915</f>
        <v>0</v>
      </c>
      <c r="P2915" s="24" t="s">
        <v>26</v>
      </c>
      <c r="Q2915" s="15" t="s">
        <v>9631</v>
      </c>
      <c r="R2915" s="15"/>
      <c r="S2915" s="10" t="str">
        <f>HYPERLINK("https://miland.ru/api/getInfo/image/0d46080e-fdbb-11f0-a28e-00155d82e908")</f>
        <v>https://miland.ru/api/getInfo/image/0d46080e-fdbb-11f0-a28e-00155d82e908</v>
      </c>
    </row>
    <row r="2916" spans="1:19" s="2" customFormat="1" ht="96.2" customHeight="1" outlineLevel="4">
      <c r="A2916" s="52">
        <v>2288</v>
      </c>
      <c r="B2916" s="26" t="s">
        <v>9632</v>
      </c>
      <c r="C2916" s="66" t="s">
        <v>9633</v>
      </c>
      <c r="D2916" s="66"/>
      <c r="E2916" s="66"/>
      <c r="F2916" s="66"/>
      <c r="G2916" s="27" t="s">
        <v>9634</v>
      </c>
      <c r="H2916" s="33">
        <v>342</v>
      </c>
      <c r="I2916" s="29"/>
      <c r="J2916" s="25">
        <v>3</v>
      </c>
      <c r="K2916" s="30">
        <v>241.04</v>
      </c>
      <c r="L2916" s="17"/>
      <c r="M2916" s="29">
        <f t="shared" si="138"/>
        <v>0</v>
      </c>
      <c r="N2916" s="31">
        <f>0.195*L2916</f>
        <v>0</v>
      </c>
      <c r="O2916" s="32">
        <f>0.00131*L2916</f>
        <v>0</v>
      </c>
      <c r="P2916" s="36"/>
      <c r="Q2916" s="29" t="s">
        <v>9635</v>
      </c>
      <c r="R2916" s="29"/>
      <c r="S2916" s="26" t="str">
        <f>HYPERLINK("https://miland.ru/api/getInfo/image/98a50fc1-ad5d-11ef-a267-00155d82e908")</f>
        <v>https://miland.ru/api/getInfo/image/98a50fc1-ad5d-11ef-a267-00155d82e908</v>
      </c>
    </row>
    <row r="2917" spans="1:19" s="2" customFormat="1" ht="96.2" customHeight="1" outlineLevel="4">
      <c r="A2917" s="52">
        <v>2289</v>
      </c>
      <c r="B2917" s="26" t="s">
        <v>9636</v>
      </c>
      <c r="C2917" s="66" t="s">
        <v>9637</v>
      </c>
      <c r="D2917" s="66"/>
      <c r="E2917" s="66"/>
      <c r="F2917" s="66"/>
      <c r="G2917" s="27" t="s">
        <v>9638</v>
      </c>
      <c r="H2917" s="33">
        <v>2</v>
      </c>
      <c r="I2917" s="29"/>
      <c r="J2917" s="25">
        <v>2</v>
      </c>
      <c r="K2917" s="30">
        <v>241.04</v>
      </c>
      <c r="L2917" s="17"/>
      <c r="M2917" s="29">
        <f t="shared" si="138"/>
        <v>0</v>
      </c>
      <c r="N2917" s="31">
        <f>0.192*L2917</f>
        <v>0</v>
      </c>
      <c r="O2917" s="32">
        <f>0.00013*L2917</f>
        <v>0</v>
      </c>
      <c r="P2917" s="36"/>
      <c r="Q2917" s="29" t="s">
        <v>9639</v>
      </c>
      <c r="R2917" s="29" t="s">
        <v>611</v>
      </c>
      <c r="S2917" s="26" t="str">
        <f>HYPERLINK("https://miland.ru/api/getInfo/image/aef67bb7-ad5d-11ef-a267-00155d82e908")</f>
        <v>https://miland.ru/api/getInfo/image/aef67bb7-ad5d-11ef-a267-00155d82e908</v>
      </c>
    </row>
    <row r="2918" spans="1:19" s="2" customFormat="1" ht="96.2" customHeight="1" outlineLevel="4">
      <c r="A2918" s="53">
        <v>2290</v>
      </c>
      <c r="B2918" s="10" t="s">
        <v>9640</v>
      </c>
      <c r="C2918" s="65" t="s">
        <v>9641</v>
      </c>
      <c r="D2918" s="65"/>
      <c r="E2918" s="65"/>
      <c r="F2918" s="65"/>
      <c r="G2918" s="11" t="s">
        <v>9642</v>
      </c>
      <c r="H2918" s="14">
        <v>254</v>
      </c>
      <c r="I2918" s="15"/>
      <c r="J2918" s="9">
        <v>3</v>
      </c>
      <c r="K2918" s="16">
        <v>241.04</v>
      </c>
      <c r="L2918" s="17"/>
      <c r="M2918" s="15">
        <f t="shared" si="138"/>
        <v>0</v>
      </c>
      <c r="N2918" s="18">
        <f>0.188*L2918</f>
        <v>0</v>
      </c>
      <c r="O2918" s="19">
        <f>0.00135*L2918</f>
        <v>0</v>
      </c>
      <c r="P2918" s="24" t="s">
        <v>26</v>
      </c>
      <c r="Q2918" s="15" t="s">
        <v>9643</v>
      </c>
      <c r="R2918" s="15"/>
      <c r="S2918" s="10" t="str">
        <f>HYPERLINK("https://miland.ru/api/getInfo/image/40beee45-fdba-11f0-a28e-00155d82e908")</f>
        <v>https://miland.ru/api/getInfo/image/40beee45-fdba-11f0-a28e-00155d82e908</v>
      </c>
    </row>
    <row r="2919" spans="1:19" s="2" customFormat="1" ht="96.2" customHeight="1" outlineLevel="4">
      <c r="A2919" s="52">
        <v>2291</v>
      </c>
      <c r="B2919" s="26" t="s">
        <v>9644</v>
      </c>
      <c r="C2919" s="66" t="s">
        <v>9645</v>
      </c>
      <c r="D2919" s="66"/>
      <c r="E2919" s="66"/>
      <c r="F2919" s="66"/>
      <c r="G2919" s="27" t="s">
        <v>9646</v>
      </c>
      <c r="H2919" s="33">
        <v>3</v>
      </c>
      <c r="I2919" s="29"/>
      <c r="J2919" s="25">
        <v>3</v>
      </c>
      <c r="K2919" s="30">
        <v>241.04</v>
      </c>
      <c r="L2919" s="17"/>
      <c r="M2919" s="29">
        <f t="shared" si="138"/>
        <v>0</v>
      </c>
      <c r="N2919" s="41">
        <f>0.2*L2919</f>
        <v>0</v>
      </c>
      <c r="O2919" s="32">
        <f>0.00122*L2919</f>
        <v>0</v>
      </c>
      <c r="P2919" s="36"/>
      <c r="Q2919" s="29" t="s">
        <v>9647</v>
      </c>
      <c r="R2919" s="29" t="s">
        <v>611</v>
      </c>
      <c r="S2919" s="26" t="str">
        <f>HYPERLINK("https://miland.ru/api/getInfo/image/4d63b733-ad5c-11ef-a267-00155d82e908")</f>
        <v>https://miland.ru/api/getInfo/image/4d63b733-ad5c-11ef-a267-00155d82e908</v>
      </c>
    </row>
    <row r="2920" spans="1:19" s="1" customFormat="1" ht="12" customHeight="1" outlineLevel="3">
      <c r="A2920" s="64" t="s">
        <v>9648</v>
      </c>
      <c r="B2920" s="64"/>
      <c r="C2920" s="64"/>
      <c r="D2920" s="64"/>
      <c r="E2920" s="64"/>
      <c r="F2920" s="64"/>
      <c r="G2920" s="8"/>
      <c r="H2920" s="12"/>
      <c r="I2920" s="2"/>
      <c r="J2920" s="2"/>
      <c r="K2920" s="13"/>
      <c r="L2920" s="2"/>
      <c r="M2920" s="2"/>
      <c r="N2920" s="2"/>
      <c r="O2920" s="2"/>
      <c r="P2920" s="2"/>
      <c r="Q2920" s="2"/>
      <c r="R2920" s="2"/>
      <c r="S2920" s="2"/>
    </row>
    <row r="2921" spans="1:19" s="1" customFormat="1" ht="12" customHeight="1" outlineLevel="4">
      <c r="A2921" s="64" t="s">
        <v>9649</v>
      </c>
      <c r="B2921" s="64"/>
      <c r="C2921" s="64"/>
      <c r="D2921" s="64"/>
      <c r="E2921" s="64"/>
      <c r="F2921" s="64"/>
      <c r="G2921" s="8"/>
      <c r="H2921" s="12"/>
      <c r="I2921" s="2"/>
      <c r="J2921" s="2"/>
      <c r="K2921" s="13"/>
      <c r="L2921" s="2"/>
      <c r="M2921" s="2"/>
      <c r="N2921" s="2"/>
      <c r="O2921" s="2"/>
      <c r="P2921" s="2"/>
      <c r="Q2921" s="2"/>
      <c r="R2921" s="2"/>
      <c r="S2921" s="2"/>
    </row>
    <row r="2922" spans="1:19" s="1" customFormat="1" ht="12" customHeight="1" outlineLevel="5">
      <c r="A2922" s="64" t="s">
        <v>9650</v>
      </c>
      <c r="B2922" s="64"/>
      <c r="C2922" s="64"/>
      <c r="D2922" s="64"/>
      <c r="E2922" s="64"/>
      <c r="F2922" s="64"/>
      <c r="G2922" s="8"/>
      <c r="H2922" s="12"/>
      <c r="I2922" s="2"/>
      <c r="J2922" s="2"/>
      <c r="K2922" s="13"/>
      <c r="L2922" s="2"/>
      <c r="M2922" s="2"/>
      <c r="N2922" s="2"/>
      <c r="O2922" s="2"/>
      <c r="P2922" s="2"/>
      <c r="Q2922" s="2"/>
      <c r="R2922" s="2"/>
      <c r="S2922" s="2"/>
    </row>
    <row r="2923" spans="1:19" s="2" customFormat="1" ht="96.2" customHeight="1" outlineLevel="6">
      <c r="A2923" s="53">
        <v>2292</v>
      </c>
      <c r="B2923" s="10" t="s">
        <v>9651</v>
      </c>
      <c r="C2923" s="65" t="s">
        <v>9652</v>
      </c>
      <c r="D2923" s="65"/>
      <c r="E2923" s="65"/>
      <c r="F2923" s="65"/>
      <c r="G2923" s="11" t="s">
        <v>9653</v>
      </c>
      <c r="H2923" s="14">
        <v>338</v>
      </c>
      <c r="I2923" s="15"/>
      <c r="J2923" s="9">
        <v>1</v>
      </c>
      <c r="K2923" s="16">
        <v>976.99</v>
      </c>
      <c r="L2923" s="17"/>
      <c r="M2923" s="15">
        <f>K2923*L2923</f>
        <v>0</v>
      </c>
      <c r="N2923" s="18">
        <f>0.538*L2923</f>
        <v>0</v>
      </c>
      <c r="O2923" s="19">
        <f>0.00434*L2923</f>
        <v>0</v>
      </c>
      <c r="P2923" s="24" t="s">
        <v>26</v>
      </c>
      <c r="Q2923" s="15" t="s">
        <v>9654</v>
      </c>
      <c r="R2923" s="15"/>
      <c r="S2923" s="10" t="str">
        <f>HYPERLINK("https://miland.ru/api/getInfo/image/e6ae0e6e-d114-11f0-a28b-00155d82e908")</f>
        <v>https://miland.ru/api/getInfo/image/e6ae0e6e-d114-11f0-a28b-00155d82e908</v>
      </c>
    </row>
    <row r="2924" spans="1:19" s="2" customFormat="1" ht="96.2" customHeight="1" outlineLevel="6">
      <c r="A2924" s="53">
        <v>2293</v>
      </c>
      <c r="B2924" s="10" t="s">
        <v>9655</v>
      </c>
      <c r="C2924" s="65" t="s">
        <v>9656</v>
      </c>
      <c r="D2924" s="65"/>
      <c r="E2924" s="65"/>
      <c r="F2924" s="65"/>
      <c r="G2924" s="11" t="s">
        <v>9657</v>
      </c>
      <c r="H2924" s="14">
        <v>284</v>
      </c>
      <c r="I2924" s="15"/>
      <c r="J2924" s="9">
        <v>1</v>
      </c>
      <c r="K2924" s="16">
        <v>976.99</v>
      </c>
      <c r="L2924" s="17"/>
      <c r="M2924" s="15">
        <f>K2924*L2924</f>
        <v>0</v>
      </c>
      <c r="N2924" s="23">
        <f>0.54*L2924</f>
        <v>0</v>
      </c>
      <c r="O2924" s="19">
        <f>0.00454*L2924</f>
        <v>0</v>
      </c>
      <c r="P2924" s="24" t="s">
        <v>26</v>
      </c>
      <c r="Q2924" s="15" t="s">
        <v>9658</v>
      </c>
      <c r="R2924" s="15"/>
      <c r="S2924" s="10" t="str">
        <f>HYPERLINK("https://miland.ru/api/getInfo/image/a7a80965-d115-11f0-a28b-00155d82e908")</f>
        <v>https://miland.ru/api/getInfo/image/a7a80965-d115-11f0-a28b-00155d82e908</v>
      </c>
    </row>
    <row r="2925" spans="1:19" s="1" customFormat="1" ht="12" customHeight="1" outlineLevel="4">
      <c r="A2925" s="64" t="s">
        <v>9659</v>
      </c>
      <c r="B2925" s="64"/>
      <c r="C2925" s="64"/>
      <c r="D2925" s="64"/>
      <c r="E2925" s="64"/>
      <c r="F2925" s="64"/>
      <c r="G2925" s="8"/>
      <c r="H2925" s="12"/>
      <c r="I2925" s="2"/>
      <c r="J2925" s="2"/>
      <c r="K2925" s="13"/>
      <c r="L2925" s="2"/>
      <c r="M2925" s="2"/>
      <c r="N2925" s="2"/>
      <c r="O2925" s="2"/>
      <c r="P2925" s="2"/>
      <c r="Q2925" s="2"/>
      <c r="R2925" s="2"/>
      <c r="S2925" s="2"/>
    </row>
    <row r="2926" spans="1:19" s="2" customFormat="1" ht="96.2" customHeight="1" outlineLevel="5">
      <c r="A2926" s="52">
        <v>2294</v>
      </c>
      <c r="B2926" s="26" t="s">
        <v>9660</v>
      </c>
      <c r="C2926" s="66" t="s">
        <v>9661</v>
      </c>
      <c r="D2926" s="66"/>
      <c r="E2926" s="66"/>
      <c r="F2926" s="66"/>
      <c r="G2926" s="27" t="s">
        <v>9662</v>
      </c>
      <c r="H2926" s="28" t="s">
        <v>44</v>
      </c>
      <c r="I2926" s="29"/>
      <c r="J2926" s="25">
        <v>2</v>
      </c>
      <c r="K2926" s="30">
        <v>291.99</v>
      </c>
      <c r="L2926" s="17"/>
      <c r="M2926" s="29">
        <f t="shared" ref="M2926:M2933" si="139">K2926*L2926</f>
        <v>0</v>
      </c>
      <c r="N2926" s="31">
        <f>0.053*L2926</f>
        <v>0</v>
      </c>
      <c r="O2926" s="32">
        <f>0.00048*L2926</f>
        <v>0</v>
      </c>
      <c r="P2926" s="36"/>
      <c r="Q2926" s="29" t="s">
        <v>9663</v>
      </c>
      <c r="R2926" s="29"/>
      <c r="S2926" s="26" t="str">
        <f>HYPERLINK("https://miland.ru/api/getInfo/image/fd2ed836-e12b-11ee-a25a-00155d82e908")</f>
        <v>https://miland.ru/api/getInfo/image/fd2ed836-e12b-11ee-a25a-00155d82e908</v>
      </c>
    </row>
    <row r="2927" spans="1:19" s="2" customFormat="1" ht="96.2" customHeight="1" outlineLevel="5">
      <c r="A2927" s="52">
        <v>2295</v>
      </c>
      <c r="B2927" s="26" t="s">
        <v>9664</v>
      </c>
      <c r="C2927" s="66" t="s">
        <v>9665</v>
      </c>
      <c r="D2927" s="66"/>
      <c r="E2927" s="66"/>
      <c r="F2927" s="66"/>
      <c r="G2927" s="27" t="s">
        <v>9666</v>
      </c>
      <c r="H2927" s="28" t="s">
        <v>44</v>
      </c>
      <c r="I2927" s="29"/>
      <c r="J2927" s="25">
        <v>2</v>
      </c>
      <c r="K2927" s="30">
        <v>291.99</v>
      </c>
      <c r="L2927" s="17"/>
      <c r="M2927" s="29">
        <f t="shared" si="139"/>
        <v>0</v>
      </c>
      <c r="N2927" s="31">
        <f>0.052*L2927</f>
        <v>0</v>
      </c>
      <c r="O2927" s="35">
        <f>0.0005*L2927</f>
        <v>0</v>
      </c>
      <c r="P2927" s="36"/>
      <c r="Q2927" s="29" t="s">
        <v>9667</v>
      </c>
      <c r="R2927" s="29"/>
      <c r="S2927" s="26" t="str">
        <f>HYPERLINK("https://miland.ru/api/getInfo/image/2f165133-e12d-11ee-a25a-00155d82e908")</f>
        <v>https://miland.ru/api/getInfo/image/2f165133-e12d-11ee-a25a-00155d82e908</v>
      </c>
    </row>
    <row r="2928" spans="1:19" s="2" customFormat="1" ht="96.2" customHeight="1" outlineLevel="5">
      <c r="A2928" s="53">
        <v>2296</v>
      </c>
      <c r="B2928" s="10" t="s">
        <v>9668</v>
      </c>
      <c r="C2928" s="65" t="s">
        <v>9669</v>
      </c>
      <c r="D2928" s="65"/>
      <c r="E2928" s="65"/>
      <c r="F2928" s="65"/>
      <c r="G2928" s="11" t="s">
        <v>9670</v>
      </c>
      <c r="H2928" s="14">
        <v>495</v>
      </c>
      <c r="I2928" s="15"/>
      <c r="J2928" s="9">
        <v>2</v>
      </c>
      <c r="K2928" s="16">
        <v>368.27</v>
      </c>
      <c r="L2928" s="17"/>
      <c r="M2928" s="15">
        <f t="shared" si="139"/>
        <v>0</v>
      </c>
      <c r="N2928" s="18">
        <f>0.063*L2928</f>
        <v>0</v>
      </c>
      <c r="O2928" s="19">
        <f>0.00053*L2928</f>
        <v>0</v>
      </c>
      <c r="P2928" s="24" t="s">
        <v>26</v>
      </c>
      <c r="Q2928" s="15" t="s">
        <v>9671</v>
      </c>
      <c r="R2928" s="15"/>
      <c r="S2928" s="10" t="str">
        <f>HYPERLINK("https://miland.ru/api/getInfo/image/9f6a8be4-2f54-11f1-a292-00155d82e908")</f>
        <v>https://miland.ru/api/getInfo/image/9f6a8be4-2f54-11f1-a292-00155d82e908</v>
      </c>
    </row>
    <row r="2929" spans="1:19" s="2" customFormat="1" ht="96.2" customHeight="1" outlineLevel="5">
      <c r="A2929" s="53">
        <v>2297</v>
      </c>
      <c r="B2929" s="10" t="s">
        <v>9672</v>
      </c>
      <c r="C2929" s="65" t="s">
        <v>9673</v>
      </c>
      <c r="D2929" s="65"/>
      <c r="E2929" s="65"/>
      <c r="F2929" s="65"/>
      <c r="G2929" s="11" t="s">
        <v>9674</v>
      </c>
      <c r="H2929" s="21" t="s">
        <v>44</v>
      </c>
      <c r="I2929" s="15"/>
      <c r="J2929" s="9">
        <v>2</v>
      </c>
      <c r="K2929" s="16">
        <v>392.88</v>
      </c>
      <c r="L2929" s="17"/>
      <c r="M2929" s="15">
        <f t="shared" si="139"/>
        <v>0</v>
      </c>
      <c r="N2929" s="18">
        <f>0.061*L2929</f>
        <v>0</v>
      </c>
      <c r="O2929" s="19">
        <f>0.00049*L2929</f>
        <v>0</v>
      </c>
      <c r="P2929" s="24" t="s">
        <v>26</v>
      </c>
      <c r="Q2929" s="15" t="s">
        <v>9675</v>
      </c>
      <c r="R2929" s="15"/>
      <c r="S2929" s="10" t="str">
        <f>HYPERLINK("https://miland.ru/api/getInfo/image/b226b90d-2f54-11f1-a292-00155d82e908")</f>
        <v>https://miland.ru/api/getInfo/image/b226b90d-2f54-11f1-a292-00155d82e908</v>
      </c>
    </row>
    <row r="2930" spans="1:19" s="2" customFormat="1" ht="96.2" customHeight="1" outlineLevel="5">
      <c r="A2930" s="53">
        <v>2298</v>
      </c>
      <c r="B2930" s="10" t="s">
        <v>9676</v>
      </c>
      <c r="C2930" s="65" t="s">
        <v>9677</v>
      </c>
      <c r="D2930" s="65"/>
      <c r="E2930" s="65"/>
      <c r="F2930" s="65"/>
      <c r="G2930" s="11" t="s">
        <v>9678</v>
      </c>
      <c r="H2930" s="21" t="s">
        <v>44</v>
      </c>
      <c r="I2930" s="15"/>
      <c r="J2930" s="9">
        <v>1</v>
      </c>
      <c r="K2930" s="16">
        <v>482.49</v>
      </c>
      <c r="L2930" s="17"/>
      <c r="M2930" s="15">
        <f t="shared" si="139"/>
        <v>0</v>
      </c>
      <c r="N2930" s="18">
        <f>0.066*L2930</f>
        <v>0</v>
      </c>
      <c r="O2930" s="19">
        <f>0.00052*L2930</f>
        <v>0</v>
      </c>
      <c r="P2930" s="24" t="s">
        <v>26</v>
      </c>
      <c r="Q2930" s="15" t="s">
        <v>9679</v>
      </c>
      <c r="R2930" s="15"/>
      <c r="S2930" s="10" t="str">
        <f>HYPERLINK("https://miland.ru/api/getInfo/image/ebeb2022-2f54-11f1-a292-00155d82e908")</f>
        <v>https://miland.ru/api/getInfo/image/ebeb2022-2f54-11f1-a292-00155d82e908</v>
      </c>
    </row>
    <row r="2931" spans="1:19" s="2" customFormat="1" ht="96.2" customHeight="1" outlineLevel="5">
      <c r="A2931" s="52">
        <v>2299</v>
      </c>
      <c r="B2931" s="26" t="s">
        <v>9680</v>
      </c>
      <c r="C2931" s="66" t="s">
        <v>9681</v>
      </c>
      <c r="D2931" s="66"/>
      <c r="E2931" s="66"/>
      <c r="F2931" s="66"/>
      <c r="G2931" s="27" t="s">
        <v>9682</v>
      </c>
      <c r="H2931" s="28" t="s">
        <v>44</v>
      </c>
      <c r="I2931" s="29"/>
      <c r="J2931" s="25">
        <v>1</v>
      </c>
      <c r="K2931" s="30">
        <v>814.42</v>
      </c>
      <c r="L2931" s="17"/>
      <c r="M2931" s="29">
        <f t="shared" si="139"/>
        <v>0</v>
      </c>
      <c r="N2931" s="31">
        <f>0.093*L2931</f>
        <v>0</v>
      </c>
      <c r="O2931" s="32">
        <f>0.00066*L2931</f>
        <v>0</v>
      </c>
      <c r="P2931" s="36"/>
      <c r="Q2931" s="29" t="s">
        <v>9683</v>
      </c>
      <c r="R2931" s="29" t="s">
        <v>611</v>
      </c>
      <c r="S2931" s="26" t="str">
        <f>HYPERLINK("https://miland.ru/api/getInfo/image/3330c5f7-221a-11ee-a23d-00155d82e902")</f>
        <v>https://miland.ru/api/getInfo/image/3330c5f7-221a-11ee-a23d-00155d82e902</v>
      </c>
    </row>
    <row r="2932" spans="1:19" s="2" customFormat="1" ht="96.2" customHeight="1" outlineLevel="5">
      <c r="A2932" s="52">
        <v>2300</v>
      </c>
      <c r="B2932" s="26" t="s">
        <v>9684</v>
      </c>
      <c r="C2932" s="66" t="s">
        <v>9685</v>
      </c>
      <c r="D2932" s="66"/>
      <c r="E2932" s="66"/>
      <c r="F2932" s="66"/>
      <c r="G2932" s="27" t="s">
        <v>9686</v>
      </c>
      <c r="H2932" s="28" t="s">
        <v>44</v>
      </c>
      <c r="I2932" s="29"/>
      <c r="J2932" s="25">
        <v>2</v>
      </c>
      <c r="K2932" s="30">
        <v>328.47</v>
      </c>
      <c r="L2932" s="17"/>
      <c r="M2932" s="29">
        <f t="shared" si="139"/>
        <v>0</v>
      </c>
      <c r="N2932" s="31">
        <f>0.092*L2932</f>
        <v>0</v>
      </c>
      <c r="O2932" s="32">
        <f>0.00062*L2932</f>
        <v>0</v>
      </c>
      <c r="P2932" s="36"/>
      <c r="Q2932" s="29" t="s">
        <v>9687</v>
      </c>
      <c r="R2932" s="29" t="s">
        <v>611</v>
      </c>
      <c r="S2932" s="26" t="str">
        <f>HYPERLINK("https://miland.ru/api/getInfo/image/2c7ba901-2219-11ee-a23d-00155d82e902")</f>
        <v>https://miland.ru/api/getInfo/image/2c7ba901-2219-11ee-a23d-00155d82e902</v>
      </c>
    </row>
    <row r="2933" spans="1:19" s="2" customFormat="1" ht="96.2" customHeight="1" outlineLevel="5">
      <c r="A2933" s="52">
        <v>2301</v>
      </c>
      <c r="B2933" s="26" t="s">
        <v>9688</v>
      </c>
      <c r="C2933" s="66" t="s">
        <v>9689</v>
      </c>
      <c r="D2933" s="66"/>
      <c r="E2933" s="66"/>
      <c r="F2933" s="66"/>
      <c r="G2933" s="27" t="s">
        <v>9690</v>
      </c>
      <c r="H2933" s="28" t="s">
        <v>44</v>
      </c>
      <c r="I2933" s="29"/>
      <c r="J2933" s="25">
        <v>1</v>
      </c>
      <c r="K2933" s="30">
        <v>490.45</v>
      </c>
      <c r="L2933" s="17"/>
      <c r="M2933" s="29">
        <f t="shared" si="139"/>
        <v>0</v>
      </c>
      <c r="N2933" s="31">
        <f>0.115*L2933</f>
        <v>0</v>
      </c>
      <c r="O2933" s="32">
        <f>0.00064*L2933</f>
        <v>0</v>
      </c>
      <c r="P2933" s="36"/>
      <c r="Q2933" s="29" t="s">
        <v>9691</v>
      </c>
      <c r="R2933" s="29" t="s">
        <v>611</v>
      </c>
      <c r="S2933" s="26" t="str">
        <f>HYPERLINK("https://miland.ru/api/getInfo/image/e64cef70-2219-11ee-a23d-00155d82e902")</f>
        <v>https://miland.ru/api/getInfo/image/e64cef70-2219-11ee-a23d-00155d82e902</v>
      </c>
    </row>
    <row r="2934" spans="1:19" s="1" customFormat="1" ht="12" customHeight="1" outlineLevel="4">
      <c r="A2934" s="64" t="s">
        <v>9692</v>
      </c>
      <c r="B2934" s="64"/>
      <c r="C2934" s="64"/>
      <c r="D2934" s="64"/>
      <c r="E2934" s="64"/>
      <c r="F2934" s="64"/>
      <c r="G2934" s="8"/>
      <c r="H2934" s="12"/>
      <c r="I2934" s="2"/>
      <c r="J2934" s="2"/>
      <c r="K2934" s="13"/>
      <c r="L2934" s="2"/>
      <c r="M2934" s="2"/>
      <c r="N2934" s="2"/>
      <c r="O2934" s="2"/>
      <c r="P2934" s="2"/>
      <c r="Q2934" s="2"/>
      <c r="R2934" s="2"/>
      <c r="S2934" s="2"/>
    </row>
    <row r="2935" spans="1:19" s="2" customFormat="1" ht="96.2" customHeight="1" outlineLevel="5">
      <c r="A2935" s="52">
        <v>2302</v>
      </c>
      <c r="B2935" s="26" t="s">
        <v>9693</v>
      </c>
      <c r="C2935" s="66" t="s">
        <v>9694</v>
      </c>
      <c r="D2935" s="66"/>
      <c r="E2935" s="66"/>
      <c r="F2935" s="66"/>
      <c r="G2935" s="27" t="s">
        <v>9695</v>
      </c>
      <c r="H2935" s="28" t="s">
        <v>44</v>
      </c>
      <c r="I2935" s="29"/>
      <c r="J2935" s="25">
        <v>2</v>
      </c>
      <c r="K2935" s="30">
        <v>320.55</v>
      </c>
      <c r="L2935" s="17"/>
      <c r="M2935" s="29">
        <f>K2935*L2935</f>
        <v>0</v>
      </c>
      <c r="N2935" s="31">
        <f>0.015*L2935</f>
        <v>0</v>
      </c>
      <c r="O2935" s="32">
        <f>0.00005*L2935</f>
        <v>0</v>
      </c>
      <c r="P2935" s="36"/>
      <c r="Q2935" s="29" t="s">
        <v>9696</v>
      </c>
      <c r="R2935" s="29"/>
      <c r="S2935" s="26" t="str">
        <f>HYPERLINK("https://miland.ru/api/getInfo/image/3605ef65-dcac-11ef-a273-00155d82e908")</f>
        <v>https://miland.ru/api/getInfo/image/3605ef65-dcac-11ef-a273-00155d82e908</v>
      </c>
    </row>
    <row r="2936" spans="1:19" s="1" customFormat="1" ht="12" customHeight="1" outlineLevel="4">
      <c r="A2936" s="64" t="s">
        <v>9697</v>
      </c>
      <c r="B2936" s="64"/>
      <c r="C2936" s="64"/>
      <c r="D2936" s="64"/>
      <c r="E2936" s="64"/>
      <c r="F2936" s="64"/>
      <c r="G2936" s="8"/>
      <c r="H2936" s="12"/>
      <c r="I2936" s="2"/>
      <c r="J2936" s="2"/>
      <c r="K2936" s="13"/>
      <c r="L2936" s="2"/>
      <c r="M2936" s="2"/>
      <c r="N2936" s="2"/>
      <c r="O2936" s="2"/>
      <c r="P2936" s="2"/>
      <c r="Q2936" s="2"/>
      <c r="R2936" s="2"/>
      <c r="S2936" s="2"/>
    </row>
    <row r="2937" spans="1:19" s="2" customFormat="1" ht="96.2" customHeight="1" outlineLevel="5">
      <c r="A2937" s="52">
        <v>2303</v>
      </c>
      <c r="B2937" s="26" t="s">
        <v>9698</v>
      </c>
      <c r="C2937" s="66" t="s">
        <v>9699</v>
      </c>
      <c r="D2937" s="66"/>
      <c r="E2937" s="66"/>
      <c r="F2937" s="66"/>
      <c r="G2937" s="27" t="s">
        <v>9700</v>
      </c>
      <c r="H2937" s="28" t="s">
        <v>44</v>
      </c>
      <c r="I2937" s="29"/>
      <c r="J2937" s="25">
        <v>1</v>
      </c>
      <c r="K2937" s="30">
        <v>982.25</v>
      </c>
      <c r="L2937" s="17"/>
      <c r="M2937" s="29">
        <f t="shared" ref="M2937:M2950" si="140">K2937*L2937</f>
        <v>0</v>
      </c>
      <c r="N2937" s="31">
        <f>0.168*L2937</f>
        <v>0</v>
      </c>
      <c r="O2937" s="32">
        <f>0.00141*L2937</f>
        <v>0</v>
      </c>
      <c r="P2937" s="36"/>
      <c r="Q2937" s="29" t="s">
        <v>9701</v>
      </c>
      <c r="R2937" s="29"/>
      <c r="S2937" s="26" t="str">
        <f>HYPERLINK("https://miland.ru/api/getInfo/image/7c30cb49-a3d1-11ed-a22f-00155d82e902")</f>
        <v>https://miland.ru/api/getInfo/image/7c30cb49-a3d1-11ed-a22f-00155d82e902</v>
      </c>
    </row>
    <row r="2938" spans="1:19" s="2" customFormat="1" ht="96.2" customHeight="1" outlineLevel="5">
      <c r="A2938" s="52">
        <v>2304</v>
      </c>
      <c r="B2938" s="26" t="s">
        <v>9702</v>
      </c>
      <c r="C2938" s="66" t="s">
        <v>9703</v>
      </c>
      <c r="D2938" s="66"/>
      <c r="E2938" s="66"/>
      <c r="F2938" s="66"/>
      <c r="G2938" s="27" t="s">
        <v>9704</v>
      </c>
      <c r="H2938" s="28" t="s">
        <v>44</v>
      </c>
      <c r="I2938" s="29"/>
      <c r="J2938" s="25">
        <v>3</v>
      </c>
      <c r="K2938" s="30">
        <v>205.22</v>
      </c>
      <c r="L2938" s="17"/>
      <c r="M2938" s="29">
        <f t="shared" si="140"/>
        <v>0</v>
      </c>
      <c r="N2938" s="31">
        <f>0.023*L2938</f>
        <v>0</v>
      </c>
      <c r="O2938" s="32">
        <f>0.00077*L2938</f>
        <v>0</v>
      </c>
      <c r="P2938" s="36"/>
      <c r="Q2938" s="29" t="s">
        <v>9705</v>
      </c>
      <c r="R2938" s="29" t="s">
        <v>611</v>
      </c>
      <c r="S2938" s="26" t="str">
        <f>HYPERLINK("https://miland.ru/api/getInfo/image/bb9d8bfc-a3cf-11ed-a22f-00155d82e902")</f>
        <v>https://miland.ru/api/getInfo/image/bb9d8bfc-a3cf-11ed-a22f-00155d82e902</v>
      </c>
    </row>
    <row r="2939" spans="1:19" s="2" customFormat="1" ht="96.2" customHeight="1" outlineLevel="5">
      <c r="A2939" s="52">
        <v>2305</v>
      </c>
      <c r="B2939" s="26" t="s">
        <v>9706</v>
      </c>
      <c r="C2939" s="66" t="s">
        <v>9707</v>
      </c>
      <c r="D2939" s="66"/>
      <c r="E2939" s="66"/>
      <c r="F2939" s="66"/>
      <c r="G2939" s="27" t="s">
        <v>9708</v>
      </c>
      <c r="H2939" s="33">
        <v>33</v>
      </c>
      <c r="I2939" s="29"/>
      <c r="J2939" s="25">
        <v>3</v>
      </c>
      <c r="K2939" s="30">
        <v>229.51</v>
      </c>
      <c r="L2939" s="17"/>
      <c r="M2939" s="29">
        <f t="shared" si="140"/>
        <v>0</v>
      </c>
      <c r="N2939" s="31">
        <f>0.033*L2939</f>
        <v>0</v>
      </c>
      <c r="O2939" s="32">
        <f>0.00042*L2939</f>
        <v>0</v>
      </c>
      <c r="P2939" s="36"/>
      <c r="Q2939" s="29" t="s">
        <v>9709</v>
      </c>
      <c r="R2939" s="29" t="s">
        <v>611</v>
      </c>
      <c r="S2939" s="26" t="str">
        <f>HYPERLINK("https://miland.ru/api/getInfo/image/19f0bc1b-a3d0-11ed-a22f-00155d82e902")</f>
        <v>https://miland.ru/api/getInfo/image/19f0bc1b-a3d0-11ed-a22f-00155d82e902</v>
      </c>
    </row>
    <row r="2940" spans="1:19" s="2" customFormat="1" ht="96.2" customHeight="1" outlineLevel="5">
      <c r="A2940" s="52">
        <v>2306</v>
      </c>
      <c r="B2940" s="26" t="s">
        <v>9710</v>
      </c>
      <c r="C2940" s="66" t="s">
        <v>9711</v>
      </c>
      <c r="D2940" s="66"/>
      <c r="E2940" s="66"/>
      <c r="F2940" s="66"/>
      <c r="G2940" s="27" t="s">
        <v>9712</v>
      </c>
      <c r="H2940" s="28" t="s">
        <v>44</v>
      </c>
      <c r="I2940" s="29"/>
      <c r="J2940" s="25">
        <v>2</v>
      </c>
      <c r="K2940" s="30">
        <v>294.68</v>
      </c>
      <c r="L2940" s="17"/>
      <c r="M2940" s="29">
        <f t="shared" si="140"/>
        <v>0</v>
      </c>
      <c r="N2940" s="31">
        <f>0.034*L2940</f>
        <v>0</v>
      </c>
      <c r="O2940" s="32">
        <f>0.00074*L2940</f>
        <v>0</v>
      </c>
      <c r="P2940" s="36"/>
      <c r="Q2940" s="29" t="s">
        <v>9713</v>
      </c>
      <c r="R2940" s="29" t="s">
        <v>611</v>
      </c>
      <c r="S2940" s="26" t="str">
        <f>HYPERLINK("https://miland.ru/api/getInfo/image/c7320611-a3d0-11ed-a22f-00155d82e902")</f>
        <v>https://miland.ru/api/getInfo/image/c7320611-a3d0-11ed-a22f-00155d82e902</v>
      </c>
    </row>
    <row r="2941" spans="1:19" s="2" customFormat="1" ht="96.2" customHeight="1" outlineLevel="5">
      <c r="A2941" s="52">
        <v>2307</v>
      </c>
      <c r="B2941" s="26" t="s">
        <v>9714</v>
      </c>
      <c r="C2941" s="66" t="s">
        <v>9715</v>
      </c>
      <c r="D2941" s="66"/>
      <c r="E2941" s="66"/>
      <c r="F2941" s="66"/>
      <c r="G2941" s="27" t="s">
        <v>9716</v>
      </c>
      <c r="H2941" s="33">
        <v>61</v>
      </c>
      <c r="I2941" s="29"/>
      <c r="J2941" s="25">
        <v>3</v>
      </c>
      <c r="K2941" s="30">
        <v>187.77</v>
      </c>
      <c r="L2941" s="17"/>
      <c r="M2941" s="29">
        <f t="shared" si="140"/>
        <v>0</v>
      </c>
      <c r="N2941" s="31">
        <f>0.037*L2941</f>
        <v>0</v>
      </c>
      <c r="O2941" s="35">
        <f>0.0006*L2941</f>
        <v>0</v>
      </c>
      <c r="P2941" s="36"/>
      <c r="Q2941" s="29" t="s">
        <v>9717</v>
      </c>
      <c r="R2941" s="29" t="s">
        <v>611</v>
      </c>
      <c r="S2941" s="26" t="str">
        <f>HYPERLINK("https://miland.ru/api/getInfo/image/421fa32d-a3cf-11ed-a22f-00155d82e902")</f>
        <v>https://miland.ru/api/getInfo/image/421fa32d-a3cf-11ed-a22f-00155d82e902</v>
      </c>
    </row>
    <row r="2942" spans="1:19" s="2" customFormat="1" ht="96.2" customHeight="1" outlineLevel="5">
      <c r="A2942" s="52">
        <v>2308</v>
      </c>
      <c r="B2942" s="26" t="s">
        <v>9718</v>
      </c>
      <c r="C2942" s="66" t="s">
        <v>9719</v>
      </c>
      <c r="D2942" s="66"/>
      <c r="E2942" s="66"/>
      <c r="F2942" s="66"/>
      <c r="G2942" s="27" t="s">
        <v>9720</v>
      </c>
      <c r="H2942" s="28" t="s">
        <v>44</v>
      </c>
      <c r="I2942" s="29"/>
      <c r="J2942" s="25">
        <v>2</v>
      </c>
      <c r="K2942" s="30">
        <v>297.41000000000003</v>
      </c>
      <c r="L2942" s="17"/>
      <c r="M2942" s="29">
        <f t="shared" si="140"/>
        <v>0</v>
      </c>
      <c r="N2942" s="31">
        <f>0.027*L2942</f>
        <v>0</v>
      </c>
      <c r="O2942" s="32">
        <f>0.00168*L2942</f>
        <v>0</v>
      </c>
      <c r="P2942" s="36"/>
      <c r="Q2942" s="29" t="s">
        <v>9721</v>
      </c>
      <c r="R2942" s="29" t="s">
        <v>611</v>
      </c>
      <c r="S2942" s="26" t="str">
        <f>HYPERLINK("https://miland.ru/api/getInfo/image/68e85fff-a3d0-11ed-a22f-00155d82e902")</f>
        <v>https://miland.ru/api/getInfo/image/68e85fff-a3d0-11ed-a22f-00155d82e902</v>
      </c>
    </row>
    <row r="2943" spans="1:19" s="2" customFormat="1" ht="96.2" customHeight="1" outlineLevel="5">
      <c r="A2943" s="52">
        <v>2309</v>
      </c>
      <c r="B2943" s="26" t="s">
        <v>9722</v>
      </c>
      <c r="C2943" s="66" t="s">
        <v>9723</v>
      </c>
      <c r="D2943" s="66"/>
      <c r="E2943" s="66"/>
      <c r="F2943" s="66"/>
      <c r="G2943" s="27" t="s">
        <v>9724</v>
      </c>
      <c r="H2943" s="28" t="s">
        <v>44</v>
      </c>
      <c r="I2943" s="29"/>
      <c r="J2943" s="25">
        <v>3</v>
      </c>
      <c r="K2943" s="30">
        <v>254.93</v>
      </c>
      <c r="L2943" s="17"/>
      <c r="M2943" s="29">
        <f t="shared" si="140"/>
        <v>0</v>
      </c>
      <c r="N2943" s="31">
        <f>0.042*L2943</f>
        <v>0</v>
      </c>
      <c r="O2943" s="32">
        <f>0.00082*L2943</f>
        <v>0</v>
      </c>
      <c r="P2943" s="36"/>
      <c r="Q2943" s="29" t="s">
        <v>9725</v>
      </c>
      <c r="R2943" s="29"/>
      <c r="S2943" s="26" t="str">
        <f>HYPERLINK("https://miland.ru/api/getInfo/image/25b4e525-a3d1-11ed-a22f-00155d82e902")</f>
        <v>https://miland.ru/api/getInfo/image/25b4e525-a3d1-11ed-a22f-00155d82e902</v>
      </c>
    </row>
    <row r="2944" spans="1:19" s="2" customFormat="1" ht="96.2" customHeight="1" outlineLevel="5">
      <c r="A2944" s="52">
        <v>2310</v>
      </c>
      <c r="B2944" s="26" t="s">
        <v>9726</v>
      </c>
      <c r="C2944" s="66" t="s">
        <v>9727</v>
      </c>
      <c r="D2944" s="66"/>
      <c r="E2944" s="66"/>
      <c r="F2944" s="66"/>
      <c r="G2944" s="27" t="s">
        <v>9728</v>
      </c>
      <c r="H2944" s="28" t="s">
        <v>44</v>
      </c>
      <c r="I2944" s="29"/>
      <c r="J2944" s="25">
        <v>3</v>
      </c>
      <c r="K2944" s="30">
        <v>254.93</v>
      </c>
      <c r="L2944" s="17"/>
      <c r="M2944" s="29">
        <f t="shared" si="140"/>
        <v>0</v>
      </c>
      <c r="N2944" s="31">
        <f>0.045*L2944</f>
        <v>0</v>
      </c>
      <c r="O2944" s="32">
        <f>0.00077*L2944</f>
        <v>0</v>
      </c>
      <c r="P2944" s="36"/>
      <c r="Q2944" s="29" t="s">
        <v>9729</v>
      </c>
      <c r="R2944" s="29"/>
      <c r="S2944" s="26" t="str">
        <f>HYPERLINK("https://miland.ru/api/getInfo/image/e99e6ac0-a3ce-11ed-a22f-00155d82e902")</f>
        <v>https://miland.ru/api/getInfo/image/e99e6ac0-a3ce-11ed-a22f-00155d82e902</v>
      </c>
    </row>
    <row r="2945" spans="1:19" s="2" customFormat="1" ht="96.2" customHeight="1" outlineLevel="5">
      <c r="A2945" s="52">
        <v>2311</v>
      </c>
      <c r="B2945" s="26" t="s">
        <v>9730</v>
      </c>
      <c r="C2945" s="66" t="s">
        <v>9731</v>
      </c>
      <c r="D2945" s="66"/>
      <c r="E2945" s="66"/>
      <c r="F2945" s="66"/>
      <c r="G2945" s="27" t="s">
        <v>9732</v>
      </c>
      <c r="H2945" s="33">
        <v>184</v>
      </c>
      <c r="I2945" s="29"/>
      <c r="J2945" s="25">
        <v>2</v>
      </c>
      <c r="K2945" s="30">
        <v>307.47000000000003</v>
      </c>
      <c r="L2945" s="17"/>
      <c r="M2945" s="29">
        <f t="shared" si="140"/>
        <v>0</v>
      </c>
      <c r="N2945" s="31">
        <f>0.041*L2945</f>
        <v>0</v>
      </c>
      <c r="O2945" s="32">
        <f>0.00079*L2945</f>
        <v>0</v>
      </c>
      <c r="P2945" s="36"/>
      <c r="Q2945" s="29" t="s">
        <v>9733</v>
      </c>
      <c r="R2945" s="29"/>
      <c r="S2945" s="26" t="str">
        <f>HYPERLINK("https://miland.ru/api/getInfo/image/0621009e-a3cd-11ed-a22f-00155d82e902")</f>
        <v>https://miland.ru/api/getInfo/image/0621009e-a3cd-11ed-a22f-00155d82e902</v>
      </c>
    </row>
    <row r="2946" spans="1:19" s="2" customFormat="1" ht="96.2" customHeight="1" outlineLevel="5">
      <c r="A2946" s="52">
        <v>2312</v>
      </c>
      <c r="B2946" s="26" t="s">
        <v>9734</v>
      </c>
      <c r="C2946" s="66" t="s">
        <v>9735</v>
      </c>
      <c r="D2946" s="66"/>
      <c r="E2946" s="66"/>
      <c r="F2946" s="66"/>
      <c r="G2946" s="27" t="s">
        <v>9736</v>
      </c>
      <c r="H2946" s="33">
        <v>150</v>
      </c>
      <c r="I2946" s="29"/>
      <c r="J2946" s="25">
        <v>10</v>
      </c>
      <c r="K2946" s="30">
        <v>79.98</v>
      </c>
      <c r="L2946" s="17"/>
      <c r="M2946" s="29">
        <f t="shared" si="140"/>
        <v>0</v>
      </c>
      <c r="N2946" s="34">
        <f>0.02*L2946</f>
        <v>0</v>
      </c>
      <c r="O2946" s="32">
        <f>0.00038*L2946</f>
        <v>0</v>
      </c>
      <c r="P2946" s="36"/>
      <c r="Q2946" s="29" t="s">
        <v>9737</v>
      </c>
      <c r="R2946" s="29" t="s">
        <v>611</v>
      </c>
      <c r="S2946" s="26" t="str">
        <f>HYPERLINK("https://miland.ru/api/getInfo/image/38a47b52-a3c3-11ed-a22f-00155d82e902")</f>
        <v>https://miland.ru/api/getInfo/image/38a47b52-a3c3-11ed-a22f-00155d82e902</v>
      </c>
    </row>
    <row r="2947" spans="1:19" s="2" customFormat="1" ht="96.2" customHeight="1" outlineLevel="5">
      <c r="A2947" s="52">
        <v>2313</v>
      </c>
      <c r="B2947" s="26" t="s">
        <v>9738</v>
      </c>
      <c r="C2947" s="66" t="s">
        <v>9739</v>
      </c>
      <c r="D2947" s="66"/>
      <c r="E2947" s="66"/>
      <c r="F2947" s="66"/>
      <c r="G2947" s="27" t="s">
        <v>9740</v>
      </c>
      <c r="H2947" s="28" t="s">
        <v>44</v>
      </c>
      <c r="I2947" s="29"/>
      <c r="J2947" s="25">
        <v>3</v>
      </c>
      <c r="K2947" s="30">
        <v>186.86</v>
      </c>
      <c r="L2947" s="17"/>
      <c r="M2947" s="29">
        <f t="shared" si="140"/>
        <v>0</v>
      </c>
      <c r="N2947" s="31">
        <f>0.017*L2947</f>
        <v>0</v>
      </c>
      <c r="O2947" s="32">
        <f>0.00044*L2947</f>
        <v>0</v>
      </c>
      <c r="P2947" s="36"/>
      <c r="Q2947" s="29" t="s">
        <v>9741</v>
      </c>
      <c r="R2947" s="29"/>
      <c r="S2947" s="26" t="str">
        <f>HYPERLINK("https://miland.ru/api/getInfo/image/d7d870c1-a3cd-11ed-a22f-00155d82e902")</f>
        <v>https://miland.ru/api/getInfo/image/d7d870c1-a3cd-11ed-a22f-00155d82e902</v>
      </c>
    </row>
    <row r="2948" spans="1:19" s="2" customFormat="1" ht="96.2" customHeight="1" outlineLevel="5">
      <c r="A2948" s="52">
        <v>2314</v>
      </c>
      <c r="B2948" s="26" t="s">
        <v>9742</v>
      </c>
      <c r="C2948" s="66" t="s">
        <v>9743</v>
      </c>
      <c r="D2948" s="66"/>
      <c r="E2948" s="66"/>
      <c r="F2948" s="66"/>
      <c r="G2948" s="27" t="s">
        <v>9744</v>
      </c>
      <c r="H2948" s="33">
        <v>359</v>
      </c>
      <c r="I2948" s="29"/>
      <c r="J2948" s="25">
        <v>3</v>
      </c>
      <c r="K2948" s="30">
        <v>254.93</v>
      </c>
      <c r="L2948" s="17"/>
      <c r="M2948" s="29">
        <f t="shared" si="140"/>
        <v>0</v>
      </c>
      <c r="N2948" s="34">
        <f>0.04*L2948</f>
        <v>0</v>
      </c>
      <c r="O2948" s="35">
        <f>0.0005*L2948</f>
        <v>0</v>
      </c>
      <c r="P2948" s="36"/>
      <c r="Q2948" s="29" t="s">
        <v>9745</v>
      </c>
      <c r="R2948" s="29"/>
      <c r="S2948" s="26" t="str">
        <f>HYPERLINK("https://miland.ru/api/getInfo/image/826b1581-a3ce-11ed-a22f-00155d82e902")</f>
        <v>https://miland.ru/api/getInfo/image/826b1581-a3ce-11ed-a22f-00155d82e902</v>
      </c>
    </row>
    <row r="2949" spans="1:19" s="2" customFormat="1" ht="96.2" customHeight="1" outlineLevel="5">
      <c r="A2949" s="52">
        <v>2315</v>
      </c>
      <c r="B2949" s="26" t="s">
        <v>9746</v>
      </c>
      <c r="C2949" s="66" t="s">
        <v>9747</v>
      </c>
      <c r="D2949" s="66"/>
      <c r="E2949" s="66"/>
      <c r="F2949" s="66"/>
      <c r="G2949" s="27" t="s">
        <v>9748</v>
      </c>
      <c r="H2949" s="33">
        <v>294</v>
      </c>
      <c r="I2949" s="29"/>
      <c r="J2949" s="25">
        <v>3</v>
      </c>
      <c r="K2949" s="30">
        <v>252.18</v>
      </c>
      <c r="L2949" s="17"/>
      <c r="M2949" s="29">
        <f t="shared" si="140"/>
        <v>0</v>
      </c>
      <c r="N2949" s="31">
        <f>0.037*L2949</f>
        <v>0</v>
      </c>
      <c r="O2949" s="32">
        <f>0.00144*L2949</f>
        <v>0</v>
      </c>
      <c r="P2949" s="36"/>
      <c r="Q2949" s="29" t="s">
        <v>9749</v>
      </c>
      <c r="R2949" s="29"/>
      <c r="S2949" s="26" t="str">
        <f>HYPERLINK("https://miland.ru/api/getInfo/image/300f9813-a3ce-11ed-a22f-00155d82e902")</f>
        <v>https://miland.ru/api/getInfo/image/300f9813-a3ce-11ed-a22f-00155d82e902</v>
      </c>
    </row>
    <row r="2950" spans="1:19" s="2" customFormat="1" ht="96.2" customHeight="1" outlineLevel="5">
      <c r="A2950" s="52">
        <v>2316</v>
      </c>
      <c r="B2950" s="26" t="s">
        <v>9750</v>
      </c>
      <c r="C2950" s="66" t="s">
        <v>9751</v>
      </c>
      <c r="D2950" s="66"/>
      <c r="E2950" s="66"/>
      <c r="F2950" s="66"/>
      <c r="G2950" s="27" t="s">
        <v>9752</v>
      </c>
      <c r="H2950" s="28" t="s">
        <v>44</v>
      </c>
      <c r="I2950" s="29"/>
      <c r="J2950" s="25">
        <v>3</v>
      </c>
      <c r="K2950" s="30">
        <v>226.15</v>
      </c>
      <c r="L2950" s="17"/>
      <c r="M2950" s="29">
        <f t="shared" si="140"/>
        <v>0</v>
      </c>
      <c r="N2950" s="34">
        <f>0.05*L2950</f>
        <v>0</v>
      </c>
      <c r="O2950" s="32">
        <f>0.00144*L2950</f>
        <v>0</v>
      </c>
      <c r="P2950" s="36"/>
      <c r="Q2950" s="29" t="s">
        <v>9753</v>
      </c>
      <c r="R2950" s="29"/>
      <c r="S2950" s="26" t="str">
        <f>HYPERLINK("https://miland.ru/api/getInfo/image/773b531d-bb60-11ee-a25a-00155d82e908")</f>
        <v>https://miland.ru/api/getInfo/image/773b531d-bb60-11ee-a25a-00155d82e908</v>
      </c>
    </row>
    <row r="2951" spans="1:19" s="1" customFormat="1" ht="12" customHeight="1" outlineLevel="4">
      <c r="A2951" s="64" t="s">
        <v>9754</v>
      </c>
      <c r="B2951" s="64"/>
      <c r="C2951" s="64"/>
      <c r="D2951" s="64"/>
      <c r="E2951" s="64"/>
      <c r="F2951" s="64"/>
      <c r="G2951" s="8"/>
      <c r="H2951" s="12"/>
      <c r="I2951" s="2"/>
      <c r="J2951" s="2"/>
      <c r="K2951" s="13"/>
      <c r="L2951" s="2"/>
      <c r="M2951" s="2"/>
      <c r="N2951" s="2"/>
      <c r="O2951" s="2"/>
      <c r="P2951" s="2"/>
      <c r="Q2951" s="2"/>
      <c r="R2951" s="2"/>
      <c r="S2951" s="2"/>
    </row>
    <row r="2952" spans="1:19" s="2" customFormat="1" ht="96.2" customHeight="1" outlineLevel="5">
      <c r="A2952" s="52">
        <v>2317</v>
      </c>
      <c r="B2952" s="26" t="s">
        <v>9755</v>
      </c>
      <c r="C2952" s="66" t="s">
        <v>9756</v>
      </c>
      <c r="D2952" s="66"/>
      <c r="E2952" s="66"/>
      <c r="F2952" s="66"/>
      <c r="G2952" s="27" t="s">
        <v>9757</v>
      </c>
      <c r="H2952" s="33">
        <v>415</v>
      </c>
      <c r="I2952" s="29"/>
      <c r="J2952" s="25">
        <v>1</v>
      </c>
      <c r="K2952" s="30">
        <v>432.27</v>
      </c>
      <c r="L2952" s="17"/>
      <c r="M2952" s="29">
        <f>K2952*L2952</f>
        <v>0</v>
      </c>
      <c r="N2952" s="31">
        <f>0.243*L2952</f>
        <v>0</v>
      </c>
      <c r="O2952" s="32">
        <f>0.00397*L2952</f>
        <v>0</v>
      </c>
      <c r="P2952" s="36"/>
      <c r="Q2952" s="29" t="s">
        <v>9758</v>
      </c>
      <c r="R2952" s="29"/>
      <c r="S2952" s="26" t="str">
        <f>HYPERLINK("https://miland.ru/api/getInfo/image/ac8c0b95-dd51-11ef-a273-00155d82e908")</f>
        <v>https://miland.ru/api/getInfo/image/ac8c0b95-dd51-11ef-a273-00155d82e908</v>
      </c>
    </row>
    <row r="2953" spans="1:19" s="2" customFormat="1" ht="96.2" customHeight="1" outlineLevel="5">
      <c r="A2953" s="52">
        <v>2318</v>
      </c>
      <c r="B2953" s="26" t="s">
        <v>9759</v>
      </c>
      <c r="C2953" s="66" t="s">
        <v>9760</v>
      </c>
      <c r="D2953" s="66"/>
      <c r="E2953" s="66"/>
      <c r="F2953" s="66"/>
      <c r="G2953" s="27" t="s">
        <v>9761</v>
      </c>
      <c r="H2953" s="28" t="s">
        <v>44</v>
      </c>
      <c r="I2953" s="29"/>
      <c r="J2953" s="25">
        <v>2</v>
      </c>
      <c r="K2953" s="30">
        <v>373.12</v>
      </c>
      <c r="L2953" s="17"/>
      <c r="M2953" s="29">
        <f>K2953*L2953</f>
        <v>0</v>
      </c>
      <c r="N2953" s="31">
        <f>0.235*L2953</f>
        <v>0</v>
      </c>
      <c r="O2953" s="32">
        <f>0.00424*L2953</f>
        <v>0</v>
      </c>
      <c r="P2953" s="36"/>
      <c r="Q2953" s="29" t="s">
        <v>9762</v>
      </c>
      <c r="R2953" s="29"/>
      <c r="S2953" s="26" t="str">
        <f>HYPERLINK("https://miland.ru/api/getInfo/image/30fa8fde-dd4e-11ef-a273-00155d82e908")</f>
        <v>https://miland.ru/api/getInfo/image/30fa8fde-dd4e-11ef-a273-00155d82e908</v>
      </c>
    </row>
    <row r="2954" spans="1:19" s="1" customFormat="1" ht="15.95" customHeight="1" outlineLevel="1">
      <c r="A2954" s="62" t="s">
        <v>9763</v>
      </c>
      <c r="B2954" s="62"/>
      <c r="C2954" s="62"/>
      <c r="D2954" s="62"/>
      <c r="E2954" s="62"/>
      <c r="F2954" s="62"/>
      <c r="G2954" s="8"/>
      <c r="H2954" s="12"/>
      <c r="I2954" s="2"/>
      <c r="J2954" s="2"/>
      <c r="K2954" s="13"/>
      <c r="L2954" s="2"/>
      <c r="M2954" s="2"/>
      <c r="N2954" s="2"/>
      <c r="O2954" s="2"/>
      <c r="P2954" s="2"/>
      <c r="Q2954" s="2"/>
      <c r="R2954" s="2"/>
      <c r="S2954" s="2"/>
    </row>
    <row r="2955" spans="1:19" s="1" customFormat="1" ht="12" customHeight="1" outlineLevel="2">
      <c r="A2955" s="63" t="s">
        <v>9764</v>
      </c>
      <c r="B2955" s="63"/>
      <c r="C2955" s="63"/>
      <c r="D2955" s="63"/>
      <c r="E2955" s="63"/>
      <c r="F2955" s="63"/>
      <c r="G2955" s="8"/>
      <c r="H2955" s="12"/>
      <c r="I2955" s="2"/>
      <c r="J2955" s="2"/>
      <c r="K2955" s="13"/>
      <c r="L2955" s="2"/>
      <c r="M2955" s="2"/>
      <c r="N2955" s="2"/>
      <c r="O2955" s="2"/>
      <c r="P2955" s="2"/>
      <c r="Q2955" s="2"/>
      <c r="R2955" s="2"/>
      <c r="S2955" s="2"/>
    </row>
    <row r="2956" spans="1:19" s="2" customFormat="1" ht="96.2" customHeight="1" outlineLevel="3">
      <c r="A2956" s="52">
        <v>2319</v>
      </c>
      <c r="B2956" s="26" t="s">
        <v>9765</v>
      </c>
      <c r="C2956" s="66" t="s">
        <v>9766</v>
      </c>
      <c r="D2956" s="66"/>
      <c r="E2956" s="66"/>
      <c r="F2956" s="66"/>
      <c r="G2956" s="27" t="s">
        <v>9767</v>
      </c>
      <c r="H2956" s="28" t="s">
        <v>44</v>
      </c>
      <c r="I2956" s="29"/>
      <c r="J2956" s="25">
        <v>3</v>
      </c>
      <c r="K2956" s="30">
        <v>266.26</v>
      </c>
      <c r="L2956" s="17"/>
      <c r="M2956" s="29">
        <f t="shared" ref="M2956:M2961" si="141">K2956*L2956</f>
        <v>0</v>
      </c>
      <c r="N2956" s="31">
        <f>0.049*L2956</f>
        <v>0</v>
      </c>
      <c r="O2956" s="32">
        <f>0.00023*L2956</f>
        <v>0</v>
      </c>
      <c r="P2956" s="36"/>
      <c r="Q2956" s="29" t="s">
        <v>9768</v>
      </c>
      <c r="R2956" s="29"/>
      <c r="S2956" s="26" t="str">
        <f>HYPERLINK("https://miland.ru/api/getInfo/image/42a2ee6f-7a59-11ef-a265-00155d82e908")</f>
        <v>https://miland.ru/api/getInfo/image/42a2ee6f-7a59-11ef-a265-00155d82e908</v>
      </c>
    </row>
    <row r="2957" spans="1:19" s="2" customFormat="1" ht="96.2" customHeight="1" outlineLevel="3">
      <c r="A2957" s="52">
        <v>2320</v>
      </c>
      <c r="B2957" s="26" t="s">
        <v>9769</v>
      </c>
      <c r="C2957" s="66" t="s">
        <v>9770</v>
      </c>
      <c r="D2957" s="66"/>
      <c r="E2957" s="66"/>
      <c r="F2957" s="66"/>
      <c r="G2957" s="27" t="s">
        <v>9771</v>
      </c>
      <c r="H2957" s="28" t="s">
        <v>44</v>
      </c>
      <c r="I2957" s="29"/>
      <c r="J2957" s="25">
        <v>50</v>
      </c>
      <c r="K2957" s="30">
        <v>18.59</v>
      </c>
      <c r="L2957" s="17"/>
      <c r="M2957" s="29">
        <f t="shared" si="141"/>
        <v>0</v>
      </c>
      <c r="N2957" s="31">
        <f>0.014*L2957</f>
        <v>0</v>
      </c>
      <c r="O2957" s="32">
        <f>0.00012*L2957</f>
        <v>0</v>
      </c>
      <c r="P2957" s="36"/>
      <c r="Q2957" s="29" t="s">
        <v>9772</v>
      </c>
      <c r="R2957" s="29"/>
      <c r="S2957" s="26" t="str">
        <f>HYPERLINK("https://miland.ru/api/getInfo/image/e97dfc1b-3551-11f0-a27c-00155d82e908")</f>
        <v>https://miland.ru/api/getInfo/image/e97dfc1b-3551-11f0-a27c-00155d82e908</v>
      </c>
    </row>
    <row r="2958" spans="1:19" s="2" customFormat="1" ht="96.2" customHeight="1" outlineLevel="3">
      <c r="A2958" s="52">
        <v>2321</v>
      </c>
      <c r="B2958" s="26" t="s">
        <v>9773</v>
      </c>
      <c r="C2958" s="66" t="s">
        <v>9774</v>
      </c>
      <c r="D2958" s="66"/>
      <c r="E2958" s="66"/>
      <c r="F2958" s="66"/>
      <c r="G2958" s="27" t="s">
        <v>9775</v>
      </c>
      <c r="H2958" s="28" t="s">
        <v>44</v>
      </c>
      <c r="I2958" s="29"/>
      <c r="J2958" s="25">
        <v>50</v>
      </c>
      <c r="K2958" s="30">
        <v>18.59</v>
      </c>
      <c r="L2958" s="17"/>
      <c r="M2958" s="29">
        <f t="shared" si="141"/>
        <v>0</v>
      </c>
      <c r="N2958" s="31">
        <f>0.013*L2958</f>
        <v>0</v>
      </c>
      <c r="O2958" s="32">
        <f>0.00012*L2958</f>
        <v>0</v>
      </c>
      <c r="P2958" s="36"/>
      <c r="Q2958" s="29" t="s">
        <v>9776</v>
      </c>
      <c r="R2958" s="29"/>
      <c r="S2958" s="26" t="str">
        <f>HYPERLINK("https://miland.ru/api/getInfo/image/32fa7b53-3552-11f0-a27c-00155d82e908")</f>
        <v>https://miland.ru/api/getInfo/image/32fa7b53-3552-11f0-a27c-00155d82e908</v>
      </c>
    </row>
    <row r="2959" spans="1:19" s="2" customFormat="1" ht="96.2" customHeight="1" outlineLevel="3">
      <c r="A2959" s="52">
        <v>2322</v>
      </c>
      <c r="B2959" s="26" t="s">
        <v>9777</v>
      </c>
      <c r="C2959" s="66" t="s">
        <v>9778</v>
      </c>
      <c r="D2959" s="66"/>
      <c r="E2959" s="66"/>
      <c r="F2959" s="66"/>
      <c r="G2959" s="27" t="s">
        <v>9779</v>
      </c>
      <c r="H2959" s="28" t="s">
        <v>44</v>
      </c>
      <c r="I2959" s="29"/>
      <c r="J2959" s="25">
        <v>12</v>
      </c>
      <c r="K2959" s="30">
        <v>50.08</v>
      </c>
      <c r="L2959" s="17"/>
      <c r="M2959" s="29">
        <f t="shared" si="141"/>
        <v>0</v>
      </c>
      <c r="N2959" s="31">
        <f>0.058*L2959</f>
        <v>0</v>
      </c>
      <c r="O2959" s="32">
        <f>0.00027*L2959</f>
        <v>0</v>
      </c>
      <c r="P2959" s="36"/>
      <c r="Q2959" s="29" t="s">
        <v>9780</v>
      </c>
      <c r="R2959" s="29"/>
      <c r="S2959" s="26" t="str">
        <f>HYPERLINK("https://miland.ru/api/getInfo/image/7652c0ae-379b-11f0-a27c-00155d82e908")</f>
        <v>https://miland.ru/api/getInfo/image/7652c0ae-379b-11f0-a27c-00155d82e908</v>
      </c>
    </row>
    <row r="2960" spans="1:19" s="2" customFormat="1" ht="96.2" customHeight="1" outlineLevel="3">
      <c r="A2960" s="52">
        <v>2323</v>
      </c>
      <c r="B2960" s="26" t="s">
        <v>9781</v>
      </c>
      <c r="C2960" s="66" t="s">
        <v>9782</v>
      </c>
      <c r="D2960" s="66"/>
      <c r="E2960" s="66"/>
      <c r="F2960" s="66"/>
      <c r="G2960" s="27" t="s">
        <v>9783</v>
      </c>
      <c r="H2960" s="28" t="s">
        <v>44</v>
      </c>
      <c r="I2960" s="29"/>
      <c r="J2960" s="25">
        <v>12</v>
      </c>
      <c r="K2960" s="30">
        <v>50.08</v>
      </c>
      <c r="L2960" s="17"/>
      <c r="M2960" s="29">
        <f t="shared" si="141"/>
        <v>0</v>
      </c>
      <c r="N2960" s="34">
        <f>0.03*L2960</f>
        <v>0</v>
      </c>
      <c r="O2960" s="32">
        <f>0.00013*L2960</f>
        <v>0</v>
      </c>
      <c r="P2960" s="36"/>
      <c r="Q2960" s="29" t="s">
        <v>9784</v>
      </c>
      <c r="R2960" s="29"/>
      <c r="S2960" s="26" t="str">
        <f>HYPERLINK("https://miland.ru/api/getInfo/image/da2e6bf6-379b-11f0-a27c-00155d82e908")</f>
        <v>https://miland.ru/api/getInfo/image/da2e6bf6-379b-11f0-a27c-00155d82e908</v>
      </c>
    </row>
    <row r="2961" spans="1:19" s="2" customFormat="1" ht="96.2" customHeight="1" outlineLevel="3">
      <c r="A2961" s="52">
        <v>2324</v>
      </c>
      <c r="B2961" s="26" t="s">
        <v>9785</v>
      </c>
      <c r="C2961" s="66" t="s">
        <v>9786</v>
      </c>
      <c r="D2961" s="66"/>
      <c r="E2961" s="66"/>
      <c r="F2961" s="66"/>
      <c r="G2961" s="27" t="s">
        <v>9787</v>
      </c>
      <c r="H2961" s="28" t="s">
        <v>44</v>
      </c>
      <c r="I2961" s="29"/>
      <c r="J2961" s="25">
        <v>12</v>
      </c>
      <c r="K2961" s="30">
        <v>50.08</v>
      </c>
      <c r="L2961" s="17"/>
      <c r="M2961" s="29">
        <f t="shared" si="141"/>
        <v>0</v>
      </c>
      <c r="N2961" s="34">
        <f>0.05*L2961</f>
        <v>0</v>
      </c>
      <c r="O2961" s="32">
        <f>0.00027*L2961</f>
        <v>0</v>
      </c>
      <c r="P2961" s="36"/>
      <c r="Q2961" s="29" t="s">
        <v>9788</v>
      </c>
      <c r="R2961" s="29"/>
      <c r="S2961" s="26" t="str">
        <f>HYPERLINK("https://miland.ru/api/getInfo/image/b685f1c7-379b-11f0-a27c-00155d82e908")</f>
        <v>https://miland.ru/api/getInfo/image/b685f1c7-379b-11f0-a27c-00155d82e908</v>
      </c>
    </row>
    <row r="2962" spans="1:19" s="1" customFormat="1" ht="12" customHeight="1" outlineLevel="2">
      <c r="A2962" s="63" t="s">
        <v>9789</v>
      </c>
      <c r="B2962" s="63"/>
      <c r="C2962" s="63"/>
      <c r="D2962" s="63"/>
      <c r="E2962" s="63"/>
      <c r="F2962" s="63"/>
      <c r="G2962" s="8"/>
      <c r="H2962" s="12"/>
      <c r="I2962" s="2"/>
      <c r="J2962" s="2"/>
      <c r="K2962" s="13"/>
      <c r="L2962" s="2"/>
      <c r="M2962" s="2"/>
      <c r="N2962" s="2"/>
      <c r="O2962" s="2"/>
      <c r="P2962" s="2"/>
      <c r="Q2962" s="2"/>
      <c r="R2962" s="2"/>
      <c r="S2962" s="2"/>
    </row>
    <row r="2963" spans="1:19" s="2" customFormat="1" ht="96.2" customHeight="1" outlineLevel="3">
      <c r="A2963" s="52">
        <v>2325</v>
      </c>
      <c r="B2963" s="26" t="s">
        <v>9790</v>
      </c>
      <c r="C2963" s="66" t="s">
        <v>9791</v>
      </c>
      <c r="D2963" s="66"/>
      <c r="E2963" s="66"/>
      <c r="F2963" s="66"/>
      <c r="G2963" s="27" t="s">
        <v>9792</v>
      </c>
      <c r="H2963" s="28" t="s">
        <v>44</v>
      </c>
      <c r="I2963" s="29"/>
      <c r="J2963" s="25">
        <v>50</v>
      </c>
      <c r="K2963" s="30">
        <v>18.59</v>
      </c>
      <c r="L2963" s="17"/>
      <c r="M2963" s="29">
        <f>K2963*L2963</f>
        <v>0</v>
      </c>
      <c r="N2963" s="31">
        <f>0.013*L2963</f>
        <v>0</v>
      </c>
      <c r="O2963" s="32">
        <f>0.00012*L2963</f>
        <v>0</v>
      </c>
      <c r="P2963" s="36"/>
      <c r="Q2963" s="29" t="s">
        <v>9793</v>
      </c>
      <c r="R2963" s="29"/>
      <c r="S2963" s="26" t="str">
        <f>HYPERLINK("https://miland.ru/api/getInfo/image/d8988746-3550-11f0-a27c-00155d82e908")</f>
        <v>https://miland.ru/api/getInfo/image/d8988746-3550-11f0-a27c-00155d82e908</v>
      </c>
    </row>
    <row r="2964" spans="1:19" s="2" customFormat="1" ht="96.2" customHeight="1" outlineLevel="3">
      <c r="A2964" s="52">
        <v>2326</v>
      </c>
      <c r="B2964" s="26" t="s">
        <v>9794</v>
      </c>
      <c r="C2964" s="66" t="s">
        <v>9795</v>
      </c>
      <c r="D2964" s="66"/>
      <c r="E2964" s="66"/>
      <c r="F2964" s="66"/>
      <c r="G2964" s="27" t="s">
        <v>9796</v>
      </c>
      <c r="H2964" s="28" t="s">
        <v>44</v>
      </c>
      <c r="I2964" s="29"/>
      <c r="J2964" s="25">
        <v>50</v>
      </c>
      <c r="K2964" s="30">
        <v>18.59</v>
      </c>
      <c r="L2964" s="17"/>
      <c r="M2964" s="29">
        <f>K2964*L2964</f>
        <v>0</v>
      </c>
      <c r="N2964" s="31">
        <f>0.014*L2964</f>
        <v>0</v>
      </c>
      <c r="O2964" s="32">
        <f>0.00012*L2964</f>
        <v>0</v>
      </c>
      <c r="P2964" s="36"/>
      <c r="Q2964" s="29" t="s">
        <v>9797</v>
      </c>
      <c r="R2964" s="29"/>
      <c r="S2964" s="26" t="str">
        <f>HYPERLINK("https://miland.ru/api/getInfo/image/36c061ca-3551-11f0-a27c-00155d82e908")</f>
        <v>https://miland.ru/api/getInfo/image/36c061ca-3551-11f0-a27c-00155d82e908</v>
      </c>
    </row>
    <row r="2965" spans="1:19" s="2" customFormat="1" ht="96.2" customHeight="1" outlineLevel="3">
      <c r="A2965" s="52">
        <v>2327</v>
      </c>
      <c r="B2965" s="26" t="s">
        <v>9798</v>
      </c>
      <c r="C2965" s="66" t="s">
        <v>9799</v>
      </c>
      <c r="D2965" s="66"/>
      <c r="E2965" s="66"/>
      <c r="F2965" s="66"/>
      <c r="G2965" s="27" t="s">
        <v>9800</v>
      </c>
      <c r="H2965" s="33">
        <v>444</v>
      </c>
      <c r="I2965" s="29"/>
      <c r="J2965" s="25">
        <v>12</v>
      </c>
      <c r="K2965" s="30">
        <v>50.08</v>
      </c>
      <c r="L2965" s="17"/>
      <c r="M2965" s="29">
        <f>K2965*L2965</f>
        <v>0</v>
      </c>
      <c r="N2965" s="34">
        <f>0.03*L2965</f>
        <v>0</v>
      </c>
      <c r="O2965" s="32">
        <f>0.00013*L2965</f>
        <v>0</v>
      </c>
      <c r="P2965" s="36"/>
      <c r="Q2965" s="29" t="s">
        <v>9801</v>
      </c>
      <c r="R2965" s="29"/>
      <c r="S2965" s="26" t="str">
        <f>HYPERLINK("https://miland.ru/api/getInfo/image/50ff974a-3799-11f0-a27c-00155d82e908")</f>
        <v>https://miland.ru/api/getInfo/image/50ff974a-3799-11f0-a27c-00155d82e908</v>
      </c>
    </row>
    <row r="2966" spans="1:19" s="2" customFormat="1" ht="96.2" customHeight="1" outlineLevel="3">
      <c r="A2966" s="52">
        <v>2328</v>
      </c>
      <c r="B2966" s="26" t="s">
        <v>9802</v>
      </c>
      <c r="C2966" s="66" t="s">
        <v>9803</v>
      </c>
      <c r="D2966" s="66"/>
      <c r="E2966" s="66"/>
      <c r="F2966" s="66"/>
      <c r="G2966" s="27" t="s">
        <v>9804</v>
      </c>
      <c r="H2966" s="28" t="s">
        <v>44</v>
      </c>
      <c r="I2966" s="29"/>
      <c r="J2966" s="25">
        <v>100</v>
      </c>
      <c r="K2966" s="30">
        <v>4.88</v>
      </c>
      <c r="L2966" s="17"/>
      <c r="M2966" s="29">
        <f>K2966*L2966</f>
        <v>0</v>
      </c>
      <c r="N2966" s="31">
        <f>0.003*L2966</f>
        <v>0</v>
      </c>
      <c r="O2966" s="32">
        <f>0.00006*L2966</f>
        <v>0</v>
      </c>
      <c r="P2966" s="36"/>
      <c r="Q2966" s="29" t="s">
        <v>9805</v>
      </c>
      <c r="R2966" s="29"/>
      <c r="S2966" s="26" t="str">
        <f>HYPERLINK("https://miland.ru/api/getInfo/image/e4709e7f-354f-11f0-a27c-00155d82e908")</f>
        <v>https://miland.ru/api/getInfo/image/e4709e7f-354f-11f0-a27c-00155d82e908</v>
      </c>
    </row>
    <row r="2967" spans="1:19" s="2" customFormat="1" ht="96.2" customHeight="1" outlineLevel="3">
      <c r="A2967" s="52">
        <v>2329</v>
      </c>
      <c r="B2967" s="26" t="s">
        <v>9806</v>
      </c>
      <c r="C2967" s="66" t="s">
        <v>9807</v>
      </c>
      <c r="D2967" s="66"/>
      <c r="E2967" s="66"/>
      <c r="F2967" s="66"/>
      <c r="G2967" s="27" t="s">
        <v>9808</v>
      </c>
      <c r="H2967" s="33">
        <v>495</v>
      </c>
      <c r="I2967" s="29"/>
      <c r="J2967" s="25">
        <v>1</v>
      </c>
      <c r="K2967" s="30">
        <v>538.29999999999995</v>
      </c>
      <c r="L2967" s="17"/>
      <c r="M2967" s="29">
        <f>K2967*L2967</f>
        <v>0</v>
      </c>
      <c r="N2967" s="31">
        <f>0.216*L2967</f>
        <v>0</v>
      </c>
      <c r="O2967" s="32">
        <f>0.00382*L2967</f>
        <v>0</v>
      </c>
      <c r="P2967" s="36"/>
      <c r="Q2967" s="29" t="s">
        <v>9809</v>
      </c>
      <c r="R2967" s="29"/>
      <c r="S2967" s="26" t="str">
        <f>HYPERLINK("https://miland.ru/api/getInfo/image/0a7c569c-92ee-11f0-a284-00155d82e908")</f>
        <v>https://miland.ru/api/getInfo/image/0a7c569c-92ee-11f0-a284-00155d82e908</v>
      </c>
    </row>
    <row r="2968" spans="1:19" s="1" customFormat="1" ht="15.95" customHeight="1" outlineLevel="1">
      <c r="A2968" s="62" t="s">
        <v>604</v>
      </c>
      <c r="B2968" s="62"/>
      <c r="C2968" s="62"/>
      <c r="D2968" s="62"/>
      <c r="E2968" s="62"/>
      <c r="F2968" s="62"/>
      <c r="G2968" s="8"/>
      <c r="H2968" s="12"/>
      <c r="I2968" s="2"/>
      <c r="J2968" s="2"/>
      <c r="K2968" s="13"/>
      <c r="L2968" s="2"/>
      <c r="M2968" s="2"/>
      <c r="N2968" s="2"/>
      <c r="O2968" s="2"/>
      <c r="P2968" s="2"/>
      <c r="Q2968" s="2"/>
      <c r="R2968" s="2"/>
      <c r="S2968" s="2"/>
    </row>
    <row r="2969" spans="1:19" s="1" customFormat="1" ht="12" customHeight="1" outlineLevel="2">
      <c r="A2969" s="63" t="s">
        <v>9810</v>
      </c>
      <c r="B2969" s="63"/>
      <c r="C2969" s="63"/>
      <c r="D2969" s="63"/>
      <c r="E2969" s="63"/>
      <c r="F2969" s="63"/>
      <c r="G2969" s="8"/>
      <c r="H2969" s="12"/>
      <c r="I2969" s="2"/>
      <c r="J2969" s="2"/>
      <c r="K2969" s="13"/>
      <c r="L2969" s="2"/>
      <c r="M2969" s="2"/>
      <c r="N2969" s="2"/>
      <c r="O2969" s="2"/>
      <c r="P2969" s="2"/>
      <c r="Q2969" s="2"/>
      <c r="R2969" s="2"/>
      <c r="S2969" s="2"/>
    </row>
    <row r="2970" spans="1:19" s="1" customFormat="1" ht="12" customHeight="1" outlineLevel="3">
      <c r="A2970" s="64" t="s">
        <v>665</v>
      </c>
      <c r="B2970" s="64"/>
      <c r="C2970" s="64"/>
      <c r="D2970" s="64"/>
      <c r="E2970" s="64"/>
      <c r="F2970" s="64"/>
      <c r="G2970" s="8"/>
      <c r="H2970" s="12"/>
      <c r="I2970" s="2"/>
      <c r="J2970" s="2"/>
      <c r="K2970" s="13"/>
      <c r="L2970" s="2"/>
      <c r="M2970" s="2"/>
      <c r="N2970" s="2"/>
      <c r="O2970" s="2"/>
      <c r="P2970" s="2"/>
      <c r="Q2970" s="2"/>
      <c r="R2970" s="2"/>
      <c r="S2970" s="2"/>
    </row>
    <row r="2971" spans="1:19" s="1" customFormat="1" ht="12" customHeight="1" outlineLevel="4">
      <c r="A2971" s="64" t="s">
        <v>9811</v>
      </c>
      <c r="B2971" s="64"/>
      <c r="C2971" s="64"/>
      <c r="D2971" s="64"/>
      <c r="E2971" s="64"/>
      <c r="F2971" s="64"/>
      <c r="G2971" s="8"/>
      <c r="H2971" s="12"/>
      <c r="I2971" s="2"/>
      <c r="J2971" s="2"/>
      <c r="K2971" s="13"/>
      <c r="L2971" s="2"/>
      <c r="M2971" s="2"/>
      <c r="N2971" s="2"/>
      <c r="O2971" s="2"/>
      <c r="P2971" s="2"/>
      <c r="Q2971" s="2"/>
      <c r="R2971" s="2"/>
      <c r="S2971" s="2"/>
    </row>
    <row r="2972" spans="1:19" s="2" customFormat="1" ht="96.2" customHeight="1" outlineLevel="5">
      <c r="A2972" s="53">
        <v>2330</v>
      </c>
      <c r="B2972" s="10" t="s">
        <v>9812</v>
      </c>
      <c r="C2972" s="65" t="s">
        <v>9813</v>
      </c>
      <c r="D2972" s="65"/>
      <c r="E2972" s="65"/>
      <c r="F2972" s="65"/>
      <c r="G2972" s="11" t="s">
        <v>9814</v>
      </c>
      <c r="H2972" s="21" t="s">
        <v>44</v>
      </c>
      <c r="I2972" s="15"/>
      <c r="J2972" s="9">
        <v>1</v>
      </c>
      <c r="K2972" s="16">
        <v>263.55</v>
      </c>
      <c r="L2972" s="17"/>
      <c r="M2972" s="15">
        <f>K2972*L2972</f>
        <v>0</v>
      </c>
      <c r="N2972" s="18">
        <f>0.237*L2972</f>
        <v>0</v>
      </c>
      <c r="O2972" s="19">
        <f>0.00054*L2972</f>
        <v>0</v>
      </c>
      <c r="P2972" s="24" t="s">
        <v>26</v>
      </c>
      <c r="Q2972" s="15" t="s">
        <v>9815</v>
      </c>
      <c r="R2972" s="15"/>
      <c r="S2972" s="10" t="str">
        <f>HYPERLINK("https://miland.ru/api/getInfo/image/d336be72-4ddb-11f1-a297-00155d82e908")</f>
        <v>https://miland.ru/api/getInfo/image/d336be72-4ddb-11f1-a297-00155d82e908</v>
      </c>
    </row>
    <row r="2973" spans="1:19" s="1" customFormat="1" ht="12" customHeight="1" outlineLevel="2">
      <c r="A2973" s="63" t="s">
        <v>851</v>
      </c>
      <c r="B2973" s="63"/>
      <c r="C2973" s="63"/>
      <c r="D2973" s="63"/>
      <c r="E2973" s="63"/>
      <c r="F2973" s="63"/>
      <c r="G2973" s="8"/>
      <c r="H2973" s="12"/>
      <c r="I2973" s="2"/>
      <c r="J2973" s="2"/>
      <c r="K2973" s="13"/>
      <c r="L2973" s="2"/>
      <c r="M2973" s="2"/>
      <c r="N2973" s="2"/>
      <c r="O2973" s="2"/>
      <c r="P2973" s="2"/>
      <c r="Q2973" s="2"/>
      <c r="R2973" s="2"/>
      <c r="S2973" s="2"/>
    </row>
    <row r="2974" spans="1:19" s="1" customFormat="1" ht="12" customHeight="1" outlineLevel="3">
      <c r="A2974" s="64" t="s">
        <v>665</v>
      </c>
      <c r="B2974" s="64"/>
      <c r="C2974" s="64"/>
      <c r="D2974" s="64"/>
      <c r="E2974" s="64"/>
      <c r="F2974" s="64"/>
      <c r="G2974" s="8"/>
      <c r="H2974" s="12"/>
      <c r="I2974" s="2"/>
      <c r="J2974" s="2"/>
      <c r="K2974" s="13"/>
      <c r="L2974" s="2"/>
      <c r="M2974" s="2"/>
      <c r="N2974" s="2"/>
      <c r="O2974" s="2"/>
      <c r="P2974" s="2"/>
      <c r="Q2974" s="2"/>
      <c r="R2974" s="2"/>
      <c r="S2974" s="2"/>
    </row>
    <row r="2975" spans="1:19" s="1" customFormat="1" ht="12" customHeight="1" outlineLevel="4">
      <c r="A2975" s="64" t="s">
        <v>9811</v>
      </c>
      <c r="B2975" s="64"/>
      <c r="C2975" s="64"/>
      <c r="D2975" s="64"/>
      <c r="E2975" s="64"/>
      <c r="F2975" s="64"/>
      <c r="G2975" s="8"/>
      <c r="H2975" s="12"/>
      <c r="I2975" s="2"/>
      <c r="J2975" s="2"/>
      <c r="K2975" s="13"/>
      <c r="L2975" s="2"/>
      <c r="M2975" s="2"/>
      <c r="N2975" s="2"/>
      <c r="O2975" s="2"/>
      <c r="P2975" s="2"/>
      <c r="Q2975" s="2"/>
      <c r="R2975" s="2"/>
      <c r="S2975" s="2"/>
    </row>
    <row r="2976" spans="1:19" s="2" customFormat="1" ht="96.2" customHeight="1" outlineLevel="5">
      <c r="A2976" s="53">
        <v>2331</v>
      </c>
      <c r="B2976" s="10" t="s">
        <v>9816</v>
      </c>
      <c r="C2976" s="65" t="s">
        <v>9817</v>
      </c>
      <c r="D2976" s="65"/>
      <c r="E2976" s="65"/>
      <c r="F2976" s="65"/>
      <c r="G2976" s="11" t="s">
        <v>9818</v>
      </c>
      <c r="H2976" s="21" t="s">
        <v>44</v>
      </c>
      <c r="I2976" s="15"/>
      <c r="J2976" s="9">
        <v>1</v>
      </c>
      <c r="K2976" s="16">
        <v>263.55</v>
      </c>
      <c r="L2976" s="17"/>
      <c r="M2976" s="15">
        <f>K2976*L2976</f>
        <v>0</v>
      </c>
      <c r="N2976" s="18">
        <f>0.237*L2976</f>
        <v>0</v>
      </c>
      <c r="O2976" s="19">
        <f>0.00054*L2976</f>
        <v>0</v>
      </c>
      <c r="P2976" s="24" t="s">
        <v>26</v>
      </c>
      <c r="Q2976" s="15" t="s">
        <v>9819</v>
      </c>
      <c r="R2976" s="15"/>
      <c r="S2976" s="10" t="str">
        <f>HYPERLINK("https://miland.ru/api/getInfo/image/a2169827-4ddb-11f1-a297-00155d82e908")</f>
        <v>https://miland.ru/api/getInfo/image/a2169827-4ddb-11f1-a297-00155d82e908</v>
      </c>
    </row>
    <row r="2977" spans="1:19" s="1" customFormat="1" ht="12" customHeight="1" outlineLevel="2">
      <c r="A2977" s="63" t="s">
        <v>9820</v>
      </c>
      <c r="B2977" s="63"/>
      <c r="C2977" s="63"/>
      <c r="D2977" s="63"/>
      <c r="E2977" s="63"/>
      <c r="F2977" s="63"/>
      <c r="G2977" s="8"/>
      <c r="H2977" s="12"/>
      <c r="I2977" s="2"/>
      <c r="J2977" s="2"/>
      <c r="K2977" s="13"/>
      <c r="L2977" s="2"/>
      <c r="M2977" s="2"/>
      <c r="N2977" s="2"/>
      <c r="O2977" s="2"/>
      <c r="P2977" s="2"/>
      <c r="Q2977" s="2"/>
      <c r="R2977" s="2"/>
      <c r="S2977" s="2"/>
    </row>
    <row r="2978" spans="1:19" s="2" customFormat="1" ht="96.2" customHeight="1" outlineLevel="3">
      <c r="A2978" s="53">
        <v>2332</v>
      </c>
      <c r="B2978" s="10" t="s">
        <v>9821</v>
      </c>
      <c r="C2978" s="65" t="s">
        <v>9822</v>
      </c>
      <c r="D2978" s="65"/>
      <c r="E2978" s="65"/>
      <c r="F2978" s="65"/>
      <c r="G2978" s="11" t="s">
        <v>9823</v>
      </c>
      <c r="H2978" s="21" t="s">
        <v>44</v>
      </c>
      <c r="I2978" s="15"/>
      <c r="J2978" s="9">
        <v>1</v>
      </c>
      <c r="K2978" s="16">
        <v>263.55</v>
      </c>
      <c r="L2978" s="17"/>
      <c r="M2978" s="15">
        <f>K2978*L2978</f>
        <v>0</v>
      </c>
      <c r="N2978" s="18">
        <f>0.237*L2978</f>
        <v>0</v>
      </c>
      <c r="O2978" s="19">
        <f>0.00054*L2978</f>
        <v>0</v>
      </c>
      <c r="P2978" s="24" t="s">
        <v>26</v>
      </c>
      <c r="Q2978" s="15" t="s">
        <v>9824</v>
      </c>
      <c r="R2978" s="15"/>
      <c r="S2978" s="10" t="str">
        <f>HYPERLINK("https://miland.ru/api/getInfo/image/679c9065-5db3-11f1-a295-00155d82e908")</f>
        <v>https://miland.ru/api/getInfo/image/679c9065-5db3-11f1-a295-00155d82e908</v>
      </c>
    </row>
    <row r="2979" spans="1:19" s="1" customFormat="1" ht="12" customHeight="1" outlineLevel="2">
      <c r="A2979" s="63" t="s">
        <v>9825</v>
      </c>
      <c r="B2979" s="63"/>
      <c r="C2979" s="63"/>
      <c r="D2979" s="63"/>
      <c r="E2979" s="63"/>
      <c r="F2979" s="63"/>
      <c r="G2979" s="8"/>
      <c r="H2979" s="12"/>
      <c r="I2979" s="2"/>
      <c r="J2979" s="2"/>
      <c r="K2979" s="13"/>
      <c r="L2979" s="2"/>
      <c r="M2979" s="2"/>
      <c r="N2979" s="2"/>
      <c r="O2979" s="2"/>
      <c r="P2979" s="2"/>
      <c r="Q2979" s="2"/>
      <c r="R2979" s="2"/>
      <c r="S2979" s="2"/>
    </row>
    <row r="2980" spans="1:19" s="1" customFormat="1" ht="12" customHeight="1" outlineLevel="3">
      <c r="A2980" s="64" t="s">
        <v>9826</v>
      </c>
      <c r="B2980" s="64"/>
      <c r="C2980" s="64"/>
      <c r="D2980" s="64"/>
      <c r="E2980" s="64"/>
      <c r="F2980" s="64"/>
      <c r="G2980" s="8"/>
      <c r="H2980" s="12"/>
      <c r="I2980" s="2"/>
      <c r="J2980" s="2"/>
      <c r="K2980" s="13"/>
      <c r="L2980" s="2"/>
      <c r="M2980" s="2"/>
      <c r="N2980" s="2"/>
      <c r="O2980" s="2"/>
      <c r="P2980" s="2"/>
      <c r="Q2980" s="2"/>
      <c r="R2980" s="2"/>
      <c r="S2980" s="2"/>
    </row>
    <row r="2981" spans="1:19" s="1" customFormat="1" ht="12" customHeight="1" outlineLevel="4">
      <c r="A2981" s="64" t="s">
        <v>665</v>
      </c>
      <c r="B2981" s="64"/>
      <c r="C2981" s="64"/>
      <c r="D2981" s="64"/>
      <c r="E2981" s="64"/>
      <c r="F2981" s="64"/>
      <c r="G2981" s="8"/>
      <c r="H2981" s="12"/>
      <c r="I2981" s="2"/>
      <c r="J2981" s="2"/>
      <c r="K2981" s="13"/>
      <c r="L2981" s="2"/>
      <c r="M2981" s="2"/>
      <c r="N2981" s="2"/>
      <c r="O2981" s="2"/>
      <c r="P2981" s="2"/>
      <c r="Q2981" s="2"/>
      <c r="R2981" s="2"/>
      <c r="S2981" s="2"/>
    </row>
    <row r="2982" spans="1:19" s="1" customFormat="1" ht="12" customHeight="1" outlineLevel="5">
      <c r="A2982" s="64" t="s">
        <v>671</v>
      </c>
      <c r="B2982" s="64"/>
      <c r="C2982" s="64"/>
      <c r="D2982" s="64"/>
      <c r="E2982" s="64"/>
      <c r="F2982" s="64"/>
      <c r="G2982" s="8"/>
      <c r="H2982" s="12"/>
      <c r="I2982" s="2"/>
      <c r="J2982" s="2"/>
      <c r="K2982" s="13"/>
      <c r="L2982" s="2"/>
      <c r="M2982" s="2"/>
      <c r="N2982" s="2"/>
      <c r="O2982" s="2"/>
      <c r="P2982" s="2"/>
      <c r="Q2982" s="2"/>
      <c r="R2982" s="2"/>
      <c r="S2982" s="2"/>
    </row>
    <row r="2983" spans="1:19" s="2" customFormat="1" ht="96.2" customHeight="1" outlineLevel="6">
      <c r="A2983" s="52">
        <v>2333</v>
      </c>
      <c r="B2983" s="26" t="s">
        <v>9827</v>
      </c>
      <c r="C2983" s="66" t="s">
        <v>9828</v>
      </c>
      <c r="D2983" s="66"/>
      <c r="E2983" s="66"/>
      <c r="F2983" s="66"/>
      <c r="G2983" s="27" t="s">
        <v>9829</v>
      </c>
      <c r="H2983" s="28" t="s">
        <v>44</v>
      </c>
      <c r="I2983" s="29"/>
      <c r="J2983" s="25">
        <v>3</v>
      </c>
      <c r="K2983" s="30">
        <v>257.12</v>
      </c>
      <c r="L2983" s="17"/>
      <c r="M2983" s="29">
        <f>K2983*L2983</f>
        <v>0</v>
      </c>
      <c r="N2983" s="31">
        <f>0.086*L2983</f>
        <v>0</v>
      </c>
      <c r="O2983" s="32">
        <f>0.00003*L2983</f>
        <v>0</v>
      </c>
      <c r="P2983" s="36"/>
      <c r="Q2983" s="29" t="s">
        <v>9830</v>
      </c>
      <c r="R2983" s="29"/>
      <c r="S2983" s="26" t="str">
        <f>HYPERLINK("https://miland.ru/api/getInfo/image/3d86c8e2-fe6a-11ef-a277-00155d82e908")</f>
        <v>https://miland.ru/api/getInfo/image/3d86c8e2-fe6a-11ef-a277-00155d82e908</v>
      </c>
    </row>
    <row r="2984" spans="1:19" s="1" customFormat="1" ht="12" customHeight="1" outlineLevel="3">
      <c r="A2984" s="64" t="s">
        <v>9831</v>
      </c>
      <c r="B2984" s="64"/>
      <c r="C2984" s="64"/>
      <c r="D2984" s="64"/>
      <c r="E2984" s="64"/>
      <c r="F2984" s="64"/>
      <c r="G2984" s="8"/>
      <c r="H2984" s="12"/>
      <c r="I2984" s="2"/>
      <c r="J2984" s="2"/>
      <c r="K2984" s="13"/>
      <c r="L2984" s="2"/>
      <c r="M2984" s="2"/>
      <c r="N2984" s="2"/>
      <c r="O2984" s="2"/>
      <c r="P2984" s="2"/>
      <c r="Q2984" s="2"/>
      <c r="R2984" s="2"/>
      <c r="S2984" s="2"/>
    </row>
    <row r="2985" spans="1:19" s="1" customFormat="1" ht="12" customHeight="1" outlineLevel="4">
      <c r="A2985" s="64" t="s">
        <v>665</v>
      </c>
      <c r="B2985" s="64"/>
      <c r="C2985" s="64"/>
      <c r="D2985" s="64"/>
      <c r="E2985" s="64"/>
      <c r="F2985" s="64"/>
      <c r="G2985" s="8"/>
      <c r="H2985" s="12"/>
      <c r="I2985" s="2"/>
      <c r="J2985" s="2"/>
      <c r="K2985" s="13"/>
      <c r="L2985" s="2"/>
      <c r="M2985" s="2"/>
      <c r="N2985" s="2"/>
      <c r="O2985" s="2"/>
      <c r="P2985" s="2"/>
      <c r="Q2985" s="2"/>
      <c r="R2985" s="2"/>
      <c r="S2985" s="2"/>
    </row>
    <row r="2986" spans="1:19" s="1" customFormat="1" ht="12" customHeight="1" outlineLevel="5">
      <c r="A2986" s="64" t="s">
        <v>671</v>
      </c>
      <c r="B2986" s="64"/>
      <c r="C2986" s="64"/>
      <c r="D2986" s="64"/>
      <c r="E2986" s="64"/>
      <c r="F2986" s="64"/>
      <c r="G2986" s="8"/>
      <c r="H2986" s="12"/>
      <c r="I2986" s="2"/>
      <c r="J2986" s="2"/>
      <c r="K2986" s="13"/>
      <c r="L2986" s="2"/>
      <c r="M2986" s="2"/>
      <c r="N2986" s="2"/>
      <c r="O2986" s="2"/>
      <c r="P2986" s="2"/>
      <c r="Q2986" s="2"/>
      <c r="R2986" s="2"/>
      <c r="S2986" s="2"/>
    </row>
    <row r="2987" spans="1:19" s="2" customFormat="1" ht="96.2" customHeight="1" outlineLevel="6">
      <c r="A2987" s="52">
        <v>2334</v>
      </c>
      <c r="B2987" s="26" t="s">
        <v>9832</v>
      </c>
      <c r="C2987" s="66" t="s">
        <v>9833</v>
      </c>
      <c r="D2987" s="66"/>
      <c r="E2987" s="66"/>
      <c r="F2987" s="66"/>
      <c r="G2987" s="27" t="s">
        <v>9834</v>
      </c>
      <c r="H2987" s="28" t="s">
        <v>44</v>
      </c>
      <c r="I2987" s="29"/>
      <c r="J2987" s="25">
        <v>3</v>
      </c>
      <c r="K2987" s="30">
        <v>263.55</v>
      </c>
      <c r="L2987" s="17"/>
      <c r="M2987" s="29">
        <f>K2987*L2987</f>
        <v>0</v>
      </c>
      <c r="N2987" s="31">
        <f>0.084*L2987</f>
        <v>0</v>
      </c>
      <c r="O2987" s="32">
        <f>0.00012*L2987</f>
        <v>0</v>
      </c>
      <c r="P2987" s="36"/>
      <c r="Q2987" s="29" t="s">
        <v>9835</v>
      </c>
      <c r="R2987" s="29"/>
      <c r="S2987" s="26" t="str">
        <f>HYPERLINK("https://miland.ru/api/getInfo/image/00289acb-fe68-11ef-a277-00155d82e908")</f>
        <v>https://miland.ru/api/getInfo/image/00289acb-fe68-11ef-a277-00155d82e908</v>
      </c>
    </row>
    <row r="2988" spans="1:19" s="1" customFormat="1" ht="12" customHeight="1" outlineLevel="2">
      <c r="A2988" s="63" t="s">
        <v>968</v>
      </c>
      <c r="B2988" s="63"/>
      <c r="C2988" s="63"/>
      <c r="D2988" s="63"/>
      <c r="E2988" s="63"/>
      <c r="F2988" s="63"/>
      <c r="G2988" s="8"/>
      <c r="H2988" s="12"/>
      <c r="I2988" s="2"/>
      <c r="J2988" s="2"/>
      <c r="K2988" s="13"/>
      <c r="L2988" s="2"/>
      <c r="M2988" s="2"/>
      <c r="N2988" s="2"/>
      <c r="O2988" s="2"/>
      <c r="P2988" s="2"/>
      <c r="Q2988" s="2"/>
      <c r="R2988" s="2"/>
      <c r="S2988" s="2"/>
    </row>
    <row r="2989" spans="1:19" s="1" customFormat="1" ht="12" customHeight="1" outlineLevel="3">
      <c r="A2989" s="64" t="s">
        <v>665</v>
      </c>
      <c r="B2989" s="64"/>
      <c r="C2989" s="64"/>
      <c r="D2989" s="64"/>
      <c r="E2989" s="64"/>
      <c r="F2989" s="64"/>
      <c r="G2989" s="8"/>
      <c r="H2989" s="12"/>
      <c r="I2989" s="2"/>
      <c r="J2989" s="2"/>
      <c r="K2989" s="13"/>
      <c r="L2989" s="2"/>
      <c r="M2989" s="2"/>
      <c r="N2989" s="2"/>
      <c r="O2989" s="2"/>
      <c r="P2989" s="2"/>
      <c r="Q2989" s="2"/>
      <c r="R2989" s="2"/>
      <c r="S2989" s="2"/>
    </row>
    <row r="2990" spans="1:19" s="1" customFormat="1" ht="12" customHeight="1" outlineLevel="4">
      <c r="A2990" s="64" t="s">
        <v>671</v>
      </c>
      <c r="B2990" s="64"/>
      <c r="C2990" s="64"/>
      <c r="D2990" s="64"/>
      <c r="E2990" s="64"/>
      <c r="F2990" s="64"/>
      <c r="G2990" s="8"/>
      <c r="H2990" s="12"/>
      <c r="I2990" s="2"/>
      <c r="J2990" s="2"/>
      <c r="K2990" s="13"/>
      <c r="L2990" s="2"/>
      <c r="M2990" s="2"/>
      <c r="N2990" s="2"/>
      <c r="O2990" s="2"/>
      <c r="P2990" s="2"/>
      <c r="Q2990" s="2"/>
      <c r="R2990" s="2"/>
      <c r="S2990" s="2"/>
    </row>
    <row r="2991" spans="1:19" s="2" customFormat="1" ht="96.2" customHeight="1" outlineLevel="5">
      <c r="A2991" s="53">
        <v>2335</v>
      </c>
      <c r="B2991" s="10" t="s">
        <v>9836</v>
      </c>
      <c r="C2991" s="65" t="s">
        <v>9837</v>
      </c>
      <c r="D2991" s="65"/>
      <c r="E2991" s="65"/>
      <c r="F2991" s="65"/>
      <c r="G2991" s="11" t="s">
        <v>9838</v>
      </c>
      <c r="H2991" s="21" t="s">
        <v>44</v>
      </c>
      <c r="I2991" s="15"/>
      <c r="J2991" s="9">
        <v>3</v>
      </c>
      <c r="K2991" s="16">
        <v>263.55</v>
      </c>
      <c r="L2991" s="17"/>
      <c r="M2991" s="15">
        <f>K2991*L2991</f>
        <v>0</v>
      </c>
      <c r="N2991" s="18">
        <f>0.237*L2991</f>
        <v>0</v>
      </c>
      <c r="O2991" s="19">
        <f>0.00054*L2991</f>
        <v>0</v>
      </c>
      <c r="P2991" s="24" t="s">
        <v>26</v>
      </c>
      <c r="Q2991" s="15" t="s">
        <v>9839</v>
      </c>
      <c r="R2991" s="15"/>
      <c r="S2991" s="10" t="str">
        <f>HYPERLINK("https://miland.ru/api/getInfo/image/d1967b79-a360-11f0-a286-00155d82e908")</f>
        <v>https://miland.ru/api/getInfo/image/d1967b79-a360-11f0-a286-00155d82e908</v>
      </c>
    </row>
    <row r="2992" spans="1:19" s="1" customFormat="1" ht="12" customHeight="1" outlineLevel="2">
      <c r="A2992" s="63" t="s">
        <v>1065</v>
      </c>
      <c r="B2992" s="63"/>
      <c r="C2992" s="63"/>
      <c r="D2992" s="63"/>
      <c r="E2992" s="63"/>
      <c r="F2992" s="63"/>
      <c r="G2992" s="8"/>
      <c r="H2992" s="12"/>
      <c r="I2992" s="2"/>
      <c r="J2992" s="2"/>
      <c r="K2992" s="13"/>
      <c r="L2992" s="2"/>
      <c r="M2992" s="2"/>
      <c r="N2992" s="2"/>
      <c r="O2992" s="2"/>
      <c r="P2992" s="2"/>
      <c r="Q2992" s="2"/>
      <c r="R2992" s="2"/>
      <c r="S2992" s="2"/>
    </row>
    <row r="2993" spans="1:19" s="1" customFormat="1" ht="12" customHeight="1" outlineLevel="3">
      <c r="A2993" s="64" t="s">
        <v>665</v>
      </c>
      <c r="B2993" s="64"/>
      <c r="C2993" s="64"/>
      <c r="D2993" s="64"/>
      <c r="E2993" s="64"/>
      <c r="F2993" s="64"/>
      <c r="G2993" s="8"/>
      <c r="H2993" s="12"/>
      <c r="I2993" s="2"/>
      <c r="J2993" s="2"/>
      <c r="K2993" s="13"/>
      <c r="L2993" s="2"/>
      <c r="M2993" s="2"/>
      <c r="N2993" s="2"/>
      <c r="O2993" s="2"/>
      <c r="P2993" s="2"/>
      <c r="Q2993" s="2"/>
      <c r="R2993" s="2"/>
      <c r="S2993" s="2"/>
    </row>
    <row r="2994" spans="1:19" s="1" customFormat="1" ht="12" customHeight="1" outlineLevel="4">
      <c r="A2994" s="64" t="s">
        <v>9811</v>
      </c>
      <c r="B2994" s="64"/>
      <c r="C2994" s="64"/>
      <c r="D2994" s="64"/>
      <c r="E2994" s="64"/>
      <c r="F2994" s="64"/>
      <c r="G2994" s="8"/>
      <c r="H2994" s="12"/>
      <c r="I2994" s="2"/>
      <c r="J2994" s="2"/>
      <c r="K2994" s="13"/>
      <c r="L2994" s="2"/>
      <c r="M2994" s="2"/>
      <c r="N2994" s="2"/>
      <c r="O2994" s="2"/>
      <c r="P2994" s="2"/>
      <c r="Q2994" s="2"/>
      <c r="R2994" s="2"/>
      <c r="S2994" s="2"/>
    </row>
    <row r="2995" spans="1:19" s="2" customFormat="1" ht="96.2" customHeight="1" outlineLevel="5">
      <c r="A2995" s="53">
        <v>2336</v>
      </c>
      <c r="B2995" s="10" t="s">
        <v>9840</v>
      </c>
      <c r="C2995" s="65" t="s">
        <v>9841</v>
      </c>
      <c r="D2995" s="65"/>
      <c r="E2995" s="65"/>
      <c r="F2995" s="65"/>
      <c r="G2995" s="11" t="s">
        <v>9842</v>
      </c>
      <c r="H2995" s="21" t="s">
        <v>44</v>
      </c>
      <c r="I2995" s="15"/>
      <c r="J2995" s="9">
        <v>1</v>
      </c>
      <c r="K2995" s="16">
        <v>263.55</v>
      </c>
      <c r="L2995" s="17"/>
      <c r="M2995" s="15">
        <f>K2995*L2995</f>
        <v>0</v>
      </c>
      <c r="N2995" s="18">
        <f>0.237*L2995</f>
        <v>0</v>
      </c>
      <c r="O2995" s="19">
        <f>0.00054*L2995</f>
        <v>0</v>
      </c>
      <c r="P2995" s="24" t="s">
        <v>26</v>
      </c>
      <c r="Q2995" s="15" t="s">
        <v>9843</v>
      </c>
      <c r="R2995" s="15"/>
      <c r="S2995" s="10" t="str">
        <f>HYPERLINK("https://miland.ru/api/getInfo/image/74b9abb8-4dcf-11f1-a297-00155d82e908")</f>
        <v>https://miland.ru/api/getInfo/image/74b9abb8-4dcf-11f1-a297-00155d82e908</v>
      </c>
    </row>
    <row r="2996" spans="1:19" s="2" customFormat="1" ht="96.2" customHeight="1" outlineLevel="5">
      <c r="A2996" s="52">
        <v>2337</v>
      </c>
      <c r="B2996" s="26" t="s">
        <v>9844</v>
      </c>
      <c r="C2996" s="66" t="s">
        <v>9845</v>
      </c>
      <c r="D2996" s="66"/>
      <c r="E2996" s="66"/>
      <c r="F2996" s="66"/>
      <c r="G2996" s="27" t="s">
        <v>9846</v>
      </c>
      <c r="H2996" s="28" t="s">
        <v>44</v>
      </c>
      <c r="I2996" s="29"/>
      <c r="J2996" s="25">
        <v>3</v>
      </c>
      <c r="K2996" s="30">
        <v>257.12</v>
      </c>
      <c r="L2996" s="17"/>
      <c r="M2996" s="29">
        <f>K2996*L2996</f>
        <v>0</v>
      </c>
      <c r="N2996" s="31">
        <f>0.092*L2996</f>
        <v>0</v>
      </c>
      <c r="O2996" s="32">
        <f>0.00025*L2996</f>
        <v>0</v>
      </c>
      <c r="P2996" s="36"/>
      <c r="Q2996" s="29" t="s">
        <v>9847</v>
      </c>
      <c r="R2996" s="29"/>
      <c r="S2996" s="26" t="str">
        <f>HYPERLINK("https://miland.ru/api/getInfo/image/7f8405d6-dfaf-11ef-a273-00155d82e908")</f>
        <v>https://miland.ru/api/getInfo/image/7f8405d6-dfaf-11ef-a273-00155d82e908</v>
      </c>
    </row>
    <row r="2997" spans="1:19" s="1" customFormat="1" ht="12" customHeight="1" outlineLevel="3">
      <c r="A2997" s="64" t="s">
        <v>203</v>
      </c>
      <c r="B2997" s="64"/>
      <c r="C2997" s="64"/>
      <c r="D2997" s="64"/>
      <c r="E2997" s="64"/>
      <c r="F2997" s="64"/>
      <c r="G2997" s="8"/>
      <c r="H2997" s="12"/>
      <c r="I2997" s="2"/>
      <c r="J2997" s="2"/>
      <c r="K2997" s="13"/>
      <c r="L2997" s="2"/>
      <c r="M2997" s="2"/>
      <c r="N2997" s="2"/>
      <c r="O2997" s="2"/>
      <c r="P2997" s="2"/>
      <c r="Q2997" s="2"/>
      <c r="R2997" s="2"/>
      <c r="S2997" s="2"/>
    </row>
    <row r="2998" spans="1:19" s="2" customFormat="1" ht="96.2" customHeight="1" outlineLevel="4">
      <c r="A2998" s="52">
        <v>2338</v>
      </c>
      <c r="B2998" s="26" t="s">
        <v>9848</v>
      </c>
      <c r="C2998" s="66" t="s">
        <v>9849</v>
      </c>
      <c r="D2998" s="66"/>
      <c r="E2998" s="66"/>
      <c r="F2998" s="66"/>
      <c r="G2998" s="27" t="s">
        <v>9850</v>
      </c>
      <c r="H2998" s="28" t="s">
        <v>44</v>
      </c>
      <c r="I2998" s="29"/>
      <c r="J2998" s="25">
        <v>1</v>
      </c>
      <c r="K2998" s="30">
        <v>572.22</v>
      </c>
      <c r="L2998" s="17"/>
      <c r="M2998" s="29">
        <f>K2998*L2998</f>
        <v>0</v>
      </c>
      <c r="N2998" s="31">
        <f>0.302*L2998</f>
        <v>0</v>
      </c>
      <c r="O2998" s="32">
        <f>0.00123*L2998</f>
        <v>0</v>
      </c>
      <c r="P2998" s="36"/>
      <c r="Q2998" s="29" t="s">
        <v>9851</v>
      </c>
      <c r="R2998" s="29"/>
      <c r="S2998" s="26" t="str">
        <f>HYPERLINK("https://miland.ru/api/getInfo/image/ea124ed1-502d-11f0-a27e-00155d82e908")</f>
        <v>https://miland.ru/api/getInfo/image/ea124ed1-502d-11f0-a27e-00155d82e908</v>
      </c>
    </row>
    <row r="2999" spans="1:19" s="1" customFormat="1" ht="15.95" customHeight="1" outlineLevel="1">
      <c r="A2999" s="62" t="s">
        <v>9852</v>
      </c>
      <c r="B2999" s="62"/>
      <c r="C2999" s="62"/>
      <c r="D2999" s="62"/>
      <c r="E2999" s="62"/>
      <c r="F2999" s="62"/>
      <c r="G2999" s="8"/>
      <c r="H2999" s="12"/>
      <c r="I2999" s="2"/>
      <c r="J2999" s="2"/>
      <c r="K2999" s="13"/>
      <c r="L2999" s="2"/>
      <c r="M2999" s="2"/>
      <c r="N2999" s="2"/>
      <c r="O2999" s="2"/>
      <c r="P2999" s="2"/>
      <c r="Q2999" s="2"/>
      <c r="R2999" s="2"/>
      <c r="S2999" s="2"/>
    </row>
    <row r="3000" spans="1:19" s="1" customFormat="1" ht="12" customHeight="1" outlineLevel="2">
      <c r="A3000" s="63" t="s">
        <v>9853</v>
      </c>
      <c r="B3000" s="63"/>
      <c r="C3000" s="63"/>
      <c r="D3000" s="63"/>
      <c r="E3000" s="63"/>
      <c r="F3000" s="63"/>
      <c r="G3000" s="8"/>
      <c r="H3000" s="12"/>
      <c r="I3000" s="2"/>
      <c r="J3000" s="2"/>
      <c r="K3000" s="13"/>
      <c r="L3000" s="2"/>
      <c r="M3000" s="2"/>
      <c r="N3000" s="2"/>
      <c r="O3000" s="2"/>
      <c r="P3000" s="2"/>
      <c r="Q3000" s="2"/>
      <c r="R3000" s="2"/>
      <c r="S3000" s="2"/>
    </row>
    <row r="3001" spans="1:19" s="1" customFormat="1" ht="12" customHeight="1" outlineLevel="3">
      <c r="A3001" s="64" t="s">
        <v>9854</v>
      </c>
      <c r="B3001" s="64"/>
      <c r="C3001" s="64"/>
      <c r="D3001" s="64"/>
      <c r="E3001" s="64"/>
      <c r="F3001" s="64"/>
      <c r="G3001" s="8"/>
      <c r="H3001" s="12"/>
      <c r="I3001" s="2"/>
      <c r="J3001" s="2"/>
      <c r="K3001" s="13"/>
      <c r="L3001" s="2"/>
      <c r="M3001" s="2"/>
      <c r="N3001" s="2"/>
      <c r="O3001" s="2"/>
      <c r="P3001" s="2"/>
      <c r="Q3001" s="2"/>
      <c r="R3001" s="2"/>
      <c r="S3001" s="2"/>
    </row>
    <row r="3002" spans="1:19" s="2" customFormat="1" ht="96.2" customHeight="1" outlineLevel="4">
      <c r="A3002" s="52">
        <v>2339</v>
      </c>
      <c r="B3002" s="26" t="s">
        <v>9855</v>
      </c>
      <c r="C3002" s="66" t="s">
        <v>9856</v>
      </c>
      <c r="D3002" s="66"/>
      <c r="E3002" s="66"/>
      <c r="F3002" s="66"/>
      <c r="G3002" s="27" t="s">
        <v>9857</v>
      </c>
      <c r="H3002" s="28" t="s">
        <v>44</v>
      </c>
      <c r="I3002" s="29"/>
      <c r="J3002" s="25">
        <v>20</v>
      </c>
      <c r="K3002" s="30">
        <v>39.94</v>
      </c>
      <c r="L3002" s="17"/>
      <c r="M3002" s="29">
        <f t="shared" ref="M3002:M3011" si="142">K3002*L3002</f>
        <v>0</v>
      </c>
      <c r="N3002" s="31">
        <f>0.006*L3002</f>
        <v>0</v>
      </c>
      <c r="O3002" s="32">
        <f>0.00001*L3002</f>
        <v>0</v>
      </c>
      <c r="P3002" s="36"/>
      <c r="Q3002" s="29" t="s">
        <v>9858</v>
      </c>
      <c r="R3002" s="29"/>
      <c r="S3002" s="26" t="str">
        <f>HYPERLINK("https://miland.ru/api/getInfo/image/05a0f7b0-3af8-11f0-a27c-00155d82e908")</f>
        <v>https://miland.ru/api/getInfo/image/05a0f7b0-3af8-11f0-a27c-00155d82e908</v>
      </c>
    </row>
    <row r="3003" spans="1:19" s="2" customFormat="1" ht="96.2" customHeight="1" outlineLevel="4">
      <c r="A3003" s="52">
        <v>2340</v>
      </c>
      <c r="B3003" s="26" t="s">
        <v>9859</v>
      </c>
      <c r="C3003" s="66" t="s">
        <v>9860</v>
      </c>
      <c r="D3003" s="66"/>
      <c r="E3003" s="66"/>
      <c r="F3003" s="66"/>
      <c r="G3003" s="27" t="s">
        <v>9861</v>
      </c>
      <c r="H3003" s="33">
        <v>50</v>
      </c>
      <c r="I3003" s="29"/>
      <c r="J3003" s="25">
        <v>20</v>
      </c>
      <c r="K3003" s="30">
        <v>39.94</v>
      </c>
      <c r="L3003" s="17"/>
      <c r="M3003" s="29">
        <f t="shared" si="142"/>
        <v>0</v>
      </c>
      <c r="N3003" s="31">
        <f>0.056*L3003</f>
        <v>0</v>
      </c>
      <c r="O3003" s="32">
        <f>0.00015*L3003</f>
        <v>0</v>
      </c>
      <c r="P3003" s="36"/>
      <c r="Q3003" s="29" t="s">
        <v>9862</v>
      </c>
      <c r="R3003" s="29" t="s">
        <v>611</v>
      </c>
      <c r="S3003" s="26" t="str">
        <f>HYPERLINK("https://miland.ru/api/getInfo/image/7dd95da4-3afc-11f0-a27c-00155d82e908")</f>
        <v>https://miland.ru/api/getInfo/image/7dd95da4-3afc-11f0-a27c-00155d82e908</v>
      </c>
    </row>
    <row r="3004" spans="1:19" s="2" customFormat="1" ht="96.2" customHeight="1" outlineLevel="4">
      <c r="A3004" s="53">
        <v>2341</v>
      </c>
      <c r="B3004" s="10" t="s">
        <v>9863</v>
      </c>
      <c r="C3004" s="65" t="s">
        <v>9864</v>
      </c>
      <c r="D3004" s="65"/>
      <c r="E3004" s="65"/>
      <c r="F3004" s="65"/>
      <c r="G3004" s="11" t="s">
        <v>9865</v>
      </c>
      <c r="H3004" s="14">
        <v>390</v>
      </c>
      <c r="I3004" s="15"/>
      <c r="J3004" s="9">
        <v>20</v>
      </c>
      <c r="K3004" s="16">
        <v>39.94</v>
      </c>
      <c r="L3004" s="17"/>
      <c r="M3004" s="15">
        <f t="shared" si="142"/>
        <v>0</v>
      </c>
      <c r="N3004" s="18">
        <f>0.006*L3004</f>
        <v>0</v>
      </c>
      <c r="O3004" s="19">
        <f>0.00001*L3004</f>
        <v>0</v>
      </c>
      <c r="P3004" s="24" t="s">
        <v>26</v>
      </c>
      <c r="Q3004" s="15" t="s">
        <v>9866</v>
      </c>
      <c r="R3004" s="15"/>
      <c r="S3004" s="10" t="str">
        <f>HYPERLINK("https://miland.ru/api/getInfo/image/aaf33a02-632e-11f1-a296-00155d82e908")</f>
        <v>https://miland.ru/api/getInfo/image/aaf33a02-632e-11f1-a296-00155d82e908</v>
      </c>
    </row>
    <row r="3005" spans="1:19" s="2" customFormat="1" ht="96.2" customHeight="1" outlineLevel="4">
      <c r="A3005" s="53">
        <v>2342</v>
      </c>
      <c r="B3005" s="10" t="s">
        <v>9867</v>
      </c>
      <c r="C3005" s="65" t="s">
        <v>9868</v>
      </c>
      <c r="D3005" s="65"/>
      <c r="E3005" s="65"/>
      <c r="F3005" s="65"/>
      <c r="G3005" s="11" t="s">
        <v>9869</v>
      </c>
      <c r="H3005" s="14">
        <v>10</v>
      </c>
      <c r="I3005" s="15"/>
      <c r="J3005" s="9">
        <v>10</v>
      </c>
      <c r="K3005" s="16">
        <v>39.94</v>
      </c>
      <c r="L3005" s="17"/>
      <c r="M3005" s="15">
        <f t="shared" si="142"/>
        <v>0</v>
      </c>
      <c r="N3005" s="18">
        <f>0.006*L3005</f>
        <v>0</v>
      </c>
      <c r="O3005" s="19">
        <f>0.00001*L3005</f>
        <v>0</v>
      </c>
      <c r="P3005" s="24" t="s">
        <v>26</v>
      </c>
      <c r="Q3005" s="15" t="s">
        <v>9870</v>
      </c>
      <c r="R3005" s="15"/>
      <c r="S3005" s="10" t="str">
        <f>HYPERLINK("https://miland.ru/api/getInfo/image/68e04961-632d-11f1-a296-00155d82e908")</f>
        <v>https://miland.ru/api/getInfo/image/68e04961-632d-11f1-a296-00155d82e908</v>
      </c>
    </row>
    <row r="3006" spans="1:19" s="2" customFormat="1" ht="96.2" customHeight="1" outlineLevel="4">
      <c r="A3006" s="53">
        <v>2343</v>
      </c>
      <c r="B3006" s="10" t="s">
        <v>9871</v>
      </c>
      <c r="C3006" s="65" t="s">
        <v>9872</v>
      </c>
      <c r="D3006" s="65"/>
      <c r="E3006" s="65"/>
      <c r="F3006" s="65"/>
      <c r="G3006" s="11" t="s">
        <v>9873</v>
      </c>
      <c r="H3006" s="14">
        <v>20</v>
      </c>
      <c r="I3006" s="15"/>
      <c r="J3006" s="9">
        <v>20</v>
      </c>
      <c r="K3006" s="16">
        <v>39.94</v>
      </c>
      <c r="L3006" s="17"/>
      <c r="M3006" s="15">
        <f t="shared" si="142"/>
        <v>0</v>
      </c>
      <c r="N3006" s="18">
        <f>0.006*L3006</f>
        <v>0</v>
      </c>
      <c r="O3006" s="19">
        <f>0.00001*L3006</f>
        <v>0</v>
      </c>
      <c r="P3006" s="24" t="s">
        <v>26</v>
      </c>
      <c r="Q3006" s="15" t="s">
        <v>9874</v>
      </c>
      <c r="R3006" s="15"/>
      <c r="S3006" s="10" t="str">
        <f>HYPERLINK("https://miland.ru/api/getInfo/image/fafa6be0-632d-11f1-a296-00155d82e908")</f>
        <v>https://miland.ru/api/getInfo/image/fafa6be0-632d-11f1-a296-00155d82e908</v>
      </c>
    </row>
    <row r="3007" spans="1:19" s="2" customFormat="1" ht="96.2" customHeight="1" outlineLevel="4">
      <c r="A3007" s="52">
        <v>2344</v>
      </c>
      <c r="B3007" s="26" t="s">
        <v>9875</v>
      </c>
      <c r="C3007" s="66" t="s">
        <v>9876</v>
      </c>
      <c r="D3007" s="66"/>
      <c r="E3007" s="66"/>
      <c r="F3007" s="66"/>
      <c r="G3007" s="27" t="s">
        <v>9877</v>
      </c>
      <c r="H3007" s="33">
        <v>310</v>
      </c>
      <c r="I3007" s="29"/>
      <c r="J3007" s="25">
        <v>20</v>
      </c>
      <c r="K3007" s="30">
        <v>39.94</v>
      </c>
      <c r="L3007" s="17"/>
      <c r="M3007" s="29">
        <f t="shared" si="142"/>
        <v>0</v>
      </c>
      <c r="N3007" s="31">
        <f>0.005*L3007</f>
        <v>0</v>
      </c>
      <c r="O3007" s="32">
        <f>0.00001*L3007</f>
        <v>0</v>
      </c>
      <c r="P3007" s="36"/>
      <c r="Q3007" s="29" t="s">
        <v>9878</v>
      </c>
      <c r="R3007" s="29" t="s">
        <v>611</v>
      </c>
      <c r="S3007" s="26" t="str">
        <f>HYPERLINK("https://miland.ru/api/getInfo/image/e8fcbeba-3afb-11f0-a27c-00155d82e908")</f>
        <v>https://miland.ru/api/getInfo/image/e8fcbeba-3afb-11f0-a27c-00155d82e908</v>
      </c>
    </row>
    <row r="3008" spans="1:19" s="2" customFormat="1" ht="96.2" customHeight="1" outlineLevel="4">
      <c r="A3008" s="53">
        <v>2345</v>
      </c>
      <c r="B3008" s="10" t="s">
        <v>9879</v>
      </c>
      <c r="C3008" s="65" t="s">
        <v>9880</v>
      </c>
      <c r="D3008" s="65"/>
      <c r="E3008" s="65"/>
      <c r="F3008" s="65"/>
      <c r="G3008" s="11" t="s">
        <v>9881</v>
      </c>
      <c r="H3008" s="14">
        <v>80</v>
      </c>
      <c r="I3008" s="15"/>
      <c r="J3008" s="9">
        <v>20</v>
      </c>
      <c r="K3008" s="16">
        <v>39.94</v>
      </c>
      <c r="L3008" s="17"/>
      <c r="M3008" s="15">
        <f t="shared" si="142"/>
        <v>0</v>
      </c>
      <c r="N3008" s="18">
        <f>0.006*L3008</f>
        <v>0</v>
      </c>
      <c r="O3008" s="19">
        <f>0.00007*L3008</f>
        <v>0</v>
      </c>
      <c r="P3008" s="24" t="s">
        <v>26</v>
      </c>
      <c r="Q3008" s="15" t="s">
        <v>9882</v>
      </c>
      <c r="R3008" s="15"/>
      <c r="S3008" s="10" t="str">
        <f>HYPERLINK("https://miland.ru/api/getInfo/image/cfb26092-632a-11f1-a296-00155d82e908")</f>
        <v>https://miland.ru/api/getInfo/image/cfb26092-632a-11f1-a296-00155d82e908</v>
      </c>
    </row>
    <row r="3009" spans="1:19" s="2" customFormat="1" ht="96.2" customHeight="1" outlineLevel="4">
      <c r="A3009" s="52">
        <v>2346</v>
      </c>
      <c r="B3009" s="26" t="s">
        <v>9883</v>
      </c>
      <c r="C3009" s="66" t="s">
        <v>9884</v>
      </c>
      <c r="D3009" s="66"/>
      <c r="E3009" s="66"/>
      <c r="F3009" s="66"/>
      <c r="G3009" s="27" t="s">
        <v>9885</v>
      </c>
      <c r="H3009" s="33">
        <v>20</v>
      </c>
      <c r="I3009" s="29"/>
      <c r="J3009" s="25">
        <v>20</v>
      </c>
      <c r="K3009" s="30">
        <v>39.94</v>
      </c>
      <c r="L3009" s="17"/>
      <c r="M3009" s="29">
        <f t="shared" si="142"/>
        <v>0</v>
      </c>
      <c r="N3009" s="31">
        <f>0.005*L3009</f>
        <v>0</v>
      </c>
      <c r="O3009" s="32">
        <f>0.00001*L3009</f>
        <v>0</v>
      </c>
      <c r="P3009" s="36"/>
      <c r="Q3009" s="29" t="s">
        <v>9886</v>
      </c>
      <c r="R3009" s="29"/>
      <c r="S3009" s="26" t="str">
        <f>HYPERLINK("https://miland.ru/api/getInfo/image/c2599fa9-3afb-11f0-a27c-00155d82e908")</f>
        <v>https://miland.ru/api/getInfo/image/c2599fa9-3afb-11f0-a27c-00155d82e908</v>
      </c>
    </row>
    <row r="3010" spans="1:19" s="2" customFormat="1" ht="96.2" customHeight="1" outlineLevel="4">
      <c r="A3010" s="53">
        <v>2347</v>
      </c>
      <c r="B3010" s="10" t="s">
        <v>9887</v>
      </c>
      <c r="C3010" s="65" t="s">
        <v>9888</v>
      </c>
      <c r="D3010" s="65"/>
      <c r="E3010" s="65"/>
      <c r="F3010" s="65"/>
      <c r="G3010" s="11" t="s">
        <v>9889</v>
      </c>
      <c r="H3010" s="14">
        <v>40</v>
      </c>
      <c r="I3010" s="15"/>
      <c r="J3010" s="9">
        <v>20</v>
      </c>
      <c r="K3010" s="16">
        <v>39.94</v>
      </c>
      <c r="L3010" s="17"/>
      <c r="M3010" s="15">
        <f t="shared" si="142"/>
        <v>0</v>
      </c>
      <c r="N3010" s="18">
        <f>0.006*L3010</f>
        <v>0</v>
      </c>
      <c r="O3010" s="19">
        <f>0.00001*L3010</f>
        <v>0</v>
      </c>
      <c r="P3010" s="24" t="s">
        <v>26</v>
      </c>
      <c r="Q3010" s="15" t="s">
        <v>9890</v>
      </c>
      <c r="R3010" s="15"/>
      <c r="S3010" s="10" t="str">
        <f>HYPERLINK("https://miland.ru/api/getInfo/image/27ca0c67-632f-11f1-a296-00155d82e908")</f>
        <v>https://miland.ru/api/getInfo/image/27ca0c67-632f-11f1-a296-00155d82e908</v>
      </c>
    </row>
    <row r="3011" spans="1:19" s="2" customFormat="1" ht="96.2" customHeight="1" outlineLevel="4">
      <c r="A3011" s="52">
        <v>2348</v>
      </c>
      <c r="B3011" s="26" t="s">
        <v>9891</v>
      </c>
      <c r="C3011" s="66" t="s">
        <v>9892</v>
      </c>
      <c r="D3011" s="66"/>
      <c r="E3011" s="66"/>
      <c r="F3011" s="66"/>
      <c r="G3011" s="27" t="s">
        <v>9893</v>
      </c>
      <c r="H3011" s="33">
        <v>60</v>
      </c>
      <c r="I3011" s="29"/>
      <c r="J3011" s="25">
        <v>20</v>
      </c>
      <c r="K3011" s="30">
        <v>39.94</v>
      </c>
      <c r="L3011" s="17"/>
      <c r="M3011" s="29">
        <f t="shared" si="142"/>
        <v>0</v>
      </c>
      <c r="N3011" s="31">
        <f>0.005*L3011</f>
        <v>0</v>
      </c>
      <c r="O3011" s="32">
        <f>0.00001*L3011</f>
        <v>0</v>
      </c>
      <c r="P3011" s="36"/>
      <c r="Q3011" s="29" t="s">
        <v>9894</v>
      </c>
      <c r="R3011" s="29"/>
      <c r="S3011" s="26" t="str">
        <f>HYPERLINK("https://miland.ru/api/getInfo/image/9a7490ad-3afc-11f0-a27c-00155d82e908")</f>
        <v>https://miland.ru/api/getInfo/image/9a7490ad-3afc-11f0-a27c-00155d82e908</v>
      </c>
    </row>
    <row r="3012" spans="1:19" s="1" customFormat="1" ht="12" customHeight="1" outlineLevel="3">
      <c r="A3012" s="64" t="s">
        <v>9895</v>
      </c>
      <c r="B3012" s="64"/>
      <c r="C3012" s="64"/>
      <c r="D3012" s="64"/>
      <c r="E3012" s="64"/>
      <c r="F3012" s="64"/>
      <c r="G3012" s="8"/>
      <c r="H3012" s="12"/>
      <c r="I3012" s="2"/>
      <c r="J3012" s="2"/>
      <c r="K3012" s="13"/>
      <c r="L3012" s="2"/>
      <c r="M3012" s="2"/>
      <c r="N3012" s="2"/>
      <c r="O3012" s="2"/>
      <c r="P3012" s="2"/>
      <c r="Q3012" s="2"/>
      <c r="R3012" s="2"/>
      <c r="S3012" s="2"/>
    </row>
    <row r="3013" spans="1:19" s="1" customFormat="1" ht="12" customHeight="1" outlineLevel="4">
      <c r="A3013" s="64" t="s">
        <v>9896</v>
      </c>
      <c r="B3013" s="64"/>
      <c r="C3013" s="64"/>
      <c r="D3013" s="64"/>
      <c r="E3013" s="64"/>
      <c r="F3013" s="64"/>
      <c r="G3013" s="8"/>
      <c r="H3013" s="12"/>
      <c r="I3013" s="2"/>
      <c r="J3013" s="2"/>
      <c r="K3013" s="13"/>
      <c r="L3013" s="2"/>
      <c r="M3013" s="2"/>
      <c r="N3013" s="2"/>
      <c r="O3013" s="2"/>
      <c r="P3013" s="2"/>
      <c r="Q3013" s="2"/>
      <c r="R3013" s="2"/>
      <c r="S3013" s="2"/>
    </row>
    <row r="3014" spans="1:19" s="2" customFormat="1" ht="96.2" customHeight="1" outlineLevel="5">
      <c r="A3014" s="52">
        <v>2349</v>
      </c>
      <c r="B3014" s="26" t="s">
        <v>9897</v>
      </c>
      <c r="C3014" s="66" t="s">
        <v>9898</v>
      </c>
      <c r="D3014" s="66"/>
      <c r="E3014" s="66"/>
      <c r="F3014" s="66"/>
      <c r="G3014" s="27" t="s">
        <v>9899</v>
      </c>
      <c r="H3014" s="33">
        <v>1</v>
      </c>
      <c r="I3014" s="29"/>
      <c r="J3014" s="25">
        <v>1</v>
      </c>
      <c r="K3014" s="30">
        <v>370.17</v>
      </c>
      <c r="L3014" s="17"/>
      <c r="M3014" s="29">
        <f>K3014*L3014</f>
        <v>0</v>
      </c>
      <c r="N3014" s="29">
        <v>0</v>
      </c>
      <c r="O3014" s="29">
        <v>0</v>
      </c>
      <c r="P3014" s="36"/>
      <c r="Q3014" s="29"/>
      <c r="R3014" s="29" t="s">
        <v>611</v>
      </c>
      <c r="S3014" s="26" t="str">
        <f>HYPERLINK("https://miland.ru/api/getInfo/image/67d6ed56-14dd-11ea-a237-ac1f6b442184")</f>
        <v>https://miland.ru/api/getInfo/image/67d6ed56-14dd-11ea-a237-ac1f6b442184</v>
      </c>
    </row>
    <row r="3015" spans="1:19" s="2" customFormat="1" ht="96.2" customHeight="1" outlineLevel="5">
      <c r="A3015" s="52">
        <v>2350</v>
      </c>
      <c r="B3015" s="26" t="s">
        <v>9900</v>
      </c>
      <c r="C3015" s="66" t="s">
        <v>9901</v>
      </c>
      <c r="D3015" s="66"/>
      <c r="E3015" s="66"/>
      <c r="F3015" s="66"/>
      <c r="G3015" s="27" t="s">
        <v>9902</v>
      </c>
      <c r="H3015" s="33">
        <v>3</v>
      </c>
      <c r="I3015" s="29"/>
      <c r="J3015" s="25">
        <v>2</v>
      </c>
      <c r="K3015" s="30">
        <v>370.17</v>
      </c>
      <c r="L3015" s="17"/>
      <c r="M3015" s="29">
        <f>K3015*L3015</f>
        <v>0</v>
      </c>
      <c r="N3015" s="34">
        <f>0.03*L3015</f>
        <v>0</v>
      </c>
      <c r="O3015" s="32">
        <f>0.00008*L3015</f>
        <v>0</v>
      </c>
      <c r="P3015" s="36"/>
      <c r="Q3015" s="29" t="s">
        <v>9903</v>
      </c>
      <c r="R3015" s="29" t="s">
        <v>611</v>
      </c>
      <c r="S3015" s="26" t="str">
        <f>HYPERLINK("https://miland.ru/api/getInfo/image/9c4fb15e-14e1-11ea-a237-ac1f6b442184")</f>
        <v>https://miland.ru/api/getInfo/image/9c4fb15e-14e1-11ea-a237-ac1f6b442184</v>
      </c>
    </row>
    <row r="3016" spans="1:19" s="2" customFormat="1" ht="96.2" customHeight="1" outlineLevel="5">
      <c r="A3016" s="52">
        <v>2351</v>
      </c>
      <c r="B3016" s="26" t="s">
        <v>9904</v>
      </c>
      <c r="C3016" s="66" t="s">
        <v>9905</v>
      </c>
      <c r="D3016" s="66"/>
      <c r="E3016" s="66"/>
      <c r="F3016" s="66"/>
      <c r="G3016" s="27" t="s">
        <v>9906</v>
      </c>
      <c r="H3016" s="33">
        <v>95</v>
      </c>
      <c r="I3016" s="29"/>
      <c r="J3016" s="25">
        <v>2</v>
      </c>
      <c r="K3016" s="30">
        <v>370.17</v>
      </c>
      <c r="L3016" s="17"/>
      <c r="M3016" s="29">
        <f>K3016*L3016</f>
        <v>0</v>
      </c>
      <c r="N3016" s="34">
        <f>0.03*L3016</f>
        <v>0</v>
      </c>
      <c r="O3016" s="32">
        <f>0.00008*L3016</f>
        <v>0</v>
      </c>
      <c r="P3016" s="36"/>
      <c r="Q3016" s="29" t="s">
        <v>9907</v>
      </c>
      <c r="R3016" s="29" t="s">
        <v>611</v>
      </c>
      <c r="S3016" s="26" t="str">
        <f>HYPERLINK("https://miland.ru/api/getInfo/image/c5292adb-14e1-11ea-a237-ac1f6b442184")</f>
        <v>https://miland.ru/api/getInfo/image/c5292adb-14e1-11ea-a237-ac1f6b442184</v>
      </c>
    </row>
    <row r="3017" spans="1:19" s="2" customFormat="1" ht="96.2" customHeight="1" outlineLevel="5">
      <c r="A3017" s="52">
        <v>2352</v>
      </c>
      <c r="B3017" s="26" t="s">
        <v>9908</v>
      </c>
      <c r="C3017" s="66" t="s">
        <v>9909</v>
      </c>
      <c r="D3017" s="66"/>
      <c r="E3017" s="66"/>
      <c r="F3017" s="66"/>
      <c r="G3017" s="27" t="s">
        <v>9910</v>
      </c>
      <c r="H3017" s="33">
        <v>2</v>
      </c>
      <c r="I3017" s="29"/>
      <c r="J3017" s="25">
        <v>2</v>
      </c>
      <c r="K3017" s="30">
        <v>332.68</v>
      </c>
      <c r="L3017" s="17"/>
      <c r="M3017" s="29">
        <f>K3017*L3017</f>
        <v>0</v>
      </c>
      <c r="N3017" s="34">
        <f>0.03*L3017</f>
        <v>0</v>
      </c>
      <c r="O3017" s="32">
        <f>0.00008*L3017</f>
        <v>0</v>
      </c>
      <c r="P3017" s="36"/>
      <c r="Q3017" s="29" t="s">
        <v>9911</v>
      </c>
      <c r="R3017" s="29" t="s">
        <v>611</v>
      </c>
      <c r="S3017" s="26" t="str">
        <f>HYPERLINK("https://miland.ru/api/getInfo/image/fd70d6f2-14e2-11ea-a237-ac1f6b442184")</f>
        <v>https://miland.ru/api/getInfo/image/fd70d6f2-14e2-11ea-a237-ac1f6b442184</v>
      </c>
    </row>
    <row r="3018" spans="1:19" s="1" customFormat="1" ht="12" customHeight="1" outlineLevel="4">
      <c r="A3018" s="64" t="s">
        <v>9912</v>
      </c>
      <c r="B3018" s="64"/>
      <c r="C3018" s="64"/>
      <c r="D3018" s="64"/>
      <c r="E3018" s="64"/>
      <c r="F3018" s="64"/>
      <c r="G3018" s="8"/>
      <c r="H3018" s="12"/>
      <c r="I3018" s="2"/>
      <c r="J3018" s="2"/>
      <c r="K3018" s="13"/>
      <c r="L3018" s="2"/>
      <c r="M3018" s="2"/>
      <c r="N3018" s="2"/>
      <c r="O3018" s="2"/>
      <c r="P3018" s="2"/>
      <c r="Q3018" s="2"/>
      <c r="R3018" s="2"/>
      <c r="S3018" s="2"/>
    </row>
    <row r="3019" spans="1:19" s="2" customFormat="1" ht="96.2" customHeight="1" outlineLevel="5">
      <c r="A3019" s="53">
        <v>2353</v>
      </c>
      <c r="B3019" s="10" t="s">
        <v>9913</v>
      </c>
      <c r="C3019" s="65" t="s">
        <v>9914</v>
      </c>
      <c r="D3019" s="65"/>
      <c r="E3019" s="65"/>
      <c r="F3019" s="65"/>
      <c r="G3019" s="11" t="s">
        <v>9915</v>
      </c>
      <c r="H3019" s="14">
        <v>464</v>
      </c>
      <c r="I3019" s="15"/>
      <c r="J3019" s="9">
        <v>10</v>
      </c>
      <c r="K3019" s="16">
        <v>60.57</v>
      </c>
      <c r="L3019" s="17"/>
      <c r="M3019" s="15">
        <f>K3019*L3019</f>
        <v>0</v>
      </c>
      <c r="N3019" s="18">
        <f>0.003*L3019</f>
        <v>0</v>
      </c>
      <c r="O3019" s="19">
        <f>0.00008*L3019</f>
        <v>0</v>
      </c>
      <c r="P3019" s="24" t="s">
        <v>26</v>
      </c>
      <c r="Q3019" s="15" t="s">
        <v>9916</v>
      </c>
      <c r="R3019" s="15"/>
      <c r="S3019" s="10" t="str">
        <f>HYPERLINK("https://miland.ru/api/getInfo/image/5dcee1f1-defc-11f0-a28c-00155d82e908")</f>
        <v>https://miland.ru/api/getInfo/image/5dcee1f1-defc-11f0-a28c-00155d82e908</v>
      </c>
    </row>
    <row r="3020" spans="1:19" s="2" customFormat="1" ht="96.2" customHeight="1" outlineLevel="5">
      <c r="A3020" s="53">
        <v>2354</v>
      </c>
      <c r="B3020" s="10" t="s">
        <v>9917</v>
      </c>
      <c r="C3020" s="65" t="s">
        <v>9918</v>
      </c>
      <c r="D3020" s="65"/>
      <c r="E3020" s="65"/>
      <c r="F3020" s="65"/>
      <c r="G3020" s="11" t="s">
        <v>9919</v>
      </c>
      <c r="H3020" s="14">
        <v>302</v>
      </c>
      <c r="I3020" s="15"/>
      <c r="J3020" s="9">
        <v>10</v>
      </c>
      <c r="K3020" s="16">
        <v>60.57</v>
      </c>
      <c r="L3020" s="17"/>
      <c r="M3020" s="15">
        <f>K3020*L3020</f>
        <v>0</v>
      </c>
      <c r="N3020" s="18">
        <f>0.003*L3020</f>
        <v>0</v>
      </c>
      <c r="O3020" s="19">
        <f>0.00008*L3020</f>
        <v>0</v>
      </c>
      <c r="P3020" s="24" t="s">
        <v>26</v>
      </c>
      <c r="Q3020" s="15" t="s">
        <v>9920</v>
      </c>
      <c r="R3020" s="15"/>
      <c r="S3020" s="10" t="str">
        <f>HYPERLINK("https://miland.ru/api/getInfo/image/377697e0-defa-11f0-a28c-00155d82e908")</f>
        <v>https://miland.ru/api/getInfo/image/377697e0-defa-11f0-a28c-00155d82e908</v>
      </c>
    </row>
    <row r="3021" spans="1:19" s="1" customFormat="1" ht="12" customHeight="1" outlineLevel="4">
      <c r="A3021" s="64" t="s">
        <v>9921</v>
      </c>
      <c r="B3021" s="64"/>
      <c r="C3021" s="64"/>
      <c r="D3021" s="64"/>
      <c r="E3021" s="64"/>
      <c r="F3021" s="64"/>
      <c r="G3021" s="8"/>
      <c r="H3021" s="12"/>
      <c r="I3021" s="2"/>
      <c r="J3021" s="2"/>
      <c r="K3021" s="13"/>
      <c r="L3021" s="2"/>
      <c r="M3021" s="2"/>
      <c r="N3021" s="2"/>
      <c r="O3021" s="2"/>
      <c r="P3021" s="2"/>
      <c r="Q3021" s="2"/>
      <c r="R3021" s="2"/>
      <c r="S3021" s="2"/>
    </row>
    <row r="3022" spans="1:19" s="2" customFormat="1" ht="96.2" customHeight="1" outlineLevel="5">
      <c r="A3022" s="52">
        <v>2355</v>
      </c>
      <c r="B3022" s="26" t="s">
        <v>9922</v>
      </c>
      <c r="C3022" s="66" t="s">
        <v>9923</v>
      </c>
      <c r="D3022" s="66"/>
      <c r="E3022" s="66"/>
      <c r="F3022" s="66"/>
      <c r="G3022" s="27" t="s">
        <v>9924</v>
      </c>
      <c r="H3022" s="33">
        <v>17</v>
      </c>
      <c r="I3022" s="29"/>
      <c r="J3022" s="25">
        <v>6</v>
      </c>
      <c r="K3022" s="30">
        <v>131.47999999999999</v>
      </c>
      <c r="L3022" s="17"/>
      <c r="M3022" s="29">
        <f t="shared" ref="M3022:M3036" si="143">K3022*L3022</f>
        <v>0</v>
      </c>
      <c r="N3022" s="31">
        <f>0.035*L3022</f>
        <v>0</v>
      </c>
      <c r="O3022" s="32">
        <f>0.00006*L3022</f>
        <v>0</v>
      </c>
      <c r="P3022" s="36"/>
      <c r="Q3022" s="29" t="s">
        <v>9925</v>
      </c>
      <c r="R3022" s="29" t="s">
        <v>611</v>
      </c>
      <c r="S3022" s="26" t="str">
        <f>HYPERLINK("https://miland.ru/api/getInfo/image/6cc7e6b0-3afe-11f0-a27c-00155d82e908")</f>
        <v>https://miland.ru/api/getInfo/image/6cc7e6b0-3afe-11f0-a27c-00155d82e908</v>
      </c>
    </row>
    <row r="3023" spans="1:19" s="2" customFormat="1" ht="96.2" customHeight="1" outlineLevel="5">
      <c r="A3023" s="52">
        <v>2356</v>
      </c>
      <c r="B3023" s="26" t="s">
        <v>9926</v>
      </c>
      <c r="C3023" s="66" t="s">
        <v>9927</v>
      </c>
      <c r="D3023" s="66"/>
      <c r="E3023" s="66"/>
      <c r="F3023" s="66"/>
      <c r="G3023" s="27" t="s">
        <v>9928</v>
      </c>
      <c r="H3023" s="33">
        <v>15</v>
      </c>
      <c r="I3023" s="29"/>
      <c r="J3023" s="25">
        <v>7</v>
      </c>
      <c r="K3023" s="30">
        <v>88.56</v>
      </c>
      <c r="L3023" s="17"/>
      <c r="M3023" s="29">
        <f t="shared" si="143"/>
        <v>0</v>
      </c>
      <c r="N3023" s="31">
        <f>0.038*L3023</f>
        <v>0</v>
      </c>
      <c r="O3023" s="32">
        <f>0.00011*L3023</f>
        <v>0</v>
      </c>
      <c r="P3023" s="36"/>
      <c r="Q3023" s="29" t="s">
        <v>9929</v>
      </c>
      <c r="R3023" s="29" t="s">
        <v>611</v>
      </c>
      <c r="S3023" s="26" t="str">
        <f>HYPERLINK("https://miland.ru/api/getInfo/image/1123735d-fbdc-11ee-a25d-00155d82e908")</f>
        <v>https://miland.ru/api/getInfo/image/1123735d-fbdc-11ee-a25d-00155d82e908</v>
      </c>
    </row>
    <row r="3024" spans="1:19" s="2" customFormat="1" ht="96.2" customHeight="1" outlineLevel="5">
      <c r="A3024" s="53">
        <v>2357</v>
      </c>
      <c r="B3024" s="10" t="s">
        <v>9930</v>
      </c>
      <c r="C3024" s="65" t="s">
        <v>9931</v>
      </c>
      <c r="D3024" s="65"/>
      <c r="E3024" s="65"/>
      <c r="F3024" s="65"/>
      <c r="G3024" s="11" t="s">
        <v>9932</v>
      </c>
      <c r="H3024" s="14">
        <v>272</v>
      </c>
      <c r="I3024" s="15"/>
      <c r="J3024" s="9">
        <v>6</v>
      </c>
      <c r="K3024" s="16">
        <v>131.47999999999999</v>
      </c>
      <c r="L3024" s="17"/>
      <c r="M3024" s="15">
        <f t="shared" si="143"/>
        <v>0</v>
      </c>
      <c r="N3024" s="18">
        <f>0.036*L3024</f>
        <v>0</v>
      </c>
      <c r="O3024" s="20">
        <f>0.0001*L3024</f>
        <v>0</v>
      </c>
      <c r="P3024" s="24" t="s">
        <v>26</v>
      </c>
      <c r="Q3024" s="15" t="s">
        <v>9933</v>
      </c>
      <c r="R3024" s="15"/>
      <c r="S3024" s="10" t="str">
        <f>HYPERLINK("https://miland.ru/api/getInfo/image/2742932f-2910-11f1-a291-00155d82e908")</f>
        <v>https://miland.ru/api/getInfo/image/2742932f-2910-11f1-a291-00155d82e908</v>
      </c>
    </row>
    <row r="3025" spans="1:19" s="2" customFormat="1" ht="96.2" customHeight="1" outlineLevel="5">
      <c r="A3025" s="53">
        <v>2358</v>
      </c>
      <c r="B3025" s="10" t="s">
        <v>9934</v>
      </c>
      <c r="C3025" s="65" t="s">
        <v>9935</v>
      </c>
      <c r="D3025" s="65"/>
      <c r="E3025" s="65"/>
      <c r="F3025" s="65"/>
      <c r="G3025" s="11" t="s">
        <v>9936</v>
      </c>
      <c r="H3025" s="14">
        <v>296</v>
      </c>
      <c r="I3025" s="15"/>
      <c r="J3025" s="9">
        <v>6</v>
      </c>
      <c r="K3025" s="16">
        <v>131.47999999999999</v>
      </c>
      <c r="L3025" s="17"/>
      <c r="M3025" s="15">
        <f t="shared" si="143"/>
        <v>0</v>
      </c>
      <c r="N3025" s="18">
        <f>0.037*L3025</f>
        <v>0</v>
      </c>
      <c r="O3025" s="19">
        <f>0.00024*L3025</f>
        <v>0</v>
      </c>
      <c r="P3025" s="24" t="s">
        <v>26</v>
      </c>
      <c r="Q3025" s="15" t="s">
        <v>9937</v>
      </c>
      <c r="R3025" s="15"/>
      <c r="S3025" s="10" t="str">
        <f>HYPERLINK("https://miland.ru/api/getInfo/image/fac3bc8c-290f-11f1-a291-00155d82e908")</f>
        <v>https://miland.ru/api/getInfo/image/fac3bc8c-290f-11f1-a291-00155d82e908</v>
      </c>
    </row>
    <row r="3026" spans="1:19" s="2" customFormat="1" ht="96.2" customHeight="1" outlineLevel="5">
      <c r="A3026" s="53">
        <v>2359</v>
      </c>
      <c r="B3026" s="10" t="s">
        <v>9938</v>
      </c>
      <c r="C3026" s="65" t="s">
        <v>9939</v>
      </c>
      <c r="D3026" s="65"/>
      <c r="E3026" s="65"/>
      <c r="F3026" s="65"/>
      <c r="G3026" s="11" t="s">
        <v>9940</v>
      </c>
      <c r="H3026" s="14">
        <v>138</v>
      </c>
      <c r="I3026" s="15"/>
      <c r="J3026" s="9">
        <v>6</v>
      </c>
      <c r="K3026" s="16">
        <v>131.47999999999999</v>
      </c>
      <c r="L3026" s="17"/>
      <c r="M3026" s="15">
        <f t="shared" si="143"/>
        <v>0</v>
      </c>
      <c r="N3026" s="18">
        <f>0.037*L3026</f>
        <v>0</v>
      </c>
      <c r="O3026" s="19">
        <f>0.00017*L3026</f>
        <v>0</v>
      </c>
      <c r="P3026" s="24" t="s">
        <v>26</v>
      </c>
      <c r="Q3026" s="15" t="s">
        <v>9941</v>
      </c>
      <c r="R3026" s="15"/>
      <c r="S3026" s="10" t="str">
        <f>HYPERLINK("https://miland.ru/api/getInfo/image/52770f96-2910-11f1-a291-00155d82e908")</f>
        <v>https://miland.ru/api/getInfo/image/52770f96-2910-11f1-a291-00155d82e908</v>
      </c>
    </row>
    <row r="3027" spans="1:19" s="2" customFormat="1" ht="96.2" customHeight="1" outlineLevel="5">
      <c r="A3027" s="53">
        <v>2360</v>
      </c>
      <c r="B3027" s="10" t="s">
        <v>9942</v>
      </c>
      <c r="C3027" s="65" t="s">
        <v>9943</v>
      </c>
      <c r="D3027" s="65"/>
      <c r="E3027" s="65"/>
      <c r="F3027" s="65"/>
      <c r="G3027" s="11" t="s">
        <v>9944</v>
      </c>
      <c r="H3027" s="14">
        <v>166</v>
      </c>
      <c r="I3027" s="15"/>
      <c r="J3027" s="9">
        <v>6</v>
      </c>
      <c r="K3027" s="16">
        <v>131.47999999999999</v>
      </c>
      <c r="L3027" s="17"/>
      <c r="M3027" s="15">
        <f t="shared" si="143"/>
        <v>0</v>
      </c>
      <c r="N3027" s="18">
        <f>0.038*L3027</f>
        <v>0</v>
      </c>
      <c r="O3027" s="19">
        <f>0.00017*L3027</f>
        <v>0</v>
      </c>
      <c r="P3027" s="24" t="s">
        <v>26</v>
      </c>
      <c r="Q3027" s="15" t="s">
        <v>9945</v>
      </c>
      <c r="R3027" s="15"/>
      <c r="S3027" s="10" t="str">
        <f>HYPERLINK("https://miland.ru/api/getInfo/image/895494fd-290f-11f1-a291-00155d82e908")</f>
        <v>https://miland.ru/api/getInfo/image/895494fd-290f-11f1-a291-00155d82e908</v>
      </c>
    </row>
    <row r="3028" spans="1:19" s="2" customFormat="1" ht="96.2" customHeight="1" outlineLevel="5">
      <c r="A3028" s="52">
        <v>2361</v>
      </c>
      <c r="B3028" s="26" t="s">
        <v>9946</v>
      </c>
      <c r="C3028" s="66" t="s">
        <v>9947</v>
      </c>
      <c r="D3028" s="66"/>
      <c r="E3028" s="66"/>
      <c r="F3028" s="66"/>
      <c r="G3028" s="27" t="s">
        <v>9948</v>
      </c>
      <c r="H3028" s="33">
        <v>206</v>
      </c>
      <c r="I3028" s="29"/>
      <c r="J3028" s="25">
        <v>6</v>
      </c>
      <c r="K3028" s="30">
        <v>131.47999999999999</v>
      </c>
      <c r="L3028" s="17"/>
      <c r="M3028" s="29">
        <f t="shared" si="143"/>
        <v>0</v>
      </c>
      <c r="N3028" s="31">
        <f>0.036*L3028</f>
        <v>0</v>
      </c>
      <c r="O3028" s="32">
        <f>0.00018*L3028</f>
        <v>0</v>
      </c>
      <c r="P3028" s="36"/>
      <c r="Q3028" s="29" t="s">
        <v>9949</v>
      </c>
      <c r="R3028" s="29"/>
      <c r="S3028" s="26" t="str">
        <f>HYPERLINK("https://miland.ru/api/getInfo/image/fbcb5714-3afd-11f0-a27c-00155d82e908")</f>
        <v>https://miland.ru/api/getInfo/image/fbcb5714-3afd-11f0-a27c-00155d82e908</v>
      </c>
    </row>
    <row r="3029" spans="1:19" s="2" customFormat="1" ht="96.2" customHeight="1" outlineLevel="5">
      <c r="A3029" s="53">
        <v>2362</v>
      </c>
      <c r="B3029" s="10" t="s">
        <v>9950</v>
      </c>
      <c r="C3029" s="65" t="s">
        <v>9951</v>
      </c>
      <c r="D3029" s="65"/>
      <c r="E3029" s="65"/>
      <c r="F3029" s="65"/>
      <c r="G3029" s="11" t="s">
        <v>9952</v>
      </c>
      <c r="H3029" s="14">
        <v>14</v>
      </c>
      <c r="I3029" s="15"/>
      <c r="J3029" s="9">
        <v>6</v>
      </c>
      <c r="K3029" s="16">
        <v>131.47999999999999</v>
      </c>
      <c r="L3029" s="17"/>
      <c r="M3029" s="15">
        <f t="shared" si="143"/>
        <v>0</v>
      </c>
      <c r="N3029" s="18">
        <f>0.038*L3029</f>
        <v>0</v>
      </c>
      <c r="O3029" s="19">
        <f>0.00014*L3029</f>
        <v>0</v>
      </c>
      <c r="P3029" s="24" t="s">
        <v>26</v>
      </c>
      <c r="Q3029" s="15" t="s">
        <v>9953</v>
      </c>
      <c r="R3029" s="15"/>
      <c r="S3029" s="10" t="str">
        <f>HYPERLINK("https://miland.ru/api/getInfo/image/40770f32-2910-11f1-a291-00155d82e908")</f>
        <v>https://miland.ru/api/getInfo/image/40770f32-2910-11f1-a291-00155d82e908</v>
      </c>
    </row>
    <row r="3030" spans="1:19" s="2" customFormat="1" ht="96.2" customHeight="1" outlineLevel="5">
      <c r="A3030" s="52">
        <v>2363</v>
      </c>
      <c r="B3030" s="26" t="s">
        <v>9954</v>
      </c>
      <c r="C3030" s="66" t="s">
        <v>9955</v>
      </c>
      <c r="D3030" s="66"/>
      <c r="E3030" s="66"/>
      <c r="F3030" s="66"/>
      <c r="G3030" s="27" t="s">
        <v>9956</v>
      </c>
      <c r="H3030" s="33">
        <v>201</v>
      </c>
      <c r="I3030" s="29"/>
      <c r="J3030" s="25">
        <v>6</v>
      </c>
      <c r="K3030" s="30">
        <v>131.47999999999999</v>
      </c>
      <c r="L3030" s="17"/>
      <c r="M3030" s="29">
        <f t="shared" si="143"/>
        <v>0</v>
      </c>
      <c r="N3030" s="31">
        <f>0.036*L3030</f>
        <v>0</v>
      </c>
      <c r="O3030" s="32">
        <f>0.00014*L3030</f>
        <v>0</v>
      </c>
      <c r="P3030" s="36"/>
      <c r="Q3030" s="29" t="s">
        <v>9957</v>
      </c>
      <c r="R3030" s="29"/>
      <c r="S3030" s="26" t="str">
        <f>HYPERLINK("https://miland.ru/api/getInfo/image/d7e94906-3afe-11f0-a27c-00155d82e908")</f>
        <v>https://miland.ru/api/getInfo/image/d7e94906-3afe-11f0-a27c-00155d82e908</v>
      </c>
    </row>
    <row r="3031" spans="1:19" s="2" customFormat="1" ht="96.2" customHeight="1" outlineLevel="5">
      <c r="A3031" s="52">
        <v>2364</v>
      </c>
      <c r="B3031" s="26" t="s">
        <v>9958</v>
      </c>
      <c r="C3031" s="66" t="s">
        <v>9959</v>
      </c>
      <c r="D3031" s="66"/>
      <c r="E3031" s="66"/>
      <c r="F3031" s="66"/>
      <c r="G3031" s="27" t="s">
        <v>9960</v>
      </c>
      <c r="H3031" s="33">
        <v>141</v>
      </c>
      <c r="I3031" s="29"/>
      <c r="J3031" s="25">
        <v>6</v>
      </c>
      <c r="K3031" s="30">
        <v>131.47999999999999</v>
      </c>
      <c r="L3031" s="17"/>
      <c r="M3031" s="29">
        <f t="shared" si="143"/>
        <v>0</v>
      </c>
      <c r="N3031" s="31">
        <f>0.035*L3031</f>
        <v>0</v>
      </c>
      <c r="O3031" s="32">
        <f>0.00006*L3031</f>
        <v>0</v>
      </c>
      <c r="P3031" s="36"/>
      <c r="Q3031" s="29" t="s">
        <v>9961</v>
      </c>
      <c r="R3031" s="29" t="s">
        <v>611</v>
      </c>
      <c r="S3031" s="26" t="str">
        <f>HYPERLINK("https://miland.ru/api/getInfo/image/2f26bff7-3afd-11f0-a27c-00155d82e908")</f>
        <v>https://miland.ru/api/getInfo/image/2f26bff7-3afd-11f0-a27c-00155d82e908</v>
      </c>
    </row>
    <row r="3032" spans="1:19" s="2" customFormat="1" ht="96.2" customHeight="1" outlineLevel="5">
      <c r="A3032" s="52">
        <v>2365</v>
      </c>
      <c r="B3032" s="26" t="s">
        <v>9962</v>
      </c>
      <c r="C3032" s="66" t="s">
        <v>9963</v>
      </c>
      <c r="D3032" s="66"/>
      <c r="E3032" s="66"/>
      <c r="F3032" s="66"/>
      <c r="G3032" s="27" t="s">
        <v>9964</v>
      </c>
      <c r="H3032" s="33">
        <v>192</v>
      </c>
      <c r="I3032" s="29"/>
      <c r="J3032" s="25">
        <v>6</v>
      </c>
      <c r="K3032" s="30">
        <v>131.47999999999999</v>
      </c>
      <c r="L3032" s="17"/>
      <c r="M3032" s="29">
        <f t="shared" si="143"/>
        <v>0</v>
      </c>
      <c r="N3032" s="31">
        <f>0.035*L3032</f>
        <v>0</v>
      </c>
      <c r="O3032" s="32">
        <f>0.00006*L3032</f>
        <v>0</v>
      </c>
      <c r="P3032" s="36"/>
      <c r="Q3032" s="29" t="s">
        <v>9965</v>
      </c>
      <c r="R3032" s="29" t="s">
        <v>611</v>
      </c>
      <c r="S3032" s="26" t="str">
        <f>HYPERLINK("https://miland.ru/api/getInfo/image/c902d245-3af9-11f0-a27c-00155d82e908")</f>
        <v>https://miland.ru/api/getInfo/image/c902d245-3af9-11f0-a27c-00155d82e908</v>
      </c>
    </row>
    <row r="3033" spans="1:19" s="2" customFormat="1" ht="96.2" customHeight="1" outlineLevel="5">
      <c r="A3033" s="52">
        <v>2366</v>
      </c>
      <c r="B3033" s="26" t="s">
        <v>9966</v>
      </c>
      <c r="C3033" s="66" t="s">
        <v>9967</v>
      </c>
      <c r="D3033" s="66"/>
      <c r="E3033" s="66"/>
      <c r="F3033" s="66"/>
      <c r="G3033" s="27" t="s">
        <v>9968</v>
      </c>
      <c r="H3033" s="33">
        <v>200</v>
      </c>
      <c r="I3033" s="29"/>
      <c r="J3033" s="25">
        <v>6</v>
      </c>
      <c r="K3033" s="30">
        <v>131.47999999999999</v>
      </c>
      <c r="L3033" s="17"/>
      <c r="M3033" s="29">
        <f t="shared" si="143"/>
        <v>0</v>
      </c>
      <c r="N3033" s="31">
        <f>0.038*L3033</f>
        <v>0</v>
      </c>
      <c r="O3033" s="32">
        <f>0.00016*L3033</f>
        <v>0</v>
      </c>
      <c r="P3033" s="36"/>
      <c r="Q3033" s="29" t="s">
        <v>9969</v>
      </c>
      <c r="R3033" s="29"/>
      <c r="S3033" s="26" t="str">
        <f>HYPERLINK("https://miland.ru/api/getInfo/image/6c89d3e1-3afb-11f0-a27c-00155d82e908")</f>
        <v>https://miland.ru/api/getInfo/image/6c89d3e1-3afb-11f0-a27c-00155d82e908</v>
      </c>
    </row>
    <row r="3034" spans="1:19" s="2" customFormat="1" ht="96.2" customHeight="1" outlineLevel="5">
      <c r="A3034" s="52">
        <v>2367</v>
      </c>
      <c r="B3034" s="26" t="s">
        <v>9970</v>
      </c>
      <c r="C3034" s="66" t="s">
        <v>9971</v>
      </c>
      <c r="D3034" s="66"/>
      <c r="E3034" s="66"/>
      <c r="F3034" s="66"/>
      <c r="G3034" s="27" t="s">
        <v>9972</v>
      </c>
      <c r="H3034" s="33">
        <v>304</v>
      </c>
      <c r="I3034" s="29"/>
      <c r="J3034" s="25">
        <v>6</v>
      </c>
      <c r="K3034" s="30">
        <v>131.47999999999999</v>
      </c>
      <c r="L3034" s="17"/>
      <c r="M3034" s="29">
        <f t="shared" si="143"/>
        <v>0</v>
      </c>
      <c r="N3034" s="31">
        <f>0.036*L3034</f>
        <v>0</v>
      </c>
      <c r="O3034" s="32">
        <f>0.00016*L3034</f>
        <v>0</v>
      </c>
      <c r="P3034" s="36"/>
      <c r="Q3034" s="29" t="s">
        <v>9973</v>
      </c>
      <c r="R3034" s="29"/>
      <c r="S3034" s="26" t="str">
        <f>HYPERLINK("https://miland.ru/api/getInfo/image/13c5bad2-1a45-11ee-a23b-00155d82e902")</f>
        <v>https://miland.ru/api/getInfo/image/13c5bad2-1a45-11ee-a23b-00155d82e902</v>
      </c>
    </row>
    <row r="3035" spans="1:19" s="2" customFormat="1" ht="96.2" customHeight="1" outlineLevel="5">
      <c r="A3035" s="52">
        <v>2368</v>
      </c>
      <c r="B3035" s="26" t="s">
        <v>9974</v>
      </c>
      <c r="C3035" s="66" t="s">
        <v>9975</v>
      </c>
      <c r="D3035" s="66"/>
      <c r="E3035" s="66"/>
      <c r="F3035" s="66"/>
      <c r="G3035" s="27" t="s">
        <v>9976</v>
      </c>
      <c r="H3035" s="33">
        <v>91</v>
      </c>
      <c r="I3035" s="29"/>
      <c r="J3035" s="25">
        <v>6</v>
      </c>
      <c r="K3035" s="30">
        <v>131.47999999999999</v>
      </c>
      <c r="L3035" s="17"/>
      <c r="M3035" s="29">
        <f t="shared" si="143"/>
        <v>0</v>
      </c>
      <c r="N3035" s="31">
        <f>0.036*L3035</f>
        <v>0</v>
      </c>
      <c r="O3035" s="32">
        <f>0.00011*L3035</f>
        <v>0</v>
      </c>
      <c r="P3035" s="36"/>
      <c r="Q3035" s="29" t="s">
        <v>9977</v>
      </c>
      <c r="R3035" s="29"/>
      <c r="S3035" s="26" t="str">
        <f>HYPERLINK("https://miland.ru/api/getInfo/image/de32b3e2-fbdc-11ee-a25d-00155d82e908")</f>
        <v>https://miland.ru/api/getInfo/image/de32b3e2-fbdc-11ee-a25d-00155d82e908</v>
      </c>
    </row>
    <row r="3036" spans="1:19" s="2" customFormat="1" ht="96.2" customHeight="1" outlineLevel="5">
      <c r="A3036" s="52">
        <v>2369</v>
      </c>
      <c r="B3036" s="26" t="s">
        <v>9978</v>
      </c>
      <c r="C3036" s="66" t="s">
        <v>9979</v>
      </c>
      <c r="D3036" s="66"/>
      <c r="E3036" s="66"/>
      <c r="F3036" s="66"/>
      <c r="G3036" s="27" t="s">
        <v>9980</v>
      </c>
      <c r="H3036" s="33">
        <v>253</v>
      </c>
      <c r="I3036" s="29"/>
      <c r="J3036" s="25">
        <v>6</v>
      </c>
      <c r="K3036" s="30">
        <v>131.47999999999999</v>
      </c>
      <c r="L3036" s="17"/>
      <c r="M3036" s="29">
        <f t="shared" si="143"/>
        <v>0</v>
      </c>
      <c r="N3036" s="31">
        <f>0.044*L3036</f>
        <v>0</v>
      </c>
      <c r="O3036" s="32">
        <f>0.00012*L3036</f>
        <v>0</v>
      </c>
      <c r="P3036" s="36"/>
      <c r="Q3036" s="29" t="s">
        <v>9981</v>
      </c>
      <c r="R3036" s="29"/>
      <c r="S3036" s="26" t="str">
        <f>HYPERLINK("https://miland.ru/api/getInfo/image/c53381c9-fbdc-11ee-a25d-00155d82e908")</f>
        <v>https://miland.ru/api/getInfo/image/c53381c9-fbdc-11ee-a25d-00155d82e908</v>
      </c>
    </row>
    <row r="3037" spans="1:19" s="1" customFormat="1" ht="12" customHeight="1" outlineLevel="4">
      <c r="A3037" s="64" t="s">
        <v>9982</v>
      </c>
      <c r="B3037" s="64"/>
      <c r="C3037" s="64"/>
      <c r="D3037" s="64"/>
      <c r="E3037" s="64"/>
      <c r="F3037" s="64"/>
      <c r="G3037" s="8"/>
      <c r="H3037" s="12"/>
      <c r="I3037" s="2"/>
      <c r="J3037" s="2"/>
      <c r="K3037" s="13"/>
      <c r="L3037" s="2"/>
      <c r="M3037" s="2"/>
      <c r="N3037" s="2"/>
      <c r="O3037" s="2"/>
      <c r="P3037" s="2"/>
      <c r="Q3037" s="2"/>
      <c r="R3037" s="2"/>
      <c r="S3037" s="2"/>
    </row>
    <row r="3038" spans="1:19" s="2" customFormat="1" ht="96.2" customHeight="1" outlineLevel="5">
      <c r="A3038" s="52">
        <v>2370</v>
      </c>
      <c r="B3038" s="26" t="s">
        <v>9983</v>
      </c>
      <c r="C3038" s="66" t="s">
        <v>9984</v>
      </c>
      <c r="D3038" s="66"/>
      <c r="E3038" s="66"/>
      <c r="F3038" s="66"/>
      <c r="G3038" s="27" t="s">
        <v>9985</v>
      </c>
      <c r="H3038" s="28" t="s">
        <v>44</v>
      </c>
      <c r="I3038" s="29"/>
      <c r="J3038" s="25">
        <v>10</v>
      </c>
      <c r="K3038" s="30">
        <v>75.2</v>
      </c>
      <c r="L3038" s="17"/>
      <c r="M3038" s="29">
        <f t="shared" ref="M3038:M3049" si="144">K3038*L3038</f>
        <v>0</v>
      </c>
      <c r="N3038" s="31">
        <f>0.038*L3038</f>
        <v>0</v>
      </c>
      <c r="O3038" s="32">
        <f>0.00012*L3038</f>
        <v>0</v>
      </c>
      <c r="P3038" s="36"/>
      <c r="Q3038" s="29" t="s">
        <v>9986</v>
      </c>
      <c r="R3038" s="29"/>
      <c r="S3038" s="26" t="str">
        <f>HYPERLINK("https://miland.ru/api/getInfo/image/967925be-2ca7-11e6-b4ab-5cf3fc4a2490")</f>
        <v>https://miland.ru/api/getInfo/image/967925be-2ca7-11e6-b4ab-5cf3fc4a2490</v>
      </c>
    </row>
    <row r="3039" spans="1:19" s="2" customFormat="1" ht="96.2" customHeight="1" outlineLevel="5">
      <c r="A3039" s="52">
        <v>2371</v>
      </c>
      <c r="B3039" s="26" t="s">
        <v>9987</v>
      </c>
      <c r="C3039" s="66" t="s">
        <v>9988</v>
      </c>
      <c r="D3039" s="66"/>
      <c r="E3039" s="66"/>
      <c r="F3039" s="66"/>
      <c r="G3039" s="27" t="s">
        <v>9989</v>
      </c>
      <c r="H3039" s="33">
        <v>460</v>
      </c>
      <c r="I3039" s="29"/>
      <c r="J3039" s="25">
        <v>10</v>
      </c>
      <c r="K3039" s="30">
        <v>82.93</v>
      </c>
      <c r="L3039" s="17"/>
      <c r="M3039" s="29">
        <f t="shared" si="144"/>
        <v>0</v>
      </c>
      <c r="N3039" s="31">
        <f>0.051*L3039</f>
        <v>0</v>
      </c>
      <c r="O3039" s="32">
        <f>0.00017*L3039</f>
        <v>0</v>
      </c>
      <c r="P3039" s="36"/>
      <c r="Q3039" s="29" t="s">
        <v>9990</v>
      </c>
      <c r="R3039" s="29"/>
      <c r="S3039" s="26" t="str">
        <f>HYPERLINK("https://miland.ru/api/getInfo/image/b73930fe-2ca8-11e6-b4ab-5cf3fc4a2490")</f>
        <v>https://miland.ru/api/getInfo/image/b73930fe-2ca8-11e6-b4ab-5cf3fc4a2490</v>
      </c>
    </row>
    <row r="3040" spans="1:19" s="2" customFormat="1" ht="96.2" customHeight="1" outlineLevel="5">
      <c r="A3040" s="52">
        <v>2372</v>
      </c>
      <c r="B3040" s="26" t="s">
        <v>9991</v>
      </c>
      <c r="C3040" s="66" t="s">
        <v>9992</v>
      </c>
      <c r="D3040" s="66"/>
      <c r="E3040" s="66"/>
      <c r="F3040" s="66"/>
      <c r="G3040" s="27" t="s">
        <v>9993</v>
      </c>
      <c r="H3040" s="33">
        <v>361</v>
      </c>
      <c r="I3040" s="29"/>
      <c r="J3040" s="25">
        <v>10</v>
      </c>
      <c r="K3040" s="30">
        <v>82.93</v>
      </c>
      <c r="L3040" s="17"/>
      <c r="M3040" s="29">
        <f t="shared" si="144"/>
        <v>0</v>
      </c>
      <c r="N3040" s="31">
        <f>0.043*L3040</f>
        <v>0</v>
      </c>
      <c r="O3040" s="32">
        <f>0.00019*L3040</f>
        <v>0</v>
      </c>
      <c r="P3040" s="36"/>
      <c r="Q3040" s="29" t="s">
        <v>9994</v>
      </c>
      <c r="R3040" s="29"/>
      <c r="S3040" s="26" t="str">
        <f>HYPERLINK("https://miland.ru/api/getInfo/image/a04ff4fe-2ca8-11e6-b4ab-5cf3fc4a2490")</f>
        <v>https://miland.ru/api/getInfo/image/a04ff4fe-2ca8-11e6-b4ab-5cf3fc4a2490</v>
      </c>
    </row>
    <row r="3041" spans="1:19" s="2" customFormat="1" ht="96.2" customHeight="1" outlineLevel="5">
      <c r="A3041" s="52">
        <v>2373</v>
      </c>
      <c r="B3041" s="26" t="s">
        <v>9995</v>
      </c>
      <c r="C3041" s="66" t="s">
        <v>9996</v>
      </c>
      <c r="D3041" s="66"/>
      <c r="E3041" s="66"/>
      <c r="F3041" s="66"/>
      <c r="G3041" s="27" t="s">
        <v>9997</v>
      </c>
      <c r="H3041" s="33">
        <v>125</v>
      </c>
      <c r="I3041" s="29"/>
      <c r="J3041" s="25">
        <v>5</v>
      </c>
      <c r="K3041" s="30">
        <v>82.93</v>
      </c>
      <c r="L3041" s="17"/>
      <c r="M3041" s="29">
        <f t="shared" si="144"/>
        <v>0</v>
      </c>
      <c r="N3041" s="31">
        <f>0.043*L3041</f>
        <v>0</v>
      </c>
      <c r="O3041" s="32">
        <f>0.00012*L3041</f>
        <v>0</v>
      </c>
      <c r="P3041" s="36"/>
      <c r="Q3041" s="29" t="s">
        <v>9998</v>
      </c>
      <c r="R3041" s="29" t="s">
        <v>611</v>
      </c>
      <c r="S3041" s="26" t="str">
        <f>HYPERLINK("https://miland.ru/api/getInfo/image/13258a3e-2ca9-11e6-b4ab-5cf3fc4a2490")</f>
        <v>https://miland.ru/api/getInfo/image/13258a3e-2ca9-11e6-b4ab-5cf3fc4a2490</v>
      </c>
    </row>
    <row r="3042" spans="1:19" s="2" customFormat="1" ht="96.2" customHeight="1" outlineLevel="5">
      <c r="A3042" s="52">
        <v>2374</v>
      </c>
      <c r="B3042" s="26" t="s">
        <v>9999</v>
      </c>
      <c r="C3042" s="66" t="s">
        <v>10000</v>
      </c>
      <c r="D3042" s="66"/>
      <c r="E3042" s="66"/>
      <c r="F3042" s="66"/>
      <c r="G3042" s="27" t="s">
        <v>10001</v>
      </c>
      <c r="H3042" s="33">
        <v>479</v>
      </c>
      <c r="I3042" s="29"/>
      <c r="J3042" s="25">
        <v>10</v>
      </c>
      <c r="K3042" s="30">
        <v>82.93</v>
      </c>
      <c r="L3042" s="17"/>
      <c r="M3042" s="29">
        <f t="shared" si="144"/>
        <v>0</v>
      </c>
      <c r="N3042" s="31">
        <f>0.035*L3042</f>
        <v>0</v>
      </c>
      <c r="O3042" s="32">
        <f>0.00009*L3042</f>
        <v>0</v>
      </c>
      <c r="P3042" s="36"/>
      <c r="Q3042" s="29" t="s">
        <v>10002</v>
      </c>
      <c r="R3042" s="29" t="s">
        <v>611</v>
      </c>
      <c r="S3042" s="26" t="str">
        <f>HYPERLINK("https://miland.ru/api/getInfo/image/9b6c09c2-b2a7-11e8-a209-ac1f6b442184")</f>
        <v>https://miland.ru/api/getInfo/image/9b6c09c2-b2a7-11e8-a209-ac1f6b442184</v>
      </c>
    </row>
    <row r="3043" spans="1:19" s="2" customFormat="1" ht="96.2" customHeight="1" outlineLevel="5">
      <c r="A3043" s="52">
        <v>2375</v>
      </c>
      <c r="B3043" s="26" t="s">
        <v>10003</v>
      </c>
      <c r="C3043" s="66" t="s">
        <v>10004</v>
      </c>
      <c r="D3043" s="66"/>
      <c r="E3043" s="66"/>
      <c r="F3043" s="66"/>
      <c r="G3043" s="27" t="s">
        <v>10005</v>
      </c>
      <c r="H3043" s="33">
        <v>153</v>
      </c>
      <c r="I3043" s="29"/>
      <c r="J3043" s="25">
        <v>10</v>
      </c>
      <c r="K3043" s="30">
        <v>82.93</v>
      </c>
      <c r="L3043" s="17"/>
      <c r="M3043" s="29">
        <f t="shared" si="144"/>
        <v>0</v>
      </c>
      <c r="N3043" s="31">
        <f>0.041*L3043</f>
        <v>0</v>
      </c>
      <c r="O3043" s="32">
        <f>0.00009*L3043</f>
        <v>0</v>
      </c>
      <c r="P3043" s="36"/>
      <c r="Q3043" s="29" t="s">
        <v>10006</v>
      </c>
      <c r="R3043" s="29"/>
      <c r="S3043" s="26" t="str">
        <f>HYPERLINK("https://miland.ru/api/getInfo/image/20c85306-b2a8-11e8-a209-ac1f6b442184")</f>
        <v>https://miland.ru/api/getInfo/image/20c85306-b2a8-11e8-a209-ac1f6b442184</v>
      </c>
    </row>
    <row r="3044" spans="1:19" s="2" customFormat="1" ht="96.2" customHeight="1" outlineLevel="5">
      <c r="A3044" s="52">
        <v>2376</v>
      </c>
      <c r="B3044" s="26" t="s">
        <v>10007</v>
      </c>
      <c r="C3044" s="66" t="s">
        <v>10008</v>
      </c>
      <c r="D3044" s="66"/>
      <c r="E3044" s="66"/>
      <c r="F3044" s="66"/>
      <c r="G3044" s="27" t="s">
        <v>10009</v>
      </c>
      <c r="H3044" s="33">
        <v>179</v>
      </c>
      <c r="I3044" s="29"/>
      <c r="J3044" s="25">
        <v>10</v>
      </c>
      <c r="K3044" s="30">
        <v>82.93</v>
      </c>
      <c r="L3044" s="17"/>
      <c r="M3044" s="29">
        <f t="shared" si="144"/>
        <v>0</v>
      </c>
      <c r="N3044" s="31">
        <f>0.041*L3044</f>
        <v>0</v>
      </c>
      <c r="O3044" s="32">
        <f>0.00018*L3044</f>
        <v>0</v>
      </c>
      <c r="P3044" s="36"/>
      <c r="Q3044" s="29" t="s">
        <v>10010</v>
      </c>
      <c r="R3044" s="29"/>
      <c r="S3044" s="26" t="str">
        <f>HYPERLINK("https://miland.ru/api/getInfo/image/73776d5e-2ca8-11e6-b4ab-5cf3fc4a2490")</f>
        <v>https://miland.ru/api/getInfo/image/73776d5e-2ca8-11e6-b4ab-5cf3fc4a2490</v>
      </c>
    </row>
    <row r="3045" spans="1:19" s="2" customFormat="1" ht="96.2" customHeight="1" outlineLevel="5">
      <c r="A3045" s="53">
        <v>2377</v>
      </c>
      <c r="B3045" s="10" t="s">
        <v>10011</v>
      </c>
      <c r="C3045" s="65" t="s">
        <v>10012</v>
      </c>
      <c r="D3045" s="65"/>
      <c r="E3045" s="65"/>
      <c r="F3045" s="65"/>
      <c r="G3045" s="11" t="s">
        <v>10013</v>
      </c>
      <c r="H3045" s="21" t="s">
        <v>44</v>
      </c>
      <c r="I3045" s="15"/>
      <c r="J3045" s="9">
        <v>5</v>
      </c>
      <c r="K3045" s="16">
        <v>119.38</v>
      </c>
      <c r="L3045" s="17"/>
      <c r="M3045" s="15">
        <f t="shared" si="144"/>
        <v>0</v>
      </c>
      <c r="N3045" s="18">
        <f>0.035*L3045</f>
        <v>0</v>
      </c>
      <c r="O3045" s="19">
        <f>0.00025*L3045</f>
        <v>0</v>
      </c>
      <c r="P3045" s="24" t="s">
        <v>26</v>
      </c>
      <c r="Q3045" s="15" t="s">
        <v>10014</v>
      </c>
      <c r="R3045" s="15"/>
      <c r="S3045" s="10" t="str">
        <f>HYPERLINK("https://miland.ru/api/getInfo/image/72f367fc-4a12-11f1-a297-00155d82e908")</f>
        <v>https://miland.ru/api/getInfo/image/72f367fc-4a12-11f1-a297-00155d82e908</v>
      </c>
    </row>
    <row r="3046" spans="1:19" s="2" customFormat="1" ht="96.2" customHeight="1" outlineLevel="5">
      <c r="A3046" s="53">
        <v>2378</v>
      </c>
      <c r="B3046" s="10" t="s">
        <v>10015</v>
      </c>
      <c r="C3046" s="65" t="s">
        <v>10016</v>
      </c>
      <c r="D3046" s="65"/>
      <c r="E3046" s="65"/>
      <c r="F3046" s="65"/>
      <c r="G3046" s="11" t="s">
        <v>10017</v>
      </c>
      <c r="H3046" s="21" t="s">
        <v>44</v>
      </c>
      <c r="I3046" s="15"/>
      <c r="J3046" s="9">
        <v>5</v>
      </c>
      <c r="K3046" s="16">
        <v>119.38</v>
      </c>
      <c r="L3046" s="17"/>
      <c r="M3046" s="15">
        <f t="shared" si="144"/>
        <v>0</v>
      </c>
      <c r="N3046" s="18">
        <f>0.038*L3046</f>
        <v>0</v>
      </c>
      <c r="O3046" s="19">
        <f>0.00018*L3046</f>
        <v>0</v>
      </c>
      <c r="P3046" s="24" t="s">
        <v>26</v>
      </c>
      <c r="Q3046" s="15" t="s">
        <v>10018</v>
      </c>
      <c r="R3046" s="15"/>
      <c r="S3046" s="10" t="str">
        <f>HYPERLINK("https://miland.ru/api/getInfo/image/c11dbefe-4a12-11f1-a297-00155d82e908")</f>
        <v>https://miland.ru/api/getInfo/image/c11dbefe-4a12-11f1-a297-00155d82e908</v>
      </c>
    </row>
    <row r="3047" spans="1:19" s="2" customFormat="1" ht="96.2" customHeight="1" outlineLevel="5">
      <c r="A3047" s="53">
        <v>2379</v>
      </c>
      <c r="B3047" s="10" t="s">
        <v>10019</v>
      </c>
      <c r="C3047" s="65" t="s">
        <v>10020</v>
      </c>
      <c r="D3047" s="65"/>
      <c r="E3047" s="65"/>
      <c r="F3047" s="65"/>
      <c r="G3047" s="11" t="s">
        <v>10021</v>
      </c>
      <c r="H3047" s="21" t="s">
        <v>44</v>
      </c>
      <c r="I3047" s="15"/>
      <c r="J3047" s="9">
        <v>3</v>
      </c>
      <c r="K3047" s="16">
        <v>217.69</v>
      </c>
      <c r="L3047" s="17"/>
      <c r="M3047" s="15">
        <f t="shared" si="144"/>
        <v>0</v>
      </c>
      <c r="N3047" s="18">
        <f>0.055*L3047</f>
        <v>0</v>
      </c>
      <c r="O3047" s="19">
        <f>0.00832*L3047</f>
        <v>0</v>
      </c>
      <c r="P3047" s="24" t="s">
        <v>26</v>
      </c>
      <c r="Q3047" s="15" t="s">
        <v>10022</v>
      </c>
      <c r="R3047" s="15"/>
      <c r="S3047" s="10" t="str">
        <f>HYPERLINK("https://miland.ru/api/getInfo/image/0f182944-4a13-11f1-a297-00155d82e908")</f>
        <v>https://miland.ru/api/getInfo/image/0f182944-4a13-11f1-a297-00155d82e908</v>
      </c>
    </row>
    <row r="3048" spans="1:19" s="2" customFormat="1" ht="96.2" customHeight="1" outlineLevel="5">
      <c r="A3048" s="53">
        <v>2380</v>
      </c>
      <c r="B3048" s="10" t="s">
        <v>10023</v>
      </c>
      <c r="C3048" s="65" t="s">
        <v>10024</v>
      </c>
      <c r="D3048" s="65"/>
      <c r="E3048" s="65"/>
      <c r="F3048" s="65"/>
      <c r="G3048" s="11" t="s">
        <v>10025</v>
      </c>
      <c r="H3048" s="21" t="s">
        <v>44</v>
      </c>
      <c r="I3048" s="15"/>
      <c r="J3048" s="9">
        <v>3</v>
      </c>
      <c r="K3048" s="16">
        <v>217.69</v>
      </c>
      <c r="L3048" s="17"/>
      <c r="M3048" s="15">
        <f t="shared" si="144"/>
        <v>0</v>
      </c>
      <c r="N3048" s="18">
        <f>0.057*L3048</f>
        <v>0</v>
      </c>
      <c r="O3048" s="19">
        <f>0.00014*L3048</f>
        <v>0</v>
      </c>
      <c r="P3048" s="24" t="s">
        <v>26</v>
      </c>
      <c r="Q3048" s="15" t="s">
        <v>10026</v>
      </c>
      <c r="R3048" s="15"/>
      <c r="S3048" s="10" t="str">
        <f>HYPERLINK("https://miland.ru/api/getInfo/image/dc7b25a2-4a12-11f1-a297-00155d82e908")</f>
        <v>https://miland.ru/api/getInfo/image/dc7b25a2-4a12-11f1-a297-00155d82e908</v>
      </c>
    </row>
    <row r="3049" spans="1:19" s="2" customFormat="1" ht="96.2" customHeight="1" outlineLevel="5">
      <c r="A3049" s="53">
        <v>2381</v>
      </c>
      <c r="B3049" s="10" t="s">
        <v>10027</v>
      </c>
      <c r="C3049" s="65" t="s">
        <v>10028</v>
      </c>
      <c r="D3049" s="65"/>
      <c r="E3049" s="65"/>
      <c r="F3049" s="65"/>
      <c r="G3049" s="11" t="s">
        <v>10029</v>
      </c>
      <c r="H3049" s="21" t="s">
        <v>44</v>
      </c>
      <c r="I3049" s="15"/>
      <c r="J3049" s="9">
        <v>5</v>
      </c>
      <c r="K3049" s="16">
        <v>119.38</v>
      </c>
      <c r="L3049" s="17"/>
      <c r="M3049" s="15">
        <f t="shared" si="144"/>
        <v>0</v>
      </c>
      <c r="N3049" s="18">
        <f>0.033*L3049</f>
        <v>0</v>
      </c>
      <c r="O3049" s="19">
        <f>0.00013*L3049</f>
        <v>0</v>
      </c>
      <c r="P3049" s="24" t="s">
        <v>26</v>
      </c>
      <c r="Q3049" s="15" t="s">
        <v>10030</v>
      </c>
      <c r="R3049" s="15"/>
      <c r="S3049" s="10" t="str">
        <f>HYPERLINK("https://miland.ru/api/getInfo/image/ae8409c6-4a12-11f1-a297-00155d82e908")</f>
        <v>https://miland.ru/api/getInfo/image/ae8409c6-4a12-11f1-a297-00155d82e908</v>
      </c>
    </row>
    <row r="3050" spans="1:19" s="1" customFormat="1" ht="12" customHeight="1" outlineLevel="4">
      <c r="A3050" s="64" t="s">
        <v>10031</v>
      </c>
      <c r="B3050" s="64"/>
      <c r="C3050" s="64"/>
      <c r="D3050" s="64"/>
      <c r="E3050" s="64"/>
      <c r="F3050" s="64"/>
      <c r="G3050" s="8"/>
      <c r="H3050" s="12"/>
      <c r="I3050" s="2"/>
      <c r="J3050" s="2"/>
      <c r="K3050" s="13"/>
      <c r="L3050" s="2"/>
      <c r="M3050" s="2"/>
      <c r="N3050" s="2"/>
      <c r="O3050" s="2"/>
      <c r="P3050" s="2"/>
      <c r="Q3050" s="2"/>
      <c r="R3050" s="2"/>
      <c r="S3050" s="2"/>
    </row>
    <row r="3051" spans="1:19" s="2" customFormat="1" ht="96.2" customHeight="1" outlineLevel="5">
      <c r="A3051" s="52">
        <v>2382</v>
      </c>
      <c r="B3051" s="26" t="s">
        <v>10032</v>
      </c>
      <c r="C3051" s="66" t="s">
        <v>10033</v>
      </c>
      <c r="D3051" s="66"/>
      <c r="E3051" s="66"/>
      <c r="F3051" s="66"/>
      <c r="G3051" s="27" t="s">
        <v>10034</v>
      </c>
      <c r="H3051" s="33">
        <v>3</v>
      </c>
      <c r="I3051" s="29"/>
      <c r="J3051" s="25">
        <v>3</v>
      </c>
      <c r="K3051" s="30">
        <v>29.68</v>
      </c>
      <c r="L3051" s="17"/>
      <c r="M3051" s="29">
        <f>K3051*L3051</f>
        <v>0</v>
      </c>
      <c r="N3051" s="34">
        <f>0.04*L3051</f>
        <v>0</v>
      </c>
      <c r="O3051" s="32">
        <f>0.00004*L3051</f>
        <v>0</v>
      </c>
      <c r="P3051" s="36"/>
      <c r="Q3051" s="29" t="s">
        <v>10035</v>
      </c>
      <c r="R3051" s="29" t="s">
        <v>611</v>
      </c>
      <c r="S3051" s="26" t="str">
        <f>HYPERLINK("https://miland.ru/api/getInfo/image/0be7a40f-6af3-11e8-84c9-5cf3fc4a2490")</f>
        <v>https://miland.ru/api/getInfo/image/0be7a40f-6af3-11e8-84c9-5cf3fc4a2490</v>
      </c>
    </row>
    <row r="3052" spans="1:19" s="2" customFormat="1" ht="96.2" customHeight="1" outlineLevel="5">
      <c r="A3052" s="52">
        <v>2383</v>
      </c>
      <c r="B3052" s="26" t="s">
        <v>10036</v>
      </c>
      <c r="C3052" s="66" t="s">
        <v>10037</v>
      </c>
      <c r="D3052" s="66"/>
      <c r="E3052" s="66"/>
      <c r="F3052" s="66"/>
      <c r="G3052" s="27" t="s">
        <v>10038</v>
      </c>
      <c r="H3052" s="33">
        <v>135</v>
      </c>
      <c r="I3052" s="29"/>
      <c r="J3052" s="25">
        <v>24</v>
      </c>
      <c r="K3052" s="30">
        <v>29.68</v>
      </c>
      <c r="L3052" s="17"/>
      <c r="M3052" s="29">
        <f>K3052*L3052</f>
        <v>0</v>
      </c>
      <c r="N3052" s="31">
        <f>0.034*L3052</f>
        <v>0</v>
      </c>
      <c r="O3052" s="35">
        <f>0.0001*L3052</f>
        <v>0</v>
      </c>
      <c r="P3052" s="36"/>
      <c r="Q3052" s="29" t="s">
        <v>10039</v>
      </c>
      <c r="R3052" s="29"/>
      <c r="S3052" s="26" t="str">
        <f>HYPERLINK("https://miland.ru/api/getInfo/image/bb260adb-6af2-11e8-84c9-5cf3fc4a2490")</f>
        <v>https://miland.ru/api/getInfo/image/bb260adb-6af2-11e8-84c9-5cf3fc4a2490</v>
      </c>
    </row>
    <row r="3053" spans="1:19" s="2" customFormat="1" ht="96.2" customHeight="1" outlineLevel="5">
      <c r="A3053" s="52">
        <v>2384</v>
      </c>
      <c r="B3053" s="26" t="s">
        <v>10040</v>
      </c>
      <c r="C3053" s="66" t="s">
        <v>10041</v>
      </c>
      <c r="D3053" s="66"/>
      <c r="E3053" s="66"/>
      <c r="F3053" s="66"/>
      <c r="G3053" s="27" t="s">
        <v>10042</v>
      </c>
      <c r="H3053" s="28" t="s">
        <v>44</v>
      </c>
      <c r="I3053" s="29"/>
      <c r="J3053" s="25">
        <v>24</v>
      </c>
      <c r="K3053" s="30">
        <v>29.68</v>
      </c>
      <c r="L3053" s="17"/>
      <c r="M3053" s="29">
        <f>K3053*L3053</f>
        <v>0</v>
      </c>
      <c r="N3053" s="31">
        <f>0.031*L3053</f>
        <v>0</v>
      </c>
      <c r="O3053" s="35">
        <f>0.0001*L3053</f>
        <v>0</v>
      </c>
      <c r="P3053" s="36"/>
      <c r="Q3053" s="29" t="s">
        <v>10043</v>
      </c>
      <c r="R3053" s="29"/>
      <c r="S3053" s="26" t="str">
        <f>HYPERLINK("https://miland.ru/api/getInfo/image/cd42f7f0-224b-11ee-a23d-00155d82e902")</f>
        <v>https://miland.ru/api/getInfo/image/cd42f7f0-224b-11ee-a23d-00155d82e902</v>
      </c>
    </row>
    <row r="3054" spans="1:19" s="2" customFormat="1" ht="96.2" customHeight="1" outlineLevel="5">
      <c r="A3054" s="52">
        <v>2385</v>
      </c>
      <c r="B3054" s="26" t="s">
        <v>10044</v>
      </c>
      <c r="C3054" s="66" t="s">
        <v>10045</v>
      </c>
      <c r="D3054" s="66"/>
      <c r="E3054" s="66"/>
      <c r="F3054" s="66"/>
      <c r="G3054" s="27" t="s">
        <v>10046</v>
      </c>
      <c r="H3054" s="28" t="s">
        <v>44</v>
      </c>
      <c r="I3054" s="29"/>
      <c r="J3054" s="25">
        <v>24</v>
      </c>
      <c r="K3054" s="30">
        <v>29.68</v>
      </c>
      <c r="L3054" s="17"/>
      <c r="M3054" s="29">
        <f>K3054*L3054</f>
        <v>0</v>
      </c>
      <c r="N3054" s="31">
        <f>0.033*L3054</f>
        <v>0</v>
      </c>
      <c r="O3054" s="32">
        <f>0.00022*L3054</f>
        <v>0</v>
      </c>
      <c r="P3054" s="36"/>
      <c r="Q3054" s="29" t="s">
        <v>10047</v>
      </c>
      <c r="R3054" s="29"/>
      <c r="S3054" s="26" t="str">
        <f>HYPERLINK("https://miland.ru/api/getInfo/image/2f8b700b-224c-11ee-a23d-00155d82e902")</f>
        <v>https://miland.ru/api/getInfo/image/2f8b700b-224c-11ee-a23d-00155d82e902</v>
      </c>
    </row>
    <row r="3055" spans="1:19" s="1" customFormat="1" ht="12" customHeight="1" outlineLevel="4">
      <c r="A3055" s="64" t="s">
        <v>10048</v>
      </c>
      <c r="B3055" s="64"/>
      <c r="C3055" s="64"/>
      <c r="D3055" s="64"/>
      <c r="E3055" s="64"/>
      <c r="F3055" s="64"/>
      <c r="G3055" s="8"/>
      <c r="H3055" s="12"/>
      <c r="I3055" s="2"/>
      <c r="J3055" s="2"/>
      <c r="K3055" s="13"/>
      <c r="L3055" s="2"/>
      <c r="M3055" s="2"/>
      <c r="N3055" s="2"/>
      <c r="O3055" s="2"/>
      <c r="P3055" s="2"/>
      <c r="Q3055" s="2"/>
      <c r="R3055" s="2"/>
      <c r="S3055" s="2"/>
    </row>
    <row r="3056" spans="1:19" s="2" customFormat="1" ht="96.2" customHeight="1" outlineLevel="5">
      <c r="A3056" s="52">
        <v>2386</v>
      </c>
      <c r="B3056" s="26" t="s">
        <v>10049</v>
      </c>
      <c r="C3056" s="66" t="s">
        <v>10050</v>
      </c>
      <c r="D3056" s="66"/>
      <c r="E3056" s="66"/>
      <c r="F3056" s="66"/>
      <c r="G3056" s="27" t="s">
        <v>10051</v>
      </c>
      <c r="H3056" s="33">
        <v>8</v>
      </c>
      <c r="I3056" s="29"/>
      <c r="J3056" s="25">
        <v>1</v>
      </c>
      <c r="K3056" s="30">
        <v>755.28</v>
      </c>
      <c r="L3056" s="17"/>
      <c r="M3056" s="29">
        <f t="shared" ref="M3056:M3065" si="145">K3056*L3056</f>
        <v>0</v>
      </c>
      <c r="N3056" s="31">
        <f>0.092*L3056</f>
        <v>0</v>
      </c>
      <c r="O3056" s="32">
        <f>0.00036*L3056</f>
        <v>0</v>
      </c>
      <c r="P3056" s="36"/>
      <c r="Q3056" s="29" t="s">
        <v>10052</v>
      </c>
      <c r="R3056" s="29" t="s">
        <v>611</v>
      </c>
      <c r="S3056" s="26" t="str">
        <f>HYPERLINK("https://miland.ru/api/getInfo/image/5b6eca75-f73d-11ee-a25d-00155d82e908")</f>
        <v>https://miland.ru/api/getInfo/image/5b6eca75-f73d-11ee-a25d-00155d82e908</v>
      </c>
    </row>
    <row r="3057" spans="1:19" s="2" customFormat="1" ht="96.2" customHeight="1" outlineLevel="5">
      <c r="A3057" s="52">
        <v>2387</v>
      </c>
      <c r="B3057" s="26" t="s">
        <v>10053</v>
      </c>
      <c r="C3057" s="66" t="s">
        <v>10054</v>
      </c>
      <c r="D3057" s="66"/>
      <c r="E3057" s="66"/>
      <c r="F3057" s="66"/>
      <c r="G3057" s="27" t="s">
        <v>10055</v>
      </c>
      <c r="H3057" s="33">
        <v>4</v>
      </c>
      <c r="I3057" s="29"/>
      <c r="J3057" s="25">
        <v>1</v>
      </c>
      <c r="K3057" s="30">
        <v>755.28</v>
      </c>
      <c r="L3057" s="17"/>
      <c r="M3057" s="29">
        <f t="shared" si="145"/>
        <v>0</v>
      </c>
      <c r="N3057" s="31">
        <f>0.094*L3057</f>
        <v>0</v>
      </c>
      <c r="O3057" s="32">
        <f>0.00015*L3057</f>
        <v>0</v>
      </c>
      <c r="P3057" s="36"/>
      <c r="Q3057" s="29" t="s">
        <v>10056</v>
      </c>
      <c r="R3057" s="29" t="s">
        <v>611</v>
      </c>
      <c r="S3057" s="26" t="str">
        <f>HYPERLINK("https://miland.ru/api/getInfo/image/8aca5a0c-f73d-11ee-a25d-00155d82e908")</f>
        <v>https://miland.ru/api/getInfo/image/8aca5a0c-f73d-11ee-a25d-00155d82e908</v>
      </c>
    </row>
    <row r="3058" spans="1:19" s="2" customFormat="1" ht="96.2" customHeight="1" outlineLevel="5">
      <c r="A3058" s="52">
        <v>2388</v>
      </c>
      <c r="B3058" s="26" t="s">
        <v>10057</v>
      </c>
      <c r="C3058" s="66" t="s">
        <v>10058</v>
      </c>
      <c r="D3058" s="66"/>
      <c r="E3058" s="66"/>
      <c r="F3058" s="66"/>
      <c r="G3058" s="27" t="s">
        <v>10059</v>
      </c>
      <c r="H3058" s="33">
        <v>158</v>
      </c>
      <c r="I3058" s="29"/>
      <c r="J3058" s="25">
        <v>1</v>
      </c>
      <c r="K3058" s="30">
        <v>881.16</v>
      </c>
      <c r="L3058" s="17"/>
      <c r="M3058" s="29">
        <f t="shared" si="145"/>
        <v>0</v>
      </c>
      <c r="N3058" s="34">
        <f>0.14*L3058</f>
        <v>0</v>
      </c>
      <c r="O3058" s="35">
        <f>0.0004*L3058</f>
        <v>0</v>
      </c>
      <c r="P3058" s="36"/>
      <c r="Q3058" s="29" t="s">
        <v>10060</v>
      </c>
      <c r="R3058" s="29" t="s">
        <v>611</v>
      </c>
      <c r="S3058" s="26" t="str">
        <f>HYPERLINK("https://miland.ru/api/getInfo/image/f666d22c-f73c-11ee-a25d-00155d82e908")</f>
        <v>https://miland.ru/api/getInfo/image/f666d22c-f73c-11ee-a25d-00155d82e908</v>
      </c>
    </row>
    <row r="3059" spans="1:19" s="2" customFormat="1" ht="96.2" customHeight="1" outlineLevel="5">
      <c r="A3059" s="52">
        <v>2389</v>
      </c>
      <c r="B3059" s="26" t="s">
        <v>10061</v>
      </c>
      <c r="C3059" s="66" t="s">
        <v>10062</v>
      </c>
      <c r="D3059" s="66"/>
      <c r="E3059" s="66"/>
      <c r="F3059" s="66"/>
      <c r="G3059" s="27" t="s">
        <v>10063</v>
      </c>
      <c r="H3059" s="33">
        <v>181</v>
      </c>
      <c r="I3059" s="29"/>
      <c r="J3059" s="25">
        <v>1</v>
      </c>
      <c r="K3059" s="30">
        <v>881.16</v>
      </c>
      <c r="L3059" s="17"/>
      <c r="M3059" s="29">
        <f t="shared" si="145"/>
        <v>0</v>
      </c>
      <c r="N3059" s="31">
        <f>0.145*L3059</f>
        <v>0</v>
      </c>
      <c r="O3059" s="32">
        <f>0.00039*L3059</f>
        <v>0</v>
      </c>
      <c r="P3059" s="36"/>
      <c r="Q3059" s="29" t="s">
        <v>10064</v>
      </c>
      <c r="R3059" s="29" t="s">
        <v>611</v>
      </c>
      <c r="S3059" s="26" t="str">
        <f>HYPERLINK("https://miland.ru/api/getInfo/image/1b3c62de-f73d-11ee-a25d-00155d82e908")</f>
        <v>https://miland.ru/api/getInfo/image/1b3c62de-f73d-11ee-a25d-00155d82e908</v>
      </c>
    </row>
    <row r="3060" spans="1:19" s="2" customFormat="1" ht="96.2" customHeight="1" outlineLevel="5">
      <c r="A3060" s="52">
        <v>2390</v>
      </c>
      <c r="B3060" s="26" t="s">
        <v>10065</v>
      </c>
      <c r="C3060" s="66" t="s">
        <v>10066</v>
      </c>
      <c r="D3060" s="66"/>
      <c r="E3060" s="66"/>
      <c r="F3060" s="66"/>
      <c r="G3060" s="27" t="s">
        <v>10067</v>
      </c>
      <c r="H3060" s="33">
        <v>40</v>
      </c>
      <c r="I3060" s="29"/>
      <c r="J3060" s="25">
        <v>1</v>
      </c>
      <c r="K3060" s="30">
        <v>604.23</v>
      </c>
      <c r="L3060" s="17"/>
      <c r="M3060" s="29">
        <f t="shared" si="145"/>
        <v>0</v>
      </c>
      <c r="N3060" s="31">
        <f>0.094*L3060</f>
        <v>0</v>
      </c>
      <c r="O3060" s="32">
        <f>0.00045*L3060</f>
        <v>0</v>
      </c>
      <c r="P3060" s="36"/>
      <c r="Q3060" s="29" t="s">
        <v>10068</v>
      </c>
      <c r="R3060" s="29"/>
      <c r="S3060" s="26" t="str">
        <f>HYPERLINK("https://miland.ru/api/getInfo/image/a1790051-f739-11ee-a25d-00155d82e908")</f>
        <v>https://miland.ru/api/getInfo/image/a1790051-f739-11ee-a25d-00155d82e908</v>
      </c>
    </row>
    <row r="3061" spans="1:19" s="2" customFormat="1" ht="96.2" customHeight="1" outlineLevel="5">
      <c r="A3061" s="52">
        <v>2391</v>
      </c>
      <c r="B3061" s="26" t="s">
        <v>10069</v>
      </c>
      <c r="C3061" s="66" t="s">
        <v>10070</v>
      </c>
      <c r="D3061" s="66"/>
      <c r="E3061" s="66"/>
      <c r="F3061" s="66"/>
      <c r="G3061" s="27" t="s">
        <v>10071</v>
      </c>
      <c r="H3061" s="33">
        <v>1</v>
      </c>
      <c r="I3061" s="29"/>
      <c r="J3061" s="25">
        <v>1</v>
      </c>
      <c r="K3061" s="30">
        <v>604.23</v>
      </c>
      <c r="L3061" s="17"/>
      <c r="M3061" s="29">
        <f t="shared" si="145"/>
        <v>0</v>
      </c>
      <c r="N3061" s="31">
        <f>0.092*L3061</f>
        <v>0</v>
      </c>
      <c r="O3061" s="35">
        <f>0.0003*L3061</f>
        <v>0</v>
      </c>
      <c r="P3061" s="36"/>
      <c r="Q3061" s="29" t="s">
        <v>10072</v>
      </c>
      <c r="R3061" s="29" t="s">
        <v>611</v>
      </c>
      <c r="S3061" s="26" t="str">
        <f>HYPERLINK("https://miland.ru/api/getInfo/image/b8f39c48-f739-11ee-a25d-00155d82e908")</f>
        <v>https://miland.ru/api/getInfo/image/b8f39c48-f739-11ee-a25d-00155d82e908</v>
      </c>
    </row>
    <row r="3062" spans="1:19" s="2" customFormat="1" ht="96.2" customHeight="1" outlineLevel="5">
      <c r="A3062" s="52">
        <v>2392</v>
      </c>
      <c r="B3062" s="26" t="s">
        <v>10073</v>
      </c>
      <c r="C3062" s="66" t="s">
        <v>10074</v>
      </c>
      <c r="D3062" s="66"/>
      <c r="E3062" s="66"/>
      <c r="F3062" s="66"/>
      <c r="G3062" s="27" t="s">
        <v>10075</v>
      </c>
      <c r="H3062" s="33">
        <v>1</v>
      </c>
      <c r="I3062" s="29"/>
      <c r="J3062" s="25">
        <v>1</v>
      </c>
      <c r="K3062" s="30">
        <v>604.23</v>
      </c>
      <c r="L3062" s="17"/>
      <c r="M3062" s="29">
        <f t="shared" si="145"/>
        <v>0</v>
      </c>
      <c r="N3062" s="31">
        <f>0.096*L3062</f>
        <v>0</v>
      </c>
      <c r="O3062" s="32">
        <f>0.00044*L3062</f>
        <v>0</v>
      </c>
      <c r="P3062" s="36"/>
      <c r="Q3062" s="29" t="s">
        <v>10076</v>
      </c>
      <c r="R3062" s="29" t="s">
        <v>611</v>
      </c>
      <c r="S3062" s="26" t="str">
        <f>HYPERLINK("https://miland.ru/api/getInfo/image/87d2deed-f739-11ee-a25d-00155d82e908")</f>
        <v>https://miland.ru/api/getInfo/image/87d2deed-f739-11ee-a25d-00155d82e908</v>
      </c>
    </row>
    <row r="3063" spans="1:19" s="2" customFormat="1" ht="96.2" customHeight="1" outlineLevel="5">
      <c r="A3063" s="52">
        <v>2393</v>
      </c>
      <c r="B3063" s="26" t="s">
        <v>10077</v>
      </c>
      <c r="C3063" s="66" t="s">
        <v>10078</v>
      </c>
      <c r="D3063" s="66"/>
      <c r="E3063" s="66"/>
      <c r="F3063" s="66"/>
      <c r="G3063" s="27" t="s">
        <v>10079</v>
      </c>
      <c r="H3063" s="33">
        <v>459</v>
      </c>
      <c r="I3063" s="29"/>
      <c r="J3063" s="25">
        <v>2</v>
      </c>
      <c r="K3063" s="30">
        <v>351.37</v>
      </c>
      <c r="L3063" s="17"/>
      <c r="M3063" s="29">
        <f t="shared" si="145"/>
        <v>0</v>
      </c>
      <c r="N3063" s="34">
        <f>0.06*L3063</f>
        <v>0</v>
      </c>
      <c r="O3063" s="32">
        <f>0.00044*L3063</f>
        <v>0</v>
      </c>
      <c r="P3063" s="36"/>
      <c r="Q3063" s="29" t="s">
        <v>10080</v>
      </c>
      <c r="R3063" s="29"/>
      <c r="S3063" s="26" t="str">
        <f>HYPERLINK("https://miland.ru/api/getInfo/image/3e335ac2-f739-11ee-a25d-00155d82e908")</f>
        <v>https://miland.ru/api/getInfo/image/3e335ac2-f739-11ee-a25d-00155d82e908</v>
      </c>
    </row>
    <row r="3064" spans="1:19" s="2" customFormat="1" ht="96.2" customHeight="1" outlineLevel="5">
      <c r="A3064" s="52">
        <v>2394</v>
      </c>
      <c r="B3064" s="26" t="s">
        <v>10081</v>
      </c>
      <c r="C3064" s="66" t="s">
        <v>10082</v>
      </c>
      <c r="D3064" s="66"/>
      <c r="E3064" s="66"/>
      <c r="F3064" s="66"/>
      <c r="G3064" s="27" t="s">
        <v>10083</v>
      </c>
      <c r="H3064" s="33">
        <v>50</v>
      </c>
      <c r="I3064" s="29"/>
      <c r="J3064" s="25">
        <v>1</v>
      </c>
      <c r="K3064" s="30">
        <v>427.99</v>
      </c>
      <c r="L3064" s="17"/>
      <c r="M3064" s="29">
        <f t="shared" si="145"/>
        <v>0</v>
      </c>
      <c r="N3064" s="31">
        <f>0.063*L3064</f>
        <v>0</v>
      </c>
      <c r="O3064" s="32">
        <f>0.00022*L3064</f>
        <v>0</v>
      </c>
      <c r="P3064" s="36"/>
      <c r="Q3064" s="29" t="s">
        <v>10084</v>
      </c>
      <c r="R3064" s="29" t="s">
        <v>611</v>
      </c>
      <c r="S3064" s="26" t="str">
        <f>HYPERLINK("https://miland.ru/api/getInfo/image/aeaa611c-f73a-11ee-a25d-00155d82e908")</f>
        <v>https://miland.ru/api/getInfo/image/aeaa611c-f73a-11ee-a25d-00155d82e908</v>
      </c>
    </row>
    <row r="3065" spans="1:19" s="2" customFormat="1" ht="96.2" customHeight="1" outlineLevel="5">
      <c r="A3065" s="52">
        <v>2395</v>
      </c>
      <c r="B3065" s="26" t="s">
        <v>10085</v>
      </c>
      <c r="C3065" s="66" t="s">
        <v>10086</v>
      </c>
      <c r="D3065" s="66"/>
      <c r="E3065" s="66"/>
      <c r="F3065" s="66"/>
      <c r="G3065" s="27" t="s">
        <v>10087</v>
      </c>
      <c r="H3065" s="33">
        <v>27</v>
      </c>
      <c r="I3065" s="29"/>
      <c r="J3065" s="25">
        <v>1</v>
      </c>
      <c r="K3065" s="30">
        <v>427.99</v>
      </c>
      <c r="L3065" s="17"/>
      <c r="M3065" s="29">
        <f t="shared" si="145"/>
        <v>0</v>
      </c>
      <c r="N3065" s="31">
        <f>0.068*L3065</f>
        <v>0</v>
      </c>
      <c r="O3065" s="32">
        <f>0.00007*L3065</f>
        <v>0</v>
      </c>
      <c r="P3065" s="36"/>
      <c r="Q3065" s="29" t="s">
        <v>10088</v>
      </c>
      <c r="R3065" s="29" t="s">
        <v>611</v>
      </c>
      <c r="S3065" s="26" t="str">
        <f>HYPERLINK("https://miland.ru/api/getInfo/image/0173adb0-f73b-11ee-a25d-00155d82e908")</f>
        <v>https://miland.ru/api/getInfo/image/0173adb0-f73b-11ee-a25d-00155d82e908</v>
      </c>
    </row>
    <row r="3066" spans="1:19" s="1" customFormat="1" ht="12" customHeight="1" outlineLevel="3">
      <c r="A3066" s="64" t="s">
        <v>10089</v>
      </c>
      <c r="B3066" s="64"/>
      <c r="C3066" s="64"/>
      <c r="D3066" s="64"/>
      <c r="E3066" s="64"/>
      <c r="F3066" s="64"/>
      <c r="G3066" s="8"/>
      <c r="H3066" s="12"/>
      <c r="I3066" s="2"/>
      <c r="J3066" s="2"/>
      <c r="K3066" s="13"/>
      <c r="L3066" s="2"/>
      <c r="M3066" s="2"/>
      <c r="N3066" s="2"/>
      <c r="O3066" s="2"/>
      <c r="P3066" s="2"/>
      <c r="Q3066" s="2"/>
      <c r="R3066" s="2"/>
      <c r="S3066" s="2"/>
    </row>
    <row r="3067" spans="1:19" s="1" customFormat="1" ht="12" customHeight="1" outlineLevel="4">
      <c r="A3067" s="64" t="s">
        <v>10090</v>
      </c>
      <c r="B3067" s="64"/>
      <c r="C3067" s="64"/>
      <c r="D3067" s="64"/>
      <c r="E3067" s="64"/>
      <c r="F3067" s="64"/>
      <c r="G3067" s="8"/>
      <c r="H3067" s="12"/>
      <c r="I3067" s="2"/>
      <c r="J3067" s="2"/>
      <c r="K3067" s="13"/>
      <c r="L3067" s="2"/>
      <c r="M3067" s="2"/>
      <c r="N3067" s="2"/>
      <c r="O3067" s="2"/>
      <c r="P3067" s="2"/>
      <c r="Q3067" s="2"/>
      <c r="R3067" s="2"/>
      <c r="S3067" s="2"/>
    </row>
    <row r="3068" spans="1:19" s="1" customFormat="1" ht="12" customHeight="1" outlineLevel="5">
      <c r="A3068" s="64" t="s">
        <v>10091</v>
      </c>
      <c r="B3068" s="64"/>
      <c r="C3068" s="64"/>
      <c r="D3068" s="64"/>
      <c r="E3068" s="64"/>
      <c r="F3068" s="64"/>
      <c r="G3068" s="8"/>
      <c r="H3068" s="12"/>
      <c r="I3068" s="2"/>
      <c r="J3068" s="2"/>
      <c r="K3068" s="13"/>
      <c r="L3068" s="2"/>
      <c r="M3068" s="2"/>
      <c r="N3068" s="2"/>
      <c r="O3068" s="2"/>
      <c r="P3068" s="2"/>
      <c r="Q3068" s="2"/>
      <c r="R3068" s="2"/>
      <c r="S3068" s="2"/>
    </row>
    <row r="3069" spans="1:19" s="2" customFormat="1" ht="96.2" customHeight="1" outlineLevel="6">
      <c r="A3069" s="52">
        <v>2396</v>
      </c>
      <c r="B3069" s="26" t="s">
        <v>10092</v>
      </c>
      <c r="C3069" s="66" t="s">
        <v>10093</v>
      </c>
      <c r="D3069" s="66"/>
      <c r="E3069" s="66"/>
      <c r="F3069" s="66"/>
      <c r="G3069" s="27" t="s">
        <v>10094</v>
      </c>
      <c r="H3069" s="33">
        <v>36</v>
      </c>
      <c r="I3069" s="29"/>
      <c r="J3069" s="25">
        <v>5</v>
      </c>
      <c r="K3069" s="30">
        <v>137.76</v>
      </c>
      <c r="L3069" s="17"/>
      <c r="M3069" s="29">
        <f>K3069*L3069</f>
        <v>0</v>
      </c>
      <c r="N3069" s="31">
        <f>0.071*L3069</f>
        <v>0</v>
      </c>
      <c r="O3069" s="32">
        <f>0.00014*L3069</f>
        <v>0</v>
      </c>
      <c r="P3069" s="36"/>
      <c r="Q3069" s="29" t="s">
        <v>10095</v>
      </c>
      <c r="R3069" s="29"/>
      <c r="S3069" s="26" t="str">
        <f>HYPERLINK("https://miland.ru/api/getInfo/image/4df5631e-2ca9-11e6-b4ab-5cf3fc4a2490")</f>
        <v>https://miland.ru/api/getInfo/image/4df5631e-2ca9-11e6-b4ab-5cf3fc4a2490</v>
      </c>
    </row>
    <row r="3070" spans="1:19" s="2" customFormat="1" ht="96.2" customHeight="1" outlineLevel="6">
      <c r="A3070" s="52">
        <v>2397</v>
      </c>
      <c r="B3070" s="26" t="s">
        <v>10096</v>
      </c>
      <c r="C3070" s="66" t="s">
        <v>10097</v>
      </c>
      <c r="D3070" s="66"/>
      <c r="E3070" s="66"/>
      <c r="F3070" s="66"/>
      <c r="G3070" s="27" t="s">
        <v>10098</v>
      </c>
      <c r="H3070" s="33">
        <v>30</v>
      </c>
      <c r="I3070" s="29"/>
      <c r="J3070" s="25">
        <v>5</v>
      </c>
      <c r="K3070" s="30">
        <v>137.76</v>
      </c>
      <c r="L3070" s="17"/>
      <c r="M3070" s="29">
        <f>K3070*L3070</f>
        <v>0</v>
      </c>
      <c r="N3070" s="31">
        <f>0.071*L3070</f>
        <v>0</v>
      </c>
      <c r="O3070" s="32">
        <f>0.00019*L3070</f>
        <v>0</v>
      </c>
      <c r="P3070" s="36"/>
      <c r="Q3070" s="29" t="s">
        <v>10099</v>
      </c>
      <c r="R3070" s="29"/>
      <c r="S3070" s="26" t="str">
        <f>HYPERLINK("https://miland.ru/api/getInfo/image/63248420-9f91-11e7-b8ef-5cf3fc4a2490")</f>
        <v>https://miland.ru/api/getInfo/image/63248420-9f91-11e7-b8ef-5cf3fc4a2490</v>
      </c>
    </row>
    <row r="3071" spans="1:19" s="2" customFormat="1" ht="96.2" customHeight="1" outlineLevel="6">
      <c r="A3071" s="52">
        <v>2398</v>
      </c>
      <c r="B3071" s="26" t="s">
        <v>10100</v>
      </c>
      <c r="C3071" s="66" t="s">
        <v>10101</v>
      </c>
      <c r="D3071" s="66"/>
      <c r="E3071" s="66"/>
      <c r="F3071" s="66"/>
      <c r="G3071" s="27" t="s">
        <v>10102</v>
      </c>
      <c r="H3071" s="33">
        <v>7</v>
      </c>
      <c r="I3071" s="29"/>
      <c r="J3071" s="25">
        <v>5</v>
      </c>
      <c r="K3071" s="30">
        <v>137.76</v>
      </c>
      <c r="L3071" s="17"/>
      <c r="M3071" s="29">
        <f>K3071*L3071</f>
        <v>0</v>
      </c>
      <c r="N3071" s="31">
        <f>0.069*L3071</f>
        <v>0</v>
      </c>
      <c r="O3071" s="35">
        <f>0.0002*L3071</f>
        <v>0</v>
      </c>
      <c r="P3071" s="36"/>
      <c r="Q3071" s="29" t="s">
        <v>10103</v>
      </c>
      <c r="R3071" s="29"/>
      <c r="S3071" s="26" t="str">
        <f>HYPERLINK("https://miland.ru/api/getInfo/image/373e23fe-2ca9-11e6-b4ab-5cf3fc4a2490")</f>
        <v>https://miland.ru/api/getInfo/image/373e23fe-2ca9-11e6-b4ab-5cf3fc4a2490</v>
      </c>
    </row>
    <row r="3072" spans="1:19" s="1" customFormat="1" ht="12" customHeight="1" outlineLevel="4">
      <c r="A3072" s="64" t="s">
        <v>10104</v>
      </c>
      <c r="B3072" s="64"/>
      <c r="C3072" s="64"/>
      <c r="D3072" s="64"/>
      <c r="E3072" s="64"/>
      <c r="F3072" s="64"/>
      <c r="G3072" s="8"/>
      <c r="H3072" s="12"/>
      <c r="I3072" s="2"/>
      <c r="J3072" s="2"/>
      <c r="K3072" s="13"/>
      <c r="L3072" s="2"/>
      <c r="M3072" s="2"/>
      <c r="N3072" s="2"/>
      <c r="O3072" s="2"/>
      <c r="P3072" s="2"/>
      <c r="Q3072" s="2"/>
      <c r="R3072" s="2"/>
      <c r="S3072" s="2"/>
    </row>
    <row r="3073" spans="1:19" s="2" customFormat="1" ht="96.2" customHeight="1" outlineLevel="5">
      <c r="A3073" s="52">
        <v>2399</v>
      </c>
      <c r="B3073" s="26" t="s">
        <v>10105</v>
      </c>
      <c r="C3073" s="66" t="s">
        <v>10106</v>
      </c>
      <c r="D3073" s="66"/>
      <c r="E3073" s="66"/>
      <c r="F3073" s="66"/>
      <c r="G3073" s="27" t="s">
        <v>10107</v>
      </c>
      <c r="H3073" s="33">
        <v>477</v>
      </c>
      <c r="I3073" s="29"/>
      <c r="J3073" s="25">
        <v>4</v>
      </c>
      <c r="K3073" s="30">
        <v>171.49</v>
      </c>
      <c r="L3073" s="17"/>
      <c r="M3073" s="29">
        <f>K3073*L3073</f>
        <v>0</v>
      </c>
      <c r="N3073" s="31">
        <f>0.106*L3073</f>
        <v>0</v>
      </c>
      <c r="O3073" s="29">
        <v>0</v>
      </c>
      <c r="P3073" s="36"/>
      <c r="Q3073" s="29" t="s">
        <v>10108</v>
      </c>
      <c r="R3073" s="29"/>
      <c r="S3073" s="26" t="str">
        <f>HYPERLINK("https://miland.ru/api/getInfo/image/1bb64560-e861-11ef-a274-00155d82e908")</f>
        <v>https://miland.ru/api/getInfo/image/1bb64560-e861-11ef-a274-00155d82e908</v>
      </c>
    </row>
    <row r="3074" spans="1:19" s="2" customFormat="1" ht="96.2" customHeight="1" outlineLevel="5">
      <c r="A3074" s="52">
        <v>2400</v>
      </c>
      <c r="B3074" s="26" t="s">
        <v>10109</v>
      </c>
      <c r="C3074" s="66" t="s">
        <v>10110</v>
      </c>
      <c r="D3074" s="66"/>
      <c r="E3074" s="66"/>
      <c r="F3074" s="66"/>
      <c r="G3074" s="27" t="s">
        <v>10111</v>
      </c>
      <c r="H3074" s="33">
        <v>371</v>
      </c>
      <c r="I3074" s="29"/>
      <c r="J3074" s="25">
        <v>4</v>
      </c>
      <c r="K3074" s="30">
        <v>171.49</v>
      </c>
      <c r="L3074" s="17"/>
      <c r="M3074" s="29">
        <f>K3074*L3074</f>
        <v>0</v>
      </c>
      <c r="N3074" s="31">
        <f>0.122*L3074</f>
        <v>0</v>
      </c>
      <c r="O3074" s="32">
        <f>0.00042*L3074</f>
        <v>0</v>
      </c>
      <c r="P3074" s="36"/>
      <c r="Q3074" s="29" t="s">
        <v>10112</v>
      </c>
      <c r="R3074" s="29"/>
      <c r="S3074" s="26" t="str">
        <f>HYPERLINK("https://miland.ru/api/getInfo/image/72d9e4f3-6f10-11ee-a247-00155d82e902")</f>
        <v>https://miland.ru/api/getInfo/image/72d9e4f3-6f10-11ee-a247-00155d82e902</v>
      </c>
    </row>
    <row r="3075" spans="1:19" s="2" customFormat="1" ht="96.2" customHeight="1" outlineLevel="5">
      <c r="A3075" s="52">
        <v>2401</v>
      </c>
      <c r="B3075" s="26" t="s">
        <v>10113</v>
      </c>
      <c r="C3075" s="66" t="s">
        <v>10114</v>
      </c>
      <c r="D3075" s="66"/>
      <c r="E3075" s="66"/>
      <c r="F3075" s="66"/>
      <c r="G3075" s="27" t="s">
        <v>10115</v>
      </c>
      <c r="H3075" s="33">
        <v>41</v>
      </c>
      <c r="I3075" s="29"/>
      <c r="J3075" s="25">
        <v>4</v>
      </c>
      <c r="K3075" s="30">
        <v>173.69</v>
      </c>
      <c r="L3075" s="17"/>
      <c r="M3075" s="29">
        <f>K3075*L3075</f>
        <v>0</v>
      </c>
      <c r="N3075" s="34">
        <f>0.14*L3075</f>
        <v>0</v>
      </c>
      <c r="O3075" s="32">
        <f>0.00022*L3075</f>
        <v>0</v>
      </c>
      <c r="P3075" s="36"/>
      <c r="Q3075" s="29" t="s">
        <v>10116</v>
      </c>
      <c r="R3075" s="29"/>
      <c r="S3075" s="26" t="str">
        <f>HYPERLINK("https://miland.ru/api/getInfo/image/7259c6e9-e861-11ef-a274-00155d82e908")</f>
        <v>https://miland.ru/api/getInfo/image/7259c6e9-e861-11ef-a274-00155d82e908</v>
      </c>
    </row>
    <row r="3076" spans="1:19" s="2" customFormat="1" ht="96.2" customHeight="1" outlineLevel="5">
      <c r="A3076" s="52">
        <v>2402</v>
      </c>
      <c r="B3076" s="26" t="s">
        <v>10117</v>
      </c>
      <c r="C3076" s="66" t="s">
        <v>10118</v>
      </c>
      <c r="D3076" s="66"/>
      <c r="E3076" s="66"/>
      <c r="F3076" s="66"/>
      <c r="G3076" s="27" t="s">
        <v>10119</v>
      </c>
      <c r="H3076" s="28" t="s">
        <v>44</v>
      </c>
      <c r="I3076" s="29"/>
      <c r="J3076" s="25">
        <v>4</v>
      </c>
      <c r="K3076" s="30">
        <v>173.69</v>
      </c>
      <c r="L3076" s="17"/>
      <c r="M3076" s="29">
        <f>K3076*L3076</f>
        <v>0</v>
      </c>
      <c r="N3076" s="31">
        <f>6.747*L3076</f>
        <v>0</v>
      </c>
      <c r="O3076" s="32">
        <f>0.01357*L3076</f>
        <v>0</v>
      </c>
      <c r="P3076" s="36"/>
      <c r="Q3076" s="29" t="s">
        <v>10120</v>
      </c>
      <c r="R3076" s="29"/>
      <c r="S3076" s="26" t="str">
        <f>HYPERLINK("https://miland.ru/api/getInfo/image/a78c655d-e861-11ef-a274-00155d82e908")</f>
        <v>https://miland.ru/api/getInfo/image/a78c655d-e861-11ef-a274-00155d82e908</v>
      </c>
    </row>
    <row r="3077" spans="1:19" s="2" customFormat="1" ht="96.2" customHeight="1" outlineLevel="5">
      <c r="A3077" s="52">
        <v>2403</v>
      </c>
      <c r="B3077" s="26" t="s">
        <v>10121</v>
      </c>
      <c r="C3077" s="66" t="s">
        <v>10122</v>
      </c>
      <c r="D3077" s="66"/>
      <c r="E3077" s="66"/>
      <c r="F3077" s="66"/>
      <c r="G3077" s="27" t="s">
        <v>10123</v>
      </c>
      <c r="H3077" s="33">
        <v>410</v>
      </c>
      <c r="I3077" s="29"/>
      <c r="J3077" s="25">
        <v>2</v>
      </c>
      <c r="K3077" s="30">
        <v>350.21</v>
      </c>
      <c r="L3077" s="17"/>
      <c r="M3077" s="29">
        <f>K3077*L3077</f>
        <v>0</v>
      </c>
      <c r="N3077" s="31">
        <f>0.263*L3077</f>
        <v>0</v>
      </c>
      <c r="O3077" s="32">
        <f>0.00026*L3077</f>
        <v>0</v>
      </c>
      <c r="P3077" s="36"/>
      <c r="Q3077" s="29" t="s">
        <v>10124</v>
      </c>
      <c r="R3077" s="29"/>
      <c r="S3077" s="26" t="str">
        <f>HYPERLINK("https://miland.ru/api/getInfo/image/47861fe1-e861-11ef-a274-00155d82e908")</f>
        <v>https://miland.ru/api/getInfo/image/47861fe1-e861-11ef-a274-00155d82e908</v>
      </c>
    </row>
    <row r="3078" spans="1:19" s="1" customFormat="1" ht="12" customHeight="1" outlineLevel="3">
      <c r="A3078" s="64" t="s">
        <v>10125</v>
      </c>
      <c r="B3078" s="64"/>
      <c r="C3078" s="64"/>
      <c r="D3078" s="64"/>
      <c r="E3078" s="64"/>
      <c r="F3078" s="64"/>
      <c r="G3078" s="8"/>
      <c r="H3078" s="12"/>
      <c r="I3078" s="2"/>
      <c r="J3078" s="2"/>
      <c r="K3078" s="13"/>
      <c r="L3078" s="2"/>
      <c r="M3078" s="2"/>
      <c r="N3078" s="2"/>
      <c r="O3078" s="2"/>
      <c r="P3078" s="2"/>
      <c r="Q3078" s="2"/>
      <c r="R3078" s="2"/>
      <c r="S3078" s="2"/>
    </row>
    <row r="3079" spans="1:19" s="2" customFormat="1" ht="96.2" customHeight="1" outlineLevel="4">
      <c r="A3079" s="53">
        <v>2404</v>
      </c>
      <c r="B3079" s="10" t="s">
        <v>10126</v>
      </c>
      <c r="C3079" s="65" t="s">
        <v>10127</v>
      </c>
      <c r="D3079" s="65"/>
      <c r="E3079" s="65"/>
      <c r="F3079" s="65"/>
      <c r="G3079" s="11" t="s">
        <v>10128</v>
      </c>
      <c r="H3079" s="14">
        <v>464</v>
      </c>
      <c r="I3079" s="15"/>
      <c r="J3079" s="9">
        <v>1</v>
      </c>
      <c r="K3079" s="16">
        <v>635.99</v>
      </c>
      <c r="L3079" s="17"/>
      <c r="M3079" s="15">
        <f t="shared" ref="M3079:M3084" si="146">K3079*L3079</f>
        <v>0</v>
      </c>
      <c r="N3079" s="18">
        <f>0.399*L3079</f>
        <v>0</v>
      </c>
      <c r="O3079" s="19">
        <f>0.00312*L3079</f>
        <v>0</v>
      </c>
      <c r="P3079" s="24" t="s">
        <v>26</v>
      </c>
      <c r="Q3079" s="15" t="s">
        <v>10129</v>
      </c>
      <c r="R3079" s="15"/>
      <c r="S3079" s="10" t="str">
        <f>HYPERLINK("https://miland.ru/api/getInfo/image/d80f40ba-6a2c-11f1-a29a-00155d82e908")</f>
        <v>https://miland.ru/api/getInfo/image/d80f40ba-6a2c-11f1-a29a-00155d82e908</v>
      </c>
    </row>
    <row r="3080" spans="1:19" s="2" customFormat="1" ht="96.2" customHeight="1" outlineLevel="4">
      <c r="A3080" s="53">
        <v>2405</v>
      </c>
      <c r="B3080" s="10" t="s">
        <v>10130</v>
      </c>
      <c r="C3080" s="65" t="s">
        <v>10131</v>
      </c>
      <c r="D3080" s="65"/>
      <c r="E3080" s="65"/>
      <c r="F3080" s="65"/>
      <c r="G3080" s="11" t="s">
        <v>10132</v>
      </c>
      <c r="H3080" s="14">
        <v>459</v>
      </c>
      <c r="I3080" s="15"/>
      <c r="J3080" s="9">
        <v>1</v>
      </c>
      <c r="K3080" s="16">
        <v>635.99</v>
      </c>
      <c r="L3080" s="17"/>
      <c r="M3080" s="15">
        <f t="shared" si="146"/>
        <v>0</v>
      </c>
      <c r="N3080" s="18">
        <f>0.396*L3080</f>
        <v>0</v>
      </c>
      <c r="O3080" s="19">
        <f>0.00333*L3080</f>
        <v>0</v>
      </c>
      <c r="P3080" s="24" t="s">
        <v>26</v>
      </c>
      <c r="Q3080" s="15" t="s">
        <v>10133</v>
      </c>
      <c r="R3080" s="15"/>
      <c r="S3080" s="10" t="str">
        <f>HYPERLINK("https://miland.ru/api/getInfo/image/159790ad-6a2d-11f1-a29a-00155d82e908")</f>
        <v>https://miland.ru/api/getInfo/image/159790ad-6a2d-11f1-a29a-00155d82e908</v>
      </c>
    </row>
    <row r="3081" spans="1:19" s="2" customFormat="1" ht="96.2" customHeight="1" outlineLevel="4">
      <c r="A3081" s="52">
        <v>2406</v>
      </c>
      <c r="B3081" s="26" t="s">
        <v>10134</v>
      </c>
      <c r="C3081" s="66" t="s">
        <v>10135</v>
      </c>
      <c r="D3081" s="66"/>
      <c r="E3081" s="66"/>
      <c r="F3081" s="66"/>
      <c r="G3081" s="27" t="s">
        <v>10136</v>
      </c>
      <c r="H3081" s="33">
        <v>429</v>
      </c>
      <c r="I3081" s="29"/>
      <c r="J3081" s="25">
        <v>1</v>
      </c>
      <c r="K3081" s="30">
        <v>635.99</v>
      </c>
      <c r="L3081" s="17"/>
      <c r="M3081" s="29">
        <f t="shared" si="146"/>
        <v>0</v>
      </c>
      <c r="N3081" s="31">
        <f>0.412*L3081</f>
        <v>0</v>
      </c>
      <c r="O3081" s="32">
        <f>0.00376*L3081</f>
        <v>0</v>
      </c>
      <c r="P3081" s="36"/>
      <c r="Q3081" s="29" t="s">
        <v>10137</v>
      </c>
      <c r="R3081" s="29"/>
      <c r="S3081" s="26" t="str">
        <f>HYPERLINK("https://miland.ru/api/getInfo/image/eb38b46a-0310-11f0-a277-00155d82e908")</f>
        <v>https://miland.ru/api/getInfo/image/eb38b46a-0310-11f0-a277-00155d82e908</v>
      </c>
    </row>
    <row r="3082" spans="1:19" s="2" customFormat="1" ht="96.2" customHeight="1" outlineLevel="4">
      <c r="A3082" s="53">
        <v>2407</v>
      </c>
      <c r="B3082" s="10" t="s">
        <v>10138</v>
      </c>
      <c r="C3082" s="65" t="s">
        <v>10139</v>
      </c>
      <c r="D3082" s="65"/>
      <c r="E3082" s="65"/>
      <c r="F3082" s="65"/>
      <c r="G3082" s="11" t="s">
        <v>10140</v>
      </c>
      <c r="H3082" s="14">
        <v>419</v>
      </c>
      <c r="I3082" s="15"/>
      <c r="J3082" s="9">
        <v>1</v>
      </c>
      <c r="K3082" s="16">
        <v>635.99</v>
      </c>
      <c r="L3082" s="17"/>
      <c r="M3082" s="15">
        <f t="shared" si="146"/>
        <v>0</v>
      </c>
      <c r="N3082" s="18">
        <f>0.393*L3082</f>
        <v>0</v>
      </c>
      <c r="O3082" s="20">
        <f>0.0035*L3082</f>
        <v>0</v>
      </c>
      <c r="P3082" s="24" t="s">
        <v>26</v>
      </c>
      <c r="Q3082" s="15" t="s">
        <v>10141</v>
      </c>
      <c r="R3082" s="15"/>
      <c r="S3082" s="10" t="str">
        <f>HYPERLINK("https://miland.ru/api/getInfo/image/3c9be100-6a2d-11f1-a29a-00155d82e908")</f>
        <v>https://miland.ru/api/getInfo/image/3c9be100-6a2d-11f1-a29a-00155d82e908</v>
      </c>
    </row>
    <row r="3083" spans="1:19" s="2" customFormat="1" ht="96.2" customHeight="1" outlineLevel="4">
      <c r="A3083" s="53">
        <v>2408</v>
      </c>
      <c r="B3083" s="10" t="s">
        <v>10142</v>
      </c>
      <c r="C3083" s="65" t="s">
        <v>10143</v>
      </c>
      <c r="D3083" s="65"/>
      <c r="E3083" s="65"/>
      <c r="F3083" s="65"/>
      <c r="G3083" s="11" t="s">
        <v>10144</v>
      </c>
      <c r="H3083" s="14">
        <v>459</v>
      </c>
      <c r="I3083" s="15"/>
      <c r="J3083" s="9">
        <v>1</v>
      </c>
      <c r="K3083" s="16">
        <v>635.99</v>
      </c>
      <c r="L3083" s="17"/>
      <c r="M3083" s="15">
        <f t="shared" si="146"/>
        <v>0</v>
      </c>
      <c r="N3083" s="18">
        <f>0.396*L3083</f>
        <v>0</v>
      </c>
      <c r="O3083" s="19">
        <f>0.00317*L3083</f>
        <v>0</v>
      </c>
      <c r="P3083" s="24" t="s">
        <v>26</v>
      </c>
      <c r="Q3083" s="15" t="s">
        <v>10145</v>
      </c>
      <c r="R3083" s="15"/>
      <c r="S3083" s="10" t="str">
        <f>HYPERLINK("https://miland.ru/api/getInfo/image/5e8a26f8-6a2d-11f1-a29a-00155d82e908")</f>
        <v>https://miland.ru/api/getInfo/image/5e8a26f8-6a2d-11f1-a29a-00155d82e908</v>
      </c>
    </row>
    <row r="3084" spans="1:19" s="2" customFormat="1" ht="96.2" customHeight="1" outlineLevel="4">
      <c r="A3084" s="52">
        <v>2409</v>
      </c>
      <c r="B3084" s="26" t="s">
        <v>10146</v>
      </c>
      <c r="C3084" s="66" t="s">
        <v>10147</v>
      </c>
      <c r="D3084" s="66"/>
      <c r="E3084" s="66"/>
      <c r="F3084" s="66"/>
      <c r="G3084" s="27" t="s">
        <v>10148</v>
      </c>
      <c r="H3084" s="33">
        <v>449</v>
      </c>
      <c r="I3084" s="29"/>
      <c r="J3084" s="25">
        <v>1</v>
      </c>
      <c r="K3084" s="30">
        <v>635.99</v>
      </c>
      <c r="L3084" s="17"/>
      <c r="M3084" s="29">
        <f t="shared" si="146"/>
        <v>0</v>
      </c>
      <c r="N3084" s="31">
        <f>0.408*L3084</f>
        <v>0</v>
      </c>
      <c r="O3084" s="32">
        <f>0.00356*L3084</f>
        <v>0</v>
      </c>
      <c r="P3084" s="36"/>
      <c r="Q3084" s="29" t="s">
        <v>10149</v>
      </c>
      <c r="R3084" s="29"/>
      <c r="S3084" s="26" t="str">
        <f>HYPERLINK("https://miland.ru/api/getInfo/image/821c0652-0311-11f0-a277-00155d82e908")</f>
        <v>https://miland.ru/api/getInfo/image/821c0652-0311-11f0-a277-00155d82e908</v>
      </c>
    </row>
    <row r="3085" spans="1:19" s="1" customFormat="1" ht="12" customHeight="1" outlineLevel="2">
      <c r="A3085" s="63" t="s">
        <v>10150</v>
      </c>
      <c r="B3085" s="63"/>
      <c r="C3085" s="63"/>
      <c r="D3085" s="63"/>
      <c r="E3085" s="63"/>
      <c r="F3085" s="63"/>
      <c r="G3085" s="8"/>
      <c r="H3085" s="12"/>
      <c r="I3085" s="2"/>
      <c r="J3085" s="2"/>
      <c r="K3085" s="13"/>
      <c r="L3085" s="2"/>
      <c r="M3085" s="2"/>
      <c r="N3085" s="2"/>
      <c r="O3085" s="2"/>
      <c r="P3085" s="2"/>
      <c r="Q3085" s="2"/>
      <c r="R3085" s="2"/>
      <c r="S3085" s="2"/>
    </row>
    <row r="3086" spans="1:19" s="1" customFormat="1" ht="12" customHeight="1" outlineLevel="3">
      <c r="A3086" s="64" t="s">
        <v>10151</v>
      </c>
      <c r="B3086" s="64"/>
      <c r="C3086" s="64"/>
      <c r="D3086" s="64"/>
      <c r="E3086" s="64"/>
      <c r="F3086" s="64"/>
      <c r="G3086" s="8"/>
      <c r="H3086" s="12"/>
      <c r="I3086" s="2"/>
      <c r="J3086" s="2"/>
      <c r="K3086" s="13"/>
      <c r="L3086" s="2"/>
      <c r="M3086" s="2"/>
      <c r="N3086" s="2"/>
      <c r="O3086" s="2"/>
      <c r="P3086" s="2"/>
      <c r="Q3086" s="2"/>
      <c r="R3086" s="2"/>
      <c r="S3086" s="2"/>
    </row>
    <row r="3087" spans="1:19" s="1" customFormat="1" ht="12" customHeight="1" outlineLevel="4">
      <c r="A3087" s="64" t="s">
        <v>10152</v>
      </c>
      <c r="B3087" s="64"/>
      <c r="C3087" s="64"/>
      <c r="D3087" s="64"/>
      <c r="E3087" s="64"/>
      <c r="F3087" s="64"/>
      <c r="G3087" s="8"/>
      <c r="H3087" s="12"/>
      <c r="I3087" s="2"/>
      <c r="J3087" s="2"/>
      <c r="K3087" s="13"/>
      <c r="L3087" s="2"/>
      <c r="M3087" s="2"/>
      <c r="N3087" s="2"/>
      <c r="O3087" s="2"/>
      <c r="P3087" s="2"/>
      <c r="Q3087" s="2"/>
      <c r="R3087" s="2"/>
      <c r="S3087" s="2"/>
    </row>
    <row r="3088" spans="1:19" s="2" customFormat="1" ht="96.2" customHeight="1" outlineLevel="5">
      <c r="A3088" s="52">
        <v>2410</v>
      </c>
      <c r="B3088" s="26" t="s">
        <v>10153</v>
      </c>
      <c r="C3088" s="66" t="s">
        <v>10154</v>
      </c>
      <c r="D3088" s="66"/>
      <c r="E3088" s="66"/>
      <c r="F3088" s="66"/>
      <c r="G3088" s="27" t="s">
        <v>10155</v>
      </c>
      <c r="H3088" s="28" t="s">
        <v>44</v>
      </c>
      <c r="I3088" s="29"/>
      <c r="J3088" s="25">
        <v>1</v>
      </c>
      <c r="K3088" s="30">
        <v>746.78</v>
      </c>
      <c r="L3088" s="17"/>
      <c r="M3088" s="29">
        <f t="shared" ref="M3088:M3107" si="147">K3088*L3088</f>
        <v>0</v>
      </c>
      <c r="N3088" s="31">
        <f>0.539*L3088</f>
        <v>0</v>
      </c>
      <c r="O3088" s="32">
        <f>0.00218*L3088</f>
        <v>0</v>
      </c>
      <c r="P3088" s="36"/>
      <c r="Q3088" s="29" t="s">
        <v>10156</v>
      </c>
      <c r="R3088" s="29"/>
      <c r="S3088" s="26" t="str">
        <f>HYPERLINK("https://miland.ru/api/getInfo/image/c0b7746f-2107-11f0-a279-00155d82e908")</f>
        <v>https://miland.ru/api/getInfo/image/c0b7746f-2107-11f0-a279-00155d82e908</v>
      </c>
    </row>
    <row r="3089" spans="1:19" s="2" customFormat="1" ht="96.2" customHeight="1" outlineLevel="5">
      <c r="A3089" s="52">
        <v>2411</v>
      </c>
      <c r="B3089" s="26" t="s">
        <v>10157</v>
      </c>
      <c r="C3089" s="66" t="s">
        <v>10158</v>
      </c>
      <c r="D3089" s="66"/>
      <c r="E3089" s="66"/>
      <c r="F3089" s="66"/>
      <c r="G3089" s="27" t="s">
        <v>10159</v>
      </c>
      <c r="H3089" s="33">
        <v>232</v>
      </c>
      <c r="I3089" s="29"/>
      <c r="J3089" s="25">
        <v>1</v>
      </c>
      <c r="K3089" s="30">
        <v>512.79999999999995</v>
      </c>
      <c r="L3089" s="17"/>
      <c r="M3089" s="29">
        <f t="shared" si="147"/>
        <v>0</v>
      </c>
      <c r="N3089" s="31">
        <f>0.458*L3089</f>
        <v>0</v>
      </c>
      <c r="O3089" s="35">
        <f>0.0018*L3089</f>
        <v>0</v>
      </c>
      <c r="P3089" s="36"/>
      <c r="Q3089" s="29" t="s">
        <v>10160</v>
      </c>
      <c r="R3089" s="29"/>
      <c r="S3089" s="26" t="str">
        <f>HYPERLINK("https://miland.ru/api/getInfo/image/17459337-2109-11f0-a279-00155d82e908")</f>
        <v>https://miland.ru/api/getInfo/image/17459337-2109-11f0-a279-00155d82e908</v>
      </c>
    </row>
    <row r="3090" spans="1:19" s="2" customFormat="1" ht="96.2" customHeight="1" outlineLevel="5">
      <c r="A3090" s="53">
        <v>2412</v>
      </c>
      <c r="B3090" s="10" t="s">
        <v>10161</v>
      </c>
      <c r="C3090" s="65" t="s">
        <v>10162</v>
      </c>
      <c r="D3090" s="65"/>
      <c r="E3090" s="65"/>
      <c r="F3090" s="65"/>
      <c r="G3090" s="11" t="s">
        <v>10163</v>
      </c>
      <c r="H3090" s="14">
        <v>335</v>
      </c>
      <c r="I3090" s="15"/>
      <c r="J3090" s="9">
        <v>1</v>
      </c>
      <c r="K3090" s="16">
        <v>736.73</v>
      </c>
      <c r="L3090" s="17"/>
      <c r="M3090" s="15">
        <f t="shared" si="147"/>
        <v>0</v>
      </c>
      <c r="N3090" s="18">
        <f>0.507*L3090</f>
        <v>0</v>
      </c>
      <c r="O3090" s="19">
        <f>0.00245*L3090</f>
        <v>0</v>
      </c>
      <c r="P3090" s="24" t="s">
        <v>26</v>
      </c>
      <c r="Q3090" s="15" t="s">
        <v>10164</v>
      </c>
      <c r="R3090" s="15"/>
      <c r="S3090" s="10" t="str">
        <f>HYPERLINK("https://miland.ru/api/getInfo/image/02b97440-2da5-11f1-a292-00155d82e908")</f>
        <v>https://miland.ru/api/getInfo/image/02b97440-2da5-11f1-a292-00155d82e908</v>
      </c>
    </row>
    <row r="3091" spans="1:19" s="2" customFormat="1" ht="96.2" customHeight="1" outlineLevel="5">
      <c r="A3091" s="53">
        <v>2413</v>
      </c>
      <c r="B3091" s="10" t="s">
        <v>10165</v>
      </c>
      <c r="C3091" s="65" t="s">
        <v>10166</v>
      </c>
      <c r="D3091" s="65"/>
      <c r="E3091" s="65"/>
      <c r="F3091" s="65"/>
      <c r="G3091" s="11" t="s">
        <v>10167</v>
      </c>
      <c r="H3091" s="14">
        <v>120</v>
      </c>
      <c r="I3091" s="15"/>
      <c r="J3091" s="9">
        <v>1</v>
      </c>
      <c r="K3091" s="16">
        <v>606.76</v>
      </c>
      <c r="L3091" s="17"/>
      <c r="M3091" s="15">
        <f t="shared" si="147"/>
        <v>0</v>
      </c>
      <c r="N3091" s="18">
        <f>0.405*L3091</f>
        <v>0</v>
      </c>
      <c r="O3091" s="19">
        <f>0.00149*L3091</f>
        <v>0</v>
      </c>
      <c r="P3091" s="24" t="s">
        <v>26</v>
      </c>
      <c r="Q3091" s="15" t="s">
        <v>10168</v>
      </c>
      <c r="R3091" s="15" t="s">
        <v>611</v>
      </c>
      <c r="S3091" s="10" t="str">
        <f>HYPERLINK("https://miland.ru/api/getInfo/image/c27c42a5-ae7a-11f0-a286-00155d82e908")</f>
        <v>https://miland.ru/api/getInfo/image/c27c42a5-ae7a-11f0-a286-00155d82e908</v>
      </c>
    </row>
    <row r="3092" spans="1:19" s="2" customFormat="1" ht="96.2" customHeight="1" outlineLevel="5">
      <c r="A3092" s="53">
        <v>2414</v>
      </c>
      <c r="B3092" s="10" t="s">
        <v>10169</v>
      </c>
      <c r="C3092" s="65" t="s">
        <v>10170</v>
      </c>
      <c r="D3092" s="65"/>
      <c r="E3092" s="65"/>
      <c r="F3092" s="65"/>
      <c r="G3092" s="11" t="s">
        <v>10171</v>
      </c>
      <c r="H3092" s="14">
        <v>171</v>
      </c>
      <c r="I3092" s="15"/>
      <c r="J3092" s="9">
        <v>1</v>
      </c>
      <c r="K3092" s="16">
        <v>606.76</v>
      </c>
      <c r="L3092" s="17"/>
      <c r="M3092" s="15">
        <f t="shared" si="147"/>
        <v>0</v>
      </c>
      <c r="N3092" s="18">
        <f>0.342*L3092</f>
        <v>0</v>
      </c>
      <c r="O3092" s="19">
        <f>0.00158*L3092</f>
        <v>0</v>
      </c>
      <c r="P3092" s="24" t="s">
        <v>26</v>
      </c>
      <c r="Q3092" s="15" t="s">
        <v>10172</v>
      </c>
      <c r="R3092" s="15" t="s">
        <v>611</v>
      </c>
      <c r="S3092" s="10" t="str">
        <f>HYPERLINK("https://miland.ru/api/getInfo/image/26d65238-ae7a-11f0-a286-00155d82e908")</f>
        <v>https://miland.ru/api/getInfo/image/26d65238-ae7a-11f0-a286-00155d82e908</v>
      </c>
    </row>
    <row r="3093" spans="1:19" s="2" customFormat="1" ht="96.2" customHeight="1" outlineLevel="5">
      <c r="A3093" s="53">
        <v>2415</v>
      </c>
      <c r="B3093" s="10" t="s">
        <v>10173</v>
      </c>
      <c r="C3093" s="65" t="s">
        <v>10174</v>
      </c>
      <c r="D3093" s="65"/>
      <c r="E3093" s="65"/>
      <c r="F3093" s="65"/>
      <c r="G3093" s="11" t="s">
        <v>10175</v>
      </c>
      <c r="H3093" s="14">
        <v>264</v>
      </c>
      <c r="I3093" s="15"/>
      <c r="J3093" s="9">
        <v>1</v>
      </c>
      <c r="K3093" s="16">
        <v>653.44000000000005</v>
      </c>
      <c r="L3093" s="17"/>
      <c r="M3093" s="15">
        <f t="shared" si="147"/>
        <v>0</v>
      </c>
      <c r="N3093" s="18">
        <f>0.345*L3093</f>
        <v>0</v>
      </c>
      <c r="O3093" s="19">
        <f>0.00164*L3093</f>
        <v>0</v>
      </c>
      <c r="P3093" s="24" t="s">
        <v>26</v>
      </c>
      <c r="Q3093" s="15" t="s">
        <v>10176</v>
      </c>
      <c r="R3093" s="15" t="s">
        <v>611</v>
      </c>
      <c r="S3093" s="10" t="str">
        <f>HYPERLINK("https://miland.ru/api/getInfo/image/5ca8949d-ae7b-11f0-a286-00155d82e908")</f>
        <v>https://miland.ru/api/getInfo/image/5ca8949d-ae7b-11f0-a286-00155d82e908</v>
      </c>
    </row>
    <row r="3094" spans="1:19" s="2" customFormat="1" ht="96.2" customHeight="1" outlineLevel="5">
      <c r="A3094" s="53">
        <v>2416</v>
      </c>
      <c r="B3094" s="10" t="s">
        <v>10177</v>
      </c>
      <c r="C3094" s="65" t="s">
        <v>10178</v>
      </c>
      <c r="D3094" s="65"/>
      <c r="E3094" s="65"/>
      <c r="F3094" s="65"/>
      <c r="G3094" s="11" t="s">
        <v>10179</v>
      </c>
      <c r="H3094" s="14">
        <v>250</v>
      </c>
      <c r="I3094" s="15"/>
      <c r="J3094" s="9">
        <v>1</v>
      </c>
      <c r="K3094" s="16">
        <v>606.76</v>
      </c>
      <c r="L3094" s="17"/>
      <c r="M3094" s="15">
        <f t="shared" si="147"/>
        <v>0</v>
      </c>
      <c r="N3094" s="18">
        <f>0.322*L3094</f>
        <v>0</v>
      </c>
      <c r="O3094" s="19">
        <f>0.00158*L3094</f>
        <v>0</v>
      </c>
      <c r="P3094" s="24" t="s">
        <v>26</v>
      </c>
      <c r="Q3094" s="15" t="s">
        <v>10180</v>
      </c>
      <c r="R3094" s="15" t="s">
        <v>611</v>
      </c>
      <c r="S3094" s="10" t="str">
        <f>HYPERLINK("https://miland.ru/api/getInfo/image/eb75e765-ae7a-11f0-a286-00155d82e908")</f>
        <v>https://miland.ru/api/getInfo/image/eb75e765-ae7a-11f0-a286-00155d82e908</v>
      </c>
    </row>
    <row r="3095" spans="1:19" s="2" customFormat="1" ht="96.2" customHeight="1" outlineLevel="5">
      <c r="A3095" s="53">
        <v>2417</v>
      </c>
      <c r="B3095" s="10" t="s">
        <v>10181</v>
      </c>
      <c r="C3095" s="65" t="s">
        <v>10182</v>
      </c>
      <c r="D3095" s="65"/>
      <c r="E3095" s="65"/>
      <c r="F3095" s="65"/>
      <c r="G3095" s="11" t="s">
        <v>10183</v>
      </c>
      <c r="H3095" s="14">
        <v>232</v>
      </c>
      <c r="I3095" s="15"/>
      <c r="J3095" s="9">
        <v>1</v>
      </c>
      <c r="K3095" s="16">
        <v>653.44000000000005</v>
      </c>
      <c r="L3095" s="17"/>
      <c r="M3095" s="15">
        <f t="shared" si="147"/>
        <v>0</v>
      </c>
      <c r="N3095" s="18">
        <f>0.351*L3095</f>
        <v>0</v>
      </c>
      <c r="O3095" s="19">
        <f>0.00152*L3095</f>
        <v>0</v>
      </c>
      <c r="P3095" s="24" t="s">
        <v>26</v>
      </c>
      <c r="Q3095" s="15" t="s">
        <v>10184</v>
      </c>
      <c r="R3095" s="15" t="s">
        <v>611</v>
      </c>
      <c r="S3095" s="10" t="str">
        <f>HYPERLINK("https://miland.ru/api/getInfo/image/7a2b63c2-ae7b-11f0-a286-00155d82e908")</f>
        <v>https://miland.ru/api/getInfo/image/7a2b63c2-ae7b-11f0-a286-00155d82e908</v>
      </c>
    </row>
    <row r="3096" spans="1:19" s="2" customFormat="1" ht="96.2" customHeight="1" outlineLevel="5">
      <c r="A3096" s="53">
        <v>2418</v>
      </c>
      <c r="B3096" s="10" t="s">
        <v>10185</v>
      </c>
      <c r="C3096" s="65" t="s">
        <v>10186</v>
      </c>
      <c r="D3096" s="65"/>
      <c r="E3096" s="65"/>
      <c r="F3096" s="65"/>
      <c r="G3096" s="11" t="s">
        <v>10187</v>
      </c>
      <c r="H3096" s="21" t="s">
        <v>44</v>
      </c>
      <c r="I3096" s="15"/>
      <c r="J3096" s="9">
        <v>1</v>
      </c>
      <c r="K3096" s="16">
        <v>984.48</v>
      </c>
      <c r="L3096" s="17"/>
      <c r="M3096" s="15">
        <f t="shared" si="147"/>
        <v>0</v>
      </c>
      <c r="N3096" s="18">
        <f>0.423*L3096</f>
        <v>0</v>
      </c>
      <c r="O3096" s="19">
        <f>0.00122*L3096</f>
        <v>0</v>
      </c>
      <c r="P3096" s="24" t="s">
        <v>26</v>
      </c>
      <c r="Q3096" s="15" t="s">
        <v>10188</v>
      </c>
      <c r="R3096" s="15"/>
      <c r="S3096" s="10" t="str">
        <f>HYPERLINK("https://miland.ru/api/getInfo/image/d36d8b09-280c-11f1-a291-00155d82e908")</f>
        <v>https://miland.ru/api/getInfo/image/d36d8b09-280c-11f1-a291-00155d82e908</v>
      </c>
    </row>
    <row r="3097" spans="1:19" s="2" customFormat="1" ht="96.2" customHeight="1" outlineLevel="5">
      <c r="A3097" s="52">
        <v>2419</v>
      </c>
      <c r="B3097" s="26" t="s">
        <v>10189</v>
      </c>
      <c r="C3097" s="66" t="s">
        <v>10190</v>
      </c>
      <c r="D3097" s="66"/>
      <c r="E3097" s="66"/>
      <c r="F3097" s="66"/>
      <c r="G3097" s="27" t="s">
        <v>10191</v>
      </c>
      <c r="H3097" s="33">
        <v>6</v>
      </c>
      <c r="I3097" s="29"/>
      <c r="J3097" s="25">
        <v>1</v>
      </c>
      <c r="K3097" s="30">
        <v>483.38</v>
      </c>
      <c r="L3097" s="17"/>
      <c r="M3097" s="29">
        <f t="shared" si="147"/>
        <v>0</v>
      </c>
      <c r="N3097" s="34">
        <f>0.52*L3097</f>
        <v>0</v>
      </c>
      <c r="O3097" s="32">
        <f>0.00151*L3097</f>
        <v>0</v>
      </c>
      <c r="P3097" s="36"/>
      <c r="Q3097" s="29" t="s">
        <v>10192</v>
      </c>
      <c r="R3097" s="29"/>
      <c r="S3097" s="26" t="str">
        <f>HYPERLINK("https://miland.ru/api/getInfo/image/8458aa80-f2f3-11ed-a237-00155d82e902")</f>
        <v>https://miland.ru/api/getInfo/image/8458aa80-f2f3-11ed-a237-00155d82e902</v>
      </c>
    </row>
    <row r="3098" spans="1:19" s="2" customFormat="1" ht="96.2" customHeight="1" outlineLevel="5">
      <c r="A3098" s="52">
        <v>2420</v>
      </c>
      <c r="B3098" s="26" t="s">
        <v>10193</v>
      </c>
      <c r="C3098" s="66" t="s">
        <v>10194</v>
      </c>
      <c r="D3098" s="66"/>
      <c r="E3098" s="66"/>
      <c r="F3098" s="66"/>
      <c r="G3098" s="27" t="s">
        <v>10195</v>
      </c>
      <c r="H3098" s="33">
        <v>1</v>
      </c>
      <c r="I3098" s="29"/>
      <c r="J3098" s="25">
        <v>1</v>
      </c>
      <c r="K3098" s="30">
        <v>582.72</v>
      </c>
      <c r="L3098" s="17"/>
      <c r="M3098" s="29">
        <f t="shared" si="147"/>
        <v>0</v>
      </c>
      <c r="N3098" s="31">
        <f>0.482*L3098</f>
        <v>0</v>
      </c>
      <c r="O3098" s="32">
        <f>0.00176*L3098</f>
        <v>0</v>
      </c>
      <c r="P3098" s="36"/>
      <c r="Q3098" s="29" t="s">
        <v>10196</v>
      </c>
      <c r="R3098" s="29" t="s">
        <v>611</v>
      </c>
      <c r="S3098" s="26" t="str">
        <f>HYPERLINK("https://miland.ru/api/getInfo/image/0d933eda-20ca-11f0-a279-00155d82e908")</f>
        <v>https://miland.ru/api/getInfo/image/0d933eda-20ca-11f0-a279-00155d82e908</v>
      </c>
    </row>
    <row r="3099" spans="1:19" s="2" customFormat="1" ht="96.2" customHeight="1" outlineLevel="5">
      <c r="A3099" s="52">
        <v>2421</v>
      </c>
      <c r="B3099" s="26" t="s">
        <v>10197</v>
      </c>
      <c r="C3099" s="66" t="s">
        <v>10198</v>
      </c>
      <c r="D3099" s="66"/>
      <c r="E3099" s="66"/>
      <c r="F3099" s="66"/>
      <c r="G3099" s="27" t="s">
        <v>10199</v>
      </c>
      <c r="H3099" s="33">
        <v>3</v>
      </c>
      <c r="I3099" s="29"/>
      <c r="J3099" s="25">
        <v>1</v>
      </c>
      <c r="K3099" s="30">
        <v>582.72</v>
      </c>
      <c r="L3099" s="17"/>
      <c r="M3099" s="29">
        <f t="shared" si="147"/>
        <v>0</v>
      </c>
      <c r="N3099" s="31">
        <f>0.474*L3099</f>
        <v>0</v>
      </c>
      <c r="O3099" s="32">
        <f>0.00165*L3099</f>
        <v>0</v>
      </c>
      <c r="P3099" s="36"/>
      <c r="Q3099" s="29" t="s">
        <v>10200</v>
      </c>
      <c r="R3099" s="29" t="s">
        <v>611</v>
      </c>
      <c r="S3099" s="26" t="str">
        <f>HYPERLINK("https://miland.ru/api/getInfo/image/6a1d1efc-20ca-11f0-a279-00155d82e908")</f>
        <v>https://miland.ru/api/getInfo/image/6a1d1efc-20ca-11f0-a279-00155d82e908</v>
      </c>
    </row>
    <row r="3100" spans="1:19" s="2" customFormat="1" ht="96.2" customHeight="1" outlineLevel="5">
      <c r="A3100" s="53">
        <v>2422</v>
      </c>
      <c r="B3100" s="10" t="s">
        <v>10201</v>
      </c>
      <c r="C3100" s="65" t="s">
        <v>10202</v>
      </c>
      <c r="D3100" s="65"/>
      <c r="E3100" s="65"/>
      <c r="F3100" s="65"/>
      <c r="G3100" s="11" t="s">
        <v>10203</v>
      </c>
      <c r="H3100" s="14">
        <v>2</v>
      </c>
      <c r="I3100" s="15"/>
      <c r="J3100" s="9">
        <v>1</v>
      </c>
      <c r="K3100" s="22">
        <v>1337.63</v>
      </c>
      <c r="L3100" s="17"/>
      <c r="M3100" s="15">
        <f t="shared" si="147"/>
        <v>0</v>
      </c>
      <c r="N3100" s="18">
        <f>1.227*L3100</f>
        <v>0</v>
      </c>
      <c r="O3100" s="19">
        <f>0.00651*L3100</f>
        <v>0</v>
      </c>
      <c r="P3100" s="24" t="s">
        <v>26</v>
      </c>
      <c r="Q3100" s="15" t="s">
        <v>10204</v>
      </c>
      <c r="R3100" s="15"/>
      <c r="S3100" s="10" t="str">
        <f>HYPERLINK("https://miland.ru/api/getInfo/image/113d5802-ae7c-11f0-a286-00155d82e908")</f>
        <v>https://miland.ru/api/getInfo/image/113d5802-ae7c-11f0-a286-00155d82e908</v>
      </c>
    </row>
    <row r="3101" spans="1:19" s="2" customFormat="1" ht="96.2" customHeight="1" outlineLevel="5">
      <c r="A3101" s="53">
        <v>2423</v>
      </c>
      <c r="B3101" s="10" t="s">
        <v>10205</v>
      </c>
      <c r="C3101" s="65" t="s">
        <v>10206</v>
      </c>
      <c r="D3101" s="65"/>
      <c r="E3101" s="65"/>
      <c r="F3101" s="65"/>
      <c r="G3101" s="11" t="s">
        <v>10207</v>
      </c>
      <c r="H3101" s="14">
        <v>179</v>
      </c>
      <c r="I3101" s="15"/>
      <c r="J3101" s="9">
        <v>1</v>
      </c>
      <c r="K3101" s="22">
        <v>1342.29</v>
      </c>
      <c r="L3101" s="17"/>
      <c r="M3101" s="15">
        <f t="shared" si="147"/>
        <v>0</v>
      </c>
      <c r="N3101" s="18">
        <f>0.727*L3101</f>
        <v>0</v>
      </c>
      <c r="O3101" s="19">
        <f>0.00335*L3101</f>
        <v>0</v>
      </c>
      <c r="P3101" s="24" t="s">
        <v>26</v>
      </c>
      <c r="Q3101" s="15" t="s">
        <v>10208</v>
      </c>
      <c r="R3101" s="15"/>
      <c r="S3101" s="10" t="str">
        <f>HYPERLINK("https://miland.ru/api/getInfo/image/d56b49c2-2e6e-11f1-a292-00155d82e908")</f>
        <v>https://miland.ru/api/getInfo/image/d56b49c2-2e6e-11f1-a292-00155d82e908</v>
      </c>
    </row>
    <row r="3102" spans="1:19" s="2" customFormat="1" ht="96.2" customHeight="1" outlineLevel="5">
      <c r="A3102" s="52">
        <v>2424</v>
      </c>
      <c r="B3102" s="26" t="s">
        <v>10209</v>
      </c>
      <c r="C3102" s="66" t="s">
        <v>10210</v>
      </c>
      <c r="D3102" s="66"/>
      <c r="E3102" s="66"/>
      <c r="F3102" s="66"/>
      <c r="G3102" s="27" t="s">
        <v>10211</v>
      </c>
      <c r="H3102" s="33">
        <v>4</v>
      </c>
      <c r="I3102" s="29"/>
      <c r="J3102" s="25">
        <v>1</v>
      </c>
      <c r="K3102" s="30">
        <v>669.68</v>
      </c>
      <c r="L3102" s="17"/>
      <c r="M3102" s="29">
        <f t="shared" si="147"/>
        <v>0</v>
      </c>
      <c r="N3102" s="31">
        <f>0.549*L3102</f>
        <v>0</v>
      </c>
      <c r="O3102" s="35">
        <f>0.0017*L3102</f>
        <v>0</v>
      </c>
      <c r="P3102" s="36"/>
      <c r="Q3102" s="29" t="s">
        <v>10212</v>
      </c>
      <c r="R3102" s="29" t="s">
        <v>611</v>
      </c>
      <c r="S3102" s="26" t="str">
        <f>HYPERLINK("https://miland.ru/api/getInfo/image/35d52aab-f274-11ee-a25b-00155d82e908")</f>
        <v>https://miland.ru/api/getInfo/image/35d52aab-f274-11ee-a25b-00155d82e908</v>
      </c>
    </row>
    <row r="3103" spans="1:19" s="2" customFormat="1" ht="96.2" customHeight="1" outlineLevel="5">
      <c r="A3103" s="52">
        <v>2425</v>
      </c>
      <c r="B3103" s="26" t="s">
        <v>10213</v>
      </c>
      <c r="C3103" s="66" t="s">
        <v>10214</v>
      </c>
      <c r="D3103" s="66"/>
      <c r="E3103" s="66"/>
      <c r="F3103" s="66"/>
      <c r="G3103" s="27" t="s">
        <v>10215</v>
      </c>
      <c r="H3103" s="33">
        <v>2</v>
      </c>
      <c r="I3103" s="29"/>
      <c r="J3103" s="25">
        <v>1</v>
      </c>
      <c r="K3103" s="30">
        <v>553.87</v>
      </c>
      <c r="L3103" s="17"/>
      <c r="M3103" s="29">
        <f t="shared" si="147"/>
        <v>0</v>
      </c>
      <c r="N3103" s="31">
        <f>0.454*L3103</f>
        <v>0</v>
      </c>
      <c r="O3103" s="32">
        <f>0.00125*L3103</f>
        <v>0</v>
      </c>
      <c r="P3103" s="36"/>
      <c r="Q3103" s="29" t="s">
        <v>10216</v>
      </c>
      <c r="R3103" s="29" t="s">
        <v>611</v>
      </c>
      <c r="S3103" s="26" t="str">
        <f>HYPERLINK("https://miland.ru/api/getInfo/image/09e95320-f274-11ee-a25b-00155d82e908")</f>
        <v>https://miland.ru/api/getInfo/image/09e95320-f274-11ee-a25b-00155d82e908</v>
      </c>
    </row>
    <row r="3104" spans="1:19" s="2" customFormat="1" ht="96.2" customHeight="1" outlineLevel="5">
      <c r="A3104" s="52">
        <v>2426</v>
      </c>
      <c r="B3104" s="26" t="s">
        <v>10217</v>
      </c>
      <c r="C3104" s="66" t="s">
        <v>10218</v>
      </c>
      <c r="D3104" s="66"/>
      <c r="E3104" s="66"/>
      <c r="F3104" s="66"/>
      <c r="G3104" s="27" t="s">
        <v>10219</v>
      </c>
      <c r="H3104" s="33">
        <v>31</v>
      </c>
      <c r="I3104" s="29"/>
      <c r="J3104" s="25">
        <v>1</v>
      </c>
      <c r="K3104" s="30">
        <v>631.29</v>
      </c>
      <c r="L3104" s="17"/>
      <c r="M3104" s="29">
        <f t="shared" si="147"/>
        <v>0</v>
      </c>
      <c r="N3104" s="31">
        <f>0.591*L3104</f>
        <v>0</v>
      </c>
      <c r="O3104" s="32">
        <f>0.00258*L3104</f>
        <v>0</v>
      </c>
      <c r="P3104" s="36"/>
      <c r="Q3104" s="29" t="s">
        <v>10220</v>
      </c>
      <c r="R3104" s="29"/>
      <c r="S3104" s="26" t="str">
        <f>HYPERLINK("https://miland.ru/api/getInfo/image/c72ea632-20ca-11f0-a279-00155d82e908")</f>
        <v>https://miland.ru/api/getInfo/image/c72ea632-20ca-11f0-a279-00155d82e908</v>
      </c>
    </row>
    <row r="3105" spans="1:19" s="2" customFormat="1" ht="96.2" customHeight="1" outlineLevel="5">
      <c r="A3105" s="52">
        <v>2427</v>
      </c>
      <c r="B3105" s="26" t="s">
        <v>10221</v>
      </c>
      <c r="C3105" s="66" t="s">
        <v>10222</v>
      </c>
      <c r="D3105" s="66"/>
      <c r="E3105" s="66"/>
      <c r="F3105" s="66"/>
      <c r="G3105" s="27" t="s">
        <v>10223</v>
      </c>
      <c r="H3105" s="33">
        <v>30</v>
      </c>
      <c r="I3105" s="29"/>
      <c r="J3105" s="25">
        <v>1</v>
      </c>
      <c r="K3105" s="30">
        <v>631.29</v>
      </c>
      <c r="L3105" s="17"/>
      <c r="M3105" s="29">
        <f t="shared" si="147"/>
        <v>0</v>
      </c>
      <c r="N3105" s="34">
        <f>0.66*L3105</f>
        <v>0</v>
      </c>
      <c r="O3105" s="35">
        <f>0.0025*L3105</f>
        <v>0</v>
      </c>
      <c r="P3105" s="36"/>
      <c r="Q3105" s="29" t="s">
        <v>10224</v>
      </c>
      <c r="R3105" s="29"/>
      <c r="S3105" s="26" t="str">
        <f>HYPERLINK("https://miland.ru/api/getInfo/image/35fc9d1a-20cb-11f0-a279-00155d82e908")</f>
        <v>https://miland.ru/api/getInfo/image/35fc9d1a-20cb-11f0-a279-00155d82e908</v>
      </c>
    </row>
    <row r="3106" spans="1:19" s="2" customFormat="1" ht="96.2" customHeight="1" outlineLevel="5">
      <c r="A3106" s="52">
        <v>2428</v>
      </c>
      <c r="B3106" s="26" t="s">
        <v>10225</v>
      </c>
      <c r="C3106" s="66" t="s">
        <v>10226</v>
      </c>
      <c r="D3106" s="66"/>
      <c r="E3106" s="66"/>
      <c r="F3106" s="66"/>
      <c r="G3106" s="27" t="s">
        <v>10227</v>
      </c>
      <c r="H3106" s="33">
        <v>28</v>
      </c>
      <c r="I3106" s="29"/>
      <c r="J3106" s="25">
        <v>1</v>
      </c>
      <c r="K3106" s="30">
        <v>631.29</v>
      </c>
      <c r="L3106" s="17"/>
      <c r="M3106" s="29">
        <f t="shared" si="147"/>
        <v>0</v>
      </c>
      <c r="N3106" s="34">
        <f>0.59*L3106</f>
        <v>0</v>
      </c>
      <c r="O3106" s="32">
        <f>0.00281*L3106</f>
        <v>0</v>
      </c>
      <c r="P3106" s="36"/>
      <c r="Q3106" s="29" t="s">
        <v>10228</v>
      </c>
      <c r="R3106" s="29"/>
      <c r="S3106" s="26" t="str">
        <f>HYPERLINK("https://miland.ru/api/getInfo/image/8060c34a-20cb-11f0-a279-00155d82e908")</f>
        <v>https://miland.ru/api/getInfo/image/8060c34a-20cb-11f0-a279-00155d82e908</v>
      </c>
    </row>
    <row r="3107" spans="1:19" s="2" customFormat="1" ht="96.2" customHeight="1" outlineLevel="5">
      <c r="A3107" s="52">
        <v>2429</v>
      </c>
      <c r="B3107" s="26" t="s">
        <v>10229</v>
      </c>
      <c r="C3107" s="66" t="s">
        <v>10230</v>
      </c>
      <c r="D3107" s="66"/>
      <c r="E3107" s="66"/>
      <c r="F3107" s="66"/>
      <c r="G3107" s="27" t="s">
        <v>10231</v>
      </c>
      <c r="H3107" s="33">
        <v>31</v>
      </c>
      <c r="I3107" s="29"/>
      <c r="J3107" s="25">
        <v>1</v>
      </c>
      <c r="K3107" s="30">
        <v>631.29</v>
      </c>
      <c r="L3107" s="17"/>
      <c r="M3107" s="29">
        <f t="shared" si="147"/>
        <v>0</v>
      </c>
      <c r="N3107" s="31">
        <f>0.568*L3107</f>
        <v>0</v>
      </c>
      <c r="O3107" s="32">
        <f>0.00278*L3107</f>
        <v>0</v>
      </c>
      <c r="P3107" s="36"/>
      <c r="Q3107" s="29" t="s">
        <v>10232</v>
      </c>
      <c r="R3107" s="29"/>
      <c r="S3107" s="26" t="str">
        <f>HYPERLINK("https://miland.ru/api/getInfo/image/cee689e4-20cb-11f0-a279-00155d82e908")</f>
        <v>https://miland.ru/api/getInfo/image/cee689e4-20cb-11f0-a279-00155d82e908</v>
      </c>
    </row>
    <row r="3108" spans="1:19" s="1" customFormat="1" ht="12" customHeight="1" outlineLevel="3">
      <c r="A3108" s="64" t="s">
        <v>10233</v>
      </c>
      <c r="B3108" s="64"/>
      <c r="C3108" s="64"/>
      <c r="D3108" s="64"/>
      <c r="E3108" s="64"/>
      <c r="F3108" s="64"/>
      <c r="G3108" s="8"/>
      <c r="H3108" s="12"/>
      <c r="I3108" s="2"/>
      <c r="J3108" s="2"/>
      <c r="K3108" s="13"/>
      <c r="L3108" s="2"/>
      <c r="M3108" s="2"/>
      <c r="N3108" s="2"/>
      <c r="O3108" s="2"/>
      <c r="P3108" s="2"/>
      <c r="Q3108" s="2"/>
      <c r="R3108" s="2"/>
      <c r="S3108" s="2"/>
    </row>
    <row r="3109" spans="1:19" s="1" customFormat="1" ht="12" customHeight="1" outlineLevel="4">
      <c r="A3109" s="64" t="s">
        <v>618</v>
      </c>
      <c r="B3109" s="64"/>
      <c r="C3109" s="64"/>
      <c r="D3109" s="64"/>
      <c r="E3109" s="64"/>
      <c r="F3109" s="64"/>
      <c r="G3109" s="8"/>
      <c r="H3109" s="12"/>
      <c r="I3109" s="2"/>
      <c r="J3109" s="2"/>
      <c r="K3109" s="13"/>
      <c r="L3109" s="2"/>
      <c r="M3109" s="2"/>
      <c r="N3109" s="2"/>
      <c r="O3109" s="2"/>
      <c r="P3109" s="2"/>
      <c r="Q3109" s="2"/>
      <c r="R3109" s="2"/>
      <c r="S3109" s="2"/>
    </row>
    <row r="3110" spans="1:19" s="1" customFormat="1" ht="12" customHeight="1" outlineLevel="5">
      <c r="A3110" s="64" t="s">
        <v>10234</v>
      </c>
      <c r="B3110" s="64"/>
      <c r="C3110" s="64"/>
      <c r="D3110" s="64"/>
      <c r="E3110" s="64"/>
      <c r="F3110" s="64"/>
      <c r="G3110" s="8"/>
      <c r="H3110" s="12"/>
      <c r="I3110" s="2"/>
      <c r="J3110" s="2"/>
      <c r="K3110" s="13"/>
      <c r="L3110" s="2"/>
      <c r="M3110" s="2"/>
      <c r="N3110" s="2"/>
      <c r="O3110" s="2"/>
      <c r="P3110" s="2"/>
      <c r="Q3110" s="2"/>
      <c r="R3110" s="2"/>
      <c r="S3110" s="2"/>
    </row>
    <row r="3111" spans="1:19" s="1" customFormat="1" ht="12" customHeight="1" outlineLevel="6">
      <c r="A3111" s="64" t="s">
        <v>10235</v>
      </c>
      <c r="B3111" s="64"/>
      <c r="C3111" s="64"/>
      <c r="D3111" s="64"/>
      <c r="E3111" s="64"/>
      <c r="F3111" s="64"/>
      <c r="G3111" s="8"/>
      <c r="H3111" s="12"/>
      <c r="I3111" s="2"/>
      <c r="J3111" s="2"/>
      <c r="K3111" s="13"/>
      <c r="L3111" s="2"/>
      <c r="M3111" s="2"/>
      <c r="N3111" s="2"/>
      <c r="O3111" s="2"/>
      <c r="P3111" s="2"/>
      <c r="Q3111" s="2"/>
      <c r="R3111" s="2"/>
      <c r="S3111" s="2"/>
    </row>
    <row r="3112" spans="1:19" s="2" customFormat="1" ht="96.2" customHeight="1" outlineLevel="7">
      <c r="A3112" s="53">
        <v>2430</v>
      </c>
      <c r="B3112" s="10" t="s">
        <v>10236</v>
      </c>
      <c r="C3112" s="65" t="s">
        <v>10237</v>
      </c>
      <c r="D3112" s="65"/>
      <c r="E3112" s="65"/>
      <c r="F3112" s="65"/>
      <c r="G3112" s="11" t="s">
        <v>10238</v>
      </c>
      <c r="H3112" s="14">
        <v>7</v>
      </c>
      <c r="I3112" s="15"/>
      <c r="J3112" s="9">
        <v>3</v>
      </c>
      <c r="K3112" s="16">
        <v>229.76</v>
      </c>
      <c r="L3112" s="17"/>
      <c r="M3112" s="15">
        <f>K3112*L3112</f>
        <v>0</v>
      </c>
      <c r="N3112" s="18">
        <f>0.107*L3112</f>
        <v>0</v>
      </c>
      <c r="O3112" s="19">
        <f>0.00123*L3112</f>
        <v>0</v>
      </c>
      <c r="P3112" s="24" t="s">
        <v>26</v>
      </c>
      <c r="Q3112" s="15" t="s">
        <v>10239</v>
      </c>
      <c r="R3112" s="15"/>
      <c r="S3112" s="10" t="str">
        <f>HYPERLINK("https://miland.ru/api/getInfo/image/a4ba9c03-ab5e-11f0-a286-00155d82e908")</f>
        <v>https://miland.ru/api/getInfo/image/a4ba9c03-ab5e-11f0-a286-00155d82e908</v>
      </c>
    </row>
    <row r="3113" spans="1:19" s="1" customFormat="1" ht="12" customHeight="1" outlineLevel="5">
      <c r="A3113" s="64" t="s">
        <v>10240</v>
      </c>
      <c r="B3113" s="64"/>
      <c r="C3113" s="64"/>
      <c r="D3113" s="64"/>
      <c r="E3113" s="64"/>
      <c r="F3113" s="64"/>
      <c r="G3113" s="8"/>
      <c r="H3113" s="12"/>
      <c r="I3113" s="2"/>
      <c r="J3113" s="2"/>
      <c r="K3113" s="13"/>
      <c r="L3113" s="2"/>
      <c r="M3113" s="2"/>
      <c r="N3113" s="2"/>
      <c r="O3113" s="2"/>
      <c r="P3113" s="2"/>
      <c r="Q3113" s="2"/>
      <c r="R3113" s="2"/>
      <c r="S3113" s="2"/>
    </row>
    <row r="3114" spans="1:19" s="1" customFormat="1" ht="12" customHeight="1" outlineLevel="6">
      <c r="A3114" s="64" t="s">
        <v>10241</v>
      </c>
      <c r="B3114" s="64"/>
      <c r="C3114" s="64"/>
      <c r="D3114" s="64"/>
      <c r="E3114" s="64"/>
      <c r="F3114" s="64"/>
      <c r="G3114" s="8"/>
      <c r="H3114" s="12"/>
      <c r="I3114" s="2"/>
      <c r="J3114" s="2"/>
      <c r="K3114" s="13"/>
      <c r="L3114" s="2"/>
      <c r="M3114" s="2"/>
      <c r="N3114" s="2"/>
      <c r="O3114" s="2"/>
      <c r="P3114" s="2"/>
      <c r="Q3114" s="2"/>
      <c r="R3114" s="2"/>
      <c r="S3114" s="2"/>
    </row>
    <row r="3115" spans="1:19" s="2" customFormat="1" ht="96.2" customHeight="1" outlineLevel="7">
      <c r="A3115" s="52">
        <v>2431</v>
      </c>
      <c r="B3115" s="26" t="s">
        <v>10242</v>
      </c>
      <c r="C3115" s="66" t="s">
        <v>10243</v>
      </c>
      <c r="D3115" s="66"/>
      <c r="E3115" s="66"/>
      <c r="F3115" s="66"/>
      <c r="G3115" s="27" t="s">
        <v>10244</v>
      </c>
      <c r="H3115" s="33">
        <v>5</v>
      </c>
      <c r="I3115" s="29"/>
      <c r="J3115" s="25">
        <v>1</v>
      </c>
      <c r="K3115" s="30">
        <v>872.48</v>
      </c>
      <c r="L3115" s="17"/>
      <c r="M3115" s="29">
        <f t="shared" ref="M3115:M3122" si="148">K3115*L3115</f>
        <v>0</v>
      </c>
      <c r="N3115" s="31">
        <f>0.214*L3115</f>
        <v>0</v>
      </c>
      <c r="O3115" s="32">
        <f>0.00192*L3115</f>
        <v>0</v>
      </c>
      <c r="P3115" s="36"/>
      <c r="Q3115" s="29" t="s">
        <v>10245</v>
      </c>
      <c r="R3115" s="29" t="s">
        <v>611</v>
      </c>
      <c r="S3115" s="26" t="str">
        <f>HYPERLINK("https://miland.ru/api/getInfo/image/7c4b244e-0864-11ef-a25d-00155d82e908")</f>
        <v>https://miland.ru/api/getInfo/image/7c4b244e-0864-11ef-a25d-00155d82e908</v>
      </c>
    </row>
    <row r="3116" spans="1:19" s="2" customFormat="1" ht="96.2" customHeight="1" outlineLevel="7">
      <c r="A3116" s="52">
        <v>2432</v>
      </c>
      <c r="B3116" s="26" t="s">
        <v>10246</v>
      </c>
      <c r="C3116" s="66" t="s">
        <v>10247</v>
      </c>
      <c r="D3116" s="66"/>
      <c r="E3116" s="66"/>
      <c r="F3116" s="66"/>
      <c r="G3116" s="27" t="s">
        <v>10248</v>
      </c>
      <c r="H3116" s="33">
        <v>1</v>
      </c>
      <c r="I3116" s="29"/>
      <c r="J3116" s="25">
        <v>1</v>
      </c>
      <c r="K3116" s="30">
        <v>588.79</v>
      </c>
      <c r="L3116" s="17"/>
      <c r="M3116" s="29">
        <f t="shared" si="148"/>
        <v>0</v>
      </c>
      <c r="N3116" s="31">
        <f>0.159*L3116</f>
        <v>0</v>
      </c>
      <c r="O3116" s="32">
        <f>0.00153*L3116</f>
        <v>0</v>
      </c>
      <c r="P3116" s="36"/>
      <c r="Q3116" s="29" t="s">
        <v>10249</v>
      </c>
      <c r="R3116" s="29" t="s">
        <v>611</v>
      </c>
      <c r="S3116" s="26" t="str">
        <f>HYPERLINK("https://miland.ru/api/getInfo/image/797e5aca-fafe-11ed-a239-00155d82e902")</f>
        <v>https://miland.ru/api/getInfo/image/797e5aca-fafe-11ed-a239-00155d82e902</v>
      </c>
    </row>
    <row r="3117" spans="1:19" s="2" customFormat="1" ht="96.2" customHeight="1" outlineLevel="7">
      <c r="A3117" s="52">
        <v>2433</v>
      </c>
      <c r="B3117" s="26" t="s">
        <v>10250</v>
      </c>
      <c r="C3117" s="66" t="s">
        <v>10251</v>
      </c>
      <c r="D3117" s="66"/>
      <c r="E3117" s="66"/>
      <c r="F3117" s="66"/>
      <c r="G3117" s="27" t="s">
        <v>10252</v>
      </c>
      <c r="H3117" s="33">
        <v>3</v>
      </c>
      <c r="I3117" s="29"/>
      <c r="J3117" s="25">
        <v>1</v>
      </c>
      <c r="K3117" s="30">
        <v>588.79</v>
      </c>
      <c r="L3117" s="17"/>
      <c r="M3117" s="29">
        <f t="shared" si="148"/>
        <v>0</v>
      </c>
      <c r="N3117" s="31">
        <f>0.159*L3117</f>
        <v>0</v>
      </c>
      <c r="O3117" s="32">
        <f>0.00157*L3117</f>
        <v>0</v>
      </c>
      <c r="P3117" s="36"/>
      <c r="Q3117" s="29" t="s">
        <v>10253</v>
      </c>
      <c r="R3117" s="29" t="s">
        <v>611</v>
      </c>
      <c r="S3117" s="26" t="str">
        <f>HYPERLINK("https://miland.ru/api/getInfo/image/751c9d59-faff-11ed-a239-00155d82e902")</f>
        <v>https://miland.ru/api/getInfo/image/751c9d59-faff-11ed-a239-00155d82e902</v>
      </c>
    </row>
    <row r="3118" spans="1:19" s="2" customFormat="1" ht="96.2" customHeight="1" outlineLevel="7">
      <c r="A3118" s="52">
        <v>2434</v>
      </c>
      <c r="B3118" s="26" t="s">
        <v>10254</v>
      </c>
      <c r="C3118" s="66" t="s">
        <v>10255</v>
      </c>
      <c r="D3118" s="66"/>
      <c r="E3118" s="66"/>
      <c r="F3118" s="66"/>
      <c r="G3118" s="27" t="s">
        <v>10256</v>
      </c>
      <c r="H3118" s="33">
        <v>5</v>
      </c>
      <c r="I3118" s="29"/>
      <c r="J3118" s="25">
        <v>1</v>
      </c>
      <c r="K3118" s="30">
        <v>614.6</v>
      </c>
      <c r="L3118" s="17"/>
      <c r="M3118" s="29">
        <f t="shared" si="148"/>
        <v>0</v>
      </c>
      <c r="N3118" s="34">
        <f>0.23*L3118</f>
        <v>0</v>
      </c>
      <c r="O3118" s="32">
        <f>0.00261*L3118</f>
        <v>0</v>
      </c>
      <c r="P3118" s="36"/>
      <c r="Q3118" s="29" t="s">
        <v>10257</v>
      </c>
      <c r="R3118" s="29" t="s">
        <v>611</v>
      </c>
      <c r="S3118" s="26" t="str">
        <f>HYPERLINK("https://miland.ru/api/getInfo/image/08c800c9-fb07-11ed-a239-00155d82e902")</f>
        <v>https://miland.ru/api/getInfo/image/08c800c9-fb07-11ed-a239-00155d82e902</v>
      </c>
    </row>
    <row r="3119" spans="1:19" s="2" customFormat="1" ht="96.2" customHeight="1" outlineLevel="7">
      <c r="A3119" s="52">
        <v>2435</v>
      </c>
      <c r="B3119" s="26" t="s">
        <v>10258</v>
      </c>
      <c r="C3119" s="66" t="s">
        <v>10259</v>
      </c>
      <c r="D3119" s="66"/>
      <c r="E3119" s="66"/>
      <c r="F3119" s="66"/>
      <c r="G3119" s="27" t="s">
        <v>10260</v>
      </c>
      <c r="H3119" s="33">
        <v>5</v>
      </c>
      <c r="I3119" s="29"/>
      <c r="J3119" s="25">
        <v>1</v>
      </c>
      <c r="K3119" s="37">
        <v>1245.26</v>
      </c>
      <c r="L3119" s="17"/>
      <c r="M3119" s="29">
        <f t="shared" si="148"/>
        <v>0</v>
      </c>
      <c r="N3119" s="31">
        <f>0.195*L3119</f>
        <v>0</v>
      </c>
      <c r="O3119" s="32">
        <f>0.00092*L3119</f>
        <v>0</v>
      </c>
      <c r="P3119" s="36"/>
      <c r="Q3119" s="29" t="s">
        <v>10261</v>
      </c>
      <c r="R3119" s="29" t="s">
        <v>611</v>
      </c>
      <c r="S3119" s="26" t="str">
        <f>HYPERLINK("https://miland.ru/api/getInfo/image/8c3a4508-fb06-11ed-a239-00155d82e902")</f>
        <v>https://miland.ru/api/getInfo/image/8c3a4508-fb06-11ed-a239-00155d82e902</v>
      </c>
    </row>
    <row r="3120" spans="1:19" s="2" customFormat="1" ht="96.2" customHeight="1" outlineLevel="7">
      <c r="A3120" s="52">
        <v>2436</v>
      </c>
      <c r="B3120" s="26" t="s">
        <v>10262</v>
      </c>
      <c r="C3120" s="66" t="s">
        <v>10263</v>
      </c>
      <c r="D3120" s="66"/>
      <c r="E3120" s="66"/>
      <c r="F3120" s="66"/>
      <c r="G3120" s="27" t="s">
        <v>10264</v>
      </c>
      <c r="H3120" s="33">
        <v>1</v>
      </c>
      <c r="I3120" s="29"/>
      <c r="J3120" s="25">
        <v>1</v>
      </c>
      <c r="K3120" s="30">
        <v>518.87</v>
      </c>
      <c r="L3120" s="17"/>
      <c r="M3120" s="29">
        <f t="shared" si="148"/>
        <v>0</v>
      </c>
      <c r="N3120" s="31">
        <f>0.194*L3120</f>
        <v>0</v>
      </c>
      <c r="O3120" s="32">
        <f>0.00295*L3120</f>
        <v>0</v>
      </c>
      <c r="P3120" s="36"/>
      <c r="Q3120" s="29" t="s">
        <v>10265</v>
      </c>
      <c r="R3120" s="29" t="s">
        <v>611</v>
      </c>
      <c r="S3120" s="26" t="str">
        <f>HYPERLINK("https://miland.ru/api/getInfo/image/112aacd6-9af8-11ed-a22e-00155d82e902")</f>
        <v>https://miland.ru/api/getInfo/image/112aacd6-9af8-11ed-a22e-00155d82e902</v>
      </c>
    </row>
    <row r="3121" spans="1:19" s="2" customFormat="1" ht="96.2" customHeight="1" outlineLevel="7">
      <c r="A3121" s="52">
        <v>2437</v>
      </c>
      <c r="B3121" s="26" t="s">
        <v>10266</v>
      </c>
      <c r="C3121" s="66" t="s">
        <v>10267</v>
      </c>
      <c r="D3121" s="66"/>
      <c r="E3121" s="66"/>
      <c r="F3121" s="66"/>
      <c r="G3121" s="27" t="s">
        <v>10268</v>
      </c>
      <c r="H3121" s="33">
        <v>1</v>
      </c>
      <c r="I3121" s="29"/>
      <c r="J3121" s="25">
        <v>1</v>
      </c>
      <c r="K3121" s="30">
        <v>518.87</v>
      </c>
      <c r="L3121" s="17"/>
      <c r="M3121" s="29">
        <f t="shared" si="148"/>
        <v>0</v>
      </c>
      <c r="N3121" s="31">
        <f>0.191*L3121</f>
        <v>0</v>
      </c>
      <c r="O3121" s="32">
        <f>0.00292*L3121</f>
        <v>0</v>
      </c>
      <c r="P3121" s="36"/>
      <c r="Q3121" s="29" t="s">
        <v>10269</v>
      </c>
      <c r="R3121" s="29" t="s">
        <v>611</v>
      </c>
      <c r="S3121" s="26" t="str">
        <f>HYPERLINK("https://miland.ru/api/getInfo/image/9da60743-9af6-11ed-a22e-00155d82e902")</f>
        <v>https://miland.ru/api/getInfo/image/9da60743-9af6-11ed-a22e-00155d82e902</v>
      </c>
    </row>
    <row r="3122" spans="1:19" s="2" customFormat="1" ht="96.2" customHeight="1" outlineLevel="7">
      <c r="A3122" s="52">
        <v>2438</v>
      </c>
      <c r="B3122" s="26" t="s">
        <v>10270</v>
      </c>
      <c r="C3122" s="66" t="s">
        <v>10271</v>
      </c>
      <c r="D3122" s="66"/>
      <c r="E3122" s="66"/>
      <c r="F3122" s="66"/>
      <c r="G3122" s="27" t="s">
        <v>10272</v>
      </c>
      <c r="H3122" s="33">
        <v>44</v>
      </c>
      <c r="I3122" s="29"/>
      <c r="J3122" s="25">
        <v>2</v>
      </c>
      <c r="K3122" s="30">
        <v>299.05</v>
      </c>
      <c r="L3122" s="17"/>
      <c r="M3122" s="29">
        <f t="shared" si="148"/>
        <v>0</v>
      </c>
      <c r="N3122" s="31">
        <f>0.134*L3122</f>
        <v>0</v>
      </c>
      <c r="O3122" s="32">
        <f>0.00184*L3122</f>
        <v>0</v>
      </c>
      <c r="P3122" s="36"/>
      <c r="Q3122" s="29" t="s">
        <v>10273</v>
      </c>
      <c r="R3122" s="29" t="s">
        <v>611</v>
      </c>
      <c r="S3122" s="26" t="str">
        <f>HYPERLINK("https://miland.ru/api/getInfo/image/4055dcbe-9831-11ef-a267-00155d82e908")</f>
        <v>https://miland.ru/api/getInfo/image/4055dcbe-9831-11ef-a267-00155d82e908</v>
      </c>
    </row>
    <row r="3123" spans="1:19" s="1" customFormat="1" ht="12" customHeight="1" outlineLevel="6">
      <c r="A3123" s="64" t="s">
        <v>10274</v>
      </c>
      <c r="B3123" s="64"/>
      <c r="C3123" s="64"/>
      <c r="D3123" s="64"/>
      <c r="E3123" s="64"/>
      <c r="F3123" s="64"/>
      <c r="G3123" s="8"/>
      <c r="H3123" s="12"/>
      <c r="I3123" s="2"/>
      <c r="J3123" s="2"/>
      <c r="K3123" s="13"/>
      <c r="L3123" s="2"/>
      <c r="M3123" s="2"/>
      <c r="N3123" s="2"/>
      <c r="O3123" s="2"/>
      <c r="P3123" s="2"/>
      <c r="Q3123" s="2"/>
      <c r="R3123" s="2"/>
      <c r="S3123" s="2"/>
    </row>
    <row r="3124" spans="1:19" s="2" customFormat="1" ht="96.2" customHeight="1" outlineLevel="7">
      <c r="A3124" s="52">
        <v>2439</v>
      </c>
      <c r="B3124" s="26" t="s">
        <v>10275</v>
      </c>
      <c r="C3124" s="66" t="s">
        <v>10276</v>
      </c>
      <c r="D3124" s="66"/>
      <c r="E3124" s="66"/>
      <c r="F3124" s="66"/>
      <c r="G3124" s="27" t="s">
        <v>10277</v>
      </c>
      <c r="H3124" s="33">
        <v>4</v>
      </c>
      <c r="I3124" s="29"/>
      <c r="J3124" s="25">
        <v>1</v>
      </c>
      <c r="K3124" s="30">
        <v>481.52</v>
      </c>
      <c r="L3124" s="17"/>
      <c r="M3124" s="29">
        <f>K3124*L3124</f>
        <v>0</v>
      </c>
      <c r="N3124" s="31">
        <f>0.235*L3124</f>
        <v>0</v>
      </c>
      <c r="O3124" s="32">
        <f>0.00251*L3124</f>
        <v>0</v>
      </c>
      <c r="P3124" s="36"/>
      <c r="Q3124" s="29" t="s">
        <v>10278</v>
      </c>
      <c r="R3124" s="29" t="s">
        <v>611</v>
      </c>
      <c r="S3124" s="26" t="str">
        <f>HYPERLINK("https://miland.ru/api/getInfo/image/dffb3468-0863-11ef-a25d-00155d82e908")</f>
        <v>https://miland.ru/api/getInfo/image/dffb3468-0863-11ef-a25d-00155d82e908</v>
      </c>
    </row>
    <row r="3125" spans="1:19" s="2" customFormat="1" ht="96.2" customHeight="1" outlineLevel="7">
      <c r="A3125" s="52">
        <v>2440</v>
      </c>
      <c r="B3125" s="26" t="s">
        <v>10279</v>
      </c>
      <c r="C3125" s="66" t="s">
        <v>10280</v>
      </c>
      <c r="D3125" s="66"/>
      <c r="E3125" s="66"/>
      <c r="F3125" s="66"/>
      <c r="G3125" s="27" t="s">
        <v>10281</v>
      </c>
      <c r="H3125" s="33">
        <v>5</v>
      </c>
      <c r="I3125" s="29"/>
      <c r="J3125" s="25">
        <v>1</v>
      </c>
      <c r="K3125" s="37">
        <v>1164.95</v>
      </c>
      <c r="L3125" s="17"/>
      <c r="M3125" s="29">
        <f>K3125*L3125</f>
        <v>0</v>
      </c>
      <c r="N3125" s="41">
        <f>0.3*L3125</f>
        <v>0</v>
      </c>
      <c r="O3125" s="35">
        <f>0.0029*L3125</f>
        <v>0</v>
      </c>
      <c r="P3125" s="36"/>
      <c r="Q3125" s="29" t="s">
        <v>10282</v>
      </c>
      <c r="R3125" s="29" t="s">
        <v>611</v>
      </c>
      <c r="S3125" s="26" t="str">
        <f>HYPERLINK("https://miland.ru/api/getInfo/image/cff0f1ae-9831-11ef-a267-00155d82e908")</f>
        <v>https://miland.ru/api/getInfo/image/cff0f1ae-9831-11ef-a267-00155d82e908</v>
      </c>
    </row>
    <row r="3126" spans="1:19" s="2" customFormat="1" ht="96.2" customHeight="1" outlineLevel="7">
      <c r="A3126" s="52">
        <v>2441</v>
      </c>
      <c r="B3126" s="26" t="s">
        <v>10283</v>
      </c>
      <c r="C3126" s="66" t="s">
        <v>10284</v>
      </c>
      <c r="D3126" s="66"/>
      <c r="E3126" s="66"/>
      <c r="F3126" s="66"/>
      <c r="G3126" s="27" t="s">
        <v>10285</v>
      </c>
      <c r="H3126" s="33">
        <v>4</v>
      </c>
      <c r="I3126" s="29"/>
      <c r="J3126" s="25">
        <v>1</v>
      </c>
      <c r="K3126" s="37">
        <v>1164.95</v>
      </c>
      <c r="L3126" s="17"/>
      <c r="M3126" s="29">
        <f>K3126*L3126</f>
        <v>0</v>
      </c>
      <c r="N3126" s="31">
        <f>0.304*L3126</f>
        <v>0</v>
      </c>
      <c r="O3126" s="31">
        <f>0.003*L3126</f>
        <v>0</v>
      </c>
      <c r="P3126" s="36"/>
      <c r="Q3126" s="29" t="s">
        <v>10286</v>
      </c>
      <c r="R3126" s="29" t="s">
        <v>611</v>
      </c>
      <c r="S3126" s="26" t="str">
        <f>HYPERLINK("https://miland.ru/api/getInfo/image/83a37094-9831-11ef-a267-00155d82e908")</f>
        <v>https://miland.ru/api/getInfo/image/83a37094-9831-11ef-a267-00155d82e908</v>
      </c>
    </row>
    <row r="3127" spans="1:19" s="1" customFormat="1" ht="12" customHeight="1" outlineLevel="6">
      <c r="A3127" s="64" t="s">
        <v>10287</v>
      </c>
      <c r="B3127" s="64"/>
      <c r="C3127" s="64"/>
      <c r="D3127" s="64"/>
      <c r="E3127" s="64"/>
      <c r="F3127" s="64"/>
      <c r="G3127" s="8"/>
      <c r="H3127" s="12"/>
      <c r="I3127" s="2"/>
      <c r="J3127" s="2"/>
      <c r="K3127" s="13"/>
      <c r="L3127" s="2"/>
      <c r="M3127" s="2"/>
      <c r="N3127" s="2"/>
      <c r="O3127" s="2"/>
      <c r="P3127" s="2"/>
      <c r="Q3127" s="2"/>
      <c r="R3127" s="2"/>
      <c r="S3127" s="2"/>
    </row>
    <row r="3128" spans="1:19" s="2" customFormat="1" ht="96.2" customHeight="1" outlineLevel="7">
      <c r="A3128" s="52">
        <v>2442</v>
      </c>
      <c r="B3128" s="26" t="s">
        <v>10288</v>
      </c>
      <c r="C3128" s="66" t="s">
        <v>10289</v>
      </c>
      <c r="D3128" s="66"/>
      <c r="E3128" s="66"/>
      <c r="F3128" s="66"/>
      <c r="G3128" s="27" t="s">
        <v>10290</v>
      </c>
      <c r="H3128" s="33">
        <v>5</v>
      </c>
      <c r="I3128" s="29"/>
      <c r="J3128" s="25">
        <v>1</v>
      </c>
      <c r="K3128" s="30">
        <v>566.04</v>
      </c>
      <c r="L3128" s="17"/>
      <c r="M3128" s="29">
        <f>K3128*L3128</f>
        <v>0</v>
      </c>
      <c r="N3128" s="31">
        <f>0.302*L3128</f>
        <v>0</v>
      </c>
      <c r="O3128" s="32">
        <f>0.00506*L3128</f>
        <v>0</v>
      </c>
      <c r="P3128" s="36"/>
      <c r="Q3128" s="29" t="s">
        <v>10291</v>
      </c>
      <c r="R3128" s="29" t="s">
        <v>611</v>
      </c>
      <c r="S3128" s="26" t="str">
        <f>HYPERLINK("https://miland.ru/api/getInfo/image/3aef8e77-9832-11ef-a267-00155d82e908")</f>
        <v>https://miland.ru/api/getInfo/image/3aef8e77-9832-11ef-a267-00155d82e908</v>
      </c>
    </row>
    <row r="3129" spans="1:19" s="2" customFormat="1" ht="96.2" customHeight="1" outlineLevel="7">
      <c r="A3129" s="52">
        <v>2443</v>
      </c>
      <c r="B3129" s="26" t="s">
        <v>10292</v>
      </c>
      <c r="C3129" s="66" t="s">
        <v>10293</v>
      </c>
      <c r="D3129" s="66"/>
      <c r="E3129" s="66"/>
      <c r="F3129" s="66"/>
      <c r="G3129" s="27" t="s">
        <v>10294</v>
      </c>
      <c r="H3129" s="33">
        <v>1</v>
      </c>
      <c r="I3129" s="29"/>
      <c r="J3129" s="25">
        <v>1</v>
      </c>
      <c r="K3129" s="30">
        <v>566.04</v>
      </c>
      <c r="L3129" s="17"/>
      <c r="M3129" s="29">
        <f>K3129*L3129</f>
        <v>0</v>
      </c>
      <c r="N3129" s="31">
        <f>0.302*L3129</f>
        <v>0</v>
      </c>
      <c r="O3129" s="32">
        <f>0.00506*L3129</f>
        <v>0</v>
      </c>
      <c r="P3129" s="36"/>
      <c r="Q3129" s="29" t="s">
        <v>10295</v>
      </c>
      <c r="R3129" s="29" t="s">
        <v>611</v>
      </c>
      <c r="S3129" s="26" t="str">
        <f>HYPERLINK("https://miland.ru/api/getInfo/image/1a3f2045-9832-11ef-a267-00155d82e908")</f>
        <v>https://miland.ru/api/getInfo/image/1a3f2045-9832-11ef-a267-00155d82e908</v>
      </c>
    </row>
    <row r="3130" spans="1:19" s="1" customFormat="1" ht="12" customHeight="1" outlineLevel="5">
      <c r="A3130" s="64" t="s">
        <v>10296</v>
      </c>
      <c r="B3130" s="64"/>
      <c r="C3130" s="64"/>
      <c r="D3130" s="64"/>
      <c r="E3130" s="64"/>
      <c r="F3130" s="64"/>
      <c r="G3130" s="8"/>
      <c r="H3130" s="12"/>
      <c r="I3130" s="2"/>
      <c r="J3130" s="2"/>
      <c r="K3130" s="13"/>
      <c r="L3130" s="2"/>
      <c r="M3130" s="2"/>
      <c r="N3130" s="2"/>
      <c r="O3130" s="2"/>
      <c r="P3130" s="2"/>
      <c r="Q3130" s="2"/>
      <c r="R3130" s="2"/>
      <c r="S3130" s="2"/>
    </row>
    <row r="3131" spans="1:19" s="1" customFormat="1" ht="12" customHeight="1" outlineLevel="6">
      <c r="A3131" s="64" t="s">
        <v>10297</v>
      </c>
      <c r="B3131" s="64"/>
      <c r="C3131" s="64"/>
      <c r="D3131" s="64"/>
      <c r="E3131" s="64"/>
      <c r="F3131" s="64"/>
      <c r="G3131" s="8"/>
      <c r="H3131" s="12"/>
      <c r="I3131" s="2"/>
      <c r="J3131" s="2"/>
      <c r="K3131" s="13"/>
      <c r="L3131" s="2"/>
      <c r="M3131" s="2"/>
      <c r="N3131" s="2"/>
      <c r="O3131" s="2"/>
      <c r="P3131" s="2"/>
      <c r="Q3131" s="2"/>
      <c r="R3131" s="2"/>
      <c r="S3131" s="2"/>
    </row>
    <row r="3132" spans="1:19" s="2" customFormat="1" ht="96.2" customHeight="1" outlineLevel="7">
      <c r="A3132" s="52">
        <v>2444</v>
      </c>
      <c r="B3132" s="26" t="s">
        <v>10298</v>
      </c>
      <c r="C3132" s="66" t="s">
        <v>10299</v>
      </c>
      <c r="D3132" s="66"/>
      <c r="E3132" s="66"/>
      <c r="F3132" s="66"/>
      <c r="G3132" s="27" t="s">
        <v>10300</v>
      </c>
      <c r="H3132" s="33">
        <v>4</v>
      </c>
      <c r="I3132" s="29"/>
      <c r="J3132" s="25">
        <v>3</v>
      </c>
      <c r="K3132" s="30">
        <v>229.4</v>
      </c>
      <c r="L3132" s="17"/>
      <c r="M3132" s="29">
        <f>K3132*L3132</f>
        <v>0</v>
      </c>
      <c r="N3132" s="31">
        <f>0.123*L3132</f>
        <v>0</v>
      </c>
      <c r="O3132" s="32">
        <f>0.00133*L3132</f>
        <v>0</v>
      </c>
      <c r="P3132" s="36"/>
      <c r="Q3132" s="29" t="s">
        <v>10301</v>
      </c>
      <c r="R3132" s="29" t="s">
        <v>611</v>
      </c>
      <c r="S3132" s="26" t="str">
        <f>HYPERLINK("https://miland.ru/api/getInfo/image/6c41c5ca-9aeb-11ed-a22e-00155d82e902")</f>
        <v>https://miland.ru/api/getInfo/image/6c41c5ca-9aeb-11ed-a22e-00155d82e902</v>
      </c>
    </row>
    <row r="3133" spans="1:19" s="1" customFormat="1" ht="12" customHeight="1" outlineLevel="5">
      <c r="A3133" s="64" t="s">
        <v>1720</v>
      </c>
      <c r="B3133" s="64"/>
      <c r="C3133" s="64"/>
      <c r="D3133" s="64"/>
      <c r="E3133" s="64"/>
      <c r="F3133" s="64"/>
      <c r="G3133" s="8"/>
      <c r="H3133" s="12"/>
      <c r="I3133" s="2"/>
      <c r="J3133" s="2"/>
      <c r="K3133" s="13"/>
      <c r="L3133" s="2"/>
      <c r="M3133" s="2"/>
      <c r="N3133" s="2"/>
      <c r="O3133" s="2"/>
      <c r="P3133" s="2"/>
      <c r="Q3133" s="2"/>
      <c r="R3133" s="2"/>
      <c r="S3133" s="2"/>
    </row>
    <row r="3134" spans="1:19" s="1" customFormat="1" ht="12" customHeight="1" outlineLevel="6">
      <c r="A3134" s="64" t="s">
        <v>10235</v>
      </c>
      <c r="B3134" s="64"/>
      <c r="C3134" s="64"/>
      <c r="D3134" s="64"/>
      <c r="E3134" s="64"/>
      <c r="F3134" s="64"/>
      <c r="G3134" s="8"/>
      <c r="H3134" s="12"/>
      <c r="I3134" s="2"/>
      <c r="J3134" s="2"/>
      <c r="K3134" s="13"/>
      <c r="L3134" s="2"/>
      <c r="M3134" s="2"/>
      <c r="N3134" s="2"/>
      <c r="O3134" s="2"/>
      <c r="P3134" s="2"/>
      <c r="Q3134" s="2"/>
      <c r="R3134" s="2"/>
      <c r="S3134" s="2"/>
    </row>
    <row r="3135" spans="1:19" s="2" customFormat="1" ht="96.2" customHeight="1" outlineLevel="7">
      <c r="A3135" s="52">
        <v>2445</v>
      </c>
      <c r="B3135" s="26" t="s">
        <v>10302</v>
      </c>
      <c r="C3135" s="66" t="s">
        <v>10303</v>
      </c>
      <c r="D3135" s="66"/>
      <c r="E3135" s="66"/>
      <c r="F3135" s="66"/>
      <c r="G3135" s="27" t="s">
        <v>10304</v>
      </c>
      <c r="H3135" s="33">
        <v>120</v>
      </c>
      <c r="I3135" s="29"/>
      <c r="J3135" s="25">
        <v>1</v>
      </c>
      <c r="K3135" s="30">
        <v>624.33000000000004</v>
      </c>
      <c r="L3135" s="17"/>
      <c r="M3135" s="29">
        <f>K3135*L3135</f>
        <v>0</v>
      </c>
      <c r="N3135" s="31">
        <f>0.349*L3135</f>
        <v>0</v>
      </c>
      <c r="O3135" s="32">
        <f>0.00164*L3135</f>
        <v>0</v>
      </c>
      <c r="P3135" s="36"/>
      <c r="Q3135" s="29" t="s">
        <v>10305</v>
      </c>
      <c r="R3135" s="29" t="s">
        <v>611</v>
      </c>
      <c r="S3135" s="26" t="str">
        <f>HYPERLINK("https://miland.ru/api/getInfo/image/58330334-9afa-11ed-a22e-00155d82e902")</f>
        <v>https://miland.ru/api/getInfo/image/58330334-9afa-11ed-a22e-00155d82e902</v>
      </c>
    </row>
    <row r="3136" spans="1:19" s="2" customFormat="1" ht="96.2" customHeight="1" outlineLevel="7">
      <c r="A3136" s="52">
        <v>2446</v>
      </c>
      <c r="B3136" s="26" t="s">
        <v>10306</v>
      </c>
      <c r="C3136" s="66" t="s">
        <v>10307</v>
      </c>
      <c r="D3136" s="66"/>
      <c r="E3136" s="66"/>
      <c r="F3136" s="66"/>
      <c r="G3136" s="27" t="s">
        <v>10308</v>
      </c>
      <c r="H3136" s="33">
        <v>281</v>
      </c>
      <c r="I3136" s="29"/>
      <c r="J3136" s="25">
        <v>1</v>
      </c>
      <c r="K3136" s="30">
        <v>624.33000000000004</v>
      </c>
      <c r="L3136" s="17"/>
      <c r="M3136" s="29">
        <f>K3136*L3136</f>
        <v>0</v>
      </c>
      <c r="N3136" s="31">
        <f>0.351*L3136</f>
        <v>0</v>
      </c>
      <c r="O3136" s="32">
        <f>0.00151*L3136</f>
        <v>0</v>
      </c>
      <c r="P3136" s="36"/>
      <c r="Q3136" s="29" t="s">
        <v>10309</v>
      </c>
      <c r="R3136" s="29" t="s">
        <v>611</v>
      </c>
      <c r="S3136" s="26" t="str">
        <f>HYPERLINK("https://miland.ru/api/getInfo/image/aac09199-9afa-11ed-a22e-00155d82e902")</f>
        <v>https://miland.ru/api/getInfo/image/aac09199-9afa-11ed-a22e-00155d82e902</v>
      </c>
    </row>
    <row r="3137" spans="1:19" s="2" customFormat="1" ht="96.2" customHeight="1" outlineLevel="7">
      <c r="A3137" s="52">
        <v>2447</v>
      </c>
      <c r="B3137" s="26" t="s">
        <v>10310</v>
      </c>
      <c r="C3137" s="66" t="s">
        <v>10311</v>
      </c>
      <c r="D3137" s="66"/>
      <c r="E3137" s="66"/>
      <c r="F3137" s="66"/>
      <c r="G3137" s="27" t="s">
        <v>10312</v>
      </c>
      <c r="H3137" s="33">
        <v>5</v>
      </c>
      <c r="I3137" s="29"/>
      <c r="J3137" s="25">
        <v>1</v>
      </c>
      <c r="K3137" s="30">
        <v>471.03</v>
      </c>
      <c r="L3137" s="17"/>
      <c r="M3137" s="29">
        <f>K3137*L3137</f>
        <v>0</v>
      </c>
      <c r="N3137" s="31">
        <f>0.118*L3137</f>
        <v>0</v>
      </c>
      <c r="O3137" s="32">
        <f>0.00121*L3137</f>
        <v>0</v>
      </c>
      <c r="P3137" s="36"/>
      <c r="Q3137" s="29" t="s">
        <v>10313</v>
      </c>
      <c r="R3137" s="29" t="s">
        <v>611</v>
      </c>
      <c r="S3137" s="26" t="str">
        <f>HYPERLINK("https://miland.ru/api/getInfo/image/0aa9948d-9aed-11ed-a22e-00155d82e902")</f>
        <v>https://miland.ru/api/getInfo/image/0aa9948d-9aed-11ed-a22e-00155d82e902</v>
      </c>
    </row>
    <row r="3138" spans="1:19" s="1" customFormat="1" ht="12" customHeight="1" outlineLevel="6">
      <c r="A3138" s="64" t="s">
        <v>10314</v>
      </c>
      <c r="B3138" s="64"/>
      <c r="C3138" s="64"/>
      <c r="D3138" s="64"/>
      <c r="E3138" s="64"/>
      <c r="F3138" s="64"/>
      <c r="G3138" s="8"/>
      <c r="H3138" s="12"/>
      <c r="I3138" s="2"/>
      <c r="J3138" s="2"/>
      <c r="K3138" s="13"/>
      <c r="L3138" s="2"/>
      <c r="M3138" s="2"/>
      <c r="N3138" s="2"/>
      <c r="O3138" s="2"/>
      <c r="P3138" s="2"/>
      <c r="Q3138" s="2"/>
      <c r="R3138" s="2"/>
      <c r="S3138" s="2"/>
    </row>
    <row r="3139" spans="1:19" s="2" customFormat="1" ht="96.2" customHeight="1" outlineLevel="7">
      <c r="A3139" s="52">
        <v>2448</v>
      </c>
      <c r="B3139" s="26" t="s">
        <v>10315</v>
      </c>
      <c r="C3139" s="66" t="s">
        <v>10316</v>
      </c>
      <c r="D3139" s="66"/>
      <c r="E3139" s="66"/>
      <c r="F3139" s="66"/>
      <c r="G3139" s="27" t="s">
        <v>10317</v>
      </c>
      <c r="H3139" s="33">
        <v>162</v>
      </c>
      <c r="I3139" s="29"/>
      <c r="J3139" s="25">
        <v>1</v>
      </c>
      <c r="K3139" s="30">
        <v>518.87</v>
      </c>
      <c r="L3139" s="17"/>
      <c r="M3139" s="29">
        <f>K3139*L3139</f>
        <v>0</v>
      </c>
      <c r="N3139" s="31">
        <f>0.194*L3139</f>
        <v>0</v>
      </c>
      <c r="O3139" s="32">
        <f>0.00295*L3139</f>
        <v>0</v>
      </c>
      <c r="P3139" s="36"/>
      <c r="Q3139" s="29" t="s">
        <v>10318</v>
      </c>
      <c r="R3139" s="29" t="s">
        <v>611</v>
      </c>
      <c r="S3139" s="26" t="str">
        <f>HYPERLINK("https://miland.ru/api/getInfo/image/9b4e9c41-9af7-11ed-a22e-00155d82e902")</f>
        <v>https://miland.ru/api/getInfo/image/9b4e9c41-9af7-11ed-a22e-00155d82e902</v>
      </c>
    </row>
    <row r="3140" spans="1:19" s="1" customFormat="1" ht="12" customHeight="1" outlineLevel="4">
      <c r="A3140" s="64" t="s">
        <v>10319</v>
      </c>
      <c r="B3140" s="64"/>
      <c r="C3140" s="64"/>
      <c r="D3140" s="64"/>
      <c r="E3140" s="64"/>
      <c r="F3140" s="64"/>
      <c r="G3140" s="8"/>
      <c r="H3140" s="12"/>
      <c r="I3140" s="2"/>
      <c r="J3140" s="2"/>
      <c r="K3140" s="13"/>
      <c r="L3140" s="2"/>
      <c r="M3140" s="2"/>
      <c r="N3140" s="2"/>
      <c r="O3140" s="2"/>
      <c r="P3140" s="2"/>
      <c r="Q3140" s="2"/>
      <c r="R3140" s="2"/>
      <c r="S3140" s="2"/>
    </row>
    <row r="3141" spans="1:19" s="1" customFormat="1" ht="12" customHeight="1" outlineLevel="5">
      <c r="A3141" s="64" t="s">
        <v>10234</v>
      </c>
      <c r="B3141" s="64"/>
      <c r="C3141" s="64"/>
      <c r="D3141" s="64"/>
      <c r="E3141" s="64"/>
      <c r="F3141" s="64"/>
      <c r="G3141" s="8"/>
      <c r="H3141" s="12"/>
      <c r="I3141" s="2"/>
      <c r="J3141" s="2"/>
      <c r="K3141" s="13"/>
      <c r="L3141" s="2"/>
      <c r="M3141" s="2"/>
      <c r="N3141" s="2"/>
      <c r="O3141" s="2"/>
      <c r="P3141" s="2"/>
      <c r="Q3141" s="2"/>
      <c r="R3141" s="2"/>
      <c r="S3141" s="2"/>
    </row>
    <row r="3142" spans="1:19" s="1" customFormat="1" ht="12" customHeight="1" outlineLevel="6">
      <c r="A3142" s="64" t="s">
        <v>10320</v>
      </c>
      <c r="B3142" s="64"/>
      <c r="C3142" s="64"/>
      <c r="D3142" s="64"/>
      <c r="E3142" s="64"/>
      <c r="F3142" s="64"/>
      <c r="G3142" s="8"/>
      <c r="H3142" s="12"/>
      <c r="I3142" s="2"/>
      <c r="J3142" s="2"/>
      <c r="K3142" s="13"/>
      <c r="L3142" s="2"/>
      <c r="M3142" s="2"/>
      <c r="N3142" s="2"/>
      <c r="O3142" s="2"/>
      <c r="P3142" s="2"/>
      <c r="Q3142" s="2"/>
      <c r="R3142" s="2"/>
      <c r="S3142" s="2"/>
    </row>
    <row r="3143" spans="1:19" s="2" customFormat="1" ht="96.2" customHeight="1" outlineLevel="7">
      <c r="A3143" s="52">
        <v>2449</v>
      </c>
      <c r="B3143" s="26" t="s">
        <v>10321</v>
      </c>
      <c r="C3143" s="66" t="s">
        <v>10322</v>
      </c>
      <c r="D3143" s="66"/>
      <c r="E3143" s="66"/>
      <c r="F3143" s="66"/>
      <c r="G3143" s="27" t="s">
        <v>10323</v>
      </c>
      <c r="H3143" s="28" t="s">
        <v>44</v>
      </c>
      <c r="I3143" s="29"/>
      <c r="J3143" s="25">
        <v>3</v>
      </c>
      <c r="K3143" s="30">
        <v>188.2</v>
      </c>
      <c r="L3143" s="17"/>
      <c r="M3143" s="29">
        <f>K3143*L3143</f>
        <v>0</v>
      </c>
      <c r="N3143" s="31">
        <f>0.198*L3143</f>
        <v>0</v>
      </c>
      <c r="O3143" s="32">
        <f>0.00082*L3143</f>
        <v>0</v>
      </c>
      <c r="P3143" s="36"/>
      <c r="Q3143" s="29" t="s">
        <v>10324</v>
      </c>
      <c r="R3143" s="29"/>
      <c r="S3143" s="26" t="str">
        <f>HYPERLINK("https://miland.ru/api/getInfo/image/0056bbb1-6888-11f0-a283-00155d82e908")</f>
        <v>https://miland.ru/api/getInfo/image/0056bbb1-6888-11f0-a283-00155d82e908</v>
      </c>
    </row>
    <row r="3144" spans="1:19" s="2" customFormat="1" ht="96.2" customHeight="1" outlineLevel="7">
      <c r="A3144" s="52">
        <v>2450</v>
      </c>
      <c r="B3144" s="26" t="s">
        <v>10325</v>
      </c>
      <c r="C3144" s="66" t="s">
        <v>10326</v>
      </c>
      <c r="D3144" s="66"/>
      <c r="E3144" s="66"/>
      <c r="F3144" s="66"/>
      <c r="G3144" s="27" t="s">
        <v>10327</v>
      </c>
      <c r="H3144" s="28" t="s">
        <v>44</v>
      </c>
      <c r="I3144" s="29"/>
      <c r="J3144" s="25">
        <v>3</v>
      </c>
      <c r="K3144" s="30">
        <v>188.2</v>
      </c>
      <c r="L3144" s="17"/>
      <c r="M3144" s="29">
        <f>K3144*L3144</f>
        <v>0</v>
      </c>
      <c r="N3144" s="41">
        <f>0.2*L3144</f>
        <v>0</v>
      </c>
      <c r="O3144" s="32">
        <f>0.00083*L3144</f>
        <v>0</v>
      </c>
      <c r="P3144" s="36"/>
      <c r="Q3144" s="29" t="s">
        <v>10328</v>
      </c>
      <c r="R3144" s="29"/>
      <c r="S3144" s="26" t="str">
        <f>HYPERLINK("https://miland.ru/api/getInfo/image/3d6cf7e3-6889-11f0-a283-00155d82e908")</f>
        <v>https://miland.ru/api/getInfo/image/3d6cf7e3-6889-11f0-a283-00155d82e908</v>
      </c>
    </row>
    <row r="3145" spans="1:19" s="2" customFormat="1" ht="96.2" customHeight="1" outlineLevel="7">
      <c r="A3145" s="52">
        <v>2451</v>
      </c>
      <c r="B3145" s="26" t="s">
        <v>10329</v>
      </c>
      <c r="C3145" s="66" t="s">
        <v>10330</v>
      </c>
      <c r="D3145" s="66"/>
      <c r="E3145" s="66"/>
      <c r="F3145" s="66"/>
      <c r="G3145" s="27" t="s">
        <v>10331</v>
      </c>
      <c r="H3145" s="28" t="s">
        <v>44</v>
      </c>
      <c r="I3145" s="29"/>
      <c r="J3145" s="25">
        <v>3</v>
      </c>
      <c r="K3145" s="30">
        <v>188.2</v>
      </c>
      <c r="L3145" s="17"/>
      <c r="M3145" s="29">
        <f>K3145*L3145</f>
        <v>0</v>
      </c>
      <c r="N3145" s="31">
        <f>0.212*L3145</f>
        <v>0</v>
      </c>
      <c r="O3145" s="32">
        <f>0.00079*L3145</f>
        <v>0</v>
      </c>
      <c r="P3145" s="36"/>
      <c r="Q3145" s="29" t="s">
        <v>10332</v>
      </c>
      <c r="R3145" s="29"/>
      <c r="S3145" s="26" t="str">
        <f>HYPERLINK("https://miland.ru/api/getInfo/image/a74e43d4-6889-11f0-a283-00155d82e908")</f>
        <v>https://miland.ru/api/getInfo/image/a74e43d4-6889-11f0-a283-00155d82e908</v>
      </c>
    </row>
    <row r="3146" spans="1:19" s="2" customFormat="1" ht="96.2" customHeight="1" outlineLevel="7">
      <c r="A3146" s="52">
        <v>2452</v>
      </c>
      <c r="B3146" s="26" t="s">
        <v>10333</v>
      </c>
      <c r="C3146" s="66" t="s">
        <v>10334</v>
      </c>
      <c r="D3146" s="66"/>
      <c r="E3146" s="66"/>
      <c r="F3146" s="66"/>
      <c r="G3146" s="27" t="s">
        <v>10335</v>
      </c>
      <c r="H3146" s="28" t="s">
        <v>44</v>
      </c>
      <c r="I3146" s="29"/>
      <c r="J3146" s="25">
        <v>3</v>
      </c>
      <c r="K3146" s="30">
        <v>188.2</v>
      </c>
      <c r="L3146" s="17"/>
      <c r="M3146" s="29">
        <f>K3146*L3146</f>
        <v>0</v>
      </c>
      <c r="N3146" s="34">
        <f>0.18*L3146</f>
        <v>0</v>
      </c>
      <c r="O3146" s="35">
        <f>0.0009*L3146</f>
        <v>0</v>
      </c>
      <c r="P3146" s="36"/>
      <c r="Q3146" s="29" t="s">
        <v>10336</v>
      </c>
      <c r="R3146" s="29"/>
      <c r="S3146" s="26" t="str">
        <f>HYPERLINK("https://miland.ru/api/getInfo/image/9b324dcb-6888-11f0-a283-00155d82e908")</f>
        <v>https://miland.ru/api/getInfo/image/9b324dcb-6888-11f0-a283-00155d82e908</v>
      </c>
    </row>
    <row r="3147" spans="1:19" s="2" customFormat="1" ht="96.2" customHeight="1" outlineLevel="7">
      <c r="A3147" s="52">
        <v>2453</v>
      </c>
      <c r="B3147" s="26" t="s">
        <v>10337</v>
      </c>
      <c r="C3147" s="66" t="s">
        <v>10338</v>
      </c>
      <c r="D3147" s="66"/>
      <c r="E3147" s="66"/>
      <c r="F3147" s="66"/>
      <c r="G3147" s="27" t="s">
        <v>10339</v>
      </c>
      <c r="H3147" s="28" t="s">
        <v>44</v>
      </c>
      <c r="I3147" s="29"/>
      <c r="J3147" s="25">
        <v>3</v>
      </c>
      <c r="K3147" s="30">
        <v>188.2</v>
      </c>
      <c r="L3147" s="17"/>
      <c r="M3147" s="29">
        <f>K3147*L3147</f>
        <v>0</v>
      </c>
      <c r="N3147" s="31">
        <f>0.189*L3147</f>
        <v>0</v>
      </c>
      <c r="O3147" s="35">
        <f>0.0008*L3147</f>
        <v>0</v>
      </c>
      <c r="P3147" s="36"/>
      <c r="Q3147" s="29" t="s">
        <v>10340</v>
      </c>
      <c r="R3147" s="29"/>
      <c r="S3147" s="26" t="str">
        <f>HYPERLINK("https://miland.ru/api/getInfo/image/09a52fc5-6889-11f0-a283-00155d82e908")</f>
        <v>https://miland.ru/api/getInfo/image/09a52fc5-6889-11f0-a283-00155d82e908</v>
      </c>
    </row>
    <row r="3148" spans="1:19" s="1" customFormat="1" ht="12" customHeight="1" outlineLevel="6">
      <c r="A3148" s="64" t="s">
        <v>10341</v>
      </c>
      <c r="B3148" s="64"/>
      <c r="C3148" s="64"/>
      <c r="D3148" s="64"/>
      <c r="E3148" s="64"/>
      <c r="F3148" s="64"/>
      <c r="G3148" s="8"/>
      <c r="H3148" s="12"/>
      <c r="I3148" s="2"/>
      <c r="J3148" s="2"/>
      <c r="K3148" s="13"/>
      <c r="L3148" s="2"/>
      <c r="M3148" s="2"/>
      <c r="N3148" s="2"/>
      <c r="O3148" s="2"/>
      <c r="P3148" s="2"/>
      <c r="Q3148" s="2"/>
      <c r="R3148" s="2"/>
      <c r="S3148" s="2"/>
    </row>
    <row r="3149" spans="1:19" s="2" customFormat="1" ht="96.2" customHeight="1" outlineLevel="7">
      <c r="A3149" s="52">
        <v>2454</v>
      </c>
      <c r="B3149" s="26" t="s">
        <v>10342</v>
      </c>
      <c r="C3149" s="66" t="s">
        <v>10343</v>
      </c>
      <c r="D3149" s="66"/>
      <c r="E3149" s="66"/>
      <c r="F3149" s="66"/>
      <c r="G3149" s="27" t="s">
        <v>10344</v>
      </c>
      <c r="H3149" s="28" t="s">
        <v>44</v>
      </c>
      <c r="I3149" s="29"/>
      <c r="J3149" s="25">
        <v>3</v>
      </c>
      <c r="K3149" s="30">
        <v>222.72</v>
      </c>
      <c r="L3149" s="17"/>
      <c r="M3149" s="29">
        <f>K3149*L3149</f>
        <v>0</v>
      </c>
      <c r="N3149" s="34">
        <f>0.27*L3149</f>
        <v>0</v>
      </c>
      <c r="O3149" s="31">
        <f>0.001*L3149</f>
        <v>0</v>
      </c>
      <c r="P3149" s="36"/>
      <c r="Q3149" s="29" t="s">
        <v>10345</v>
      </c>
      <c r="R3149" s="29"/>
      <c r="S3149" s="26" t="str">
        <f>HYPERLINK("https://miland.ru/api/getInfo/image/0d05e052-688a-11f0-a283-00155d82e908")</f>
        <v>https://miland.ru/api/getInfo/image/0d05e052-688a-11f0-a283-00155d82e908</v>
      </c>
    </row>
    <row r="3150" spans="1:19" s="2" customFormat="1" ht="96.2" customHeight="1" outlineLevel="7">
      <c r="A3150" s="52">
        <v>2455</v>
      </c>
      <c r="B3150" s="26" t="s">
        <v>10346</v>
      </c>
      <c r="C3150" s="66" t="s">
        <v>10347</v>
      </c>
      <c r="D3150" s="66"/>
      <c r="E3150" s="66"/>
      <c r="F3150" s="66"/>
      <c r="G3150" s="27" t="s">
        <v>10348</v>
      </c>
      <c r="H3150" s="28" t="s">
        <v>44</v>
      </c>
      <c r="I3150" s="29"/>
      <c r="J3150" s="25">
        <v>3</v>
      </c>
      <c r="K3150" s="30">
        <v>222.72</v>
      </c>
      <c r="L3150" s="17"/>
      <c r="M3150" s="29">
        <f>K3150*L3150</f>
        <v>0</v>
      </c>
      <c r="N3150" s="34">
        <f>0.28*L3150</f>
        <v>0</v>
      </c>
      <c r="O3150" s="32">
        <f>0.00102*L3150</f>
        <v>0</v>
      </c>
      <c r="P3150" s="36"/>
      <c r="Q3150" s="29" t="s">
        <v>10349</v>
      </c>
      <c r="R3150" s="29"/>
      <c r="S3150" s="26" t="str">
        <f>HYPERLINK("https://miland.ru/api/getInfo/image/371d0255-688a-11f0-a283-00155d82e908")</f>
        <v>https://miland.ru/api/getInfo/image/371d0255-688a-11f0-a283-00155d82e908</v>
      </c>
    </row>
    <row r="3151" spans="1:19" s="2" customFormat="1" ht="96.2" customHeight="1" outlineLevel="7">
      <c r="A3151" s="52">
        <v>2456</v>
      </c>
      <c r="B3151" s="26" t="s">
        <v>10350</v>
      </c>
      <c r="C3151" s="66" t="s">
        <v>10351</v>
      </c>
      <c r="D3151" s="66"/>
      <c r="E3151" s="66"/>
      <c r="F3151" s="66"/>
      <c r="G3151" s="27" t="s">
        <v>10352</v>
      </c>
      <c r="H3151" s="28" t="s">
        <v>44</v>
      </c>
      <c r="I3151" s="29"/>
      <c r="J3151" s="25">
        <v>3</v>
      </c>
      <c r="K3151" s="30">
        <v>222.72</v>
      </c>
      <c r="L3151" s="17"/>
      <c r="M3151" s="29">
        <f>K3151*L3151</f>
        <v>0</v>
      </c>
      <c r="N3151" s="31">
        <f>0.275*L3151</f>
        <v>0</v>
      </c>
      <c r="O3151" s="32">
        <f>0.00099*L3151</f>
        <v>0</v>
      </c>
      <c r="P3151" s="36"/>
      <c r="Q3151" s="29" t="s">
        <v>10353</v>
      </c>
      <c r="R3151" s="29"/>
      <c r="S3151" s="26" t="str">
        <f>HYPERLINK("https://miland.ru/api/getInfo/image/579d478c-688b-11f0-a283-00155d82e908")</f>
        <v>https://miland.ru/api/getInfo/image/579d478c-688b-11f0-a283-00155d82e908</v>
      </c>
    </row>
    <row r="3152" spans="1:19" s="2" customFormat="1" ht="96.2" customHeight="1" outlineLevel="7">
      <c r="A3152" s="52">
        <v>2457</v>
      </c>
      <c r="B3152" s="26" t="s">
        <v>10354</v>
      </c>
      <c r="C3152" s="66" t="s">
        <v>10355</v>
      </c>
      <c r="D3152" s="66"/>
      <c r="E3152" s="66"/>
      <c r="F3152" s="66"/>
      <c r="G3152" s="27" t="s">
        <v>10356</v>
      </c>
      <c r="H3152" s="28" t="s">
        <v>44</v>
      </c>
      <c r="I3152" s="29"/>
      <c r="J3152" s="25">
        <v>3</v>
      </c>
      <c r="K3152" s="30">
        <v>222.72</v>
      </c>
      <c r="L3152" s="17"/>
      <c r="M3152" s="29">
        <f>K3152*L3152</f>
        <v>0</v>
      </c>
      <c r="N3152" s="31">
        <f>0.277*L3152</f>
        <v>0</v>
      </c>
      <c r="O3152" s="32">
        <f>0.00101*L3152</f>
        <v>0</v>
      </c>
      <c r="P3152" s="36"/>
      <c r="Q3152" s="29" t="s">
        <v>10357</v>
      </c>
      <c r="R3152" s="29"/>
      <c r="S3152" s="26" t="str">
        <f>HYPERLINK("https://miland.ru/api/getInfo/image/e152df2a-688a-11f0-a283-00155d82e908")</f>
        <v>https://miland.ru/api/getInfo/image/e152df2a-688a-11f0-a283-00155d82e908</v>
      </c>
    </row>
    <row r="3153" spans="1:19" s="2" customFormat="1" ht="96.2" customHeight="1" outlineLevel="7">
      <c r="A3153" s="52">
        <v>2458</v>
      </c>
      <c r="B3153" s="26" t="s">
        <v>10358</v>
      </c>
      <c r="C3153" s="66" t="s">
        <v>10359</v>
      </c>
      <c r="D3153" s="66"/>
      <c r="E3153" s="66"/>
      <c r="F3153" s="66"/>
      <c r="G3153" s="27" t="s">
        <v>10360</v>
      </c>
      <c r="H3153" s="28" t="s">
        <v>44</v>
      </c>
      <c r="I3153" s="29"/>
      <c r="J3153" s="25">
        <v>3</v>
      </c>
      <c r="K3153" s="30">
        <v>222.72</v>
      </c>
      <c r="L3153" s="17"/>
      <c r="M3153" s="29">
        <f>K3153*L3153</f>
        <v>0</v>
      </c>
      <c r="N3153" s="31">
        <f>0.273*L3153</f>
        <v>0</v>
      </c>
      <c r="O3153" s="32">
        <f>0.00092*L3153</f>
        <v>0</v>
      </c>
      <c r="P3153" s="36"/>
      <c r="Q3153" s="29" t="s">
        <v>10361</v>
      </c>
      <c r="R3153" s="29"/>
      <c r="S3153" s="26" t="str">
        <f>HYPERLINK("https://miland.ru/api/getInfo/image/c347fd47-688b-11f0-a283-00155d82e908")</f>
        <v>https://miland.ru/api/getInfo/image/c347fd47-688b-11f0-a283-00155d82e908</v>
      </c>
    </row>
    <row r="3154" spans="1:19" s="1" customFormat="1" ht="12" customHeight="1" outlineLevel="5">
      <c r="A3154" s="64" t="s">
        <v>10362</v>
      </c>
      <c r="B3154" s="64"/>
      <c r="C3154" s="64"/>
      <c r="D3154" s="64"/>
      <c r="E3154" s="64"/>
      <c r="F3154" s="64"/>
      <c r="G3154" s="8"/>
      <c r="H3154" s="12"/>
      <c r="I3154" s="2"/>
      <c r="J3154" s="2"/>
      <c r="K3154" s="13"/>
      <c r="L3154" s="2"/>
      <c r="M3154" s="2"/>
      <c r="N3154" s="2"/>
      <c r="O3154" s="2"/>
      <c r="P3154" s="2"/>
      <c r="Q3154" s="2"/>
      <c r="R3154" s="2"/>
      <c r="S3154" s="2"/>
    </row>
    <row r="3155" spans="1:19" s="2" customFormat="1" ht="96.2" customHeight="1" outlineLevel="6">
      <c r="A3155" s="52">
        <v>2459</v>
      </c>
      <c r="B3155" s="26" t="s">
        <v>10363</v>
      </c>
      <c r="C3155" s="66" t="s">
        <v>10364</v>
      </c>
      <c r="D3155" s="66"/>
      <c r="E3155" s="66"/>
      <c r="F3155" s="66"/>
      <c r="G3155" s="27" t="s">
        <v>10365</v>
      </c>
      <c r="H3155" s="28" t="s">
        <v>44</v>
      </c>
      <c r="I3155" s="29"/>
      <c r="J3155" s="25">
        <v>1</v>
      </c>
      <c r="K3155" s="37">
        <v>1747.57</v>
      </c>
      <c r="L3155" s="17"/>
      <c r="M3155" s="29">
        <f>K3155*L3155</f>
        <v>0</v>
      </c>
      <c r="N3155" s="31">
        <f>0.656*L3155</f>
        <v>0</v>
      </c>
      <c r="O3155" s="32">
        <f>0.00244*L3155</f>
        <v>0</v>
      </c>
      <c r="P3155" s="36"/>
      <c r="Q3155" s="29" t="s">
        <v>10366</v>
      </c>
      <c r="R3155" s="29" t="s">
        <v>611</v>
      </c>
      <c r="S3155" s="26" t="str">
        <f>HYPERLINK("https://miland.ru/api/getInfo/image/ee6e7a12-c0fb-11ef-a267-00155d82e908")</f>
        <v>https://miland.ru/api/getInfo/image/ee6e7a12-c0fb-11ef-a267-00155d82e908</v>
      </c>
    </row>
    <row r="3156" spans="1:19" s="2" customFormat="1" ht="96.2" customHeight="1" outlineLevel="6">
      <c r="A3156" s="52">
        <v>2460</v>
      </c>
      <c r="B3156" s="26" t="s">
        <v>10367</v>
      </c>
      <c r="C3156" s="66" t="s">
        <v>10368</v>
      </c>
      <c r="D3156" s="66"/>
      <c r="E3156" s="66"/>
      <c r="F3156" s="66"/>
      <c r="G3156" s="27" t="s">
        <v>10369</v>
      </c>
      <c r="H3156" s="28" t="s">
        <v>44</v>
      </c>
      <c r="I3156" s="29"/>
      <c r="J3156" s="25">
        <v>1</v>
      </c>
      <c r="K3156" s="37">
        <v>1274</v>
      </c>
      <c r="L3156" s="17"/>
      <c r="M3156" s="29">
        <f>K3156*L3156</f>
        <v>0</v>
      </c>
      <c r="N3156" s="31">
        <f>0.713*L3156</f>
        <v>0</v>
      </c>
      <c r="O3156" s="32">
        <f>0.00278*L3156</f>
        <v>0</v>
      </c>
      <c r="P3156" s="36"/>
      <c r="Q3156" s="29" t="s">
        <v>10370</v>
      </c>
      <c r="R3156" s="29" t="s">
        <v>611</v>
      </c>
      <c r="S3156" s="26" t="str">
        <f>HYPERLINK("https://miland.ru/api/getInfo/image/0e35cce8-c0fc-11ef-a267-00155d82e908")</f>
        <v>https://miland.ru/api/getInfo/image/0e35cce8-c0fc-11ef-a267-00155d82e908</v>
      </c>
    </row>
    <row r="3157" spans="1:19" s="2" customFormat="1" ht="96.2" customHeight="1" outlineLevel="6">
      <c r="A3157" s="52">
        <v>2461</v>
      </c>
      <c r="B3157" s="26" t="s">
        <v>10371</v>
      </c>
      <c r="C3157" s="66" t="s">
        <v>10372</v>
      </c>
      <c r="D3157" s="66"/>
      <c r="E3157" s="66"/>
      <c r="F3157" s="66"/>
      <c r="G3157" s="27" t="s">
        <v>10373</v>
      </c>
      <c r="H3157" s="28" t="s">
        <v>44</v>
      </c>
      <c r="I3157" s="29"/>
      <c r="J3157" s="25">
        <v>1</v>
      </c>
      <c r="K3157" s="37">
        <v>2174.64</v>
      </c>
      <c r="L3157" s="17"/>
      <c r="M3157" s="29">
        <f>K3157*L3157</f>
        <v>0</v>
      </c>
      <c r="N3157" s="31">
        <f>0.685*L3157</f>
        <v>0</v>
      </c>
      <c r="O3157" s="32">
        <f>0.00259*L3157</f>
        <v>0</v>
      </c>
      <c r="P3157" s="36"/>
      <c r="Q3157" s="29" t="s">
        <v>10374</v>
      </c>
      <c r="R3157" s="29" t="s">
        <v>611</v>
      </c>
      <c r="S3157" s="26" t="str">
        <f>HYPERLINK("https://miland.ru/api/getInfo/image/63398af4-c0fb-11ef-a267-00155d82e908")</f>
        <v>https://miland.ru/api/getInfo/image/63398af4-c0fb-11ef-a267-00155d82e908</v>
      </c>
    </row>
    <row r="3158" spans="1:19" s="1" customFormat="1" ht="12" customHeight="1" outlineLevel="5">
      <c r="A3158" s="64" t="s">
        <v>10296</v>
      </c>
      <c r="B3158" s="64"/>
      <c r="C3158" s="64"/>
      <c r="D3158" s="64"/>
      <c r="E3158" s="64"/>
      <c r="F3158" s="64"/>
      <c r="G3158" s="8"/>
      <c r="H3158" s="12"/>
      <c r="I3158" s="2"/>
      <c r="J3158" s="2"/>
      <c r="K3158" s="13"/>
      <c r="L3158" s="2"/>
      <c r="M3158" s="2"/>
      <c r="N3158" s="2"/>
      <c r="O3158" s="2"/>
      <c r="P3158" s="2"/>
      <c r="Q3158" s="2"/>
      <c r="R3158" s="2"/>
      <c r="S3158" s="2"/>
    </row>
    <row r="3159" spans="1:19" s="1" customFormat="1" ht="12" customHeight="1" outlineLevel="6">
      <c r="A3159" s="64" t="s">
        <v>10375</v>
      </c>
      <c r="B3159" s="64"/>
      <c r="C3159" s="64"/>
      <c r="D3159" s="64"/>
      <c r="E3159" s="64"/>
      <c r="F3159" s="64"/>
      <c r="G3159" s="8"/>
      <c r="H3159" s="12"/>
      <c r="I3159" s="2"/>
      <c r="J3159" s="2"/>
      <c r="K3159" s="13"/>
      <c r="L3159" s="2"/>
      <c r="M3159" s="2"/>
      <c r="N3159" s="2"/>
      <c r="O3159" s="2"/>
      <c r="P3159" s="2"/>
      <c r="Q3159" s="2"/>
      <c r="R3159" s="2"/>
      <c r="S3159" s="2"/>
    </row>
    <row r="3160" spans="1:19" s="2" customFormat="1" ht="96.2" customHeight="1" outlineLevel="7">
      <c r="A3160" s="52">
        <v>2462</v>
      </c>
      <c r="B3160" s="26" t="s">
        <v>10376</v>
      </c>
      <c r="C3160" s="66" t="s">
        <v>10377</v>
      </c>
      <c r="D3160" s="66"/>
      <c r="E3160" s="66"/>
      <c r="F3160" s="66"/>
      <c r="G3160" s="27" t="s">
        <v>10378</v>
      </c>
      <c r="H3160" s="28" t="s">
        <v>44</v>
      </c>
      <c r="I3160" s="29"/>
      <c r="J3160" s="25">
        <v>4</v>
      </c>
      <c r="K3160" s="30">
        <v>174.18</v>
      </c>
      <c r="L3160" s="17"/>
      <c r="M3160" s="29">
        <f>K3160*L3160</f>
        <v>0</v>
      </c>
      <c r="N3160" s="31">
        <f>0.186*L3160</f>
        <v>0</v>
      </c>
      <c r="O3160" s="32">
        <f>0.00087*L3160</f>
        <v>0</v>
      </c>
      <c r="P3160" s="36"/>
      <c r="Q3160" s="29" t="s">
        <v>10379</v>
      </c>
      <c r="R3160" s="29"/>
      <c r="S3160" s="26" t="str">
        <f>HYPERLINK("https://miland.ru/api/getInfo/image/0a565541-1b1d-11ea-a237-ac1f6b442184")</f>
        <v>https://miland.ru/api/getInfo/image/0a565541-1b1d-11ea-a237-ac1f6b442184</v>
      </c>
    </row>
    <row r="3161" spans="1:19" s="2" customFormat="1" ht="96.2" customHeight="1" outlineLevel="7">
      <c r="A3161" s="52">
        <v>2463</v>
      </c>
      <c r="B3161" s="26" t="s">
        <v>10380</v>
      </c>
      <c r="C3161" s="66" t="s">
        <v>10381</v>
      </c>
      <c r="D3161" s="66"/>
      <c r="E3161" s="66"/>
      <c r="F3161" s="66"/>
      <c r="G3161" s="27" t="s">
        <v>10382</v>
      </c>
      <c r="H3161" s="28" t="s">
        <v>44</v>
      </c>
      <c r="I3161" s="29"/>
      <c r="J3161" s="25">
        <v>4</v>
      </c>
      <c r="K3161" s="30">
        <v>182.48</v>
      </c>
      <c r="L3161" s="17"/>
      <c r="M3161" s="29">
        <f>K3161*L3161</f>
        <v>0</v>
      </c>
      <c r="N3161" s="41">
        <f>0.2*L3161</f>
        <v>0</v>
      </c>
      <c r="O3161" s="32">
        <f>0.00081*L3161</f>
        <v>0</v>
      </c>
      <c r="P3161" s="36"/>
      <c r="Q3161" s="29" t="s">
        <v>10383</v>
      </c>
      <c r="R3161" s="29"/>
      <c r="S3161" s="26" t="str">
        <f>HYPERLINK("https://miland.ru/api/getInfo/image/d17f64ac-1b1c-11ea-a237-ac1f6b442184")</f>
        <v>https://miland.ru/api/getInfo/image/d17f64ac-1b1c-11ea-a237-ac1f6b442184</v>
      </c>
    </row>
    <row r="3162" spans="1:19" s="2" customFormat="1" ht="96.2" customHeight="1" outlineLevel="7">
      <c r="A3162" s="52">
        <v>2464</v>
      </c>
      <c r="B3162" s="26" t="s">
        <v>10384</v>
      </c>
      <c r="C3162" s="66" t="s">
        <v>10385</v>
      </c>
      <c r="D3162" s="66"/>
      <c r="E3162" s="66"/>
      <c r="F3162" s="66"/>
      <c r="G3162" s="27" t="s">
        <v>10386</v>
      </c>
      <c r="H3162" s="28" t="s">
        <v>44</v>
      </c>
      <c r="I3162" s="29"/>
      <c r="J3162" s="25">
        <v>4</v>
      </c>
      <c r="K3162" s="30">
        <v>182.48</v>
      </c>
      <c r="L3162" s="17"/>
      <c r="M3162" s="29">
        <f>K3162*L3162</f>
        <v>0</v>
      </c>
      <c r="N3162" s="41">
        <f>0.2*L3162</f>
        <v>0</v>
      </c>
      <c r="O3162" s="32">
        <f>0.00081*L3162</f>
        <v>0</v>
      </c>
      <c r="P3162" s="36"/>
      <c r="Q3162" s="29" t="s">
        <v>10387</v>
      </c>
      <c r="R3162" s="29"/>
      <c r="S3162" s="26" t="str">
        <f>HYPERLINK("https://miland.ru/api/getInfo/image/2e2a6c88-1b1d-11ea-a237-ac1f6b442184")</f>
        <v>https://miland.ru/api/getInfo/image/2e2a6c88-1b1d-11ea-a237-ac1f6b442184</v>
      </c>
    </row>
    <row r="3163" spans="1:19" s="2" customFormat="1" ht="96.2" customHeight="1" outlineLevel="7">
      <c r="A3163" s="52">
        <v>2465</v>
      </c>
      <c r="B3163" s="26" t="s">
        <v>10388</v>
      </c>
      <c r="C3163" s="66" t="s">
        <v>10389</v>
      </c>
      <c r="D3163" s="66"/>
      <c r="E3163" s="66"/>
      <c r="F3163" s="66"/>
      <c r="G3163" s="27" t="s">
        <v>10390</v>
      </c>
      <c r="H3163" s="28" t="s">
        <v>44</v>
      </c>
      <c r="I3163" s="29"/>
      <c r="J3163" s="25">
        <v>4</v>
      </c>
      <c r="K3163" s="30">
        <v>182.48</v>
      </c>
      <c r="L3163" s="17"/>
      <c r="M3163" s="29">
        <f>K3163*L3163</f>
        <v>0</v>
      </c>
      <c r="N3163" s="31">
        <f>0.198*L3163</f>
        <v>0</v>
      </c>
      <c r="O3163" s="32">
        <f>0.00082*L3163</f>
        <v>0</v>
      </c>
      <c r="P3163" s="36"/>
      <c r="Q3163" s="29" t="s">
        <v>10391</v>
      </c>
      <c r="R3163" s="29"/>
      <c r="S3163" s="26" t="str">
        <f>HYPERLINK("https://miland.ru/api/getInfo/image/519b0777-1b1d-11ea-a237-ac1f6b442184")</f>
        <v>https://miland.ru/api/getInfo/image/519b0777-1b1d-11ea-a237-ac1f6b442184</v>
      </c>
    </row>
    <row r="3164" spans="1:19" s="1" customFormat="1" ht="12" customHeight="1" outlineLevel="6">
      <c r="A3164" s="64" t="s">
        <v>10392</v>
      </c>
      <c r="B3164" s="64"/>
      <c r="C3164" s="64"/>
      <c r="D3164" s="64"/>
      <c r="E3164" s="64"/>
      <c r="F3164" s="64"/>
      <c r="G3164" s="8"/>
      <c r="H3164" s="12"/>
      <c r="I3164" s="2"/>
      <c r="J3164" s="2"/>
      <c r="K3164" s="13"/>
      <c r="L3164" s="2"/>
      <c r="M3164" s="2"/>
      <c r="N3164" s="2"/>
      <c r="O3164" s="2"/>
      <c r="P3164" s="2"/>
      <c r="Q3164" s="2"/>
      <c r="R3164" s="2"/>
      <c r="S3164" s="2"/>
    </row>
    <row r="3165" spans="1:19" s="2" customFormat="1" ht="96.2" customHeight="1" outlineLevel="7">
      <c r="A3165" s="52">
        <v>2466</v>
      </c>
      <c r="B3165" s="26" t="s">
        <v>10393</v>
      </c>
      <c r="C3165" s="66" t="s">
        <v>10394</v>
      </c>
      <c r="D3165" s="66"/>
      <c r="E3165" s="66"/>
      <c r="F3165" s="66"/>
      <c r="G3165" s="27" t="s">
        <v>10395</v>
      </c>
      <c r="H3165" s="28" t="s">
        <v>44</v>
      </c>
      <c r="I3165" s="29"/>
      <c r="J3165" s="25">
        <v>3</v>
      </c>
      <c r="K3165" s="30">
        <v>217</v>
      </c>
      <c r="L3165" s="17"/>
      <c r="M3165" s="29">
        <f t="shared" ref="M3165:M3170" si="149">K3165*L3165</f>
        <v>0</v>
      </c>
      <c r="N3165" s="31">
        <f>0.273*L3165</f>
        <v>0</v>
      </c>
      <c r="O3165" s="35">
        <f>0.0009*L3165</f>
        <v>0</v>
      </c>
      <c r="P3165" s="36"/>
      <c r="Q3165" s="29" t="s">
        <v>10396</v>
      </c>
      <c r="R3165" s="29"/>
      <c r="S3165" s="26" t="str">
        <f>HYPERLINK("https://miland.ru/api/getInfo/image/3a769c47-1b1c-11ea-a237-ac1f6b442184")</f>
        <v>https://miland.ru/api/getInfo/image/3a769c47-1b1c-11ea-a237-ac1f6b442184</v>
      </c>
    </row>
    <row r="3166" spans="1:19" s="2" customFormat="1" ht="96.2" customHeight="1" outlineLevel="7">
      <c r="A3166" s="52">
        <v>2467</v>
      </c>
      <c r="B3166" s="26" t="s">
        <v>10397</v>
      </c>
      <c r="C3166" s="66" t="s">
        <v>10398</v>
      </c>
      <c r="D3166" s="66"/>
      <c r="E3166" s="66"/>
      <c r="F3166" s="66"/>
      <c r="G3166" s="27" t="s">
        <v>10399</v>
      </c>
      <c r="H3166" s="28" t="s">
        <v>44</v>
      </c>
      <c r="I3166" s="29"/>
      <c r="J3166" s="25">
        <v>3</v>
      </c>
      <c r="K3166" s="30">
        <v>217</v>
      </c>
      <c r="L3166" s="17"/>
      <c r="M3166" s="29">
        <f t="shared" si="149"/>
        <v>0</v>
      </c>
      <c r="N3166" s="31">
        <f>0.278*L3166</f>
        <v>0</v>
      </c>
      <c r="O3166" s="32">
        <f>0.00115*L3166</f>
        <v>0</v>
      </c>
      <c r="P3166" s="36"/>
      <c r="Q3166" s="29" t="s">
        <v>10400</v>
      </c>
      <c r="R3166" s="29"/>
      <c r="S3166" s="26" t="str">
        <f>HYPERLINK("https://miland.ru/api/getInfo/image/1675fbf6-1b1c-11ea-a237-ac1f6b442184")</f>
        <v>https://miland.ru/api/getInfo/image/1675fbf6-1b1c-11ea-a237-ac1f6b442184</v>
      </c>
    </row>
    <row r="3167" spans="1:19" s="2" customFormat="1" ht="96.2" customHeight="1" outlineLevel="7">
      <c r="A3167" s="52">
        <v>2468</v>
      </c>
      <c r="B3167" s="26" t="s">
        <v>10401</v>
      </c>
      <c r="C3167" s="66" t="s">
        <v>10402</v>
      </c>
      <c r="D3167" s="66"/>
      <c r="E3167" s="66"/>
      <c r="F3167" s="66"/>
      <c r="G3167" s="27" t="s">
        <v>10403</v>
      </c>
      <c r="H3167" s="28" t="s">
        <v>44</v>
      </c>
      <c r="I3167" s="29"/>
      <c r="J3167" s="25">
        <v>3</v>
      </c>
      <c r="K3167" s="30">
        <v>217</v>
      </c>
      <c r="L3167" s="17"/>
      <c r="M3167" s="29">
        <f t="shared" si="149"/>
        <v>0</v>
      </c>
      <c r="N3167" s="31">
        <f>0.282*L3167</f>
        <v>0</v>
      </c>
      <c r="O3167" s="32">
        <f>0.00617*L3167</f>
        <v>0</v>
      </c>
      <c r="P3167" s="36"/>
      <c r="Q3167" s="29" t="s">
        <v>10404</v>
      </c>
      <c r="R3167" s="29"/>
      <c r="S3167" s="26" t="str">
        <f>HYPERLINK("https://miland.ru/api/getInfo/image/4b89430b-6917-11f0-a283-00155d82e908")</f>
        <v>https://miland.ru/api/getInfo/image/4b89430b-6917-11f0-a283-00155d82e908</v>
      </c>
    </row>
    <row r="3168" spans="1:19" s="2" customFormat="1" ht="96.2" customHeight="1" outlineLevel="7">
      <c r="A3168" s="52">
        <v>2469</v>
      </c>
      <c r="B3168" s="26" t="s">
        <v>10405</v>
      </c>
      <c r="C3168" s="66" t="s">
        <v>10406</v>
      </c>
      <c r="D3168" s="66"/>
      <c r="E3168" s="66"/>
      <c r="F3168" s="66"/>
      <c r="G3168" s="27" t="s">
        <v>10407</v>
      </c>
      <c r="H3168" s="28" t="s">
        <v>44</v>
      </c>
      <c r="I3168" s="29"/>
      <c r="J3168" s="25">
        <v>3</v>
      </c>
      <c r="K3168" s="30">
        <v>217</v>
      </c>
      <c r="L3168" s="17"/>
      <c r="M3168" s="29">
        <f t="shared" si="149"/>
        <v>0</v>
      </c>
      <c r="N3168" s="31">
        <f>0.275*L3168</f>
        <v>0</v>
      </c>
      <c r="O3168" s="35">
        <f>0.0009*L3168</f>
        <v>0</v>
      </c>
      <c r="P3168" s="36"/>
      <c r="Q3168" s="29" t="s">
        <v>10408</v>
      </c>
      <c r="R3168" s="29"/>
      <c r="S3168" s="26" t="str">
        <f>HYPERLINK("https://miland.ru/api/getInfo/image/70f38ae7-1b1c-11ea-a237-ac1f6b442184")</f>
        <v>https://miland.ru/api/getInfo/image/70f38ae7-1b1c-11ea-a237-ac1f6b442184</v>
      </c>
    </row>
    <row r="3169" spans="1:19" s="2" customFormat="1" ht="96.2" customHeight="1" outlineLevel="7">
      <c r="A3169" s="52">
        <v>2470</v>
      </c>
      <c r="B3169" s="26" t="s">
        <v>10409</v>
      </c>
      <c r="C3169" s="66" t="s">
        <v>10410</v>
      </c>
      <c r="D3169" s="66"/>
      <c r="E3169" s="66"/>
      <c r="F3169" s="66"/>
      <c r="G3169" s="27" t="s">
        <v>10411</v>
      </c>
      <c r="H3169" s="28" t="s">
        <v>44</v>
      </c>
      <c r="I3169" s="29"/>
      <c r="J3169" s="25">
        <v>3</v>
      </c>
      <c r="K3169" s="30">
        <v>193.22</v>
      </c>
      <c r="L3169" s="17"/>
      <c r="M3169" s="29">
        <f t="shared" si="149"/>
        <v>0</v>
      </c>
      <c r="N3169" s="31">
        <f>0.272*L3169</f>
        <v>0</v>
      </c>
      <c r="O3169" s="32">
        <f>0.00099*L3169</f>
        <v>0</v>
      </c>
      <c r="P3169" s="36"/>
      <c r="Q3169" s="29" t="s">
        <v>10412</v>
      </c>
      <c r="R3169" s="29"/>
      <c r="S3169" s="26" t="str">
        <f>HYPERLINK("https://miland.ru/api/getInfo/image/9f4a1cb9-1b1c-11ea-a237-ac1f6b442184")</f>
        <v>https://miland.ru/api/getInfo/image/9f4a1cb9-1b1c-11ea-a237-ac1f6b442184</v>
      </c>
    </row>
    <row r="3170" spans="1:19" s="2" customFormat="1" ht="96.2" customHeight="1" outlineLevel="7">
      <c r="A3170" s="52">
        <v>2471</v>
      </c>
      <c r="B3170" s="26" t="s">
        <v>10413</v>
      </c>
      <c r="C3170" s="66" t="s">
        <v>10414</v>
      </c>
      <c r="D3170" s="66"/>
      <c r="E3170" s="66"/>
      <c r="F3170" s="66"/>
      <c r="G3170" s="27" t="s">
        <v>10415</v>
      </c>
      <c r="H3170" s="28" t="s">
        <v>44</v>
      </c>
      <c r="I3170" s="29"/>
      <c r="J3170" s="25">
        <v>3</v>
      </c>
      <c r="K3170" s="30">
        <v>217</v>
      </c>
      <c r="L3170" s="17"/>
      <c r="M3170" s="29">
        <f t="shared" si="149"/>
        <v>0</v>
      </c>
      <c r="N3170" s="34">
        <f>0.27*L3170</f>
        <v>0</v>
      </c>
      <c r="O3170" s="35">
        <f>0.0009*L3170</f>
        <v>0</v>
      </c>
      <c r="P3170" s="36"/>
      <c r="Q3170" s="29" t="s">
        <v>10416</v>
      </c>
      <c r="R3170" s="29"/>
      <c r="S3170" s="26" t="str">
        <f>HYPERLINK("https://miland.ru/api/getInfo/image/6eac6d6b-6917-11f0-a283-00155d82e908")</f>
        <v>https://miland.ru/api/getInfo/image/6eac6d6b-6917-11f0-a283-00155d82e908</v>
      </c>
    </row>
    <row r="3171" spans="1:19" s="1" customFormat="1" ht="12" customHeight="1" outlineLevel="6">
      <c r="A3171" s="64" t="s">
        <v>10297</v>
      </c>
      <c r="B3171" s="64"/>
      <c r="C3171" s="64"/>
      <c r="D3171" s="64"/>
      <c r="E3171" s="64"/>
      <c r="F3171" s="64"/>
      <c r="G3171" s="8"/>
      <c r="H3171" s="12"/>
      <c r="I3171" s="2"/>
      <c r="J3171" s="2"/>
      <c r="K3171" s="13"/>
      <c r="L3171" s="2"/>
      <c r="M3171" s="2"/>
      <c r="N3171" s="2"/>
      <c r="O3171" s="2"/>
      <c r="P3171" s="2"/>
      <c r="Q3171" s="2"/>
      <c r="R3171" s="2"/>
      <c r="S3171" s="2"/>
    </row>
    <row r="3172" spans="1:19" s="2" customFormat="1" ht="96.2" customHeight="1" outlineLevel="7">
      <c r="A3172" s="52">
        <v>2472</v>
      </c>
      <c r="B3172" s="26" t="s">
        <v>10417</v>
      </c>
      <c r="C3172" s="66" t="s">
        <v>10418</v>
      </c>
      <c r="D3172" s="66"/>
      <c r="E3172" s="66"/>
      <c r="F3172" s="66"/>
      <c r="G3172" s="27" t="s">
        <v>10419</v>
      </c>
      <c r="H3172" s="28" t="s">
        <v>44</v>
      </c>
      <c r="I3172" s="29"/>
      <c r="J3172" s="25">
        <v>3</v>
      </c>
      <c r="K3172" s="30">
        <v>262.61</v>
      </c>
      <c r="L3172" s="17"/>
      <c r="M3172" s="29">
        <f>K3172*L3172</f>
        <v>0</v>
      </c>
      <c r="N3172" s="31">
        <f>0.264*L3172</f>
        <v>0</v>
      </c>
      <c r="O3172" s="32">
        <f>0.00141*L3172</f>
        <v>0</v>
      </c>
      <c r="P3172" s="36"/>
      <c r="Q3172" s="29" t="s">
        <v>10420</v>
      </c>
      <c r="R3172" s="29"/>
      <c r="S3172" s="26" t="str">
        <f>HYPERLINK("https://miland.ru/api/getInfo/image/e0686ee1-2a36-11f0-a27b-00155d82e908")</f>
        <v>https://miland.ru/api/getInfo/image/e0686ee1-2a36-11f0-a27b-00155d82e908</v>
      </c>
    </row>
    <row r="3173" spans="1:19" s="1" customFormat="1" ht="12" customHeight="1" outlineLevel="5">
      <c r="A3173" s="64" t="s">
        <v>1720</v>
      </c>
      <c r="B3173" s="64"/>
      <c r="C3173" s="64"/>
      <c r="D3173" s="64"/>
      <c r="E3173" s="64"/>
      <c r="F3173" s="64"/>
      <c r="G3173" s="8"/>
      <c r="H3173" s="12"/>
      <c r="I3173" s="2"/>
      <c r="J3173" s="2"/>
      <c r="K3173" s="13"/>
      <c r="L3173" s="2"/>
      <c r="M3173" s="2"/>
      <c r="N3173" s="2"/>
      <c r="O3173" s="2"/>
      <c r="P3173" s="2"/>
      <c r="Q3173" s="2"/>
      <c r="R3173" s="2"/>
      <c r="S3173" s="2"/>
    </row>
    <row r="3174" spans="1:19" s="1" customFormat="1" ht="12" customHeight="1" outlineLevel="6">
      <c r="A3174" s="64" t="s">
        <v>10320</v>
      </c>
      <c r="B3174" s="64"/>
      <c r="C3174" s="64"/>
      <c r="D3174" s="64"/>
      <c r="E3174" s="64"/>
      <c r="F3174" s="64"/>
      <c r="G3174" s="8"/>
      <c r="H3174" s="12"/>
      <c r="I3174" s="2"/>
      <c r="J3174" s="2"/>
      <c r="K3174" s="13"/>
      <c r="L3174" s="2"/>
      <c r="M3174" s="2"/>
      <c r="N3174" s="2"/>
      <c r="O3174" s="2"/>
      <c r="P3174" s="2"/>
      <c r="Q3174" s="2"/>
      <c r="R3174" s="2"/>
      <c r="S3174" s="2"/>
    </row>
    <row r="3175" spans="1:19" s="2" customFormat="1" ht="96.2" customHeight="1" outlineLevel="7">
      <c r="A3175" s="52">
        <v>2473</v>
      </c>
      <c r="B3175" s="26" t="s">
        <v>10421</v>
      </c>
      <c r="C3175" s="66" t="s">
        <v>10422</v>
      </c>
      <c r="D3175" s="66"/>
      <c r="E3175" s="66"/>
      <c r="F3175" s="66"/>
      <c r="G3175" s="27" t="s">
        <v>10423</v>
      </c>
      <c r="H3175" s="33">
        <v>479</v>
      </c>
      <c r="I3175" s="29"/>
      <c r="J3175" s="25">
        <v>4</v>
      </c>
      <c r="K3175" s="30">
        <v>182.4</v>
      </c>
      <c r="L3175" s="17"/>
      <c r="M3175" s="29">
        <f>K3175*L3175</f>
        <v>0</v>
      </c>
      <c r="N3175" s="31">
        <f>0.192*L3175</f>
        <v>0</v>
      </c>
      <c r="O3175" s="32">
        <f>0.00084*L3175</f>
        <v>0</v>
      </c>
      <c r="P3175" s="36"/>
      <c r="Q3175" s="29" t="s">
        <v>10424</v>
      </c>
      <c r="R3175" s="29"/>
      <c r="S3175" s="26" t="str">
        <f>HYPERLINK("https://miland.ru/api/getInfo/image/a71fc6f8-29ac-11f0-a279-00155d82e908")</f>
        <v>https://miland.ru/api/getInfo/image/a71fc6f8-29ac-11f0-a279-00155d82e908</v>
      </c>
    </row>
    <row r="3176" spans="1:19" s="2" customFormat="1" ht="96.2" customHeight="1" outlineLevel="7">
      <c r="A3176" s="52">
        <v>2474</v>
      </c>
      <c r="B3176" s="26" t="s">
        <v>10425</v>
      </c>
      <c r="C3176" s="66" t="s">
        <v>10426</v>
      </c>
      <c r="D3176" s="66"/>
      <c r="E3176" s="66"/>
      <c r="F3176" s="66"/>
      <c r="G3176" s="27" t="s">
        <v>10427</v>
      </c>
      <c r="H3176" s="33">
        <v>479</v>
      </c>
      <c r="I3176" s="29"/>
      <c r="J3176" s="25">
        <v>4</v>
      </c>
      <c r="K3176" s="30">
        <v>182.4</v>
      </c>
      <c r="L3176" s="17"/>
      <c r="M3176" s="29">
        <f>K3176*L3176</f>
        <v>0</v>
      </c>
      <c r="N3176" s="31">
        <f>0.184*L3176</f>
        <v>0</v>
      </c>
      <c r="O3176" s="32">
        <f>0.00083*L3176</f>
        <v>0</v>
      </c>
      <c r="P3176" s="36"/>
      <c r="Q3176" s="29" t="s">
        <v>10428</v>
      </c>
      <c r="R3176" s="29"/>
      <c r="S3176" s="26" t="str">
        <f>HYPERLINK("https://miland.ru/api/getInfo/image/ea723c5c-29ad-11f0-a279-00155d82e908")</f>
        <v>https://miland.ru/api/getInfo/image/ea723c5c-29ad-11f0-a279-00155d82e908</v>
      </c>
    </row>
    <row r="3177" spans="1:19" s="2" customFormat="1" ht="96.2" customHeight="1" outlineLevel="7">
      <c r="A3177" s="52">
        <v>2475</v>
      </c>
      <c r="B3177" s="26" t="s">
        <v>10429</v>
      </c>
      <c r="C3177" s="66" t="s">
        <v>10430</v>
      </c>
      <c r="D3177" s="66"/>
      <c r="E3177" s="66"/>
      <c r="F3177" s="66"/>
      <c r="G3177" s="27" t="s">
        <v>10431</v>
      </c>
      <c r="H3177" s="33">
        <v>479</v>
      </c>
      <c r="I3177" s="29"/>
      <c r="J3177" s="25">
        <v>4</v>
      </c>
      <c r="K3177" s="30">
        <v>182.4</v>
      </c>
      <c r="L3177" s="17"/>
      <c r="M3177" s="29">
        <f>K3177*L3177</f>
        <v>0</v>
      </c>
      <c r="N3177" s="31">
        <f>0.277*L3177</f>
        <v>0</v>
      </c>
      <c r="O3177" s="32">
        <f>0.00085*L3177</f>
        <v>0</v>
      </c>
      <c r="P3177" s="36"/>
      <c r="Q3177" s="29" t="s">
        <v>10432</v>
      </c>
      <c r="R3177" s="29"/>
      <c r="S3177" s="26" t="str">
        <f>HYPERLINK("https://miland.ru/api/getInfo/image/9051bb17-29ad-11f0-a279-00155d82e908")</f>
        <v>https://miland.ru/api/getInfo/image/9051bb17-29ad-11f0-a279-00155d82e908</v>
      </c>
    </row>
    <row r="3178" spans="1:19" s="2" customFormat="1" ht="96.2" customHeight="1" outlineLevel="7">
      <c r="A3178" s="52">
        <v>2476</v>
      </c>
      <c r="B3178" s="26" t="s">
        <v>10433</v>
      </c>
      <c r="C3178" s="66" t="s">
        <v>10434</v>
      </c>
      <c r="D3178" s="66"/>
      <c r="E3178" s="66"/>
      <c r="F3178" s="66"/>
      <c r="G3178" s="27" t="s">
        <v>10435</v>
      </c>
      <c r="H3178" s="33">
        <v>479</v>
      </c>
      <c r="I3178" s="29"/>
      <c r="J3178" s="25">
        <v>4</v>
      </c>
      <c r="K3178" s="30">
        <v>182.4</v>
      </c>
      <c r="L3178" s="17"/>
      <c r="M3178" s="29">
        <f>K3178*L3178</f>
        <v>0</v>
      </c>
      <c r="N3178" s="31">
        <f>0.197*L3178</f>
        <v>0</v>
      </c>
      <c r="O3178" s="32">
        <f>0.00094*L3178</f>
        <v>0</v>
      </c>
      <c r="P3178" s="36"/>
      <c r="Q3178" s="29" t="s">
        <v>10436</v>
      </c>
      <c r="R3178" s="29"/>
      <c r="S3178" s="26" t="str">
        <f>HYPERLINK("https://miland.ru/api/getInfo/image/1e0cc494-29ad-11f0-a279-00155d82e908")</f>
        <v>https://miland.ru/api/getInfo/image/1e0cc494-29ad-11f0-a279-00155d82e908</v>
      </c>
    </row>
    <row r="3179" spans="1:19" s="2" customFormat="1" ht="96.2" customHeight="1" outlineLevel="7">
      <c r="A3179" s="52">
        <v>2477</v>
      </c>
      <c r="B3179" s="26" t="s">
        <v>10437</v>
      </c>
      <c r="C3179" s="66" t="s">
        <v>10438</v>
      </c>
      <c r="D3179" s="66"/>
      <c r="E3179" s="66"/>
      <c r="F3179" s="66"/>
      <c r="G3179" s="27" t="s">
        <v>10439</v>
      </c>
      <c r="H3179" s="28" t="s">
        <v>44</v>
      </c>
      <c r="I3179" s="29"/>
      <c r="J3179" s="25">
        <v>4</v>
      </c>
      <c r="K3179" s="30">
        <v>174.18</v>
      </c>
      <c r="L3179" s="17"/>
      <c r="M3179" s="29">
        <f>K3179*L3179</f>
        <v>0</v>
      </c>
      <c r="N3179" s="31">
        <f>0.185*L3179</f>
        <v>0</v>
      </c>
      <c r="O3179" s="32">
        <f>0.00084*L3179</f>
        <v>0</v>
      </c>
      <c r="P3179" s="36"/>
      <c r="Q3179" s="29" t="s">
        <v>10440</v>
      </c>
      <c r="R3179" s="29"/>
      <c r="S3179" s="26" t="str">
        <f>HYPERLINK("https://miland.ru/api/getInfo/image/fb3184e6-6916-11f0-a283-00155d82e908")</f>
        <v>https://miland.ru/api/getInfo/image/fb3184e6-6916-11f0-a283-00155d82e908</v>
      </c>
    </row>
    <row r="3180" spans="1:19" s="1" customFormat="1" ht="12" customHeight="1" outlineLevel="6">
      <c r="A3180" s="64" t="s">
        <v>10441</v>
      </c>
      <c r="B3180" s="64"/>
      <c r="C3180" s="64"/>
      <c r="D3180" s="64"/>
      <c r="E3180" s="64"/>
      <c r="F3180" s="64"/>
      <c r="G3180" s="8"/>
      <c r="H3180" s="12"/>
      <c r="I3180" s="2"/>
      <c r="J3180" s="2"/>
      <c r="K3180" s="13"/>
      <c r="L3180" s="2"/>
      <c r="M3180" s="2"/>
      <c r="N3180" s="2"/>
      <c r="O3180" s="2"/>
      <c r="P3180" s="2"/>
      <c r="Q3180" s="2"/>
      <c r="R3180" s="2"/>
      <c r="S3180" s="2"/>
    </row>
    <row r="3181" spans="1:19" s="2" customFormat="1" ht="96.2" customHeight="1" outlineLevel="7">
      <c r="A3181" s="52">
        <v>2478</v>
      </c>
      <c r="B3181" s="26" t="s">
        <v>10442</v>
      </c>
      <c r="C3181" s="66" t="s">
        <v>10443</v>
      </c>
      <c r="D3181" s="66"/>
      <c r="E3181" s="66"/>
      <c r="F3181" s="66"/>
      <c r="G3181" s="27" t="s">
        <v>10444</v>
      </c>
      <c r="H3181" s="33">
        <v>300</v>
      </c>
      <c r="I3181" s="29"/>
      <c r="J3181" s="25">
        <v>3</v>
      </c>
      <c r="K3181" s="30">
        <v>262.61</v>
      </c>
      <c r="L3181" s="17"/>
      <c r="M3181" s="29">
        <f t="shared" ref="M3181:M3188" si="150">K3181*L3181</f>
        <v>0</v>
      </c>
      <c r="N3181" s="31">
        <f>0.269*L3181</f>
        <v>0</v>
      </c>
      <c r="O3181" s="32">
        <f>0.00124*L3181</f>
        <v>0</v>
      </c>
      <c r="P3181" s="36"/>
      <c r="Q3181" s="29" t="s">
        <v>10445</v>
      </c>
      <c r="R3181" s="29"/>
      <c r="S3181" s="26" t="str">
        <f>HYPERLINK("https://miland.ru/api/getInfo/image/33697e51-29af-11f0-a279-00155d82e908")</f>
        <v>https://miland.ru/api/getInfo/image/33697e51-29af-11f0-a279-00155d82e908</v>
      </c>
    </row>
    <row r="3182" spans="1:19" s="2" customFormat="1" ht="96.2" customHeight="1" outlineLevel="7">
      <c r="A3182" s="52">
        <v>2479</v>
      </c>
      <c r="B3182" s="26" t="s">
        <v>10446</v>
      </c>
      <c r="C3182" s="66" t="s">
        <v>10447</v>
      </c>
      <c r="D3182" s="66"/>
      <c r="E3182" s="66"/>
      <c r="F3182" s="66"/>
      <c r="G3182" s="27" t="s">
        <v>10448</v>
      </c>
      <c r="H3182" s="33">
        <v>360</v>
      </c>
      <c r="I3182" s="29"/>
      <c r="J3182" s="25">
        <v>3</v>
      </c>
      <c r="K3182" s="30">
        <v>262.61</v>
      </c>
      <c r="L3182" s="17"/>
      <c r="M3182" s="29">
        <f t="shared" si="150"/>
        <v>0</v>
      </c>
      <c r="N3182" s="34">
        <f>0.25*L3182</f>
        <v>0</v>
      </c>
      <c r="O3182" s="32">
        <f>0.00134*L3182</f>
        <v>0</v>
      </c>
      <c r="P3182" s="36"/>
      <c r="Q3182" s="29" t="s">
        <v>10449</v>
      </c>
      <c r="R3182" s="29"/>
      <c r="S3182" s="26" t="str">
        <f>HYPERLINK("https://miland.ru/api/getInfo/image/6dbfd556-2a37-11f0-a27b-00155d82e908")</f>
        <v>https://miland.ru/api/getInfo/image/6dbfd556-2a37-11f0-a27b-00155d82e908</v>
      </c>
    </row>
    <row r="3183" spans="1:19" s="2" customFormat="1" ht="96.2" customHeight="1" outlineLevel="7">
      <c r="A3183" s="52">
        <v>2480</v>
      </c>
      <c r="B3183" s="26" t="s">
        <v>10450</v>
      </c>
      <c r="C3183" s="66" t="s">
        <v>10451</v>
      </c>
      <c r="D3183" s="66"/>
      <c r="E3183" s="66"/>
      <c r="F3183" s="66"/>
      <c r="G3183" s="27" t="s">
        <v>10452</v>
      </c>
      <c r="H3183" s="33">
        <v>179</v>
      </c>
      <c r="I3183" s="29"/>
      <c r="J3183" s="25">
        <v>3</v>
      </c>
      <c r="K3183" s="30">
        <v>262.61</v>
      </c>
      <c r="L3183" s="17"/>
      <c r="M3183" s="29">
        <f t="shared" si="150"/>
        <v>0</v>
      </c>
      <c r="N3183" s="31">
        <f>0.348*L3183</f>
        <v>0</v>
      </c>
      <c r="O3183" s="32">
        <f>0.00165*L3183</f>
        <v>0</v>
      </c>
      <c r="P3183" s="36"/>
      <c r="Q3183" s="29" t="s">
        <v>10453</v>
      </c>
      <c r="R3183" s="29"/>
      <c r="S3183" s="26" t="str">
        <f>HYPERLINK("https://miland.ru/api/getInfo/image/e3d427d0-29ae-11f0-a279-00155d82e908")</f>
        <v>https://miland.ru/api/getInfo/image/e3d427d0-29ae-11f0-a279-00155d82e908</v>
      </c>
    </row>
    <row r="3184" spans="1:19" s="2" customFormat="1" ht="96.2" customHeight="1" outlineLevel="7">
      <c r="A3184" s="52">
        <v>2481</v>
      </c>
      <c r="B3184" s="26" t="s">
        <v>10454</v>
      </c>
      <c r="C3184" s="66" t="s">
        <v>10455</v>
      </c>
      <c r="D3184" s="66"/>
      <c r="E3184" s="66"/>
      <c r="F3184" s="66"/>
      <c r="G3184" s="27" t="s">
        <v>10456</v>
      </c>
      <c r="H3184" s="33">
        <v>300</v>
      </c>
      <c r="I3184" s="29"/>
      <c r="J3184" s="25">
        <v>3</v>
      </c>
      <c r="K3184" s="30">
        <v>262.61</v>
      </c>
      <c r="L3184" s="17"/>
      <c r="M3184" s="29">
        <f t="shared" si="150"/>
        <v>0</v>
      </c>
      <c r="N3184" s="31">
        <f>0.277*L3184</f>
        <v>0</v>
      </c>
      <c r="O3184" s="32">
        <f>0.00151*L3184</f>
        <v>0</v>
      </c>
      <c r="P3184" s="36"/>
      <c r="Q3184" s="29" t="s">
        <v>10457</v>
      </c>
      <c r="R3184" s="29"/>
      <c r="S3184" s="26" t="str">
        <f>HYPERLINK("https://miland.ru/api/getInfo/image/9d529c90-29ae-11f0-a279-00155d82e908")</f>
        <v>https://miland.ru/api/getInfo/image/9d529c90-29ae-11f0-a279-00155d82e908</v>
      </c>
    </row>
    <row r="3185" spans="1:19" s="2" customFormat="1" ht="96.2" customHeight="1" outlineLevel="7">
      <c r="A3185" s="52">
        <v>2482</v>
      </c>
      <c r="B3185" s="26" t="s">
        <v>10458</v>
      </c>
      <c r="C3185" s="66" t="s">
        <v>10459</v>
      </c>
      <c r="D3185" s="66"/>
      <c r="E3185" s="66"/>
      <c r="F3185" s="66"/>
      <c r="G3185" s="27" t="s">
        <v>10460</v>
      </c>
      <c r="H3185" s="33">
        <v>180</v>
      </c>
      <c r="I3185" s="29"/>
      <c r="J3185" s="25">
        <v>3</v>
      </c>
      <c r="K3185" s="30">
        <v>262.61</v>
      </c>
      <c r="L3185" s="17"/>
      <c r="M3185" s="29">
        <f t="shared" si="150"/>
        <v>0</v>
      </c>
      <c r="N3185" s="34">
        <f>0.27*L3185</f>
        <v>0</v>
      </c>
      <c r="O3185" s="32">
        <f>0.00143*L3185</f>
        <v>0</v>
      </c>
      <c r="P3185" s="36"/>
      <c r="Q3185" s="29" t="s">
        <v>10461</v>
      </c>
      <c r="R3185" s="29"/>
      <c r="S3185" s="26" t="str">
        <f>HYPERLINK("https://miland.ru/api/getInfo/image/b139f659-2a37-11f0-a27b-00155d82e908")</f>
        <v>https://miland.ru/api/getInfo/image/b139f659-2a37-11f0-a27b-00155d82e908</v>
      </c>
    </row>
    <row r="3186" spans="1:19" s="2" customFormat="1" ht="96.2" customHeight="1" outlineLevel="7">
      <c r="A3186" s="52">
        <v>2483</v>
      </c>
      <c r="B3186" s="26" t="s">
        <v>10462</v>
      </c>
      <c r="C3186" s="66" t="s">
        <v>10463</v>
      </c>
      <c r="D3186" s="66"/>
      <c r="E3186" s="66"/>
      <c r="F3186" s="66"/>
      <c r="G3186" s="27" t="s">
        <v>10464</v>
      </c>
      <c r="H3186" s="33">
        <v>250</v>
      </c>
      <c r="I3186" s="29"/>
      <c r="J3186" s="25">
        <v>1</v>
      </c>
      <c r="K3186" s="30">
        <v>413.22</v>
      </c>
      <c r="L3186" s="17"/>
      <c r="M3186" s="29">
        <f t="shared" si="150"/>
        <v>0</v>
      </c>
      <c r="N3186" s="31">
        <f>0.407*L3186</f>
        <v>0</v>
      </c>
      <c r="O3186" s="32">
        <f>0.00151*L3186</f>
        <v>0</v>
      </c>
      <c r="P3186" s="36"/>
      <c r="Q3186" s="29" t="s">
        <v>10465</v>
      </c>
      <c r="R3186" s="29"/>
      <c r="S3186" s="26" t="str">
        <f>HYPERLINK("https://miland.ru/api/getInfo/image/a9d926af-210b-11f0-a279-00155d82e908")</f>
        <v>https://miland.ru/api/getInfo/image/a9d926af-210b-11f0-a279-00155d82e908</v>
      </c>
    </row>
    <row r="3187" spans="1:19" s="2" customFormat="1" ht="96.2" customHeight="1" outlineLevel="7">
      <c r="A3187" s="52">
        <v>2484</v>
      </c>
      <c r="B3187" s="26" t="s">
        <v>10466</v>
      </c>
      <c r="C3187" s="66" t="s">
        <v>10467</v>
      </c>
      <c r="D3187" s="66"/>
      <c r="E3187" s="66"/>
      <c r="F3187" s="66"/>
      <c r="G3187" s="27" t="s">
        <v>10468</v>
      </c>
      <c r="H3187" s="28" t="s">
        <v>44</v>
      </c>
      <c r="I3187" s="29"/>
      <c r="J3187" s="25">
        <v>2</v>
      </c>
      <c r="K3187" s="30">
        <v>323.60000000000002</v>
      </c>
      <c r="L3187" s="17"/>
      <c r="M3187" s="29">
        <f t="shared" si="150"/>
        <v>0</v>
      </c>
      <c r="N3187" s="31">
        <f>0.364*L3187</f>
        <v>0</v>
      </c>
      <c r="O3187" s="32">
        <f>0.00156*L3187</f>
        <v>0</v>
      </c>
      <c r="P3187" s="36"/>
      <c r="Q3187" s="29" t="s">
        <v>10469</v>
      </c>
      <c r="R3187" s="29"/>
      <c r="S3187" s="26" t="str">
        <f>HYPERLINK("https://miland.ru/api/getInfo/image/cddece1c-210c-11f0-a279-00155d82e908")</f>
        <v>https://miland.ru/api/getInfo/image/cddece1c-210c-11f0-a279-00155d82e908</v>
      </c>
    </row>
    <row r="3188" spans="1:19" s="2" customFormat="1" ht="96.2" customHeight="1" outlineLevel="7">
      <c r="A3188" s="52">
        <v>2485</v>
      </c>
      <c r="B3188" s="26" t="s">
        <v>10470</v>
      </c>
      <c r="C3188" s="66" t="s">
        <v>10471</v>
      </c>
      <c r="D3188" s="66"/>
      <c r="E3188" s="66"/>
      <c r="F3188" s="66"/>
      <c r="G3188" s="27" t="s">
        <v>10472</v>
      </c>
      <c r="H3188" s="33">
        <v>380</v>
      </c>
      <c r="I3188" s="29"/>
      <c r="J3188" s="25">
        <v>2</v>
      </c>
      <c r="K3188" s="30">
        <v>323.60000000000002</v>
      </c>
      <c r="L3188" s="17"/>
      <c r="M3188" s="29">
        <f t="shared" si="150"/>
        <v>0</v>
      </c>
      <c r="N3188" s="31">
        <f>0.372*L3188</f>
        <v>0</v>
      </c>
      <c r="O3188" s="32">
        <f>0.00142*L3188</f>
        <v>0</v>
      </c>
      <c r="P3188" s="36"/>
      <c r="Q3188" s="29" t="s">
        <v>10473</v>
      </c>
      <c r="R3188" s="29"/>
      <c r="S3188" s="26" t="str">
        <f>HYPERLINK("https://miland.ru/api/getInfo/image/1438ddda-210d-11f0-a279-00155d82e908")</f>
        <v>https://miland.ru/api/getInfo/image/1438ddda-210d-11f0-a279-00155d82e908</v>
      </c>
    </row>
    <row r="3189" spans="1:19" s="1" customFormat="1" ht="12" customHeight="1" outlineLevel="6">
      <c r="A3189" s="64" t="s">
        <v>10474</v>
      </c>
      <c r="B3189" s="64"/>
      <c r="C3189" s="64"/>
      <c r="D3189" s="64"/>
      <c r="E3189" s="64"/>
      <c r="F3189" s="64"/>
      <c r="G3189" s="8"/>
      <c r="H3189" s="12"/>
      <c r="I3189" s="2"/>
      <c r="J3189" s="2"/>
      <c r="K3189" s="13"/>
      <c r="L3189" s="2"/>
      <c r="M3189" s="2"/>
      <c r="N3189" s="2"/>
      <c r="O3189" s="2"/>
      <c r="P3189" s="2"/>
      <c r="Q3189" s="2"/>
      <c r="R3189" s="2"/>
      <c r="S3189" s="2"/>
    </row>
    <row r="3190" spans="1:19" s="2" customFormat="1" ht="96.2" customHeight="1" outlineLevel="7">
      <c r="A3190" s="52">
        <v>2486</v>
      </c>
      <c r="B3190" s="26" t="s">
        <v>10475</v>
      </c>
      <c r="C3190" s="66" t="s">
        <v>10476</v>
      </c>
      <c r="D3190" s="66"/>
      <c r="E3190" s="66"/>
      <c r="F3190" s="66"/>
      <c r="G3190" s="27" t="s">
        <v>10477</v>
      </c>
      <c r="H3190" s="33">
        <v>458</v>
      </c>
      <c r="I3190" s="29"/>
      <c r="J3190" s="25">
        <v>1</v>
      </c>
      <c r="K3190" s="30">
        <v>572.53</v>
      </c>
      <c r="L3190" s="17"/>
      <c r="M3190" s="29">
        <f>K3190*L3190</f>
        <v>0</v>
      </c>
      <c r="N3190" s="31">
        <f>0.473*L3190</f>
        <v>0</v>
      </c>
      <c r="O3190" s="32">
        <f>0.00182*L3190</f>
        <v>0</v>
      </c>
      <c r="P3190" s="36"/>
      <c r="Q3190" s="29" t="s">
        <v>10478</v>
      </c>
      <c r="R3190" s="29"/>
      <c r="S3190" s="26" t="str">
        <f>HYPERLINK("https://miland.ru/api/getInfo/image/78e82d11-210c-11f0-a279-00155d82e908")</f>
        <v>https://miland.ru/api/getInfo/image/78e82d11-210c-11f0-a279-00155d82e908</v>
      </c>
    </row>
    <row r="3191" spans="1:19" s="2" customFormat="1" ht="96.2" customHeight="1" outlineLevel="7">
      <c r="A3191" s="52">
        <v>2487</v>
      </c>
      <c r="B3191" s="26" t="s">
        <v>10479</v>
      </c>
      <c r="C3191" s="66" t="s">
        <v>10480</v>
      </c>
      <c r="D3191" s="66"/>
      <c r="E3191" s="66"/>
      <c r="F3191" s="66"/>
      <c r="G3191" s="27" t="s">
        <v>10481</v>
      </c>
      <c r="H3191" s="33">
        <v>377</v>
      </c>
      <c r="I3191" s="29"/>
      <c r="J3191" s="25">
        <v>1</v>
      </c>
      <c r="K3191" s="30">
        <v>572.53</v>
      </c>
      <c r="L3191" s="17"/>
      <c r="M3191" s="29">
        <f>K3191*L3191</f>
        <v>0</v>
      </c>
      <c r="N3191" s="31">
        <f>0.475*L3191</f>
        <v>0</v>
      </c>
      <c r="O3191" s="32">
        <f>0.00194*L3191</f>
        <v>0</v>
      </c>
      <c r="P3191" s="36"/>
      <c r="Q3191" s="29" t="s">
        <v>10482</v>
      </c>
      <c r="R3191" s="29"/>
      <c r="S3191" s="26" t="str">
        <f>HYPERLINK("https://miland.ru/api/getInfo/image/eebe245e-210b-11f0-a279-00155d82e908")</f>
        <v>https://miland.ru/api/getInfo/image/eebe245e-210b-11f0-a279-00155d82e908</v>
      </c>
    </row>
    <row r="3192" spans="1:19" s="1" customFormat="1" ht="12" customHeight="1" outlineLevel="3">
      <c r="A3192" s="64" t="s">
        <v>10483</v>
      </c>
      <c r="B3192" s="64"/>
      <c r="C3192" s="64"/>
      <c r="D3192" s="64"/>
      <c r="E3192" s="64"/>
      <c r="F3192" s="64"/>
      <c r="G3192" s="8"/>
      <c r="H3192" s="12"/>
      <c r="I3192" s="2"/>
      <c r="J3192" s="2"/>
      <c r="K3192" s="13"/>
      <c r="L3192" s="2"/>
      <c r="M3192" s="2"/>
      <c r="N3192" s="2"/>
      <c r="O3192" s="2"/>
      <c r="P3192" s="2"/>
      <c r="Q3192" s="2"/>
      <c r="R3192" s="2"/>
      <c r="S3192" s="2"/>
    </row>
    <row r="3193" spans="1:19" s="1" customFormat="1" ht="12" customHeight="1" outlineLevel="4">
      <c r="A3193" s="64" t="s">
        <v>618</v>
      </c>
      <c r="B3193" s="64"/>
      <c r="C3193" s="64"/>
      <c r="D3193" s="64"/>
      <c r="E3193" s="64"/>
      <c r="F3193" s="64"/>
      <c r="G3193" s="8"/>
      <c r="H3193" s="12"/>
      <c r="I3193" s="2"/>
      <c r="J3193" s="2"/>
      <c r="K3193" s="13"/>
      <c r="L3193" s="2"/>
      <c r="M3193" s="2"/>
      <c r="N3193" s="2"/>
      <c r="O3193" s="2"/>
      <c r="P3193" s="2"/>
      <c r="Q3193" s="2"/>
      <c r="R3193" s="2"/>
      <c r="S3193" s="2"/>
    </row>
    <row r="3194" spans="1:19" s="2" customFormat="1" ht="96.2" customHeight="1" outlineLevel="5">
      <c r="A3194" s="53">
        <v>2488</v>
      </c>
      <c r="B3194" s="10" t="s">
        <v>10484</v>
      </c>
      <c r="C3194" s="65" t="s">
        <v>10485</v>
      </c>
      <c r="D3194" s="65"/>
      <c r="E3194" s="65"/>
      <c r="F3194" s="65"/>
      <c r="G3194" s="11" t="s">
        <v>10486</v>
      </c>
      <c r="H3194" s="14">
        <v>3</v>
      </c>
      <c r="I3194" s="15"/>
      <c r="J3194" s="9">
        <v>1</v>
      </c>
      <c r="K3194" s="16">
        <v>740.81</v>
      </c>
      <c r="L3194" s="17"/>
      <c r="M3194" s="15">
        <f t="shared" ref="M3194:M3205" si="151">K3194*L3194</f>
        <v>0</v>
      </c>
      <c r="N3194" s="23">
        <f>0.27*L3194</f>
        <v>0</v>
      </c>
      <c r="O3194" s="19">
        <f>0.00137*L3194</f>
        <v>0</v>
      </c>
      <c r="P3194" s="24" t="s">
        <v>26</v>
      </c>
      <c r="Q3194" s="15" t="s">
        <v>10487</v>
      </c>
      <c r="R3194" s="15"/>
      <c r="S3194" s="10" t="str">
        <f>HYPERLINK("https://miland.ru/api/getInfo/image/3deb2224-9f50-11f0-a285-00155d82e908")</f>
        <v>https://miland.ru/api/getInfo/image/3deb2224-9f50-11f0-a285-00155d82e908</v>
      </c>
    </row>
    <row r="3195" spans="1:19" s="2" customFormat="1" ht="96.2" customHeight="1" outlineLevel="5">
      <c r="A3195" s="53">
        <v>2489</v>
      </c>
      <c r="B3195" s="10" t="s">
        <v>10488</v>
      </c>
      <c r="C3195" s="65" t="s">
        <v>10489</v>
      </c>
      <c r="D3195" s="65"/>
      <c r="E3195" s="65"/>
      <c r="F3195" s="65"/>
      <c r="G3195" s="11" t="s">
        <v>10490</v>
      </c>
      <c r="H3195" s="14">
        <v>2</v>
      </c>
      <c r="I3195" s="15"/>
      <c r="J3195" s="9">
        <v>1</v>
      </c>
      <c r="K3195" s="16">
        <v>812.5</v>
      </c>
      <c r="L3195" s="17"/>
      <c r="M3195" s="15">
        <f t="shared" si="151"/>
        <v>0</v>
      </c>
      <c r="N3195" s="23">
        <f>0.32*L3195</f>
        <v>0</v>
      </c>
      <c r="O3195" s="20">
        <f>0.0025*L3195</f>
        <v>0</v>
      </c>
      <c r="P3195" s="24" t="s">
        <v>26</v>
      </c>
      <c r="Q3195" s="15" t="s">
        <v>10491</v>
      </c>
      <c r="R3195" s="15"/>
      <c r="S3195" s="10" t="str">
        <f>HYPERLINK("https://miland.ru/api/getInfo/image/de30bda5-9f4e-11f0-a285-00155d82e908")</f>
        <v>https://miland.ru/api/getInfo/image/de30bda5-9f4e-11f0-a285-00155d82e908</v>
      </c>
    </row>
    <row r="3196" spans="1:19" s="2" customFormat="1" ht="96.2" customHeight="1" outlineLevel="5">
      <c r="A3196" s="52">
        <v>2490</v>
      </c>
      <c r="B3196" s="26" t="s">
        <v>10492</v>
      </c>
      <c r="C3196" s="66" t="s">
        <v>10493</v>
      </c>
      <c r="D3196" s="66"/>
      <c r="E3196" s="66"/>
      <c r="F3196" s="66"/>
      <c r="G3196" s="27" t="s">
        <v>10494</v>
      </c>
      <c r="H3196" s="28" t="s">
        <v>44</v>
      </c>
      <c r="I3196" s="29"/>
      <c r="J3196" s="25">
        <v>1</v>
      </c>
      <c r="K3196" s="30">
        <v>489.06</v>
      </c>
      <c r="L3196" s="17"/>
      <c r="M3196" s="29">
        <f t="shared" si="151"/>
        <v>0</v>
      </c>
      <c r="N3196" s="31">
        <f>0.436*L3196</f>
        <v>0</v>
      </c>
      <c r="O3196" s="32">
        <f>0.00272*L3196</f>
        <v>0</v>
      </c>
      <c r="P3196" s="36"/>
      <c r="Q3196" s="29" t="s">
        <v>10495</v>
      </c>
      <c r="R3196" s="29"/>
      <c r="S3196" s="26" t="str">
        <f>HYPERLINK("https://miland.ru/api/getInfo/image/fa198040-f5b5-11ee-a25b-00155d82e908")</f>
        <v>https://miland.ru/api/getInfo/image/fa198040-f5b5-11ee-a25b-00155d82e908</v>
      </c>
    </row>
    <row r="3197" spans="1:19" s="2" customFormat="1" ht="96.2" customHeight="1" outlineLevel="5">
      <c r="A3197" s="52">
        <v>2491</v>
      </c>
      <c r="B3197" s="26" t="s">
        <v>10496</v>
      </c>
      <c r="C3197" s="66" t="s">
        <v>10497</v>
      </c>
      <c r="D3197" s="66"/>
      <c r="E3197" s="66"/>
      <c r="F3197" s="66"/>
      <c r="G3197" s="27" t="s">
        <v>10498</v>
      </c>
      <c r="H3197" s="28" t="s">
        <v>44</v>
      </c>
      <c r="I3197" s="29"/>
      <c r="J3197" s="25">
        <v>1</v>
      </c>
      <c r="K3197" s="30">
        <v>463.04</v>
      </c>
      <c r="L3197" s="17"/>
      <c r="M3197" s="29">
        <f t="shared" si="151"/>
        <v>0</v>
      </c>
      <c r="N3197" s="31">
        <f>0.307*L3197</f>
        <v>0</v>
      </c>
      <c r="O3197" s="32">
        <f>0.00272*L3197</f>
        <v>0</v>
      </c>
      <c r="P3197" s="36"/>
      <c r="Q3197" s="29" t="s">
        <v>10499</v>
      </c>
      <c r="R3197" s="29"/>
      <c r="S3197" s="26" t="str">
        <f>HYPERLINK("https://miland.ru/api/getInfo/image/ead5cb38-f5b5-11ee-a25b-00155d82e908")</f>
        <v>https://miland.ru/api/getInfo/image/ead5cb38-f5b5-11ee-a25b-00155d82e908</v>
      </c>
    </row>
    <row r="3198" spans="1:19" s="2" customFormat="1" ht="96.2" customHeight="1" outlineLevel="5">
      <c r="A3198" s="52">
        <v>2492</v>
      </c>
      <c r="B3198" s="26" t="s">
        <v>10500</v>
      </c>
      <c r="C3198" s="66" t="s">
        <v>10501</v>
      </c>
      <c r="D3198" s="66"/>
      <c r="E3198" s="66"/>
      <c r="F3198" s="66"/>
      <c r="G3198" s="27" t="s">
        <v>10502</v>
      </c>
      <c r="H3198" s="28" t="s">
        <v>44</v>
      </c>
      <c r="I3198" s="29"/>
      <c r="J3198" s="25">
        <v>1</v>
      </c>
      <c r="K3198" s="30">
        <v>442.24</v>
      </c>
      <c r="L3198" s="17"/>
      <c r="M3198" s="29">
        <f t="shared" si="151"/>
        <v>0</v>
      </c>
      <c r="N3198" s="31">
        <f>0.306*L3198</f>
        <v>0</v>
      </c>
      <c r="O3198" s="32">
        <f>0.00277*L3198</f>
        <v>0</v>
      </c>
      <c r="P3198" s="36"/>
      <c r="Q3198" s="29" t="s">
        <v>10503</v>
      </c>
      <c r="R3198" s="29"/>
      <c r="S3198" s="26" t="str">
        <f>HYPERLINK("https://miland.ru/api/getInfo/image/e0d89c46-dcfa-11ed-a233-00155d82e902")</f>
        <v>https://miland.ru/api/getInfo/image/e0d89c46-dcfa-11ed-a233-00155d82e902</v>
      </c>
    </row>
    <row r="3199" spans="1:19" s="2" customFormat="1" ht="96.2" customHeight="1" outlineLevel="5">
      <c r="A3199" s="52">
        <v>2493</v>
      </c>
      <c r="B3199" s="26" t="s">
        <v>10504</v>
      </c>
      <c r="C3199" s="66" t="s">
        <v>10505</v>
      </c>
      <c r="D3199" s="66"/>
      <c r="E3199" s="66"/>
      <c r="F3199" s="66"/>
      <c r="G3199" s="27" t="s">
        <v>10506</v>
      </c>
      <c r="H3199" s="33">
        <v>3</v>
      </c>
      <c r="I3199" s="29"/>
      <c r="J3199" s="25">
        <v>1</v>
      </c>
      <c r="K3199" s="30">
        <v>683.17</v>
      </c>
      <c r="L3199" s="17"/>
      <c r="M3199" s="29">
        <f t="shared" si="151"/>
        <v>0</v>
      </c>
      <c r="N3199" s="31">
        <f>0.387*L3199</f>
        <v>0</v>
      </c>
      <c r="O3199" s="32">
        <f>0.00347*L3199</f>
        <v>0</v>
      </c>
      <c r="P3199" s="36"/>
      <c r="Q3199" s="29" t="s">
        <v>10507</v>
      </c>
      <c r="R3199" s="29"/>
      <c r="S3199" s="26" t="str">
        <f>HYPERLINK("https://miland.ru/api/getInfo/image/0173c9d9-29a8-11f0-a279-00155d82e908")</f>
        <v>https://miland.ru/api/getInfo/image/0173c9d9-29a8-11f0-a279-00155d82e908</v>
      </c>
    </row>
    <row r="3200" spans="1:19" s="2" customFormat="1" ht="96.2" customHeight="1" outlineLevel="5">
      <c r="A3200" s="52">
        <v>2494</v>
      </c>
      <c r="B3200" s="26" t="s">
        <v>10508</v>
      </c>
      <c r="C3200" s="66" t="s">
        <v>10509</v>
      </c>
      <c r="D3200" s="66"/>
      <c r="E3200" s="66"/>
      <c r="F3200" s="66"/>
      <c r="G3200" s="27" t="s">
        <v>10510</v>
      </c>
      <c r="H3200" s="33">
        <v>95</v>
      </c>
      <c r="I3200" s="29"/>
      <c r="J3200" s="25">
        <v>1</v>
      </c>
      <c r="K3200" s="30">
        <v>442.24</v>
      </c>
      <c r="L3200" s="17"/>
      <c r="M3200" s="29">
        <f t="shared" si="151"/>
        <v>0</v>
      </c>
      <c r="N3200" s="31">
        <f>0.285*L3200</f>
        <v>0</v>
      </c>
      <c r="O3200" s="32">
        <f>0.00266*L3200</f>
        <v>0</v>
      </c>
      <c r="P3200" s="36"/>
      <c r="Q3200" s="29" t="s">
        <v>10511</v>
      </c>
      <c r="R3200" s="29"/>
      <c r="S3200" s="26" t="str">
        <f>HYPERLINK("https://miland.ru/api/getInfo/image/3197ca3e-dcf9-11ed-a233-00155d82e902")</f>
        <v>https://miland.ru/api/getInfo/image/3197ca3e-dcf9-11ed-a233-00155d82e902</v>
      </c>
    </row>
    <row r="3201" spans="1:19" s="2" customFormat="1" ht="96.2" customHeight="1" outlineLevel="5">
      <c r="A3201" s="52">
        <v>2495</v>
      </c>
      <c r="B3201" s="26" t="s">
        <v>10512</v>
      </c>
      <c r="C3201" s="66" t="s">
        <v>10513</v>
      </c>
      <c r="D3201" s="66"/>
      <c r="E3201" s="66"/>
      <c r="F3201" s="66"/>
      <c r="G3201" s="27" t="s">
        <v>10514</v>
      </c>
      <c r="H3201" s="33">
        <v>5</v>
      </c>
      <c r="I3201" s="29"/>
      <c r="J3201" s="25">
        <v>1</v>
      </c>
      <c r="K3201" s="30">
        <v>445.52</v>
      </c>
      <c r="L3201" s="17"/>
      <c r="M3201" s="29">
        <f t="shared" si="151"/>
        <v>0</v>
      </c>
      <c r="N3201" s="31">
        <f>0.326*L3201</f>
        <v>0</v>
      </c>
      <c r="O3201" s="32">
        <f>0.00285*L3201</f>
        <v>0</v>
      </c>
      <c r="P3201" s="36"/>
      <c r="Q3201" s="29" t="s">
        <v>10515</v>
      </c>
      <c r="R3201" s="29"/>
      <c r="S3201" s="26" t="str">
        <f>HYPERLINK("https://miland.ru/api/getInfo/image/fe4cdda9-dcf9-11ed-a233-00155d82e902")</f>
        <v>https://miland.ru/api/getInfo/image/fe4cdda9-dcf9-11ed-a233-00155d82e902</v>
      </c>
    </row>
    <row r="3202" spans="1:19" s="2" customFormat="1" ht="96.2" customHeight="1" outlineLevel="5">
      <c r="A3202" s="52">
        <v>2496</v>
      </c>
      <c r="B3202" s="26" t="s">
        <v>10516</v>
      </c>
      <c r="C3202" s="66" t="s">
        <v>10517</v>
      </c>
      <c r="D3202" s="66"/>
      <c r="E3202" s="66"/>
      <c r="F3202" s="66"/>
      <c r="G3202" s="27" t="s">
        <v>10518</v>
      </c>
      <c r="H3202" s="33">
        <v>114</v>
      </c>
      <c r="I3202" s="29"/>
      <c r="J3202" s="25">
        <v>1</v>
      </c>
      <c r="K3202" s="30">
        <v>486.84</v>
      </c>
      <c r="L3202" s="17"/>
      <c r="M3202" s="29">
        <f t="shared" si="151"/>
        <v>0</v>
      </c>
      <c r="N3202" s="31">
        <f>0.288*L3202</f>
        <v>0</v>
      </c>
      <c r="O3202" s="32">
        <f>0.00322*L3202</f>
        <v>0</v>
      </c>
      <c r="P3202" s="36"/>
      <c r="Q3202" s="29" t="s">
        <v>10519</v>
      </c>
      <c r="R3202" s="29"/>
      <c r="S3202" s="26" t="str">
        <f>HYPERLINK("https://miland.ru/api/getInfo/image/275a8a19-dcfb-11ed-a233-00155d82e902")</f>
        <v>https://miland.ru/api/getInfo/image/275a8a19-dcfb-11ed-a233-00155d82e902</v>
      </c>
    </row>
    <row r="3203" spans="1:19" s="2" customFormat="1" ht="96.2" customHeight="1" outlineLevel="5">
      <c r="A3203" s="52">
        <v>2497</v>
      </c>
      <c r="B3203" s="26" t="s">
        <v>10520</v>
      </c>
      <c r="C3203" s="66" t="s">
        <v>10521</v>
      </c>
      <c r="D3203" s="66"/>
      <c r="E3203" s="66"/>
      <c r="F3203" s="66"/>
      <c r="G3203" s="27" t="s">
        <v>10522</v>
      </c>
      <c r="H3203" s="33">
        <v>186</v>
      </c>
      <c r="I3203" s="29"/>
      <c r="J3203" s="25">
        <v>1</v>
      </c>
      <c r="K3203" s="30">
        <v>452.64</v>
      </c>
      <c r="L3203" s="17"/>
      <c r="M3203" s="29">
        <f t="shared" si="151"/>
        <v>0</v>
      </c>
      <c r="N3203" s="31">
        <f>0.297*L3203</f>
        <v>0</v>
      </c>
      <c r="O3203" s="35">
        <f>0.0027*L3203</f>
        <v>0</v>
      </c>
      <c r="P3203" s="36"/>
      <c r="Q3203" s="29" t="s">
        <v>10523</v>
      </c>
      <c r="R3203" s="29"/>
      <c r="S3203" s="26" t="str">
        <f>HYPERLINK("https://miland.ru/api/getInfo/image/c3887775-f5b5-11ee-a25b-00155d82e908")</f>
        <v>https://miland.ru/api/getInfo/image/c3887775-f5b5-11ee-a25b-00155d82e908</v>
      </c>
    </row>
    <row r="3204" spans="1:19" s="2" customFormat="1" ht="96.2" customHeight="1" outlineLevel="5">
      <c r="A3204" s="52">
        <v>2498</v>
      </c>
      <c r="B3204" s="26" t="s">
        <v>10524</v>
      </c>
      <c r="C3204" s="66" t="s">
        <v>10525</v>
      </c>
      <c r="D3204" s="66"/>
      <c r="E3204" s="66"/>
      <c r="F3204" s="66"/>
      <c r="G3204" s="27" t="s">
        <v>10526</v>
      </c>
      <c r="H3204" s="33">
        <v>189</v>
      </c>
      <c r="I3204" s="29"/>
      <c r="J3204" s="25">
        <v>1</v>
      </c>
      <c r="K3204" s="30">
        <v>442.24</v>
      </c>
      <c r="L3204" s="17"/>
      <c r="M3204" s="29">
        <f t="shared" si="151"/>
        <v>0</v>
      </c>
      <c r="N3204" s="31">
        <f>0.287*L3204</f>
        <v>0</v>
      </c>
      <c r="O3204" s="32">
        <f>0.00271*L3204</f>
        <v>0</v>
      </c>
      <c r="P3204" s="36"/>
      <c r="Q3204" s="29" t="s">
        <v>10527</v>
      </c>
      <c r="R3204" s="29"/>
      <c r="S3204" s="26" t="str">
        <f>HYPERLINK("https://miland.ru/api/getInfo/image/bc0203b6-dcf9-11ed-a233-00155d82e902")</f>
        <v>https://miland.ru/api/getInfo/image/bc0203b6-dcf9-11ed-a233-00155d82e902</v>
      </c>
    </row>
    <row r="3205" spans="1:19" s="2" customFormat="1" ht="96.2" customHeight="1" outlineLevel="5">
      <c r="A3205" s="52">
        <v>2499</v>
      </c>
      <c r="B3205" s="26" t="s">
        <v>10528</v>
      </c>
      <c r="C3205" s="66" t="s">
        <v>10529</v>
      </c>
      <c r="D3205" s="66"/>
      <c r="E3205" s="66"/>
      <c r="F3205" s="66"/>
      <c r="G3205" s="27" t="s">
        <v>10530</v>
      </c>
      <c r="H3205" s="33">
        <v>41</v>
      </c>
      <c r="I3205" s="29"/>
      <c r="J3205" s="25">
        <v>1</v>
      </c>
      <c r="K3205" s="30">
        <v>489.06</v>
      </c>
      <c r="L3205" s="17"/>
      <c r="M3205" s="29">
        <f t="shared" si="151"/>
        <v>0</v>
      </c>
      <c r="N3205" s="34">
        <f>0.51*L3205</f>
        <v>0</v>
      </c>
      <c r="O3205" s="32">
        <f>0.00312*L3205</f>
        <v>0</v>
      </c>
      <c r="P3205" s="36"/>
      <c r="Q3205" s="29" t="s">
        <v>10531</v>
      </c>
      <c r="R3205" s="29"/>
      <c r="S3205" s="26" t="str">
        <f>HYPERLINK("https://miland.ru/api/getInfo/image/a6540180-29a6-11f0-a279-00155d82e908")</f>
        <v>https://miland.ru/api/getInfo/image/a6540180-29a6-11f0-a279-00155d82e908</v>
      </c>
    </row>
    <row r="3206" spans="1:19" s="1" customFormat="1" ht="12" customHeight="1" outlineLevel="4">
      <c r="A3206" s="64" t="s">
        <v>10319</v>
      </c>
      <c r="B3206" s="64"/>
      <c r="C3206" s="64"/>
      <c r="D3206" s="64"/>
      <c r="E3206" s="64"/>
      <c r="F3206" s="64"/>
      <c r="G3206" s="8"/>
      <c r="H3206" s="12"/>
      <c r="I3206" s="2"/>
      <c r="J3206" s="2"/>
      <c r="K3206" s="13"/>
      <c r="L3206" s="2"/>
      <c r="M3206" s="2"/>
      <c r="N3206" s="2"/>
      <c r="O3206" s="2"/>
      <c r="P3206" s="2"/>
      <c r="Q3206" s="2"/>
      <c r="R3206" s="2"/>
      <c r="S3206" s="2"/>
    </row>
    <row r="3207" spans="1:19" s="2" customFormat="1" ht="96.2" customHeight="1" outlineLevel="5">
      <c r="A3207" s="52">
        <v>2500</v>
      </c>
      <c r="B3207" s="26" t="s">
        <v>10532</v>
      </c>
      <c r="C3207" s="66" t="s">
        <v>10533</v>
      </c>
      <c r="D3207" s="66"/>
      <c r="E3207" s="66"/>
      <c r="F3207" s="66"/>
      <c r="G3207" s="27" t="s">
        <v>10534</v>
      </c>
      <c r="H3207" s="33">
        <v>243</v>
      </c>
      <c r="I3207" s="29"/>
      <c r="J3207" s="25">
        <v>3</v>
      </c>
      <c r="K3207" s="30">
        <v>245.17</v>
      </c>
      <c r="L3207" s="17"/>
      <c r="M3207" s="29">
        <f>K3207*L3207</f>
        <v>0</v>
      </c>
      <c r="N3207" s="31">
        <f>0.495*L3207</f>
        <v>0</v>
      </c>
      <c r="O3207" s="32">
        <f>0.00186*L3207</f>
        <v>0</v>
      </c>
      <c r="P3207" s="36"/>
      <c r="Q3207" s="29" t="s">
        <v>10535</v>
      </c>
      <c r="R3207" s="29"/>
      <c r="S3207" s="26" t="str">
        <f>HYPERLINK("https://miland.ru/api/getInfo/image/6bccda65-29ab-11f0-a279-00155d82e908")</f>
        <v>https://miland.ru/api/getInfo/image/6bccda65-29ab-11f0-a279-00155d82e908</v>
      </c>
    </row>
    <row r="3208" spans="1:19" s="2" customFormat="1" ht="96.2" customHeight="1" outlineLevel="5">
      <c r="A3208" s="52">
        <v>2501</v>
      </c>
      <c r="B3208" s="26" t="s">
        <v>10536</v>
      </c>
      <c r="C3208" s="66" t="s">
        <v>10537</v>
      </c>
      <c r="D3208" s="66"/>
      <c r="E3208" s="66"/>
      <c r="F3208" s="66"/>
      <c r="G3208" s="27" t="s">
        <v>10538</v>
      </c>
      <c r="H3208" s="33">
        <v>253</v>
      </c>
      <c r="I3208" s="29"/>
      <c r="J3208" s="25">
        <v>2</v>
      </c>
      <c r="K3208" s="30">
        <v>313.67</v>
      </c>
      <c r="L3208" s="17"/>
      <c r="M3208" s="29">
        <f>K3208*L3208</f>
        <v>0</v>
      </c>
      <c r="N3208" s="31">
        <f>0.231*L3208</f>
        <v>0</v>
      </c>
      <c r="O3208" s="32">
        <f>0.00126*L3208</f>
        <v>0</v>
      </c>
      <c r="P3208" s="36"/>
      <c r="Q3208" s="29" t="s">
        <v>10539</v>
      </c>
      <c r="R3208" s="29"/>
      <c r="S3208" s="26" t="str">
        <f>HYPERLINK("https://miland.ru/api/getInfo/image/45917df1-29a9-11f0-a279-00155d82e908")</f>
        <v>https://miland.ru/api/getInfo/image/45917df1-29a9-11f0-a279-00155d82e908</v>
      </c>
    </row>
    <row r="3209" spans="1:19" s="2" customFormat="1" ht="96.2" customHeight="1" outlineLevel="5">
      <c r="A3209" s="52">
        <v>2502</v>
      </c>
      <c r="B3209" s="26" t="s">
        <v>10540</v>
      </c>
      <c r="C3209" s="66" t="s">
        <v>10541</v>
      </c>
      <c r="D3209" s="66"/>
      <c r="E3209" s="66"/>
      <c r="F3209" s="66"/>
      <c r="G3209" s="27" t="s">
        <v>10542</v>
      </c>
      <c r="H3209" s="33">
        <v>254</v>
      </c>
      <c r="I3209" s="29"/>
      <c r="J3209" s="25">
        <v>2</v>
      </c>
      <c r="K3209" s="30">
        <v>313.67</v>
      </c>
      <c r="L3209" s="17"/>
      <c r="M3209" s="29">
        <f>K3209*L3209</f>
        <v>0</v>
      </c>
      <c r="N3209" s="31">
        <f>0.227*L3209</f>
        <v>0</v>
      </c>
      <c r="O3209" s="32">
        <f>0.00129*L3209</f>
        <v>0</v>
      </c>
      <c r="P3209" s="36"/>
      <c r="Q3209" s="29" t="s">
        <v>10543</v>
      </c>
      <c r="R3209" s="29"/>
      <c r="S3209" s="26" t="str">
        <f>HYPERLINK("https://miland.ru/api/getInfo/image/e184d80f-29a8-11f0-a279-00155d82e908")</f>
        <v>https://miland.ru/api/getInfo/image/e184d80f-29a8-11f0-a279-00155d82e908</v>
      </c>
    </row>
    <row r="3210" spans="1:19" s="2" customFormat="1" ht="96.2" customHeight="1" outlineLevel="5">
      <c r="A3210" s="52">
        <v>2503</v>
      </c>
      <c r="B3210" s="26" t="s">
        <v>10544</v>
      </c>
      <c r="C3210" s="66" t="s">
        <v>10545</v>
      </c>
      <c r="D3210" s="66"/>
      <c r="E3210" s="66"/>
      <c r="F3210" s="66"/>
      <c r="G3210" s="27" t="s">
        <v>10546</v>
      </c>
      <c r="H3210" s="28" t="s">
        <v>44</v>
      </c>
      <c r="I3210" s="29"/>
      <c r="J3210" s="25">
        <v>10</v>
      </c>
      <c r="K3210" s="30">
        <v>74.91</v>
      </c>
      <c r="L3210" s="17"/>
      <c r="M3210" s="29">
        <f>K3210*L3210</f>
        <v>0</v>
      </c>
      <c r="N3210" s="31">
        <f>0.334*L3210</f>
        <v>0</v>
      </c>
      <c r="O3210" s="32">
        <f>0.00127*L3210</f>
        <v>0</v>
      </c>
      <c r="P3210" s="36"/>
      <c r="Q3210" s="29" t="s">
        <v>10547</v>
      </c>
      <c r="R3210" s="29"/>
      <c r="S3210" s="26" t="str">
        <f>HYPERLINK("https://miland.ru/api/getInfo/image/84212b76-29aa-11f0-a279-00155d82e908")</f>
        <v>https://miland.ru/api/getInfo/image/84212b76-29aa-11f0-a279-00155d82e908</v>
      </c>
    </row>
    <row r="3211" spans="1:19" s="1" customFormat="1" ht="12" customHeight="1" outlineLevel="3">
      <c r="A3211" s="64" t="s">
        <v>10548</v>
      </c>
      <c r="B3211" s="64"/>
      <c r="C3211" s="64"/>
      <c r="D3211" s="64"/>
      <c r="E3211" s="64"/>
      <c r="F3211" s="64"/>
      <c r="G3211" s="8"/>
      <c r="H3211" s="12"/>
      <c r="I3211" s="2"/>
      <c r="J3211" s="2"/>
      <c r="K3211" s="13"/>
      <c r="L3211" s="2"/>
      <c r="M3211" s="2"/>
      <c r="N3211" s="2"/>
      <c r="O3211" s="2"/>
      <c r="P3211" s="2"/>
      <c r="Q3211" s="2"/>
      <c r="R3211" s="2"/>
      <c r="S3211" s="2"/>
    </row>
    <row r="3212" spans="1:19" s="1" customFormat="1" ht="12" customHeight="1" outlineLevel="4">
      <c r="A3212" s="64" t="s">
        <v>10549</v>
      </c>
      <c r="B3212" s="64"/>
      <c r="C3212" s="64"/>
      <c r="D3212" s="64"/>
      <c r="E3212" s="64"/>
      <c r="F3212" s="64"/>
      <c r="G3212" s="8"/>
      <c r="H3212" s="12"/>
      <c r="I3212" s="2"/>
      <c r="J3212" s="2"/>
      <c r="K3212" s="13"/>
      <c r="L3212" s="2"/>
      <c r="M3212" s="2"/>
      <c r="N3212" s="2"/>
      <c r="O3212" s="2"/>
      <c r="P3212" s="2"/>
      <c r="Q3212" s="2"/>
      <c r="R3212" s="2"/>
      <c r="S3212" s="2"/>
    </row>
    <row r="3213" spans="1:19" s="2" customFormat="1" ht="96.2" customHeight="1" outlineLevel="5">
      <c r="A3213" s="52">
        <v>2504</v>
      </c>
      <c r="B3213" s="26" t="s">
        <v>10550</v>
      </c>
      <c r="C3213" s="66" t="s">
        <v>10551</v>
      </c>
      <c r="D3213" s="66"/>
      <c r="E3213" s="66"/>
      <c r="F3213" s="66"/>
      <c r="G3213" s="27" t="s">
        <v>10552</v>
      </c>
      <c r="H3213" s="33">
        <v>122</v>
      </c>
      <c r="I3213" s="29"/>
      <c r="J3213" s="25">
        <v>1</v>
      </c>
      <c r="K3213" s="30">
        <v>841.76</v>
      </c>
      <c r="L3213" s="17"/>
      <c r="M3213" s="29">
        <f>K3213*L3213</f>
        <v>0</v>
      </c>
      <c r="N3213" s="31">
        <f>0.207*L3213</f>
        <v>0</v>
      </c>
      <c r="O3213" s="32">
        <f>0.00164*L3213</f>
        <v>0</v>
      </c>
      <c r="P3213" s="36"/>
      <c r="Q3213" s="29" t="s">
        <v>10553</v>
      </c>
      <c r="R3213" s="29" t="s">
        <v>611</v>
      </c>
      <c r="S3213" s="26" t="str">
        <f>HYPERLINK("https://miland.ru/api/getInfo/image/c297dfc3-1117-11ef-a25d-00155d82e908")</f>
        <v>https://miland.ru/api/getInfo/image/c297dfc3-1117-11ef-a25d-00155d82e908</v>
      </c>
    </row>
    <row r="3214" spans="1:19" s="2" customFormat="1" ht="96.2" customHeight="1" outlineLevel="5">
      <c r="A3214" s="52">
        <v>2505</v>
      </c>
      <c r="B3214" s="26" t="s">
        <v>10554</v>
      </c>
      <c r="C3214" s="66" t="s">
        <v>10555</v>
      </c>
      <c r="D3214" s="66"/>
      <c r="E3214" s="66"/>
      <c r="F3214" s="66"/>
      <c r="G3214" s="27" t="s">
        <v>10556</v>
      </c>
      <c r="H3214" s="33">
        <v>89</v>
      </c>
      <c r="I3214" s="29"/>
      <c r="J3214" s="25">
        <v>1</v>
      </c>
      <c r="K3214" s="30">
        <v>841.76</v>
      </c>
      <c r="L3214" s="17"/>
      <c r="M3214" s="29">
        <f>K3214*L3214</f>
        <v>0</v>
      </c>
      <c r="N3214" s="31">
        <f>0.204*L3214</f>
        <v>0</v>
      </c>
      <c r="O3214" s="32">
        <f>0.00164*L3214</f>
        <v>0</v>
      </c>
      <c r="P3214" s="36"/>
      <c r="Q3214" s="29" t="s">
        <v>10557</v>
      </c>
      <c r="R3214" s="29" t="s">
        <v>611</v>
      </c>
      <c r="S3214" s="26" t="str">
        <f>HYPERLINK("https://miland.ru/api/getInfo/image/ccc9cbe7-1116-11ef-a25d-00155d82e908")</f>
        <v>https://miland.ru/api/getInfo/image/ccc9cbe7-1116-11ef-a25d-00155d82e908</v>
      </c>
    </row>
    <row r="3215" spans="1:19" s="2" customFormat="1" ht="96.2" customHeight="1" outlineLevel="5">
      <c r="A3215" s="52">
        <v>2506</v>
      </c>
      <c r="B3215" s="26" t="s">
        <v>10558</v>
      </c>
      <c r="C3215" s="66" t="s">
        <v>10559</v>
      </c>
      <c r="D3215" s="66"/>
      <c r="E3215" s="66"/>
      <c r="F3215" s="66"/>
      <c r="G3215" s="27" t="s">
        <v>10560</v>
      </c>
      <c r="H3215" s="33">
        <v>343</v>
      </c>
      <c r="I3215" s="29"/>
      <c r="J3215" s="25">
        <v>1</v>
      </c>
      <c r="K3215" s="30">
        <v>841.76</v>
      </c>
      <c r="L3215" s="17"/>
      <c r="M3215" s="29">
        <f>K3215*L3215</f>
        <v>0</v>
      </c>
      <c r="N3215" s="31">
        <f>0.204*L3215</f>
        <v>0</v>
      </c>
      <c r="O3215" s="32">
        <f>0.00169*L3215</f>
        <v>0</v>
      </c>
      <c r="P3215" s="36"/>
      <c r="Q3215" s="29" t="s">
        <v>10561</v>
      </c>
      <c r="R3215" s="29" t="s">
        <v>611</v>
      </c>
      <c r="S3215" s="26" t="str">
        <f>HYPERLINK("https://miland.ru/api/getInfo/image/a42ab05f-1117-11ef-a25d-00155d82e908")</f>
        <v>https://miland.ru/api/getInfo/image/a42ab05f-1117-11ef-a25d-00155d82e908</v>
      </c>
    </row>
    <row r="3216" spans="1:19" s="2" customFormat="1" ht="96.2" customHeight="1" outlineLevel="5">
      <c r="A3216" s="52">
        <v>2507</v>
      </c>
      <c r="B3216" s="26" t="s">
        <v>10562</v>
      </c>
      <c r="C3216" s="66" t="s">
        <v>10563</v>
      </c>
      <c r="D3216" s="66"/>
      <c r="E3216" s="66"/>
      <c r="F3216" s="66"/>
      <c r="G3216" s="27" t="s">
        <v>10564</v>
      </c>
      <c r="H3216" s="33">
        <v>220</v>
      </c>
      <c r="I3216" s="29"/>
      <c r="J3216" s="25">
        <v>1</v>
      </c>
      <c r="K3216" s="30">
        <v>841.76</v>
      </c>
      <c r="L3216" s="17"/>
      <c r="M3216" s="29">
        <f>K3216*L3216</f>
        <v>0</v>
      </c>
      <c r="N3216" s="31">
        <f>0.207*L3216</f>
        <v>0</v>
      </c>
      <c r="O3216" s="32">
        <f>0.00167*L3216</f>
        <v>0</v>
      </c>
      <c r="P3216" s="36"/>
      <c r="Q3216" s="29" t="s">
        <v>10565</v>
      </c>
      <c r="R3216" s="29" t="s">
        <v>611</v>
      </c>
      <c r="S3216" s="26" t="str">
        <f>HYPERLINK("https://miland.ru/api/getInfo/image/b28982f1-1117-11ef-a25d-00155d82e908")</f>
        <v>https://miland.ru/api/getInfo/image/b28982f1-1117-11ef-a25d-00155d82e908</v>
      </c>
    </row>
    <row r="3217" spans="1:19" s="2" customFormat="1" ht="96.2" customHeight="1" outlineLevel="5">
      <c r="A3217" s="52">
        <v>2508</v>
      </c>
      <c r="B3217" s="26" t="s">
        <v>10566</v>
      </c>
      <c r="C3217" s="66" t="s">
        <v>10567</v>
      </c>
      <c r="D3217" s="66"/>
      <c r="E3217" s="66"/>
      <c r="F3217" s="66"/>
      <c r="G3217" s="27" t="s">
        <v>10568</v>
      </c>
      <c r="H3217" s="33">
        <v>187</v>
      </c>
      <c r="I3217" s="29"/>
      <c r="J3217" s="25">
        <v>1</v>
      </c>
      <c r="K3217" s="30">
        <v>841.76</v>
      </c>
      <c r="L3217" s="17"/>
      <c r="M3217" s="29">
        <f>K3217*L3217</f>
        <v>0</v>
      </c>
      <c r="N3217" s="31">
        <f>0.209*L3217</f>
        <v>0</v>
      </c>
      <c r="O3217" s="32">
        <f>0.00167*L3217</f>
        <v>0</v>
      </c>
      <c r="P3217" s="36"/>
      <c r="Q3217" s="29" t="s">
        <v>10569</v>
      </c>
      <c r="R3217" s="29" t="s">
        <v>611</v>
      </c>
      <c r="S3217" s="26" t="str">
        <f>HYPERLINK("https://miland.ru/api/getInfo/image/d2cec492-1117-11ef-a25d-00155d82e908")</f>
        <v>https://miland.ru/api/getInfo/image/d2cec492-1117-11ef-a25d-00155d82e908</v>
      </c>
    </row>
    <row r="3218" spans="1:19" s="1" customFormat="1" ht="12" customHeight="1" outlineLevel="4">
      <c r="A3218" s="64" t="s">
        <v>10570</v>
      </c>
      <c r="B3218" s="64"/>
      <c r="C3218" s="64"/>
      <c r="D3218" s="64"/>
      <c r="E3218" s="64"/>
      <c r="F3218" s="64"/>
      <c r="G3218" s="8"/>
      <c r="H3218" s="12"/>
      <c r="I3218" s="2"/>
      <c r="J3218" s="2"/>
      <c r="K3218" s="13"/>
      <c r="L3218" s="2"/>
      <c r="M3218" s="2"/>
      <c r="N3218" s="2"/>
      <c r="O3218" s="2"/>
      <c r="P3218" s="2"/>
      <c r="Q3218" s="2"/>
      <c r="R3218" s="2"/>
      <c r="S3218" s="2"/>
    </row>
    <row r="3219" spans="1:19" s="2" customFormat="1" ht="96.2" customHeight="1" outlineLevel="5">
      <c r="A3219" s="53">
        <v>2509</v>
      </c>
      <c r="B3219" s="10" t="s">
        <v>10571</v>
      </c>
      <c r="C3219" s="65" t="s">
        <v>10572</v>
      </c>
      <c r="D3219" s="65"/>
      <c r="E3219" s="65"/>
      <c r="F3219" s="65"/>
      <c r="G3219" s="11" t="s">
        <v>10573</v>
      </c>
      <c r="H3219" s="21" t="s">
        <v>44</v>
      </c>
      <c r="I3219" s="15"/>
      <c r="J3219" s="9">
        <v>3</v>
      </c>
      <c r="K3219" s="16">
        <v>241.04</v>
      </c>
      <c r="L3219" s="17"/>
      <c r="M3219" s="15">
        <f t="shared" ref="M3219:M3228" si="152">K3219*L3219</f>
        <v>0</v>
      </c>
      <c r="N3219" s="18">
        <f t="shared" ref="N3219:N3228" si="153">0.182*L3219</f>
        <v>0</v>
      </c>
      <c r="O3219" s="19">
        <f t="shared" ref="O3219:O3228" si="154">0.00123*L3219</f>
        <v>0</v>
      </c>
      <c r="P3219" s="24" t="s">
        <v>26</v>
      </c>
      <c r="Q3219" s="15" t="s">
        <v>10574</v>
      </c>
      <c r="R3219" s="15"/>
      <c r="S3219" s="10" t="str">
        <f>HYPERLINK("https://miland.ru/api/getInfo/image/9cd6db6f-331f-11f1-a292-00155d82e908")</f>
        <v>https://miland.ru/api/getInfo/image/9cd6db6f-331f-11f1-a292-00155d82e908</v>
      </c>
    </row>
    <row r="3220" spans="1:19" s="2" customFormat="1" ht="96.2" customHeight="1" outlineLevel="5">
      <c r="A3220" s="53">
        <v>2510</v>
      </c>
      <c r="B3220" s="10" t="s">
        <v>10575</v>
      </c>
      <c r="C3220" s="65" t="s">
        <v>10576</v>
      </c>
      <c r="D3220" s="65"/>
      <c r="E3220" s="65"/>
      <c r="F3220" s="65"/>
      <c r="G3220" s="11" t="s">
        <v>10577</v>
      </c>
      <c r="H3220" s="14">
        <v>410</v>
      </c>
      <c r="I3220" s="15"/>
      <c r="J3220" s="9">
        <v>3</v>
      </c>
      <c r="K3220" s="16">
        <v>241.04</v>
      </c>
      <c r="L3220" s="17"/>
      <c r="M3220" s="15">
        <f t="shared" si="152"/>
        <v>0</v>
      </c>
      <c r="N3220" s="18">
        <f t="shared" si="153"/>
        <v>0</v>
      </c>
      <c r="O3220" s="19">
        <f t="shared" si="154"/>
        <v>0</v>
      </c>
      <c r="P3220" s="24" t="s">
        <v>26</v>
      </c>
      <c r="Q3220" s="15" t="s">
        <v>10578</v>
      </c>
      <c r="R3220" s="15"/>
      <c r="S3220" s="10" t="str">
        <f>HYPERLINK("https://miland.ru/api/getInfo/image/253819c0-331f-11f1-a292-00155d82e908")</f>
        <v>https://miland.ru/api/getInfo/image/253819c0-331f-11f1-a292-00155d82e908</v>
      </c>
    </row>
    <row r="3221" spans="1:19" s="2" customFormat="1" ht="96.2" customHeight="1" outlineLevel="5">
      <c r="A3221" s="53">
        <v>2511</v>
      </c>
      <c r="B3221" s="10" t="s">
        <v>10579</v>
      </c>
      <c r="C3221" s="65" t="s">
        <v>10580</v>
      </c>
      <c r="D3221" s="65"/>
      <c r="E3221" s="65"/>
      <c r="F3221" s="65"/>
      <c r="G3221" s="11" t="s">
        <v>10581</v>
      </c>
      <c r="H3221" s="21" t="s">
        <v>44</v>
      </c>
      <c r="I3221" s="15"/>
      <c r="J3221" s="9">
        <v>3</v>
      </c>
      <c r="K3221" s="16">
        <v>241.04</v>
      </c>
      <c r="L3221" s="17"/>
      <c r="M3221" s="15">
        <f t="shared" si="152"/>
        <v>0</v>
      </c>
      <c r="N3221" s="18">
        <f t="shared" si="153"/>
        <v>0</v>
      </c>
      <c r="O3221" s="19">
        <f t="shared" si="154"/>
        <v>0</v>
      </c>
      <c r="P3221" s="24" t="s">
        <v>26</v>
      </c>
      <c r="Q3221" s="15" t="s">
        <v>10582</v>
      </c>
      <c r="R3221" s="15"/>
      <c r="S3221" s="10" t="str">
        <f>HYPERLINK("https://miland.ru/api/getInfo/image/34d79b4c-3320-11f1-a292-00155d82e908")</f>
        <v>https://miland.ru/api/getInfo/image/34d79b4c-3320-11f1-a292-00155d82e908</v>
      </c>
    </row>
    <row r="3222" spans="1:19" s="2" customFormat="1" ht="96.2" customHeight="1" outlineLevel="5">
      <c r="A3222" s="53">
        <v>2512</v>
      </c>
      <c r="B3222" s="10" t="s">
        <v>10583</v>
      </c>
      <c r="C3222" s="65" t="s">
        <v>10584</v>
      </c>
      <c r="D3222" s="65"/>
      <c r="E3222" s="65"/>
      <c r="F3222" s="65"/>
      <c r="G3222" s="11" t="s">
        <v>10585</v>
      </c>
      <c r="H3222" s="21" t="s">
        <v>44</v>
      </c>
      <c r="I3222" s="15"/>
      <c r="J3222" s="9">
        <v>3</v>
      </c>
      <c r="K3222" s="16">
        <v>241.04</v>
      </c>
      <c r="L3222" s="17"/>
      <c r="M3222" s="15">
        <f t="shared" si="152"/>
        <v>0</v>
      </c>
      <c r="N3222" s="18">
        <f t="shared" si="153"/>
        <v>0</v>
      </c>
      <c r="O3222" s="19">
        <f t="shared" si="154"/>
        <v>0</v>
      </c>
      <c r="P3222" s="24" t="s">
        <v>26</v>
      </c>
      <c r="Q3222" s="15" t="s">
        <v>10586</v>
      </c>
      <c r="R3222" s="15"/>
      <c r="S3222" s="10" t="str">
        <f>HYPERLINK("https://miland.ru/api/getInfo/image/afed37b1-331f-11f1-a292-00155d82e908")</f>
        <v>https://miland.ru/api/getInfo/image/afed37b1-331f-11f1-a292-00155d82e908</v>
      </c>
    </row>
    <row r="3223" spans="1:19" s="2" customFormat="1" ht="96.2" customHeight="1" outlineLevel="5">
      <c r="A3223" s="53">
        <v>2513</v>
      </c>
      <c r="B3223" s="10" t="s">
        <v>10587</v>
      </c>
      <c r="C3223" s="65" t="s">
        <v>10588</v>
      </c>
      <c r="D3223" s="65"/>
      <c r="E3223" s="65"/>
      <c r="F3223" s="65"/>
      <c r="G3223" s="11" t="s">
        <v>10589</v>
      </c>
      <c r="H3223" s="14">
        <v>130</v>
      </c>
      <c r="I3223" s="15"/>
      <c r="J3223" s="9">
        <v>3</v>
      </c>
      <c r="K3223" s="16">
        <v>241.04</v>
      </c>
      <c r="L3223" s="17"/>
      <c r="M3223" s="15">
        <f t="shared" si="152"/>
        <v>0</v>
      </c>
      <c r="N3223" s="18">
        <f t="shared" si="153"/>
        <v>0</v>
      </c>
      <c r="O3223" s="19">
        <f t="shared" si="154"/>
        <v>0</v>
      </c>
      <c r="P3223" s="24" t="s">
        <v>26</v>
      </c>
      <c r="Q3223" s="15" t="s">
        <v>10590</v>
      </c>
      <c r="R3223" s="15"/>
      <c r="S3223" s="10" t="str">
        <f>HYPERLINK("https://miland.ru/api/getInfo/image/83130b3c-331f-11f1-a292-00155d82e908")</f>
        <v>https://miland.ru/api/getInfo/image/83130b3c-331f-11f1-a292-00155d82e908</v>
      </c>
    </row>
    <row r="3224" spans="1:19" s="2" customFormat="1" ht="96.2" customHeight="1" outlineLevel="5">
      <c r="A3224" s="53">
        <v>2514</v>
      </c>
      <c r="B3224" s="10" t="s">
        <v>10591</v>
      </c>
      <c r="C3224" s="65" t="s">
        <v>10592</v>
      </c>
      <c r="D3224" s="65"/>
      <c r="E3224" s="65"/>
      <c r="F3224" s="65"/>
      <c r="G3224" s="11" t="s">
        <v>10593</v>
      </c>
      <c r="H3224" s="21" t="s">
        <v>44</v>
      </c>
      <c r="I3224" s="15"/>
      <c r="J3224" s="9">
        <v>3</v>
      </c>
      <c r="K3224" s="16">
        <v>241.04</v>
      </c>
      <c r="L3224" s="17"/>
      <c r="M3224" s="15">
        <f t="shared" si="152"/>
        <v>0</v>
      </c>
      <c r="N3224" s="18">
        <f t="shared" si="153"/>
        <v>0</v>
      </c>
      <c r="O3224" s="19">
        <f t="shared" si="154"/>
        <v>0</v>
      </c>
      <c r="P3224" s="24" t="s">
        <v>26</v>
      </c>
      <c r="Q3224" s="15" t="s">
        <v>10594</v>
      </c>
      <c r="R3224" s="15"/>
      <c r="S3224" s="10" t="str">
        <f>HYPERLINK("https://miland.ru/api/getInfo/image/12842f90-3320-11f1-a292-00155d82e908")</f>
        <v>https://miland.ru/api/getInfo/image/12842f90-3320-11f1-a292-00155d82e908</v>
      </c>
    </row>
    <row r="3225" spans="1:19" s="2" customFormat="1" ht="96.2" customHeight="1" outlineLevel="5">
      <c r="A3225" s="53">
        <v>2515</v>
      </c>
      <c r="B3225" s="10" t="s">
        <v>10595</v>
      </c>
      <c r="C3225" s="65" t="s">
        <v>10596</v>
      </c>
      <c r="D3225" s="65"/>
      <c r="E3225" s="65"/>
      <c r="F3225" s="65"/>
      <c r="G3225" s="11" t="s">
        <v>10597</v>
      </c>
      <c r="H3225" s="14">
        <v>377</v>
      </c>
      <c r="I3225" s="15"/>
      <c r="J3225" s="9">
        <v>3</v>
      </c>
      <c r="K3225" s="16">
        <v>241.04</v>
      </c>
      <c r="L3225" s="17"/>
      <c r="M3225" s="15">
        <f t="shared" si="152"/>
        <v>0</v>
      </c>
      <c r="N3225" s="18">
        <f t="shared" si="153"/>
        <v>0</v>
      </c>
      <c r="O3225" s="19">
        <f t="shared" si="154"/>
        <v>0</v>
      </c>
      <c r="P3225" s="24" t="s">
        <v>26</v>
      </c>
      <c r="Q3225" s="15" t="s">
        <v>10598</v>
      </c>
      <c r="R3225" s="15"/>
      <c r="S3225" s="10" t="str">
        <f>HYPERLINK("https://miland.ru/api/getInfo/image/e6020bde-331e-11f1-a292-00155d82e908")</f>
        <v>https://miland.ru/api/getInfo/image/e6020bde-331e-11f1-a292-00155d82e908</v>
      </c>
    </row>
    <row r="3226" spans="1:19" s="2" customFormat="1" ht="96.2" customHeight="1" outlineLevel="5">
      <c r="A3226" s="53">
        <v>2516</v>
      </c>
      <c r="B3226" s="10" t="s">
        <v>10599</v>
      </c>
      <c r="C3226" s="65" t="s">
        <v>10600</v>
      </c>
      <c r="D3226" s="65"/>
      <c r="E3226" s="65"/>
      <c r="F3226" s="65"/>
      <c r="G3226" s="11" t="s">
        <v>10601</v>
      </c>
      <c r="H3226" s="14">
        <v>441</v>
      </c>
      <c r="I3226" s="15"/>
      <c r="J3226" s="9">
        <v>3</v>
      </c>
      <c r="K3226" s="16">
        <v>241.04</v>
      </c>
      <c r="L3226" s="17"/>
      <c r="M3226" s="15">
        <f t="shared" si="152"/>
        <v>0</v>
      </c>
      <c r="N3226" s="18">
        <f t="shared" si="153"/>
        <v>0</v>
      </c>
      <c r="O3226" s="19">
        <f t="shared" si="154"/>
        <v>0</v>
      </c>
      <c r="P3226" s="24" t="s">
        <v>26</v>
      </c>
      <c r="Q3226" s="15" t="s">
        <v>10602</v>
      </c>
      <c r="R3226" s="15"/>
      <c r="S3226" s="10" t="str">
        <f>HYPERLINK("https://miland.ru/api/getInfo/image/c9ba067b-331f-11f1-a292-00155d82e908")</f>
        <v>https://miland.ru/api/getInfo/image/c9ba067b-331f-11f1-a292-00155d82e908</v>
      </c>
    </row>
    <row r="3227" spans="1:19" s="2" customFormat="1" ht="96.2" customHeight="1" outlineLevel="5">
      <c r="A3227" s="53">
        <v>2517</v>
      </c>
      <c r="B3227" s="10" t="s">
        <v>10603</v>
      </c>
      <c r="C3227" s="65" t="s">
        <v>10604</v>
      </c>
      <c r="D3227" s="65"/>
      <c r="E3227" s="65"/>
      <c r="F3227" s="65"/>
      <c r="G3227" s="11" t="s">
        <v>10605</v>
      </c>
      <c r="H3227" s="21" t="s">
        <v>44</v>
      </c>
      <c r="I3227" s="15"/>
      <c r="J3227" s="9">
        <v>3</v>
      </c>
      <c r="K3227" s="16">
        <v>241.04</v>
      </c>
      <c r="L3227" s="17"/>
      <c r="M3227" s="15">
        <f t="shared" si="152"/>
        <v>0</v>
      </c>
      <c r="N3227" s="18">
        <f t="shared" si="153"/>
        <v>0</v>
      </c>
      <c r="O3227" s="19">
        <f t="shared" si="154"/>
        <v>0</v>
      </c>
      <c r="P3227" s="24" t="s">
        <v>26</v>
      </c>
      <c r="Q3227" s="15" t="s">
        <v>10606</v>
      </c>
      <c r="R3227" s="15"/>
      <c r="S3227" s="10" t="str">
        <f>HYPERLINK("https://miland.ru/api/getInfo/image/e0c0103f-331f-11f1-a292-00155d82e908")</f>
        <v>https://miland.ru/api/getInfo/image/e0c0103f-331f-11f1-a292-00155d82e908</v>
      </c>
    </row>
    <row r="3228" spans="1:19" s="2" customFormat="1" ht="96.2" customHeight="1" outlineLevel="5">
      <c r="A3228" s="53">
        <v>2518</v>
      </c>
      <c r="B3228" s="10" t="s">
        <v>10607</v>
      </c>
      <c r="C3228" s="65" t="s">
        <v>10608</v>
      </c>
      <c r="D3228" s="65"/>
      <c r="E3228" s="65"/>
      <c r="F3228" s="65"/>
      <c r="G3228" s="11" t="s">
        <v>10609</v>
      </c>
      <c r="H3228" s="21" t="s">
        <v>44</v>
      </c>
      <c r="I3228" s="15"/>
      <c r="J3228" s="9">
        <v>3</v>
      </c>
      <c r="K3228" s="16">
        <v>241.04</v>
      </c>
      <c r="L3228" s="17"/>
      <c r="M3228" s="15">
        <f t="shared" si="152"/>
        <v>0</v>
      </c>
      <c r="N3228" s="18">
        <f t="shared" si="153"/>
        <v>0</v>
      </c>
      <c r="O3228" s="19">
        <f t="shared" si="154"/>
        <v>0</v>
      </c>
      <c r="P3228" s="24" t="s">
        <v>26</v>
      </c>
      <c r="Q3228" s="15" t="s">
        <v>10610</v>
      </c>
      <c r="R3228" s="15"/>
      <c r="S3228" s="10" t="str">
        <f>HYPERLINK("https://miland.ru/api/getInfo/image/fdafcbc8-331f-11f1-a292-00155d82e908")</f>
        <v>https://miland.ru/api/getInfo/image/fdafcbc8-331f-11f1-a292-00155d82e908</v>
      </c>
    </row>
    <row r="3229" spans="1:19" s="1" customFormat="1" ht="12" customHeight="1" outlineLevel="4">
      <c r="A3229" s="64" t="s">
        <v>10611</v>
      </c>
      <c r="B3229" s="64"/>
      <c r="C3229" s="64"/>
      <c r="D3229" s="64"/>
      <c r="E3229" s="64"/>
      <c r="F3229" s="64"/>
      <c r="G3229" s="8"/>
      <c r="H3229" s="12"/>
      <c r="I3229" s="2"/>
      <c r="J3229" s="2"/>
      <c r="K3229" s="13"/>
      <c r="L3229" s="2"/>
      <c r="M3229" s="2"/>
      <c r="N3229" s="2"/>
      <c r="O3229" s="2"/>
      <c r="P3229" s="2"/>
      <c r="Q3229" s="2"/>
      <c r="R3229" s="2"/>
      <c r="S3229" s="2"/>
    </row>
    <row r="3230" spans="1:19" s="2" customFormat="1" ht="96.2" customHeight="1" outlineLevel="5">
      <c r="A3230" s="52">
        <v>2519</v>
      </c>
      <c r="B3230" s="26" t="s">
        <v>10612</v>
      </c>
      <c r="C3230" s="66" t="s">
        <v>10613</v>
      </c>
      <c r="D3230" s="66"/>
      <c r="E3230" s="66"/>
      <c r="F3230" s="66"/>
      <c r="G3230" s="27" t="s">
        <v>10614</v>
      </c>
      <c r="H3230" s="33">
        <v>275</v>
      </c>
      <c r="I3230" s="29"/>
      <c r="J3230" s="25">
        <v>2</v>
      </c>
      <c r="K3230" s="30">
        <v>349.18</v>
      </c>
      <c r="L3230" s="17"/>
      <c r="M3230" s="29">
        <f t="shared" ref="M3230:M3249" si="155">K3230*L3230</f>
        <v>0</v>
      </c>
      <c r="N3230" s="31">
        <f>0.192*L3230</f>
        <v>0</v>
      </c>
      <c r="O3230" s="32">
        <f>0.00203*L3230</f>
        <v>0</v>
      </c>
      <c r="P3230" s="36"/>
      <c r="Q3230" s="29" t="s">
        <v>10615</v>
      </c>
      <c r="R3230" s="29" t="s">
        <v>611</v>
      </c>
      <c r="S3230" s="26" t="str">
        <f>HYPERLINK("https://miland.ru/api/getInfo/image/c330b638-3776-11ee-a240-00155d82e902")</f>
        <v>https://miland.ru/api/getInfo/image/c330b638-3776-11ee-a240-00155d82e902</v>
      </c>
    </row>
    <row r="3231" spans="1:19" s="2" customFormat="1" ht="96.2" customHeight="1" outlineLevel="5">
      <c r="A3231" s="52">
        <v>2520</v>
      </c>
      <c r="B3231" s="26" t="s">
        <v>10616</v>
      </c>
      <c r="C3231" s="66" t="s">
        <v>10617</v>
      </c>
      <c r="D3231" s="66"/>
      <c r="E3231" s="66"/>
      <c r="F3231" s="66"/>
      <c r="G3231" s="27" t="s">
        <v>10618</v>
      </c>
      <c r="H3231" s="33">
        <v>362</v>
      </c>
      <c r="I3231" s="29"/>
      <c r="J3231" s="25">
        <v>2</v>
      </c>
      <c r="K3231" s="30">
        <v>361.76</v>
      </c>
      <c r="L3231" s="17"/>
      <c r="M3231" s="29">
        <f t="shared" si="155"/>
        <v>0</v>
      </c>
      <c r="N3231" s="31">
        <f>0.191*L3231</f>
        <v>0</v>
      </c>
      <c r="O3231" s="32">
        <f>0.03704*L3231</f>
        <v>0</v>
      </c>
      <c r="P3231" s="36"/>
      <c r="Q3231" s="29" t="s">
        <v>10619</v>
      </c>
      <c r="R3231" s="29" t="s">
        <v>611</v>
      </c>
      <c r="S3231" s="26" t="str">
        <f>HYPERLINK("https://miland.ru/api/getInfo/image/b1fbc1f0-5e16-11ef-a262-00155d82e908")</f>
        <v>https://miland.ru/api/getInfo/image/b1fbc1f0-5e16-11ef-a262-00155d82e908</v>
      </c>
    </row>
    <row r="3232" spans="1:19" s="2" customFormat="1" ht="96.2" customHeight="1" outlineLevel="5">
      <c r="A3232" s="52">
        <v>2521</v>
      </c>
      <c r="B3232" s="26" t="s">
        <v>10620</v>
      </c>
      <c r="C3232" s="66" t="s">
        <v>10621</v>
      </c>
      <c r="D3232" s="66"/>
      <c r="E3232" s="66"/>
      <c r="F3232" s="66"/>
      <c r="G3232" s="27" t="s">
        <v>10622</v>
      </c>
      <c r="H3232" s="28" t="s">
        <v>44</v>
      </c>
      <c r="I3232" s="29"/>
      <c r="J3232" s="25">
        <v>2</v>
      </c>
      <c r="K3232" s="30">
        <v>349.18</v>
      </c>
      <c r="L3232" s="17"/>
      <c r="M3232" s="29">
        <f t="shared" si="155"/>
        <v>0</v>
      </c>
      <c r="N3232" s="31">
        <f>0.192*L3232</f>
        <v>0</v>
      </c>
      <c r="O3232" s="31">
        <f>0.002*L3232</f>
        <v>0</v>
      </c>
      <c r="P3232" s="36"/>
      <c r="Q3232" s="29" t="s">
        <v>10623</v>
      </c>
      <c r="R3232" s="29" t="s">
        <v>611</v>
      </c>
      <c r="S3232" s="26" t="str">
        <f>HYPERLINK("https://miland.ru/api/getInfo/image/6325d2c8-3777-11ee-a240-00155d82e902")</f>
        <v>https://miland.ru/api/getInfo/image/6325d2c8-3777-11ee-a240-00155d82e902</v>
      </c>
    </row>
    <row r="3233" spans="1:19" s="2" customFormat="1" ht="96.2" customHeight="1" outlineLevel="5">
      <c r="A3233" s="52">
        <v>2522</v>
      </c>
      <c r="B3233" s="26" t="s">
        <v>10624</v>
      </c>
      <c r="C3233" s="66" t="s">
        <v>10625</v>
      </c>
      <c r="D3233" s="66"/>
      <c r="E3233" s="66"/>
      <c r="F3233" s="66"/>
      <c r="G3233" s="27" t="s">
        <v>10626</v>
      </c>
      <c r="H3233" s="33">
        <v>51</v>
      </c>
      <c r="I3233" s="29"/>
      <c r="J3233" s="25">
        <v>2</v>
      </c>
      <c r="K3233" s="30">
        <v>349.18</v>
      </c>
      <c r="L3233" s="17"/>
      <c r="M3233" s="29">
        <f t="shared" si="155"/>
        <v>0</v>
      </c>
      <c r="N3233" s="31">
        <f>0.191*L3233</f>
        <v>0</v>
      </c>
      <c r="O3233" s="32">
        <f>0.00204*L3233</f>
        <v>0</v>
      </c>
      <c r="P3233" s="36"/>
      <c r="Q3233" s="29" t="s">
        <v>10627</v>
      </c>
      <c r="R3233" s="29" t="s">
        <v>611</v>
      </c>
      <c r="S3233" s="26" t="str">
        <f>HYPERLINK("https://miland.ru/api/getInfo/image/1223b74a-3777-11ee-a240-00155d82e902")</f>
        <v>https://miland.ru/api/getInfo/image/1223b74a-3777-11ee-a240-00155d82e902</v>
      </c>
    </row>
    <row r="3234" spans="1:19" s="2" customFormat="1" ht="96.2" customHeight="1" outlineLevel="5">
      <c r="A3234" s="52">
        <v>2523</v>
      </c>
      <c r="B3234" s="26" t="s">
        <v>10628</v>
      </c>
      <c r="C3234" s="66" t="s">
        <v>10629</v>
      </c>
      <c r="D3234" s="66"/>
      <c r="E3234" s="66"/>
      <c r="F3234" s="66"/>
      <c r="G3234" s="27" t="s">
        <v>10630</v>
      </c>
      <c r="H3234" s="33">
        <v>109</v>
      </c>
      <c r="I3234" s="29"/>
      <c r="J3234" s="25">
        <v>1</v>
      </c>
      <c r="K3234" s="30">
        <v>474.81</v>
      </c>
      <c r="L3234" s="17"/>
      <c r="M3234" s="29">
        <f t="shared" si="155"/>
        <v>0</v>
      </c>
      <c r="N3234" s="31">
        <f>0.188*L3234</f>
        <v>0</v>
      </c>
      <c r="O3234" s="32">
        <f>0.00216*L3234</f>
        <v>0</v>
      </c>
      <c r="P3234" s="36"/>
      <c r="Q3234" s="29" t="s">
        <v>10631</v>
      </c>
      <c r="R3234" s="29" t="s">
        <v>611</v>
      </c>
      <c r="S3234" s="26" t="str">
        <f>HYPERLINK("https://miland.ru/api/getInfo/image/5979685b-3776-11ee-a240-00155d82e902")</f>
        <v>https://miland.ru/api/getInfo/image/5979685b-3776-11ee-a240-00155d82e902</v>
      </c>
    </row>
    <row r="3235" spans="1:19" s="2" customFormat="1" ht="96.2" customHeight="1" outlineLevel="5">
      <c r="A3235" s="52">
        <v>2524</v>
      </c>
      <c r="B3235" s="26" t="s">
        <v>10632</v>
      </c>
      <c r="C3235" s="66" t="s">
        <v>10633</v>
      </c>
      <c r="D3235" s="66"/>
      <c r="E3235" s="66"/>
      <c r="F3235" s="66"/>
      <c r="G3235" s="27" t="s">
        <v>10634</v>
      </c>
      <c r="H3235" s="33">
        <v>359</v>
      </c>
      <c r="I3235" s="29"/>
      <c r="J3235" s="25">
        <v>2</v>
      </c>
      <c r="K3235" s="30">
        <v>349.18</v>
      </c>
      <c r="L3235" s="17"/>
      <c r="M3235" s="29">
        <f t="shared" si="155"/>
        <v>0</v>
      </c>
      <c r="N3235" s="31">
        <f>0.197*L3235</f>
        <v>0</v>
      </c>
      <c r="O3235" s="31">
        <f>0.002*L3235</f>
        <v>0</v>
      </c>
      <c r="P3235" s="36"/>
      <c r="Q3235" s="29" t="s">
        <v>10635</v>
      </c>
      <c r="R3235" s="29" t="s">
        <v>611</v>
      </c>
      <c r="S3235" s="26" t="str">
        <f>HYPERLINK("https://miland.ru/api/getInfo/image/ea925851-3775-11ee-a240-00155d82e902")</f>
        <v>https://miland.ru/api/getInfo/image/ea925851-3775-11ee-a240-00155d82e902</v>
      </c>
    </row>
    <row r="3236" spans="1:19" s="2" customFormat="1" ht="96.2" customHeight="1" outlineLevel="5">
      <c r="A3236" s="52">
        <v>2525</v>
      </c>
      <c r="B3236" s="26" t="s">
        <v>10636</v>
      </c>
      <c r="C3236" s="66" t="s">
        <v>10637</v>
      </c>
      <c r="D3236" s="66"/>
      <c r="E3236" s="66"/>
      <c r="F3236" s="66"/>
      <c r="G3236" s="27" t="s">
        <v>10638</v>
      </c>
      <c r="H3236" s="33">
        <v>456</v>
      </c>
      <c r="I3236" s="29"/>
      <c r="J3236" s="25">
        <v>2</v>
      </c>
      <c r="K3236" s="30">
        <v>336.32</v>
      </c>
      <c r="L3236" s="17"/>
      <c r="M3236" s="29">
        <f t="shared" si="155"/>
        <v>0</v>
      </c>
      <c r="N3236" s="31">
        <f>0.155*L3236</f>
        <v>0</v>
      </c>
      <c r="O3236" s="32">
        <f>0.00171*L3236</f>
        <v>0</v>
      </c>
      <c r="P3236" s="36"/>
      <c r="Q3236" s="29" t="s">
        <v>10639</v>
      </c>
      <c r="R3236" s="29" t="s">
        <v>611</v>
      </c>
      <c r="S3236" s="26" t="str">
        <f>HYPERLINK("https://miland.ru/api/getInfo/image/720b3068-5e15-11ef-a262-00155d82e908")</f>
        <v>https://miland.ru/api/getInfo/image/720b3068-5e15-11ef-a262-00155d82e908</v>
      </c>
    </row>
    <row r="3237" spans="1:19" s="2" customFormat="1" ht="96.2" customHeight="1" outlineLevel="5">
      <c r="A3237" s="52">
        <v>2526</v>
      </c>
      <c r="B3237" s="26" t="s">
        <v>10640</v>
      </c>
      <c r="C3237" s="66" t="s">
        <v>10641</v>
      </c>
      <c r="D3237" s="66"/>
      <c r="E3237" s="66"/>
      <c r="F3237" s="66"/>
      <c r="G3237" s="27" t="s">
        <v>10642</v>
      </c>
      <c r="H3237" s="33">
        <v>448</v>
      </c>
      <c r="I3237" s="29"/>
      <c r="J3237" s="25">
        <v>2</v>
      </c>
      <c r="K3237" s="30">
        <v>336.32</v>
      </c>
      <c r="L3237" s="17"/>
      <c r="M3237" s="29">
        <f t="shared" si="155"/>
        <v>0</v>
      </c>
      <c r="N3237" s="31">
        <f>0.154*L3237</f>
        <v>0</v>
      </c>
      <c r="O3237" s="32">
        <f>0.00164*L3237</f>
        <v>0</v>
      </c>
      <c r="P3237" s="36"/>
      <c r="Q3237" s="29" t="s">
        <v>10643</v>
      </c>
      <c r="R3237" s="29" t="s">
        <v>611</v>
      </c>
      <c r="S3237" s="26" t="str">
        <f>HYPERLINK("https://miland.ru/api/getInfo/image/f29f7802-5e15-11ef-a262-00155d82e908")</f>
        <v>https://miland.ru/api/getInfo/image/f29f7802-5e15-11ef-a262-00155d82e908</v>
      </c>
    </row>
    <row r="3238" spans="1:19" s="2" customFormat="1" ht="96.2" customHeight="1" outlineLevel="5">
      <c r="A3238" s="52">
        <v>2527</v>
      </c>
      <c r="B3238" s="26" t="s">
        <v>10644</v>
      </c>
      <c r="C3238" s="66" t="s">
        <v>10645</v>
      </c>
      <c r="D3238" s="66"/>
      <c r="E3238" s="66"/>
      <c r="F3238" s="66"/>
      <c r="G3238" s="27" t="s">
        <v>10646</v>
      </c>
      <c r="H3238" s="33">
        <v>196</v>
      </c>
      <c r="I3238" s="29"/>
      <c r="J3238" s="25">
        <v>1</v>
      </c>
      <c r="K3238" s="30">
        <v>421.11</v>
      </c>
      <c r="L3238" s="17"/>
      <c r="M3238" s="29">
        <f t="shared" si="155"/>
        <v>0</v>
      </c>
      <c r="N3238" s="31">
        <f>0.155*L3238</f>
        <v>0</v>
      </c>
      <c r="O3238" s="32">
        <f>0.00186*L3238</f>
        <v>0</v>
      </c>
      <c r="P3238" s="36"/>
      <c r="Q3238" s="29" t="s">
        <v>10647</v>
      </c>
      <c r="R3238" s="29" t="s">
        <v>611</v>
      </c>
      <c r="S3238" s="26" t="str">
        <f>HYPERLINK("https://miland.ru/api/getInfo/image/fd25e7b5-3774-11ee-a240-00155d82e902")</f>
        <v>https://miland.ru/api/getInfo/image/fd25e7b5-3774-11ee-a240-00155d82e902</v>
      </c>
    </row>
    <row r="3239" spans="1:19" s="2" customFormat="1" ht="96.2" customHeight="1" outlineLevel="5">
      <c r="A3239" s="52">
        <v>2528</v>
      </c>
      <c r="B3239" s="26" t="s">
        <v>10648</v>
      </c>
      <c r="C3239" s="66" t="s">
        <v>10649</v>
      </c>
      <c r="D3239" s="66"/>
      <c r="E3239" s="66"/>
      <c r="F3239" s="66"/>
      <c r="G3239" s="27" t="s">
        <v>10650</v>
      </c>
      <c r="H3239" s="33">
        <v>2</v>
      </c>
      <c r="I3239" s="29"/>
      <c r="J3239" s="25">
        <v>2</v>
      </c>
      <c r="K3239" s="30">
        <v>331.37</v>
      </c>
      <c r="L3239" s="17"/>
      <c r="M3239" s="29">
        <f t="shared" si="155"/>
        <v>0</v>
      </c>
      <c r="N3239" s="31">
        <f>0.187*L3239</f>
        <v>0</v>
      </c>
      <c r="O3239" s="32">
        <f>0.00207*L3239</f>
        <v>0</v>
      </c>
      <c r="P3239" s="36"/>
      <c r="Q3239" s="29" t="s">
        <v>10651</v>
      </c>
      <c r="R3239" s="29" t="s">
        <v>611</v>
      </c>
      <c r="S3239" s="26" t="str">
        <f>HYPERLINK("https://miland.ru/api/getInfo/image/eea1f826-fdd0-11ec-a213-ac1f6b442185")</f>
        <v>https://miland.ru/api/getInfo/image/eea1f826-fdd0-11ec-a213-ac1f6b442185</v>
      </c>
    </row>
    <row r="3240" spans="1:19" s="2" customFormat="1" ht="96.2" customHeight="1" outlineLevel="5">
      <c r="A3240" s="52">
        <v>2529</v>
      </c>
      <c r="B3240" s="26" t="s">
        <v>10652</v>
      </c>
      <c r="C3240" s="66" t="s">
        <v>10653</v>
      </c>
      <c r="D3240" s="66"/>
      <c r="E3240" s="66"/>
      <c r="F3240" s="66"/>
      <c r="G3240" s="27" t="s">
        <v>10654</v>
      </c>
      <c r="H3240" s="28" t="s">
        <v>44</v>
      </c>
      <c r="I3240" s="29"/>
      <c r="J3240" s="25">
        <v>1</v>
      </c>
      <c r="K3240" s="30">
        <v>421.11</v>
      </c>
      <c r="L3240" s="17"/>
      <c r="M3240" s="29">
        <f t="shared" si="155"/>
        <v>0</v>
      </c>
      <c r="N3240" s="31">
        <f>0.155*L3240</f>
        <v>0</v>
      </c>
      <c r="O3240" s="32">
        <f>0.00167*L3240</f>
        <v>0</v>
      </c>
      <c r="P3240" s="36"/>
      <c r="Q3240" s="29" t="s">
        <v>10655</v>
      </c>
      <c r="R3240" s="29" t="s">
        <v>611</v>
      </c>
      <c r="S3240" s="26" t="str">
        <f>HYPERLINK("https://miland.ru/api/getInfo/image/4478aa89-3773-11ee-a240-00155d82e902")</f>
        <v>https://miland.ru/api/getInfo/image/4478aa89-3773-11ee-a240-00155d82e902</v>
      </c>
    </row>
    <row r="3241" spans="1:19" s="2" customFormat="1" ht="96.2" customHeight="1" outlineLevel="5">
      <c r="A3241" s="52">
        <v>2530</v>
      </c>
      <c r="B3241" s="26" t="s">
        <v>10656</v>
      </c>
      <c r="C3241" s="66" t="s">
        <v>10657</v>
      </c>
      <c r="D3241" s="66"/>
      <c r="E3241" s="66"/>
      <c r="F3241" s="66"/>
      <c r="G3241" s="27" t="s">
        <v>10658</v>
      </c>
      <c r="H3241" s="33">
        <v>484</v>
      </c>
      <c r="I3241" s="29"/>
      <c r="J3241" s="25">
        <v>2</v>
      </c>
      <c r="K3241" s="30">
        <v>336.32</v>
      </c>
      <c r="L3241" s="17"/>
      <c r="M3241" s="29">
        <f t="shared" si="155"/>
        <v>0</v>
      </c>
      <c r="N3241" s="31">
        <f>0.159*L3241</f>
        <v>0</v>
      </c>
      <c r="O3241" s="32">
        <f>0.00163*L3241</f>
        <v>0</v>
      </c>
      <c r="P3241" s="36"/>
      <c r="Q3241" s="29" t="s">
        <v>10659</v>
      </c>
      <c r="R3241" s="29" t="s">
        <v>611</v>
      </c>
      <c r="S3241" s="26" t="str">
        <f>HYPERLINK("https://miland.ru/api/getInfo/image/0c3019be-5e16-11ef-a262-00155d82e908")</f>
        <v>https://miland.ru/api/getInfo/image/0c3019be-5e16-11ef-a262-00155d82e908</v>
      </c>
    </row>
    <row r="3242" spans="1:19" s="2" customFormat="1" ht="96.2" customHeight="1" outlineLevel="5">
      <c r="A3242" s="52">
        <v>2531</v>
      </c>
      <c r="B3242" s="26" t="s">
        <v>10660</v>
      </c>
      <c r="C3242" s="66" t="s">
        <v>10661</v>
      </c>
      <c r="D3242" s="66"/>
      <c r="E3242" s="66"/>
      <c r="F3242" s="66"/>
      <c r="G3242" s="27" t="s">
        <v>10662</v>
      </c>
      <c r="H3242" s="28" t="s">
        <v>44</v>
      </c>
      <c r="I3242" s="29"/>
      <c r="J3242" s="25">
        <v>2</v>
      </c>
      <c r="K3242" s="30">
        <v>336.32</v>
      </c>
      <c r="L3242" s="17"/>
      <c r="M3242" s="29">
        <f t="shared" si="155"/>
        <v>0</v>
      </c>
      <c r="N3242" s="31">
        <f>0.157*L3242</f>
        <v>0</v>
      </c>
      <c r="O3242" s="32">
        <f>0.00177*L3242</f>
        <v>0</v>
      </c>
      <c r="P3242" s="36"/>
      <c r="Q3242" s="29" t="s">
        <v>10663</v>
      </c>
      <c r="R3242" s="29" t="s">
        <v>611</v>
      </c>
      <c r="S3242" s="26" t="str">
        <f>HYPERLINK("https://miland.ru/api/getInfo/image/4ab2dbca-5e16-11ef-a262-00155d82e908")</f>
        <v>https://miland.ru/api/getInfo/image/4ab2dbca-5e16-11ef-a262-00155d82e908</v>
      </c>
    </row>
    <row r="3243" spans="1:19" s="2" customFormat="1" ht="96.2" customHeight="1" outlineLevel="5">
      <c r="A3243" s="52">
        <v>2532</v>
      </c>
      <c r="B3243" s="26" t="s">
        <v>10664</v>
      </c>
      <c r="C3243" s="66" t="s">
        <v>10665</v>
      </c>
      <c r="D3243" s="66"/>
      <c r="E3243" s="66"/>
      <c r="F3243" s="66"/>
      <c r="G3243" s="27" t="s">
        <v>10666</v>
      </c>
      <c r="H3243" s="33">
        <v>436</v>
      </c>
      <c r="I3243" s="29"/>
      <c r="J3243" s="25">
        <v>2</v>
      </c>
      <c r="K3243" s="30">
        <v>309.68</v>
      </c>
      <c r="L3243" s="17"/>
      <c r="M3243" s="29">
        <f t="shared" si="155"/>
        <v>0</v>
      </c>
      <c r="N3243" s="31">
        <f>0.163*L3243</f>
        <v>0</v>
      </c>
      <c r="O3243" s="32">
        <f>0.00171*L3243</f>
        <v>0</v>
      </c>
      <c r="P3243" s="36"/>
      <c r="Q3243" s="29" t="s">
        <v>10667</v>
      </c>
      <c r="R3243" s="29" t="s">
        <v>611</v>
      </c>
      <c r="S3243" s="26" t="str">
        <f>HYPERLINK("https://miland.ru/api/getInfo/image/6a8f7fea-3775-11ee-a240-00155d82e902")</f>
        <v>https://miland.ru/api/getInfo/image/6a8f7fea-3775-11ee-a240-00155d82e902</v>
      </c>
    </row>
    <row r="3244" spans="1:19" s="2" customFormat="1" ht="96.2" customHeight="1" outlineLevel="5">
      <c r="A3244" s="52">
        <v>2533</v>
      </c>
      <c r="B3244" s="26" t="s">
        <v>10668</v>
      </c>
      <c r="C3244" s="66" t="s">
        <v>10669</v>
      </c>
      <c r="D3244" s="66"/>
      <c r="E3244" s="66"/>
      <c r="F3244" s="66"/>
      <c r="G3244" s="27" t="s">
        <v>10670</v>
      </c>
      <c r="H3244" s="33">
        <v>274</v>
      </c>
      <c r="I3244" s="29"/>
      <c r="J3244" s="25">
        <v>2</v>
      </c>
      <c r="K3244" s="30">
        <v>336.32</v>
      </c>
      <c r="L3244" s="17"/>
      <c r="M3244" s="29">
        <f t="shared" si="155"/>
        <v>0</v>
      </c>
      <c r="N3244" s="31">
        <f>0.156*L3244</f>
        <v>0</v>
      </c>
      <c r="O3244" s="35">
        <f>0.0018*L3244</f>
        <v>0</v>
      </c>
      <c r="P3244" s="36"/>
      <c r="Q3244" s="29" t="s">
        <v>10671</v>
      </c>
      <c r="R3244" s="29" t="s">
        <v>611</v>
      </c>
      <c r="S3244" s="26" t="str">
        <f>HYPERLINK("https://miland.ru/api/getInfo/image/316e8540-5e16-11ef-a262-00155d82e908")</f>
        <v>https://miland.ru/api/getInfo/image/316e8540-5e16-11ef-a262-00155d82e908</v>
      </c>
    </row>
    <row r="3245" spans="1:19" s="2" customFormat="1" ht="96.2" customHeight="1" outlineLevel="5">
      <c r="A3245" s="52">
        <v>2534</v>
      </c>
      <c r="B3245" s="26" t="s">
        <v>10672</v>
      </c>
      <c r="C3245" s="66" t="s">
        <v>10673</v>
      </c>
      <c r="D3245" s="66"/>
      <c r="E3245" s="66"/>
      <c r="F3245" s="66"/>
      <c r="G3245" s="27" t="s">
        <v>10674</v>
      </c>
      <c r="H3245" s="28" t="s">
        <v>44</v>
      </c>
      <c r="I3245" s="29"/>
      <c r="J3245" s="25">
        <v>2</v>
      </c>
      <c r="K3245" s="30">
        <v>361.76</v>
      </c>
      <c r="L3245" s="17"/>
      <c r="M3245" s="29">
        <f t="shared" si="155"/>
        <v>0</v>
      </c>
      <c r="N3245" s="31">
        <f>0.186*L3245</f>
        <v>0</v>
      </c>
      <c r="O3245" s="32">
        <f>0.00218*L3245</f>
        <v>0</v>
      </c>
      <c r="P3245" s="36"/>
      <c r="Q3245" s="29" t="s">
        <v>10675</v>
      </c>
      <c r="R3245" s="29" t="s">
        <v>611</v>
      </c>
      <c r="S3245" s="26" t="str">
        <f>HYPERLINK("https://miland.ru/api/getInfo/image/e364069b-5e16-11ef-a262-00155d82e908")</f>
        <v>https://miland.ru/api/getInfo/image/e364069b-5e16-11ef-a262-00155d82e908</v>
      </c>
    </row>
    <row r="3246" spans="1:19" s="2" customFormat="1" ht="96.2" customHeight="1" outlineLevel="5">
      <c r="A3246" s="52">
        <v>2535</v>
      </c>
      <c r="B3246" s="26" t="s">
        <v>10676</v>
      </c>
      <c r="C3246" s="66" t="s">
        <v>10677</v>
      </c>
      <c r="D3246" s="66"/>
      <c r="E3246" s="66"/>
      <c r="F3246" s="66"/>
      <c r="G3246" s="27" t="s">
        <v>10678</v>
      </c>
      <c r="H3246" s="33">
        <v>350</v>
      </c>
      <c r="I3246" s="29"/>
      <c r="J3246" s="25">
        <v>2</v>
      </c>
      <c r="K3246" s="30">
        <v>331.37</v>
      </c>
      <c r="L3246" s="17"/>
      <c r="M3246" s="29">
        <f t="shared" si="155"/>
        <v>0</v>
      </c>
      <c r="N3246" s="31">
        <f>0.185*L3246</f>
        <v>0</v>
      </c>
      <c r="O3246" s="32">
        <f>0.01291*L3246</f>
        <v>0</v>
      </c>
      <c r="P3246" s="36"/>
      <c r="Q3246" s="29" t="s">
        <v>10679</v>
      </c>
      <c r="R3246" s="29" t="s">
        <v>611</v>
      </c>
      <c r="S3246" s="26" t="str">
        <f>HYPERLINK("https://miland.ru/api/getInfo/image/b00d659b-fdcf-11ec-a213-ac1f6b442185")</f>
        <v>https://miland.ru/api/getInfo/image/b00d659b-fdcf-11ec-a213-ac1f6b442185</v>
      </c>
    </row>
    <row r="3247" spans="1:19" s="2" customFormat="1" ht="96.2" customHeight="1" outlineLevel="5">
      <c r="A3247" s="52">
        <v>2536</v>
      </c>
      <c r="B3247" s="26" t="s">
        <v>10680</v>
      </c>
      <c r="C3247" s="66" t="s">
        <v>10681</v>
      </c>
      <c r="D3247" s="66"/>
      <c r="E3247" s="66"/>
      <c r="F3247" s="66"/>
      <c r="G3247" s="27" t="s">
        <v>10682</v>
      </c>
      <c r="H3247" s="33">
        <v>52</v>
      </c>
      <c r="I3247" s="29"/>
      <c r="J3247" s="25">
        <v>2</v>
      </c>
      <c r="K3247" s="30">
        <v>361.76</v>
      </c>
      <c r="L3247" s="17"/>
      <c r="M3247" s="29">
        <f t="shared" si="155"/>
        <v>0</v>
      </c>
      <c r="N3247" s="31">
        <f>0.188*L3247</f>
        <v>0</v>
      </c>
      <c r="O3247" s="35">
        <f>0.0022*L3247</f>
        <v>0</v>
      </c>
      <c r="P3247" s="36"/>
      <c r="Q3247" s="29" t="s">
        <v>10683</v>
      </c>
      <c r="R3247" s="29" t="s">
        <v>611</v>
      </c>
      <c r="S3247" s="26" t="str">
        <f>HYPERLINK("https://miland.ru/api/getInfo/image/7f96c307-5e16-11ef-a262-00155d82e908")</f>
        <v>https://miland.ru/api/getInfo/image/7f96c307-5e16-11ef-a262-00155d82e908</v>
      </c>
    </row>
    <row r="3248" spans="1:19" s="2" customFormat="1" ht="96.2" customHeight="1" outlineLevel="5">
      <c r="A3248" s="52">
        <v>2537</v>
      </c>
      <c r="B3248" s="26" t="s">
        <v>10684</v>
      </c>
      <c r="C3248" s="66" t="s">
        <v>10685</v>
      </c>
      <c r="D3248" s="66"/>
      <c r="E3248" s="66"/>
      <c r="F3248" s="66"/>
      <c r="G3248" s="27" t="s">
        <v>10686</v>
      </c>
      <c r="H3248" s="28" t="s">
        <v>44</v>
      </c>
      <c r="I3248" s="29"/>
      <c r="J3248" s="25">
        <v>2</v>
      </c>
      <c r="K3248" s="30">
        <v>361.76</v>
      </c>
      <c r="L3248" s="17"/>
      <c r="M3248" s="29">
        <f t="shared" si="155"/>
        <v>0</v>
      </c>
      <c r="N3248" s="34">
        <f>0.19*L3248</f>
        <v>0</v>
      </c>
      <c r="O3248" s="32">
        <f>0.03634*L3248</f>
        <v>0</v>
      </c>
      <c r="P3248" s="36"/>
      <c r="Q3248" s="29" t="s">
        <v>10687</v>
      </c>
      <c r="R3248" s="29" t="s">
        <v>611</v>
      </c>
      <c r="S3248" s="26" t="str">
        <f>HYPERLINK("https://miland.ru/api/getInfo/image/63c2be41-5e16-11ef-a262-00155d82e908")</f>
        <v>https://miland.ru/api/getInfo/image/63c2be41-5e16-11ef-a262-00155d82e908</v>
      </c>
    </row>
    <row r="3249" spans="1:19" s="2" customFormat="1" ht="96.2" customHeight="1" outlineLevel="5">
      <c r="A3249" s="52">
        <v>2538</v>
      </c>
      <c r="B3249" s="26" t="s">
        <v>10688</v>
      </c>
      <c r="C3249" s="66" t="s">
        <v>10689</v>
      </c>
      <c r="D3249" s="66"/>
      <c r="E3249" s="66"/>
      <c r="F3249" s="66"/>
      <c r="G3249" s="27" t="s">
        <v>10690</v>
      </c>
      <c r="H3249" s="33">
        <v>113</v>
      </c>
      <c r="I3249" s="29"/>
      <c r="J3249" s="25">
        <v>2</v>
      </c>
      <c r="K3249" s="30">
        <v>308.07</v>
      </c>
      <c r="L3249" s="17"/>
      <c r="M3249" s="29">
        <f t="shared" si="155"/>
        <v>0</v>
      </c>
      <c r="N3249" s="31">
        <f>0.158*L3249</f>
        <v>0</v>
      </c>
      <c r="O3249" s="35">
        <f>0.0017*L3249</f>
        <v>0</v>
      </c>
      <c r="P3249" s="36"/>
      <c r="Q3249" s="29" t="s">
        <v>10691</v>
      </c>
      <c r="R3249" s="29" t="s">
        <v>611</v>
      </c>
      <c r="S3249" s="26" t="str">
        <f>HYPERLINK("https://miland.ru/api/getInfo/image/9af4e8d0-fdc7-11ec-a213-ac1f6b442185")</f>
        <v>https://miland.ru/api/getInfo/image/9af4e8d0-fdc7-11ec-a213-ac1f6b442185</v>
      </c>
    </row>
    <row r="3250" spans="1:19" s="1" customFormat="1" ht="12" customHeight="1" outlineLevel="4">
      <c r="A3250" s="64" t="s">
        <v>10692</v>
      </c>
      <c r="B3250" s="64"/>
      <c r="C3250" s="64"/>
      <c r="D3250" s="64"/>
      <c r="E3250" s="64"/>
      <c r="F3250" s="64"/>
      <c r="G3250" s="8"/>
      <c r="H3250" s="12"/>
      <c r="I3250" s="2"/>
      <c r="J3250" s="2"/>
      <c r="K3250" s="13"/>
      <c r="L3250" s="2"/>
      <c r="M3250" s="2"/>
      <c r="N3250" s="2"/>
      <c r="O3250" s="2"/>
      <c r="P3250" s="2"/>
      <c r="Q3250" s="2"/>
      <c r="R3250" s="2"/>
      <c r="S3250" s="2"/>
    </row>
    <row r="3251" spans="1:19" s="1" customFormat="1" ht="12" customHeight="1" outlineLevel="5">
      <c r="A3251" s="64" t="s">
        <v>10693</v>
      </c>
      <c r="B3251" s="64"/>
      <c r="C3251" s="64"/>
      <c r="D3251" s="64"/>
      <c r="E3251" s="64"/>
      <c r="F3251" s="64"/>
      <c r="G3251" s="8"/>
      <c r="H3251" s="12"/>
      <c r="I3251" s="2"/>
      <c r="J3251" s="2"/>
      <c r="K3251" s="13"/>
      <c r="L3251" s="2"/>
      <c r="M3251" s="2"/>
      <c r="N3251" s="2"/>
      <c r="O3251" s="2"/>
      <c r="P3251" s="2"/>
      <c r="Q3251" s="2"/>
      <c r="R3251" s="2"/>
      <c r="S3251" s="2"/>
    </row>
    <row r="3252" spans="1:19" s="2" customFormat="1" ht="96.2" customHeight="1" outlineLevel="6">
      <c r="A3252" s="53">
        <v>2539</v>
      </c>
      <c r="B3252" s="10" t="s">
        <v>10694</v>
      </c>
      <c r="C3252" s="65" t="s">
        <v>10695</v>
      </c>
      <c r="D3252" s="65"/>
      <c r="E3252" s="65"/>
      <c r="F3252" s="65"/>
      <c r="G3252" s="11" t="s">
        <v>10696</v>
      </c>
      <c r="H3252" s="14">
        <v>160</v>
      </c>
      <c r="I3252" s="15"/>
      <c r="J3252" s="9">
        <v>1</v>
      </c>
      <c r="K3252" s="22">
        <v>1412.26</v>
      </c>
      <c r="L3252" s="17"/>
      <c r="M3252" s="15">
        <f>K3252*L3252</f>
        <v>0</v>
      </c>
      <c r="N3252" s="18">
        <f>0.725*L3252</f>
        <v>0</v>
      </c>
      <c r="O3252" s="19">
        <f>0.00499*L3252</f>
        <v>0</v>
      </c>
      <c r="P3252" s="24" t="s">
        <v>26</v>
      </c>
      <c r="Q3252" s="15" t="s">
        <v>10697</v>
      </c>
      <c r="R3252" s="15"/>
      <c r="S3252" s="10" t="str">
        <f>HYPERLINK("https://miland.ru/api/getInfo/image/7aced020-dc0e-11f0-a28c-00155d82e908")</f>
        <v>https://miland.ru/api/getInfo/image/7aced020-dc0e-11f0-a28c-00155d82e908</v>
      </c>
    </row>
    <row r="3253" spans="1:19" s="2" customFormat="1" ht="96.2" customHeight="1" outlineLevel="6">
      <c r="A3253" s="53">
        <v>2540</v>
      </c>
      <c r="B3253" s="10" t="s">
        <v>10698</v>
      </c>
      <c r="C3253" s="65" t="s">
        <v>10699</v>
      </c>
      <c r="D3253" s="65"/>
      <c r="E3253" s="65"/>
      <c r="F3253" s="65"/>
      <c r="G3253" s="11" t="s">
        <v>10700</v>
      </c>
      <c r="H3253" s="14">
        <v>20</v>
      </c>
      <c r="I3253" s="15"/>
      <c r="J3253" s="9">
        <v>1</v>
      </c>
      <c r="K3253" s="22">
        <v>1490.56</v>
      </c>
      <c r="L3253" s="17"/>
      <c r="M3253" s="15">
        <f>K3253*L3253</f>
        <v>0</v>
      </c>
      <c r="N3253" s="18">
        <f>0.706*L3253</f>
        <v>0</v>
      </c>
      <c r="O3253" s="19">
        <f>0.00502*L3253</f>
        <v>0</v>
      </c>
      <c r="P3253" s="24" t="s">
        <v>26</v>
      </c>
      <c r="Q3253" s="15" t="s">
        <v>10701</v>
      </c>
      <c r="R3253" s="15"/>
      <c r="S3253" s="10" t="str">
        <f>HYPERLINK("https://miland.ru/api/getInfo/image/4e32aed4-dc0e-11f0-a28c-00155d82e908")</f>
        <v>https://miland.ru/api/getInfo/image/4e32aed4-dc0e-11f0-a28c-00155d82e908</v>
      </c>
    </row>
    <row r="3254" spans="1:19" s="1" customFormat="1" ht="12" customHeight="1" outlineLevel="5">
      <c r="A3254" s="64" t="s">
        <v>10702</v>
      </c>
      <c r="B3254" s="64"/>
      <c r="C3254" s="64"/>
      <c r="D3254" s="64"/>
      <c r="E3254" s="64"/>
      <c r="F3254" s="64"/>
      <c r="G3254" s="8"/>
      <c r="H3254" s="12"/>
      <c r="I3254" s="2"/>
      <c r="J3254" s="2"/>
      <c r="K3254" s="13"/>
      <c r="L3254" s="2"/>
      <c r="M3254" s="2"/>
      <c r="N3254" s="2"/>
      <c r="O3254" s="2"/>
      <c r="P3254" s="2"/>
      <c r="Q3254" s="2"/>
      <c r="R3254" s="2"/>
      <c r="S3254" s="2"/>
    </row>
    <row r="3255" spans="1:19" s="2" customFormat="1" ht="96.2" customHeight="1" outlineLevel="6">
      <c r="A3255" s="53">
        <v>2541</v>
      </c>
      <c r="B3255" s="10" t="s">
        <v>10703</v>
      </c>
      <c r="C3255" s="65" t="s">
        <v>10704</v>
      </c>
      <c r="D3255" s="65"/>
      <c r="E3255" s="65"/>
      <c r="F3255" s="65"/>
      <c r="G3255" s="11" t="s">
        <v>10705</v>
      </c>
      <c r="H3255" s="14">
        <v>43</v>
      </c>
      <c r="I3255" s="15"/>
      <c r="J3255" s="9">
        <v>1</v>
      </c>
      <c r="K3255" s="22">
        <v>1099.07</v>
      </c>
      <c r="L3255" s="17"/>
      <c r="M3255" s="15">
        <f>K3255*L3255</f>
        <v>0</v>
      </c>
      <c r="N3255" s="18">
        <f>0.628*L3255</f>
        <v>0</v>
      </c>
      <c r="O3255" s="19">
        <f>0.00482*L3255</f>
        <v>0</v>
      </c>
      <c r="P3255" s="24" t="s">
        <v>26</v>
      </c>
      <c r="Q3255" s="15" t="s">
        <v>10706</v>
      </c>
      <c r="R3255" s="15"/>
      <c r="S3255" s="10" t="str">
        <f>HYPERLINK("https://miland.ru/api/getInfo/image/2796cd26-dc0f-11f0-a28c-00155d82e908")</f>
        <v>https://miland.ru/api/getInfo/image/2796cd26-dc0f-11f0-a28c-00155d82e908</v>
      </c>
    </row>
    <row r="3256" spans="1:19" s="1" customFormat="1" ht="12" customHeight="1" outlineLevel="5">
      <c r="A3256" s="64" t="s">
        <v>10707</v>
      </c>
      <c r="B3256" s="64"/>
      <c r="C3256" s="64"/>
      <c r="D3256" s="64"/>
      <c r="E3256" s="64"/>
      <c r="F3256" s="64"/>
      <c r="G3256" s="8"/>
      <c r="H3256" s="12"/>
      <c r="I3256" s="2"/>
      <c r="J3256" s="2"/>
      <c r="K3256" s="13"/>
      <c r="L3256" s="2"/>
      <c r="M3256" s="2"/>
      <c r="N3256" s="2"/>
      <c r="O3256" s="2"/>
      <c r="P3256" s="2"/>
      <c r="Q3256" s="2"/>
      <c r="R3256" s="2"/>
      <c r="S3256" s="2"/>
    </row>
    <row r="3257" spans="1:19" s="2" customFormat="1" ht="96.2" customHeight="1" outlineLevel="6">
      <c r="A3257" s="53">
        <v>2542</v>
      </c>
      <c r="B3257" s="10" t="s">
        <v>10708</v>
      </c>
      <c r="C3257" s="65" t="s">
        <v>10709</v>
      </c>
      <c r="D3257" s="65"/>
      <c r="E3257" s="65"/>
      <c r="F3257" s="65"/>
      <c r="G3257" s="11" t="s">
        <v>10710</v>
      </c>
      <c r="H3257" s="14">
        <v>1</v>
      </c>
      <c r="I3257" s="15"/>
      <c r="J3257" s="9">
        <v>1</v>
      </c>
      <c r="K3257" s="22">
        <v>1476</v>
      </c>
      <c r="L3257" s="17"/>
      <c r="M3257" s="15">
        <f>K3257*L3257</f>
        <v>0</v>
      </c>
      <c r="N3257" s="23">
        <f>0.65*L3257</f>
        <v>0</v>
      </c>
      <c r="O3257" s="19">
        <f>0.00516*L3257</f>
        <v>0</v>
      </c>
      <c r="P3257" s="24" t="s">
        <v>26</v>
      </c>
      <c r="Q3257" s="15" t="s">
        <v>10711</v>
      </c>
      <c r="R3257" s="15" t="s">
        <v>611</v>
      </c>
      <c r="S3257" s="10" t="str">
        <f>HYPERLINK("https://miland.ru/api/getInfo/image/cea22f8a-b587-11f0-a286-00155d82e908")</f>
        <v>https://miland.ru/api/getInfo/image/cea22f8a-b587-11f0-a286-00155d82e908</v>
      </c>
    </row>
    <row r="3258" spans="1:19" s="2" customFormat="1" ht="96.2" customHeight="1" outlineLevel="6">
      <c r="A3258" s="53">
        <v>2543</v>
      </c>
      <c r="B3258" s="10" t="s">
        <v>10712</v>
      </c>
      <c r="C3258" s="65" t="s">
        <v>10713</v>
      </c>
      <c r="D3258" s="65"/>
      <c r="E3258" s="65"/>
      <c r="F3258" s="65"/>
      <c r="G3258" s="11" t="s">
        <v>10714</v>
      </c>
      <c r="H3258" s="14">
        <v>5</v>
      </c>
      <c r="I3258" s="15"/>
      <c r="J3258" s="9">
        <v>1</v>
      </c>
      <c r="K3258" s="16">
        <v>968.63</v>
      </c>
      <c r="L3258" s="17"/>
      <c r="M3258" s="15">
        <f>K3258*L3258</f>
        <v>0</v>
      </c>
      <c r="N3258" s="18">
        <f>0.637*L3258</f>
        <v>0</v>
      </c>
      <c r="O3258" s="19">
        <f>0.00507*L3258</f>
        <v>0</v>
      </c>
      <c r="P3258" s="24" t="s">
        <v>26</v>
      </c>
      <c r="Q3258" s="15" t="s">
        <v>10715</v>
      </c>
      <c r="R3258" s="15" t="s">
        <v>611</v>
      </c>
      <c r="S3258" s="10" t="str">
        <f>HYPERLINK("https://miland.ru/api/getInfo/image/6e1f35fe-b586-11f0-a286-00155d82e908")</f>
        <v>https://miland.ru/api/getInfo/image/6e1f35fe-b586-11f0-a286-00155d82e908</v>
      </c>
    </row>
    <row r="3259" spans="1:19" s="2" customFormat="1" ht="96.2" customHeight="1" outlineLevel="6">
      <c r="A3259" s="53">
        <v>2544</v>
      </c>
      <c r="B3259" s="10" t="s">
        <v>10716</v>
      </c>
      <c r="C3259" s="65" t="s">
        <v>10717</v>
      </c>
      <c r="D3259" s="65"/>
      <c r="E3259" s="65"/>
      <c r="F3259" s="65"/>
      <c r="G3259" s="11" t="s">
        <v>10718</v>
      </c>
      <c r="H3259" s="14">
        <v>1</v>
      </c>
      <c r="I3259" s="15"/>
      <c r="J3259" s="9">
        <v>1</v>
      </c>
      <c r="K3259" s="22">
        <v>1476</v>
      </c>
      <c r="L3259" s="17"/>
      <c r="M3259" s="15">
        <f>K3259*L3259</f>
        <v>0</v>
      </c>
      <c r="N3259" s="18">
        <f>0.699*L3259</f>
        <v>0</v>
      </c>
      <c r="O3259" s="19">
        <f>0.00451*L3259</f>
        <v>0</v>
      </c>
      <c r="P3259" s="24" t="s">
        <v>26</v>
      </c>
      <c r="Q3259" s="15" t="s">
        <v>10719</v>
      </c>
      <c r="R3259" s="15" t="s">
        <v>611</v>
      </c>
      <c r="S3259" s="10" t="str">
        <f>HYPERLINK("https://miland.ru/api/getInfo/image/eb7523c5-b586-11f0-a286-00155d82e908")</f>
        <v>https://miland.ru/api/getInfo/image/eb7523c5-b586-11f0-a286-00155d82e908</v>
      </c>
    </row>
    <row r="3260" spans="1:19" s="1" customFormat="1" ht="12" customHeight="1" outlineLevel="5">
      <c r="A3260" s="64" t="s">
        <v>10720</v>
      </c>
      <c r="B3260" s="64"/>
      <c r="C3260" s="64"/>
      <c r="D3260" s="64"/>
      <c r="E3260" s="64"/>
      <c r="F3260" s="64"/>
      <c r="G3260" s="8"/>
      <c r="H3260" s="12"/>
      <c r="I3260" s="2"/>
      <c r="J3260" s="2"/>
      <c r="K3260" s="13"/>
      <c r="L3260" s="2"/>
      <c r="M3260" s="2"/>
      <c r="N3260" s="2"/>
      <c r="O3260" s="2"/>
      <c r="P3260" s="2"/>
      <c r="Q3260" s="2"/>
      <c r="R3260" s="2"/>
      <c r="S3260" s="2"/>
    </row>
    <row r="3261" spans="1:19" s="2" customFormat="1" ht="96.2" customHeight="1" outlineLevel="6">
      <c r="A3261" s="53">
        <v>2545</v>
      </c>
      <c r="B3261" s="10" t="s">
        <v>10721</v>
      </c>
      <c r="C3261" s="65" t="s">
        <v>10722</v>
      </c>
      <c r="D3261" s="65"/>
      <c r="E3261" s="65"/>
      <c r="F3261" s="65"/>
      <c r="G3261" s="11" t="s">
        <v>10723</v>
      </c>
      <c r="H3261" s="14">
        <v>4</v>
      </c>
      <c r="I3261" s="15"/>
      <c r="J3261" s="9">
        <v>1</v>
      </c>
      <c r="K3261" s="22">
        <v>1082.71</v>
      </c>
      <c r="L3261" s="17"/>
      <c r="M3261" s="15">
        <f>K3261*L3261</f>
        <v>0</v>
      </c>
      <c r="N3261" s="18">
        <f>0.122*L3261</f>
        <v>0</v>
      </c>
      <c r="O3261" s="20">
        <f>0.0011*L3261</f>
        <v>0</v>
      </c>
      <c r="P3261" s="24" t="s">
        <v>26</v>
      </c>
      <c r="Q3261" s="15" t="s">
        <v>10724</v>
      </c>
      <c r="R3261" s="15" t="s">
        <v>611</v>
      </c>
      <c r="S3261" s="10" t="str">
        <f>HYPERLINK("https://miland.ru/api/getInfo/image/a66ae3cf-dc0b-11f0-a28c-00155d82e908")</f>
        <v>https://miland.ru/api/getInfo/image/a66ae3cf-dc0b-11f0-a28c-00155d82e908</v>
      </c>
    </row>
    <row r="3262" spans="1:19" s="2" customFormat="1" ht="96.2" customHeight="1" outlineLevel="6">
      <c r="A3262" s="53">
        <v>2546</v>
      </c>
      <c r="B3262" s="10" t="s">
        <v>10725</v>
      </c>
      <c r="C3262" s="65" t="s">
        <v>10726</v>
      </c>
      <c r="D3262" s="65"/>
      <c r="E3262" s="65"/>
      <c r="F3262" s="65"/>
      <c r="G3262" s="11" t="s">
        <v>10727</v>
      </c>
      <c r="H3262" s="14">
        <v>4</v>
      </c>
      <c r="I3262" s="15"/>
      <c r="J3262" s="9">
        <v>1</v>
      </c>
      <c r="K3262" s="16">
        <v>580.28</v>
      </c>
      <c r="L3262" s="17"/>
      <c r="M3262" s="15">
        <f>K3262*L3262</f>
        <v>0</v>
      </c>
      <c r="N3262" s="18">
        <f>0.116*L3262</f>
        <v>0</v>
      </c>
      <c r="O3262" s="19">
        <f>0.00115*L3262</f>
        <v>0</v>
      </c>
      <c r="P3262" s="24" t="s">
        <v>26</v>
      </c>
      <c r="Q3262" s="15" t="s">
        <v>10728</v>
      </c>
      <c r="R3262" s="15" t="s">
        <v>611</v>
      </c>
      <c r="S3262" s="10" t="str">
        <f>HYPERLINK("https://miland.ru/api/getInfo/image/1551e289-dc0c-11f0-a28c-00155d82e908")</f>
        <v>https://miland.ru/api/getInfo/image/1551e289-dc0c-11f0-a28c-00155d82e908</v>
      </c>
    </row>
    <row r="3263" spans="1:19" s="2" customFormat="1" ht="96.2" customHeight="1" outlineLevel="6">
      <c r="A3263" s="53">
        <v>2547</v>
      </c>
      <c r="B3263" s="10" t="s">
        <v>10729</v>
      </c>
      <c r="C3263" s="65" t="s">
        <v>10730</v>
      </c>
      <c r="D3263" s="65"/>
      <c r="E3263" s="65"/>
      <c r="F3263" s="65"/>
      <c r="G3263" s="11" t="s">
        <v>10731</v>
      </c>
      <c r="H3263" s="14">
        <v>4</v>
      </c>
      <c r="I3263" s="15"/>
      <c r="J3263" s="9">
        <v>1</v>
      </c>
      <c r="K3263" s="16">
        <v>696.22</v>
      </c>
      <c r="L3263" s="17"/>
      <c r="M3263" s="15">
        <f>K3263*L3263</f>
        <v>0</v>
      </c>
      <c r="N3263" s="18">
        <f>0.096*L3263</f>
        <v>0</v>
      </c>
      <c r="O3263" s="19">
        <f>0.00145*L3263</f>
        <v>0</v>
      </c>
      <c r="P3263" s="24" t="s">
        <v>26</v>
      </c>
      <c r="Q3263" s="15" t="s">
        <v>10732</v>
      </c>
      <c r="R3263" s="15" t="s">
        <v>611</v>
      </c>
      <c r="S3263" s="10" t="str">
        <f>HYPERLINK("https://miland.ru/api/getInfo/image/f774105d-dc0b-11f0-a28c-00155d82e908")</f>
        <v>https://miland.ru/api/getInfo/image/f774105d-dc0b-11f0-a28c-00155d82e908</v>
      </c>
    </row>
    <row r="3264" spans="1:19" s="1" customFormat="1" ht="12" customHeight="1" outlineLevel="3">
      <c r="A3264" s="64" t="s">
        <v>10733</v>
      </c>
      <c r="B3264" s="64"/>
      <c r="C3264" s="64"/>
      <c r="D3264" s="64"/>
      <c r="E3264" s="64"/>
      <c r="F3264" s="64"/>
      <c r="G3264" s="8"/>
      <c r="H3264" s="12"/>
      <c r="I3264" s="2"/>
      <c r="J3264" s="2"/>
      <c r="K3264" s="13"/>
      <c r="L3264" s="2"/>
      <c r="M3264" s="2"/>
      <c r="N3264" s="2"/>
      <c r="O3264" s="2"/>
      <c r="P3264" s="2"/>
      <c r="Q3264" s="2"/>
      <c r="R3264" s="2"/>
      <c r="S3264" s="2"/>
    </row>
    <row r="3265" spans="1:19" s="1" customFormat="1" ht="12" customHeight="1" outlineLevel="4">
      <c r="A3265" s="64" t="s">
        <v>10734</v>
      </c>
      <c r="B3265" s="64"/>
      <c r="C3265" s="64"/>
      <c r="D3265" s="64"/>
      <c r="E3265" s="64"/>
      <c r="F3265" s="64"/>
      <c r="G3265" s="8"/>
      <c r="H3265" s="12"/>
      <c r="I3265" s="2"/>
      <c r="J3265" s="2"/>
      <c r="K3265" s="13"/>
      <c r="L3265" s="2"/>
      <c r="M3265" s="2"/>
      <c r="N3265" s="2"/>
      <c r="O3265" s="2"/>
      <c r="P3265" s="2"/>
      <c r="Q3265" s="2"/>
      <c r="R3265" s="2"/>
      <c r="S3265" s="2"/>
    </row>
    <row r="3266" spans="1:19" s="2" customFormat="1" ht="96.2" customHeight="1" outlineLevel="5">
      <c r="A3266" s="52">
        <v>2548</v>
      </c>
      <c r="B3266" s="26" t="s">
        <v>10735</v>
      </c>
      <c r="C3266" s="66" t="s">
        <v>10736</v>
      </c>
      <c r="D3266" s="66"/>
      <c r="E3266" s="66"/>
      <c r="F3266" s="66"/>
      <c r="G3266" s="27" t="s">
        <v>10737</v>
      </c>
      <c r="H3266" s="33">
        <v>9</v>
      </c>
      <c r="I3266" s="29"/>
      <c r="J3266" s="25">
        <v>1</v>
      </c>
      <c r="K3266" s="37">
        <v>1631.73</v>
      </c>
      <c r="L3266" s="17"/>
      <c r="M3266" s="29">
        <f>K3266*L3266</f>
        <v>0</v>
      </c>
      <c r="N3266" s="31">
        <f>0.669*L3266</f>
        <v>0</v>
      </c>
      <c r="O3266" s="32">
        <f>0.00357*L3266</f>
        <v>0</v>
      </c>
      <c r="P3266" s="36"/>
      <c r="Q3266" s="29" t="s">
        <v>10738</v>
      </c>
      <c r="R3266" s="29" t="s">
        <v>611</v>
      </c>
      <c r="S3266" s="26" t="str">
        <f>HYPERLINK("https://miland.ru/api/getInfo/image/9770d4c2-fb0b-11ed-a239-00155d82e902")</f>
        <v>https://miland.ru/api/getInfo/image/9770d4c2-fb0b-11ed-a239-00155d82e902</v>
      </c>
    </row>
    <row r="3267" spans="1:19" s="2" customFormat="1" ht="96.2" customHeight="1" outlineLevel="5">
      <c r="A3267" s="52">
        <v>2549</v>
      </c>
      <c r="B3267" s="26" t="s">
        <v>10739</v>
      </c>
      <c r="C3267" s="66" t="s">
        <v>10740</v>
      </c>
      <c r="D3267" s="66"/>
      <c r="E3267" s="66"/>
      <c r="F3267" s="66"/>
      <c r="G3267" s="27" t="s">
        <v>10741</v>
      </c>
      <c r="H3267" s="33">
        <v>4</v>
      </c>
      <c r="I3267" s="29"/>
      <c r="J3267" s="25">
        <v>1</v>
      </c>
      <c r="K3267" s="37">
        <v>1313.03</v>
      </c>
      <c r="L3267" s="17"/>
      <c r="M3267" s="29">
        <f>K3267*L3267</f>
        <v>0</v>
      </c>
      <c r="N3267" s="31">
        <f>0.586*L3267</f>
        <v>0</v>
      </c>
      <c r="O3267" s="32">
        <f>0.00286*L3267</f>
        <v>0</v>
      </c>
      <c r="P3267" s="36"/>
      <c r="Q3267" s="29" t="s">
        <v>10742</v>
      </c>
      <c r="R3267" s="29" t="s">
        <v>611</v>
      </c>
      <c r="S3267" s="26" t="str">
        <f>HYPERLINK("https://miland.ru/api/getInfo/image/10ba3195-9ce7-11ef-a267-00155d82e908")</f>
        <v>https://miland.ru/api/getInfo/image/10ba3195-9ce7-11ef-a267-00155d82e908</v>
      </c>
    </row>
    <row r="3268" spans="1:19" s="2" customFormat="1" ht="96.2" customHeight="1" outlineLevel="5">
      <c r="A3268" s="52">
        <v>2550</v>
      </c>
      <c r="B3268" s="26" t="s">
        <v>10743</v>
      </c>
      <c r="C3268" s="66" t="s">
        <v>10744</v>
      </c>
      <c r="D3268" s="66"/>
      <c r="E3268" s="66"/>
      <c r="F3268" s="66"/>
      <c r="G3268" s="27" t="s">
        <v>10745</v>
      </c>
      <c r="H3268" s="33">
        <v>4</v>
      </c>
      <c r="I3268" s="29"/>
      <c r="J3268" s="25">
        <v>1</v>
      </c>
      <c r="K3268" s="30">
        <v>768.89</v>
      </c>
      <c r="L3268" s="17"/>
      <c r="M3268" s="29">
        <f>K3268*L3268</f>
        <v>0</v>
      </c>
      <c r="N3268" s="31">
        <f>0.339*L3268</f>
        <v>0</v>
      </c>
      <c r="O3268" s="32">
        <f>0.00156*L3268</f>
        <v>0</v>
      </c>
      <c r="P3268" s="36"/>
      <c r="Q3268" s="29" t="s">
        <v>10746</v>
      </c>
      <c r="R3268" s="29" t="s">
        <v>611</v>
      </c>
      <c r="S3268" s="26" t="str">
        <f>HYPERLINK("https://miland.ru/api/getInfo/image/e9186bb9-9ce7-11ef-a267-00155d82e908")</f>
        <v>https://miland.ru/api/getInfo/image/e9186bb9-9ce7-11ef-a267-00155d82e908</v>
      </c>
    </row>
    <row r="3269" spans="1:19" s="1" customFormat="1" ht="12" customHeight="1" outlineLevel="4">
      <c r="A3269" s="64" t="s">
        <v>10747</v>
      </c>
      <c r="B3269" s="64"/>
      <c r="C3269" s="64"/>
      <c r="D3269" s="64"/>
      <c r="E3269" s="64"/>
      <c r="F3269" s="64"/>
      <c r="G3269" s="8"/>
      <c r="H3269" s="12"/>
      <c r="I3269" s="2"/>
      <c r="J3269" s="2"/>
      <c r="K3269" s="13"/>
      <c r="L3269" s="2"/>
      <c r="M3269" s="2"/>
      <c r="N3269" s="2"/>
      <c r="O3269" s="2"/>
      <c r="P3269" s="2"/>
      <c r="Q3269" s="2"/>
      <c r="R3269" s="2"/>
      <c r="S3269" s="2"/>
    </row>
    <row r="3270" spans="1:19" s="2" customFormat="1" ht="96.2" customHeight="1" outlineLevel="5">
      <c r="A3270" s="52">
        <v>2551</v>
      </c>
      <c r="B3270" s="26" t="s">
        <v>10748</v>
      </c>
      <c r="C3270" s="66" t="s">
        <v>10749</v>
      </c>
      <c r="D3270" s="66"/>
      <c r="E3270" s="66"/>
      <c r="F3270" s="66"/>
      <c r="G3270" s="27" t="s">
        <v>10750</v>
      </c>
      <c r="H3270" s="33">
        <v>1</v>
      </c>
      <c r="I3270" s="29"/>
      <c r="J3270" s="25">
        <v>1</v>
      </c>
      <c r="K3270" s="30">
        <v>901.42</v>
      </c>
      <c r="L3270" s="17"/>
      <c r="M3270" s="29">
        <f>K3270*L3270</f>
        <v>0</v>
      </c>
      <c r="N3270" s="31">
        <f>0.263*L3270</f>
        <v>0</v>
      </c>
      <c r="O3270" s="32">
        <f>0.00104*L3270</f>
        <v>0</v>
      </c>
      <c r="P3270" s="36"/>
      <c r="Q3270" s="29" t="s">
        <v>10751</v>
      </c>
      <c r="R3270" s="29" t="s">
        <v>611</v>
      </c>
      <c r="S3270" s="26" t="str">
        <f>HYPERLINK("https://miland.ru/api/getInfo/image/31d64d13-e2a8-11ed-a233-00155d82e902")</f>
        <v>https://miland.ru/api/getInfo/image/31d64d13-e2a8-11ed-a233-00155d82e902</v>
      </c>
    </row>
    <row r="3271" spans="1:19" s="2" customFormat="1" ht="96.2" customHeight="1" outlineLevel="5">
      <c r="A3271" s="52">
        <v>2552</v>
      </c>
      <c r="B3271" s="26" t="s">
        <v>10752</v>
      </c>
      <c r="C3271" s="66" t="s">
        <v>10753</v>
      </c>
      <c r="D3271" s="66"/>
      <c r="E3271" s="66"/>
      <c r="F3271" s="66"/>
      <c r="G3271" s="27" t="s">
        <v>10754</v>
      </c>
      <c r="H3271" s="33">
        <v>4</v>
      </c>
      <c r="I3271" s="29"/>
      <c r="J3271" s="25">
        <v>1</v>
      </c>
      <c r="K3271" s="30">
        <v>739.95</v>
      </c>
      <c r="L3271" s="17"/>
      <c r="M3271" s="29">
        <f>K3271*L3271</f>
        <v>0</v>
      </c>
      <c r="N3271" s="31">
        <f>0.405*L3271</f>
        <v>0</v>
      </c>
      <c r="O3271" s="32">
        <f>0.00211*L3271</f>
        <v>0</v>
      </c>
      <c r="P3271" s="36"/>
      <c r="Q3271" s="29" t="s">
        <v>10755</v>
      </c>
      <c r="R3271" s="29" t="s">
        <v>611</v>
      </c>
      <c r="S3271" s="26" t="str">
        <f>HYPERLINK("https://miland.ru/api/getInfo/image/ecfc412e-e2ab-11ed-a233-00155d82e902")</f>
        <v>https://miland.ru/api/getInfo/image/ecfc412e-e2ab-11ed-a233-00155d82e902</v>
      </c>
    </row>
    <row r="3272" spans="1:19" s="1" customFormat="1" ht="12" customHeight="1" outlineLevel="3">
      <c r="A3272" s="64" t="s">
        <v>10756</v>
      </c>
      <c r="B3272" s="64"/>
      <c r="C3272" s="64"/>
      <c r="D3272" s="64"/>
      <c r="E3272" s="64"/>
      <c r="F3272" s="64"/>
      <c r="G3272" s="8"/>
      <c r="H3272" s="12"/>
      <c r="I3272" s="2"/>
      <c r="J3272" s="2"/>
      <c r="K3272" s="13"/>
      <c r="L3272" s="2"/>
      <c r="M3272" s="2"/>
      <c r="N3272" s="2"/>
      <c r="O3272" s="2"/>
      <c r="P3272" s="2"/>
      <c r="Q3272" s="2"/>
      <c r="R3272" s="2"/>
      <c r="S3272" s="2"/>
    </row>
    <row r="3273" spans="1:19" s="2" customFormat="1" ht="96.2" customHeight="1" outlineLevel="4">
      <c r="A3273" s="53">
        <v>2553</v>
      </c>
      <c r="B3273" s="10" t="s">
        <v>10757</v>
      </c>
      <c r="C3273" s="65" t="s">
        <v>10758</v>
      </c>
      <c r="D3273" s="65"/>
      <c r="E3273" s="65"/>
      <c r="F3273" s="65"/>
      <c r="G3273" s="11" t="s">
        <v>10759</v>
      </c>
      <c r="H3273" s="14">
        <v>115</v>
      </c>
      <c r="I3273" s="15"/>
      <c r="J3273" s="9">
        <v>1</v>
      </c>
      <c r="K3273" s="16">
        <v>543.21</v>
      </c>
      <c r="L3273" s="17"/>
      <c r="M3273" s="15">
        <f t="shared" ref="M3273:M3300" si="156">K3273*L3273</f>
        <v>0</v>
      </c>
      <c r="N3273" s="18">
        <f>0.224*L3273</f>
        <v>0</v>
      </c>
      <c r="O3273" s="19">
        <f>0.00441*L3273</f>
        <v>0</v>
      </c>
      <c r="P3273" s="24" t="s">
        <v>26</v>
      </c>
      <c r="Q3273" s="15" t="s">
        <v>10760</v>
      </c>
      <c r="R3273" s="15"/>
      <c r="S3273" s="10" t="str">
        <f>HYPERLINK("https://miland.ru/api/getInfo/image/04e4c514-4acf-11f1-a297-00155d82e908")</f>
        <v>https://miland.ru/api/getInfo/image/04e4c514-4acf-11f1-a297-00155d82e908</v>
      </c>
    </row>
    <row r="3274" spans="1:19" s="2" customFormat="1" ht="96.2" customHeight="1" outlineLevel="4">
      <c r="A3274" s="53">
        <v>2554</v>
      </c>
      <c r="B3274" s="10" t="s">
        <v>10761</v>
      </c>
      <c r="C3274" s="65" t="s">
        <v>10762</v>
      </c>
      <c r="D3274" s="65"/>
      <c r="E3274" s="65"/>
      <c r="F3274" s="65"/>
      <c r="G3274" s="11" t="s">
        <v>10763</v>
      </c>
      <c r="H3274" s="14">
        <v>113</v>
      </c>
      <c r="I3274" s="15"/>
      <c r="J3274" s="9">
        <v>1</v>
      </c>
      <c r="K3274" s="16">
        <v>543.21</v>
      </c>
      <c r="L3274" s="17"/>
      <c r="M3274" s="15">
        <f t="shared" si="156"/>
        <v>0</v>
      </c>
      <c r="N3274" s="18">
        <f>0.221*L3274</f>
        <v>0</v>
      </c>
      <c r="O3274" s="20">
        <f>0.0022*L3274</f>
        <v>0</v>
      </c>
      <c r="P3274" s="24" t="s">
        <v>26</v>
      </c>
      <c r="Q3274" s="15" t="s">
        <v>10764</v>
      </c>
      <c r="R3274" s="15"/>
      <c r="S3274" s="10" t="str">
        <f>HYPERLINK("https://miland.ru/api/getInfo/image/7e055d6f-4acf-11f1-a297-00155d82e908")</f>
        <v>https://miland.ru/api/getInfo/image/7e055d6f-4acf-11f1-a297-00155d82e908</v>
      </c>
    </row>
    <row r="3275" spans="1:19" s="2" customFormat="1" ht="96.2" customHeight="1" outlineLevel="4">
      <c r="A3275" s="53">
        <v>2555</v>
      </c>
      <c r="B3275" s="10" t="s">
        <v>10765</v>
      </c>
      <c r="C3275" s="65" t="s">
        <v>10766</v>
      </c>
      <c r="D3275" s="65"/>
      <c r="E3275" s="65"/>
      <c r="F3275" s="65"/>
      <c r="G3275" s="11" t="s">
        <v>10767</v>
      </c>
      <c r="H3275" s="14">
        <v>115</v>
      </c>
      <c r="I3275" s="15"/>
      <c r="J3275" s="9">
        <v>1</v>
      </c>
      <c r="K3275" s="16">
        <v>543.21</v>
      </c>
      <c r="L3275" s="17"/>
      <c r="M3275" s="15">
        <f t="shared" si="156"/>
        <v>0</v>
      </c>
      <c r="N3275" s="18">
        <f>0.222*L3275</f>
        <v>0</v>
      </c>
      <c r="O3275" s="19">
        <f>0.00359*L3275</f>
        <v>0</v>
      </c>
      <c r="P3275" s="24" t="s">
        <v>26</v>
      </c>
      <c r="Q3275" s="15" t="s">
        <v>10768</v>
      </c>
      <c r="R3275" s="15"/>
      <c r="S3275" s="10" t="str">
        <f>HYPERLINK("https://miland.ru/api/getInfo/image/fa51d73c-4acf-11f1-a297-00155d82e908")</f>
        <v>https://miland.ru/api/getInfo/image/fa51d73c-4acf-11f1-a297-00155d82e908</v>
      </c>
    </row>
    <row r="3276" spans="1:19" s="2" customFormat="1" ht="96.2" customHeight="1" outlineLevel="4">
      <c r="A3276" s="53">
        <v>2556</v>
      </c>
      <c r="B3276" s="10" t="s">
        <v>10769</v>
      </c>
      <c r="C3276" s="65" t="s">
        <v>10770</v>
      </c>
      <c r="D3276" s="65"/>
      <c r="E3276" s="65"/>
      <c r="F3276" s="65"/>
      <c r="G3276" s="11" t="s">
        <v>10771</v>
      </c>
      <c r="H3276" s="14">
        <v>229</v>
      </c>
      <c r="I3276" s="15"/>
      <c r="J3276" s="9">
        <v>1</v>
      </c>
      <c r="K3276" s="16">
        <v>476.59</v>
      </c>
      <c r="L3276" s="17"/>
      <c r="M3276" s="15">
        <f t="shared" si="156"/>
        <v>0</v>
      </c>
      <c r="N3276" s="15">
        <v>0</v>
      </c>
      <c r="O3276" s="15">
        <v>0</v>
      </c>
      <c r="P3276" s="24" t="s">
        <v>26</v>
      </c>
      <c r="Q3276" s="15" t="s">
        <v>10772</v>
      </c>
      <c r="R3276" s="15"/>
      <c r="S3276" s="10" t="str">
        <f>HYPERLINK("https://miland.ru/api/getInfo/image/a196da43-4ad1-11f1-a297-00155d82e908")</f>
        <v>https://miland.ru/api/getInfo/image/a196da43-4ad1-11f1-a297-00155d82e908</v>
      </c>
    </row>
    <row r="3277" spans="1:19" s="2" customFormat="1" ht="96.2" customHeight="1" outlineLevel="4">
      <c r="A3277" s="53">
        <v>2557</v>
      </c>
      <c r="B3277" s="10" t="s">
        <v>10773</v>
      </c>
      <c r="C3277" s="65" t="s">
        <v>10774</v>
      </c>
      <c r="D3277" s="65"/>
      <c r="E3277" s="65"/>
      <c r="F3277" s="65"/>
      <c r="G3277" s="11" t="s">
        <v>10775</v>
      </c>
      <c r="H3277" s="14">
        <v>233</v>
      </c>
      <c r="I3277" s="15"/>
      <c r="J3277" s="9">
        <v>1</v>
      </c>
      <c r="K3277" s="16">
        <v>476.59</v>
      </c>
      <c r="L3277" s="17"/>
      <c r="M3277" s="15">
        <f t="shared" si="156"/>
        <v>0</v>
      </c>
      <c r="N3277" s="18">
        <f>0.225*L3277</f>
        <v>0</v>
      </c>
      <c r="O3277" s="19">
        <f>0.00244*L3277</f>
        <v>0</v>
      </c>
      <c r="P3277" s="24" t="s">
        <v>26</v>
      </c>
      <c r="Q3277" s="15" t="s">
        <v>10776</v>
      </c>
      <c r="R3277" s="15"/>
      <c r="S3277" s="10" t="str">
        <f>HYPERLINK("https://miland.ru/api/getInfo/image/313fff73-4ad2-11f1-a297-00155d82e908")</f>
        <v>https://miland.ru/api/getInfo/image/313fff73-4ad2-11f1-a297-00155d82e908</v>
      </c>
    </row>
    <row r="3278" spans="1:19" s="2" customFormat="1" ht="96.2" customHeight="1" outlineLevel="4">
      <c r="A3278" s="52">
        <v>2558</v>
      </c>
      <c r="B3278" s="26" t="s">
        <v>10777</v>
      </c>
      <c r="C3278" s="66" t="s">
        <v>10778</v>
      </c>
      <c r="D3278" s="66"/>
      <c r="E3278" s="66"/>
      <c r="F3278" s="66"/>
      <c r="G3278" s="27" t="s">
        <v>10779</v>
      </c>
      <c r="H3278" s="33">
        <v>1</v>
      </c>
      <c r="I3278" s="29"/>
      <c r="J3278" s="25">
        <v>1</v>
      </c>
      <c r="K3278" s="30">
        <v>733.98</v>
      </c>
      <c r="L3278" s="17"/>
      <c r="M3278" s="29">
        <f t="shared" si="156"/>
        <v>0</v>
      </c>
      <c r="N3278" s="31">
        <f>0.427*L3278</f>
        <v>0</v>
      </c>
      <c r="O3278" s="32">
        <f>0.00408*L3278</f>
        <v>0</v>
      </c>
      <c r="P3278" s="36"/>
      <c r="Q3278" s="29" t="s">
        <v>10780</v>
      </c>
      <c r="R3278" s="29" t="s">
        <v>611</v>
      </c>
      <c r="S3278" s="26" t="str">
        <f>HYPERLINK("https://miland.ru/api/getInfo/image/9e43799f-0b7b-11ee-a23b-00155d82e902")</f>
        <v>https://miland.ru/api/getInfo/image/9e43799f-0b7b-11ee-a23b-00155d82e902</v>
      </c>
    </row>
    <row r="3279" spans="1:19" s="2" customFormat="1" ht="96.2" customHeight="1" outlineLevel="4">
      <c r="A3279" s="52">
        <v>2559</v>
      </c>
      <c r="B3279" s="26" t="s">
        <v>10781</v>
      </c>
      <c r="C3279" s="66" t="s">
        <v>10782</v>
      </c>
      <c r="D3279" s="66"/>
      <c r="E3279" s="66"/>
      <c r="F3279" s="66"/>
      <c r="G3279" s="27" t="s">
        <v>10783</v>
      </c>
      <c r="H3279" s="33">
        <v>5</v>
      </c>
      <c r="I3279" s="29"/>
      <c r="J3279" s="25">
        <v>2</v>
      </c>
      <c r="K3279" s="30">
        <v>377.22</v>
      </c>
      <c r="L3279" s="17"/>
      <c r="M3279" s="29">
        <f t="shared" si="156"/>
        <v>0</v>
      </c>
      <c r="N3279" s="31">
        <f>0.176*L3279</f>
        <v>0</v>
      </c>
      <c r="O3279" s="32">
        <f>0.00234*L3279</f>
        <v>0</v>
      </c>
      <c r="P3279" s="36"/>
      <c r="Q3279" s="29" t="s">
        <v>10784</v>
      </c>
      <c r="R3279" s="29" t="s">
        <v>611</v>
      </c>
      <c r="S3279" s="26" t="str">
        <f>HYPERLINK("https://miland.ru/api/getInfo/image/60862213-1025-11ee-a23b-00155d82e902")</f>
        <v>https://miland.ru/api/getInfo/image/60862213-1025-11ee-a23b-00155d82e902</v>
      </c>
    </row>
    <row r="3280" spans="1:19" s="2" customFormat="1" ht="96.2" customHeight="1" outlineLevel="4">
      <c r="A3280" s="52">
        <v>2560</v>
      </c>
      <c r="B3280" s="26" t="s">
        <v>10785</v>
      </c>
      <c r="C3280" s="66" t="s">
        <v>10786</v>
      </c>
      <c r="D3280" s="66"/>
      <c r="E3280" s="66"/>
      <c r="F3280" s="66"/>
      <c r="G3280" s="27" t="s">
        <v>10787</v>
      </c>
      <c r="H3280" s="33">
        <v>7</v>
      </c>
      <c r="I3280" s="29"/>
      <c r="J3280" s="25">
        <v>1</v>
      </c>
      <c r="K3280" s="30">
        <v>819.1</v>
      </c>
      <c r="L3280" s="17"/>
      <c r="M3280" s="29">
        <f t="shared" si="156"/>
        <v>0</v>
      </c>
      <c r="N3280" s="31">
        <f>0.434*L3280</f>
        <v>0</v>
      </c>
      <c r="O3280" s="32">
        <f>0.00357*L3280</f>
        <v>0</v>
      </c>
      <c r="P3280" s="36"/>
      <c r="Q3280" s="29" t="s">
        <v>10788</v>
      </c>
      <c r="R3280" s="29" t="s">
        <v>611</v>
      </c>
      <c r="S3280" s="26" t="str">
        <f>HYPERLINK("https://miland.ru/api/getInfo/image/0fec736f-0b7c-11ee-a23b-00155d82e902")</f>
        <v>https://miland.ru/api/getInfo/image/0fec736f-0b7c-11ee-a23b-00155d82e902</v>
      </c>
    </row>
    <row r="3281" spans="1:19" s="2" customFormat="1" ht="96.2" customHeight="1" outlineLevel="4">
      <c r="A3281" s="52">
        <v>2561</v>
      </c>
      <c r="B3281" s="26" t="s">
        <v>10789</v>
      </c>
      <c r="C3281" s="66" t="s">
        <v>10790</v>
      </c>
      <c r="D3281" s="66"/>
      <c r="E3281" s="66"/>
      <c r="F3281" s="66"/>
      <c r="G3281" s="27" t="s">
        <v>10791</v>
      </c>
      <c r="H3281" s="33">
        <v>202</v>
      </c>
      <c r="I3281" s="29"/>
      <c r="J3281" s="25">
        <v>3</v>
      </c>
      <c r="K3281" s="30">
        <v>197.92</v>
      </c>
      <c r="L3281" s="17"/>
      <c r="M3281" s="29">
        <f t="shared" si="156"/>
        <v>0</v>
      </c>
      <c r="N3281" s="31">
        <f>0.093*L3281</f>
        <v>0</v>
      </c>
      <c r="O3281" s="32">
        <f>0.00191*L3281</f>
        <v>0</v>
      </c>
      <c r="P3281" s="36"/>
      <c r="Q3281" s="29" t="s">
        <v>10792</v>
      </c>
      <c r="R3281" s="29"/>
      <c r="S3281" s="26" t="str">
        <f>HYPERLINK("https://miland.ru/api/getInfo/image/0690903f-102a-11ee-a23b-00155d82e902")</f>
        <v>https://miland.ru/api/getInfo/image/0690903f-102a-11ee-a23b-00155d82e902</v>
      </c>
    </row>
    <row r="3282" spans="1:19" s="2" customFormat="1" ht="96.2" customHeight="1" outlineLevel="4">
      <c r="A3282" s="52">
        <v>2562</v>
      </c>
      <c r="B3282" s="26" t="s">
        <v>10793</v>
      </c>
      <c r="C3282" s="66" t="s">
        <v>10794</v>
      </c>
      <c r="D3282" s="66"/>
      <c r="E3282" s="66"/>
      <c r="F3282" s="66"/>
      <c r="G3282" s="27" t="s">
        <v>10795</v>
      </c>
      <c r="H3282" s="28" t="s">
        <v>44</v>
      </c>
      <c r="I3282" s="29"/>
      <c r="J3282" s="25">
        <v>3</v>
      </c>
      <c r="K3282" s="30">
        <v>197.92</v>
      </c>
      <c r="L3282" s="17"/>
      <c r="M3282" s="29">
        <f t="shared" si="156"/>
        <v>0</v>
      </c>
      <c r="N3282" s="31">
        <f>0.091*L3282</f>
        <v>0</v>
      </c>
      <c r="O3282" s="32">
        <f>0.00165*L3282</f>
        <v>0</v>
      </c>
      <c r="P3282" s="36"/>
      <c r="Q3282" s="29" t="s">
        <v>10796</v>
      </c>
      <c r="R3282" s="29"/>
      <c r="S3282" s="26" t="str">
        <f>HYPERLINK("https://miland.ru/api/getInfo/image/da2bfeb7-102a-11ee-a23b-00155d82e902")</f>
        <v>https://miland.ru/api/getInfo/image/da2bfeb7-102a-11ee-a23b-00155d82e902</v>
      </c>
    </row>
    <row r="3283" spans="1:19" s="2" customFormat="1" ht="96.2" customHeight="1" outlineLevel="4">
      <c r="A3283" s="52">
        <v>2563</v>
      </c>
      <c r="B3283" s="26" t="s">
        <v>10797</v>
      </c>
      <c r="C3283" s="66" t="s">
        <v>10798</v>
      </c>
      <c r="D3283" s="66"/>
      <c r="E3283" s="66"/>
      <c r="F3283" s="66"/>
      <c r="G3283" s="27" t="s">
        <v>10799</v>
      </c>
      <c r="H3283" s="28" t="s">
        <v>44</v>
      </c>
      <c r="I3283" s="29"/>
      <c r="J3283" s="25">
        <v>3</v>
      </c>
      <c r="K3283" s="30">
        <v>197.92</v>
      </c>
      <c r="L3283" s="17"/>
      <c r="M3283" s="29">
        <f t="shared" si="156"/>
        <v>0</v>
      </c>
      <c r="N3283" s="31">
        <f>0.094*L3283</f>
        <v>0</v>
      </c>
      <c r="O3283" s="35">
        <f>0.0017*L3283</f>
        <v>0</v>
      </c>
      <c r="P3283" s="36"/>
      <c r="Q3283" s="29" t="s">
        <v>10800</v>
      </c>
      <c r="R3283" s="29"/>
      <c r="S3283" s="26" t="str">
        <f>HYPERLINK("https://miland.ru/api/getInfo/image/31771c29-102b-11ee-a23b-00155d82e902")</f>
        <v>https://miland.ru/api/getInfo/image/31771c29-102b-11ee-a23b-00155d82e902</v>
      </c>
    </row>
    <row r="3284" spans="1:19" s="2" customFormat="1" ht="96.2" customHeight="1" outlineLevel="4">
      <c r="A3284" s="52">
        <v>2564</v>
      </c>
      <c r="B3284" s="26" t="s">
        <v>10801</v>
      </c>
      <c r="C3284" s="66" t="s">
        <v>10802</v>
      </c>
      <c r="D3284" s="66"/>
      <c r="E3284" s="66"/>
      <c r="F3284" s="66"/>
      <c r="G3284" s="27" t="s">
        <v>10803</v>
      </c>
      <c r="H3284" s="33">
        <v>1</v>
      </c>
      <c r="I3284" s="29"/>
      <c r="J3284" s="25">
        <v>1</v>
      </c>
      <c r="K3284" s="30">
        <v>689.48</v>
      </c>
      <c r="L3284" s="17"/>
      <c r="M3284" s="29">
        <f t="shared" si="156"/>
        <v>0</v>
      </c>
      <c r="N3284" s="31">
        <f>0.434*L3284</f>
        <v>0</v>
      </c>
      <c r="O3284" s="32">
        <f>0.00337*L3284</f>
        <v>0</v>
      </c>
      <c r="P3284" s="36"/>
      <c r="Q3284" s="29" t="s">
        <v>10804</v>
      </c>
      <c r="R3284" s="29" t="s">
        <v>611</v>
      </c>
      <c r="S3284" s="26" t="str">
        <f>HYPERLINK("https://miland.ru/api/getInfo/image/851f6d67-0b7c-11ee-a23b-00155d82e902")</f>
        <v>https://miland.ru/api/getInfo/image/851f6d67-0b7c-11ee-a23b-00155d82e902</v>
      </c>
    </row>
    <row r="3285" spans="1:19" s="2" customFormat="1" ht="96.2" customHeight="1" outlineLevel="4">
      <c r="A3285" s="53">
        <v>2565</v>
      </c>
      <c r="B3285" s="10" t="s">
        <v>10805</v>
      </c>
      <c r="C3285" s="65" t="s">
        <v>10806</v>
      </c>
      <c r="D3285" s="65"/>
      <c r="E3285" s="65"/>
      <c r="F3285" s="65"/>
      <c r="G3285" s="11" t="s">
        <v>10807</v>
      </c>
      <c r="H3285" s="14">
        <v>419</v>
      </c>
      <c r="I3285" s="15"/>
      <c r="J3285" s="9">
        <v>2</v>
      </c>
      <c r="K3285" s="16">
        <v>333.1</v>
      </c>
      <c r="L3285" s="17"/>
      <c r="M3285" s="15">
        <f t="shared" si="156"/>
        <v>0</v>
      </c>
      <c r="N3285" s="18">
        <f>0.184*L3285</f>
        <v>0</v>
      </c>
      <c r="O3285" s="19">
        <f>0.00245*L3285</f>
        <v>0</v>
      </c>
      <c r="P3285" s="24" t="s">
        <v>26</v>
      </c>
      <c r="Q3285" s="15" t="s">
        <v>10808</v>
      </c>
      <c r="R3285" s="15"/>
      <c r="S3285" s="10" t="str">
        <f>HYPERLINK("https://miland.ru/api/getInfo/image/68de6da2-4ad5-11f1-a297-00155d82e908")</f>
        <v>https://miland.ru/api/getInfo/image/68de6da2-4ad5-11f1-a297-00155d82e908</v>
      </c>
    </row>
    <row r="3286" spans="1:19" s="2" customFormat="1" ht="96.2" customHeight="1" outlineLevel="4">
      <c r="A3286" s="53">
        <v>2566</v>
      </c>
      <c r="B3286" s="10" t="s">
        <v>10809</v>
      </c>
      <c r="C3286" s="65" t="s">
        <v>10810</v>
      </c>
      <c r="D3286" s="65"/>
      <c r="E3286" s="65"/>
      <c r="F3286" s="65"/>
      <c r="G3286" s="11" t="s">
        <v>10811</v>
      </c>
      <c r="H3286" s="14">
        <v>419</v>
      </c>
      <c r="I3286" s="15"/>
      <c r="J3286" s="9">
        <v>2</v>
      </c>
      <c r="K3286" s="16">
        <v>333.1</v>
      </c>
      <c r="L3286" s="17"/>
      <c r="M3286" s="15">
        <f t="shared" si="156"/>
        <v>0</v>
      </c>
      <c r="N3286" s="18">
        <f>0.166*L3286</f>
        <v>0</v>
      </c>
      <c r="O3286" s="19">
        <f>0.00188*L3286</f>
        <v>0</v>
      </c>
      <c r="P3286" s="24" t="s">
        <v>26</v>
      </c>
      <c r="Q3286" s="15" t="s">
        <v>10812</v>
      </c>
      <c r="R3286" s="15"/>
      <c r="S3286" s="10" t="str">
        <f>HYPERLINK("https://miland.ru/api/getInfo/image/ffa6fb47-4ad5-11f1-a297-00155d82e908")</f>
        <v>https://miland.ru/api/getInfo/image/ffa6fb47-4ad5-11f1-a297-00155d82e908</v>
      </c>
    </row>
    <row r="3287" spans="1:19" s="2" customFormat="1" ht="96.2" customHeight="1" outlineLevel="4">
      <c r="A3287" s="53">
        <v>2567</v>
      </c>
      <c r="B3287" s="10" t="s">
        <v>10813</v>
      </c>
      <c r="C3287" s="65" t="s">
        <v>10814</v>
      </c>
      <c r="D3287" s="65"/>
      <c r="E3287" s="65"/>
      <c r="F3287" s="65"/>
      <c r="G3287" s="11" t="s">
        <v>10815</v>
      </c>
      <c r="H3287" s="14">
        <v>413</v>
      </c>
      <c r="I3287" s="15"/>
      <c r="J3287" s="9">
        <v>2</v>
      </c>
      <c r="K3287" s="16">
        <v>317.72000000000003</v>
      </c>
      <c r="L3287" s="17"/>
      <c r="M3287" s="15">
        <f t="shared" si="156"/>
        <v>0</v>
      </c>
      <c r="N3287" s="15">
        <v>0</v>
      </c>
      <c r="O3287" s="15">
        <v>0</v>
      </c>
      <c r="P3287" s="24" t="s">
        <v>26</v>
      </c>
      <c r="Q3287" s="15" t="s">
        <v>10816</v>
      </c>
      <c r="R3287" s="15"/>
      <c r="S3287" s="10" t="str">
        <f>HYPERLINK("https://miland.ru/api/getInfo/image/29a61667-4ad4-11f1-a297-00155d82e908")</f>
        <v>https://miland.ru/api/getInfo/image/29a61667-4ad4-11f1-a297-00155d82e908</v>
      </c>
    </row>
    <row r="3288" spans="1:19" s="2" customFormat="1" ht="96.2" customHeight="1" outlineLevel="4">
      <c r="A3288" s="53">
        <v>2568</v>
      </c>
      <c r="B3288" s="10" t="s">
        <v>10817</v>
      </c>
      <c r="C3288" s="65" t="s">
        <v>10818</v>
      </c>
      <c r="D3288" s="65"/>
      <c r="E3288" s="65"/>
      <c r="F3288" s="65"/>
      <c r="G3288" s="11" t="s">
        <v>10819</v>
      </c>
      <c r="H3288" s="14">
        <v>359</v>
      </c>
      <c r="I3288" s="15"/>
      <c r="J3288" s="9">
        <v>3</v>
      </c>
      <c r="K3288" s="16">
        <v>225.48</v>
      </c>
      <c r="L3288" s="17"/>
      <c r="M3288" s="15">
        <f t="shared" si="156"/>
        <v>0</v>
      </c>
      <c r="N3288" s="18">
        <f>0.092*L3288</f>
        <v>0</v>
      </c>
      <c r="O3288" s="19">
        <f>0.00103*L3288</f>
        <v>0</v>
      </c>
      <c r="P3288" s="24" t="s">
        <v>26</v>
      </c>
      <c r="Q3288" s="15" t="s">
        <v>10820</v>
      </c>
      <c r="R3288" s="15"/>
      <c r="S3288" s="10" t="str">
        <f>HYPERLINK("https://miland.ru/api/getInfo/image/b56fa950-4ad2-11f1-a297-00155d82e908")</f>
        <v>https://miland.ru/api/getInfo/image/b56fa950-4ad2-11f1-a297-00155d82e908</v>
      </c>
    </row>
    <row r="3289" spans="1:19" s="2" customFormat="1" ht="96.2" customHeight="1" outlineLevel="4">
      <c r="A3289" s="53">
        <v>2569</v>
      </c>
      <c r="B3289" s="10" t="s">
        <v>10821</v>
      </c>
      <c r="C3289" s="65" t="s">
        <v>10822</v>
      </c>
      <c r="D3289" s="65"/>
      <c r="E3289" s="65"/>
      <c r="F3289" s="65"/>
      <c r="G3289" s="11" t="s">
        <v>10823</v>
      </c>
      <c r="H3289" s="14">
        <v>359</v>
      </c>
      <c r="I3289" s="15"/>
      <c r="J3289" s="9">
        <v>3</v>
      </c>
      <c r="K3289" s="16">
        <v>225.48</v>
      </c>
      <c r="L3289" s="17"/>
      <c r="M3289" s="15">
        <f t="shared" si="156"/>
        <v>0</v>
      </c>
      <c r="N3289" s="18">
        <f>0.092*L3289</f>
        <v>0</v>
      </c>
      <c r="O3289" s="19">
        <f>0.00123*L3289</f>
        <v>0</v>
      </c>
      <c r="P3289" s="24" t="s">
        <v>26</v>
      </c>
      <c r="Q3289" s="15" t="s">
        <v>10824</v>
      </c>
      <c r="R3289" s="15"/>
      <c r="S3289" s="10" t="str">
        <f>HYPERLINK("https://miland.ru/api/getInfo/image/ab4c483f-4ad3-11f1-a297-00155d82e908")</f>
        <v>https://miland.ru/api/getInfo/image/ab4c483f-4ad3-11f1-a297-00155d82e908</v>
      </c>
    </row>
    <row r="3290" spans="1:19" s="2" customFormat="1" ht="96.2" customHeight="1" outlineLevel="4">
      <c r="A3290" s="53">
        <v>2570</v>
      </c>
      <c r="B3290" s="10" t="s">
        <v>10825</v>
      </c>
      <c r="C3290" s="65" t="s">
        <v>10826</v>
      </c>
      <c r="D3290" s="65"/>
      <c r="E3290" s="65"/>
      <c r="F3290" s="65"/>
      <c r="G3290" s="11" t="s">
        <v>10827</v>
      </c>
      <c r="H3290" s="21" t="s">
        <v>44</v>
      </c>
      <c r="I3290" s="15"/>
      <c r="J3290" s="9">
        <v>2</v>
      </c>
      <c r="K3290" s="16">
        <v>302.35000000000002</v>
      </c>
      <c r="L3290" s="17"/>
      <c r="M3290" s="15">
        <f t="shared" si="156"/>
        <v>0</v>
      </c>
      <c r="N3290" s="18">
        <f>0.129*L3290</f>
        <v>0</v>
      </c>
      <c r="O3290" s="19">
        <f>0.00204*L3290</f>
        <v>0</v>
      </c>
      <c r="P3290" s="24" t="s">
        <v>26</v>
      </c>
      <c r="Q3290" s="15" t="s">
        <v>10828</v>
      </c>
      <c r="R3290" s="15"/>
      <c r="S3290" s="10" t="str">
        <f>HYPERLINK("https://miland.ru/api/getInfo/image/73ef50b1-4ad0-11f1-a297-00155d82e908")</f>
        <v>https://miland.ru/api/getInfo/image/73ef50b1-4ad0-11f1-a297-00155d82e908</v>
      </c>
    </row>
    <row r="3291" spans="1:19" s="2" customFormat="1" ht="96.2" customHeight="1" outlineLevel="4">
      <c r="A3291" s="53">
        <v>2571</v>
      </c>
      <c r="B3291" s="10" t="s">
        <v>10829</v>
      </c>
      <c r="C3291" s="65" t="s">
        <v>10830</v>
      </c>
      <c r="D3291" s="65"/>
      <c r="E3291" s="65"/>
      <c r="F3291" s="65"/>
      <c r="G3291" s="11" t="s">
        <v>10831</v>
      </c>
      <c r="H3291" s="21" t="s">
        <v>44</v>
      </c>
      <c r="I3291" s="15"/>
      <c r="J3291" s="9">
        <v>2</v>
      </c>
      <c r="K3291" s="16">
        <v>302.35000000000002</v>
      </c>
      <c r="L3291" s="17"/>
      <c r="M3291" s="15">
        <f t="shared" si="156"/>
        <v>0</v>
      </c>
      <c r="N3291" s="18">
        <f>0.123*L3291</f>
        <v>0</v>
      </c>
      <c r="O3291" s="19">
        <f>0.00172*L3291</f>
        <v>0</v>
      </c>
      <c r="P3291" s="24" t="s">
        <v>26</v>
      </c>
      <c r="Q3291" s="15" t="s">
        <v>10832</v>
      </c>
      <c r="R3291" s="15"/>
      <c r="S3291" s="10" t="str">
        <f>HYPERLINK("https://miland.ru/api/getInfo/image/1abf9700-4ad1-11f1-a297-00155d82e908")</f>
        <v>https://miland.ru/api/getInfo/image/1abf9700-4ad1-11f1-a297-00155d82e908</v>
      </c>
    </row>
    <row r="3292" spans="1:19" s="2" customFormat="1" ht="96.2" customHeight="1" outlineLevel="4">
      <c r="A3292" s="53">
        <v>2572</v>
      </c>
      <c r="B3292" s="10" t="s">
        <v>10833</v>
      </c>
      <c r="C3292" s="65" t="s">
        <v>10834</v>
      </c>
      <c r="D3292" s="65"/>
      <c r="E3292" s="65"/>
      <c r="F3292" s="65"/>
      <c r="G3292" s="11" t="s">
        <v>10835</v>
      </c>
      <c r="H3292" s="14">
        <v>413</v>
      </c>
      <c r="I3292" s="15"/>
      <c r="J3292" s="9">
        <v>2</v>
      </c>
      <c r="K3292" s="16">
        <v>317.72000000000003</v>
      </c>
      <c r="L3292" s="17"/>
      <c r="M3292" s="15">
        <f t="shared" si="156"/>
        <v>0</v>
      </c>
      <c r="N3292" s="15">
        <v>0</v>
      </c>
      <c r="O3292" s="15">
        <v>0</v>
      </c>
      <c r="P3292" s="24" t="s">
        <v>26</v>
      </c>
      <c r="Q3292" s="15" t="s">
        <v>10836</v>
      </c>
      <c r="R3292" s="15"/>
      <c r="S3292" s="10" t="str">
        <f>HYPERLINK("https://miland.ru/api/getInfo/image/9f644079-4ad4-11f1-a297-00155d82e908")</f>
        <v>https://miland.ru/api/getInfo/image/9f644079-4ad4-11f1-a297-00155d82e908</v>
      </c>
    </row>
    <row r="3293" spans="1:19" s="2" customFormat="1" ht="96.2" customHeight="1" outlineLevel="4">
      <c r="A3293" s="53">
        <v>2573</v>
      </c>
      <c r="B3293" s="10" t="s">
        <v>10837</v>
      </c>
      <c r="C3293" s="65" t="s">
        <v>10838</v>
      </c>
      <c r="D3293" s="65"/>
      <c r="E3293" s="65"/>
      <c r="F3293" s="65"/>
      <c r="G3293" s="11" t="s">
        <v>10839</v>
      </c>
      <c r="H3293" s="14">
        <v>167</v>
      </c>
      <c r="I3293" s="15"/>
      <c r="J3293" s="9">
        <v>2</v>
      </c>
      <c r="K3293" s="16">
        <v>456.09</v>
      </c>
      <c r="L3293" s="17"/>
      <c r="M3293" s="15">
        <f t="shared" si="156"/>
        <v>0</v>
      </c>
      <c r="N3293" s="18">
        <f>0.221*L3293</f>
        <v>0</v>
      </c>
      <c r="O3293" s="19">
        <f>0.00186*L3293</f>
        <v>0</v>
      </c>
      <c r="P3293" s="24" t="s">
        <v>26</v>
      </c>
      <c r="Q3293" s="15" t="s">
        <v>10840</v>
      </c>
      <c r="R3293" s="15"/>
      <c r="S3293" s="10" t="str">
        <f>HYPERLINK("https://miland.ru/api/getInfo/image/a8207e35-4acb-11f1-a297-00155d82e908")</f>
        <v>https://miland.ru/api/getInfo/image/a8207e35-4acb-11f1-a297-00155d82e908</v>
      </c>
    </row>
    <row r="3294" spans="1:19" s="2" customFormat="1" ht="96.2" customHeight="1" outlineLevel="4">
      <c r="A3294" s="53">
        <v>2574</v>
      </c>
      <c r="B3294" s="10" t="s">
        <v>10841</v>
      </c>
      <c r="C3294" s="65" t="s">
        <v>10842</v>
      </c>
      <c r="D3294" s="65"/>
      <c r="E3294" s="65"/>
      <c r="F3294" s="65"/>
      <c r="G3294" s="11" t="s">
        <v>10843</v>
      </c>
      <c r="H3294" s="14">
        <v>167</v>
      </c>
      <c r="I3294" s="15"/>
      <c r="J3294" s="9">
        <v>2</v>
      </c>
      <c r="K3294" s="16">
        <v>456.09</v>
      </c>
      <c r="L3294" s="17"/>
      <c r="M3294" s="15">
        <f t="shared" si="156"/>
        <v>0</v>
      </c>
      <c r="N3294" s="18">
        <f>0.219*L3294</f>
        <v>0</v>
      </c>
      <c r="O3294" s="19">
        <f>0.00209*L3294</f>
        <v>0</v>
      </c>
      <c r="P3294" s="24" t="s">
        <v>26</v>
      </c>
      <c r="Q3294" s="15" t="s">
        <v>10844</v>
      </c>
      <c r="R3294" s="15"/>
      <c r="S3294" s="10" t="str">
        <f>HYPERLINK("https://miland.ru/api/getInfo/image/f4ae3dda-4aca-11f1-a297-00155d82e908")</f>
        <v>https://miland.ru/api/getInfo/image/f4ae3dda-4aca-11f1-a297-00155d82e908</v>
      </c>
    </row>
    <row r="3295" spans="1:19" s="2" customFormat="1" ht="96.2" customHeight="1" outlineLevel="4">
      <c r="A3295" s="53">
        <v>2575</v>
      </c>
      <c r="B3295" s="10" t="s">
        <v>10845</v>
      </c>
      <c r="C3295" s="65" t="s">
        <v>10846</v>
      </c>
      <c r="D3295" s="65"/>
      <c r="E3295" s="65"/>
      <c r="F3295" s="65"/>
      <c r="G3295" s="11" t="s">
        <v>10847</v>
      </c>
      <c r="H3295" s="14">
        <v>191</v>
      </c>
      <c r="I3295" s="15"/>
      <c r="J3295" s="9">
        <v>1</v>
      </c>
      <c r="K3295" s="16">
        <v>696.94</v>
      </c>
      <c r="L3295" s="17"/>
      <c r="M3295" s="15">
        <f t="shared" si="156"/>
        <v>0</v>
      </c>
      <c r="N3295" s="15">
        <v>0</v>
      </c>
      <c r="O3295" s="15">
        <v>0</v>
      </c>
      <c r="P3295" s="24" t="s">
        <v>26</v>
      </c>
      <c r="Q3295" s="15" t="s">
        <v>10848</v>
      </c>
      <c r="R3295" s="15"/>
      <c r="S3295" s="10" t="str">
        <f>HYPERLINK("https://miland.ru/api/getInfo/image/026da3eb-4aca-11f1-a297-00155d82e908")</f>
        <v>https://miland.ru/api/getInfo/image/026da3eb-4aca-11f1-a297-00155d82e908</v>
      </c>
    </row>
    <row r="3296" spans="1:19" s="2" customFormat="1" ht="96.2" customHeight="1" outlineLevel="4">
      <c r="A3296" s="53">
        <v>2576</v>
      </c>
      <c r="B3296" s="10" t="s">
        <v>10849</v>
      </c>
      <c r="C3296" s="65" t="s">
        <v>10850</v>
      </c>
      <c r="D3296" s="65"/>
      <c r="E3296" s="65"/>
      <c r="F3296" s="65"/>
      <c r="G3296" s="11" t="s">
        <v>10851</v>
      </c>
      <c r="H3296" s="14">
        <v>167</v>
      </c>
      <c r="I3296" s="15"/>
      <c r="J3296" s="9">
        <v>2</v>
      </c>
      <c r="K3296" s="16">
        <v>456.09</v>
      </c>
      <c r="L3296" s="17"/>
      <c r="M3296" s="15">
        <f t="shared" si="156"/>
        <v>0</v>
      </c>
      <c r="N3296" s="18">
        <f>0.222*L3296</f>
        <v>0</v>
      </c>
      <c r="O3296" s="19">
        <f>0.00183*L3296</f>
        <v>0</v>
      </c>
      <c r="P3296" s="24" t="s">
        <v>26</v>
      </c>
      <c r="Q3296" s="15" t="s">
        <v>10852</v>
      </c>
      <c r="R3296" s="15"/>
      <c r="S3296" s="10" t="str">
        <f>HYPERLINK("https://miland.ru/api/getInfo/image/7fcb0b5d-4aca-11f1-a297-00155d82e908")</f>
        <v>https://miland.ru/api/getInfo/image/7fcb0b5d-4aca-11f1-a297-00155d82e908</v>
      </c>
    </row>
    <row r="3297" spans="1:19" s="2" customFormat="1" ht="96.2" customHeight="1" outlineLevel="4">
      <c r="A3297" s="53">
        <v>2577</v>
      </c>
      <c r="B3297" s="10" t="s">
        <v>10853</v>
      </c>
      <c r="C3297" s="65" t="s">
        <v>10854</v>
      </c>
      <c r="D3297" s="65"/>
      <c r="E3297" s="65"/>
      <c r="F3297" s="65"/>
      <c r="G3297" s="11" t="s">
        <v>10855</v>
      </c>
      <c r="H3297" s="14">
        <v>143</v>
      </c>
      <c r="I3297" s="15"/>
      <c r="J3297" s="9">
        <v>2</v>
      </c>
      <c r="K3297" s="16">
        <v>415.09</v>
      </c>
      <c r="L3297" s="17"/>
      <c r="M3297" s="15">
        <f t="shared" si="156"/>
        <v>0</v>
      </c>
      <c r="N3297" s="18">
        <f>0.192*L3297</f>
        <v>0</v>
      </c>
      <c r="O3297" s="20">
        <f>0.0027*L3297</f>
        <v>0</v>
      </c>
      <c r="P3297" s="24" t="s">
        <v>26</v>
      </c>
      <c r="Q3297" s="15" t="s">
        <v>10856</v>
      </c>
      <c r="R3297" s="15"/>
      <c r="S3297" s="10" t="str">
        <f>HYPERLINK("https://miland.ru/api/getInfo/image/63e9308d-4ac8-11f1-a297-00155d82e908")</f>
        <v>https://miland.ru/api/getInfo/image/63e9308d-4ac8-11f1-a297-00155d82e908</v>
      </c>
    </row>
    <row r="3298" spans="1:19" s="2" customFormat="1" ht="96.2" customHeight="1" outlineLevel="4">
      <c r="A3298" s="53">
        <v>2578</v>
      </c>
      <c r="B3298" s="10" t="s">
        <v>10857</v>
      </c>
      <c r="C3298" s="65" t="s">
        <v>10858</v>
      </c>
      <c r="D3298" s="65"/>
      <c r="E3298" s="65"/>
      <c r="F3298" s="65"/>
      <c r="G3298" s="11" t="s">
        <v>10859</v>
      </c>
      <c r="H3298" s="14">
        <v>209</v>
      </c>
      <c r="I3298" s="15"/>
      <c r="J3298" s="9">
        <v>2</v>
      </c>
      <c r="K3298" s="16">
        <v>384.34</v>
      </c>
      <c r="L3298" s="17"/>
      <c r="M3298" s="15">
        <f t="shared" si="156"/>
        <v>0</v>
      </c>
      <c r="N3298" s="23">
        <f>0.24*L3298</f>
        <v>0</v>
      </c>
      <c r="O3298" s="19">
        <f>0.00345*L3298</f>
        <v>0</v>
      </c>
      <c r="P3298" s="24" t="s">
        <v>26</v>
      </c>
      <c r="Q3298" s="15" t="s">
        <v>10860</v>
      </c>
      <c r="R3298" s="15"/>
      <c r="S3298" s="10" t="str">
        <f>HYPERLINK("https://miland.ru/api/getInfo/image/419778f7-4acd-11f1-a297-00155d82e908")</f>
        <v>https://miland.ru/api/getInfo/image/419778f7-4acd-11f1-a297-00155d82e908</v>
      </c>
    </row>
    <row r="3299" spans="1:19" s="2" customFormat="1" ht="96.2" customHeight="1" outlineLevel="4">
      <c r="A3299" s="53">
        <v>2579</v>
      </c>
      <c r="B3299" s="10" t="s">
        <v>10861</v>
      </c>
      <c r="C3299" s="65" t="s">
        <v>10862</v>
      </c>
      <c r="D3299" s="65"/>
      <c r="E3299" s="65"/>
      <c r="F3299" s="65"/>
      <c r="G3299" s="11" t="s">
        <v>10863</v>
      </c>
      <c r="H3299" s="14">
        <v>209</v>
      </c>
      <c r="I3299" s="15"/>
      <c r="J3299" s="9">
        <v>2</v>
      </c>
      <c r="K3299" s="16">
        <v>384.34</v>
      </c>
      <c r="L3299" s="17"/>
      <c r="M3299" s="15">
        <f t="shared" si="156"/>
        <v>0</v>
      </c>
      <c r="N3299" s="18">
        <f>0.242*L3299</f>
        <v>0</v>
      </c>
      <c r="O3299" s="19">
        <f>0.00099*L3299</f>
        <v>0</v>
      </c>
      <c r="P3299" s="24" t="s">
        <v>26</v>
      </c>
      <c r="Q3299" s="15" t="s">
        <v>10864</v>
      </c>
      <c r="R3299" s="15"/>
      <c r="S3299" s="10" t="str">
        <f>HYPERLINK("https://miland.ru/api/getInfo/image/393dee59-4acc-11f1-a297-00155d82e908")</f>
        <v>https://miland.ru/api/getInfo/image/393dee59-4acc-11f1-a297-00155d82e908</v>
      </c>
    </row>
    <row r="3300" spans="1:19" s="2" customFormat="1" ht="96.2" customHeight="1" outlineLevel="4">
      <c r="A3300" s="53">
        <v>2580</v>
      </c>
      <c r="B3300" s="10" t="s">
        <v>10865</v>
      </c>
      <c r="C3300" s="65" t="s">
        <v>10866</v>
      </c>
      <c r="D3300" s="65"/>
      <c r="E3300" s="65"/>
      <c r="F3300" s="65"/>
      <c r="G3300" s="11" t="s">
        <v>10867</v>
      </c>
      <c r="H3300" s="14">
        <v>191</v>
      </c>
      <c r="I3300" s="15"/>
      <c r="J3300" s="9">
        <v>1</v>
      </c>
      <c r="K3300" s="16">
        <v>645.70000000000005</v>
      </c>
      <c r="L3300" s="17"/>
      <c r="M3300" s="15">
        <f t="shared" si="156"/>
        <v>0</v>
      </c>
      <c r="N3300" s="55">
        <f>0.3*L3300</f>
        <v>0</v>
      </c>
      <c r="O3300" s="19">
        <f>0.00232*L3300</f>
        <v>0</v>
      </c>
      <c r="P3300" s="24" t="s">
        <v>26</v>
      </c>
      <c r="Q3300" s="15" t="s">
        <v>10868</v>
      </c>
      <c r="R3300" s="15"/>
      <c r="S3300" s="10" t="str">
        <f>HYPERLINK("https://miland.ru/api/getInfo/image/6c3c279c-4ac9-11f1-a297-00155d82e908")</f>
        <v>https://miland.ru/api/getInfo/image/6c3c279c-4ac9-11f1-a297-00155d82e908</v>
      </c>
    </row>
    <row r="3301" spans="1:19" s="1" customFormat="1" ht="12" customHeight="1" outlineLevel="3">
      <c r="A3301" s="64" t="s">
        <v>10869</v>
      </c>
      <c r="B3301" s="64"/>
      <c r="C3301" s="64"/>
      <c r="D3301" s="64"/>
      <c r="E3301" s="64"/>
      <c r="F3301" s="64"/>
      <c r="G3301" s="8"/>
      <c r="H3301" s="12"/>
      <c r="I3301" s="2"/>
      <c r="J3301" s="2"/>
      <c r="K3301" s="13"/>
      <c r="L3301" s="2"/>
      <c r="M3301" s="2"/>
      <c r="N3301" s="2"/>
      <c r="O3301" s="2"/>
      <c r="P3301" s="2"/>
      <c r="Q3301" s="2"/>
      <c r="R3301" s="2"/>
      <c r="S3301" s="2"/>
    </row>
    <row r="3302" spans="1:19" s="1" customFormat="1" ht="12" customHeight="1" outlineLevel="4">
      <c r="A3302" s="64" t="s">
        <v>10870</v>
      </c>
      <c r="B3302" s="64"/>
      <c r="C3302" s="64"/>
      <c r="D3302" s="64"/>
      <c r="E3302" s="64"/>
      <c r="F3302" s="64"/>
      <c r="G3302" s="8"/>
      <c r="H3302" s="12"/>
      <c r="I3302" s="2"/>
      <c r="J3302" s="2"/>
      <c r="K3302" s="13"/>
      <c r="L3302" s="2"/>
      <c r="M3302" s="2"/>
      <c r="N3302" s="2"/>
      <c r="O3302" s="2"/>
      <c r="P3302" s="2"/>
      <c r="Q3302" s="2"/>
      <c r="R3302" s="2"/>
      <c r="S3302" s="2"/>
    </row>
    <row r="3303" spans="1:19" s="2" customFormat="1" ht="96.2" customHeight="1" outlineLevel="5">
      <c r="A3303" s="52">
        <v>2581</v>
      </c>
      <c r="B3303" s="26" t="s">
        <v>10871</v>
      </c>
      <c r="C3303" s="66" t="s">
        <v>10872</v>
      </c>
      <c r="D3303" s="66"/>
      <c r="E3303" s="66"/>
      <c r="F3303" s="66"/>
      <c r="G3303" s="27" t="s">
        <v>10873</v>
      </c>
      <c r="H3303" s="33">
        <v>486</v>
      </c>
      <c r="I3303" s="29"/>
      <c r="J3303" s="25">
        <v>1</v>
      </c>
      <c r="K3303" s="30">
        <v>629.23</v>
      </c>
      <c r="L3303" s="17"/>
      <c r="M3303" s="29">
        <f t="shared" ref="M3303:M3309" si="157">K3303*L3303</f>
        <v>0</v>
      </c>
      <c r="N3303" s="31">
        <f>0.643*L3303</f>
        <v>0</v>
      </c>
      <c r="O3303" s="32">
        <f>0.00668*L3303</f>
        <v>0</v>
      </c>
      <c r="P3303" s="36"/>
      <c r="Q3303" s="29" t="s">
        <v>10874</v>
      </c>
      <c r="R3303" s="29"/>
      <c r="S3303" s="26" t="str">
        <f>HYPERLINK("https://miland.ru/api/getInfo/image/5ae3e063-1c25-11f0-a279-00155d82e908")</f>
        <v>https://miland.ru/api/getInfo/image/5ae3e063-1c25-11f0-a279-00155d82e908</v>
      </c>
    </row>
    <row r="3304" spans="1:19" s="2" customFormat="1" ht="96.2" customHeight="1" outlineLevel="5">
      <c r="A3304" s="52">
        <v>2582</v>
      </c>
      <c r="B3304" s="26" t="s">
        <v>10875</v>
      </c>
      <c r="C3304" s="66" t="s">
        <v>10876</v>
      </c>
      <c r="D3304" s="66"/>
      <c r="E3304" s="66"/>
      <c r="F3304" s="66"/>
      <c r="G3304" s="27" t="s">
        <v>10877</v>
      </c>
      <c r="H3304" s="33">
        <v>2</v>
      </c>
      <c r="I3304" s="29"/>
      <c r="J3304" s="25">
        <v>1</v>
      </c>
      <c r="K3304" s="30">
        <v>499.67</v>
      </c>
      <c r="L3304" s="17"/>
      <c r="M3304" s="29">
        <f t="shared" si="157"/>
        <v>0</v>
      </c>
      <c r="N3304" s="31">
        <f>0.293*L3304</f>
        <v>0</v>
      </c>
      <c r="O3304" s="32">
        <f>0.00191*L3304</f>
        <v>0</v>
      </c>
      <c r="P3304" s="36"/>
      <c r="Q3304" s="29" t="s">
        <v>10878</v>
      </c>
      <c r="R3304" s="29"/>
      <c r="S3304" s="26" t="str">
        <f>HYPERLINK("https://miland.ru/api/getInfo/image/0e942d73-7338-11ee-a248-00155d82e902")</f>
        <v>https://miland.ru/api/getInfo/image/0e942d73-7338-11ee-a248-00155d82e902</v>
      </c>
    </row>
    <row r="3305" spans="1:19" s="2" customFormat="1" ht="96.2" customHeight="1" outlineLevel="5">
      <c r="A3305" s="52">
        <v>2583</v>
      </c>
      <c r="B3305" s="26" t="s">
        <v>10879</v>
      </c>
      <c r="C3305" s="66" t="s">
        <v>10880</v>
      </c>
      <c r="D3305" s="66"/>
      <c r="E3305" s="66"/>
      <c r="F3305" s="66"/>
      <c r="G3305" s="27" t="s">
        <v>10881</v>
      </c>
      <c r="H3305" s="33">
        <v>312</v>
      </c>
      <c r="I3305" s="29"/>
      <c r="J3305" s="25">
        <v>1</v>
      </c>
      <c r="K3305" s="30">
        <v>549.64</v>
      </c>
      <c r="L3305" s="17"/>
      <c r="M3305" s="29">
        <f t="shared" si="157"/>
        <v>0</v>
      </c>
      <c r="N3305" s="31">
        <f>1.135*L3305</f>
        <v>0</v>
      </c>
      <c r="O3305" s="35">
        <f>0.0049*L3305</f>
        <v>0</v>
      </c>
      <c r="P3305" s="36"/>
      <c r="Q3305" s="29" t="s">
        <v>10882</v>
      </c>
      <c r="R3305" s="29"/>
      <c r="S3305" s="26" t="str">
        <f>HYPERLINK("https://miland.ru/api/getInfo/image/557ca529-6309-11f0-a282-00155d82e908")</f>
        <v>https://miland.ru/api/getInfo/image/557ca529-6309-11f0-a282-00155d82e908</v>
      </c>
    </row>
    <row r="3306" spans="1:19" s="2" customFormat="1" ht="96.2" customHeight="1" outlineLevel="5">
      <c r="A3306" s="52">
        <v>2584</v>
      </c>
      <c r="B3306" s="26" t="s">
        <v>10883</v>
      </c>
      <c r="C3306" s="66" t="s">
        <v>10884</v>
      </c>
      <c r="D3306" s="66"/>
      <c r="E3306" s="66"/>
      <c r="F3306" s="66"/>
      <c r="G3306" s="27" t="s">
        <v>10885</v>
      </c>
      <c r="H3306" s="28" t="s">
        <v>44</v>
      </c>
      <c r="I3306" s="29"/>
      <c r="J3306" s="25">
        <v>1</v>
      </c>
      <c r="K3306" s="37">
        <v>1531.02</v>
      </c>
      <c r="L3306" s="17"/>
      <c r="M3306" s="29">
        <f t="shared" si="157"/>
        <v>0</v>
      </c>
      <c r="N3306" s="31">
        <f>0.459*L3306</f>
        <v>0</v>
      </c>
      <c r="O3306" s="32">
        <f>0.00615*L3306</f>
        <v>0</v>
      </c>
      <c r="P3306" s="36"/>
      <c r="Q3306" s="29" t="s">
        <v>10886</v>
      </c>
      <c r="R3306" s="29"/>
      <c r="S3306" s="26" t="str">
        <f>HYPERLINK("https://miland.ru/api/getInfo/image/8c0581ce-27f9-11ef-a25f-00155d82e908")</f>
        <v>https://miland.ru/api/getInfo/image/8c0581ce-27f9-11ef-a25f-00155d82e908</v>
      </c>
    </row>
    <row r="3307" spans="1:19" s="2" customFormat="1" ht="96.2" customHeight="1" outlineLevel="5">
      <c r="A3307" s="52">
        <v>2585</v>
      </c>
      <c r="B3307" s="26" t="s">
        <v>10887</v>
      </c>
      <c r="C3307" s="66" t="s">
        <v>10888</v>
      </c>
      <c r="D3307" s="66"/>
      <c r="E3307" s="66"/>
      <c r="F3307" s="66"/>
      <c r="G3307" s="27" t="s">
        <v>10889</v>
      </c>
      <c r="H3307" s="28" t="s">
        <v>44</v>
      </c>
      <c r="I3307" s="29"/>
      <c r="J3307" s="25">
        <v>1</v>
      </c>
      <c r="K3307" s="37">
        <v>1546.44</v>
      </c>
      <c r="L3307" s="17"/>
      <c r="M3307" s="29">
        <f t="shared" si="157"/>
        <v>0</v>
      </c>
      <c r="N3307" s="31">
        <f>0.537*L3307</f>
        <v>0</v>
      </c>
      <c r="O3307" s="32">
        <f>0.00768*L3307</f>
        <v>0</v>
      </c>
      <c r="P3307" s="36"/>
      <c r="Q3307" s="29" t="s">
        <v>10890</v>
      </c>
      <c r="R3307" s="29"/>
      <c r="S3307" s="26" t="str">
        <f>HYPERLINK("https://miland.ru/api/getInfo/image/a4995f95-27f9-11ef-a25f-00155d82e908")</f>
        <v>https://miland.ru/api/getInfo/image/a4995f95-27f9-11ef-a25f-00155d82e908</v>
      </c>
    </row>
    <row r="3308" spans="1:19" s="2" customFormat="1" ht="96.2" customHeight="1" outlineLevel="5">
      <c r="A3308" s="52">
        <v>2586</v>
      </c>
      <c r="B3308" s="26" t="s">
        <v>10891</v>
      </c>
      <c r="C3308" s="66" t="s">
        <v>10892</v>
      </c>
      <c r="D3308" s="66"/>
      <c r="E3308" s="66"/>
      <c r="F3308" s="66"/>
      <c r="G3308" s="27" t="s">
        <v>10893</v>
      </c>
      <c r="H3308" s="33">
        <v>324</v>
      </c>
      <c r="I3308" s="29"/>
      <c r="J3308" s="25">
        <v>1</v>
      </c>
      <c r="K3308" s="37">
        <v>1505.34</v>
      </c>
      <c r="L3308" s="17"/>
      <c r="M3308" s="29">
        <f t="shared" si="157"/>
        <v>0</v>
      </c>
      <c r="N3308" s="31">
        <f>0.356*L3308</f>
        <v>0</v>
      </c>
      <c r="O3308" s="32">
        <f>0.00405*L3308</f>
        <v>0</v>
      </c>
      <c r="P3308" s="36"/>
      <c r="Q3308" s="29" t="s">
        <v>10894</v>
      </c>
      <c r="R3308" s="29"/>
      <c r="S3308" s="26" t="str">
        <f>HYPERLINK("https://miland.ru/api/getInfo/image/64ef1486-27f9-11ef-a25f-00155d82e908")</f>
        <v>https://miland.ru/api/getInfo/image/64ef1486-27f9-11ef-a25f-00155d82e908</v>
      </c>
    </row>
    <row r="3309" spans="1:19" s="2" customFormat="1" ht="96.2" customHeight="1" outlineLevel="5">
      <c r="A3309" s="52">
        <v>2587</v>
      </c>
      <c r="B3309" s="26" t="s">
        <v>10895</v>
      </c>
      <c r="C3309" s="66" t="s">
        <v>10896</v>
      </c>
      <c r="D3309" s="66"/>
      <c r="E3309" s="66"/>
      <c r="F3309" s="66"/>
      <c r="G3309" s="27" t="s">
        <v>10897</v>
      </c>
      <c r="H3309" s="33">
        <v>9</v>
      </c>
      <c r="I3309" s="29"/>
      <c r="J3309" s="25">
        <v>1</v>
      </c>
      <c r="K3309" s="37">
        <v>1335.79</v>
      </c>
      <c r="L3309" s="17"/>
      <c r="M3309" s="29">
        <f t="shared" si="157"/>
        <v>0</v>
      </c>
      <c r="N3309" s="31">
        <f>0.425*L3309</f>
        <v>0</v>
      </c>
      <c r="O3309" s="32">
        <f>0.00317*L3309</f>
        <v>0</v>
      </c>
      <c r="P3309" s="36"/>
      <c r="Q3309" s="29" t="s">
        <v>10898</v>
      </c>
      <c r="R3309" s="29" t="s">
        <v>611</v>
      </c>
      <c r="S3309" s="26" t="str">
        <f>HYPERLINK("https://miland.ru/api/getInfo/image/944b29e8-27fa-11ef-a25f-00155d82e908")</f>
        <v>https://miland.ru/api/getInfo/image/944b29e8-27fa-11ef-a25f-00155d82e908</v>
      </c>
    </row>
    <row r="3310" spans="1:19" s="1" customFormat="1" ht="12" customHeight="1" outlineLevel="4">
      <c r="A3310" s="64" t="s">
        <v>10899</v>
      </c>
      <c r="B3310" s="64"/>
      <c r="C3310" s="64"/>
      <c r="D3310" s="64"/>
      <c r="E3310" s="64"/>
      <c r="F3310" s="64"/>
      <c r="G3310" s="8"/>
      <c r="H3310" s="12"/>
      <c r="I3310" s="2"/>
      <c r="J3310" s="2"/>
      <c r="K3310" s="13"/>
      <c r="L3310" s="2"/>
      <c r="M3310" s="2"/>
      <c r="N3310" s="2"/>
      <c r="O3310" s="2"/>
      <c r="P3310" s="2"/>
      <c r="Q3310" s="2"/>
      <c r="R3310" s="2"/>
      <c r="S3310" s="2"/>
    </row>
    <row r="3311" spans="1:19" s="2" customFormat="1" ht="96.2" customHeight="1" outlineLevel="5">
      <c r="A3311" s="52">
        <v>2588</v>
      </c>
      <c r="B3311" s="26" t="s">
        <v>10900</v>
      </c>
      <c r="C3311" s="66" t="s">
        <v>10901</v>
      </c>
      <c r="D3311" s="66"/>
      <c r="E3311" s="66"/>
      <c r="F3311" s="66"/>
      <c r="G3311" s="27" t="s">
        <v>10902</v>
      </c>
      <c r="H3311" s="33">
        <v>2</v>
      </c>
      <c r="I3311" s="29"/>
      <c r="J3311" s="25">
        <v>1</v>
      </c>
      <c r="K3311" s="37">
        <v>1854.82</v>
      </c>
      <c r="L3311" s="17"/>
      <c r="M3311" s="29">
        <f t="shared" ref="M3311:M3318" si="158">K3311*L3311</f>
        <v>0</v>
      </c>
      <c r="N3311" s="31">
        <f>3.098*L3311</f>
        <v>0</v>
      </c>
      <c r="O3311" s="32">
        <f>0.00839*L3311</f>
        <v>0</v>
      </c>
      <c r="P3311" s="36"/>
      <c r="Q3311" s="29" t="s">
        <v>10903</v>
      </c>
      <c r="R3311" s="29"/>
      <c r="S3311" s="26" t="str">
        <f>HYPERLINK("https://miland.ru/api/getInfo/image/5dc2e6a0-1c1e-11f0-a279-00155d82e908")</f>
        <v>https://miland.ru/api/getInfo/image/5dc2e6a0-1c1e-11f0-a279-00155d82e908</v>
      </c>
    </row>
    <row r="3312" spans="1:19" s="2" customFormat="1" ht="96.2" customHeight="1" outlineLevel="5">
      <c r="A3312" s="52">
        <v>2589</v>
      </c>
      <c r="B3312" s="26" t="s">
        <v>10904</v>
      </c>
      <c r="C3312" s="66" t="s">
        <v>10905</v>
      </c>
      <c r="D3312" s="66"/>
      <c r="E3312" s="66"/>
      <c r="F3312" s="66"/>
      <c r="G3312" s="27" t="s">
        <v>10906</v>
      </c>
      <c r="H3312" s="33">
        <v>45</v>
      </c>
      <c r="I3312" s="29"/>
      <c r="J3312" s="25">
        <v>1</v>
      </c>
      <c r="K3312" s="37">
        <v>1854.82</v>
      </c>
      <c r="L3312" s="17"/>
      <c r="M3312" s="29">
        <f t="shared" si="158"/>
        <v>0</v>
      </c>
      <c r="N3312" s="31">
        <f>3.108*L3312</f>
        <v>0</v>
      </c>
      <c r="O3312" s="32">
        <f>0.00853*L3312</f>
        <v>0</v>
      </c>
      <c r="P3312" s="36"/>
      <c r="Q3312" s="29" t="s">
        <v>10907</v>
      </c>
      <c r="R3312" s="29"/>
      <c r="S3312" s="26" t="str">
        <f>HYPERLINK("https://miland.ru/api/getInfo/image/b230b3f2-1c1d-11f0-a279-00155d82e908")</f>
        <v>https://miland.ru/api/getInfo/image/b230b3f2-1c1d-11f0-a279-00155d82e908</v>
      </c>
    </row>
    <row r="3313" spans="1:19" s="2" customFormat="1" ht="96.2" customHeight="1" outlineLevel="5">
      <c r="A3313" s="52">
        <v>2590</v>
      </c>
      <c r="B3313" s="26" t="s">
        <v>10908</v>
      </c>
      <c r="C3313" s="66" t="s">
        <v>10909</v>
      </c>
      <c r="D3313" s="66"/>
      <c r="E3313" s="66"/>
      <c r="F3313" s="66"/>
      <c r="G3313" s="27" t="s">
        <v>10910</v>
      </c>
      <c r="H3313" s="28" t="s">
        <v>44</v>
      </c>
      <c r="I3313" s="29"/>
      <c r="J3313" s="25">
        <v>1</v>
      </c>
      <c r="K3313" s="37">
        <v>1854.82</v>
      </c>
      <c r="L3313" s="17"/>
      <c r="M3313" s="29">
        <f t="shared" si="158"/>
        <v>0</v>
      </c>
      <c r="N3313" s="31">
        <f>3.023*L3313</f>
        <v>0</v>
      </c>
      <c r="O3313" s="32">
        <f>0.00793*L3313</f>
        <v>0</v>
      </c>
      <c r="P3313" s="36"/>
      <c r="Q3313" s="29" t="s">
        <v>10911</v>
      </c>
      <c r="R3313" s="29"/>
      <c r="S3313" s="26" t="str">
        <f>HYPERLINK("https://miland.ru/api/getInfo/image/035f8eb2-1c1e-11f0-a279-00155d82e908")</f>
        <v>https://miland.ru/api/getInfo/image/035f8eb2-1c1e-11f0-a279-00155d82e908</v>
      </c>
    </row>
    <row r="3314" spans="1:19" s="2" customFormat="1" ht="96.2" customHeight="1" outlineLevel="5">
      <c r="A3314" s="53">
        <v>2591</v>
      </c>
      <c r="B3314" s="10" t="s">
        <v>10912</v>
      </c>
      <c r="C3314" s="65" t="s">
        <v>10913</v>
      </c>
      <c r="D3314" s="65"/>
      <c r="E3314" s="65"/>
      <c r="F3314" s="65"/>
      <c r="G3314" s="11" t="s">
        <v>10914</v>
      </c>
      <c r="H3314" s="21" t="s">
        <v>44</v>
      </c>
      <c r="I3314" s="15"/>
      <c r="J3314" s="9">
        <v>1</v>
      </c>
      <c r="K3314" s="22">
        <v>1473.16</v>
      </c>
      <c r="L3314" s="17"/>
      <c r="M3314" s="15">
        <f t="shared" si="158"/>
        <v>0</v>
      </c>
      <c r="N3314" s="18">
        <f>1.344*L3314</f>
        <v>0</v>
      </c>
      <c r="O3314" s="19">
        <f>0.00417*L3314</f>
        <v>0</v>
      </c>
      <c r="P3314" s="24" t="s">
        <v>26</v>
      </c>
      <c r="Q3314" s="15" t="s">
        <v>10915</v>
      </c>
      <c r="R3314" s="15"/>
      <c r="S3314" s="10" t="str">
        <f>HYPERLINK("https://miland.ru/api/getInfo/image/fdaf03a3-b6f1-11f0-a287-00155d82e908")</f>
        <v>https://miland.ru/api/getInfo/image/fdaf03a3-b6f1-11f0-a287-00155d82e908</v>
      </c>
    </row>
    <row r="3315" spans="1:19" s="2" customFormat="1" ht="96.2" customHeight="1" outlineLevel="5">
      <c r="A3315" s="53">
        <v>2592</v>
      </c>
      <c r="B3315" s="10" t="s">
        <v>10916</v>
      </c>
      <c r="C3315" s="65" t="s">
        <v>10917</v>
      </c>
      <c r="D3315" s="65"/>
      <c r="E3315" s="65"/>
      <c r="F3315" s="65"/>
      <c r="G3315" s="11" t="s">
        <v>10918</v>
      </c>
      <c r="H3315" s="21" t="s">
        <v>44</v>
      </c>
      <c r="I3315" s="15"/>
      <c r="J3315" s="9">
        <v>1</v>
      </c>
      <c r="K3315" s="22">
        <v>1473.16</v>
      </c>
      <c r="L3315" s="17"/>
      <c r="M3315" s="15">
        <f t="shared" si="158"/>
        <v>0</v>
      </c>
      <c r="N3315" s="18">
        <f>1.359*L3315</f>
        <v>0</v>
      </c>
      <c r="O3315" s="19">
        <f>0.00417*L3315</f>
        <v>0</v>
      </c>
      <c r="P3315" s="24" t="s">
        <v>26</v>
      </c>
      <c r="Q3315" s="15" t="s">
        <v>10919</v>
      </c>
      <c r="R3315" s="15"/>
      <c r="S3315" s="10" t="str">
        <f>HYPERLINK("https://miland.ru/api/getInfo/image/8cef86cc-b6f1-11f0-a287-00155d82e908")</f>
        <v>https://miland.ru/api/getInfo/image/8cef86cc-b6f1-11f0-a287-00155d82e908</v>
      </c>
    </row>
    <row r="3316" spans="1:19" s="2" customFormat="1" ht="96.2" customHeight="1" outlineLevel="5">
      <c r="A3316" s="52">
        <v>2593</v>
      </c>
      <c r="B3316" s="26" t="s">
        <v>10920</v>
      </c>
      <c r="C3316" s="66" t="s">
        <v>10921</v>
      </c>
      <c r="D3316" s="66"/>
      <c r="E3316" s="66"/>
      <c r="F3316" s="66"/>
      <c r="G3316" s="27" t="s">
        <v>10922</v>
      </c>
      <c r="H3316" s="28" t="s">
        <v>44</v>
      </c>
      <c r="I3316" s="29"/>
      <c r="J3316" s="25">
        <v>1</v>
      </c>
      <c r="K3316" s="37">
        <v>1780.13</v>
      </c>
      <c r="L3316" s="17"/>
      <c r="M3316" s="29">
        <f t="shared" si="158"/>
        <v>0</v>
      </c>
      <c r="N3316" s="31">
        <f>1.141*L3316</f>
        <v>0</v>
      </c>
      <c r="O3316" s="32">
        <f>0.00385*L3316</f>
        <v>0</v>
      </c>
      <c r="P3316" s="36"/>
      <c r="Q3316" s="29" t="s">
        <v>10923</v>
      </c>
      <c r="R3316" s="29"/>
      <c r="S3316" s="26" t="str">
        <f>HYPERLINK("https://miland.ru/api/getInfo/image/cd4dbf8a-1768-11ef-a25d-00155d82e908")</f>
        <v>https://miland.ru/api/getInfo/image/cd4dbf8a-1768-11ef-a25d-00155d82e908</v>
      </c>
    </row>
    <row r="3317" spans="1:19" s="2" customFormat="1" ht="96.2" customHeight="1" outlineLevel="5">
      <c r="A3317" s="52">
        <v>2594</v>
      </c>
      <c r="B3317" s="26" t="s">
        <v>10924</v>
      </c>
      <c r="C3317" s="66" t="s">
        <v>10925</v>
      </c>
      <c r="D3317" s="66"/>
      <c r="E3317" s="66"/>
      <c r="F3317" s="66"/>
      <c r="G3317" s="27" t="s">
        <v>10926</v>
      </c>
      <c r="H3317" s="33">
        <v>2</v>
      </c>
      <c r="I3317" s="29"/>
      <c r="J3317" s="25">
        <v>1</v>
      </c>
      <c r="K3317" s="37">
        <v>1011.2</v>
      </c>
      <c r="L3317" s="17"/>
      <c r="M3317" s="29">
        <f t="shared" si="158"/>
        <v>0</v>
      </c>
      <c r="N3317" s="31">
        <f>0.676*L3317</f>
        <v>0</v>
      </c>
      <c r="O3317" s="32">
        <f>0.00598*L3317</f>
        <v>0</v>
      </c>
      <c r="P3317" s="36"/>
      <c r="Q3317" s="29" t="s">
        <v>10927</v>
      </c>
      <c r="R3317" s="29"/>
      <c r="S3317" s="26" t="str">
        <f>HYPERLINK("https://miland.ru/api/getInfo/image/86ea900a-7338-11ee-a248-00155d82e902")</f>
        <v>https://miland.ru/api/getInfo/image/86ea900a-7338-11ee-a248-00155d82e902</v>
      </c>
    </row>
    <row r="3318" spans="1:19" s="2" customFormat="1" ht="96.2" customHeight="1" outlineLevel="5">
      <c r="A3318" s="52">
        <v>2595</v>
      </c>
      <c r="B3318" s="26" t="s">
        <v>10928</v>
      </c>
      <c r="C3318" s="66" t="s">
        <v>10929</v>
      </c>
      <c r="D3318" s="66"/>
      <c r="E3318" s="66"/>
      <c r="F3318" s="66"/>
      <c r="G3318" s="27" t="s">
        <v>10930</v>
      </c>
      <c r="H3318" s="33">
        <v>3</v>
      </c>
      <c r="I3318" s="29"/>
      <c r="J3318" s="25">
        <v>1</v>
      </c>
      <c r="K3318" s="37">
        <v>1429.84</v>
      </c>
      <c r="L3318" s="17"/>
      <c r="M3318" s="29">
        <f t="shared" si="158"/>
        <v>0</v>
      </c>
      <c r="N3318" s="31">
        <f>2.013*L3318</f>
        <v>0</v>
      </c>
      <c r="O3318" s="32">
        <f>0.00552*L3318</f>
        <v>0</v>
      </c>
      <c r="P3318" s="36"/>
      <c r="Q3318" s="29" t="s">
        <v>10931</v>
      </c>
      <c r="R3318" s="29"/>
      <c r="S3318" s="26" t="str">
        <f>HYPERLINK("https://miland.ru/api/getInfo/image/39f2747a-7335-11ee-a248-00155d82e902")</f>
        <v>https://miland.ru/api/getInfo/image/39f2747a-7335-11ee-a248-00155d82e902</v>
      </c>
    </row>
    <row r="3319" spans="1:19" s="1" customFormat="1" ht="12" customHeight="1" outlineLevel="4">
      <c r="A3319" s="64" t="s">
        <v>10932</v>
      </c>
      <c r="B3319" s="64"/>
      <c r="C3319" s="64"/>
      <c r="D3319" s="64"/>
      <c r="E3319" s="64"/>
      <c r="F3319" s="64"/>
      <c r="G3319" s="8"/>
      <c r="H3319" s="12"/>
      <c r="I3319" s="2"/>
      <c r="J3319" s="2"/>
      <c r="K3319" s="13"/>
      <c r="L3319" s="2"/>
      <c r="M3319" s="2"/>
      <c r="N3319" s="2"/>
      <c r="O3319" s="2"/>
      <c r="P3319" s="2"/>
      <c r="Q3319" s="2"/>
      <c r="R3319" s="2"/>
      <c r="S3319" s="2"/>
    </row>
    <row r="3320" spans="1:19" s="2" customFormat="1" ht="96.2" customHeight="1" outlineLevel="5">
      <c r="A3320" s="52">
        <v>2596</v>
      </c>
      <c r="B3320" s="26" t="s">
        <v>10933</v>
      </c>
      <c r="C3320" s="66" t="s">
        <v>10934</v>
      </c>
      <c r="D3320" s="66"/>
      <c r="E3320" s="66"/>
      <c r="F3320" s="66"/>
      <c r="G3320" s="27" t="s">
        <v>10935</v>
      </c>
      <c r="H3320" s="33">
        <v>317</v>
      </c>
      <c r="I3320" s="29"/>
      <c r="J3320" s="25">
        <v>1</v>
      </c>
      <c r="K3320" s="30">
        <v>976.16</v>
      </c>
      <c r="L3320" s="17"/>
      <c r="M3320" s="29">
        <f t="shared" ref="M3320:M3326" si="159">K3320*L3320</f>
        <v>0</v>
      </c>
      <c r="N3320" s="34">
        <f>0.24*L3320</f>
        <v>0</v>
      </c>
      <c r="O3320" s="32">
        <f>0.00768*L3320</f>
        <v>0</v>
      </c>
      <c r="P3320" s="36"/>
      <c r="Q3320" s="29" t="s">
        <v>10936</v>
      </c>
      <c r="R3320" s="29"/>
      <c r="S3320" s="26" t="str">
        <f>HYPERLINK("https://miland.ru/api/getInfo/image/73f1f1fe-1763-11ef-a25d-00155d82e908")</f>
        <v>https://miland.ru/api/getInfo/image/73f1f1fe-1763-11ef-a25d-00155d82e908</v>
      </c>
    </row>
    <row r="3321" spans="1:19" s="2" customFormat="1" ht="96.2" customHeight="1" outlineLevel="5">
      <c r="A3321" s="52">
        <v>2597</v>
      </c>
      <c r="B3321" s="26" t="s">
        <v>10937</v>
      </c>
      <c r="C3321" s="66" t="s">
        <v>10938</v>
      </c>
      <c r="D3321" s="66"/>
      <c r="E3321" s="66"/>
      <c r="F3321" s="66"/>
      <c r="G3321" s="27" t="s">
        <v>10939</v>
      </c>
      <c r="H3321" s="28" t="s">
        <v>44</v>
      </c>
      <c r="I3321" s="29"/>
      <c r="J3321" s="25">
        <v>1</v>
      </c>
      <c r="K3321" s="30">
        <v>699.68</v>
      </c>
      <c r="L3321" s="17"/>
      <c r="M3321" s="29">
        <f t="shared" si="159"/>
        <v>0</v>
      </c>
      <c r="N3321" s="31">
        <f>0.233*L3321</f>
        <v>0</v>
      </c>
      <c r="O3321" s="32">
        <f>0.00192*L3321</f>
        <v>0</v>
      </c>
      <c r="P3321" s="36"/>
      <c r="Q3321" s="29" t="s">
        <v>10940</v>
      </c>
      <c r="R3321" s="29"/>
      <c r="S3321" s="26" t="str">
        <f>HYPERLINK("https://miland.ru/api/getInfo/image/901b319c-e1ca-11ee-a25a-00155d82e908")</f>
        <v>https://miland.ru/api/getInfo/image/901b319c-e1ca-11ee-a25a-00155d82e908</v>
      </c>
    </row>
    <row r="3322" spans="1:19" s="2" customFormat="1" ht="96.2" customHeight="1" outlineLevel="5">
      <c r="A3322" s="52">
        <v>2598</v>
      </c>
      <c r="B3322" s="26" t="s">
        <v>10941</v>
      </c>
      <c r="C3322" s="66" t="s">
        <v>10942</v>
      </c>
      <c r="D3322" s="66"/>
      <c r="E3322" s="66"/>
      <c r="F3322" s="66"/>
      <c r="G3322" s="27" t="s">
        <v>10943</v>
      </c>
      <c r="H3322" s="33">
        <v>487</v>
      </c>
      <c r="I3322" s="29"/>
      <c r="J3322" s="25">
        <v>1</v>
      </c>
      <c r="K3322" s="30">
        <v>699.68</v>
      </c>
      <c r="L3322" s="17"/>
      <c r="M3322" s="29">
        <f t="shared" si="159"/>
        <v>0</v>
      </c>
      <c r="N3322" s="31">
        <f>0.227*L3322</f>
        <v>0</v>
      </c>
      <c r="O3322" s="32">
        <f>0.00192*L3322</f>
        <v>0</v>
      </c>
      <c r="P3322" s="36"/>
      <c r="Q3322" s="29" t="s">
        <v>10944</v>
      </c>
      <c r="R3322" s="29" t="s">
        <v>611</v>
      </c>
      <c r="S3322" s="26" t="str">
        <f>HYPERLINK("https://miland.ru/api/getInfo/image/a7c0d45d-e1ca-11ee-a25a-00155d82e908")</f>
        <v>https://miland.ru/api/getInfo/image/a7c0d45d-e1ca-11ee-a25a-00155d82e908</v>
      </c>
    </row>
    <row r="3323" spans="1:19" s="2" customFormat="1" ht="96.2" customHeight="1" outlineLevel="5">
      <c r="A3323" s="52">
        <v>2599</v>
      </c>
      <c r="B3323" s="26" t="s">
        <v>10945</v>
      </c>
      <c r="C3323" s="66" t="s">
        <v>10946</v>
      </c>
      <c r="D3323" s="66"/>
      <c r="E3323" s="66"/>
      <c r="F3323" s="66"/>
      <c r="G3323" s="27" t="s">
        <v>10947</v>
      </c>
      <c r="H3323" s="33">
        <v>1</v>
      </c>
      <c r="I3323" s="29"/>
      <c r="J3323" s="25">
        <v>1</v>
      </c>
      <c r="K3323" s="30">
        <v>895.44</v>
      </c>
      <c r="L3323" s="17"/>
      <c r="M3323" s="29">
        <f t="shared" si="159"/>
        <v>0</v>
      </c>
      <c r="N3323" s="31">
        <f>0.188*L3323</f>
        <v>0</v>
      </c>
      <c r="O3323" s="35">
        <f>0.0017*L3323</f>
        <v>0</v>
      </c>
      <c r="P3323" s="36"/>
      <c r="Q3323" s="29" t="s">
        <v>10948</v>
      </c>
      <c r="R3323" s="29"/>
      <c r="S3323" s="26" t="str">
        <f>HYPERLINK("https://miland.ru/api/getInfo/image/9e30ef5d-54ae-11ef-a262-00155d82e908")</f>
        <v>https://miland.ru/api/getInfo/image/9e30ef5d-54ae-11ef-a262-00155d82e908</v>
      </c>
    </row>
    <row r="3324" spans="1:19" s="2" customFormat="1" ht="96.2" customHeight="1" outlineLevel="5">
      <c r="A3324" s="52">
        <v>2600</v>
      </c>
      <c r="B3324" s="26" t="s">
        <v>10949</v>
      </c>
      <c r="C3324" s="66" t="s">
        <v>10950</v>
      </c>
      <c r="D3324" s="66"/>
      <c r="E3324" s="66"/>
      <c r="F3324" s="66"/>
      <c r="G3324" s="27" t="s">
        <v>10951</v>
      </c>
      <c r="H3324" s="33">
        <v>2</v>
      </c>
      <c r="I3324" s="29"/>
      <c r="J3324" s="25">
        <v>2</v>
      </c>
      <c r="K3324" s="30">
        <v>345.69</v>
      </c>
      <c r="L3324" s="17"/>
      <c r="M3324" s="29">
        <f t="shared" si="159"/>
        <v>0</v>
      </c>
      <c r="N3324" s="34">
        <f>0.17*L3324</f>
        <v>0</v>
      </c>
      <c r="O3324" s="32">
        <f>0.00139*L3324</f>
        <v>0</v>
      </c>
      <c r="P3324" s="36"/>
      <c r="Q3324" s="29" t="s">
        <v>10952</v>
      </c>
      <c r="R3324" s="29"/>
      <c r="S3324" s="26" t="str">
        <f>HYPERLINK("https://miland.ru/api/getInfo/image/4c9b3f18-2180-11ee-a23d-00155d82e902")</f>
        <v>https://miland.ru/api/getInfo/image/4c9b3f18-2180-11ee-a23d-00155d82e902</v>
      </c>
    </row>
    <row r="3325" spans="1:19" s="2" customFormat="1" ht="96.2" customHeight="1" outlineLevel="5">
      <c r="A3325" s="52">
        <v>2601</v>
      </c>
      <c r="B3325" s="26" t="s">
        <v>10953</v>
      </c>
      <c r="C3325" s="66" t="s">
        <v>10954</v>
      </c>
      <c r="D3325" s="66"/>
      <c r="E3325" s="66"/>
      <c r="F3325" s="66"/>
      <c r="G3325" s="27" t="s">
        <v>10955</v>
      </c>
      <c r="H3325" s="33">
        <v>2</v>
      </c>
      <c r="I3325" s="29"/>
      <c r="J3325" s="25">
        <v>2</v>
      </c>
      <c r="K3325" s="30">
        <v>296.31</v>
      </c>
      <c r="L3325" s="17"/>
      <c r="M3325" s="29">
        <f t="shared" si="159"/>
        <v>0</v>
      </c>
      <c r="N3325" s="31">
        <f>0.136*L3325</f>
        <v>0</v>
      </c>
      <c r="O3325" s="32">
        <f>0.00113*L3325</f>
        <v>0</v>
      </c>
      <c r="P3325" s="36"/>
      <c r="Q3325" s="29" t="s">
        <v>10956</v>
      </c>
      <c r="R3325" s="29"/>
      <c r="S3325" s="26" t="str">
        <f>HYPERLINK("https://miland.ru/api/getInfo/image/48cd9f5d-217f-11ee-a23d-00155d82e902")</f>
        <v>https://miland.ru/api/getInfo/image/48cd9f5d-217f-11ee-a23d-00155d82e902</v>
      </c>
    </row>
    <row r="3326" spans="1:19" s="2" customFormat="1" ht="96.2" customHeight="1" outlineLevel="5">
      <c r="A3326" s="52">
        <v>2602</v>
      </c>
      <c r="B3326" s="26" t="s">
        <v>10957</v>
      </c>
      <c r="C3326" s="66" t="s">
        <v>10958</v>
      </c>
      <c r="D3326" s="66"/>
      <c r="E3326" s="66"/>
      <c r="F3326" s="66"/>
      <c r="G3326" s="27" t="s">
        <v>10959</v>
      </c>
      <c r="H3326" s="33">
        <v>2</v>
      </c>
      <c r="I3326" s="29"/>
      <c r="J3326" s="25">
        <v>1</v>
      </c>
      <c r="K3326" s="30">
        <v>503.26</v>
      </c>
      <c r="L3326" s="17"/>
      <c r="M3326" s="29">
        <f t="shared" si="159"/>
        <v>0</v>
      </c>
      <c r="N3326" s="31">
        <f>0.178*L3326</f>
        <v>0</v>
      </c>
      <c r="O3326" s="32">
        <f>0.00129*L3326</f>
        <v>0</v>
      </c>
      <c r="P3326" s="36"/>
      <c r="Q3326" s="29" t="s">
        <v>10960</v>
      </c>
      <c r="R3326" s="29" t="s">
        <v>611</v>
      </c>
      <c r="S3326" s="26" t="str">
        <f>HYPERLINK("https://miland.ru/api/getInfo/image/419fb97b-2182-11ee-a23d-00155d82e902")</f>
        <v>https://miland.ru/api/getInfo/image/419fb97b-2182-11ee-a23d-00155d82e902</v>
      </c>
    </row>
    <row r="3327" spans="1:19" s="1" customFormat="1" ht="12" customHeight="1" outlineLevel="4">
      <c r="A3327" s="64" t="s">
        <v>10961</v>
      </c>
      <c r="B3327" s="64"/>
      <c r="C3327" s="64"/>
      <c r="D3327" s="64"/>
      <c r="E3327" s="64"/>
      <c r="F3327" s="64"/>
      <c r="G3327" s="8"/>
      <c r="H3327" s="12"/>
      <c r="I3327" s="2"/>
      <c r="J3327" s="2"/>
      <c r="K3327" s="13"/>
      <c r="L3327" s="2"/>
      <c r="M3327" s="2"/>
      <c r="N3327" s="2"/>
      <c r="O3327" s="2"/>
      <c r="P3327" s="2"/>
      <c r="Q3327" s="2"/>
      <c r="R3327" s="2"/>
      <c r="S3327" s="2"/>
    </row>
    <row r="3328" spans="1:19" s="2" customFormat="1" ht="96.2" customHeight="1" outlineLevel="5">
      <c r="A3328" s="53">
        <v>2603</v>
      </c>
      <c r="B3328" s="10" t="s">
        <v>10962</v>
      </c>
      <c r="C3328" s="65" t="s">
        <v>10963</v>
      </c>
      <c r="D3328" s="65"/>
      <c r="E3328" s="65"/>
      <c r="F3328" s="65"/>
      <c r="G3328" s="11" t="s">
        <v>10964</v>
      </c>
      <c r="H3328" s="14">
        <v>155</v>
      </c>
      <c r="I3328" s="15"/>
      <c r="J3328" s="9">
        <v>1</v>
      </c>
      <c r="K3328" s="16">
        <v>713.96</v>
      </c>
      <c r="L3328" s="17"/>
      <c r="M3328" s="15">
        <f>K3328*L3328</f>
        <v>0</v>
      </c>
      <c r="N3328" s="18">
        <f>0.484*L3328</f>
        <v>0</v>
      </c>
      <c r="O3328" s="19">
        <f>0.00689*L3328</f>
        <v>0</v>
      </c>
      <c r="P3328" s="24" t="s">
        <v>26</v>
      </c>
      <c r="Q3328" s="15" t="s">
        <v>10965</v>
      </c>
      <c r="R3328" s="15"/>
      <c r="S3328" s="10" t="str">
        <f>HYPERLINK("https://miland.ru/api/getInfo/image/b01aa93b-7bf3-11f0-a284-00155d82e908")</f>
        <v>https://miland.ru/api/getInfo/image/b01aa93b-7bf3-11f0-a284-00155d82e908</v>
      </c>
    </row>
    <row r="3329" spans="1:19" s="2" customFormat="1" ht="96.2" customHeight="1" outlineLevel="5">
      <c r="A3329" s="52">
        <v>2604</v>
      </c>
      <c r="B3329" s="26" t="s">
        <v>10966</v>
      </c>
      <c r="C3329" s="66" t="s">
        <v>10967</v>
      </c>
      <c r="D3329" s="66"/>
      <c r="E3329" s="66"/>
      <c r="F3329" s="66"/>
      <c r="G3329" s="27" t="s">
        <v>10968</v>
      </c>
      <c r="H3329" s="33">
        <v>366</v>
      </c>
      <c r="I3329" s="29"/>
      <c r="J3329" s="25">
        <v>1</v>
      </c>
      <c r="K3329" s="30">
        <v>904.28</v>
      </c>
      <c r="L3329" s="17"/>
      <c r="M3329" s="29">
        <f>K3329*L3329</f>
        <v>0</v>
      </c>
      <c r="N3329" s="31">
        <f>0.559*L3329</f>
        <v>0</v>
      </c>
      <c r="O3329" s="32">
        <f>0.00591*L3329</f>
        <v>0</v>
      </c>
      <c r="P3329" s="36"/>
      <c r="Q3329" s="29" t="s">
        <v>10969</v>
      </c>
      <c r="R3329" s="29"/>
      <c r="S3329" s="26" t="str">
        <f>HYPERLINK("https://miland.ru/api/getInfo/image/d3318e19-1c23-11f0-a279-00155d82e908")</f>
        <v>https://miland.ru/api/getInfo/image/d3318e19-1c23-11f0-a279-00155d82e908</v>
      </c>
    </row>
    <row r="3330" spans="1:19" s="2" customFormat="1" ht="96.2" customHeight="1" outlineLevel="5">
      <c r="A3330" s="52">
        <v>2605</v>
      </c>
      <c r="B3330" s="26" t="s">
        <v>10970</v>
      </c>
      <c r="C3330" s="66" t="s">
        <v>10971</v>
      </c>
      <c r="D3330" s="66"/>
      <c r="E3330" s="66"/>
      <c r="F3330" s="66"/>
      <c r="G3330" s="27" t="s">
        <v>10972</v>
      </c>
      <c r="H3330" s="33">
        <v>41</v>
      </c>
      <c r="I3330" s="29"/>
      <c r="J3330" s="25">
        <v>1</v>
      </c>
      <c r="K3330" s="30">
        <v>828.92</v>
      </c>
      <c r="L3330" s="17"/>
      <c r="M3330" s="29">
        <f>K3330*L3330</f>
        <v>0</v>
      </c>
      <c r="N3330" s="31">
        <f>0.588*L3330</f>
        <v>0</v>
      </c>
      <c r="O3330" s="32">
        <f>0.00496*L3330</f>
        <v>0</v>
      </c>
      <c r="P3330" s="36"/>
      <c r="Q3330" s="29" t="s">
        <v>10973</v>
      </c>
      <c r="R3330" s="29"/>
      <c r="S3330" s="26" t="str">
        <f>HYPERLINK("https://miland.ru/api/getInfo/image/79b7ad21-1c24-11f0-a279-00155d82e908")</f>
        <v>https://miland.ru/api/getInfo/image/79b7ad21-1c24-11f0-a279-00155d82e908</v>
      </c>
    </row>
    <row r="3331" spans="1:19" s="1" customFormat="1" ht="12" customHeight="1" outlineLevel="4">
      <c r="A3331" s="64" t="s">
        <v>10974</v>
      </c>
      <c r="B3331" s="64"/>
      <c r="C3331" s="64"/>
      <c r="D3331" s="64"/>
      <c r="E3331" s="64"/>
      <c r="F3331" s="64"/>
      <c r="G3331" s="8"/>
      <c r="H3331" s="12"/>
      <c r="I3331" s="2"/>
      <c r="J3331" s="2"/>
      <c r="K3331" s="13"/>
      <c r="L3331" s="2"/>
      <c r="M3331" s="2"/>
      <c r="N3331" s="2"/>
      <c r="O3331" s="2"/>
      <c r="P3331" s="2"/>
      <c r="Q3331" s="2"/>
      <c r="R3331" s="2"/>
      <c r="S3331" s="2"/>
    </row>
    <row r="3332" spans="1:19" s="1" customFormat="1" ht="12" customHeight="1" outlineLevel="5">
      <c r="A3332" s="64" t="s">
        <v>10975</v>
      </c>
      <c r="B3332" s="64"/>
      <c r="C3332" s="64"/>
      <c r="D3332" s="64"/>
      <c r="E3332" s="64"/>
      <c r="F3332" s="64"/>
      <c r="G3332" s="8"/>
      <c r="H3332" s="12"/>
      <c r="I3332" s="2"/>
      <c r="J3332" s="2"/>
      <c r="K3332" s="13"/>
      <c r="L3332" s="2"/>
      <c r="M3332" s="2"/>
      <c r="N3332" s="2"/>
      <c r="O3332" s="2"/>
      <c r="P3332" s="2"/>
      <c r="Q3332" s="2"/>
      <c r="R3332" s="2"/>
      <c r="S3332" s="2"/>
    </row>
    <row r="3333" spans="1:19" s="1" customFormat="1" ht="12" customHeight="1" outlineLevel="6">
      <c r="A3333" s="64" t="s">
        <v>10976</v>
      </c>
      <c r="B3333" s="64"/>
      <c r="C3333" s="64"/>
      <c r="D3333" s="64"/>
      <c r="E3333" s="64"/>
      <c r="F3333" s="64"/>
      <c r="G3333" s="8"/>
      <c r="H3333" s="12"/>
      <c r="I3333" s="2"/>
      <c r="J3333" s="2"/>
      <c r="K3333" s="13"/>
      <c r="L3333" s="2"/>
      <c r="M3333" s="2"/>
      <c r="N3333" s="2"/>
      <c r="O3333" s="2"/>
      <c r="P3333" s="2"/>
      <c r="Q3333" s="2"/>
      <c r="R3333" s="2"/>
      <c r="S3333" s="2"/>
    </row>
    <row r="3334" spans="1:19" s="2" customFormat="1" ht="96.2" customHeight="1" outlineLevel="7">
      <c r="A3334" s="53">
        <v>2606</v>
      </c>
      <c r="B3334" s="10" t="s">
        <v>10977</v>
      </c>
      <c r="C3334" s="65" t="s">
        <v>10978</v>
      </c>
      <c r="D3334" s="65"/>
      <c r="E3334" s="65"/>
      <c r="F3334" s="65"/>
      <c r="G3334" s="11" t="s">
        <v>10979</v>
      </c>
      <c r="H3334" s="21" t="s">
        <v>44</v>
      </c>
      <c r="I3334" s="15"/>
      <c r="J3334" s="9">
        <v>1</v>
      </c>
      <c r="K3334" s="16">
        <v>569.74</v>
      </c>
      <c r="L3334" s="17"/>
      <c r="M3334" s="15">
        <f>K3334*L3334</f>
        <v>0</v>
      </c>
      <c r="N3334" s="18">
        <f>0.369*L3334</f>
        <v>0</v>
      </c>
      <c r="O3334" s="19">
        <f>0.00147*L3334</f>
        <v>0</v>
      </c>
      <c r="P3334" s="24" t="s">
        <v>26</v>
      </c>
      <c r="Q3334" s="15" t="s">
        <v>10980</v>
      </c>
      <c r="R3334" s="15"/>
      <c r="S3334" s="10" t="str">
        <f>HYPERLINK("https://miland.ru/api/getInfo/image/b2fcb97d-280e-11f1-a291-00155d82e908")</f>
        <v>https://miland.ru/api/getInfo/image/b2fcb97d-280e-11f1-a291-00155d82e908</v>
      </c>
    </row>
    <row r="3335" spans="1:19" s="2" customFormat="1" ht="96.2" customHeight="1" outlineLevel="7">
      <c r="A3335" s="53">
        <v>2607</v>
      </c>
      <c r="B3335" s="10" t="s">
        <v>10981</v>
      </c>
      <c r="C3335" s="65" t="s">
        <v>10982</v>
      </c>
      <c r="D3335" s="65"/>
      <c r="E3335" s="65"/>
      <c r="F3335" s="65"/>
      <c r="G3335" s="11" t="s">
        <v>10983</v>
      </c>
      <c r="H3335" s="21" t="s">
        <v>44</v>
      </c>
      <c r="I3335" s="15"/>
      <c r="J3335" s="9">
        <v>1</v>
      </c>
      <c r="K3335" s="16">
        <v>569.74</v>
      </c>
      <c r="L3335" s="17"/>
      <c r="M3335" s="15">
        <f>K3335*L3335</f>
        <v>0</v>
      </c>
      <c r="N3335" s="23">
        <f>0.39*L3335</f>
        <v>0</v>
      </c>
      <c r="O3335" s="20">
        <f>0.0015*L3335</f>
        <v>0</v>
      </c>
      <c r="P3335" s="24" t="s">
        <v>26</v>
      </c>
      <c r="Q3335" s="15" t="s">
        <v>10984</v>
      </c>
      <c r="R3335" s="15"/>
      <c r="S3335" s="10" t="str">
        <f>HYPERLINK("https://miland.ru/api/getInfo/image/2156d8bc-280f-11f1-a291-00155d82e908")</f>
        <v>https://miland.ru/api/getInfo/image/2156d8bc-280f-11f1-a291-00155d82e908</v>
      </c>
    </row>
    <row r="3336" spans="1:19" s="2" customFormat="1" ht="96.2" customHeight="1" outlineLevel="7">
      <c r="A3336" s="53">
        <v>2608</v>
      </c>
      <c r="B3336" s="10" t="s">
        <v>10985</v>
      </c>
      <c r="C3336" s="65" t="s">
        <v>10986</v>
      </c>
      <c r="D3336" s="65"/>
      <c r="E3336" s="65"/>
      <c r="F3336" s="65"/>
      <c r="G3336" s="11" t="s">
        <v>10987</v>
      </c>
      <c r="H3336" s="21" t="s">
        <v>44</v>
      </c>
      <c r="I3336" s="15"/>
      <c r="J3336" s="9">
        <v>1</v>
      </c>
      <c r="K3336" s="16">
        <v>569.74</v>
      </c>
      <c r="L3336" s="17"/>
      <c r="M3336" s="15">
        <f>K3336*L3336</f>
        <v>0</v>
      </c>
      <c r="N3336" s="23">
        <f>0.36*L3336</f>
        <v>0</v>
      </c>
      <c r="O3336" s="19">
        <f>0.00146*L3336</f>
        <v>0</v>
      </c>
      <c r="P3336" s="24" t="s">
        <v>26</v>
      </c>
      <c r="Q3336" s="15" t="s">
        <v>10988</v>
      </c>
      <c r="R3336" s="15"/>
      <c r="S3336" s="10" t="str">
        <f>HYPERLINK("https://miland.ru/api/getInfo/image/3508a8fd-280f-11f1-a291-00155d82e908")</f>
        <v>https://miland.ru/api/getInfo/image/3508a8fd-280f-11f1-a291-00155d82e908</v>
      </c>
    </row>
    <row r="3337" spans="1:19" s="2" customFormat="1" ht="96.2" customHeight="1" outlineLevel="7">
      <c r="A3337" s="53">
        <v>2609</v>
      </c>
      <c r="B3337" s="10" t="s">
        <v>10989</v>
      </c>
      <c r="C3337" s="65" t="s">
        <v>10990</v>
      </c>
      <c r="D3337" s="65"/>
      <c r="E3337" s="65"/>
      <c r="F3337" s="65"/>
      <c r="G3337" s="11" t="s">
        <v>10991</v>
      </c>
      <c r="H3337" s="21" t="s">
        <v>44</v>
      </c>
      <c r="I3337" s="15"/>
      <c r="J3337" s="9">
        <v>1</v>
      </c>
      <c r="K3337" s="16">
        <v>569.74</v>
      </c>
      <c r="L3337" s="17"/>
      <c r="M3337" s="15">
        <f>K3337*L3337</f>
        <v>0</v>
      </c>
      <c r="N3337" s="18">
        <f>0.402*L3337</f>
        <v>0</v>
      </c>
      <c r="O3337" s="19">
        <f>0.00141*L3337</f>
        <v>0</v>
      </c>
      <c r="P3337" s="24" t="s">
        <v>26</v>
      </c>
      <c r="Q3337" s="15" t="s">
        <v>10992</v>
      </c>
      <c r="R3337" s="15"/>
      <c r="S3337" s="10" t="str">
        <f>HYPERLINK("https://miland.ru/api/getInfo/image/6684a798-280f-11f1-a291-00155d82e908")</f>
        <v>https://miland.ru/api/getInfo/image/6684a798-280f-11f1-a291-00155d82e908</v>
      </c>
    </row>
    <row r="3338" spans="1:19" s="1" customFormat="1" ht="12" customHeight="1" outlineLevel="6">
      <c r="A3338" s="64" t="s">
        <v>10993</v>
      </c>
      <c r="B3338" s="64"/>
      <c r="C3338" s="64"/>
      <c r="D3338" s="64"/>
      <c r="E3338" s="64"/>
      <c r="F3338" s="64"/>
      <c r="G3338" s="8"/>
      <c r="H3338" s="12"/>
      <c r="I3338" s="2"/>
      <c r="J3338" s="2"/>
      <c r="K3338" s="13"/>
      <c r="L3338" s="2"/>
      <c r="M3338" s="2"/>
      <c r="N3338" s="2"/>
      <c r="O3338" s="2"/>
      <c r="P3338" s="2"/>
      <c r="Q3338" s="2"/>
      <c r="R3338" s="2"/>
      <c r="S3338" s="2"/>
    </row>
    <row r="3339" spans="1:19" s="2" customFormat="1" ht="96.2" customHeight="1" outlineLevel="7">
      <c r="A3339" s="53">
        <v>2610</v>
      </c>
      <c r="B3339" s="10" t="s">
        <v>10994</v>
      </c>
      <c r="C3339" s="65" t="s">
        <v>10995</v>
      </c>
      <c r="D3339" s="65"/>
      <c r="E3339" s="65"/>
      <c r="F3339" s="65"/>
      <c r="G3339" s="11" t="s">
        <v>10996</v>
      </c>
      <c r="H3339" s="21" t="s">
        <v>44</v>
      </c>
      <c r="I3339" s="15"/>
      <c r="J3339" s="9">
        <v>1</v>
      </c>
      <c r="K3339" s="16">
        <v>578.12</v>
      </c>
      <c r="L3339" s="17"/>
      <c r="M3339" s="15">
        <f>K3339*L3339</f>
        <v>0</v>
      </c>
      <c r="N3339" s="18">
        <f>0.495*L3339</f>
        <v>0</v>
      </c>
      <c r="O3339" s="19">
        <f>0.00196*L3339</f>
        <v>0</v>
      </c>
      <c r="P3339" s="24" t="s">
        <v>26</v>
      </c>
      <c r="Q3339" s="15" t="s">
        <v>10997</v>
      </c>
      <c r="R3339" s="15"/>
      <c r="S3339" s="10" t="str">
        <f>HYPERLINK("https://miland.ru/api/getInfo/image/7b0a417e-280f-11f1-a291-00155d82e908")</f>
        <v>https://miland.ru/api/getInfo/image/7b0a417e-280f-11f1-a291-00155d82e908</v>
      </c>
    </row>
    <row r="3340" spans="1:19" s="2" customFormat="1" ht="96.2" customHeight="1" outlineLevel="7">
      <c r="A3340" s="53">
        <v>2611</v>
      </c>
      <c r="B3340" s="10" t="s">
        <v>10998</v>
      </c>
      <c r="C3340" s="65" t="s">
        <v>10999</v>
      </c>
      <c r="D3340" s="65"/>
      <c r="E3340" s="65"/>
      <c r="F3340" s="65"/>
      <c r="G3340" s="11" t="s">
        <v>11000</v>
      </c>
      <c r="H3340" s="21" t="s">
        <v>44</v>
      </c>
      <c r="I3340" s="15"/>
      <c r="J3340" s="9">
        <v>1</v>
      </c>
      <c r="K3340" s="16">
        <v>578.12</v>
      </c>
      <c r="L3340" s="17"/>
      <c r="M3340" s="15">
        <f>K3340*L3340</f>
        <v>0</v>
      </c>
      <c r="N3340" s="18">
        <f>0.471*L3340</f>
        <v>0</v>
      </c>
      <c r="O3340" s="19">
        <f>0.00199*L3340</f>
        <v>0</v>
      </c>
      <c r="P3340" s="24" t="s">
        <v>26</v>
      </c>
      <c r="Q3340" s="15" t="s">
        <v>11001</v>
      </c>
      <c r="R3340" s="15"/>
      <c r="S3340" s="10" t="str">
        <f>HYPERLINK("https://miland.ru/api/getInfo/image/90fe3880-280f-11f1-a291-00155d82e908")</f>
        <v>https://miland.ru/api/getInfo/image/90fe3880-280f-11f1-a291-00155d82e908</v>
      </c>
    </row>
    <row r="3341" spans="1:19" s="1" customFormat="1" ht="12" customHeight="1" outlineLevel="6">
      <c r="A3341" s="64" t="s">
        <v>11002</v>
      </c>
      <c r="B3341" s="64"/>
      <c r="C3341" s="64"/>
      <c r="D3341" s="64"/>
      <c r="E3341" s="64"/>
      <c r="F3341" s="64"/>
      <c r="G3341" s="8"/>
      <c r="H3341" s="12"/>
      <c r="I3341" s="2"/>
      <c r="J3341" s="2"/>
      <c r="K3341" s="13"/>
      <c r="L3341" s="2"/>
      <c r="M3341" s="2"/>
      <c r="N3341" s="2"/>
      <c r="O3341" s="2"/>
      <c r="P3341" s="2"/>
      <c r="Q3341" s="2"/>
      <c r="R3341" s="2"/>
      <c r="S3341" s="2"/>
    </row>
    <row r="3342" spans="1:19" s="2" customFormat="1" ht="96.2" customHeight="1" outlineLevel="7">
      <c r="A3342" s="53">
        <v>2612</v>
      </c>
      <c r="B3342" s="10" t="s">
        <v>11003</v>
      </c>
      <c r="C3342" s="65" t="s">
        <v>11004</v>
      </c>
      <c r="D3342" s="65"/>
      <c r="E3342" s="65"/>
      <c r="F3342" s="65"/>
      <c r="G3342" s="11" t="s">
        <v>11005</v>
      </c>
      <c r="H3342" s="21" t="s">
        <v>44</v>
      </c>
      <c r="I3342" s="15"/>
      <c r="J3342" s="9">
        <v>1</v>
      </c>
      <c r="K3342" s="16">
        <v>578.12</v>
      </c>
      <c r="L3342" s="17"/>
      <c r="M3342" s="15">
        <f>K3342*L3342</f>
        <v>0</v>
      </c>
      <c r="N3342" s="18">
        <f>0.509*L3342</f>
        <v>0</v>
      </c>
      <c r="O3342" s="19">
        <f>0.00196*L3342</f>
        <v>0</v>
      </c>
      <c r="P3342" s="24" t="s">
        <v>26</v>
      </c>
      <c r="Q3342" s="15" t="s">
        <v>11006</v>
      </c>
      <c r="R3342" s="15"/>
      <c r="S3342" s="10" t="str">
        <f>HYPERLINK("https://miland.ru/api/getInfo/image/2cdfc4eb-2810-11f1-a291-00155d82e908")</f>
        <v>https://miland.ru/api/getInfo/image/2cdfc4eb-2810-11f1-a291-00155d82e908</v>
      </c>
    </row>
    <row r="3343" spans="1:19" s="2" customFormat="1" ht="96.2" customHeight="1" outlineLevel="7">
      <c r="A3343" s="53">
        <v>2613</v>
      </c>
      <c r="B3343" s="10" t="s">
        <v>11007</v>
      </c>
      <c r="C3343" s="65" t="s">
        <v>11008</v>
      </c>
      <c r="D3343" s="65"/>
      <c r="E3343" s="65"/>
      <c r="F3343" s="65"/>
      <c r="G3343" s="11" t="s">
        <v>11009</v>
      </c>
      <c r="H3343" s="21" t="s">
        <v>44</v>
      </c>
      <c r="I3343" s="15"/>
      <c r="J3343" s="9">
        <v>1</v>
      </c>
      <c r="K3343" s="16">
        <v>590.69000000000005</v>
      </c>
      <c r="L3343" s="17"/>
      <c r="M3343" s="15">
        <f>K3343*L3343</f>
        <v>0</v>
      </c>
      <c r="N3343" s="23">
        <f>0.49*L3343</f>
        <v>0</v>
      </c>
      <c r="O3343" s="19">
        <f>0.00196*L3343</f>
        <v>0</v>
      </c>
      <c r="P3343" s="24" t="s">
        <v>26</v>
      </c>
      <c r="Q3343" s="15" t="s">
        <v>11010</v>
      </c>
      <c r="R3343" s="15"/>
      <c r="S3343" s="10" t="str">
        <f>HYPERLINK("https://miland.ru/api/getInfo/image/17313b41-2810-11f1-a291-00155d82e908")</f>
        <v>https://miland.ru/api/getInfo/image/17313b41-2810-11f1-a291-00155d82e908</v>
      </c>
    </row>
    <row r="3344" spans="1:19" s="2" customFormat="1" ht="96.2" customHeight="1" outlineLevel="7">
      <c r="A3344" s="53">
        <v>2614</v>
      </c>
      <c r="B3344" s="10" t="s">
        <v>11011</v>
      </c>
      <c r="C3344" s="65" t="s">
        <v>11012</v>
      </c>
      <c r="D3344" s="65"/>
      <c r="E3344" s="65"/>
      <c r="F3344" s="65"/>
      <c r="G3344" s="11" t="s">
        <v>11013</v>
      </c>
      <c r="H3344" s="21" t="s">
        <v>44</v>
      </c>
      <c r="I3344" s="15"/>
      <c r="J3344" s="9">
        <v>1</v>
      </c>
      <c r="K3344" s="16">
        <v>578.12</v>
      </c>
      <c r="L3344" s="17"/>
      <c r="M3344" s="15">
        <f>K3344*L3344</f>
        <v>0</v>
      </c>
      <c r="N3344" s="18">
        <f>0.506*L3344</f>
        <v>0</v>
      </c>
      <c r="O3344" s="19">
        <f>0.00185*L3344</f>
        <v>0</v>
      </c>
      <c r="P3344" s="24" t="s">
        <v>26</v>
      </c>
      <c r="Q3344" s="15" t="s">
        <v>11014</v>
      </c>
      <c r="R3344" s="15"/>
      <c r="S3344" s="10" t="str">
        <f>HYPERLINK("https://miland.ru/api/getInfo/image/4219951f-2810-11f1-a291-00155d82e908")</f>
        <v>https://miland.ru/api/getInfo/image/4219951f-2810-11f1-a291-00155d82e908</v>
      </c>
    </row>
    <row r="3345" spans="1:19" s="1" customFormat="1" ht="12" customHeight="1" outlineLevel="6">
      <c r="A3345" s="64" t="s">
        <v>11015</v>
      </c>
      <c r="B3345" s="64"/>
      <c r="C3345" s="64"/>
      <c r="D3345" s="64"/>
      <c r="E3345" s="64"/>
      <c r="F3345" s="64"/>
      <c r="G3345" s="8"/>
      <c r="H3345" s="12"/>
      <c r="I3345" s="2"/>
      <c r="J3345" s="2"/>
      <c r="K3345" s="13"/>
      <c r="L3345" s="2"/>
      <c r="M3345" s="2"/>
      <c r="N3345" s="2"/>
      <c r="O3345" s="2"/>
      <c r="P3345" s="2"/>
      <c r="Q3345" s="2"/>
      <c r="R3345" s="2"/>
      <c r="S3345" s="2"/>
    </row>
    <row r="3346" spans="1:19" s="2" customFormat="1" ht="96.2" customHeight="1" outlineLevel="7">
      <c r="A3346" s="53">
        <v>2615</v>
      </c>
      <c r="B3346" s="10" t="s">
        <v>11016</v>
      </c>
      <c r="C3346" s="65" t="s">
        <v>11017</v>
      </c>
      <c r="D3346" s="65"/>
      <c r="E3346" s="65"/>
      <c r="F3346" s="65"/>
      <c r="G3346" s="11" t="s">
        <v>11018</v>
      </c>
      <c r="H3346" s="21" t="s">
        <v>44</v>
      </c>
      <c r="I3346" s="15"/>
      <c r="J3346" s="9">
        <v>1</v>
      </c>
      <c r="K3346" s="16">
        <v>590.69000000000005</v>
      </c>
      <c r="L3346" s="17"/>
      <c r="M3346" s="15">
        <f>K3346*L3346</f>
        <v>0</v>
      </c>
      <c r="N3346" s="18">
        <f>0.337*L3346</f>
        <v>0</v>
      </c>
      <c r="O3346" s="19">
        <f>0.00141*L3346</f>
        <v>0</v>
      </c>
      <c r="P3346" s="24" t="s">
        <v>26</v>
      </c>
      <c r="Q3346" s="15" t="s">
        <v>11019</v>
      </c>
      <c r="R3346" s="15"/>
      <c r="S3346" s="10" t="str">
        <f>HYPERLINK("https://miland.ru/api/getInfo/image/e7770fcf-280f-11f1-a291-00155d82e908")</f>
        <v>https://miland.ru/api/getInfo/image/e7770fcf-280f-11f1-a291-00155d82e908</v>
      </c>
    </row>
    <row r="3347" spans="1:19" s="2" customFormat="1" ht="96.2" customHeight="1" outlineLevel="7">
      <c r="A3347" s="53">
        <v>2616</v>
      </c>
      <c r="B3347" s="10" t="s">
        <v>11020</v>
      </c>
      <c r="C3347" s="65" t="s">
        <v>11021</v>
      </c>
      <c r="D3347" s="65"/>
      <c r="E3347" s="65"/>
      <c r="F3347" s="65"/>
      <c r="G3347" s="11" t="s">
        <v>11022</v>
      </c>
      <c r="H3347" s="21" t="s">
        <v>44</v>
      </c>
      <c r="I3347" s="15"/>
      <c r="J3347" s="9">
        <v>1</v>
      </c>
      <c r="K3347" s="16">
        <v>590.69000000000005</v>
      </c>
      <c r="L3347" s="17"/>
      <c r="M3347" s="15">
        <f>K3347*L3347</f>
        <v>0</v>
      </c>
      <c r="N3347" s="18">
        <f>0.336*L3347</f>
        <v>0</v>
      </c>
      <c r="O3347" s="20">
        <f>0.0016*L3347</f>
        <v>0</v>
      </c>
      <c r="P3347" s="24" t="s">
        <v>26</v>
      </c>
      <c r="Q3347" s="15" t="s">
        <v>11023</v>
      </c>
      <c r="R3347" s="15"/>
      <c r="S3347" s="10" t="str">
        <f>HYPERLINK("https://miland.ru/api/getInfo/image/ccba1f06-280f-11f1-a291-00155d82e908")</f>
        <v>https://miland.ru/api/getInfo/image/ccba1f06-280f-11f1-a291-00155d82e908</v>
      </c>
    </row>
    <row r="3348" spans="1:19" s="2" customFormat="1" ht="96.2" customHeight="1" outlineLevel="7">
      <c r="A3348" s="53">
        <v>2617</v>
      </c>
      <c r="B3348" s="10" t="s">
        <v>11024</v>
      </c>
      <c r="C3348" s="65" t="s">
        <v>11025</v>
      </c>
      <c r="D3348" s="65"/>
      <c r="E3348" s="65"/>
      <c r="F3348" s="65"/>
      <c r="G3348" s="11" t="s">
        <v>11026</v>
      </c>
      <c r="H3348" s="21" t="s">
        <v>44</v>
      </c>
      <c r="I3348" s="15"/>
      <c r="J3348" s="9">
        <v>1</v>
      </c>
      <c r="K3348" s="16">
        <v>590.69000000000005</v>
      </c>
      <c r="L3348" s="17"/>
      <c r="M3348" s="15">
        <f>K3348*L3348</f>
        <v>0</v>
      </c>
      <c r="N3348" s="23">
        <f>0.34*L3348</f>
        <v>0</v>
      </c>
      <c r="O3348" s="19">
        <f>0.00148*L3348</f>
        <v>0</v>
      </c>
      <c r="P3348" s="24" t="s">
        <v>26</v>
      </c>
      <c r="Q3348" s="15" t="s">
        <v>11027</v>
      </c>
      <c r="R3348" s="15"/>
      <c r="S3348" s="10" t="str">
        <f>HYPERLINK("https://miland.ru/api/getInfo/image/b44c9c97-280f-11f1-a291-00155d82e908")</f>
        <v>https://miland.ru/api/getInfo/image/b44c9c97-280f-11f1-a291-00155d82e908</v>
      </c>
    </row>
    <row r="3349" spans="1:19" s="2" customFormat="1" ht="96.2" customHeight="1" outlineLevel="7">
      <c r="A3349" s="53">
        <v>2618</v>
      </c>
      <c r="B3349" s="10" t="s">
        <v>11028</v>
      </c>
      <c r="C3349" s="65" t="s">
        <v>11029</v>
      </c>
      <c r="D3349" s="65"/>
      <c r="E3349" s="65"/>
      <c r="F3349" s="65"/>
      <c r="G3349" s="11" t="s">
        <v>11030</v>
      </c>
      <c r="H3349" s="21" t="s">
        <v>44</v>
      </c>
      <c r="I3349" s="15"/>
      <c r="J3349" s="9">
        <v>1</v>
      </c>
      <c r="K3349" s="16">
        <v>590.69000000000005</v>
      </c>
      <c r="L3349" s="17"/>
      <c r="M3349" s="15">
        <f>K3349*L3349</f>
        <v>0</v>
      </c>
      <c r="N3349" s="18">
        <f>0.344*L3349</f>
        <v>0</v>
      </c>
      <c r="O3349" s="19">
        <f>0.00156*L3349</f>
        <v>0</v>
      </c>
      <c r="P3349" s="24" t="s">
        <v>26</v>
      </c>
      <c r="Q3349" s="15" t="s">
        <v>11031</v>
      </c>
      <c r="R3349" s="15"/>
      <c r="S3349" s="10" t="str">
        <f>HYPERLINK("https://miland.ru/api/getInfo/image/fe0c0188-280f-11f1-a291-00155d82e908")</f>
        <v>https://miland.ru/api/getInfo/image/fe0c0188-280f-11f1-a291-00155d82e908</v>
      </c>
    </row>
    <row r="3350" spans="1:19" s="1" customFormat="1" ht="12" customHeight="1" outlineLevel="5">
      <c r="A3350" s="64" t="s">
        <v>11032</v>
      </c>
      <c r="B3350" s="64"/>
      <c r="C3350" s="64"/>
      <c r="D3350" s="64"/>
      <c r="E3350" s="64"/>
      <c r="F3350" s="64"/>
      <c r="G3350" s="8"/>
      <c r="H3350" s="12"/>
      <c r="I3350" s="2"/>
      <c r="J3350" s="2"/>
      <c r="K3350" s="13"/>
      <c r="L3350" s="2"/>
      <c r="M3350" s="2"/>
      <c r="N3350" s="2"/>
      <c r="O3350" s="2"/>
      <c r="P3350" s="2"/>
      <c r="Q3350" s="2"/>
      <c r="R3350" s="2"/>
      <c r="S3350" s="2"/>
    </row>
    <row r="3351" spans="1:19" s="2" customFormat="1" ht="96.2" customHeight="1" outlineLevel="6">
      <c r="A3351" s="52">
        <v>2619</v>
      </c>
      <c r="B3351" s="26" t="s">
        <v>11033</v>
      </c>
      <c r="C3351" s="66" t="s">
        <v>11034</v>
      </c>
      <c r="D3351" s="66"/>
      <c r="E3351" s="66"/>
      <c r="F3351" s="66"/>
      <c r="G3351" s="27" t="s">
        <v>11035</v>
      </c>
      <c r="H3351" s="33">
        <v>326</v>
      </c>
      <c r="I3351" s="29"/>
      <c r="J3351" s="25">
        <v>1</v>
      </c>
      <c r="K3351" s="37">
        <v>1995.9</v>
      </c>
      <c r="L3351" s="17"/>
      <c r="M3351" s="29">
        <f>K3351*L3351</f>
        <v>0</v>
      </c>
      <c r="N3351" s="34">
        <f>1.28*L3351</f>
        <v>0</v>
      </c>
      <c r="O3351" s="32">
        <f>0.00316*L3351</f>
        <v>0</v>
      </c>
      <c r="P3351" s="36"/>
      <c r="Q3351" s="29" t="s">
        <v>11036</v>
      </c>
      <c r="R3351" s="29"/>
      <c r="S3351" s="26" t="str">
        <f>HYPERLINK("https://miland.ru/api/getInfo/image/e3e16d04-1765-11ef-a25d-00155d82e908")</f>
        <v>https://miland.ru/api/getInfo/image/e3e16d04-1765-11ef-a25d-00155d82e908</v>
      </c>
    </row>
    <row r="3352" spans="1:19" s="2" customFormat="1" ht="96.2" customHeight="1" outlineLevel="6">
      <c r="A3352" s="52">
        <v>2620</v>
      </c>
      <c r="B3352" s="26" t="s">
        <v>11037</v>
      </c>
      <c r="C3352" s="66" t="s">
        <v>11038</v>
      </c>
      <c r="D3352" s="66"/>
      <c r="E3352" s="66"/>
      <c r="F3352" s="66"/>
      <c r="G3352" s="27" t="s">
        <v>11039</v>
      </c>
      <c r="H3352" s="33">
        <v>232</v>
      </c>
      <c r="I3352" s="29"/>
      <c r="J3352" s="25">
        <v>1</v>
      </c>
      <c r="K3352" s="37">
        <v>1961.72</v>
      </c>
      <c r="L3352" s="17"/>
      <c r="M3352" s="29">
        <f>K3352*L3352</f>
        <v>0</v>
      </c>
      <c r="N3352" s="31">
        <f>1.804*L3352</f>
        <v>0</v>
      </c>
      <c r="O3352" s="32">
        <f>0.00444*L3352</f>
        <v>0</v>
      </c>
      <c r="P3352" s="36"/>
      <c r="Q3352" s="29" t="s">
        <v>11040</v>
      </c>
      <c r="R3352" s="29"/>
      <c r="S3352" s="26" t="str">
        <f>HYPERLINK("https://miland.ru/api/getInfo/image/87796292-1765-11ef-a25d-00155d82e908")</f>
        <v>https://miland.ru/api/getInfo/image/87796292-1765-11ef-a25d-00155d82e908</v>
      </c>
    </row>
    <row r="3353" spans="1:19" s="2" customFormat="1" ht="96.2" customHeight="1" outlineLevel="6">
      <c r="A3353" s="52">
        <v>2621</v>
      </c>
      <c r="B3353" s="26" t="s">
        <v>11041</v>
      </c>
      <c r="C3353" s="66" t="s">
        <v>11042</v>
      </c>
      <c r="D3353" s="66"/>
      <c r="E3353" s="66"/>
      <c r="F3353" s="66"/>
      <c r="G3353" s="27" t="s">
        <v>11043</v>
      </c>
      <c r="H3353" s="33">
        <v>426</v>
      </c>
      <c r="I3353" s="29"/>
      <c r="J3353" s="25">
        <v>1</v>
      </c>
      <c r="K3353" s="37">
        <v>1483.43</v>
      </c>
      <c r="L3353" s="17"/>
      <c r="M3353" s="29">
        <f>K3353*L3353</f>
        <v>0</v>
      </c>
      <c r="N3353" s="31">
        <f>0.844*L3353</f>
        <v>0</v>
      </c>
      <c r="O3353" s="32">
        <f>0.00427*L3353</f>
        <v>0</v>
      </c>
      <c r="P3353" s="36"/>
      <c r="Q3353" s="29" t="s">
        <v>11044</v>
      </c>
      <c r="R3353" s="29"/>
      <c r="S3353" s="26" t="str">
        <f>HYPERLINK("https://miland.ru/api/getInfo/image/77aeb26b-1766-11ef-a25d-00155d82e908")</f>
        <v>https://miland.ru/api/getInfo/image/77aeb26b-1766-11ef-a25d-00155d82e908</v>
      </c>
    </row>
    <row r="3354" spans="1:19" s="2" customFormat="1" ht="96.2" customHeight="1" outlineLevel="6">
      <c r="A3354" s="52">
        <v>2622</v>
      </c>
      <c r="B3354" s="26" t="s">
        <v>11045</v>
      </c>
      <c r="C3354" s="66" t="s">
        <v>11046</v>
      </c>
      <c r="D3354" s="66"/>
      <c r="E3354" s="66"/>
      <c r="F3354" s="66"/>
      <c r="G3354" s="27" t="s">
        <v>11047</v>
      </c>
      <c r="H3354" s="33">
        <v>343</v>
      </c>
      <c r="I3354" s="29"/>
      <c r="J3354" s="25">
        <v>1</v>
      </c>
      <c r="K3354" s="37">
        <v>1780.13</v>
      </c>
      <c r="L3354" s="17"/>
      <c r="M3354" s="29">
        <f>K3354*L3354</f>
        <v>0</v>
      </c>
      <c r="N3354" s="31">
        <f>1.305*L3354</f>
        <v>0</v>
      </c>
      <c r="O3354" s="32">
        <f>0.00783*L3354</f>
        <v>0</v>
      </c>
      <c r="P3354" s="36"/>
      <c r="Q3354" s="29" t="s">
        <v>11048</v>
      </c>
      <c r="R3354" s="29"/>
      <c r="S3354" s="26" t="str">
        <f>HYPERLINK("https://miland.ru/api/getInfo/image/f3072824-1766-11ef-a25d-00155d82e908")</f>
        <v>https://miland.ru/api/getInfo/image/f3072824-1766-11ef-a25d-00155d82e908</v>
      </c>
    </row>
    <row r="3355" spans="1:19" s="2" customFormat="1" ht="96.2" customHeight="1" outlineLevel="6">
      <c r="A3355" s="52">
        <v>2623</v>
      </c>
      <c r="B3355" s="26" t="s">
        <v>11049</v>
      </c>
      <c r="C3355" s="66" t="s">
        <v>11050</v>
      </c>
      <c r="D3355" s="66"/>
      <c r="E3355" s="66"/>
      <c r="F3355" s="66"/>
      <c r="G3355" s="27" t="s">
        <v>11051</v>
      </c>
      <c r="H3355" s="33">
        <v>6</v>
      </c>
      <c r="I3355" s="29"/>
      <c r="J3355" s="25">
        <v>1</v>
      </c>
      <c r="K3355" s="37">
        <v>1510.41</v>
      </c>
      <c r="L3355" s="17"/>
      <c r="M3355" s="29">
        <f>K3355*L3355</f>
        <v>0</v>
      </c>
      <c r="N3355" s="31">
        <f>0.714*L3355</f>
        <v>0</v>
      </c>
      <c r="O3355" s="32">
        <f>0.00224*L3355</f>
        <v>0</v>
      </c>
      <c r="P3355" s="36"/>
      <c r="Q3355" s="29" t="s">
        <v>11052</v>
      </c>
      <c r="R3355" s="29" t="s">
        <v>611</v>
      </c>
      <c r="S3355" s="26" t="str">
        <f>HYPERLINK("https://miland.ru/api/getInfo/image/bf443a3e-1767-11ef-a25d-00155d82e908")</f>
        <v>https://miland.ru/api/getInfo/image/bf443a3e-1767-11ef-a25d-00155d82e908</v>
      </c>
    </row>
    <row r="3356" spans="1:19" s="1" customFormat="1" ht="12" customHeight="1" outlineLevel="4">
      <c r="A3356" s="64" t="s">
        <v>11053</v>
      </c>
      <c r="B3356" s="64"/>
      <c r="C3356" s="64"/>
      <c r="D3356" s="64"/>
      <c r="E3356" s="64"/>
      <c r="F3356" s="64"/>
      <c r="G3356" s="8"/>
      <c r="H3356" s="12"/>
      <c r="I3356" s="2"/>
      <c r="J3356" s="2"/>
      <c r="K3356" s="13"/>
      <c r="L3356" s="2"/>
      <c r="M3356" s="2"/>
      <c r="N3356" s="2"/>
      <c r="O3356" s="2"/>
      <c r="P3356" s="2"/>
      <c r="Q3356" s="2"/>
      <c r="R3356" s="2"/>
      <c r="S3356" s="2"/>
    </row>
    <row r="3357" spans="1:19" s="2" customFormat="1" ht="96.2" customHeight="1" outlineLevel="5">
      <c r="A3357" s="52">
        <v>2624</v>
      </c>
      <c r="B3357" s="26" t="s">
        <v>11054</v>
      </c>
      <c r="C3357" s="66" t="s">
        <v>11055</v>
      </c>
      <c r="D3357" s="66"/>
      <c r="E3357" s="66"/>
      <c r="F3357" s="66"/>
      <c r="G3357" s="27" t="s">
        <v>11056</v>
      </c>
      <c r="H3357" s="33">
        <v>285</v>
      </c>
      <c r="I3357" s="29"/>
      <c r="J3357" s="25">
        <v>1</v>
      </c>
      <c r="K3357" s="37">
        <v>1408.99</v>
      </c>
      <c r="L3357" s="17"/>
      <c r="M3357" s="29">
        <f t="shared" ref="M3357:M3362" si="160">K3357*L3357</f>
        <v>0</v>
      </c>
      <c r="N3357" s="31">
        <f>1.762*L3357</f>
        <v>0</v>
      </c>
      <c r="O3357" s="32">
        <f>0.00424*L3357</f>
        <v>0</v>
      </c>
      <c r="P3357" s="36"/>
      <c r="Q3357" s="29" t="s">
        <v>11057</v>
      </c>
      <c r="R3357" s="29"/>
      <c r="S3357" s="26" t="str">
        <f>HYPERLINK("https://miland.ru/api/getInfo/image/178fa3c3-7332-11ee-a248-00155d82e902")</f>
        <v>https://miland.ru/api/getInfo/image/178fa3c3-7332-11ee-a248-00155d82e902</v>
      </c>
    </row>
    <row r="3358" spans="1:19" s="2" customFormat="1" ht="96.2" customHeight="1" outlineLevel="5">
      <c r="A3358" s="52">
        <v>2625</v>
      </c>
      <c r="B3358" s="26" t="s">
        <v>11058</v>
      </c>
      <c r="C3358" s="66" t="s">
        <v>11059</v>
      </c>
      <c r="D3358" s="66"/>
      <c r="E3358" s="66"/>
      <c r="F3358" s="66"/>
      <c r="G3358" s="27" t="s">
        <v>11060</v>
      </c>
      <c r="H3358" s="33">
        <v>58</v>
      </c>
      <c r="I3358" s="29"/>
      <c r="J3358" s="25">
        <v>1</v>
      </c>
      <c r="K3358" s="37">
        <v>1257.51</v>
      </c>
      <c r="L3358" s="17"/>
      <c r="M3358" s="29">
        <f t="shared" si="160"/>
        <v>0</v>
      </c>
      <c r="N3358" s="31">
        <f>0.388*L3358</f>
        <v>0</v>
      </c>
      <c r="O3358" s="32">
        <f>0.00133*L3358</f>
        <v>0</v>
      </c>
      <c r="P3358" s="36"/>
      <c r="Q3358" s="29" t="s">
        <v>11061</v>
      </c>
      <c r="R3358" s="29"/>
      <c r="S3358" s="26" t="str">
        <f>HYPERLINK("https://miland.ru/api/getInfo/image/6543e131-1767-11ef-a25d-00155d82e908")</f>
        <v>https://miland.ru/api/getInfo/image/6543e131-1767-11ef-a25d-00155d82e908</v>
      </c>
    </row>
    <row r="3359" spans="1:19" s="2" customFormat="1" ht="96.2" customHeight="1" outlineLevel="5">
      <c r="A3359" s="52">
        <v>2626</v>
      </c>
      <c r="B3359" s="26" t="s">
        <v>11062</v>
      </c>
      <c r="C3359" s="66" t="s">
        <v>11063</v>
      </c>
      <c r="D3359" s="66"/>
      <c r="E3359" s="66"/>
      <c r="F3359" s="66"/>
      <c r="G3359" s="27" t="s">
        <v>11064</v>
      </c>
      <c r="H3359" s="28" t="s">
        <v>44</v>
      </c>
      <c r="I3359" s="29"/>
      <c r="J3359" s="25">
        <v>1</v>
      </c>
      <c r="K3359" s="30">
        <v>820.47</v>
      </c>
      <c r="L3359" s="17"/>
      <c r="M3359" s="29">
        <f t="shared" si="160"/>
        <v>0</v>
      </c>
      <c r="N3359" s="31">
        <f>0.598*L3359</f>
        <v>0</v>
      </c>
      <c r="O3359" s="32">
        <f>0.00152*L3359</f>
        <v>0</v>
      </c>
      <c r="P3359" s="36"/>
      <c r="Q3359" s="29" t="s">
        <v>11065</v>
      </c>
      <c r="R3359" s="29"/>
      <c r="S3359" s="26" t="str">
        <f>HYPERLINK("https://miland.ru/api/getInfo/image/19651c5b-1c21-11f0-a279-00155d82e908")</f>
        <v>https://miland.ru/api/getInfo/image/19651c5b-1c21-11f0-a279-00155d82e908</v>
      </c>
    </row>
    <row r="3360" spans="1:19" s="2" customFormat="1" ht="96.2" customHeight="1" outlineLevel="5">
      <c r="A3360" s="52">
        <v>2627</v>
      </c>
      <c r="B3360" s="26" t="s">
        <v>11066</v>
      </c>
      <c r="C3360" s="66" t="s">
        <v>11067</v>
      </c>
      <c r="D3360" s="66"/>
      <c r="E3360" s="66"/>
      <c r="F3360" s="66"/>
      <c r="G3360" s="27" t="s">
        <v>11068</v>
      </c>
      <c r="H3360" s="33">
        <v>350</v>
      </c>
      <c r="I3360" s="29"/>
      <c r="J3360" s="25">
        <v>1</v>
      </c>
      <c r="K3360" s="30">
        <v>858.81</v>
      </c>
      <c r="L3360" s="17"/>
      <c r="M3360" s="29">
        <f t="shared" si="160"/>
        <v>0</v>
      </c>
      <c r="N3360" s="31">
        <f>0.944*L3360</f>
        <v>0</v>
      </c>
      <c r="O3360" s="32">
        <f>0.00257*L3360</f>
        <v>0</v>
      </c>
      <c r="P3360" s="36"/>
      <c r="Q3360" s="29" t="s">
        <v>11069</v>
      </c>
      <c r="R3360" s="29"/>
      <c r="S3360" s="26" t="str">
        <f>HYPERLINK("https://miland.ru/api/getInfo/image/f1ad83de-630e-11f0-a282-00155d82e908")</f>
        <v>https://miland.ru/api/getInfo/image/f1ad83de-630e-11f0-a282-00155d82e908</v>
      </c>
    </row>
    <row r="3361" spans="1:19" s="2" customFormat="1" ht="96.2" customHeight="1" outlineLevel="5">
      <c r="A3361" s="52">
        <v>2628</v>
      </c>
      <c r="B3361" s="26" t="s">
        <v>11070</v>
      </c>
      <c r="C3361" s="66" t="s">
        <v>11071</v>
      </c>
      <c r="D3361" s="66"/>
      <c r="E3361" s="66"/>
      <c r="F3361" s="66"/>
      <c r="G3361" s="27" t="s">
        <v>11072</v>
      </c>
      <c r="H3361" s="33">
        <v>277</v>
      </c>
      <c r="I3361" s="29"/>
      <c r="J3361" s="25">
        <v>1</v>
      </c>
      <c r="K3361" s="37">
        <v>1517.47</v>
      </c>
      <c r="L3361" s="17"/>
      <c r="M3361" s="29">
        <f t="shared" si="160"/>
        <v>0</v>
      </c>
      <c r="N3361" s="31">
        <f>1.079*L3361</f>
        <v>0</v>
      </c>
      <c r="O3361" s="35">
        <f>0.0048*L3361</f>
        <v>0</v>
      </c>
      <c r="P3361" s="36"/>
      <c r="Q3361" s="29" t="s">
        <v>11073</v>
      </c>
      <c r="R3361" s="29"/>
      <c r="S3361" s="26" t="str">
        <f>HYPERLINK("https://miland.ru/api/getInfo/image/5066cd3f-630e-11f0-a282-00155d82e908")</f>
        <v>https://miland.ru/api/getInfo/image/5066cd3f-630e-11f0-a282-00155d82e908</v>
      </c>
    </row>
    <row r="3362" spans="1:19" s="2" customFormat="1" ht="96.2" customHeight="1" outlineLevel="5">
      <c r="A3362" s="52">
        <v>2629</v>
      </c>
      <c r="B3362" s="26" t="s">
        <v>11074</v>
      </c>
      <c r="C3362" s="66" t="s">
        <v>11075</v>
      </c>
      <c r="D3362" s="66"/>
      <c r="E3362" s="66"/>
      <c r="F3362" s="66"/>
      <c r="G3362" s="27" t="s">
        <v>11076</v>
      </c>
      <c r="H3362" s="33">
        <v>152</v>
      </c>
      <c r="I3362" s="29"/>
      <c r="J3362" s="25">
        <v>1</v>
      </c>
      <c r="K3362" s="37">
        <v>1030.57</v>
      </c>
      <c r="L3362" s="17"/>
      <c r="M3362" s="29">
        <f t="shared" si="160"/>
        <v>0</v>
      </c>
      <c r="N3362" s="31">
        <f>1.241*L3362</f>
        <v>0</v>
      </c>
      <c r="O3362" s="32">
        <f>0.00361*L3362</f>
        <v>0</v>
      </c>
      <c r="P3362" s="36"/>
      <c r="Q3362" s="29" t="s">
        <v>11077</v>
      </c>
      <c r="R3362" s="29"/>
      <c r="S3362" s="26" t="str">
        <f>HYPERLINK("https://miland.ru/api/getInfo/image/da910aee-630f-11f0-a282-00155d82e908")</f>
        <v>https://miland.ru/api/getInfo/image/da910aee-630f-11f0-a282-00155d82e908</v>
      </c>
    </row>
    <row r="3363" spans="1:19" s="1" customFormat="1" ht="12" customHeight="1" outlineLevel="4">
      <c r="A3363" s="64" t="s">
        <v>11078</v>
      </c>
      <c r="B3363" s="64"/>
      <c r="C3363" s="64"/>
      <c r="D3363" s="64"/>
      <c r="E3363" s="64"/>
      <c r="F3363" s="64"/>
      <c r="G3363" s="8"/>
      <c r="H3363" s="12"/>
      <c r="I3363" s="2"/>
      <c r="J3363" s="2"/>
      <c r="K3363" s="13"/>
      <c r="L3363" s="2"/>
      <c r="M3363" s="2"/>
      <c r="N3363" s="2"/>
      <c r="O3363" s="2"/>
      <c r="P3363" s="2"/>
      <c r="Q3363" s="2"/>
      <c r="R3363" s="2"/>
      <c r="S3363" s="2"/>
    </row>
    <row r="3364" spans="1:19" s="2" customFormat="1" ht="96.2" customHeight="1" outlineLevel="5">
      <c r="A3364" s="52">
        <v>2630</v>
      </c>
      <c r="B3364" s="26" t="s">
        <v>11079</v>
      </c>
      <c r="C3364" s="66" t="s">
        <v>11080</v>
      </c>
      <c r="D3364" s="66"/>
      <c r="E3364" s="66"/>
      <c r="F3364" s="66"/>
      <c r="G3364" s="27" t="s">
        <v>11081</v>
      </c>
      <c r="H3364" s="33">
        <v>3</v>
      </c>
      <c r="I3364" s="29"/>
      <c r="J3364" s="25">
        <v>1</v>
      </c>
      <c r="K3364" s="30">
        <v>791.95</v>
      </c>
      <c r="L3364" s="17"/>
      <c r="M3364" s="29">
        <f>K3364*L3364</f>
        <v>0</v>
      </c>
      <c r="N3364" s="31">
        <f>0.637*L3364</f>
        <v>0</v>
      </c>
      <c r="O3364" s="32">
        <f>0.00185*L3364</f>
        <v>0</v>
      </c>
      <c r="P3364" s="36"/>
      <c r="Q3364" s="29" t="s">
        <v>11082</v>
      </c>
      <c r="R3364" s="29"/>
      <c r="S3364" s="26" t="str">
        <f>HYPERLINK("https://miland.ru/api/getInfo/image/4dacbb6c-1c23-11f0-a279-00155d82e908")</f>
        <v>https://miland.ru/api/getInfo/image/4dacbb6c-1c23-11f0-a279-00155d82e908</v>
      </c>
    </row>
    <row r="3365" spans="1:19" s="2" customFormat="1" ht="96.2" customHeight="1" outlineLevel="5">
      <c r="A3365" s="52">
        <v>2631</v>
      </c>
      <c r="B3365" s="26" t="s">
        <v>11083</v>
      </c>
      <c r="C3365" s="66" t="s">
        <v>11084</v>
      </c>
      <c r="D3365" s="66"/>
      <c r="E3365" s="66"/>
      <c r="F3365" s="66"/>
      <c r="G3365" s="27" t="s">
        <v>11085</v>
      </c>
      <c r="H3365" s="33">
        <v>7</v>
      </c>
      <c r="I3365" s="29"/>
      <c r="J3365" s="25">
        <v>1</v>
      </c>
      <c r="K3365" s="30">
        <v>822.52</v>
      </c>
      <c r="L3365" s="17"/>
      <c r="M3365" s="29">
        <f>K3365*L3365</f>
        <v>0</v>
      </c>
      <c r="N3365" s="31">
        <f>0.436*L3365</f>
        <v>0</v>
      </c>
      <c r="O3365" s="32">
        <f>0.00227*L3365</f>
        <v>0</v>
      </c>
      <c r="P3365" s="36"/>
      <c r="Q3365" s="29" t="s">
        <v>11086</v>
      </c>
      <c r="R3365" s="29"/>
      <c r="S3365" s="26" t="str">
        <f>HYPERLINK("https://miland.ru/api/getInfo/image/3a97c693-1c27-11f0-a279-00155d82e908")</f>
        <v>https://miland.ru/api/getInfo/image/3a97c693-1c27-11f0-a279-00155d82e908</v>
      </c>
    </row>
    <row r="3366" spans="1:19" s="2" customFormat="1" ht="96.2" customHeight="1" outlineLevel="5">
      <c r="A3366" s="52">
        <v>2632</v>
      </c>
      <c r="B3366" s="26" t="s">
        <v>11087</v>
      </c>
      <c r="C3366" s="66" t="s">
        <v>11088</v>
      </c>
      <c r="D3366" s="66"/>
      <c r="E3366" s="66"/>
      <c r="F3366" s="66"/>
      <c r="G3366" s="27" t="s">
        <v>11089</v>
      </c>
      <c r="H3366" s="33">
        <v>5</v>
      </c>
      <c r="I3366" s="29"/>
      <c r="J3366" s="25">
        <v>1</v>
      </c>
      <c r="K3366" s="30">
        <v>923.41</v>
      </c>
      <c r="L3366" s="17"/>
      <c r="M3366" s="29">
        <f>K3366*L3366</f>
        <v>0</v>
      </c>
      <c r="N3366" s="31">
        <f>0.742*L3366</f>
        <v>0</v>
      </c>
      <c r="O3366" s="32">
        <f>0.00264*L3366</f>
        <v>0</v>
      </c>
      <c r="P3366" s="36"/>
      <c r="Q3366" s="29" t="s">
        <v>11090</v>
      </c>
      <c r="R3366" s="29"/>
      <c r="S3366" s="26" t="str">
        <f>HYPERLINK("https://miland.ru/api/getInfo/image/d469070a-7333-11ee-a248-00155d82e902")</f>
        <v>https://miland.ru/api/getInfo/image/d469070a-7333-11ee-a248-00155d82e902</v>
      </c>
    </row>
    <row r="3367" spans="1:19" s="2" customFormat="1" ht="96.2" customHeight="1" outlineLevel="5">
      <c r="A3367" s="52">
        <v>2633</v>
      </c>
      <c r="B3367" s="26" t="s">
        <v>11091</v>
      </c>
      <c r="C3367" s="66" t="s">
        <v>11092</v>
      </c>
      <c r="D3367" s="66"/>
      <c r="E3367" s="66"/>
      <c r="F3367" s="66"/>
      <c r="G3367" s="27" t="s">
        <v>11093</v>
      </c>
      <c r="H3367" s="33">
        <v>88</v>
      </c>
      <c r="I3367" s="29"/>
      <c r="J3367" s="25">
        <v>1</v>
      </c>
      <c r="K3367" s="30">
        <v>605.59</v>
      </c>
      <c r="L3367" s="17"/>
      <c r="M3367" s="29">
        <f>K3367*L3367</f>
        <v>0</v>
      </c>
      <c r="N3367" s="31">
        <f>0.442*L3367</f>
        <v>0</v>
      </c>
      <c r="O3367" s="32">
        <f>0.00132*L3367</f>
        <v>0</v>
      </c>
      <c r="P3367" s="36"/>
      <c r="Q3367" s="29" t="s">
        <v>11094</v>
      </c>
      <c r="R3367" s="29"/>
      <c r="S3367" s="26" t="str">
        <f>HYPERLINK("https://miland.ru/api/getInfo/image/b85ff915-1c1f-11f0-a279-00155d82e908")</f>
        <v>https://miland.ru/api/getInfo/image/b85ff915-1c1f-11f0-a279-00155d82e908</v>
      </c>
    </row>
    <row r="3368" spans="1:19" s="1" customFormat="1" ht="12" customHeight="1" outlineLevel="4">
      <c r="A3368" s="64" t="s">
        <v>11095</v>
      </c>
      <c r="B3368" s="64"/>
      <c r="C3368" s="64"/>
      <c r="D3368" s="64"/>
      <c r="E3368" s="64"/>
      <c r="F3368" s="64"/>
      <c r="G3368" s="8"/>
      <c r="H3368" s="12"/>
      <c r="I3368" s="2"/>
      <c r="J3368" s="2"/>
      <c r="K3368" s="13"/>
      <c r="L3368" s="2"/>
      <c r="M3368" s="2"/>
      <c r="N3368" s="2"/>
      <c r="O3368" s="2"/>
      <c r="P3368" s="2"/>
      <c r="Q3368" s="2"/>
      <c r="R3368" s="2"/>
      <c r="S3368" s="2"/>
    </row>
    <row r="3369" spans="1:19" s="2" customFormat="1" ht="96.2" customHeight="1" outlineLevel="5">
      <c r="A3369" s="52">
        <v>2634</v>
      </c>
      <c r="B3369" s="26" t="s">
        <v>11096</v>
      </c>
      <c r="C3369" s="66" t="s">
        <v>11097</v>
      </c>
      <c r="D3369" s="66"/>
      <c r="E3369" s="66"/>
      <c r="F3369" s="66"/>
      <c r="G3369" s="27" t="s">
        <v>11098</v>
      </c>
      <c r="H3369" s="33">
        <v>32</v>
      </c>
      <c r="I3369" s="29"/>
      <c r="J3369" s="25">
        <v>3</v>
      </c>
      <c r="K3369" s="30">
        <v>264.43</v>
      </c>
      <c r="L3369" s="17"/>
      <c r="M3369" s="29">
        <f>K3369*L3369</f>
        <v>0</v>
      </c>
      <c r="N3369" s="31">
        <f>0.258*L3369</f>
        <v>0</v>
      </c>
      <c r="O3369" s="32">
        <f>0.00323*L3369</f>
        <v>0</v>
      </c>
      <c r="P3369" s="36"/>
      <c r="Q3369" s="29" t="s">
        <v>11099</v>
      </c>
      <c r="R3369" s="29"/>
      <c r="S3369" s="26" t="str">
        <f>HYPERLINK("https://miland.ru/api/getInfo/image/6153e9f1-b2e1-11ef-a267-00155d82e908")</f>
        <v>https://miland.ru/api/getInfo/image/6153e9f1-b2e1-11ef-a267-00155d82e908</v>
      </c>
    </row>
    <row r="3370" spans="1:19" s="2" customFormat="1" ht="96.2" customHeight="1" outlineLevel="5">
      <c r="A3370" s="52">
        <v>2635</v>
      </c>
      <c r="B3370" s="26" t="s">
        <v>11100</v>
      </c>
      <c r="C3370" s="66" t="s">
        <v>11101</v>
      </c>
      <c r="D3370" s="66"/>
      <c r="E3370" s="66"/>
      <c r="F3370" s="66"/>
      <c r="G3370" s="27" t="s">
        <v>11102</v>
      </c>
      <c r="H3370" s="28" t="s">
        <v>44</v>
      </c>
      <c r="I3370" s="29"/>
      <c r="J3370" s="25">
        <v>2</v>
      </c>
      <c r="K3370" s="30">
        <v>353.42</v>
      </c>
      <c r="L3370" s="17"/>
      <c r="M3370" s="29">
        <f>K3370*L3370</f>
        <v>0</v>
      </c>
      <c r="N3370" s="31">
        <f>0.248*L3370</f>
        <v>0</v>
      </c>
      <c r="O3370" s="32">
        <f>0.00394*L3370</f>
        <v>0</v>
      </c>
      <c r="P3370" s="36"/>
      <c r="Q3370" s="29" t="s">
        <v>11103</v>
      </c>
      <c r="R3370" s="29"/>
      <c r="S3370" s="26" t="str">
        <f>HYPERLINK("https://miland.ru/api/getInfo/image/4046f749-8d23-11ee-a250-00155d82e908")</f>
        <v>https://miland.ru/api/getInfo/image/4046f749-8d23-11ee-a250-00155d82e908</v>
      </c>
    </row>
    <row r="3371" spans="1:19" s="2" customFormat="1" ht="96.2" customHeight="1" outlineLevel="5">
      <c r="A3371" s="52">
        <v>2636</v>
      </c>
      <c r="B3371" s="26" t="s">
        <v>11104</v>
      </c>
      <c r="C3371" s="66" t="s">
        <v>11105</v>
      </c>
      <c r="D3371" s="66"/>
      <c r="E3371" s="66"/>
      <c r="F3371" s="66"/>
      <c r="G3371" s="27" t="s">
        <v>11106</v>
      </c>
      <c r="H3371" s="33">
        <v>1</v>
      </c>
      <c r="I3371" s="29"/>
      <c r="J3371" s="25">
        <v>1</v>
      </c>
      <c r="K3371" s="30">
        <v>402.81</v>
      </c>
      <c r="L3371" s="17"/>
      <c r="M3371" s="29">
        <f>K3371*L3371</f>
        <v>0</v>
      </c>
      <c r="N3371" s="31">
        <f>0.232*L3371</f>
        <v>0</v>
      </c>
      <c r="O3371" s="32">
        <f>0.00423*L3371</f>
        <v>0</v>
      </c>
      <c r="P3371" s="36"/>
      <c r="Q3371" s="29" t="s">
        <v>11107</v>
      </c>
      <c r="R3371" s="29"/>
      <c r="S3371" s="26" t="str">
        <f>HYPERLINK("https://miland.ru/api/getInfo/image/9652a9a7-b2e0-11ef-a267-00155d82e908")</f>
        <v>https://miland.ru/api/getInfo/image/9652a9a7-b2e0-11ef-a267-00155d82e908</v>
      </c>
    </row>
    <row r="3372" spans="1:19" s="2" customFormat="1" ht="96.2" customHeight="1" outlineLevel="5">
      <c r="A3372" s="52">
        <v>2637</v>
      </c>
      <c r="B3372" s="26" t="s">
        <v>11108</v>
      </c>
      <c r="C3372" s="66" t="s">
        <v>11109</v>
      </c>
      <c r="D3372" s="66"/>
      <c r="E3372" s="66"/>
      <c r="F3372" s="66"/>
      <c r="G3372" s="27" t="s">
        <v>11110</v>
      </c>
      <c r="H3372" s="33">
        <v>43</v>
      </c>
      <c r="I3372" s="29"/>
      <c r="J3372" s="25">
        <v>1</v>
      </c>
      <c r="K3372" s="30">
        <v>402.81</v>
      </c>
      <c r="L3372" s="17"/>
      <c r="M3372" s="29">
        <f>K3372*L3372</f>
        <v>0</v>
      </c>
      <c r="N3372" s="34">
        <f>0.24*L3372</f>
        <v>0</v>
      </c>
      <c r="O3372" s="32">
        <f>0.00407*L3372</f>
        <v>0</v>
      </c>
      <c r="P3372" s="36"/>
      <c r="Q3372" s="29" t="s">
        <v>11111</v>
      </c>
      <c r="R3372" s="29"/>
      <c r="S3372" s="26" t="str">
        <f>HYPERLINK("https://miland.ru/api/getInfo/image/817c9d93-b2e0-11ef-a267-00155d82e908")</f>
        <v>https://miland.ru/api/getInfo/image/817c9d93-b2e0-11ef-a267-00155d82e908</v>
      </c>
    </row>
    <row r="3373" spans="1:19" s="2" customFormat="1" ht="96.2" customHeight="1" outlineLevel="5">
      <c r="A3373" s="52">
        <v>2638</v>
      </c>
      <c r="B3373" s="26" t="s">
        <v>11112</v>
      </c>
      <c r="C3373" s="66" t="s">
        <v>11113</v>
      </c>
      <c r="D3373" s="66"/>
      <c r="E3373" s="66"/>
      <c r="F3373" s="66"/>
      <c r="G3373" s="27" t="s">
        <v>11114</v>
      </c>
      <c r="H3373" s="33">
        <v>62</v>
      </c>
      <c r="I3373" s="29"/>
      <c r="J3373" s="25">
        <v>1</v>
      </c>
      <c r="K3373" s="30">
        <v>402.81</v>
      </c>
      <c r="L3373" s="17"/>
      <c r="M3373" s="29">
        <f>K3373*L3373</f>
        <v>0</v>
      </c>
      <c r="N3373" s="31">
        <f>0.237*L3373</f>
        <v>0</v>
      </c>
      <c r="O3373" s="32">
        <f>0.00401*L3373</f>
        <v>0</v>
      </c>
      <c r="P3373" s="36"/>
      <c r="Q3373" s="29" t="s">
        <v>11115</v>
      </c>
      <c r="R3373" s="29"/>
      <c r="S3373" s="26" t="str">
        <f>HYPERLINK("https://miland.ru/api/getInfo/image/b5e41276-b2df-11ef-a267-00155d82e908")</f>
        <v>https://miland.ru/api/getInfo/image/b5e41276-b2df-11ef-a267-00155d82e908</v>
      </c>
    </row>
    <row r="3374" spans="1:19" s="1" customFormat="1" ht="12" customHeight="1" outlineLevel="4">
      <c r="A3374" s="64" t="s">
        <v>11116</v>
      </c>
      <c r="B3374" s="64"/>
      <c r="C3374" s="64"/>
      <c r="D3374" s="64"/>
      <c r="E3374" s="64"/>
      <c r="F3374" s="64"/>
      <c r="G3374" s="8"/>
      <c r="H3374" s="12"/>
      <c r="I3374" s="2"/>
      <c r="J3374" s="2"/>
      <c r="K3374" s="13"/>
      <c r="L3374" s="2"/>
      <c r="M3374" s="2"/>
      <c r="N3374" s="2"/>
      <c r="O3374" s="2"/>
      <c r="P3374" s="2"/>
      <c r="Q3374" s="2"/>
      <c r="R3374" s="2"/>
      <c r="S3374" s="2"/>
    </row>
    <row r="3375" spans="1:19" s="2" customFormat="1" ht="96.2" customHeight="1" outlineLevel="5">
      <c r="A3375" s="52">
        <v>2639</v>
      </c>
      <c r="B3375" s="26" t="s">
        <v>11117</v>
      </c>
      <c r="C3375" s="66" t="s">
        <v>11118</v>
      </c>
      <c r="D3375" s="66"/>
      <c r="E3375" s="66"/>
      <c r="F3375" s="66"/>
      <c r="G3375" s="27" t="s">
        <v>11119</v>
      </c>
      <c r="H3375" s="33">
        <v>2</v>
      </c>
      <c r="I3375" s="29"/>
      <c r="J3375" s="25">
        <v>2</v>
      </c>
      <c r="K3375" s="30">
        <v>257.55</v>
      </c>
      <c r="L3375" s="17"/>
      <c r="M3375" s="29">
        <f>K3375*L3375</f>
        <v>0</v>
      </c>
      <c r="N3375" s="31">
        <f>0.058*L3375</f>
        <v>0</v>
      </c>
      <c r="O3375" s="32">
        <f>0.00033*L3375</f>
        <v>0</v>
      </c>
      <c r="P3375" s="36"/>
      <c r="Q3375" s="29" t="s">
        <v>11120</v>
      </c>
      <c r="R3375" s="29"/>
      <c r="S3375" s="26" t="str">
        <f>HYPERLINK("https://miland.ru/api/getInfo/image/d53fc40d-e12e-11ee-a25a-00155d82e908")</f>
        <v>https://miland.ru/api/getInfo/image/d53fc40d-e12e-11ee-a25a-00155d82e908</v>
      </c>
    </row>
    <row r="3376" spans="1:19" s="1" customFormat="1" ht="12" customHeight="1" outlineLevel="4">
      <c r="A3376" s="64" t="s">
        <v>11121</v>
      </c>
      <c r="B3376" s="64"/>
      <c r="C3376" s="64"/>
      <c r="D3376" s="64"/>
      <c r="E3376" s="64"/>
      <c r="F3376" s="64"/>
      <c r="G3376" s="8"/>
      <c r="H3376" s="12"/>
      <c r="I3376" s="2"/>
      <c r="J3376" s="2"/>
      <c r="K3376" s="13"/>
      <c r="L3376" s="2"/>
      <c r="M3376" s="2"/>
      <c r="N3376" s="2"/>
      <c r="O3376" s="2"/>
      <c r="P3376" s="2"/>
      <c r="Q3376" s="2"/>
      <c r="R3376" s="2"/>
      <c r="S3376" s="2"/>
    </row>
    <row r="3377" spans="1:19" s="2" customFormat="1" ht="96.2" customHeight="1" outlineLevel="5">
      <c r="A3377" s="52">
        <v>2640</v>
      </c>
      <c r="B3377" s="26" t="s">
        <v>11122</v>
      </c>
      <c r="C3377" s="66" t="s">
        <v>11123</v>
      </c>
      <c r="D3377" s="66"/>
      <c r="E3377" s="66"/>
      <c r="F3377" s="66"/>
      <c r="G3377" s="27" t="s">
        <v>11124</v>
      </c>
      <c r="H3377" s="33">
        <v>3</v>
      </c>
      <c r="I3377" s="29"/>
      <c r="J3377" s="25">
        <v>1</v>
      </c>
      <c r="K3377" s="30">
        <v>811.53</v>
      </c>
      <c r="L3377" s="17"/>
      <c r="M3377" s="29">
        <f>K3377*L3377</f>
        <v>0</v>
      </c>
      <c r="N3377" s="31">
        <f>0.234*L3377</f>
        <v>0</v>
      </c>
      <c r="O3377" s="32">
        <f>0.00031*L3377</f>
        <v>0</v>
      </c>
      <c r="P3377" s="36"/>
      <c r="Q3377" s="29" t="s">
        <v>11125</v>
      </c>
      <c r="R3377" s="29" t="s">
        <v>611</v>
      </c>
      <c r="S3377" s="26" t="str">
        <f>HYPERLINK("https://miland.ru/api/getInfo/image/de2671bc-1760-11ef-a25d-00155d82e908")</f>
        <v>https://miland.ru/api/getInfo/image/de2671bc-1760-11ef-a25d-00155d82e908</v>
      </c>
    </row>
    <row r="3378" spans="1:19" s="2" customFormat="1" ht="96.2" customHeight="1" outlineLevel="5">
      <c r="A3378" s="52">
        <v>2641</v>
      </c>
      <c r="B3378" s="26" t="s">
        <v>11126</v>
      </c>
      <c r="C3378" s="66" t="s">
        <v>11127</v>
      </c>
      <c r="D3378" s="66"/>
      <c r="E3378" s="66"/>
      <c r="F3378" s="66"/>
      <c r="G3378" s="27" t="s">
        <v>11128</v>
      </c>
      <c r="H3378" s="33">
        <v>1</v>
      </c>
      <c r="I3378" s="29"/>
      <c r="J3378" s="25">
        <v>1</v>
      </c>
      <c r="K3378" s="30">
        <v>811.53</v>
      </c>
      <c r="L3378" s="17"/>
      <c r="M3378" s="29">
        <f>K3378*L3378</f>
        <v>0</v>
      </c>
      <c r="N3378" s="31">
        <f>0.254*L3378</f>
        <v>0</v>
      </c>
      <c r="O3378" s="32">
        <f>0.00104*L3378</f>
        <v>0</v>
      </c>
      <c r="P3378" s="36"/>
      <c r="Q3378" s="29" t="s">
        <v>11129</v>
      </c>
      <c r="R3378" s="29" t="s">
        <v>611</v>
      </c>
      <c r="S3378" s="26" t="str">
        <f>HYPERLINK("https://miland.ru/api/getInfo/image/c7ca0385-1760-11ef-a25d-00155d82e908")</f>
        <v>https://miland.ru/api/getInfo/image/c7ca0385-1760-11ef-a25d-00155d82e908</v>
      </c>
    </row>
    <row r="3379" spans="1:19" s="2" customFormat="1" ht="96.2" customHeight="1" outlineLevel="5">
      <c r="A3379" s="52">
        <v>2642</v>
      </c>
      <c r="B3379" s="26" t="s">
        <v>11130</v>
      </c>
      <c r="C3379" s="66" t="s">
        <v>11131</v>
      </c>
      <c r="D3379" s="66"/>
      <c r="E3379" s="66"/>
      <c r="F3379" s="66"/>
      <c r="G3379" s="27" t="s">
        <v>11132</v>
      </c>
      <c r="H3379" s="33">
        <v>1</v>
      </c>
      <c r="I3379" s="29"/>
      <c r="J3379" s="25">
        <v>1</v>
      </c>
      <c r="K3379" s="30">
        <v>811.53</v>
      </c>
      <c r="L3379" s="17"/>
      <c r="M3379" s="29">
        <f>K3379*L3379</f>
        <v>0</v>
      </c>
      <c r="N3379" s="31">
        <f>0.257*L3379</f>
        <v>0</v>
      </c>
      <c r="O3379" s="32">
        <f>0.00073*L3379</f>
        <v>0</v>
      </c>
      <c r="P3379" s="36"/>
      <c r="Q3379" s="29" t="s">
        <v>11133</v>
      </c>
      <c r="R3379" s="29" t="s">
        <v>611</v>
      </c>
      <c r="S3379" s="26" t="str">
        <f>HYPERLINK("https://miland.ru/api/getInfo/image/1eea273d-1761-11ef-a25d-00155d82e908")</f>
        <v>https://miland.ru/api/getInfo/image/1eea273d-1761-11ef-a25d-00155d82e908</v>
      </c>
    </row>
    <row r="3380" spans="1:19" s="2" customFormat="1" ht="96.2" customHeight="1" outlineLevel="5">
      <c r="A3380" s="52">
        <v>2643</v>
      </c>
      <c r="B3380" s="26" t="s">
        <v>11134</v>
      </c>
      <c r="C3380" s="66" t="s">
        <v>11135</v>
      </c>
      <c r="D3380" s="66"/>
      <c r="E3380" s="66"/>
      <c r="F3380" s="66"/>
      <c r="G3380" s="27" t="s">
        <v>11136</v>
      </c>
      <c r="H3380" s="33">
        <v>1</v>
      </c>
      <c r="I3380" s="29"/>
      <c r="J3380" s="25">
        <v>1</v>
      </c>
      <c r="K3380" s="30">
        <v>623.59</v>
      </c>
      <c r="L3380" s="17"/>
      <c r="M3380" s="29">
        <f>K3380*L3380</f>
        <v>0</v>
      </c>
      <c r="N3380" s="31">
        <f>0.325*L3380</f>
        <v>0</v>
      </c>
      <c r="O3380" s="32">
        <f>0.00047*L3380</f>
        <v>0</v>
      </c>
      <c r="P3380" s="36"/>
      <c r="Q3380" s="29" t="s">
        <v>11137</v>
      </c>
      <c r="R3380" s="29" t="s">
        <v>611</v>
      </c>
      <c r="S3380" s="26" t="str">
        <f>HYPERLINK("https://miland.ru/api/getInfo/image/83498137-175f-11ef-a25d-00155d82e908")</f>
        <v>https://miland.ru/api/getInfo/image/83498137-175f-11ef-a25d-00155d82e908</v>
      </c>
    </row>
    <row r="3381" spans="1:19" s="2" customFormat="1" ht="96.2" customHeight="1" outlineLevel="5">
      <c r="A3381" s="52">
        <v>2644</v>
      </c>
      <c r="B3381" s="26" t="s">
        <v>11138</v>
      </c>
      <c r="C3381" s="66" t="s">
        <v>11139</v>
      </c>
      <c r="D3381" s="66"/>
      <c r="E3381" s="66"/>
      <c r="F3381" s="66"/>
      <c r="G3381" s="27" t="s">
        <v>11140</v>
      </c>
      <c r="H3381" s="33">
        <v>2</v>
      </c>
      <c r="I3381" s="29"/>
      <c r="J3381" s="25">
        <v>1</v>
      </c>
      <c r="K3381" s="30">
        <v>751.42</v>
      </c>
      <c r="L3381" s="17"/>
      <c r="M3381" s="29">
        <f>K3381*L3381</f>
        <v>0</v>
      </c>
      <c r="N3381" s="31">
        <f>0.308*L3381</f>
        <v>0</v>
      </c>
      <c r="O3381" s="32">
        <f>0.00045*L3381</f>
        <v>0</v>
      </c>
      <c r="P3381" s="36"/>
      <c r="Q3381" s="29" t="s">
        <v>11141</v>
      </c>
      <c r="R3381" s="29" t="s">
        <v>611</v>
      </c>
      <c r="S3381" s="26" t="str">
        <f>HYPERLINK("https://miland.ru/api/getInfo/image/aa5ccba0-1761-11ef-a25d-00155d82e908")</f>
        <v>https://miland.ru/api/getInfo/image/aa5ccba0-1761-11ef-a25d-00155d82e908</v>
      </c>
    </row>
    <row r="3382" spans="1:19" s="1" customFormat="1" ht="12" customHeight="1" outlineLevel="4">
      <c r="A3382" s="64" t="s">
        <v>11142</v>
      </c>
      <c r="B3382" s="64"/>
      <c r="C3382" s="64"/>
      <c r="D3382" s="64"/>
      <c r="E3382" s="64"/>
      <c r="F3382" s="64"/>
      <c r="G3382" s="8"/>
      <c r="H3382" s="12"/>
      <c r="I3382" s="2"/>
      <c r="J3382" s="2"/>
      <c r="K3382" s="13"/>
      <c r="L3382" s="2"/>
      <c r="M3382" s="2"/>
      <c r="N3382" s="2"/>
      <c r="O3382" s="2"/>
      <c r="P3382" s="2"/>
      <c r="Q3382" s="2"/>
      <c r="R3382" s="2"/>
      <c r="S3382" s="2"/>
    </row>
    <row r="3383" spans="1:19" s="2" customFormat="1" ht="96.2" customHeight="1" outlineLevel="5">
      <c r="A3383" s="52">
        <v>2645</v>
      </c>
      <c r="B3383" s="26" t="s">
        <v>11143</v>
      </c>
      <c r="C3383" s="66" t="s">
        <v>11144</v>
      </c>
      <c r="D3383" s="66"/>
      <c r="E3383" s="66"/>
      <c r="F3383" s="66"/>
      <c r="G3383" s="27" t="s">
        <v>11145</v>
      </c>
      <c r="H3383" s="33">
        <v>322</v>
      </c>
      <c r="I3383" s="29"/>
      <c r="J3383" s="25">
        <v>1</v>
      </c>
      <c r="K3383" s="37">
        <v>1105.69</v>
      </c>
      <c r="L3383" s="17"/>
      <c r="M3383" s="29">
        <f>K3383*L3383</f>
        <v>0</v>
      </c>
      <c r="N3383" s="34">
        <f>0.79*L3383</f>
        <v>0</v>
      </c>
      <c r="O3383" s="35">
        <f>0.0049*L3383</f>
        <v>0</v>
      </c>
      <c r="P3383" s="36"/>
      <c r="Q3383" s="29" t="s">
        <v>11146</v>
      </c>
      <c r="R3383" s="29"/>
      <c r="S3383" s="26" t="str">
        <f>HYPERLINK("https://miland.ru/api/getInfo/image/0774ff44-1c1f-11f0-a279-00155d82e908")</f>
        <v>https://miland.ru/api/getInfo/image/0774ff44-1c1f-11f0-a279-00155d82e908</v>
      </c>
    </row>
    <row r="3384" spans="1:19" s="1" customFormat="1" ht="12" customHeight="1" outlineLevel="4">
      <c r="A3384" s="64" t="s">
        <v>11147</v>
      </c>
      <c r="B3384" s="64"/>
      <c r="C3384" s="64"/>
      <c r="D3384" s="64"/>
      <c r="E3384" s="64"/>
      <c r="F3384" s="64"/>
      <c r="G3384" s="8"/>
      <c r="H3384" s="12"/>
      <c r="I3384" s="2"/>
      <c r="J3384" s="2"/>
      <c r="K3384" s="13"/>
      <c r="L3384" s="2"/>
      <c r="M3384" s="2"/>
      <c r="N3384" s="2"/>
      <c r="O3384" s="2"/>
      <c r="P3384" s="2"/>
      <c r="Q3384" s="2"/>
      <c r="R3384" s="2"/>
      <c r="S3384" s="2"/>
    </row>
    <row r="3385" spans="1:19" s="2" customFormat="1" ht="96.2" customHeight="1" outlineLevel="5">
      <c r="A3385" s="52">
        <v>2646</v>
      </c>
      <c r="B3385" s="26" t="s">
        <v>11148</v>
      </c>
      <c r="C3385" s="66" t="s">
        <v>11149</v>
      </c>
      <c r="D3385" s="66"/>
      <c r="E3385" s="66"/>
      <c r="F3385" s="66"/>
      <c r="G3385" s="27" t="s">
        <v>11150</v>
      </c>
      <c r="H3385" s="33">
        <v>2</v>
      </c>
      <c r="I3385" s="29"/>
      <c r="J3385" s="25">
        <v>1</v>
      </c>
      <c r="K3385" s="37">
        <v>1452.49</v>
      </c>
      <c r="L3385" s="17"/>
      <c r="M3385" s="29">
        <f t="shared" ref="M3385:M3390" si="161">K3385*L3385</f>
        <v>0</v>
      </c>
      <c r="N3385" s="34">
        <f>0.58*L3385</f>
        <v>0</v>
      </c>
      <c r="O3385" s="32">
        <f>0.00088*L3385</f>
        <v>0</v>
      </c>
      <c r="P3385" s="36"/>
      <c r="Q3385" s="29" t="s">
        <v>11151</v>
      </c>
      <c r="R3385" s="29" t="s">
        <v>611</v>
      </c>
      <c r="S3385" s="26" t="str">
        <f>HYPERLINK("https://miland.ru/api/getInfo/image/ed9fd56a-21ac-11f0-a279-00155d82e908")</f>
        <v>https://miland.ru/api/getInfo/image/ed9fd56a-21ac-11f0-a279-00155d82e908</v>
      </c>
    </row>
    <row r="3386" spans="1:19" s="2" customFormat="1" ht="96.2" customHeight="1" outlineLevel="5">
      <c r="A3386" s="52">
        <v>2647</v>
      </c>
      <c r="B3386" s="26" t="s">
        <v>11152</v>
      </c>
      <c r="C3386" s="66" t="s">
        <v>11153</v>
      </c>
      <c r="D3386" s="66"/>
      <c r="E3386" s="66"/>
      <c r="F3386" s="66"/>
      <c r="G3386" s="27" t="s">
        <v>11154</v>
      </c>
      <c r="H3386" s="33">
        <v>2</v>
      </c>
      <c r="I3386" s="29"/>
      <c r="J3386" s="25">
        <v>1</v>
      </c>
      <c r="K3386" s="37">
        <v>1575.58</v>
      </c>
      <c r="L3386" s="17"/>
      <c r="M3386" s="29">
        <f t="shared" si="161"/>
        <v>0</v>
      </c>
      <c r="N3386" s="31">
        <f>0.682*L3386</f>
        <v>0</v>
      </c>
      <c r="O3386" s="32">
        <f>0.00422*L3386</f>
        <v>0</v>
      </c>
      <c r="P3386" s="36"/>
      <c r="Q3386" s="29" t="s">
        <v>11155</v>
      </c>
      <c r="R3386" s="29" t="s">
        <v>611</v>
      </c>
      <c r="S3386" s="26" t="str">
        <f>HYPERLINK("https://miland.ru/api/getInfo/image/a4e1b02c-21ab-11f0-a279-00155d82e908")</f>
        <v>https://miland.ru/api/getInfo/image/a4e1b02c-21ab-11f0-a279-00155d82e908</v>
      </c>
    </row>
    <row r="3387" spans="1:19" s="2" customFormat="1" ht="96.2" customHeight="1" outlineLevel="5">
      <c r="A3387" s="52">
        <v>2648</v>
      </c>
      <c r="B3387" s="26" t="s">
        <v>11156</v>
      </c>
      <c r="C3387" s="66" t="s">
        <v>11157</v>
      </c>
      <c r="D3387" s="66"/>
      <c r="E3387" s="66"/>
      <c r="F3387" s="66"/>
      <c r="G3387" s="27" t="s">
        <v>11158</v>
      </c>
      <c r="H3387" s="33">
        <v>3</v>
      </c>
      <c r="I3387" s="29"/>
      <c r="J3387" s="25">
        <v>1</v>
      </c>
      <c r="K3387" s="37">
        <v>1772.53</v>
      </c>
      <c r="L3387" s="17"/>
      <c r="M3387" s="29">
        <f t="shared" si="161"/>
        <v>0</v>
      </c>
      <c r="N3387" s="31">
        <f>1.386*L3387</f>
        <v>0</v>
      </c>
      <c r="O3387" s="32">
        <f>0.01323*L3387</f>
        <v>0</v>
      </c>
      <c r="P3387" s="36"/>
      <c r="Q3387" s="29" t="s">
        <v>11159</v>
      </c>
      <c r="R3387" s="29" t="s">
        <v>611</v>
      </c>
      <c r="S3387" s="26" t="str">
        <f>HYPERLINK("https://miland.ru/api/getInfo/image/26af1705-21ad-11f0-a279-00155d82e908")</f>
        <v>https://miland.ru/api/getInfo/image/26af1705-21ad-11f0-a279-00155d82e908</v>
      </c>
    </row>
    <row r="3388" spans="1:19" s="2" customFormat="1" ht="96.2" customHeight="1" outlineLevel="5">
      <c r="A3388" s="52">
        <v>2649</v>
      </c>
      <c r="B3388" s="26" t="s">
        <v>11160</v>
      </c>
      <c r="C3388" s="66" t="s">
        <v>11161</v>
      </c>
      <c r="D3388" s="66"/>
      <c r="E3388" s="66"/>
      <c r="F3388" s="66"/>
      <c r="G3388" s="27" t="s">
        <v>11162</v>
      </c>
      <c r="H3388" s="33">
        <v>3</v>
      </c>
      <c r="I3388" s="29"/>
      <c r="J3388" s="25">
        <v>1</v>
      </c>
      <c r="K3388" s="37">
        <v>1280.1600000000001</v>
      </c>
      <c r="L3388" s="17"/>
      <c r="M3388" s="29">
        <f t="shared" si="161"/>
        <v>0</v>
      </c>
      <c r="N3388" s="31">
        <f>0.631*L3388</f>
        <v>0</v>
      </c>
      <c r="O3388" s="32">
        <f>0.00754*L3388</f>
        <v>0</v>
      </c>
      <c r="P3388" s="36"/>
      <c r="Q3388" s="29" t="s">
        <v>11163</v>
      </c>
      <c r="R3388" s="29" t="s">
        <v>611</v>
      </c>
      <c r="S3388" s="26" t="str">
        <f>HYPERLINK("https://miland.ru/api/getInfo/image/63f18533-21ad-11f0-a279-00155d82e908")</f>
        <v>https://miland.ru/api/getInfo/image/63f18533-21ad-11f0-a279-00155d82e908</v>
      </c>
    </row>
    <row r="3389" spans="1:19" s="2" customFormat="1" ht="96.2" customHeight="1" outlineLevel="5">
      <c r="A3389" s="52">
        <v>2650</v>
      </c>
      <c r="B3389" s="26" t="s">
        <v>11164</v>
      </c>
      <c r="C3389" s="66" t="s">
        <v>11165</v>
      </c>
      <c r="D3389" s="66"/>
      <c r="E3389" s="66"/>
      <c r="F3389" s="66"/>
      <c r="G3389" s="27" t="s">
        <v>11166</v>
      </c>
      <c r="H3389" s="33">
        <v>1</v>
      </c>
      <c r="I3389" s="29"/>
      <c r="J3389" s="25">
        <v>1</v>
      </c>
      <c r="K3389" s="30">
        <v>886.27</v>
      </c>
      <c r="L3389" s="17"/>
      <c r="M3389" s="29">
        <f t="shared" si="161"/>
        <v>0</v>
      </c>
      <c r="N3389" s="31">
        <f>0.494*L3389</f>
        <v>0</v>
      </c>
      <c r="O3389" s="32">
        <f>0.00752*L3389</f>
        <v>0</v>
      </c>
      <c r="P3389" s="36"/>
      <c r="Q3389" s="29" t="s">
        <v>11167</v>
      </c>
      <c r="R3389" s="29" t="s">
        <v>611</v>
      </c>
      <c r="S3389" s="26" t="str">
        <f>HYPERLINK("https://miland.ru/api/getInfo/image/4e8399c7-21ac-11f0-a279-00155d82e908")</f>
        <v>https://miland.ru/api/getInfo/image/4e8399c7-21ac-11f0-a279-00155d82e908</v>
      </c>
    </row>
    <row r="3390" spans="1:19" s="2" customFormat="1" ht="96.2" customHeight="1" outlineLevel="5">
      <c r="A3390" s="52">
        <v>2651</v>
      </c>
      <c r="B3390" s="26" t="s">
        <v>11168</v>
      </c>
      <c r="C3390" s="66" t="s">
        <v>11169</v>
      </c>
      <c r="D3390" s="66"/>
      <c r="E3390" s="66"/>
      <c r="F3390" s="66"/>
      <c r="G3390" s="27" t="s">
        <v>11170</v>
      </c>
      <c r="H3390" s="33">
        <v>2</v>
      </c>
      <c r="I3390" s="29"/>
      <c r="J3390" s="25">
        <v>1</v>
      </c>
      <c r="K3390" s="37">
        <v>1378.64</v>
      </c>
      <c r="L3390" s="17"/>
      <c r="M3390" s="29">
        <f t="shared" si="161"/>
        <v>0</v>
      </c>
      <c r="N3390" s="31">
        <f>0.598*L3390</f>
        <v>0</v>
      </c>
      <c r="O3390" s="32">
        <f>0.00333*L3390</f>
        <v>0</v>
      </c>
      <c r="P3390" s="36"/>
      <c r="Q3390" s="29" t="s">
        <v>11171</v>
      </c>
      <c r="R3390" s="29" t="s">
        <v>611</v>
      </c>
      <c r="S3390" s="26" t="str">
        <f>HYPERLINK("https://miland.ru/api/getInfo/image/eb68c3f1-21ab-11f0-a279-00155d82e908")</f>
        <v>https://miland.ru/api/getInfo/image/eb68c3f1-21ab-11f0-a279-00155d82e908</v>
      </c>
    </row>
    <row r="3391" spans="1:19" s="1" customFormat="1" ht="12" customHeight="1" outlineLevel="2">
      <c r="A3391" s="63" t="s">
        <v>11172</v>
      </c>
      <c r="B3391" s="63"/>
      <c r="C3391" s="63"/>
      <c r="D3391" s="63"/>
      <c r="E3391" s="63"/>
      <c r="F3391" s="63"/>
      <c r="G3391" s="8"/>
      <c r="H3391" s="12"/>
      <c r="I3391" s="2"/>
      <c r="J3391" s="2"/>
      <c r="K3391" s="13"/>
      <c r="L3391" s="2"/>
      <c r="M3391" s="2"/>
      <c r="N3391" s="2"/>
      <c r="O3391" s="2"/>
      <c r="P3391" s="2"/>
      <c r="Q3391" s="2"/>
      <c r="R3391" s="2"/>
      <c r="S3391" s="2"/>
    </row>
    <row r="3392" spans="1:19" s="1" customFormat="1" ht="12" customHeight="1" outlineLevel="3">
      <c r="A3392" s="64" t="s">
        <v>11173</v>
      </c>
      <c r="B3392" s="64"/>
      <c r="C3392" s="64"/>
      <c r="D3392" s="64"/>
      <c r="E3392" s="64"/>
      <c r="F3392" s="64"/>
      <c r="G3392" s="8"/>
      <c r="H3392" s="12"/>
      <c r="I3392" s="2"/>
      <c r="J3392" s="2"/>
      <c r="K3392" s="13"/>
      <c r="L3392" s="2"/>
      <c r="M3392" s="2"/>
      <c r="N3392" s="2"/>
      <c r="O3392" s="2"/>
      <c r="P3392" s="2"/>
      <c r="Q3392" s="2"/>
      <c r="R3392" s="2"/>
      <c r="S3392" s="2"/>
    </row>
    <row r="3393" spans="1:19" s="2" customFormat="1" ht="96.2" customHeight="1" outlineLevel="4">
      <c r="A3393" s="52">
        <v>2652</v>
      </c>
      <c r="B3393" s="26" t="s">
        <v>11174</v>
      </c>
      <c r="C3393" s="66" t="s">
        <v>11175</v>
      </c>
      <c r="D3393" s="66"/>
      <c r="E3393" s="66"/>
      <c r="F3393" s="66"/>
      <c r="G3393" s="27" t="s">
        <v>11176</v>
      </c>
      <c r="H3393" s="28" t="s">
        <v>44</v>
      </c>
      <c r="I3393" s="29"/>
      <c r="J3393" s="25">
        <v>1</v>
      </c>
      <c r="K3393" s="37">
        <v>1962.98</v>
      </c>
      <c r="L3393" s="17"/>
      <c r="M3393" s="29">
        <f>K3393*L3393</f>
        <v>0</v>
      </c>
      <c r="N3393" s="31">
        <f>0.944*L3393</f>
        <v>0</v>
      </c>
      <c r="O3393" s="32">
        <f>0.00324*L3393</f>
        <v>0</v>
      </c>
      <c r="P3393" s="36"/>
      <c r="Q3393" s="29" t="s">
        <v>11177</v>
      </c>
      <c r="R3393" s="29" t="s">
        <v>611</v>
      </c>
      <c r="S3393" s="26" t="str">
        <f>HYPERLINK("https://miland.ru/api/getInfo/image/0c5b2137-a0a4-11ee-a257-00155d82e908")</f>
        <v>https://miland.ru/api/getInfo/image/0c5b2137-a0a4-11ee-a257-00155d82e908</v>
      </c>
    </row>
    <row r="3394" spans="1:19" s="2" customFormat="1" ht="96.2" customHeight="1" outlineLevel="4">
      <c r="A3394" s="52">
        <v>2653</v>
      </c>
      <c r="B3394" s="26" t="s">
        <v>11178</v>
      </c>
      <c r="C3394" s="66" t="s">
        <v>11179</v>
      </c>
      <c r="D3394" s="66"/>
      <c r="E3394" s="66"/>
      <c r="F3394" s="66"/>
      <c r="G3394" s="27" t="s">
        <v>11180</v>
      </c>
      <c r="H3394" s="28" t="s">
        <v>44</v>
      </c>
      <c r="I3394" s="29"/>
      <c r="J3394" s="25">
        <v>1</v>
      </c>
      <c r="K3394" s="37">
        <v>1962.98</v>
      </c>
      <c r="L3394" s="17"/>
      <c r="M3394" s="29">
        <f>K3394*L3394</f>
        <v>0</v>
      </c>
      <c r="N3394" s="34">
        <f>0.95*L3394</f>
        <v>0</v>
      </c>
      <c r="O3394" s="32">
        <f>0.00314*L3394</f>
        <v>0</v>
      </c>
      <c r="P3394" s="36"/>
      <c r="Q3394" s="29" t="s">
        <v>11181</v>
      </c>
      <c r="R3394" s="29" t="s">
        <v>611</v>
      </c>
      <c r="S3394" s="26" t="str">
        <f>HYPERLINK("https://miland.ru/api/getInfo/image/cebb4bf7-3ac5-11ef-a261-00155d82e908")</f>
        <v>https://miland.ru/api/getInfo/image/cebb4bf7-3ac5-11ef-a261-00155d82e908</v>
      </c>
    </row>
    <row r="3395" spans="1:19" s="1" customFormat="1" ht="12" customHeight="1" outlineLevel="3">
      <c r="A3395" s="64" t="s">
        <v>11182</v>
      </c>
      <c r="B3395" s="64"/>
      <c r="C3395" s="64"/>
      <c r="D3395" s="64"/>
      <c r="E3395" s="64"/>
      <c r="F3395" s="64"/>
      <c r="G3395" s="8"/>
      <c r="H3395" s="12"/>
      <c r="I3395" s="2"/>
      <c r="J3395" s="2"/>
      <c r="K3395" s="13"/>
      <c r="L3395" s="2"/>
      <c r="M3395" s="2"/>
      <c r="N3395" s="2"/>
      <c r="O3395" s="2"/>
      <c r="P3395" s="2"/>
      <c r="Q3395" s="2"/>
      <c r="R3395" s="2"/>
      <c r="S3395" s="2"/>
    </row>
    <row r="3396" spans="1:19" s="2" customFormat="1" ht="96.2" customHeight="1" outlineLevel="4">
      <c r="A3396" s="52">
        <v>2654</v>
      </c>
      <c r="B3396" s="26" t="s">
        <v>11183</v>
      </c>
      <c r="C3396" s="66" t="s">
        <v>11184</v>
      </c>
      <c r="D3396" s="66"/>
      <c r="E3396" s="66"/>
      <c r="F3396" s="66"/>
      <c r="G3396" s="27" t="s">
        <v>11185</v>
      </c>
      <c r="H3396" s="33">
        <v>1</v>
      </c>
      <c r="I3396" s="29"/>
      <c r="J3396" s="25">
        <v>1</v>
      </c>
      <c r="K3396" s="30">
        <v>192.12</v>
      </c>
      <c r="L3396" s="17"/>
      <c r="M3396" s="29">
        <f t="shared" ref="M3396:M3405" si="162">K3396*L3396</f>
        <v>0</v>
      </c>
      <c r="N3396" s="31">
        <f>0.012*L3396</f>
        <v>0</v>
      </c>
      <c r="O3396" s="32">
        <f>0.00011*L3396</f>
        <v>0</v>
      </c>
      <c r="P3396" s="36"/>
      <c r="Q3396" s="29" t="s">
        <v>11186</v>
      </c>
      <c r="R3396" s="29" t="s">
        <v>611</v>
      </c>
      <c r="S3396" s="26" t="str">
        <f>HYPERLINK("https://miland.ru/api/getInfo/image/7cbb2d83-2104-11f0-a279-00155d82e908")</f>
        <v>https://miland.ru/api/getInfo/image/7cbb2d83-2104-11f0-a279-00155d82e908</v>
      </c>
    </row>
    <row r="3397" spans="1:19" s="2" customFormat="1" ht="96.2" customHeight="1" outlineLevel="4">
      <c r="A3397" s="52">
        <v>2655</v>
      </c>
      <c r="B3397" s="26" t="s">
        <v>11187</v>
      </c>
      <c r="C3397" s="66" t="s">
        <v>11188</v>
      </c>
      <c r="D3397" s="66"/>
      <c r="E3397" s="66"/>
      <c r="F3397" s="66"/>
      <c r="G3397" s="27" t="s">
        <v>11189</v>
      </c>
      <c r="H3397" s="28" t="s">
        <v>44</v>
      </c>
      <c r="I3397" s="29"/>
      <c r="J3397" s="25">
        <v>4</v>
      </c>
      <c r="K3397" s="30">
        <v>208.92</v>
      </c>
      <c r="L3397" s="17"/>
      <c r="M3397" s="29">
        <f t="shared" si="162"/>
        <v>0</v>
      </c>
      <c r="N3397" s="31">
        <f>0.029*L3397</f>
        <v>0</v>
      </c>
      <c r="O3397" s="32">
        <f>0.00007*L3397</f>
        <v>0</v>
      </c>
      <c r="P3397" s="36"/>
      <c r="Q3397" s="29" t="s">
        <v>11190</v>
      </c>
      <c r="R3397" s="29"/>
      <c r="S3397" s="26" t="str">
        <f>HYPERLINK("https://miland.ru/api/getInfo/image/28102166-2105-11f0-a279-00155d82e908")</f>
        <v>https://miland.ru/api/getInfo/image/28102166-2105-11f0-a279-00155d82e908</v>
      </c>
    </row>
    <row r="3398" spans="1:19" s="2" customFormat="1" ht="96.2" customHeight="1" outlineLevel="4">
      <c r="A3398" s="52">
        <v>2656</v>
      </c>
      <c r="B3398" s="26" t="s">
        <v>11191</v>
      </c>
      <c r="C3398" s="66" t="s">
        <v>11192</v>
      </c>
      <c r="D3398" s="66"/>
      <c r="E3398" s="66"/>
      <c r="F3398" s="66"/>
      <c r="G3398" s="27" t="s">
        <v>11193</v>
      </c>
      <c r="H3398" s="28" t="s">
        <v>44</v>
      </c>
      <c r="I3398" s="29"/>
      <c r="J3398" s="25">
        <v>3</v>
      </c>
      <c r="K3398" s="30">
        <v>280.24</v>
      </c>
      <c r="L3398" s="17"/>
      <c r="M3398" s="29">
        <f t="shared" si="162"/>
        <v>0</v>
      </c>
      <c r="N3398" s="31">
        <f>0.037*L3398</f>
        <v>0</v>
      </c>
      <c r="O3398" s="32">
        <f>0.00006*L3398</f>
        <v>0</v>
      </c>
      <c r="P3398" s="36"/>
      <c r="Q3398" s="29" t="s">
        <v>11194</v>
      </c>
      <c r="R3398" s="29"/>
      <c r="S3398" s="26" t="str">
        <f>HYPERLINK("https://miland.ru/api/getInfo/image/9e4419ba-2105-11f0-a279-00155d82e908")</f>
        <v>https://miland.ru/api/getInfo/image/9e4419ba-2105-11f0-a279-00155d82e908</v>
      </c>
    </row>
    <row r="3399" spans="1:19" s="2" customFormat="1" ht="96.2" customHeight="1" outlineLevel="4">
      <c r="A3399" s="52">
        <v>2657</v>
      </c>
      <c r="B3399" s="26" t="s">
        <v>11195</v>
      </c>
      <c r="C3399" s="66" t="s">
        <v>11196</v>
      </c>
      <c r="D3399" s="66"/>
      <c r="E3399" s="66"/>
      <c r="F3399" s="66"/>
      <c r="G3399" s="27" t="s">
        <v>11197</v>
      </c>
      <c r="H3399" s="28" t="s">
        <v>44</v>
      </c>
      <c r="I3399" s="29"/>
      <c r="J3399" s="25">
        <v>2</v>
      </c>
      <c r="K3399" s="30">
        <v>305.70999999999998</v>
      </c>
      <c r="L3399" s="17"/>
      <c r="M3399" s="29">
        <f t="shared" si="162"/>
        <v>0</v>
      </c>
      <c r="N3399" s="31">
        <f>0.414*L3399</f>
        <v>0</v>
      </c>
      <c r="O3399" s="32">
        <f>0.00141*L3399</f>
        <v>0</v>
      </c>
      <c r="P3399" s="36"/>
      <c r="Q3399" s="29" t="s">
        <v>11198</v>
      </c>
      <c r="R3399" s="29"/>
      <c r="S3399" s="26" t="str">
        <f>HYPERLINK("https://miland.ru/api/getInfo/image/803d4681-2106-11f0-a279-00155d82e908")</f>
        <v>https://miland.ru/api/getInfo/image/803d4681-2106-11f0-a279-00155d82e908</v>
      </c>
    </row>
    <row r="3400" spans="1:19" s="2" customFormat="1" ht="96.2" customHeight="1" outlineLevel="4">
      <c r="A3400" s="52">
        <v>2658</v>
      </c>
      <c r="B3400" s="26" t="s">
        <v>11199</v>
      </c>
      <c r="C3400" s="66" t="s">
        <v>11200</v>
      </c>
      <c r="D3400" s="66"/>
      <c r="E3400" s="66"/>
      <c r="F3400" s="66"/>
      <c r="G3400" s="27" t="s">
        <v>11201</v>
      </c>
      <c r="H3400" s="28" t="s">
        <v>44</v>
      </c>
      <c r="I3400" s="29"/>
      <c r="J3400" s="25">
        <v>3</v>
      </c>
      <c r="K3400" s="30">
        <v>229.31</v>
      </c>
      <c r="L3400" s="17"/>
      <c r="M3400" s="29">
        <f t="shared" si="162"/>
        <v>0</v>
      </c>
      <c r="N3400" s="31">
        <f>0.028*L3400</f>
        <v>0</v>
      </c>
      <c r="O3400" s="32">
        <f>0.00005*L3400</f>
        <v>0</v>
      </c>
      <c r="P3400" s="36"/>
      <c r="Q3400" s="29" t="s">
        <v>11202</v>
      </c>
      <c r="R3400" s="29"/>
      <c r="S3400" s="26" t="str">
        <f>HYPERLINK("https://miland.ru/api/getInfo/image/22ef920b-f0ea-11ee-a25b-00155d82e908")</f>
        <v>https://miland.ru/api/getInfo/image/22ef920b-f0ea-11ee-a25b-00155d82e908</v>
      </c>
    </row>
    <row r="3401" spans="1:19" s="2" customFormat="1" ht="96.2" customHeight="1" outlineLevel="4">
      <c r="A3401" s="52">
        <v>2659</v>
      </c>
      <c r="B3401" s="26" t="s">
        <v>11203</v>
      </c>
      <c r="C3401" s="66" t="s">
        <v>11204</v>
      </c>
      <c r="D3401" s="66"/>
      <c r="E3401" s="66"/>
      <c r="F3401" s="66"/>
      <c r="G3401" s="27" t="s">
        <v>11205</v>
      </c>
      <c r="H3401" s="28" t="s">
        <v>44</v>
      </c>
      <c r="I3401" s="29"/>
      <c r="J3401" s="25">
        <v>3</v>
      </c>
      <c r="K3401" s="30">
        <v>229.31</v>
      </c>
      <c r="L3401" s="17"/>
      <c r="M3401" s="29">
        <f t="shared" si="162"/>
        <v>0</v>
      </c>
      <c r="N3401" s="31">
        <f>0.027*L3401</f>
        <v>0</v>
      </c>
      <c r="O3401" s="32">
        <f>0.00004*L3401</f>
        <v>0</v>
      </c>
      <c r="P3401" s="36"/>
      <c r="Q3401" s="29" t="s">
        <v>11206</v>
      </c>
      <c r="R3401" s="29"/>
      <c r="S3401" s="26" t="str">
        <f>HYPERLINK("https://miland.ru/api/getInfo/image/3cd59802-f0ea-11ee-a25b-00155d82e908")</f>
        <v>https://miland.ru/api/getInfo/image/3cd59802-f0ea-11ee-a25b-00155d82e908</v>
      </c>
    </row>
    <row r="3402" spans="1:19" s="2" customFormat="1" ht="96.2" customHeight="1" outlineLevel="4">
      <c r="A3402" s="52">
        <v>2660</v>
      </c>
      <c r="B3402" s="26" t="s">
        <v>11207</v>
      </c>
      <c r="C3402" s="66" t="s">
        <v>11208</v>
      </c>
      <c r="D3402" s="66"/>
      <c r="E3402" s="66"/>
      <c r="F3402" s="66"/>
      <c r="G3402" s="27" t="s">
        <v>11209</v>
      </c>
      <c r="H3402" s="28" t="s">
        <v>44</v>
      </c>
      <c r="I3402" s="29"/>
      <c r="J3402" s="25">
        <v>3</v>
      </c>
      <c r="K3402" s="30">
        <v>254.78</v>
      </c>
      <c r="L3402" s="17"/>
      <c r="M3402" s="29">
        <f t="shared" si="162"/>
        <v>0</v>
      </c>
      <c r="N3402" s="31">
        <f>0.024*L3402</f>
        <v>0</v>
      </c>
      <c r="O3402" s="32">
        <f>0.00011*L3402</f>
        <v>0</v>
      </c>
      <c r="P3402" s="36"/>
      <c r="Q3402" s="29" t="s">
        <v>11210</v>
      </c>
      <c r="R3402" s="29"/>
      <c r="S3402" s="26" t="str">
        <f>HYPERLINK("https://miland.ru/api/getInfo/image/dba4adb9-f0e9-11ee-a25b-00155d82e908")</f>
        <v>https://miland.ru/api/getInfo/image/dba4adb9-f0e9-11ee-a25b-00155d82e908</v>
      </c>
    </row>
    <row r="3403" spans="1:19" s="2" customFormat="1" ht="96.2" customHeight="1" outlineLevel="4">
      <c r="A3403" s="52">
        <v>2661</v>
      </c>
      <c r="B3403" s="26" t="s">
        <v>11211</v>
      </c>
      <c r="C3403" s="66" t="s">
        <v>11212</v>
      </c>
      <c r="D3403" s="66"/>
      <c r="E3403" s="66"/>
      <c r="F3403" s="66"/>
      <c r="G3403" s="27" t="s">
        <v>11213</v>
      </c>
      <c r="H3403" s="28" t="s">
        <v>44</v>
      </c>
      <c r="I3403" s="29"/>
      <c r="J3403" s="25">
        <v>3</v>
      </c>
      <c r="K3403" s="30">
        <v>254.77</v>
      </c>
      <c r="L3403" s="17"/>
      <c r="M3403" s="29">
        <f t="shared" si="162"/>
        <v>0</v>
      </c>
      <c r="N3403" s="31">
        <f>0.027*L3403</f>
        <v>0</v>
      </c>
      <c r="O3403" s="32">
        <f>0.00009*L3403</f>
        <v>0</v>
      </c>
      <c r="P3403" s="36"/>
      <c r="Q3403" s="29" t="s">
        <v>11214</v>
      </c>
      <c r="R3403" s="29"/>
      <c r="S3403" s="26" t="str">
        <f>HYPERLINK("https://miland.ru/api/getInfo/image/d0f466e2-d92b-11ed-a232-00155d82e902")</f>
        <v>https://miland.ru/api/getInfo/image/d0f466e2-d92b-11ed-a232-00155d82e902</v>
      </c>
    </row>
    <row r="3404" spans="1:19" s="2" customFormat="1" ht="96.2" customHeight="1" outlineLevel="4">
      <c r="A3404" s="52">
        <v>2662</v>
      </c>
      <c r="B3404" s="26" t="s">
        <v>11215</v>
      </c>
      <c r="C3404" s="66" t="s">
        <v>11216</v>
      </c>
      <c r="D3404" s="66"/>
      <c r="E3404" s="66"/>
      <c r="F3404" s="66"/>
      <c r="G3404" s="27" t="s">
        <v>11217</v>
      </c>
      <c r="H3404" s="28" t="s">
        <v>44</v>
      </c>
      <c r="I3404" s="29"/>
      <c r="J3404" s="25">
        <v>3</v>
      </c>
      <c r="K3404" s="30">
        <v>244.59</v>
      </c>
      <c r="L3404" s="17"/>
      <c r="M3404" s="29">
        <f t="shared" si="162"/>
        <v>0</v>
      </c>
      <c r="N3404" s="31">
        <f>0.026*L3404</f>
        <v>0</v>
      </c>
      <c r="O3404" s="32">
        <f>0.00009*L3404</f>
        <v>0</v>
      </c>
      <c r="P3404" s="36"/>
      <c r="Q3404" s="29" t="s">
        <v>11218</v>
      </c>
      <c r="R3404" s="29"/>
      <c r="S3404" s="26" t="str">
        <f>HYPERLINK("https://miland.ru/api/getInfo/image/cd70e6a4-f0e9-11ee-a25b-00155d82e908")</f>
        <v>https://miland.ru/api/getInfo/image/cd70e6a4-f0e9-11ee-a25b-00155d82e908</v>
      </c>
    </row>
    <row r="3405" spans="1:19" s="2" customFormat="1" ht="96.2" customHeight="1" outlineLevel="4">
      <c r="A3405" s="53">
        <v>2663</v>
      </c>
      <c r="B3405" s="10" t="s">
        <v>11219</v>
      </c>
      <c r="C3405" s="65" t="s">
        <v>11220</v>
      </c>
      <c r="D3405" s="65"/>
      <c r="E3405" s="65"/>
      <c r="F3405" s="65"/>
      <c r="G3405" s="11" t="s">
        <v>11221</v>
      </c>
      <c r="H3405" s="21" t="s">
        <v>44</v>
      </c>
      <c r="I3405" s="15"/>
      <c r="J3405" s="9">
        <v>3</v>
      </c>
      <c r="K3405" s="16">
        <v>236.86</v>
      </c>
      <c r="L3405" s="17"/>
      <c r="M3405" s="15">
        <f t="shared" si="162"/>
        <v>0</v>
      </c>
      <c r="N3405" s="18">
        <f>0.024*L3405</f>
        <v>0</v>
      </c>
      <c r="O3405" s="19">
        <f>0.00012*L3405</f>
        <v>0</v>
      </c>
      <c r="P3405" s="24" t="s">
        <v>26</v>
      </c>
      <c r="Q3405" s="15" t="s">
        <v>11222</v>
      </c>
      <c r="R3405" s="15"/>
      <c r="S3405" s="10" t="str">
        <f>HYPERLINK("https://miland.ru/api/getInfo/image/36c9365d-2cfe-11f1-a292-00155d82e908")</f>
        <v>https://miland.ru/api/getInfo/image/36c9365d-2cfe-11f1-a292-00155d82e908</v>
      </c>
    </row>
    <row r="3406" spans="1:19" s="1" customFormat="1" ht="12" customHeight="1" outlineLevel="3">
      <c r="A3406" s="64" t="s">
        <v>11223</v>
      </c>
      <c r="B3406" s="64"/>
      <c r="C3406" s="64"/>
      <c r="D3406" s="64"/>
      <c r="E3406" s="64"/>
      <c r="F3406" s="64"/>
      <c r="G3406" s="8"/>
      <c r="H3406" s="12"/>
      <c r="I3406" s="2"/>
      <c r="J3406" s="2"/>
      <c r="K3406" s="13"/>
      <c r="L3406" s="2"/>
      <c r="M3406" s="2"/>
      <c r="N3406" s="2"/>
      <c r="O3406" s="2"/>
      <c r="P3406" s="2"/>
      <c r="Q3406" s="2"/>
      <c r="R3406" s="2"/>
      <c r="S3406" s="2"/>
    </row>
    <row r="3407" spans="1:19" s="1" customFormat="1" ht="12" customHeight="1" outlineLevel="4">
      <c r="A3407" s="64" t="s">
        <v>11224</v>
      </c>
      <c r="B3407" s="64"/>
      <c r="C3407" s="64"/>
      <c r="D3407" s="64"/>
      <c r="E3407" s="64"/>
      <c r="F3407" s="64"/>
      <c r="G3407" s="8"/>
      <c r="H3407" s="12"/>
      <c r="I3407" s="2"/>
      <c r="J3407" s="2"/>
      <c r="K3407" s="13"/>
      <c r="L3407" s="2"/>
      <c r="M3407" s="2"/>
      <c r="N3407" s="2"/>
      <c r="O3407" s="2"/>
      <c r="P3407" s="2"/>
      <c r="Q3407" s="2"/>
      <c r="R3407" s="2"/>
      <c r="S3407" s="2"/>
    </row>
    <row r="3408" spans="1:19" s="2" customFormat="1" ht="96.2" customHeight="1" outlineLevel="5">
      <c r="A3408" s="52">
        <v>2664</v>
      </c>
      <c r="B3408" s="26" t="s">
        <v>11225</v>
      </c>
      <c r="C3408" s="66" t="s">
        <v>11226</v>
      </c>
      <c r="D3408" s="66"/>
      <c r="E3408" s="66"/>
      <c r="F3408" s="66"/>
      <c r="G3408" s="27" t="s">
        <v>11227</v>
      </c>
      <c r="H3408" s="28" t="s">
        <v>44</v>
      </c>
      <c r="I3408" s="29"/>
      <c r="J3408" s="25">
        <v>1</v>
      </c>
      <c r="K3408" s="37">
        <v>2185.16</v>
      </c>
      <c r="L3408" s="17"/>
      <c r="M3408" s="29">
        <f>K3408*L3408</f>
        <v>0</v>
      </c>
      <c r="N3408" s="31">
        <f>0.616*L3408</f>
        <v>0</v>
      </c>
      <c r="O3408" s="32">
        <f>0.00918*L3408</f>
        <v>0</v>
      </c>
      <c r="P3408" s="36"/>
      <c r="Q3408" s="29" t="s">
        <v>11228</v>
      </c>
      <c r="R3408" s="29"/>
      <c r="S3408" s="26" t="str">
        <f>HYPERLINK("https://miland.ru/api/getInfo/image/9da28097-f630-11e9-a235-ac1f6b442184")</f>
        <v>https://miland.ru/api/getInfo/image/9da28097-f630-11e9-a235-ac1f6b442184</v>
      </c>
    </row>
    <row r="3409" spans="1:19" s="1" customFormat="1" ht="12" customHeight="1" outlineLevel="4">
      <c r="A3409" s="64" t="s">
        <v>11229</v>
      </c>
      <c r="B3409" s="64"/>
      <c r="C3409" s="64"/>
      <c r="D3409" s="64"/>
      <c r="E3409" s="64"/>
      <c r="F3409" s="64"/>
      <c r="G3409" s="8"/>
      <c r="H3409" s="12"/>
      <c r="I3409" s="2"/>
      <c r="J3409" s="2"/>
      <c r="K3409" s="13"/>
      <c r="L3409" s="2"/>
      <c r="M3409" s="2"/>
      <c r="N3409" s="2"/>
      <c r="O3409" s="2"/>
      <c r="P3409" s="2"/>
      <c r="Q3409" s="2"/>
      <c r="R3409" s="2"/>
      <c r="S3409" s="2"/>
    </row>
    <row r="3410" spans="1:19" s="2" customFormat="1" ht="96.2" customHeight="1" outlineLevel="5">
      <c r="A3410" s="53">
        <v>2665</v>
      </c>
      <c r="B3410" s="10" t="s">
        <v>11230</v>
      </c>
      <c r="C3410" s="65" t="s">
        <v>11231</v>
      </c>
      <c r="D3410" s="65"/>
      <c r="E3410" s="65"/>
      <c r="F3410" s="65"/>
      <c r="G3410" s="11" t="s">
        <v>11232</v>
      </c>
      <c r="H3410" s="14">
        <v>107</v>
      </c>
      <c r="I3410" s="15"/>
      <c r="J3410" s="9">
        <v>1</v>
      </c>
      <c r="K3410" s="22">
        <v>1413.7</v>
      </c>
      <c r="L3410" s="17"/>
      <c r="M3410" s="15">
        <f t="shared" ref="M3410:M3428" si="163">K3410*L3410</f>
        <v>0</v>
      </c>
      <c r="N3410" s="18">
        <f>0.605*L3410</f>
        <v>0</v>
      </c>
      <c r="O3410" s="19">
        <f>0.00291*L3410</f>
        <v>0</v>
      </c>
      <c r="P3410" s="24" t="s">
        <v>26</v>
      </c>
      <c r="Q3410" s="15" t="s">
        <v>11233</v>
      </c>
      <c r="R3410" s="15"/>
      <c r="S3410" s="10" t="str">
        <f>HYPERLINK("https://miland.ru/api/getInfo/image/89a1f243-4462-11f1-a294-00155d82e908")</f>
        <v>https://miland.ru/api/getInfo/image/89a1f243-4462-11f1-a294-00155d82e908</v>
      </c>
    </row>
    <row r="3411" spans="1:19" s="2" customFormat="1" ht="96.2" customHeight="1" outlineLevel="5">
      <c r="A3411" s="53">
        <v>2666</v>
      </c>
      <c r="B3411" s="10" t="s">
        <v>11234</v>
      </c>
      <c r="C3411" s="65" t="s">
        <v>11235</v>
      </c>
      <c r="D3411" s="65"/>
      <c r="E3411" s="65"/>
      <c r="F3411" s="65"/>
      <c r="G3411" s="11" t="s">
        <v>11236</v>
      </c>
      <c r="H3411" s="14">
        <v>479</v>
      </c>
      <c r="I3411" s="15"/>
      <c r="J3411" s="9">
        <v>2</v>
      </c>
      <c r="K3411" s="16">
        <v>294.69</v>
      </c>
      <c r="L3411" s="17"/>
      <c r="M3411" s="15">
        <f t="shared" si="163"/>
        <v>0</v>
      </c>
      <c r="N3411" s="18">
        <f>0.096*L3411</f>
        <v>0</v>
      </c>
      <c r="O3411" s="19">
        <f>0.00072*L3411</f>
        <v>0</v>
      </c>
      <c r="P3411" s="24" t="s">
        <v>26</v>
      </c>
      <c r="Q3411" s="15" t="s">
        <v>11237</v>
      </c>
      <c r="R3411" s="15"/>
      <c r="S3411" s="10" t="str">
        <f>HYPERLINK("https://miland.ru/api/getInfo/image/1f1b0f8a-4463-11f1-a294-00155d82e908")</f>
        <v>https://miland.ru/api/getInfo/image/1f1b0f8a-4463-11f1-a294-00155d82e908</v>
      </c>
    </row>
    <row r="3412" spans="1:19" s="2" customFormat="1" ht="96.2" customHeight="1" outlineLevel="5">
      <c r="A3412" s="53">
        <v>2667</v>
      </c>
      <c r="B3412" s="10" t="s">
        <v>11238</v>
      </c>
      <c r="C3412" s="65" t="s">
        <v>11239</v>
      </c>
      <c r="D3412" s="65"/>
      <c r="E3412" s="65"/>
      <c r="F3412" s="65"/>
      <c r="G3412" s="11" t="s">
        <v>11240</v>
      </c>
      <c r="H3412" s="14">
        <v>92</v>
      </c>
      <c r="I3412" s="15"/>
      <c r="J3412" s="9">
        <v>1</v>
      </c>
      <c r="K3412" s="16">
        <v>639.13</v>
      </c>
      <c r="L3412" s="17"/>
      <c r="M3412" s="15">
        <f t="shared" si="163"/>
        <v>0</v>
      </c>
      <c r="N3412" s="18">
        <f>0.243*L3412</f>
        <v>0</v>
      </c>
      <c r="O3412" s="19">
        <f>0.00374*L3412</f>
        <v>0</v>
      </c>
      <c r="P3412" s="24" t="s">
        <v>26</v>
      </c>
      <c r="Q3412" s="15" t="s">
        <v>11241</v>
      </c>
      <c r="R3412" s="15"/>
      <c r="S3412" s="10" t="str">
        <f>HYPERLINK("https://miland.ru/api/getInfo/image/7b762b3b-4462-11f1-a294-00155d82e908")</f>
        <v>https://miland.ru/api/getInfo/image/7b762b3b-4462-11f1-a294-00155d82e908</v>
      </c>
    </row>
    <row r="3413" spans="1:19" s="2" customFormat="1" ht="96.2" customHeight="1" outlineLevel="5">
      <c r="A3413" s="53">
        <v>2668</v>
      </c>
      <c r="B3413" s="10" t="s">
        <v>11242</v>
      </c>
      <c r="C3413" s="65" t="s">
        <v>11243</v>
      </c>
      <c r="D3413" s="65"/>
      <c r="E3413" s="65"/>
      <c r="F3413" s="65"/>
      <c r="G3413" s="11" t="s">
        <v>11244</v>
      </c>
      <c r="H3413" s="14">
        <v>95</v>
      </c>
      <c r="I3413" s="15"/>
      <c r="J3413" s="9">
        <v>1</v>
      </c>
      <c r="K3413" s="16">
        <v>712.66</v>
      </c>
      <c r="L3413" s="17"/>
      <c r="M3413" s="15">
        <f t="shared" si="163"/>
        <v>0</v>
      </c>
      <c r="N3413" s="18">
        <f>0.302*L3413</f>
        <v>0</v>
      </c>
      <c r="O3413" s="19">
        <f>0.00336*L3413</f>
        <v>0</v>
      </c>
      <c r="P3413" s="24" t="s">
        <v>26</v>
      </c>
      <c r="Q3413" s="15" t="s">
        <v>11245</v>
      </c>
      <c r="R3413" s="15"/>
      <c r="S3413" s="10" t="str">
        <f>HYPERLINK("https://miland.ru/api/getInfo/image/9273691f-4461-11f1-a294-00155d82e908")</f>
        <v>https://miland.ru/api/getInfo/image/9273691f-4461-11f1-a294-00155d82e908</v>
      </c>
    </row>
    <row r="3414" spans="1:19" s="2" customFormat="1" ht="96.2" customHeight="1" outlineLevel="5">
      <c r="A3414" s="53">
        <v>2669</v>
      </c>
      <c r="B3414" s="10" t="s">
        <v>11246</v>
      </c>
      <c r="C3414" s="65" t="s">
        <v>11247</v>
      </c>
      <c r="D3414" s="65"/>
      <c r="E3414" s="65"/>
      <c r="F3414" s="65"/>
      <c r="G3414" s="11" t="s">
        <v>11248</v>
      </c>
      <c r="H3414" s="14">
        <v>143</v>
      </c>
      <c r="I3414" s="15"/>
      <c r="J3414" s="9">
        <v>1</v>
      </c>
      <c r="K3414" s="16">
        <v>638.66999999999996</v>
      </c>
      <c r="L3414" s="17"/>
      <c r="M3414" s="15">
        <f t="shared" si="163"/>
        <v>0</v>
      </c>
      <c r="N3414" s="18">
        <f>0.253*L3414</f>
        <v>0</v>
      </c>
      <c r="O3414" s="19">
        <f>0.00241*L3414</f>
        <v>0</v>
      </c>
      <c r="P3414" s="24" t="s">
        <v>26</v>
      </c>
      <c r="Q3414" s="15" t="s">
        <v>11249</v>
      </c>
      <c r="R3414" s="15"/>
      <c r="S3414" s="10" t="str">
        <f>HYPERLINK("https://miland.ru/api/getInfo/image/15a49a8b-4462-11f1-a294-00155d82e908")</f>
        <v>https://miland.ru/api/getInfo/image/15a49a8b-4462-11f1-a294-00155d82e908</v>
      </c>
    </row>
    <row r="3415" spans="1:19" s="2" customFormat="1" ht="96.2" customHeight="1" outlineLevel="5">
      <c r="A3415" s="52">
        <v>2670</v>
      </c>
      <c r="B3415" s="26" t="s">
        <v>11250</v>
      </c>
      <c r="C3415" s="66" t="s">
        <v>11251</v>
      </c>
      <c r="D3415" s="66"/>
      <c r="E3415" s="66"/>
      <c r="F3415" s="66"/>
      <c r="G3415" s="27" t="s">
        <v>11252</v>
      </c>
      <c r="H3415" s="28" t="s">
        <v>44</v>
      </c>
      <c r="I3415" s="29"/>
      <c r="J3415" s="25">
        <v>2</v>
      </c>
      <c r="K3415" s="30">
        <v>302.29000000000002</v>
      </c>
      <c r="L3415" s="17"/>
      <c r="M3415" s="29">
        <f t="shared" si="163"/>
        <v>0</v>
      </c>
      <c r="N3415" s="31">
        <f>0.151*L3415</f>
        <v>0</v>
      </c>
      <c r="O3415" s="32">
        <f>0.00091*L3415</f>
        <v>0</v>
      </c>
      <c r="P3415" s="36"/>
      <c r="Q3415" s="29" t="s">
        <v>11253</v>
      </c>
      <c r="R3415" s="29"/>
      <c r="S3415" s="26" t="str">
        <f>HYPERLINK("https://miland.ru/api/getInfo/image/0861c843-f62e-11e9-a235-ac1f6b442184")</f>
        <v>https://miland.ru/api/getInfo/image/0861c843-f62e-11e9-a235-ac1f6b442184</v>
      </c>
    </row>
    <row r="3416" spans="1:19" s="2" customFormat="1" ht="96.2" customHeight="1" outlineLevel="5">
      <c r="A3416" s="53">
        <v>2671</v>
      </c>
      <c r="B3416" s="10" t="s">
        <v>11254</v>
      </c>
      <c r="C3416" s="65" t="s">
        <v>11255</v>
      </c>
      <c r="D3416" s="65"/>
      <c r="E3416" s="65"/>
      <c r="F3416" s="65"/>
      <c r="G3416" s="11" t="s">
        <v>11256</v>
      </c>
      <c r="H3416" s="14">
        <v>287</v>
      </c>
      <c r="I3416" s="15"/>
      <c r="J3416" s="9">
        <v>1</v>
      </c>
      <c r="K3416" s="16">
        <v>687.24</v>
      </c>
      <c r="L3416" s="17"/>
      <c r="M3416" s="15">
        <f t="shared" si="163"/>
        <v>0</v>
      </c>
      <c r="N3416" s="18">
        <f>0.245*L3416</f>
        <v>0</v>
      </c>
      <c r="O3416" s="19">
        <f>0.00143*L3416</f>
        <v>0</v>
      </c>
      <c r="P3416" s="24" t="s">
        <v>26</v>
      </c>
      <c r="Q3416" s="15" t="s">
        <v>11257</v>
      </c>
      <c r="R3416" s="15"/>
      <c r="S3416" s="10" t="str">
        <f>HYPERLINK("https://miland.ru/api/getInfo/image/3cd3f7d6-4462-11f1-a294-00155d82e908")</f>
        <v>https://miland.ru/api/getInfo/image/3cd3f7d6-4462-11f1-a294-00155d82e908</v>
      </c>
    </row>
    <row r="3417" spans="1:19" s="2" customFormat="1" ht="96.2" customHeight="1" outlineLevel="5">
      <c r="A3417" s="53">
        <v>2672</v>
      </c>
      <c r="B3417" s="10" t="s">
        <v>11258</v>
      </c>
      <c r="C3417" s="65" t="s">
        <v>11259</v>
      </c>
      <c r="D3417" s="65"/>
      <c r="E3417" s="65"/>
      <c r="F3417" s="65"/>
      <c r="G3417" s="11" t="s">
        <v>11260</v>
      </c>
      <c r="H3417" s="14">
        <v>97</v>
      </c>
      <c r="I3417" s="15"/>
      <c r="J3417" s="9">
        <v>1</v>
      </c>
      <c r="K3417" s="16">
        <v>786.2</v>
      </c>
      <c r="L3417" s="17"/>
      <c r="M3417" s="15">
        <f t="shared" si="163"/>
        <v>0</v>
      </c>
      <c r="N3417" s="23">
        <f>0.26*L3417</f>
        <v>0</v>
      </c>
      <c r="O3417" s="19">
        <f>0.00322*L3417</f>
        <v>0</v>
      </c>
      <c r="P3417" s="24" t="s">
        <v>26</v>
      </c>
      <c r="Q3417" s="15" t="s">
        <v>11261</v>
      </c>
      <c r="R3417" s="15"/>
      <c r="S3417" s="10" t="str">
        <f>HYPERLINK("https://miland.ru/api/getInfo/image/637ca03a-4462-11f1-a294-00155d82e908")</f>
        <v>https://miland.ru/api/getInfo/image/637ca03a-4462-11f1-a294-00155d82e908</v>
      </c>
    </row>
    <row r="3418" spans="1:19" s="2" customFormat="1" ht="96.2" customHeight="1" outlineLevel="5">
      <c r="A3418" s="53">
        <v>2673</v>
      </c>
      <c r="B3418" s="10" t="s">
        <v>11262</v>
      </c>
      <c r="C3418" s="65" t="s">
        <v>11263</v>
      </c>
      <c r="D3418" s="65"/>
      <c r="E3418" s="65"/>
      <c r="F3418" s="65"/>
      <c r="G3418" s="11" t="s">
        <v>11264</v>
      </c>
      <c r="H3418" s="14">
        <v>59</v>
      </c>
      <c r="I3418" s="15"/>
      <c r="J3418" s="9">
        <v>1</v>
      </c>
      <c r="K3418" s="22">
        <v>1189.0999999999999</v>
      </c>
      <c r="L3418" s="17"/>
      <c r="M3418" s="15">
        <f t="shared" si="163"/>
        <v>0</v>
      </c>
      <c r="N3418" s="18">
        <f>0.583*L3418</f>
        <v>0</v>
      </c>
      <c r="O3418" s="19">
        <f>0.00652*L3418</f>
        <v>0</v>
      </c>
      <c r="P3418" s="24" t="s">
        <v>26</v>
      </c>
      <c r="Q3418" s="15" t="s">
        <v>11265</v>
      </c>
      <c r="R3418" s="15"/>
      <c r="S3418" s="10" t="str">
        <f>HYPERLINK("https://miland.ru/api/getInfo/image/0455ae7c-4463-11f1-a294-00155d82e908")</f>
        <v>https://miland.ru/api/getInfo/image/0455ae7c-4463-11f1-a294-00155d82e908</v>
      </c>
    </row>
    <row r="3419" spans="1:19" s="2" customFormat="1" ht="96.2" customHeight="1" outlineLevel="5">
      <c r="A3419" s="52">
        <v>2674</v>
      </c>
      <c r="B3419" s="26" t="s">
        <v>11266</v>
      </c>
      <c r="C3419" s="66" t="s">
        <v>11267</v>
      </c>
      <c r="D3419" s="66"/>
      <c r="E3419" s="66"/>
      <c r="F3419" s="66"/>
      <c r="G3419" s="27" t="s">
        <v>11268</v>
      </c>
      <c r="H3419" s="28" t="s">
        <v>44</v>
      </c>
      <c r="I3419" s="29"/>
      <c r="J3419" s="25">
        <v>3</v>
      </c>
      <c r="K3419" s="30">
        <v>254.75</v>
      </c>
      <c r="L3419" s="17"/>
      <c r="M3419" s="29">
        <f t="shared" si="163"/>
        <v>0</v>
      </c>
      <c r="N3419" s="31">
        <f>0.093*L3419</f>
        <v>0</v>
      </c>
      <c r="O3419" s="35">
        <f>0.0008*L3419</f>
        <v>0</v>
      </c>
      <c r="P3419" s="36"/>
      <c r="Q3419" s="29" t="s">
        <v>11269</v>
      </c>
      <c r="R3419" s="29"/>
      <c r="S3419" s="26" t="str">
        <f>HYPERLINK("https://miland.ru/api/getInfo/image/753969b7-f62e-11e9-a235-ac1f6b442184")</f>
        <v>https://miland.ru/api/getInfo/image/753969b7-f62e-11e9-a235-ac1f6b442184</v>
      </c>
    </row>
    <row r="3420" spans="1:19" s="2" customFormat="1" ht="96.2" customHeight="1" outlineLevel="5">
      <c r="A3420" s="52">
        <v>2675</v>
      </c>
      <c r="B3420" s="26" t="s">
        <v>11270</v>
      </c>
      <c r="C3420" s="66" t="s">
        <v>11271</v>
      </c>
      <c r="D3420" s="66"/>
      <c r="E3420" s="66"/>
      <c r="F3420" s="66"/>
      <c r="G3420" s="27" t="s">
        <v>11272</v>
      </c>
      <c r="H3420" s="33">
        <v>298</v>
      </c>
      <c r="I3420" s="29"/>
      <c r="J3420" s="25">
        <v>1</v>
      </c>
      <c r="K3420" s="30">
        <v>492.7</v>
      </c>
      <c r="L3420" s="17"/>
      <c r="M3420" s="29">
        <f t="shared" si="163"/>
        <v>0</v>
      </c>
      <c r="N3420" s="31">
        <f>0.225*L3420</f>
        <v>0</v>
      </c>
      <c r="O3420" s="32">
        <f>0.00075*L3420</f>
        <v>0</v>
      </c>
      <c r="P3420" s="36"/>
      <c r="Q3420" s="29" t="s">
        <v>11273</v>
      </c>
      <c r="R3420" s="29"/>
      <c r="S3420" s="26" t="str">
        <f>HYPERLINK("https://miland.ru/api/getInfo/image/2cca2374-5ab7-11ed-a220-ac1f6b442185")</f>
        <v>https://miland.ru/api/getInfo/image/2cca2374-5ab7-11ed-a220-ac1f6b442185</v>
      </c>
    </row>
    <row r="3421" spans="1:19" s="2" customFormat="1" ht="96.2" customHeight="1" outlineLevel="5">
      <c r="A3421" s="53">
        <v>2676</v>
      </c>
      <c r="B3421" s="10" t="s">
        <v>11274</v>
      </c>
      <c r="C3421" s="65" t="s">
        <v>11275</v>
      </c>
      <c r="D3421" s="65"/>
      <c r="E3421" s="65"/>
      <c r="F3421" s="65"/>
      <c r="G3421" s="11" t="s">
        <v>11276</v>
      </c>
      <c r="H3421" s="14">
        <v>105</v>
      </c>
      <c r="I3421" s="15"/>
      <c r="J3421" s="9">
        <v>1</v>
      </c>
      <c r="K3421" s="16">
        <v>550.88</v>
      </c>
      <c r="L3421" s="17"/>
      <c r="M3421" s="15">
        <f t="shared" si="163"/>
        <v>0</v>
      </c>
      <c r="N3421" s="23">
        <f>0.44*L3421</f>
        <v>0</v>
      </c>
      <c r="O3421" s="19">
        <f>0.00139*L3421</f>
        <v>0</v>
      </c>
      <c r="P3421" s="24" t="s">
        <v>26</v>
      </c>
      <c r="Q3421" s="15" t="s">
        <v>11277</v>
      </c>
      <c r="R3421" s="15"/>
      <c r="S3421" s="10" t="str">
        <f>HYPERLINK("https://miland.ru/api/getInfo/image/a8995798-4463-11f1-a294-00155d82e908")</f>
        <v>https://miland.ru/api/getInfo/image/a8995798-4463-11f1-a294-00155d82e908</v>
      </c>
    </row>
    <row r="3422" spans="1:19" s="2" customFormat="1" ht="96.2" customHeight="1" outlineLevel="5">
      <c r="A3422" s="53">
        <v>2677</v>
      </c>
      <c r="B3422" s="10" t="s">
        <v>11278</v>
      </c>
      <c r="C3422" s="65" t="s">
        <v>11279</v>
      </c>
      <c r="D3422" s="65"/>
      <c r="E3422" s="65"/>
      <c r="F3422" s="65"/>
      <c r="G3422" s="11" t="s">
        <v>11280</v>
      </c>
      <c r="H3422" s="14">
        <v>97</v>
      </c>
      <c r="I3422" s="15"/>
      <c r="J3422" s="9">
        <v>1</v>
      </c>
      <c r="K3422" s="16">
        <v>796</v>
      </c>
      <c r="L3422" s="17"/>
      <c r="M3422" s="15">
        <f t="shared" si="163"/>
        <v>0</v>
      </c>
      <c r="N3422" s="18">
        <f>0.493*L3422</f>
        <v>0</v>
      </c>
      <c r="O3422" s="19">
        <f>0.00398*L3422</f>
        <v>0</v>
      </c>
      <c r="P3422" s="24" t="s">
        <v>26</v>
      </c>
      <c r="Q3422" s="15" t="s">
        <v>11281</v>
      </c>
      <c r="R3422" s="15"/>
      <c r="S3422" s="10" t="str">
        <f>HYPERLINK("https://miland.ru/api/getInfo/image/dde6ef5b-4463-11f1-a294-00155d82e908")</f>
        <v>https://miland.ru/api/getInfo/image/dde6ef5b-4463-11f1-a294-00155d82e908</v>
      </c>
    </row>
    <row r="3423" spans="1:19" s="2" customFormat="1" ht="96.2" customHeight="1" outlineLevel="5">
      <c r="A3423" s="53">
        <v>2678</v>
      </c>
      <c r="B3423" s="10" t="s">
        <v>11282</v>
      </c>
      <c r="C3423" s="65" t="s">
        <v>11283</v>
      </c>
      <c r="D3423" s="65"/>
      <c r="E3423" s="65"/>
      <c r="F3423" s="65"/>
      <c r="G3423" s="11" t="s">
        <v>11284</v>
      </c>
      <c r="H3423" s="21" t="s">
        <v>44</v>
      </c>
      <c r="I3423" s="15"/>
      <c r="J3423" s="9">
        <v>2</v>
      </c>
      <c r="K3423" s="16">
        <v>274.99</v>
      </c>
      <c r="L3423" s="17"/>
      <c r="M3423" s="15">
        <f t="shared" si="163"/>
        <v>0</v>
      </c>
      <c r="N3423" s="18">
        <f>0.148*L3423</f>
        <v>0</v>
      </c>
      <c r="O3423" s="19">
        <f>0.00092*L3423</f>
        <v>0</v>
      </c>
      <c r="P3423" s="24" t="s">
        <v>26</v>
      </c>
      <c r="Q3423" s="15" t="s">
        <v>11285</v>
      </c>
      <c r="R3423" s="15"/>
      <c r="S3423" s="10" t="str">
        <f>HYPERLINK("https://miland.ru/api/getInfo/image/73cf7657-4463-11f1-a294-00155d82e908")</f>
        <v>https://miland.ru/api/getInfo/image/73cf7657-4463-11f1-a294-00155d82e908</v>
      </c>
    </row>
    <row r="3424" spans="1:19" s="2" customFormat="1" ht="96.2" customHeight="1" outlineLevel="5">
      <c r="A3424" s="52">
        <v>2679</v>
      </c>
      <c r="B3424" s="26" t="s">
        <v>11286</v>
      </c>
      <c r="C3424" s="66" t="s">
        <v>11287</v>
      </c>
      <c r="D3424" s="66"/>
      <c r="E3424" s="66"/>
      <c r="F3424" s="66"/>
      <c r="G3424" s="27" t="s">
        <v>11288</v>
      </c>
      <c r="H3424" s="33">
        <v>329</v>
      </c>
      <c r="I3424" s="29"/>
      <c r="J3424" s="25">
        <v>1</v>
      </c>
      <c r="K3424" s="30">
        <v>443.44</v>
      </c>
      <c r="L3424" s="17"/>
      <c r="M3424" s="29">
        <f t="shared" si="163"/>
        <v>0</v>
      </c>
      <c r="N3424" s="31">
        <f>0.227*L3424</f>
        <v>0</v>
      </c>
      <c r="O3424" s="35">
        <f>0.0008*L3424</f>
        <v>0</v>
      </c>
      <c r="P3424" s="36"/>
      <c r="Q3424" s="29" t="s">
        <v>11289</v>
      </c>
      <c r="R3424" s="29"/>
      <c r="S3424" s="26" t="str">
        <f>HYPERLINK("https://miland.ru/api/getInfo/image/222ffdb6-5ab8-11ed-a220-ac1f6b442185")</f>
        <v>https://miland.ru/api/getInfo/image/222ffdb6-5ab8-11ed-a220-ac1f6b442185</v>
      </c>
    </row>
    <row r="3425" spans="1:19" s="2" customFormat="1" ht="96.2" customHeight="1" outlineLevel="5">
      <c r="A3425" s="52">
        <v>2680</v>
      </c>
      <c r="B3425" s="26" t="s">
        <v>11290</v>
      </c>
      <c r="C3425" s="66" t="s">
        <v>11291</v>
      </c>
      <c r="D3425" s="66"/>
      <c r="E3425" s="66"/>
      <c r="F3425" s="66"/>
      <c r="G3425" s="27" t="s">
        <v>11292</v>
      </c>
      <c r="H3425" s="33">
        <v>244</v>
      </c>
      <c r="I3425" s="29"/>
      <c r="J3425" s="25">
        <v>1</v>
      </c>
      <c r="K3425" s="30">
        <v>571.53</v>
      </c>
      <c r="L3425" s="17"/>
      <c r="M3425" s="29">
        <f t="shared" si="163"/>
        <v>0</v>
      </c>
      <c r="N3425" s="31">
        <f>0.428*L3425</f>
        <v>0</v>
      </c>
      <c r="O3425" s="35">
        <f>0.0014*L3425</f>
        <v>0</v>
      </c>
      <c r="P3425" s="36"/>
      <c r="Q3425" s="29" t="s">
        <v>11293</v>
      </c>
      <c r="R3425" s="29"/>
      <c r="S3425" s="26" t="str">
        <f>HYPERLINK("https://miland.ru/api/getInfo/image/7c13ecbe-5ab8-11ed-a220-ac1f6b442185")</f>
        <v>https://miland.ru/api/getInfo/image/7c13ecbe-5ab8-11ed-a220-ac1f6b442185</v>
      </c>
    </row>
    <row r="3426" spans="1:19" s="2" customFormat="1" ht="96.2" customHeight="1" outlineLevel="5">
      <c r="A3426" s="53">
        <v>2681</v>
      </c>
      <c r="B3426" s="10" t="s">
        <v>11294</v>
      </c>
      <c r="C3426" s="65" t="s">
        <v>11295</v>
      </c>
      <c r="D3426" s="65"/>
      <c r="E3426" s="65"/>
      <c r="F3426" s="65"/>
      <c r="G3426" s="11" t="s">
        <v>11296</v>
      </c>
      <c r="H3426" s="14">
        <v>75</v>
      </c>
      <c r="I3426" s="15"/>
      <c r="J3426" s="9">
        <v>1</v>
      </c>
      <c r="K3426" s="22">
        <v>1045.6500000000001</v>
      </c>
      <c r="L3426" s="17"/>
      <c r="M3426" s="15">
        <f t="shared" si="163"/>
        <v>0</v>
      </c>
      <c r="N3426" s="18">
        <f>0.473*L3426</f>
        <v>0</v>
      </c>
      <c r="O3426" s="19">
        <f>0.00135*L3426</f>
        <v>0</v>
      </c>
      <c r="P3426" s="24" t="s">
        <v>26</v>
      </c>
      <c r="Q3426" s="15" t="s">
        <v>11297</v>
      </c>
      <c r="R3426" s="15"/>
      <c r="S3426" s="10" t="str">
        <f>HYPERLINK("https://miland.ru/api/getInfo/image/4e068dcb-4463-11f1-a294-00155d82e908")</f>
        <v>https://miland.ru/api/getInfo/image/4e068dcb-4463-11f1-a294-00155d82e908</v>
      </c>
    </row>
    <row r="3427" spans="1:19" s="2" customFormat="1" ht="96.2" customHeight="1" outlineLevel="5">
      <c r="A3427" s="53">
        <v>2682</v>
      </c>
      <c r="B3427" s="10" t="s">
        <v>11298</v>
      </c>
      <c r="C3427" s="65" t="s">
        <v>11299</v>
      </c>
      <c r="D3427" s="65"/>
      <c r="E3427" s="65"/>
      <c r="F3427" s="65"/>
      <c r="G3427" s="11" t="s">
        <v>11300</v>
      </c>
      <c r="H3427" s="14">
        <v>188</v>
      </c>
      <c r="I3427" s="15"/>
      <c r="J3427" s="9">
        <v>1</v>
      </c>
      <c r="K3427" s="16">
        <v>820.06</v>
      </c>
      <c r="L3427" s="17"/>
      <c r="M3427" s="15">
        <f t="shared" si="163"/>
        <v>0</v>
      </c>
      <c r="N3427" s="18">
        <f>0.292*L3427</f>
        <v>0</v>
      </c>
      <c r="O3427" s="19">
        <f>0.00317*L3427</f>
        <v>0</v>
      </c>
      <c r="P3427" s="24" t="s">
        <v>26</v>
      </c>
      <c r="Q3427" s="15" t="s">
        <v>11301</v>
      </c>
      <c r="R3427" s="15"/>
      <c r="S3427" s="10" t="str">
        <f>HYPERLINK("https://miland.ru/api/getInfo/image/c8b1cb81-4463-11f1-a294-00155d82e908")</f>
        <v>https://miland.ru/api/getInfo/image/c8b1cb81-4463-11f1-a294-00155d82e908</v>
      </c>
    </row>
    <row r="3428" spans="1:19" s="2" customFormat="1" ht="96.2" customHeight="1" outlineLevel="5">
      <c r="A3428" s="52">
        <v>2683</v>
      </c>
      <c r="B3428" s="26" t="s">
        <v>11302</v>
      </c>
      <c r="C3428" s="66" t="s">
        <v>11303</v>
      </c>
      <c r="D3428" s="66"/>
      <c r="E3428" s="66"/>
      <c r="F3428" s="66"/>
      <c r="G3428" s="27" t="s">
        <v>11304</v>
      </c>
      <c r="H3428" s="28" t="s">
        <v>44</v>
      </c>
      <c r="I3428" s="29"/>
      <c r="J3428" s="25">
        <v>1</v>
      </c>
      <c r="K3428" s="30">
        <v>423.72</v>
      </c>
      <c r="L3428" s="17"/>
      <c r="M3428" s="29">
        <f t="shared" si="163"/>
        <v>0</v>
      </c>
      <c r="N3428" s="31">
        <f>0.225*L3428</f>
        <v>0</v>
      </c>
      <c r="O3428" s="32">
        <f>0.00077*L3428</f>
        <v>0</v>
      </c>
      <c r="P3428" s="36"/>
      <c r="Q3428" s="29" t="s">
        <v>11305</v>
      </c>
      <c r="R3428" s="29"/>
      <c r="S3428" s="26" t="str">
        <f>HYPERLINK("https://miland.ru/api/getInfo/image/4fc29801-f62e-11e9-a235-ac1f6b442184")</f>
        <v>https://miland.ru/api/getInfo/image/4fc29801-f62e-11e9-a235-ac1f6b442184</v>
      </c>
    </row>
    <row r="3429" spans="1:19" s="1" customFormat="1" ht="12" customHeight="1" outlineLevel="4">
      <c r="A3429" s="64" t="s">
        <v>11306</v>
      </c>
      <c r="B3429" s="64"/>
      <c r="C3429" s="64"/>
      <c r="D3429" s="64"/>
      <c r="E3429" s="64"/>
      <c r="F3429" s="64"/>
      <c r="G3429" s="8"/>
      <c r="H3429" s="12"/>
      <c r="I3429" s="2"/>
      <c r="J3429" s="2"/>
      <c r="K3429" s="13"/>
      <c r="L3429" s="2"/>
      <c r="M3429" s="2"/>
      <c r="N3429" s="2"/>
      <c r="O3429" s="2"/>
      <c r="P3429" s="2"/>
      <c r="Q3429" s="2"/>
      <c r="R3429" s="2"/>
      <c r="S3429" s="2"/>
    </row>
    <row r="3430" spans="1:19" s="2" customFormat="1" ht="96.2" customHeight="1" outlineLevel="5">
      <c r="A3430" s="53">
        <v>2684</v>
      </c>
      <c r="B3430" s="10" t="s">
        <v>11307</v>
      </c>
      <c r="C3430" s="65" t="s">
        <v>11308</v>
      </c>
      <c r="D3430" s="65"/>
      <c r="E3430" s="65"/>
      <c r="F3430" s="65"/>
      <c r="G3430" s="11" t="s">
        <v>11309</v>
      </c>
      <c r="H3430" s="14">
        <v>290</v>
      </c>
      <c r="I3430" s="15"/>
      <c r="J3430" s="9">
        <v>1</v>
      </c>
      <c r="K3430" s="16">
        <v>454.63</v>
      </c>
      <c r="L3430" s="17"/>
      <c r="M3430" s="15">
        <f t="shared" ref="M3430:M3454" si="164">K3430*L3430</f>
        <v>0</v>
      </c>
      <c r="N3430" s="18">
        <f>0.215*L3430</f>
        <v>0</v>
      </c>
      <c r="O3430" s="19">
        <f>0.00036*L3430</f>
        <v>0</v>
      </c>
      <c r="P3430" s="24" t="s">
        <v>26</v>
      </c>
      <c r="Q3430" s="15" t="s">
        <v>11310</v>
      </c>
      <c r="R3430" s="15"/>
      <c r="S3430" s="10" t="str">
        <f>HYPERLINK("https://miland.ru/api/getInfo/image/ce17465f-2dab-11f1-a292-00155d82e908")</f>
        <v>https://miland.ru/api/getInfo/image/ce17465f-2dab-11f1-a292-00155d82e908</v>
      </c>
    </row>
    <row r="3431" spans="1:19" s="2" customFormat="1" ht="96.2" customHeight="1" outlineLevel="5">
      <c r="A3431" s="53">
        <v>2685</v>
      </c>
      <c r="B3431" s="10" t="s">
        <v>11311</v>
      </c>
      <c r="C3431" s="65" t="s">
        <v>11312</v>
      </c>
      <c r="D3431" s="65"/>
      <c r="E3431" s="65"/>
      <c r="F3431" s="65"/>
      <c r="G3431" s="11" t="s">
        <v>11313</v>
      </c>
      <c r="H3431" s="14">
        <v>323</v>
      </c>
      <c r="I3431" s="15"/>
      <c r="J3431" s="9">
        <v>1</v>
      </c>
      <c r="K3431" s="16">
        <v>454.63</v>
      </c>
      <c r="L3431" s="17"/>
      <c r="M3431" s="15">
        <f t="shared" si="164"/>
        <v>0</v>
      </c>
      <c r="N3431" s="18">
        <f>0.214*L3431</f>
        <v>0</v>
      </c>
      <c r="O3431" s="19">
        <f>0.00036*L3431</f>
        <v>0</v>
      </c>
      <c r="P3431" s="24" t="s">
        <v>26</v>
      </c>
      <c r="Q3431" s="15" t="s">
        <v>11314</v>
      </c>
      <c r="R3431" s="15"/>
      <c r="S3431" s="10" t="str">
        <f>HYPERLINK("https://miland.ru/api/getInfo/image/b44b3a65-2dab-11f1-a292-00155d82e908")</f>
        <v>https://miland.ru/api/getInfo/image/b44b3a65-2dab-11f1-a292-00155d82e908</v>
      </c>
    </row>
    <row r="3432" spans="1:19" s="2" customFormat="1" ht="96.2" customHeight="1" outlineLevel="5">
      <c r="A3432" s="52">
        <v>2686</v>
      </c>
      <c r="B3432" s="26" t="s">
        <v>11315</v>
      </c>
      <c r="C3432" s="66" t="s">
        <v>11316</v>
      </c>
      <c r="D3432" s="66"/>
      <c r="E3432" s="66"/>
      <c r="F3432" s="66"/>
      <c r="G3432" s="27" t="s">
        <v>11317</v>
      </c>
      <c r="H3432" s="33">
        <v>109</v>
      </c>
      <c r="I3432" s="29"/>
      <c r="J3432" s="25">
        <v>1</v>
      </c>
      <c r="K3432" s="30">
        <v>475.13</v>
      </c>
      <c r="L3432" s="17"/>
      <c r="M3432" s="29">
        <f t="shared" si="164"/>
        <v>0</v>
      </c>
      <c r="N3432" s="31">
        <f>0.222*L3432</f>
        <v>0</v>
      </c>
      <c r="O3432" s="32">
        <f>0.00038*L3432</f>
        <v>0</v>
      </c>
      <c r="P3432" s="36"/>
      <c r="Q3432" s="29" t="s">
        <v>11318</v>
      </c>
      <c r="R3432" s="29"/>
      <c r="S3432" s="26" t="str">
        <f>HYPERLINK("https://miland.ru/api/getInfo/image/eca60f35-219c-11f0-a279-00155d82e908")</f>
        <v>https://miland.ru/api/getInfo/image/eca60f35-219c-11f0-a279-00155d82e908</v>
      </c>
    </row>
    <row r="3433" spans="1:19" s="2" customFormat="1" ht="96.2" customHeight="1" outlineLevel="5">
      <c r="A3433" s="52">
        <v>2687</v>
      </c>
      <c r="B3433" s="26" t="s">
        <v>11319</v>
      </c>
      <c r="C3433" s="66" t="s">
        <v>11320</v>
      </c>
      <c r="D3433" s="66"/>
      <c r="E3433" s="66"/>
      <c r="F3433" s="66"/>
      <c r="G3433" s="27" t="s">
        <v>11321</v>
      </c>
      <c r="H3433" s="33">
        <v>1</v>
      </c>
      <c r="I3433" s="29"/>
      <c r="J3433" s="25">
        <v>1</v>
      </c>
      <c r="K3433" s="30">
        <v>438.59</v>
      </c>
      <c r="L3433" s="17"/>
      <c r="M3433" s="29">
        <f t="shared" si="164"/>
        <v>0</v>
      </c>
      <c r="N3433" s="31">
        <f>0.148*L3433</f>
        <v>0</v>
      </c>
      <c r="O3433" s="32">
        <f>0.00025*L3433</f>
        <v>0</v>
      </c>
      <c r="P3433" s="36"/>
      <c r="Q3433" s="29" t="s">
        <v>11322</v>
      </c>
      <c r="R3433" s="29"/>
      <c r="S3433" s="26" t="str">
        <f>HYPERLINK("https://miland.ru/api/getInfo/image/5b0b62f1-219e-11f0-a279-00155d82e908")</f>
        <v>https://miland.ru/api/getInfo/image/5b0b62f1-219e-11f0-a279-00155d82e908</v>
      </c>
    </row>
    <row r="3434" spans="1:19" s="2" customFormat="1" ht="96.2" customHeight="1" outlineLevel="5">
      <c r="A3434" s="52">
        <v>2688</v>
      </c>
      <c r="B3434" s="26" t="s">
        <v>11323</v>
      </c>
      <c r="C3434" s="66" t="s">
        <v>11324</v>
      </c>
      <c r="D3434" s="66"/>
      <c r="E3434" s="66"/>
      <c r="F3434" s="66"/>
      <c r="G3434" s="27" t="s">
        <v>11325</v>
      </c>
      <c r="H3434" s="33">
        <v>297</v>
      </c>
      <c r="I3434" s="29"/>
      <c r="J3434" s="25">
        <v>1</v>
      </c>
      <c r="K3434" s="30">
        <v>579.99</v>
      </c>
      <c r="L3434" s="17"/>
      <c r="M3434" s="29">
        <f t="shared" si="164"/>
        <v>0</v>
      </c>
      <c r="N3434" s="31">
        <f>0.379*L3434</f>
        <v>0</v>
      </c>
      <c r="O3434" s="32">
        <f>0.00058*L3434</f>
        <v>0</v>
      </c>
      <c r="P3434" s="36"/>
      <c r="Q3434" s="29" t="s">
        <v>11326</v>
      </c>
      <c r="R3434" s="29"/>
      <c r="S3434" s="26" t="str">
        <f>HYPERLINK("https://miland.ru/api/getInfo/image/36993ba1-084c-11ef-a25d-00155d82e908")</f>
        <v>https://miland.ru/api/getInfo/image/36993ba1-084c-11ef-a25d-00155d82e908</v>
      </c>
    </row>
    <row r="3435" spans="1:19" s="2" customFormat="1" ht="96.2" customHeight="1" outlineLevel="5">
      <c r="A3435" s="52">
        <v>2689</v>
      </c>
      <c r="B3435" s="26" t="s">
        <v>11327</v>
      </c>
      <c r="C3435" s="66" t="s">
        <v>11328</v>
      </c>
      <c r="D3435" s="66"/>
      <c r="E3435" s="66"/>
      <c r="F3435" s="66"/>
      <c r="G3435" s="27" t="s">
        <v>11329</v>
      </c>
      <c r="H3435" s="33">
        <v>212</v>
      </c>
      <c r="I3435" s="29"/>
      <c r="J3435" s="25">
        <v>1</v>
      </c>
      <c r="K3435" s="30">
        <v>475.13</v>
      </c>
      <c r="L3435" s="17"/>
      <c r="M3435" s="29">
        <f t="shared" si="164"/>
        <v>0</v>
      </c>
      <c r="N3435" s="31">
        <f>0.224*L3435</f>
        <v>0</v>
      </c>
      <c r="O3435" s="35">
        <f>0.0004*L3435</f>
        <v>0</v>
      </c>
      <c r="P3435" s="36"/>
      <c r="Q3435" s="29" t="s">
        <v>11330</v>
      </c>
      <c r="R3435" s="29"/>
      <c r="S3435" s="26" t="str">
        <f>HYPERLINK("https://miland.ru/api/getInfo/image/bcfe6ce0-219d-11f0-a279-00155d82e908")</f>
        <v>https://miland.ru/api/getInfo/image/bcfe6ce0-219d-11f0-a279-00155d82e908</v>
      </c>
    </row>
    <row r="3436" spans="1:19" s="2" customFormat="1" ht="96.2" customHeight="1" outlineLevel="5">
      <c r="A3436" s="52">
        <v>2690</v>
      </c>
      <c r="B3436" s="26" t="s">
        <v>11331</v>
      </c>
      <c r="C3436" s="66" t="s">
        <v>11332</v>
      </c>
      <c r="D3436" s="66"/>
      <c r="E3436" s="66"/>
      <c r="F3436" s="66"/>
      <c r="G3436" s="27" t="s">
        <v>11333</v>
      </c>
      <c r="H3436" s="33">
        <v>17</v>
      </c>
      <c r="I3436" s="29"/>
      <c r="J3436" s="25">
        <v>1</v>
      </c>
      <c r="K3436" s="30">
        <v>438.59</v>
      </c>
      <c r="L3436" s="17"/>
      <c r="M3436" s="29">
        <f t="shared" si="164"/>
        <v>0</v>
      </c>
      <c r="N3436" s="31">
        <f>0.151*L3436</f>
        <v>0</v>
      </c>
      <c r="O3436" s="32">
        <f>0.00025*L3436</f>
        <v>0</v>
      </c>
      <c r="P3436" s="36"/>
      <c r="Q3436" s="29" t="s">
        <v>11334</v>
      </c>
      <c r="R3436" s="29"/>
      <c r="S3436" s="26" t="str">
        <f>HYPERLINK("https://miland.ru/api/getInfo/image/ae24b79b-219e-11f0-a279-00155d82e908")</f>
        <v>https://miland.ru/api/getInfo/image/ae24b79b-219e-11f0-a279-00155d82e908</v>
      </c>
    </row>
    <row r="3437" spans="1:19" s="2" customFormat="1" ht="96.2" customHeight="1" outlineLevel="5">
      <c r="A3437" s="53">
        <v>2691</v>
      </c>
      <c r="B3437" s="10" t="s">
        <v>11335</v>
      </c>
      <c r="C3437" s="65" t="s">
        <v>11336</v>
      </c>
      <c r="D3437" s="65"/>
      <c r="E3437" s="65"/>
      <c r="F3437" s="65"/>
      <c r="G3437" s="11" t="s">
        <v>11337</v>
      </c>
      <c r="H3437" s="14">
        <v>375</v>
      </c>
      <c r="I3437" s="15"/>
      <c r="J3437" s="9">
        <v>1</v>
      </c>
      <c r="K3437" s="16">
        <v>553.71</v>
      </c>
      <c r="L3437" s="17"/>
      <c r="M3437" s="15">
        <f t="shared" si="164"/>
        <v>0</v>
      </c>
      <c r="N3437" s="18">
        <f>0.379*L3437</f>
        <v>0</v>
      </c>
      <c r="O3437" s="19">
        <f>0.00064*L3437</f>
        <v>0</v>
      </c>
      <c r="P3437" s="24" t="s">
        <v>26</v>
      </c>
      <c r="Q3437" s="15" t="s">
        <v>11338</v>
      </c>
      <c r="R3437" s="15"/>
      <c r="S3437" s="10" t="str">
        <f>HYPERLINK("https://miland.ru/api/getInfo/image/79b0d8d4-2dac-11f1-a292-00155d82e908")</f>
        <v>https://miland.ru/api/getInfo/image/79b0d8d4-2dac-11f1-a292-00155d82e908</v>
      </c>
    </row>
    <row r="3438" spans="1:19" s="2" customFormat="1" ht="96.2" customHeight="1" outlineLevel="5">
      <c r="A3438" s="53">
        <v>2692</v>
      </c>
      <c r="B3438" s="10" t="s">
        <v>11339</v>
      </c>
      <c r="C3438" s="65" t="s">
        <v>11340</v>
      </c>
      <c r="D3438" s="65"/>
      <c r="E3438" s="65"/>
      <c r="F3438" s="65"/>
      <c r="G3438" s="11" t="s">
        <v>11341</v>
      </c>
      <c r="H3438" s="14">
        <v>248</v>
      </c>
      <c r="I3438" s="15"/>
      <c r="J3438" s="9">
        <v>1</v>
      </c>
      <c r="K3438" s="16">
        <v>466.29</v>
      </c>
      <c r="L3438" s="17"/>
      <c r="M3438" s="15">
        <f t="shared" si="164"/>
        <v>0</v>
      </c>
      <c r="N3438" s="18">
        <f>0.208*L3438</f>
        <v>0</v>
      </c>
      <c r="O3438" s="19">
        <f>0.00033*L3438</f>
        <v>0</v>
      </c>
      <c r="P3438" s="24" t="s">
        <v>26</v>
      </c>
      <c r="Q3438" s="15" t="s">
        <v>11342</v>
      </c>
      <c r="R3438" s="15"/>
      <c r="S3438" s="10" t="str">
        <f>HYPERLINK("https://miland.ru/api/getInfo/image/2247fec8-2dac-11f1-a292-00155d82e908")</f>
        <v>https://miland.ru/api/getInfo/image/2247fec8-2dac-11f1-a292-00155d82e908</v>
      </c>
    </row>
    <row r="3439" spans="1:19" s="2" customFormat="1" ht="96.2" customHeight="1" outlineLevel="5">
      <c r="A3439" s="53">
        <v>2693</v>
      </c>
      <c r="B3439" s="10" t="s">
        <v>11343</v>
      </c>
      <c r="C3439" s="65" t="s">
        <v>11344</v>
      </c>
      <c r="D3439" s="65"/>
      <c r="E3439" s="65"/>
      <c r="F3439" s="65"/>
      <c r="G3439" s="11" t="s">
        <v>11345</v>
      </c>
      <c r="H3439" s="14">
        <v>250</v>
      </c>
      <c r="I3439" s="15"/>
      <c r="J3439" s="9">
        <v>1</v>
      </c>
      <c r="K3439" s="16">
        <v>466.29</v>
      </c>
      <c r="L3439" s="17"/>
      <c r="M3439" s="15">
        <f t="shared" si="164"/>
        <v>0</v>
      </c>
      <c r="N3439" s="18">
        <f>0.209*L3439</f>
        <v>0</v>
      </c>
      <c r="O3439" s="19">
        <f>0.00031*L3439</f>
        <v>0</v>
      </c>
      <c r="P3439" s="24" t="s">
        <v>26</v>
      </c>
      <c r="Q3439" s="15" t="s">
        <v>11346</v>
      </c>
      <c r="R3439" s="15"/>
      <c r="S3439" s="10" t="str">
        <f>HYPERLINK("https://miland.ru/api/getInfo/image/4059a538-2dac-11f1-a292-00155d82e908")</f>
        <v>https://miland.ru/api/getInfo/image/4059a538-2dac-11f1-a292-00155d82e908</v>
      </c>
    </row>
    <row r="3440" spans="1:19" s="2" customFormat="1" ht="96.2" customHeight="1" outlineLevel="5">
      <c r="A3440" s="53">
        <v>2694</v>
      </c>
      <c r="B3440" s="10" t="s">
        <v>11347</v>
      </c>
      <c r="C3440" s="65" t="s">
        <v>11348</v>
      </c>
      <c r="D3440" s="65"/>
      <c r="E3440" s="65"/>
      <c r="F3440" s="65"/>
      <c r="G3440" s="11" t="s">
        <v>11349</v>
      </c>
      <c r="H3440" s="14">
        <v>102</v>
      </c>
      <c r="I3440" s="15"/>
      <c r="J3440" s="9">
        <v>1</v>
      </c>
      <c r="K3440" s="16">
        <v>565.37</v>
      </c>
      <c r="L3440" s="17"/>
      <c r="M3440" s="15">
        <f t="shared" si="164"/>
        <v>0</v>
      </c>
      <c r="N3440" s="18">
        <f>0.363*L3440</f>
        <v>0</v>
      </c>
      <c r="O3440" s="19">
        <f>0.00055*L3440</f>
        <v>0</v>
      </c>
      <c r="P3440" s="24" t="s">
        <v>26</v>
      </c>
      <c r="Q3440" s="15" t="s">
        <v>11350</v>
      </c>
      <c r="R3440" s="15"/>
      <c r="S3440" s="10" t="str">
        <f>HYPERLINK("https://miland.ru/api/getInfo/image/c7a72a70-2dac-11f1-a292-00155d82e908")</f>
        <v>https://miland.ru/api/getInfo/image/c7a72a70-2dac-11f1-a292-00155d82e908</v>
      </c>
    </row>
    <row r="3441" spans="1:19" s="2" customFormat="1" ht="96.2" customHeight="1" outlineLevel="5">
      <c r="A3441" s="52">
        <v>2695</v>
      </c>
      <c r="B3441" s="26" t="s">
        <v>11351</v>
      </c>
      <c r="C3441" s="66" t="s">
        <v>11352</v>
      </c>
      <c r="D3441" s="66"/>
      <c r="E3441" s="66"/>
      <c r="F3441" s="66"/>
      <c r="G3441" s="27" t="s">
        <v>11353</v>
      </c>
      <c r="H3441" s="33">
        <v>311</v>
      </c>
      <c r="I3441" s="29"/>
      <c r="J3441" s="25">
        <v>1</v>
      </c>
      <c r="K3441" s="30">
        <v>475.13</v>
      </c>
      <c r="L3441" s="17"/>
      <c r="M3441" s="29">
        <f t="shared" si="164"/>
        <v>0</v>
      </c>
      <c r="N3441" s="31">
        <f>0.226*L3441</f>
        <v>0</v>
      </c>
      <c r="O3441" s="32">
        <f>0.00036*L3441</f>
        <v>0</v>
      </c>
      <c r="P3441" s="36"/>
      <c r="Q3441" s="29" t="s">
        <v>11354</v>
      </c>
      <c r="R3441" s="29"/>
      <c r="S3441" s="26" t="str">
        <f>HYPERLINK("https://miland.ru/api/getInfo/image/117ae73b-219e-11f0-a279-00155d82e908")</f>
        <v>https://miland.ru/api/getInfo/image/117ae73b-219e-11f0-a279-00155d82e908</v>
      </c>
    </row>
    <row r="3442" spans="1:19" s="2" customFormat="1" ht="96.2" customHeight="1" outlineLevel="5">
      <c r="A3442" s="52">
        <v>2696</v>
      </c>
      <c r="B3442" s="26" t="s">
        <v>11355</v>
      </c>
      <c r="C3442" s="66" t="s">
        <v>11356</v>
      </c>
      <c r="D3442" s="66"/>
      <c r="E3442" s="66"/>
      <c r="F3442" s="66"/>
      <c r="G3442" s="27" t="s">
        <v>11357</v>
      </c>
      <c r="H3442" s="33">
        <v>272</v>
      </c>
      <c r="I3442" s="29"/>
      <c r="J3442" s="25">
        <v>1</v>
      </c>
      <c r="K3442" s="30">
        <v>579.99</v>
      </c>
      <c r="L3442" s="17"/>
      <c r="M3442" s="29">
        <f t="shared" si="164"/>
        <v>0</v>
      </c>
      <c r="N3442" s="31">
        <f>0.379*L3442</f>
        <v>0</v>
      </c>
      <c r="O3442" s="32">
        <f>0.00055*L3442</f>
        <v>0</v>
      </c>
      <c r="P3442" s="36"/>
      <c r="Q3442" s="29" t="s">
        <v>11358</v>
      </c>
      <c r="R3442" s="29"/>
      <c r="S3442" s="26" t="str">
        <f>HYPERLINK("https://miland.ru/api/getInfo/image/4011a8fe-219b-11f0-a279-00155d82e908")</f>
        <v>https://miland.ru/api/getInfo/image/4011a8fe-219b-11f0-a279-00155d82e908</v>
      </c>
    </row>
    <row r="3443" spans="1:19" s="2" customFormat="1" ht="96.2" customHeight="1" outlineLevel="5">
      <c r="A3443" s="53">
        <v>2697</v>
      </c>
      <c r="B3443" s="10" t="s">
        <v>11359</v>
      </c>
      <c r="C3443" s="65" t="s">
        <v>11360</v>
      </c>
      <c r="D3443" s="65"/>
      <c r="E3443" s="65"/>
      <c r="F3443" s="65"/>
      <c r="G3443" s="11" t="s">
        <v>11361</v>
      </c>
      <c r="H3443" s="14">
        <v>208</v>
      </c>
      <c r="I3443" s="15"/>
      <c r="J3443" s="9">
        <v>1</v>
      </c>
      <c r="K3443" s="16">
        <v>641.14</v>
      </c>
      <c r="L3443" s="17"/>
      <c r="M3443" s="15">
        <f t="shared" si="164"/>
        <v>0</v>
      </c>
      <c r="N3443" s="18">
        <f>0.372*L3443</f>
        <v>0</v>
      </c>
      <c r="O3443" s="20">
        <f>0.0006*L3443</f>
        <v>0</v>
      </c>
      <c r="P3443" s="24" t="s">
        <v>26</v>
      </c>
      <c r="Q3443" s="15" t="s">
        <v>11362</v>
      </c>
      <c r="R3443" s="15"/>
      <c r="S3443" s="10" t="str">
        <f>HYPERLINK("https://miland.ru/api/getInfo/image/e4818903-2dac-11f1-a292-00155d82e908")</f>
        <v>https://miland.ru/api/getInfo/image/e4818903-2dac-11f1-a292-00155d82e908</v>
      </c>
    </row>
    <row r="3444" spans="1:19" s="2" customFormat="1" ht="96.2" customHeight="1" outlineLevel="5">
      <c r="A3444" s="52">
        <v>2698</v>
      </c>
      <c r="B3444" s="26" t="s">
        <v>11363</v>
      </c>
      <c r="C3444" s="66" t="s">
        <v>11364</v>
      </c>
      <c r="D3444" s="66"/>
      <c r="E3444" s="66"/>
      <c r="F3444" s="66"/>
      <c r="G3444" s="27" t="s">
        <v>11365</v>
      </c>
      <c r="H3444" s="33">
        <v>310</v>
      </c>
      <c r="I3444" s="29"/>
      <c r="J3444" s="25">
        <v>1</v>
      </c>
      <c r="K3444" s="30">
        <v>579.99</v>
      </c>
      <c r="L3444" s="17"/>
      <c r="M3444" s="29">
        <f t="shared" si="164"/>
        <v>0</v>
      </c>
      <c r="N3444" s="31">
        <f>0.376*L3444</f>
        <v>0</v>
      </c>
      <c r="O3444" s="32">
        <f>0.00058*L3444</f>
        <v>0</v>
      </c>
      <c r="P3444" s="36"/>
      <c r="Q3444" s="29" t="s">
        <v>11366</v>
      </c>
      <c r="R3444" s="29"/>
      <c r="S3444" s="26" t="str">
        <f>HYPERLINK("https://miland.ru/api/getInfo/image/60ef96f3-084c-11ef-a25d-00155d82e908")</f>
        <v>https://miland.ru/api/getInfo/image/60ef96f3-084c-11ef-a25d-00155d82e908</v>
      </c>
    </row>
    <row r="3445" spans="1:19" s="2" customFormat="1" ht="96.2" customHeight="1" outlineLevel="5">
      <c r="A3445" s="53">
        <v>2699</v>
      </c>
      <c r="B3445" s="10" t="s">
        <v>11367</v>
      </c>
      <c r="C3445" s="65" t="s">
        <v>11368</v>
      </c>
      <c r="D3445" s="65"/>
      <c r="E3445" s="65"/>
      <c r="F3445" s="65"/>
      <c r="G3445" s="11" t="s">
        <v>11369</v>
      </c>
      <c r="H3445" s="14">
        <v>310</v>
      </c>
      <c r="I3445" s="15"/>
      <c r="J3445" s="9">
        <v>1</v>
      </c>
      <c r="K3445" s="16">
        <v>466.29</v>
      </c>
      <c r="L3445" s="17"/>
      <c r="M3445" s="15">
        <f t="shared" si="164"/>
        <v>0</v>
      </c>
      <c r="N3445" s="23">
        <f>0.21*L3445</f>
        <v>0</v>
      </c>
      <c r="O3445" s="19">
        <f>0.00032*L3445</f>
        <v>0</v>
      </c>
      <c r="P3445" s="24" t="s">
        <v>26</v>
      </c>
      <c r="Q3445" s="15" t="s">
        <v>11370</v>
      </c>
      <c r="R3445" s="15"/>
      <c r="S3445" s="10" t="str">
        <f>HYPERLINK("https://miland.ru/api/getInfo/image/5c759579-2dac-11f1-a292-00155d82e908")</f>
        <v>https://miland.ru/api/getInfo/image/5c759579-2dac-11f1-a292-00155d82e908</v>
      </c>
    </row>
    <row r="3446" spans="1:19" s="2" customFormat="1" ht="96.2" customHeight="1" outlineLevel="5">
      <c r="A3446" s="53">
        <v>2700</v>
      </c>
      <c r="B3446" s="10" t="s">
        <v>11371</v>
      </c>
      <c r="C3446" s="65" t="s">
        <v>11372</v>
      </c>
      <c r="D3446" s="65"/>
      <c r="E3446" s="65"/>
      <c r="F3446" s="65"/>
      <c r="G3446" s="11" t="s">
        <v>11373</v>
      </c>
      <c r="H3446" s="14">
        <v>302</v>
      </c>
      <c r="I3446" s="15"/>
      <c r="J3446" s="9">
        <v>1</v>
      </c>
      <c r="K3446" s="16">
        <v>466.29</v>
      </c>
      <c r="L3446" s="17"/>
      <c r="M3446" s="15">
        <f t="shared" si="164"/>
        <v>0</v>
      </c>
      <c r="N3446" s="18">
        <f>0.212*L3446</f>
        <v>0</v>
      </c>
      <c r="O3446" s="19">
        <f>0.00033*L3446</f>
        <v>0</v>
      </c>
      <c r="P3446" s="24" t="s">
        <v>26</v>
      </c>
      <c r="Q3446" s="15" t="s">
        <v>11374</v>
      </c>
      <c r="R3446" s="15"/>
      <c r="S3446" s="10" t="str">
        <f>HYPERLINK("https://miland.ru/api/getInfo/image/e85f8722-2dab-11f1-a292-00155d82e908")</f>
        <v>https://miland.ru/api/getInfo/image/e85f8722-2dab-11f1-a292-00155d82e908</v>
      </c>
    </row>
    <row r="3447" spans="1:19" s="2" customFormat="1" ht="96.2" customHeight="1" outlineLevel="5">
      <c r="A3447" s="53">
        <v>2701</v>
      </c>
      <c r="B3447" s="10" t="s">
        <v>11375</v>
      </c>
      <c r="C3447" s="65" t="s">
        <v>11376</v>
      </c>
      <c r="D3447" s="65"/>
      <c r="E3447" s="65"/>
      <c r="F3447" s="65"/>
      <c r="G3447" s="11" t="s">
        <v>11377</v>
      </c>
      <c r="H3447" s="14">
        <v>309</v>
      </c>
      <c r="I3447" s="15"/>
      <c r="J3447" s="9">
        <v>1</v>
      </c>
      <c r="K3447" s="16">
        <v>466.29</v>
      </c>
      <c r="L3447" s="17"/>
      <c r="M3447" s="15">
        <f t="shared" si="164"/>
        <v>0</v>
      </c>
      <c r="N3447" s="18">
        <f>0.211*L3447</f>
        <v>0</v>
      </c>
      <c r="O3447" s="19">
        <f>0.00038*L3447</f>
        <v>0</v>
      </c>
      <c r="P3447" s="24" t="s">
        <v>26</v>
      </c>
      <c r="Q3447" s="15" t="s">
        <v>11378</v>
      </c>
      <c r="R3447" s="15"/>
      <c r="S3447" s="10" t="str">
        <f>HYPERLINK("https://miland.ru/api/getInfo/image/020e9550-2dac-11f1-a292-00155d82e908")</f>
        <v>https://miland.ru/api/getInfo/image/020e9550-2dac-11f1-a292-00155d82e908</v>
      </c>
    </row>
    <row r="3448" spans="1:19" s="2" customFormat="1" ht="96.2" customHeight="1" outlineLevel="5">
      <c r="A3448" s="52">
        <v>2702</v>
      </c>
      <c r="B3448" s="26" t="s">
        <v>11379</v>
      </c>
      <c r="C3448" s="66" t="s">
        <v>11380</v>
      </c>
      <c r="D3448" s="66"/>
      <c r="E3448" s="66"/>
      <c r="F3448" s="66"/>
      <c r="G3448" s="27" t="s">
        <v>11381</v>
      </c>
      <c r="H3448" s="33">
        <v>293</v>
      </c>
      <c r="I3448" s="29"/>
      <c r="J3448" s="25">
        <v>1</v>
      </c>
      <c r="K3448" s="30">
        <v>475.13</v>
      </c>
      <c r="L3448" s="17"/>
      <c r="M3448" s="29">
        <f t="shared" si="164"/>
        <v>0</v>
      </c>
      <c r="N3448" s="31">
        <f>0.152*L3448</f>
        <v>0</v>
      </c>
      <c r="O3448" s="32">
        <f>0.00045*L3448</f>
        <v>0</v>
      </c>
      <c r="P3448" s="36"/>
      <c r="Q3448" s="29" t="s">
        <v>11382</v>
      </c>
      <c r="R3448" s="29"/>
      <c r="S3448" s="26" t="str">
        <f>HYPERLINK("https://miland.ru/api/getInfo/image/9624a05b-21a1-11f0-a279-00155d82e908")</f>
        <v>https://miland.ru/api/getInfo/image/9624a05b-21a1-11f0-a279-00155d82e908</v>
      </c>
    </row>
    <row r="3449" spans="1:19" s="2" customFormat="1" ht="96.2" customHeight="1" outlineLevel="5">
      <c r="A3449" s="52">
        <v>2703</v>
      </c>
      <c r="B3449" s="26" t="s">
        <v>11383</v>
      </c>
      <c r="C3449" s="66" t="s">
        <v>11384</v>
      </c>
      <c r="D3449" s="66"/>
      <c r="E3449" s="66"/>
      <c r="F3449" s="66"/>
      <c r="G3449" s="27" t="s">
        <v>11385</v>
      </c>
      <c r="H3449" s="33">
        <v>3</v>
      </c>
      <c r="I3449" s="29"/>
      <c r="J3449" s="25">
        <v>1</v>
      </c>
      <c r="K3449" s="30">
        <v>475.13</v>
      </c>
      <c r="L3449" s="17"/>
      <c r="M3449" s="29">
        <f t="shared" si="164"/>
        <v>0</v>
      </c>
      <c r="N3449" s="31">
        <f>0.183*L3449</f>
        <v>0</v>
      </c>
      <c r="O3449" s="32">
        <f>0.00031*L3449</f>
        <v>0</v>
      </c>
      <c r="P3449" s="36"/>
      <c r="Q3449" s="29" t="s">
        <v>11386</v>
      </c>
      <c r="R3449" s="29"/>
      <c r="S3449" s="26" t="str">
        <f>HYPERLINK("https://miland.ru/api/getInfo/image/2e2c1226-219f-11f0-a279-00155d82e908")</f>
        <v>https://miland.ru/api/getInfo/image/2e2c1226-219f-11f0-a279-00155d82e908</v>
      </c>
    </row>
    <row r="3450" spans="1:19" s="2" customFormat="1" ht="96.2" customHeight="1" outlineLevel="5">
      <c r="A3450" s="52">
        <v>2704</v>
      </c>
      <c r="B3450" s="26" t="s">
        <v>11387</v>
      </c>
      <c r="C3450" s="66" t="s">
        <v>11388</v>
      </c>
      <c r="D3450" s="66"/>
      <c r="E3450" s="66"/>
      <c r="F3450" s="66"/>
      <c r="G3450" s="27" t="s">
        <v>11389</v>
      </c>
      <c r="H3450" s="33">
        <v>240</v>
      </c>
      <c r="I3450" s="29"/>
      <c r="J3450" s="25">
        <v>1</v>
      </c>
      <c r="K3450" s="30">
        <v>475.13</v>
      </c>
      <c r="L3450" s="17"/>
      <c r="M3450" s="29">
        <f t="shared" si="164"/>
        <v>0</v>
      </c>
      <c r="N3450" s="31">
        <f>0.195*L3450</f>
        <v>0</v>
      </c>
      <c r="O3450" s="35">
        <f>0.0007*L3450</f>
        <v>0</v>
      </c>
      <c r="P3450" s="36"/>
      <c r="Q3450" s="29" t="s">
        <v>11390</v>
      </c>
      <c r="R3450" s="29"/>
      <c r="S3450" s="26" t="str">
        <f>HYPERLINK("https://miland.ru/api/getInfo/image/3fa6e506-21a0-11f0-a279-00155d82e908")</f>
        <v>https://miland.ru/api/getInfo/image/3fa6e506-21a0-11f0-a279-00155d82e908</v>
      </c>
    </row>
    <row r="3451" spans="1:19" s="2" customFormat="1" ht="96.2" customHeight="1" outlineLevel="5">
      <c r="A3451" s="52">
        <v>2705</v>
      </c>
      <c r="B3451" s="26" t="s">
        <v>11391</v>
      </c>
      <c r="C3451" s="66" t="s">
        <v>11392</v>
      </c>
      <c r="D3451" s="66"/>
      <c r="E3451" s="66"/>
      <c r="F3451" s="66"/>
      <c r="G3451" s="27" t="s">
        <v>11393</v>
      </c>
      <c r="H3451" s="33">
        <v>160</v>
      </c>
      <c r="I3451" s="29"/>
      <c r="J3451" s="25">
        <v>1</v>
      </c>
      <c r="K3451" s="30">
        <v>475.13</v>
      </c>
      <c r="L3451" s="17"/>
      <c r="M3451" s="29">
        <f t="shared" si="164"/>
        <v>0</v>
      </c>
      <c r="N3451" s="31">
        <f>0.192*L3451</f>
        <v>0</v>
      </c>
      <c r="O3451" s="32">
        <f>0.00039*L3451</f>
        <v>0</v>
      </c>
      <c r="P3451" s="36"/>
      <c r="Q3451" s="29" t="s">
        <v>11394</v>
      </c>
      <c r="R3451" s="29"/>
      <c r="S3451" s="26" t="str">
        <f>HYPERLINK("https://miland.ru/api/getInfo/image/4e9bfafe-21a1-11f0-a279-00155d82e908")</f>
        <v>https://miland.ru/api/getInfo/image/4e9bfafe-21a1-11f0-a279-00155d82e908</v>
      </c>
    </row>
    <row r="3452" spans="1:19" s="2" customFormat="1" ht="96.2" customHeight="1" outlineLevel="5">
      <c r="A3452" s="53">
        <v>2706</v>
      </c>
      <c r="B3452" s="10" t="s">
        <v>11395</v>
      </c>
      <c r="C3452" s="65" t="s">
        <v>11396</v>
      </c>
      <c r="D3452" s="65"/>
      <c r="E3452" s="65"/>
      <c r="F3452" s="65"/>
      <c r="G3452" s="11" t="s">
        <v>11397</v>
      </c>
      <c r="H3452" s="14">
        <v>94</v>
      </c>
      <c r="I3452" s="15"/>
      <c r="J3452" s="9">
        <v>1</v>
      </c>
      <c r="K3452" s="16">
        <v>475.13</v>
      </c>
      <c r="L3452" s="17"/>
      <c r="M3452" s="15">
        <f t="shared" si="164"/>
        <v>0</v>
      </c>
      <c r="N3452" s="18">
        <f>0.183*L3452</f>
        <v>0</v>
      </c>
      <c r="O3452" s="19">
        <f>0.00027*L3452</f>
        <v>0</v>
      </c>
      <c r="P3452" s="24" t="s">
        <v>26</v>
      </c>
      <c r="Q3452" s="15" t="s">
        <v>11398</v>
      </c>
      <c r="R3452" s="15"/>
      <c r="S3452" s="10" t="str">
        <f>HYPERLINK("https://miland.ru/api/getInfo/image/886e2bdd-2dad-11f1-a292-00155d82e908")</f>
        <v>https://miland.ru/api/getInfo/image/886e2bdd-2dad-11f1-a292-00155d82e908</v>
      </c>
    </row>
    <row r="3453" spans="1:19" s="2" customFormat="1" ht="96.2" customHeight="1" outlineLevel="5">
      <c r="A3453" s="53">
        <v>2707</v>
      </c>
      <c r="B3453" s="10" t="s">
        <v>11399</v>
      </c>
      <c r="C3453" s="65" t="s">
        <v>11400</v>
      </c>
      <c r="D3453" s="65"/>
      <c r="E3453" s="65"/>
      <c r="F3453" s="65"/>
      <c r="G3453" s="11" t="s">
        <v>11401</v>
      </c>
      <c r="H3453" s="14">
        <v>82</v>
      </c>
      <c r="I3453" s="15"/>
      <c r="J3453" s="9">
        <v>1</v>
      </c>
      <c r="K3453" s="16">
        <v>475.13</v>
      </c>
      <c r="L3453" s="17"/>
      <c r="M3453" s="15">
        <f t="shared" si="164"/>
        <v>0</v>
      </c>
      <c r="N3453" s="18">
        <f>0.188*L3453</f>
        <v>0</v>
      </c>
      <c r="O3453" s="19">
        <f>0.00033*L3453</f>
        <v>0</v>
      </c>
      <c r="P3453" s="24" t="s">
        <v>26</v>
      </c>
      <c r="Q3453" s="15" t="s">
        <v>11402</v>
      </c>
      <c r="R3453" s="15"/>
      <c r="S3453" s="10" t="str">
        <f>HYPERLINK("https://miland.ru/api/getInfo/image/004c24d5-2dad-11f1-a292-00155d82e908")</f>
        <v>https://miland.ru/api/getInfo/image/004c24d5-2dad-11f1-a292-00155d82e908</v>
      </c>
    </row>
    <row r="3454" spans="1:19" s="2" customFormat="1" ht="96.2" customHeight="1" outlineLevel="5">
      <c r="A3454" s="52">
        <v>2708</v>
      </c>
      <c r="B3454" s="26" t="s">
        <v>11403</v>
      </c>
      <c r="C3454" s="66" t="s">
        <v>11404</v>
      </c>
      <c r="D3454" s="66"/>
      <c r="E3454" s="66"/>
      <c r="F3454" s="66"/>
      <c r="G3454" s="27" t="s">
        <v>11405</v>
      </c>
      <c r="H3454" s="33">
        <v>234</v>
      </c>
      <c r="I3454" s="29"/>
      <c r="J3454" s="25">
        <v>1</v>
      </c>
      <c r="K3454" s="30">
        <v>475.13</v>
      </c>
      <c r="L3454" s="17"/>
      <c r="M3454" s="29">
        <f t="shared" si="164"/>
        <v>0</v>
      </c>
      <c r="N3454" s="31">
        <f>0.186*L3454</f>
        <v>0</v>
      </c>
      <c r="O3454" s="32">
        <f>0.00031*L3454</f>
        <v>0</v>
      </c>
      <c r="P3454" s="36"/>
      <c r="Q3454" s="29" t="s">
        <v>11406</v>
      </c>
      <c r="R3454" s="29"/>
      <c r="S3454" s="26" t="str">
        <f>HYPERLINK("https://miland.ru/api/getInfo/image/ed13d025-219e-11f0-a279-00155d82e908")</f>
        <v>https://miland.ru/api/getInfo/image/ed13d025-219e-11f0-a279-00155d82e908</v>
      </c>
    </row>
    <row r="3455" spans="1:19" s="1" customFormat="1" ht="12" customHeight="1" outlineLevel="4">
      <c r="A3455" s="64" t="s">
        <v>11407</v>
      </c>
      <c r="B3455" s="64"/>
      <c r="C3455" s="64"/>
      <c r="D3455" s="64"/>
      <c r="E3455" s="64"/>
      <c r="F3455" s="64"/>
      <c r="G3455" s="8"/>
      <c r="H3455" s="12"/>
      <c r="I3455" s="2"/>
      <c r="J3455" s="2"/>
      <c r="K3455" s="13"/>
      <c r="L3455" s="2"/>
      <c r="M3455" s="2"/>
      <c r="N3455" s="2"/>
      <c r="O3455" s="2"/>
      <c r="P3455" s="2"/>
      <c r="Q3455" s="2"/>
      <c r="R3455" s="2"/>
      <c r="S3455" s="2"/>
    </row>
    <row r="3456" spans="1:19" s="2" customFormat="1" ht="96.2" customHeight="1" outlineLevel="5">
      <c r="A3456" s="52">
        <v>2709</v>
      </c>
      <c r="B3456" s="26" t="s">
        <v>11408</v>
      </c>
      <c r="C3456" s="66" t="s">
        <v>11409</v>
      </c>
      <c r="D3456" s="66"/>
      <c r="E3456" s="66"/>
      <c r="F3456" s="66"/>
      <c r="G3456" s="27" t="s">
        <v>11410</v>
      </c>
      <c r="H3456" s="33">
        <v>3</v>
      </c>
      <c r="I3456" s="29"/>
      <c r="J3456" s="25">
        <v>1</v>
      </c>
      <c r="K3456" s="30">
        <v>854.33</v>
      </c>
      <c r="L3456" s="17"/>
      <c r="M3456" s="29">
        <f>K3456*L3456</f>
        <v>0</v>
      </c>
      <c r="N3456" s="31">
        <f>0.351*L3456</f>
        <v>0</v>
      </c>
      <c r="O3456" s="32">
        <f>0.00226*L3456</f>
        <v>0</v>
      </c>
      <c r="P3456" s="36"/>
      <c r="Q3456" s="29" t="s">
        <v>11411</v>
      </c>
      <c r="R3456" s="29" t="s">
        <v>611</v>
      </c>
      <c r="S3456" s="26" t="str">
        <f>HYPERLINK("https://miland.ru/api/getInfo/image/4b9f3f72-0087-11ef-a25d-00155d82e908")</f>
        <v>https://miland.ru/api/getInfo/image/4b9f3f72-0087-11ef-a25d-00155d82e908</v>
      </c>
    </row>
    <row r="3457" spans="1:19" s="2" customFormat="1" ht="96.2" customHeight="1" outlineLevel="5">
      <c r="A3457" s="52">
        <v>2710</v>
      </c>
      <c r="B3457" s="26" t="s">
        <v>11412</v>
      </c>
      <c r="C3457" s="66" t="s">
        <v>11413</v>
      </c>
      <c r="D3457" s="66"/>
      <c r="E3457" s="66"/>
      <c r="F3457" s="66"/>
      <c r="G3457" s="27" t="s">
        <v>11414</v>
      </c>
      <c r="H3457" s="33">
        <v>3</v>
      </c>
      <c r="I3457" s="29"/>
      <c r="J3457" s="25">
        <v>1</v>
      </c>
      <c r="K3457" s="30">
        <v>854.33</v>
      </c>
      <c r="L3457" s="17"/>
      <c r="M3457" s="29">
        <f>K3457*L3457</f>
        <v>0</v>
      </c>
      <c r="N3457" s="31">
        <f>0.261*L3457</f>
        <v>0</v>
      </c>
      <c r="O3457" s="32">
        <f>0.00221*L3457</f>
        <v>0</v>
      </c>
      <c r="P3457" s="36"/>
      <c r="Q3457" s="29" t="s">
        <v>11415</v>
      </c>
      <c r="R3457" s="29" t="s">
        <v>611</v>
      </c>
      <c r="S3457" s="26" t="str">
        <f>HYPERLINK("https://miland.ru/api/getInfo/image/111db142-0087-11ef-a25d-00155d82e908")</f>
        <v>https://miland.ru/api/getInfo/image/111db142-0087-11ef-a25d-00155d82e908</v>
      </c>
    </row>
    <row r="3458" spans="1:19" s="2" customFormat="1" ht="96.2" customHeight="1" outlineLevel="5">
      <c r="A3458" s="52">
        <v>2711</v>
      </c>
      <c r="B3458" s="26" t="s">
        <v>11416</v>
      </c>
      <c r="C3458" s="66" t="s">
        <v>11417</v>
      </c>
      <c r="D3458" s="66"/>
      <c r="E3458" s="66"/>
      <c r="F3458" s="66"/>
      <c r="G3458" s="27" t="s">
        <v>11418</v>
      </c>
      <c r="H3458" s="33">
        <v>60</v>
      </c>
      <c r="I3458" s="29"/>
      <c r="J3458" s="25">
        <v>1</v>
      </c>
      <c r="K3458" s="30">
        <v>930.3</v>
      </c>
      <c r="L3458" s="17"/>
      <c r="M3458" s="29">
        <f>K3458*L3458</f>
        <v>0</v>
      </c>
      <c r="N3458" s="31">
        <f>0.493*L3458</f>
        <v>0</v>
      </c>
      <c r="O3458" s="32">
        <f>0.00305*L3458</f>
        <v>0</v>
      </c>
      <c r="P3458" s="36"/>
      <c r="Q3458" s="29" t="s">
        <v>11419</v>
      </c>
      <c r="R3458" s="29"/>
      <c r="S3458" s="26" t="str">
        <f>HYPERLINK("https://miland.ru/api/getInfo/image/aa32ced2-0087-11ef-a25d-00155d82e908")</f>
        <v>https://miland.ru/api/getInfo/image/aa32ced2-0087-11ef-a25d-00155d82e908</v>
      </c>
    </row>
    <row r="3459" spans="1:19" s="1" customFormat="1" ht="12" customHeight="1" outlineLevel="3">
      <c r="A3459" s="64" t="s">
        <v>11420</v>
      </c>
      <c r="B3459" s="64"/>
      <c r="C3459" s="64"/>
      <c r="D3459" s="64"/>
      <c r="E3459" s="64"/>
      <c r="F3459" s="64"/>
      <c r="G3459" s="8"/>
      <c r="H3459" s="12"/>
      <c r="I3459" s="2"/>
      <c r="J3459" s="2"/>
      <c r="K3459" s="13"/>
      <c r="L3459" s="2"/>
      <c r="M3459" s="2"/>
      <c r="N3459" s="2"/>
      <c r="O3459" s="2"/>
      <c r="P3459" s="2"/>
      <c r="Q3459" s="2"/>
      <c r="R3459" s="2"/>
      <c r="S3459" s="2"/>
    </row>
    <row r="3460" spans="1:19" s="2" customFormat="1" ht="96.2" customHeight="1" outlineLevel="4">
      <c r="A3460" s="52">
        <v>2712</v>
      </c>
      <c r="B3460" s="26" t="s">
        <v>11421</v>
      </c>
      <c r="C3460" s="66" t="s">
        <v>11422</v>
      </c>
      <c r="D3460" s="66"/>
      <c r="E3460" s="66"/>
      <c r="F3460" s="66"/>
      <c r="G3460" s="27" t="s">
        <v>11423</v>
      </c>
      <c r="H3460" s="33">
        <v>1</v>
      </c>
      <c r="I3460" s="29"/>
      <c r="J3460" s="25">
        <v>1</v>
      </c>
      <c r="K3460" s="30">
        <v>496.26</v>
      </c>
      <c r="L3460" s="17"/>
      <c r="M3460" s="29">
        <f t="shared" ref="M3460:M3467" si="165">K3460*L3460</f>
        <v>0</v>
      </c>
      <c r="N3460" s="31">
        <f>0.469*L3460</f>
        <v>0</v>
      </c>
      <c r="O3460" s="32">
        <f>0.00158*L3460</f>
        <v>0</v>
      </c>
      <c r="P3460" s="36"/>
      <c r="Q3460" s="29" t="s">
        <v>11424</v>
      </c>
      <c r="R3460" s="29"/>
      <c r="S3460" s="26" t="str">
        <f>HYPERLINK("https://miland.ru/api/getInfo/image/d1690ef9-0f8e-11ea-a236-ac1f6b442184")</f>
        <v>https://miland.ru/api/getInfo/image/d1690ef9-0f8e-11ea-a236-ac1f6b442184</v>
      </c>
    </row>
    <row r="3461" spans="1:19" s="2" customFormat="1" ht="96.2" customHeight="1" outlineLevel="4">
      <c r="A3461" s="52">
        <v>2713</v>
      </c>
      <c r="B3461" s="26" t="s">
        <v>11425</v>
      </c>
      <c r="C3461" s="66" t="s">
        <v>11426</v>
      </c>
      <c r="D3461" s="66"/>
      <c r="E3461" s="66"/>
      <c r="F3461" s="66"/>
      <c r="G3461" s="27" t="s">
        <v>11427</v>
      </c>
      <c r="H3461" s="33">
        <v>1</v>
      </c>
      <c r="I3461" s="29"/>
      <c r="J3461" s="25">
        <v>1</v>
      </c>
      <c r="K3461" s="30">
        <v>653.41</v>
      </c>
      <c r="L3461" s="17"/>
      <c r="M3461" s="29">
        <f t="shared" si="165"/>
        <v>0</v>
      </c>
      <c r="N3461" s="34">
        <f>0.96*L3461</f>
        <v>0</v>
      </c>
      <c r="O3461" s="32">
        <f>0.00287*L3461</f>
        <v>0</v>
      </c>
      <c r="P3461" s="36"/>
      <c r="Q3461" s="29" t="s">
        <v>11428</v>
      </c>
      <c r="R3461" s="29"/>
      <c r="S3461" s="26" t="str">
        <f>HYPERLINK("https://miland.ru/api/getInfo/image/6245a69b-0f8c-11ea-a236-ac1f6b442184")</f>
        <v>https://miland.ru/api/getInfo/image/6245a69b-0f8c-11ea-a236-ac1f6b442184</v>
      </c>
    </row>
    <row r="3462" spans="1:19" s="2" customFormat="1" ht="96.2" customHeight="1" outlineLevel="4">
      <c r="A3462" s="52">
        <v>2714</v>
      </c>
      <c r="B3462" s="26" t="s">
        <v>11429</v>
      </c>
      <c r="C3462" s="66" t="s">
        <v>11430</v>
      </c>
      <c r="D3462" s="66"/>
      <c r="E3462" s="66"/>
      <c r="F3462" s="66"/>
      <c r="G3462" s="27" t="s">
        <v>11431</v>
      </c>
      <c r="H3462" s="33">
        <v>1</v>
      </c>
      <c r="I3462" s="29"/>
      <c r="J3462" s="25">
        <v>1</v>
      </c>
      <c r="K3462" s="30">
        <v>496.26</v>
      </c>
      <c r="L3462" s="17"/>
      <c r="M3462" s="29">
        <f t="shared" si="165"/>
        <v>0</v>
      </c>
      <c r="N3462" s="31">
        <f>0.441*L3462</f>
        <v>0</v>
      </c>
      <c r="O3462" s="32">
        <f>0.00151*L3462</f>
        <v>0</v>
      </c>
      <c r="P3462" s="36"/>
      <c r="Q3462" s="29" t="s">
        <v>11432</v>
      </c>
      <c r="R3462" s="29"/>
      <c r="S3462" s="26" t="str">
        <f>HYPERLINK("https://miland.ru/api/getInfo/image/dc4dcbdc-562e-11ee-a245-00155d82e902")</f>
        <v>https://miland.ru/api/getInfo/image/dc4dcbdc-562e-11ee-a245-00155d82e902</v>
      </c>
    </row>
    <row r="3463" spans="1:19" s="2" customFormat="1" ht="96.2" customHeight="1" outlineLevel="4">
      <c r="A3463" s="52">
        <v>2715</v>
      </c>
      <c r="B3463" s="26" t="s">
        <v>11433</v>
      </c>
      <c r="C3463" s="66" t="s">
        <v>11434</v>
      </c>
      <c r="D3463" s="66"/>
      <c r="E3463" s="66"/>
      <c r="F3463" s="66"/>
      <c r="G3463" s="27" t="s">
        <v>11435</v>
      </c>
      <c r="H3463" s="33">
        <v>6</v>
      </c>
      <c r="I3463" s="29"/>
      <c r="J3463" s="25">
        <v>1</v>
      </c>
      <c r="K3463" s="30">
        <v>749.56</v>
      </c>
      <c r="L3463" s="17"/>
      <c r="M3463" s="29">
        <f t="shared" si="165"/>
        <v>0</v>
      </c>
      <c r="N3463" s="31">
        <f>0.908*L3463</f>
        <v>0</v>
      </c>
      <c r="O3463" s="32">
        <f>0.00318*L3463</f>
        <v>0</v>
      </c>
      <c r="P3463" s="36"/>
      <c r="Q3463" s="29" t="s">
        <v>11436</v>
      </c>
      <c r="R3463" s="29"/>
      <c r="S3463" s="26" t="str">
        <f>HYPERLINK("https://miland.ru/api/getInfo/image/8e36d4b5-2101-11f0-a279-00155d82e908")</f>
        <v>https://miland.ru/api/getInfo/image/8e36d4b5-2101-11f0-a279-00155d82e908</v>
      </c>
    </row>
    <row r="3464" spans="1:19" s="2" customFormat="1" ht="96.2" customHeight="1" outlineLevel="4">
      <c r="A3464" s="52">
        <v>2716</v>
      </c>
      <c r="B3464" s="26" t="s">
        <v>11437</v>
      </c>
      <c r="C3464" s="66" t="s">
        <v>11438</v>
      </c>
      <c r="D3464" s="66"/>
      <c r="E3464" s="66"/>
      <c r="F3464" s="66"/>
      <c r="G3464" s="27" t="s">
        <v>11439</v>
      </c>
      <c r="H3464" s="33">
        <v>2</v>
      </c>
      <c r="I3464" s="29"/>
      <c r="J3464" s="25">
        <v>1</v>
      </c>
      <c r="K3464" s="30">
        <v>749.56</v>
      </c>
      <c r="L3464" s="17"/>
      <c r="M3464" s="29">
        <f t="shared" si="165"/>
        <v>0</v>
      </c>
      <c r="N3464" s="31">
        <f>0.902*L3464</f>
        <v>0</v>
      </c>
      <c r="O3464" s="32">
        <f>0.00305*L3464</f>
        <v>0</v>
      </c>
      <c r="P3464" s="36"/>
      <c r="Q3464" s="29" t="s">
        <v>11440</v>
      </c>
      <c r="R3464" s="29"/>
      <c r="S3464" s="26" t="str">
        <f>HYPERLINK("https://miland.ru/api/getInfo/image/a2a33670-2102-11f0-a279-00155d82e908")</f>
        <v>https://miland.ru/api/getInfo/image/a2a33670-2102-11f0-a279-00155d82e908</v>
      </c>
    </row>
    <row r="3465" spans="1:19" s="2" customFormat="1" ht="96.2" customHeight="1" outlineLevel="4">
      <c r="A3465" s="52">
        <v>2717</v>
      </c>
      <c r="B3465" s="26" t="s">
        <v>11441</v>
      </c>
      <c r="C3465" s="66" t="s">
        <v>11442</v>
      </c>
      <c r="D3465" s="66"/>
      <c r="E3465" s="66"/>
      <c r="F3465" s="66"/>
      <c r="G3465" s="27" t="s">
        <v>11443</v>
      </c>
      <c r="H3465" s="33">
        <v>2</v>
      </c>
      <c r="I3465" s="29"/>
      <c r="J3465" s="25">
        <v>1</v>
      </c>
      <c r="K3465" s="30">
        <v>496.26</v>
      </c>
      <c r="L3465" s="17"/>
      <c r="M3465" s="29">
        <f t="shared" si="165"/>
        <v>0</v>
      </c>
      <c r="N3465" s="31">
        <f>0.513*L3465</f>
        <v>0</v>
      </c>
      <c r="O3465" s="32">
        <f>0.00151*L3465</f>
        <v>0</v>
      </c>
      <c r="P3465" s="36"/>
      <c r="Q3465" s="29" t="s">
        <v>11444</v>
      </c>
      <c r="R3465" s="29"/>
      <c r="S3465" s="26" t="str">
        <f>HYPERLINK("https://miland.ru/api/getInfo/image/df683cb5-7ae8-11ed-a22a-00155d82e902")</f>
        <v>https://miland.ru/api/getInfo/image/df683cb5-7ae8-11ed-a22a-00155d82e902</v>
      </c>
    </row>
    <row r="3466" spans="1:19" s="2" customFormat="1" ht="96.2" customHeight="1" outlineLevel="4">
      <c r="A3466" s="52">
        <v>2718</v>
      </c>
      <c r="B3466" s="26" t="s">
        <v>11445</v>
      </c>
      <c r="C3466" s="66" t="s">
        <v>11446</v>
      </c>
      <c r="D3466" s="66"/>
      <c r="E3466" s="66"/>
      <c r="F3466" s="66"/>
      <c r="G3466" s="27" t="s">
        <v>11447</v>
      </c>
      <c r="H3466" s="33">
        <v>1</v>
      </c>
      <c r="I3466" s="29"/>
      <c r="J3466" s="25">
        <v>1</v>
      </c>
      <c r="K3466" s="30">
        <v>653.41</v>
      </c>
      <c r="L3466" s="17"/>
      <c r="M3466" s="29">
        <f t="shared" si="165"/>
        <v>0</v>
      </c>
      <c r="N3466" s="34">
        <f>0.96*L3466</f>
        <v>0</v>
      </c>
      <c r="O3466" s="32">
        <f>0.00287*L3466</f>
        <v>0</v>
      </c>
      <c r="P3466" s="36"/>
      <c r="Q3466" s="29" t="s">
        <v>11448</v>
      </c>
      <c r="R3466" s="29"/>
      <c r="S3466" s="26" t="str">
        <f>HYPERLINK("https://miland.ru/api/getInfo/image/f526ccd7-5630-11ee-a245-00155d82e902")</f>
        <v>https://miland.ru/api/getInfo/image/f526ccd7-5630-11ee-a245-00155d82e902</v>
      </c>
    </row>
    <row r="3467" spans="1:19" s="2" customFormat="1" ht="96.2" customHeight="1" outlineLevel="4">
      <c r="A3467" s="52">
        <v>2719</v>
      </c>
      <c r="B3467" s="26" t="s">
        <v>11449</v>
      </c>
      <c r="C3467" s="66" t="s">
        <v>11450</v>
      </c>
      <c r="D3467" s="66"/>
      <c r="E3467" s="66"/>
      <c r="F3467" s="66"/>
      <c r="G3467" s="27" t="s">
        <v>11451</v>
      </c>
      <c r="H3467" s="33">
        <v>4</v>
      </c>
      <c r="I3467" s="29"/>
      <c r="J3467" s="25">
        <v>1</v>
      </c>
      <c r="K3467" s="30">
        <v>653.41</v>
      </c>
      <c r="L3467" s="17"/>
      <c r="M3467" s="29">
        <f t="shared" si="165"/>
        <v>0</v>
      </c>
      <c r="N3467" s="31">
        <f>0.885*L3467</f>
        <v>0</v>
      </c>
      <c r="O3467" s="32">
        <f>0.00293*L3467</f>
        <v>0</v>
      </c>
      <c r="P3467" s="36"/>
      <c r="Q3467" s="29" t="s">
        <v>11452</v>
      </c>
      <c r="R3467" s="29"/>
      <c r="S3467" s="26" t="str">
        <f>HYPERLINK("https://miland.ru/api/getInfo/image/3a3728b5-562e-11ee-a245-00155d82e902")</f>
        <v>https://miland.ru/api/getInfo/image/3a3728b5-562e-11ee-a245-00155d82e902</v>
      </c>
    </row>
    <row r="3468" spans="1:19" s="1" customFormat="1" ht="12" customHeight="1" outlineLevel="3">
      <c r="A3468" s="64" t="s">
        <v>11453</v>
      </c>
      <c r="B3468" s="64"/>
      <c r="C3468" s="64"/>
      <c r="D3468" s="64"/>
      <c r="E3468" s="64"/>
      <c r="F3468" s="64"/>
      <c r="G3468" s="8"/>
      <c r="H3468" s="12"/>
      <c r="I3468" s="2"/>
      <c r="J3468" s="2"/>
      <c r="K3468" s="13"/>
      <c r="L3468" s="2"/>
      <c r="M3468" s="2"/>
      <c r="N3468" s="2"/>
      <c r="O3468" s="2"/>
      <c r="P3468" s="2"/>
      <c r="Q3468" s="2"/>
      <c r="R3468" s="2"/>
      <c r="S3468" s="2"/>
    </row>
    <row r="3469" spans="1:19" s="1" customFormat="1" ht="12" customHeight="1" outlineLevel="4">
      <c r="A3469" s="64" t="s">
        <v>11454</v>
      </c>
      <c r="B3469" s="64"/>
      <c r="C3469" s="64"/>
      <c r="D3469" s="64"/>
      <c r="E3469" s="64"/>
      <c r="F3469" s="64"/>
      <c r="G3469" s="8"/>
      <c r="H3469" s="12"/>
      <c r="I3469" s="2"/>
      <c r="J3469" s="2"/>
      <c r="K3469" s="13"/>
      <c r="L3469" s="2"/>
      <c r="M3469" s="2"/>
      <c r="N3469" s="2"/>
      <c r="O3469" s="2"/>
      <c r="P3469" s="2"/>
      <c r="Q3469" s="2"/>
      <c r="R3469" s="2"/>
      <c r="S3469" s="2"/>
    </row>
    <row r="3470" spans="1:19" s="2" customFormat="1" ht="96.2" customHeight="1" outlineLevel="5">
      <c r="A3470" s="52">
        <v>2720</v>
      </c>
      <c r="B3470" s="26" t="s">
        <v>11455</v>
      </c>
      <c r="C3470" s="66" t="s">
        <v>11456</v>
      </c>
      <c r="D3470" s="66"/>
      <c r="E3470" s="66"/>
      <c r="F3470" s="66"/>
      <c r="G3470" s="27" t="s">
        <v>11457</v>
      </c>
      <c r="H3470" s="33">
        <v>11</v>
      </c>
      <c r="I3470" s="29"/>
      <c r="J3470" s="25">
        <v>1</v>
      </c>
      <c r="K3470" s="30">
        <v>429.37</v>
      </c>
      <c r="L3470" s="17"/>
      <c r="M3470" s="29">
        <f>K3470*L3470</f>
        <v>0</v>
      </c>
      <c r="N3470" s="31">
        <f>0.134*L3470</f>
        <v>0</v>
      </c>
      <c r="O3470" s="32">
        <f>0.00302*L3470</f>
        <v>0</v>
      </c>
      <c r="P3470" s="36"/>
      <c r="Q3470" s="29" t="s">
        <v>11458</v>
      </c>
      <c r="R3470" s="29" t="s">
        <v>611</v>
      </c>
      <c r="S3470" s="26" t="str">
        <f>HYPERLINK("https://miland.ru/api/getInfo/image/1fa5a931-f320-11ee-a25b-00155d82e908")</f>
        <v>https://miland.ru/api/getInfo/image/1fa5a931-f320-11ee-a25b-00155d82e908</v>
      </c>
    </row>
    <row r="3471" spans="1:19" s="1" customFormat="1" ht="12" customHeight="1" outlineLevel="3">
      <c r="A3471" s="64" t="s">
        <v>11459</v>
      </c>
      <c r="B3471" s="64"/>
      <c r="C3471" s="64"/>
      <c r="D3471" s="64"/>
      <c r="E3471" s="64"/>
      <c r="F3471" s="64"/>
      <c r="G3471" s="8"/>
      <c r="H3471" s="12"/>
      <c r="I3471" s="2"/>
      <c r="J3471" s="2"/>
      <c r="K3471" s="13"/>
      <c r="L3471" s="2"/>
      <c r="M3471" s="2"/>
      <c r="N3471" s="2"/>
      <c r="O3471" s="2"/>
      <c r="P3471" s="2"/>
      <c r="Q3471" s="2"/>
      <c r="R3471" s="2"/>
      <c r="S3471" s="2"/>
    </row>
    <row r="3472" spans="1:19" s="1" customFormat="1" ht="12" customHeight="1" outlineLevel="4">
      <c r="A3472" s="64" t="s">
        <v>11460</v>
      </c>
      <c r="B3472" s="64"/>
      <c r="C3472" s="64"/>
      <c r="D3472" s="64"/>
      <c r="E3472" s="64"/>
      <c r="F3472" s="64"/>
      <c r="G3472" s="8"/>
      <c r="H3472" s="12"/>
      <c r="I3472" s="2"/>
      <c r="J3472" s="2"/>
      <c r="K3472" s="13"/>
      <c r="L3472" s="2"/>
      <c r="M3472" s="2"/>
      <c r="N3472" s="2"/>
      <c r="O3472" s="2"/>
      <c r="P3472" s="2"/>
      <c r="Q3472" s="2"/>
      <c r="R3472" s="2"/>
      <c r="S3472" s="2"/>
    </row>
    <row r="3473" spans="1:19" s="2" customFormat="1" ht="96.2" customHeight="1" outlineLevel="5">
      <c r="A3473" s="52">
        <v>2721</v>
      </c>
      <c r="B3473" s="26" t="s">
        <v>11461</v>
      </c>
      <c r="C3473" s="66" t="s">
        <v>11462</v>
      </c>
      <c r="D3473" s="66"/>
      <c r="E3473" s="66"/>
      <c r="F3473" s="66"/>
      <c r="G3473" s="27" t="s">
        <v>11463</v>
      </c>
      <c r="H3473" s="28" t="s">
        <v>44</v>
      </c>
      <c r="I3473" s="29"/>
      <c r="J3473" s="25">
        <v>2</v>
      </c>
      <c r="K3473" s="30">
        <v>341.95</v>
      </c>
      <c r="L3473" s="17"/>
      <c r="M3473" s="29">
        <f>K3473*L3473</f>
        <v>0</v>
      </c>
      <c r="N3473" s="31">
        <f>0.136*L3473</f>
        <v>0</v>
      </c>
      <c r="O3473" s="32">
        <f>0.00194*L3473</f>
        <v>0</v>
      </c>
      <c r="P3473" s="36"/>
      <c r="Q3473" s="29" t="s">
        <v>11464</v>
      </c>
      <c r="R3473" s="29"/>
      <c r="S3473" s="26" t="str">
        <f>HYPERLINK("https://miland.ru/api/getInfo/image/69ee5224-4bb0-11e9-a221-ac1f6b442184")</f>
        <v>https://miland.ru/api/getInfo/image/69ee5224-4bb0-11e9-a221-ac1f6b442184</v>
      </c>
    </row>
    <row r="3474" spans="1:19" s="2" customFormat="1" ht="96.2" customHeight="1" outlineLevel="5">
      <c r="A3474" s="52">
        <v>2722</v>
      </c>
      <c r="B3474" s="26" t="s">
        <v>11465</v>
      </c>
      <c r="C3474" s="66" t="s">
        <v>11466</v>
      </c>
      <c r="D3474" s="66"/>
      <c r="E3474" s="66"/>
      <c r="F3474" s="66"/>
      <c r="G3474" s="27" t="s">
        <v>11467</v>
      </c>
      <c r="H3474" s="28" t="s">
        <v>44</v>
      </c>
      <c r="I3474" s="29"/>
      <c r="J3474" s="25">
        <v>1</v>
      </c>
      <c r="K3474" s="30">
        <v>364.84</v>
      </c>
      <c r="L3474" s="17"/>
      <c r="M3474" s="29">
        <f>K3474*L3474</f>
        <v>0</v>
      </c>
      <c r="N3474" s="31">
        <f>0.127*L3474</f>
        <v>0</v>
      </c>
      <c r="O3474" s="35">
        <f>0.0019*L3474</f>
        <v>0</v>
      </c>
      <c r="P3474" s="36"/>
      <c r="Q3474" s="29" t="s">
        <v>11468</v>
      </c>
      <c r="R3474" s="29"/>
      <c r="S3474" s="26" t="str">
        <f>HYPERLINK("https://miland.ru/api/getInfo/image/ccf4ef6f-d168-11ea-a24a-ac1f6b442184")</f>
        <v>https://miland.ru/api/getInfo/image/ccf4ef6f-d168-11ea-a24a-ac1f6b442184</v>
      </c>
    </row>
    <row r="3475" spans="1:19" s="2" customFormat="1" ht="96.2" customHeight="1" outlineLevel="5">
      <c r="A3475" s="52">
        <v>2723</v>
      </c>
      <c r="B3475" s="26" t="s">
        <v>11469</v>
      </c>
      <c r="C3475" s="66" t="s">
        <v>11470</v>
      </c>
      <c r="D3475" s="66"/>
      <c r="E3475" s="66"/>
      <c r="F3475" s="66"/>
      <c r="G3475" s="27" t="s">
        <v>11471</v>
      </c>
      <c r="H3475" s="28" t="s">
        <v>44</v>
      </c>
      <c r="I3475" s="29"/>
      <c r="J3475" s="25">
        <v>3</v>
      </c>
      <c r="K3475" s="30">
        <v>249.19</v>
      </c>
      <c r="L3475" s="17"/>
      <c r="M3475" s="29">
        <f>K3475*L3475</f>
        <v>0</v>
      </c>
      <c r="N3475" s="31">
        <f>0.109*L3475</f>
        <v>0</v>
      </c>
      <c r="O3475" s="32">
        <f>0.00201*L3475</f>
        <v>0</v>
      </c>
      <c r="P3475" s="36"/>
      <c r="Q3475" s="29" t="s">
        <v>11472</v>
      </c>
      <c r="R3475" s="29"/>
      <c r="S3475" s="26" t="str">
        <f>HYPERLINK("https://miland.ru/api/getInfo/image/30c94e77-4bb1-11e9-a221-ac1f6b442184")</f>
        <v>https://miland.ru/api/getInfo/image/30c94e77-4bb1-11e9-a221-ac1f6b442184</v>
      </c>
    </row>
    <row r="3476" spans="1:19" s="2" customFormat="1" ht="96.2" customHeight="1" outlineLevel="5">
      <c r="A3476" s="52">
        <v>2724</v>
      </c>
      <c r="B3476" s="26" t="s">
        <v>11473</v>
      </c>
      <c r="C3476" s="66" t="s">
        <v>11474</v>
      </c>
      <c r="D3476" s="66"/>
      <c r="E3476" s="66"/>
      <c r="F3476" s="66"/>
      <c r="G3476" s="27" t="s">
        <v>11475</v>
      </c>
      <c r="H3476" s="33">
        <v>345</v>
      </c>
      <c r="I3476" s="29"/>
      <c r="J3476" s="25">
        <v>2</v>
      </c>
      <c r="K3476" s="30">
        <v>348.5</v>
      </c>
      <c r="L3476" s="17"/>
      <c r="M3476" s="29">
        <f>K3476*L3476</f>
        <v>0</v>
      </c>
      <c r="N3476" s="34">
        <f>0.14*L3476</f>
        <v>0</v>
      </c>
      <c r="O3476" s="32">
        <f>0.00224*L3476</f>
        <v>0</v>
      </c>
      <c r="P3476" s="36"/>
      <c r="Q3476" s="29" t="s">
        <v>11476</v>
      </c>
      <c r="R3476" s="29"/>
      <c r="S3476" s="26" t="str">
        <f>HYPERLINK("https://miland.ru/api/getInfo/image/14a86ce1-5028-11f0-a27e-00155d82e908")</f>
        <v>https://miland.ru/api/getInfo/image/14a86ce1-5028-11f0-a27e-00155d82e908</v>
      </c>
    </row>
    <row r="3477" spans="1:19" s="2" customFormat="1" ht="96.2" customHeight="1" outlineLevel="5">
      <c r="A3477" s="52">
        <v>2725</v>
      </c>
      <c r="B3477" s="26" t="s">
        <v>11477</v>
      </c>
      <c r="C3477" s="66" t="s">
        <v>11478</v>
      </c>
      <c r="D3477" s="66"/>
      <c r="E3477" s="66"/>
      <c r="F3477" s="66"/>
      <c r="G3477" s="27" t="s">
        <v>11479</v>
      </c>
      <c r="H3477" s="33">
        <v>294</v>
      </c>
      <c r="I3477" s="29"/>
      <c r="J3477" s="25">
        <v>2</v>
      </c>
      <c r="K3477" s="30">
        <v>348.5</v>
      </c>
      <c r="L3477" s="17"/>
      <c r="M3477" s="29">
        <f>K3477*L3477</f>
        <v>0</v>
      </c>
      <c r="N3477" s="34">
        <f>0.14*L3477</f>
        <v>0</v>
      </c>
      <c r="O3477" s="32">
        <f>0.00217*L3477</f>
        <v>0</v>
      </c>
      <c r="P3477" s="36"/>
      <c r="Q3477" s="29" t="s">
        <v>11480</v>
      </c>
      <c r="R3477" s="29"/>
      <c r="S3477" s="26" t="str">
        <f>HYPERLINK("https://miland.ru/api/getInfo/image/14cf0176-5029-11f0-a27e-00155d82e908")</f>
        <v>https://miland.ru/api/getInfo/image/14cf0176-5029-11f0-a27e-00155d82e908</v>
      </c>
    </row>
    <row r="3478" spans="1:19" s="1" customFormat="1" ht="12" customHeight="1" outlineLevel="4">
      <c r="A3478" s="64" t="s">
        <v>11481</v>
      </c>
      <c r="B3478" s="64"/>
      <c r="C3478" s="64"/>
      <c r="D3478" s="64"/>
      <c r="E3478" s="64"/>
      <c r="F3478" s="64"/>
      <c r="G3478" s="8"/>
      <c r="H3478" s="12"/>
      <c r="I3478" s="2"/>
      <c r="J3478" s="2"/>
      <c r="K3478" s="13"/>
      <c r="L3478" s="2"/>
      <c r="M3478" s="2"/>
      <c r="N3478" s="2"/>
      <c r="O3478" s="2"/>
      <c r="P3478" s="2"/>
      <c r="Q3478" s="2"/>
      <c r="R3478" s="2"/>
      <c r="S3478" s="2"/>
    </row>
    <row r="3479" spans="1:19" s="2" customFormat="1" ht="96.2" customHeight="1" outlineLevel="5">
      <c r="A3479" s="52">
        <v>2726</v>
      </c>
      <c r="B3479" s="26" t="s">
        <v>11482</v>
      </c>
      <c r="C3479" s="66" t="s">
        <v>11483</v>
      </c>
      <c r="D3479" s="66"/>
      <c r="E3479" s="66"/>
      <c r="F3479" s="66"/>
      <c r="G3479" s="27" t="s">
        <v>11484</v>
      </c>
      <c r="H3479" s="28" t="s">
        <v>44</v>
      </c>
      <c r="I3479" s="29"/>
      <c r="J3479" s="25">
        <v>5</v>
      </c>
      <c r="K3479" s="30">
        <v>131.30000000000001</v>
      </c>
      <c r="L3479" s="17"/>
      <c r="M3479" s="29">
        <f t="shared" ref="M3479:M3490" si="166">K3479*L3479</f>
        <v>0</v>
      </c>
      <c r="N3479" s="31">
        <f>0.049*L3479</f>
        <v>0</v>
      </c>
      <c r="O3479" s="35">
        <f>0.0006*L3479</f>
        <v>0</v>
      </c>
      <c r="P3479" s="36"/>
      <c r="Q3479" s="29" t="s">
        <v>11485</v>
      </c>
      <c r="R3479" s="29"/>
      <c r="S3479" s="26" t="str">
        <f>HYPERLINK("https://miland.ru/api/getInfo/image/0225bf57-4ba8-11e9-a221-ac1f6b442184")</f>
        <v>https://miland.ru/api/getInfo/image/0225bf57-4ba8-11e9-a221-ac1f6b442184</v>
      </c>
    </row>
    <row r="3480" spans="1:19" s="2" customFormat="1" ht="96.2" customHeight="1" outlineLevel="5">
      <c r="A3480" s="52">
        <v>2727</v>
      </c>
      <c r="B3480" s="26" t="s">
        <v>11486</v>
      </c>
      <c r="C3480" s="66" t="s">
        <v>11487</v>
      </c>
      <c r="D3480" s="66"/>
      <c r="E3480" s="66"/>
      <c r="F3480" s="66"/>
      <c r="G3480" s="27" t="s">
        <v>11488</v>
      </c>
      <c r="H3480" s="28" t="s">
        <v>44</v>
      </c>
      <c r="I3480" s="29"/>
      <c r="J3480" s="25">
        <v>1</v>
      </c>
      <c r="K3480" s="30">
        <v>431.1</v>
      </c>
      <c r="L3480" s="17"/>
      <c r="M3480" s="29">
        <f t="shared" si="166"/>
        <v>0</v>
      </c>
      <c r="N3480" s="31">
        <f>0.187*L3480</f>
        <v>0</v>
      </c>
      <c r="O3480" s="32">
        <f>0.00215*L3480</f>
        <v>0</v>
      </c>
      <c r="P3480" s="36"/>
      <c r="Q3480" s="29" t="s">
        <v>11489</v>
      </c>
      <c r="R3480" s="29"/>
      <c r="S3480" s="26" t="str">
        <f>HYPERLINK("https://miland.ru/api/getInfo/image/cf3a4ccd-4bac-11e9-a221-ac1f6b442184")</f>
        <v>https://miland.ru/api/getInfo/image/cf3a4ccd-4bac-11e9-a221-ac1f6b442184</v>
      </c>
    </row>
    <row r="3481" spans="1:19" s="2" customFormat="1" ht="96.2" customHeight="1" outlineLevel="5">
      <c r="A3481" s="52">
        <v>2728</v>
      </c>
      <c r="B3481" s="26" t="s">
        <v>11490</v>
      </c>
      <c r="C3481" s="66" t="s">
        <v>11491</v>
      </c>
      <c r="D3481" s="66"/>
      <c r="E3481" s="66"/>
      <c r="F3481" s="66"/>
      <c r="G3481" s="27" t="s">
        <v>11492</v>
      </c>
      <c r="H3481" s="28" t="s">
        <v>44</v>
      </c>
      <c r="I3481" s="29"/>
      <c r="J3481" s="25">
        <v>5</v>
      </c>
      <c r="K3481" s="30">
        <v>131.30000000000001</v>
      </c>
      <c r="L3481" s="17"/>
      <c r="M3481" s="29">
        <f t="shared" si="166"/>
        <v>0</v>
      </c>
      <c r="N3481" s="31">
        <f>0.049*L3481</f>
        <v>0</v>
      </c>
      <c r="O3481" s="32">
        <f>0.00059*L3481</f>
        <v>0</v>
      </c>
      <c r="P3481" s="36"/>
      <c r="Q3481" s="29" t="s">
        <v>11493</v>
      </c>
      <c r="R3481" s="29"/>
      <c r="S3481" s="26" t="str">
        <f>HYPERLINK("https://miland.ru/api/getInfo/image/a317263a-4ba6-11e9-a221-ac1f6b442184")</f>
        <v>https://miland.ru/api/getInfo/image/a317263a-4ba6-11e9-a221-ac1f6b442184</v>
      </c>
    </row>
    <row r="3482" spans="1:19" s="2" customFormat="1" ht="96.2" customHeight="1" outlineLevel="5">
      <c r="A3482" s="52">
        <v>2729</v>
      </c>
      <c r="B3482" s="26" t="s">
        <v>11494</v>
      </c>
      <c r="C3482" s="66" t="s">
        <v>11495</v>
      </c>
      <c r="D3482" s="66"/>
      <c r="E3482" s="66"/>
      <c r="F3482" s="66"/>
      <c r="G3482" s="27" t="s">
        <v>11496</v>
      </c>
      <c r="H3482" s="28" t="s">
        <v>44</v>
      </c>
      <c r="I3482" s="29"/>
      <c r="J3482" s="25">
        <v>2</v>
      </c>
      <c r="K3482" s="30">
        <v>374.13</v>
      </c>
      <c r="L3482" s="17"/>
      <c r="M3482" s="29">
        <f t="shared" si="166"/>
        <v>0</v>
      </c>
      <c r="N3482" s="31">
        <f>0.078*L3482</f>
        <v>0</v>
      </c>
      <c r="O3482" s="32">
        <f>0.00117*L3482</f>
        <v>0</v>
      </c>
      <c r="P3482" s="36"/>
      <c r="Q3482" s="29" t="s">
        <v>11497</v>
      </c>
      <c r="R3482" s="29"/>
      <c r="S3482" s="26" t="str">
        <f>HYPERLINK("https://miland.ru/api/getInfo/image/8abd05c2-4bae-11e9-a221-ac1f6b442184")</f>
        <v>https://miland.ru/api/getInfo/image/8abd05c2-4bae-11e9-a221-ac1f6b442184</v>
      </c>
    </row>
    <row r="3483" spans="1:19" s="2" customFormat="1" ht="96.2" customHeight="1" outlineLevel="5">
      <c r="A3483" s="52">
        <v>2730</v>
      </c>
      <c r="B3483" s="26" t="s">
        <v>11498</v>
      </c>
      <c r="C3483" s="66" t="s">
        <v>11499</v>
      </c>
      <c r="D3483" s="66"/>
      <c r="E3483" s="66"/>
      <c r="F3483" s="66"/>
      <c r="G3483" s="27" t="s">
        <v>11500</v>
      </c>
      <c r="H3483" s="28" t="s">
        <v>44</v>
      </c>
      <c r="I3483" s="29"/>
      <c r="J3483" s="25">
        <v>2</v>
      </c>
      <c r="K3483" s="30">
        <v>374.13</v>
      </c>
      <c r="L3483" s="17"/>
      <c r="M3483" s="29">
        <f t="shared" si="166"/>
        <v>0</v>
      </c>
      <c r="N3483" s="31">
        <f>0.083*L3483</f>
        <v>0</v>
      </c>
      <c r="O3483" s="32">
        <f>0.00116*L3483</f>
        <v>0</v>
      </c>
      <c r="P3483" s="36"/>
      <c r="Q3483" s="29" t="s">
        <v>11501</v>
      </c>
      <c r="R3483" s="29"/>
      <c r="S3483" s="26" t="str">
        <f>HYPERLINK("https://miland.ru/api/getInfo/image/48514976-4baf-11e9-a221-ac1f6b442184")</f>
        <v>https://miland.ru/api/getInfo/image/48514976-4baf-11e9-a221-ac1f6b442184</v>
      </c>
    </row>
    <row r="3484" spans="1:19" s="2" customFormat="1" ht="96.2" customHeight="1" outlineLevel="5">
      <c r="A3484" s="52">
        <v>2731</v>
      </c>
      <c r="B3484" s="26" t="s">
        <v>11502</v>
      </c>
      <c r="C3484" s="66" t="s">
        <v>11503</v>
      </c>
      <c r="D3484" s="66"/>
      <c r="E3484" s="66"/>
      <c r="F3484" s="66"/>
      <c r="G3484" s="27" t="s">
        <v>11504</v>
      </c>
      <c r="H3484" s="28" t="s">
        <v>44</v>
      </c>
      <c r="I3484" s="29"/>
      <c r="J3484" s="25">
        <v>2</v>
      </c>
      <c r="K3484" s="30">
        <v>338.36</v>
      </c>
      <c r="L3484" s="17"/>
      <c r="M3484" s="29">
        <f t="shared" si="166"/>
        <v>0</v>
      </c>
      <c r="N3484" s="31">
        <f>0.089*L3484</f>
        <v>0</v>
      </c>
      <c r="O3484" s="35">
        <f>0.0011*L3484</f>
        <v>0</v>
      </c>
      <c r="P3484" s="36"/>
      <c r="Q3484" s="29" t="s">
        <v>11505</v>
      </c>
      <c r="R3484" s="29"/>
      <c r="S3484" s="26" t="str">
        <f>HYPERLINK("https://miland.ru/api/getInfo/image/d46bb46d-4ba9-11e9-a221-ac1f6b442184")</f>
        <v>https://miland.ru/api/getInfo/image/d46bb46d-4ba9-11e9-a221-ac1f6b442184</v>
      </c>
    </row>
    <row r="3485" spans="1:19" s="2" customFormat="1" ht="96.2" customHeight="1" outlineLevel="5">
      <c r="A3485" s="52">
        <v>2732</v>
      </c>
      <c r="B3485" s="26" t="s">
        <v>11506</v>
      </c>
      <c r="C3485" s="66" t="s">
        <v>11507</v>
      </c>
      <c r="D3485" s="66"/>
      <c r="E3485" s="66"/>
      <c r="F3485" s="66"/>
      <c r="G3485" s="27" t="s">
        <v>11508</v>
      </c>
      <c r="H3485" s="28" t="s">
        <v>44</v>
      </c>
      <c r="I3485" s="29"/>
      <c r="J3485" s="25">
        <v>2</v>
      </c>
      <c r="K3485" s="30">
        <v>374.13</v>
      </c>
      <c r="L3485" s="17"/>
      <c r="M3485" s="29">
        <f t="shared" si="166"/>
        <v>0</v>
      </c>
      <c r="N3485" s="34">
        <f>0.08*L3485</f>
        <v>0</v>
      </c>
      <c r="O3485" s="32">
        <f>0.00124*L3485</f>
        <v>0</v>
      </c>
      <c r="P3485" s="36"/>
      <c r="Q3485" s="29" t="s">
        <v>11509</v>
      </c>
      <c r="R3485" s="29"/>
      <c r="S3485" s="26" t="str">
        <f>HYPERLINK("https://miland.ru/api/getInfo/image/a14b8c5b-4baf-11e9-a221-ac1f6b442184")</f>
        <v>https://miland.ru/api/getInfo/image/a14b8c5b-4baf-11e9-a221-ac1f6b442184</v>
      </c>
    </row>
    <row r="3486" spans="1:19" s="2" customFormat="1" ht="96.2" customHeight="1" outlineLevel="5">
      <c r="A3486" s="52">
        <v>2733</v>
      </c>
      <c r="B3486" s="26" t="s">
        <v>11510</v>
      </c>
      <c r="C3486" s="66" t="s">
        <v>11511</v>
      </c>
      <c r="D3486" s="66"/>
      <c r="E3486" s="66"/>
      <c r="F3486" s="66"/>
      <c r="G3486" s="27" t="s">
        <v>11512</v>
      </c>
      <c r="H3486" s="28" t="s">
        <v>44</v>
      </c>
      <c r="I3486" s="29"/>
      <c r="J3486" s="25">
        <v>2</v>
      </c>
      <c r="K3486" s="30">
        <v>338.36</v>
      </c>
      <c r="L3486" s="17"/>
      <c r="M3486" s="29">
        <f t="shared" si="166"/>
        <v>0</v>
      </c>
      <c r="N3486" s="31">
        <f>0.092*L3486</f>
        <v>0</v>
      </c>
      <c r="O3486" s="32">
        <f>0.00111*L3486</f>
        <v>0</v>
      </c>
      <c r="P3486" s="36"/>
      <c r="Q3486" s="29" t="s">
        <v>11513</v>
      </c>
      <c r="R3486" s="29"/>
      <c r="S3486" s="26" t="str">
        <f>HYPERLINK("https://miland.ru/api/getInfo/image/ba0a6300-b076-11ef-a267-00155d82e908")</f>
        <v>https://miland.ru/api/getInfo/image/ba0a6300-b076-11ef-a267-00155d82e908</v>
      </c>
    </row>
    <row r="3487" spans="1:19" s="2" customFormat="1" ht="96.2" customHeight="1" outlineLevel="5">
      <c r="A3487" s="52">
        <v>2734</v>
      </c>
      <c r="B3487" s="26" t="s">
        <v>11514</v>
      </c>
      <c r="C3487" s="66" t="s">
        <v>11515</v>
      </c>
      <c r="D3487" s="66"/>
      <c r="E3487" s="66"/>
      <c r="F3487" s="66"/>
      <c r="G3487" s="27" t="s">
        <v>11516</v>
      </c>
      <c r="H3487" s="28" t="s">
        <v>44</v>
      </c>
      <c r="I3487" s="29"/>
      <c r="J3487" s="25">
        <v>5</v>
      </c>
      <c r="K3487" s="30">
        <v>131.30000000000001</v>
      </c>
      <c r="L3487" s="17"/>
      <c r="M3487" s="29">
        <f t="shared" si="166"/>
        <v>0</v>
      </c>
      <c r="N3487" s="31">
        <f>0.054*L3487</f>
        <v>0</v>
      </c>
      <c r="O3487" s="32">
        <f>0.00059*L3487</f>
        <v>0</v>
      </c>
      <c r="P3487" s="36"/>
      <c r="Q3487" s="29" t="s">
        <v>11517</v>
      </c>
      <c r="R3487" s="29"/>
      <c r="S3487" s="26" t="str">
        <f>HYPERLINK("https://miland.ru/api/getInfo/image/1f8297b3-4ba6-11e9-a221-ac1f6b442184")</f>
        <v>https://miland.ru/api/getInfo/image/1f8297b3-4ba6-11e9-a221-ac1f6b442184</v>
      </c>
    </row>
    <row r="3488" spans="1:19" s="2" customFormat="1" ht="96.2" customHeight="1" outlineLevel="5">
      <c r="A3488" s="53">
        <v>2735</v>
      </c>
      <c r="B3488" s="10" t="s">
        <v>11518</v>
      </c>
      <c r="C3488" s="65" t="s">
        <v>11519</v>
      </c>
      <c r="D3488" s="65"/>
      <c r="E3488" s="65"/>
      <c r="F3488" s="65"/>
      <c r="G3488" s="11" t="s">
        <v>11520</v>
      </c>
      <c r="H3488" s="14">
        <v>299</v>
      </c>
      <c r="I3488" s="15"/>
      <c r="J3488" s="9">
        <v>1</v>
      </c>
      <c r="K3488" s="16">
        <v>438.86</v>
      </c>
      <c r="L3488" s="17"/>
      <c r="M3488" s="15">
        <f t="shared" si="166"/>
        <v>0</v>
      </c>
      <c r="N3488" s="18">
        <f>0.283*L3488</f>
        <v>0</v>
      </c>
      <c r="O3488" s="19">
        <f>0.00246*L3488</f>
        <v>0</v>
      </c>
      <c r="P3488" s="24" t="s">
        <v>26</v>
      </c>
      <c r="Q3488" s="15" t="s">
        <v>11521</v>
      </c>
      <c r="R3488" s="15"/>
      <c r="S3488" s="10" t="str">
        <f>HYPERLINK("https://miland.ru/api/getInfo/image/11a89bc4-5a6a-11f1-a295-00155d82e908")</f>
        <v>https://miland.ru/api/getInfo/image/11a89bc4-5a6a-11f1-a295-00155d82e908</v>
      </c>
    </row>
    <row r="3489" spans="1:19" s="2" customFormat="1" ht="96.2" customHeight="1" outlineLevel="5">
      <c r="A3489" s="53">
        <v>2736</v>
      </c>
      <c r="B3489" s="10" t="s">
        <v>11522</v>
      </c>
      <c r="C3489" s="65" t="s">
        <v>11523</v>
      </c>
      <c r="D3489" s="65"/>
      <c r="E3489" s="65"/>
      <c r="F3489" s="65"/>
      <c r="G3489" s="11" t="s">
        <v>11524</v>
      </c>
      <c r="H3489" s="14">
        <v>215</v>
      </c>
      <c r="I3489" s="15"/>
      <c r="J3489" s="9">
        <v>2</v>
      </c>
      <c r="K3489" s="16">
        <v>351.09</v>
      </c>
      <c r="L3489" s="17"/>
      <c r="M3489" s="15">
        <f t="shared" si="166"/>
        <v>0</v>
      </c>
      <c r="N3489" s="18">
        <f>0.284*L3489</f>
        <v>0</v>
      </c>
      <c r="O3489" s="19">
        <f>0.00159*L3489</f>
        <v>0</v>
      </c>
      <c r="P3489" s="24" t="s">
        <v>26</v>
      </c>
      <c r="Q3489" s="15" t="s">
        <v>11525</v>
      </c>
      <c r="R3489" s="15"/>
      <c r="S3489" s="10" t="str">
        <f>HYPERLINK("https://miland.ru/api/getInfo/image/fcc2ceea-5a69-11f1-a295-00155d82e908")</f>
        <v>https://miland.ru/api/getInfo/image/fcc2ceea-5a69-11f1-a295-00155d82e908</v>
      </c>
    </row>
    <row r="3490" spans="1:19" s="2" customFormat="1" ht="96.2" customHeight="1" outlineLevel="5">
      <c r="A3490" s="53">
        <v>2737</v>
      </c>
      <c r="B3490" s="10" t="s">
        <v>11526</v>
      </c>
      <c r="C3490" s="65" t="s">
        <v>11527</v>
      </c>
      <c r="D3490" s="65"/>
      <c r="E3490" s="65"/>
      <c r="F3490" s="65"/>
      <c r="G3490" s="11" t="s">
        <v>11528</v>
      </c>
      <c r="H3490" s="14">
        <v>179</v>
      </c>
      <c r="I3490" s="15"/>
      <c r="J3490" s="9">
        <v>2</v>
      </c>
      <c r="K3490" s="16">
        <v>373.03</v>
      </c>
      <c r="L3490" s="17"/>
      <c r="M3490" s="15">
        <f t="shared" si="166"/>
        <v>0</v>
      </c>
      <c r="N3490" s="18">
        <f>0.262*L3490</f>
        <v>0</v>
      </c>
      <c r="O3490" s="19">
        <f>0.00256*L3490</f>
        <v>0</v>
      </c>
      <c r="P3490" s="24" t="s">
        <v>26</v>
      </c>
      <c r="Q3490" s="15" t="s">
        <v>11529</v>
      </c>
      <c r="R3490" s="15"/>
      <c r="S3490" s="10" t="str">
        <f>HYPERLINK("https://miland.ru/api/getInfo/image/e4de3ea6-5a69-11f1-a295-00155d82e908")</f>
        <v>https://miland.ru/api/getInfo/image/e4de3ea6-5a69-11f1-a295-00155d82e908</v>
      </c>
    </row>
    <row r="3491" spans="1:19" s="1" customFormat="1" ht="12" customHeight="1" outlineLevel="3">
      <c r="A3491" s="64" t="s">
        <v>11530</v>
      </c>
      <c r="B3491" s="64"/>
      <c r="C3491" s="64"/>
      <c r="D3491" s="64"/>
      <c r="E3491" s="64"/>
      <c r="F3491" s="64"/>
      <c r="G3491" s="8"/>
      <c r="H3491" s="12"/>
      <c r="I3491" s="2"/>
      <c r="J3491" s="2"/>
      <c r="K3491" s="13"/>
      <c r="L3491" s="2"/>
      <c r="M3491" s="2"/>
      <c r="N3491" s="2"/>
      <c r="O3491" s="2"/>
      <c r="P3491" s="2"/>
      <c r="Q3491" s="2"/>
      <c r="R3491" s="2"/>
      <c r="S3491" s="2"/>
    </row>
    <row r="3492" spans="1:19" s="2" customFormat="1" ht="96.2" customHeight="1" outlineLevel="4">
      <c r="A3492" s="53">
        <v>2738</v>
      </c>
      <c r="B3492" s="10" t="s">
        <v>11531</v>
      </c>
      <c r="C3492" s="65" t="s">
        <v>11532</v>
      </c>
      <c r="D3492" s="65"/>
      <c r="E3492" s="65"/>
      <c r="F3492" s="65"/>
      <c r="G3492" s="11" t="s">
        <v>11533</v>
      </c>
      <c r="H3492" s="14">
        <v>3</v>
      </c>
      <c r="I3492" s="15"/>
      <c r="J3492" s="9">
        <v>1</v>
      </c>
      <c r="K3492" s="22">
        <v>1481.63</v>
      </c>
      <c r="L3492" s="17"/>
      <c r="M3492" s="15">
        <f t="shared" ref="M3492:M3538" si="167">K3492*L3492</f>
        <v>0</v>
      </c>
      <c r="N3492" s="23">
        <f>0.33*L3492</f>
        <v>0</v>
      </c>
      <c r="O3492" s="19">
        <f>0.00184*L3492</f>
        <v>0</v>
      </c>
      <c r="P3492" s="24" t="s">
        <v>26</v>
      </c>
      <c r="Q3492" s="15" t="s">
        <v>11534</v>
      </c>
      <c r="R3492" s="15"/>
      <c r="S3492" s="10" t="str">
        <f>HYPERLINK("https://miland.ru/api/getInfo/image/25ecbb5d-af44-11f0-a286-00155d82e908")</f>
        <v>https://miland.ru/api/getInfo/image/25ecbb5d-af44-11f0-a286-00155d82e908</v>
      </c>
    </row>
    <row r="3493" spans="1:19" s="2" customFormat="1" ht="96.2" customHeight="1" outlineLevel="4">
      <c r="A3493" s="53">
        <v>2739</v>
      </c>
      <c r="B3493" s="10" t="s">
        <v>11535</v>
      </c>
      <c r="C3493" s="65" t="s">
        <v>11536</v>
      </c>
      <c r="D3493" s="65"/>
      <c r="E3493" s="65"/>
      <c r="F3493" s="65"/>
      <c r="G3493" s="11" t="s">
        <v>11537</v>
      </c>
      <c r="H3493" s="14">
        <v>2</v>
      </c>
      <c r="I3493" s="15"/>
      <c r="J3493" s="9">
        <v>1</v>
      </c>
      <c r="K3493" s="22">
        <v>1290.44</v>
      </c>
      <c r="L3493" s="17"/>
      <c r="M3493" s="15">
        <f t="shared" si="167"/>
        <v>0</v>
      </c>
      <c r="N3493" s="23">
        <f>0.26*L3493</f>
        <v>0</v>
      </c>
      <c r="O3493" s="19">
        <f>0.00294*L3493</f>
        <v>0</v>
      </c>
      <c r="P3493" s="24" t="s">
        <v>26</v>
      </c>
      <c r="Q3493" s="15" t="s">
        <v>11538</v>
      </c>
      <c r="R3493" s="15"/>
      <c r="S3493" s="10" t="str">
        <f>HYPERLINK("https://miland.ru/api/getInfo/image/30b59d4e-af43-11f0-a286-00155d82e908")</f>
        <v>https://miland.ru/api/getInfo/image/30b59d4e-af43-11f0-a286-00155d82e908</v>
      </c>
    </row>
    <row r="3494" spans="1:19" s="2" customFormat="1" ht="96.2" customHeight="1" outlineLevel="4">
      <c r="A3494" s="52">
        <v>2740</v>
      </c>
      <c r="B3494" s="26" t="s">
        <v>11539</v>
      </c>
      <c r="C3494" s="66" t="s">
        <v>11540</v>
      </c>
      <c r="D3494" s="66"/>
      <c r="E3494" s="66"/>
      <c r="F3494" s="66"/>
      <c r="G3494" s="27" t="s">
        <v>11541</v>
      </c>
      <c r="H3494" s="33">
        <v>5</v>
      </c>
      <c r="I3494" s="29"/>
      <c r="J3494" s="25">
        <v>1</v>
      </c>
      <c r="K3494" s="30">
        <v>546.4</v>
      </c>
      <c r="L3494" s="17"/>
      <c r="M3494" s="29">
        <f t="shared" si="167"/>
        <v>0</v>
      </c>
      <c r="N3494" s="31">
        <f>15.386*L3494</f>
        <v>0</v>
      </c>
      <c r="O3494" s="32">
        <f>0.11563*L3494</f>
        <v>0</v>
      </c>
      <c r="P3494" s="36"/>
      <c r="Q3494" s="29" t="s">
        <v>11542</v>
      </c>
      <c r="R3494" s="29"/>
      <c r="S3494" s="26" t="str">
        <f>HYPERLINK("https://miland.ru/api/getInfo/image/242dd9a1-7403-11ef-a265-00155d82e908")</f>
        <v>https://miland.ru/api/getInfo/image/242dd9a1-7403-11ef-a265-00155d82e908</v>
      </c>
    </row>
    <row r="3495" spans="1:19" s="2" customFormat="1" ht="96.2" customHeight="1" outlineLevel="4">
      <c r="A3495" s="52">
        <v>2741</v>
      </c>
      <c r="B3495" s="26" t="s">
        <v>11543</v>
      </c>
      <c r="C3495" s="66" t="s">
        <v>11544</v>
      </c>
      <c r="D3495" s="66"/>
      <c r="E3495" s="66"/>
      <c r="F3495" s="66"/>
      <c r="G3495" s="27" t="s">
        <v>11545</v>
      </c>
      <c r="H3495" s="33">
        <v>1</v>
      </c>
      <c r="I3495" s="29"/>
      <c r="J3495" s="25">
        <v>1</v>
      </c>
      <c r="K3495" s="30">
        <v>546.4</v>
      </c>
      <c r="L3495" s="17"/>
      <c r="M3495" s="29">
        <f t="shared" si="167"/>
        <v>0</v>
      </c>
      <c r="N3495" s="34">
        <f>0.24*L3495</f>
        <v>0</v>
      </c>
      <c r="O3495" s="32">
        <f>0.00158*L3495</f>
        <v>0</v>
      </c>
      <c r="P3495" s="36"/>
      <c r="Q3495" s="29" t="s">
        <v>11546</v>
      </c>
      <c r="R3495" s="29"/>
      <c r="S3495" s="26" t="str">
        <f>HYPERLINK("https://miland.ru/api/getInfo/image/ee7231e4-7407-11ef-a265-00155d82e908")</f>
        <v>https://miland.ru/api/getInfo/image/ee7231e4-7407-11ef-a265-00155d82e908</v>
      </c>
    </row>
    <row r="3496" spans="1:19" s="2" customFormat="1" ht="96.2" customHeight="1" outlineLevel="4">
      <c r="A3496" s="52">
        <v>2742</v>
      </c>
      <c r="B3496" s="26" t="s">
        <v>11547</v>
      </c>
      <c r="C3496" s="66" t="s">
        <v>11548</v>
      </c>
      <c r="D3496" s="66"/>
      <c r="E3496" s="66"/>
      <c r="F3496" s="66"/>
      <c r="G3496" s="27" t="s">
        <v>11549</v>
      </c>
      <c r="H3496" s="33">
        <v>2</v>
      </c>
      <c r="I3496" s="29"/>
      <c r="J3496" s="25">
        <v>1</v>
      </c>
      <c r="K3496" s="30">
        <v>546.4</v>
      </c>
      <c r="L3496" s="17"/>
      <c r="M3496" s="29">
        <f t="shared" si="167"/>
        <v>0</v>
      </c>
      <c r="N3496" s="31">
        <f>0.238*L3496</f>
        <v>0</v>
      </c>
      <c r="O3496" s="32">
        <f>0.00662*L3496</f>
        <v>0</v>
      </c>
      <c r="P3496" s="36"/>
      <c r="Q3496" s="29" t="s">
        <v>11550</v>
      </c>
      <c r="R3496" s="29"/>
      <c r="S3496" s="26" t="str">
        <f>HYPERLINK("https://miland.ru/api/getInfo/image/10f6952a-7404-11ef-a265-00155d82e908")</f>
        <v>https://miland.ru/api/getInfo/image/10f6952a-7404-11ef-a265-00155d82e908</v>
      </c>
    </row>
    <row r="3497" spans="1:19" s="2" customFormat="1" ht="96.2" customHeight="1" outlineLevel="4">
      <c r="A3497" s="52">
        <v>2743</v>
      </c>
      <c r="B3497" s="26" t="s">
        <v>11551</v>
      </c>
      <c r="C3497" s="66" t="s">
        <v>11552</v>
      </c>
      <c r="D3497" s="66"/>
      <c r="E3497" s="66"/>
      <c r="F3497" s="66"/>
      <c r="G3497" s="27" t="s">
        <v>11553</v>
      </c>
      <c r="H3497" s="33">
        <v>1</v>
      </c>
      <c r="I3497" s="29"/>
      <c r="J3497" s="25">
        <v>1</v>
      </c>
      <c r="K3497" s="30">
        <v>534.6</v>
      </c>
      <c r="L3497" s="17"/>
      <c r="M3497" s="29">
        <f t="shared" si="167"/>
        <v>0</v>
      </c>
      <c r="N3497" s="31">
        <f>0.247*L3497</f>
        <v>0</v>
      </c>
      <c r="O3497" s="32">
        <f>0.00371*L3497</f>
        <v>0</v>
      </c>
      <c r="P3497" s="36"/>
      <c r="Q3497" s="29" t="s">
        <v>11554</v>
      </c>
      <c r="R3497" s="29"/>
      <c r="S3497" s="26" t="str">
        <f>HYPERLINK("https://miland.ru/api/getInfo/image/f8d21044-73fe-11ef-a265-00155d82e908")</f>
        <v>https://miland.ru/api/getInfo/image/f8d21044-73fe-11ef-a265-00155d82e908</v>
      </c>
    </row>
    <row r="3498" spans="1:19" s="2" customFormat="1" ht="96.2" customHeight="1" outlineLevel="4">
      <c r="A3498" s="52">
        <v>2744</v>
      </c>
      <c r="B3498" s="26" t="s">
        <v>11555</v>
      </c>
      <c r="C3498" s="66" t="s">
        <v>11556</v>
      </c>
      <c r="D3498" s="66"/>
      <c r="E3498" s="66"/>
      <c r="F3498" s="66"/>
      <c r="G3498" s="27" t="s">
        <v>11557</v>
      </c>
      <c r="H3498" s="33">
        <v>3</v>
      </c>
      <c r="I3498" s="29"/>
      <c r="J3498" s="25">
        <v>1</v>
      </c>
      <c r="K3498" s="30">
        <v>546.4</v>
      </c>
      <c r="L3498" s="17"/>
      <c r="M3498" s="29">
        <f t="shared" si="167"/>
        <v>0</v>
      </c>
      <c r="N3498" s="34">
        <f>0.24*L3498</f>
        <v>0</v>
      </c>
      <c r="O3498" s="32">
        <f>0.00079*L3498</f>
        <v>0</v>
      </c>
      <c r="P3498" s="36"/>
      <c r="Q3498" s="29" t="s">
        <v>11558</v>
      </c>
      <c r="R3498" s="29"/>
      <c r="S3498" s="26" t="str">
        <f>HYPERLINK("https://miland.ru/api/getInfo/image/79b0c858-7407-11ef-a265-00155d82e908")</f>
        <v>https://miland.ru/api/getInfo/image/79b0c858-7407-11ef-a265-00155d82e908</v>
      </c>
    </row>
    <row r="3499" spans="1:19" s="2" customFormat="1" ht="96.2" customHeight="1" outlineLevel="4">
      <c r="A3499" s="52">
        <v>2745</v>
      </c>
      <c r="B3499" s="26" t="s">
        <v>11559</v>
      </c>
      <c r="C3499" s="66" t="s">
        <v>11560</v>
      </c>
      <c r="D3499" s="66"/>
      <c r="E3499" s="66"/>
      <c r="F3499" s="66"/>
      <c r="G3499" s="27" t="s">
        <v>11561</v>
      </c>
      <c r="H3499" s="33">
        <v>5</v>
      </c>
      <c r="I3499" s="29"/>
      <c r="J3499" s="25">
        <v>1</v>
      </c>
      <c r="K3499" s="30">
        <v>546.4</v>
      </c>
      <c r="L3499" s="17"/>
      <c r="M3499" s="29">
        <f t="shared" si="167"/>
        <v>0</v>
      </c>
      <c r="N3499" s="34">
        <f>0.24*L3499</f>
        <v>0</v>
      </c>
      <c r="O3499" s="32">
        <f>0.00642*L3499</f>
        <v>0</v>
      </c>
      <c r="P3499" s="36"/>
      <c r="Q3499" s="29" t="s">
        <v>11562</v>
      </c>
      <c r="R3499" s="29" t="s">
        <v>611</v>
      </c>
      <c r="S3499" s="26" t="str">
        <f>HYPERLINK("https://miland.ru/api/getInfo/image/6b5354bf-7401-11ef-a265-00155d82e908")</f>
        <v>https://miland.ru/api/getInfo/image/6b5354bf-7401-11ef-a265-00155d82e908</v>
      </c>
    </row>
    <row r="3500" spans="1:19" s="2" customFormat="1" ht="96.2" customHeight="1" outlineLevel="4">
      <c r="A3500" s="52">
        <v>2746</v>
      </c>
      <c r="B3500" s="26" t="s">
        <v>11563</v>
      </c>
      <c r="C3500" s="66" t="s">
        <v>11564</v>
      </c>
      <c r="D3500" s="66"/>
      <c r="E3500" s="66"/>
      <c r="F3500" s="66"/>
      <c r="G3500" s="27" t="s">
        <v>11565</v>
      </c>
      <c r="H3500" s="33">
        <v>4</v>
      </c>
      <c r="I3500" s="29"/>
      <c r="J3500" s="25">
        <v>1</v>
      </c>
      <c r="K3500" s="30">
        <v>546.4</v>
      </c>
      <c r="L3500" s="17"/>
      <c r="M3500" s="29">
        <f t="shared" si="167"/>
        <v>0</v>
      </c>
      <c r="N3500" s="34">
        <f>0.24*L3500</f>
        <v>0</v>
      </c>
      <c r="O3500" s="32">
        <f>0.00705*L3500</f>
        <v>0</v>
      </c>
      <c r="P3500" s="36"/>
      <c r="Q3500" s="29" t="s">
        <v>11566</v>
      </c>
      <c r="R3500" s="29"/>
      <c r="S3500" s="26" t="str">
        <f>HYPERLINK("https://miland.ru/api/getInfo/image/a7147587-7405-11ef-a265-00155d82e908")</f>
        <v>https://miland.ru/api/getInfo/image/a7147587-7405-11ef-a265-00155d82e908</v>
      </c>
    </row>
    <row r="3501" spans="1:19" s="2" customFormat="1" ht="96.2" customHeight="1" outlineLevel="4">
      <c r="A3501" s="52">
        <v>2747</v>
      </c>
      <c r="B3501" s="26" t="s">
        <v>11567</v>
      </c>
      <c r="C3501" s="66" t="s">
        <v>11568</v>
      </c>
      <c r="D3501" s="66"/>
      <c r="E3501" s="66"/>
      <c r="F3501" s="66"/>
      <c r="G3501" s="27" t="s">
        <v>11569</v>
      </c>
      <c r="H3501" s="33">
        <v>3</v>
      </c>
      <c r="I3501" s="29"/>
      <c r="J3501" s="25">
        <v>1</v>
      </c>
      <c r="K3501" s="30">
        <v>546.4</v>
      </c>
      <c r="L3501" s="17"/>
      <c r="M3501" s="29">
        <f t="shared" si="167"/>
        <v>0</v>
      </c>
      <c r="N3501" s="31">
        <f>0.237*L3501</f>
        <v>0</v>
      </c>
      <c r="O3501" s="32">
        <f>0.00661*L3501</f>
        <v>0</v>
      </c>
      <c r="P3501" s="36"/>
      <c r="Q3501" s="29" t="s">
        <v>11570</v>
      </c>
      <c r="R3501" s="29"/>
      <c r="S3501" s="26" t="str">
        <f>HYPERLINK("https://miland.ru/api/getInfo/image/98b82e01-73ff-11ef-a265-00155d82e908")</f>
        <v>https://miland.ru/api/getInfo/image/98b82e01-73ff-11ef-a265-00155d82e908</v>
      </c>
    </row>
    <row r="3502" spans="1:19" s="2" customFormat="1" ht="96.2" customHeight="1" outlineLevel="4">
      <c r="A3502" s="52">
        <v>2748</v>
      </c>
      <c r="B3502" s="26" t="s">
        <v>11571</v>
      </c>
      <c r="C3502" s="66" t="s">
        <v>11572</v>
      </c>
      <c r="D3502" s="66"/>
      <c r="E3502" s="66"/>
      <c r="F3502" s="66"/>
      <c r="G3502" s="27" t="s">
        <v>11573</v>
      </c>
      <c r="H3502" s="33">
        <v>1</v>
      </c>
      <c r="I3502" s="29"/>
      <c r="J3502" s="25">
        <v>1</v>
      </c>
      <c r="K3502" s="30">
        <v>546.4</v>
      </c>
      <c r="L3502" s="17"/>
      <c r="M3502" s="29">
        <f t="shared" si="167"/>
        <v>0</v>
      </c>
      <c r="N3502" s="31">
        <f>0.231*L3502</f>
        <v>0</v>
      </c>
      <c r="O3502" s="32">
        <f>0.00336*L3502</f>
        <v>0</v>
      </c>
      <c r="P3502" s="36"/>
      <c r="Q3502" s="29" t="s">
        <v>11574</v>
      </c>
      <c r="R3502" s="29"/>
      <c r="S3502" s="26" t="str">
        <f>HYPERLINK("https://miland.ru/api/getInfo/image/3d9479e1-7402-11ef-a265-00155d82e908")</f>
        <v>https://miland.ru/api/getInfo/image/3d9479e1-7402-11ef-a265-00155d82e908</v>
      </c>
    </row>
    <row r="3503" spans="1:19" s="2" customFormat="1" ht="96.2" customHeight="1" outlineLevel="4">
      <c r="A3503" s="52">
        <v>2749</v>
      </c>
      <c r="B3503" s="26" t="s">
        <v>11575</v>
      </c>
      <c r="C3503" s="66" t="s">
        <v>11576</v>
      </c>
      <c r="D3503" s="66"/>
      <c r="E3503" s="66"/>
      <c r="F3503" s="66"/>
      <c r="G3503" s="27" t="s">
        <v>11577</v>
      </c>
      <c r="H3503" s="33">
        <v>232</v>
      </c>
      <c r="I3503" s="29"/>
      <c r="J3503" s="25">
        <v>1</v>
      </c>
      <c r="K3503" s="30">
        <v>546.4</v>
      </c>
      <c r="L3503" s="17"/>
      <c r="M3503" s="29">
        <f t="shared" si="167"/>
        <v>0</v>
      </c>
      <c r="N3503" s="31">
        <f>0.239*L3503</f>
        <v>0</v>
      </c>
      <c r="O3503" s="32">
        <f>0.00642*L3503</f>
        <v>0</v>
      </c>
      <c r="P3503" s="36"/>
      <c r="Q3503" s="29" t="s">
        <v>11578</v>
      </c>
      <c r="R3503" s="29" t="s">
        <v>611</v>
      </c>
      <c r="S3503" s="26" t="str">
        <f>HYPERLINK("https://miland.ru/api/getInfo/image/5c2fd2ed-c97a-11ed-a230-00155d82e902")</f>
        <v>https://miland.ru/api/getInfo/image/5c2fd2ed-c97a-11ed-a230-00155d82e902</v>
      </c>
    </row>
    <row r="3504" spans="1:19" s="2" customFormat="1" ht="96.2" customHeight="1" outlineLevel="4">
      <c r="A3504" s="52">
        <v>2750</v>
      </c>
      <c r="B3504" s="26" t="s">
        <v>11579</v>
      </c>
      <c r="C3504" s="66" t="s">
        <v>11580</v>
      </c>
      <c r="D3504" s="66"/>
      <c r="E3504" s="66"/>
      <c r="F3504" s="66"/>
      <c r="G3504" s="27" t="s">
        <v>11581</v>
      </c>
      <c r="H3504" s="33">
        <v>1</v>
      </c>
      <c r="I3504" s="29"/>
      <c r="J3504" s="25">
        <v>1</v>
      </c>
      <c r="K3504" s="30">
        <v>470.17</v>
      </c>
      <c r="L3504" s="17"/>
      <c r="M3504" s="29">
        <f t="shared" si="167"/>
        <v>0</v>
      </c>
      <c r="N3504" s="31">
        <f>0.183*L3504</f>
        <v>0</v>
      </c>
      <c r="O3504" s="32">
        <f>0.00454*L3504</f>
        <v>0</v>
      </c>
      <c r="P3504" s="36"/>
      <c r="Q3504" s="29" t="s">
        <v>11582</v>
      </c>
      <c r="R3504" s="29" t="s">
        <v>611</v>
      </c>
      <c r="S3504" s="26" t="str">
        <f>HYPERLINK("https://miland.ru/api/getInfo/image/b158c44b-9fc8-11ee-a257-00155d82e908")</f>
        <v>https://miland.ru/api/getInfo/image/b158c44b-9fc8-11ee-a257-00155d82e908</v>
      </c>
    </row>
    <row r="3505" spans="1:19" s="2" customFormat="1" ht="96.2" customHeight="1" outlineLevel="4">
      <c r="A3505" s="52">
        <v>2751</v>
      </c>
      <c r="B3505" s="26" t="s">
        <v>11583</v>
      </c>
      <c r="C3505" s="66" t="s">
        <v>11584</v>
      </c>
      <c r="D3505" s="66"/>
      <c r="E3505" s="66"/>
      <c r="F3505" s="66"/>
      <c r="G3505" s="27" t="s">
        <v>11585</v>
      </c>
      <c r="H3505" s="33">
        <v>5</v>
      </c>
      <c r="I3505" s="29"/>
      <c r="J3505" s="25">
        <v>1</v>
      </c>
      <c r="K3505" s="30">
        <v>553.34</v>
      </c>
      <c r="L3505" s="17"/>
      <c r="M3505" s="29">
        <f t="shared" si="167"/>
        <v>0</v>
      </c>
      <c r="N3505" s="31">
        <f>0.276*L3505</f>
        <v>0</v>
      </c>
      <c r="O3505" s="32">
        <f>0.00659*L3505</f>
        <v>0</v>
      </c>
      <c r="P3505" s="36"/>
      <c r="Q3505" s="29" t="s">
        <v>11586</v>
      </c>
      <c r="R3505" s="29" t="s">
        <v>611</v>
      </c>
      <c r="S3505" s="26" t="str">
        <f>HYPERLINK("https://miland.ru/api/getInfo/image/21f7af39-9fc8-11ee-a257-00155d82e908")</f>
        <v>https://miland.ru/api/getInfo/image/21f7af39-9fc8-11ee-a257-00155d82e908</v>
      </c>
    </row>
    <row r="3506" spans="1:19" s="2" customFormat="1" ht="96.2" customHeight="1" outlineLevel="4">
      <c r="A3506" s="52">
        <v>2752</v>
      </c>
      <c r="B3506" s="26" t="s">
        <v>11587</v>
      </c>
      <c r="C3506" s="66" t="s">
        <v>11588</v>
      </c>
      <c r="D3506" s="66"/>
      <c r="E3506" s="66"/>
      <c r="F3506" s="66"/>
      <c r="G3506" s="27" t="s">
        <v>11589</v>
      </c>
      <c r="H3506" s="33">
        <v>5</v>
      </c>
      <c r="I3506" s="29"/>
      <c r="J3506" s="25">
        <v>1</v>
      </c>
      <c r="K3506" s="30">
        <v>553.34</v>
      </c>
      <c r="L3506" s="17"/>
      <c r="M3506" s="29">
        <f t="shared" si="167"/>
        <v>0</v>
      </c>
      <c r="N3506" s="31">
        <f>0.261*L3506</f>
        <v>0</v>
      </c>
      <c r="O3506" s="32">
        <f>0.00336*L3506</f>
        <v>0</v>
      </c>
      <c r="P3506" s="36"/>
      <c r="Q3506" s="29" t="s">
        <v>11590</v>
      </c>
      <c r="R3506" s="29" t="s">
        <v>611</v>
      </c>
      <c r="S3506" s="26" t="str">
        <f>HYPERLINK("https://miland.ru/api/getInfo/image/f03953af-9fc7-11ee-a257-00155d82e908")</f>
        <v>https://miland.ru/api/getInfo/image/f03953af-9fc7-11ee-a257-00155d82e908</v>
      </c>
    </row>
    <row r="3507" spans="1:19" s="2" customFormat="1" ht="96.2" customHeight="1" outlineLevel="4">
      <c r="A3507" s="52">
        <v>2753</v>
      </c>
      <c r="B3507" s="26" t="s">
        <v>11591</v>
      </c>
      <c r="C3507" s="66" t="s">
        <v>11592</v>
      </c>
      <c r="D3507" s="66"/>
      <c r="E3507" s="66"/>
      <c r="F3507" s="66"/>
      <c r="G3507" s="27" t="s">
        <v>11593</v>
      </c>
      <c r="H3507" s="33">
        <v>5</v>
      </c>
      <c r="I3507" s="29"/>
      <c r="J3507" s="25">
        <v>1</v>
      </c>
      <c r="K3507" s="30">
        <v>553.34</v>
      </c>
      <c r="L3507" s="17"/>
      <c r="M3507" s="29">
        <f t="shared" si="167"/>
        <v>0</v>
      </c>
      <c r="N3507" s="31">
        <f>0.275*L3507</f>
        <v>0</v>
      </c>
      <c r="O3507" s="32">
        <f>0.00743*L3507</f>
        <v>0</v>
      </c>
      <c r="P3507" s="36"/>
      <c r="Q3507" s="29" t="s">
        <v>11594</v>
      </c>
      <c r="R3507" s="29" t="s">
        <v>611</v>
      </c>
      <c r="S3507" s="26" t="str">
        <f>HYPERLINK("https://miland.ru/api/getInfo/image/cdec50ac-9fc7-11ee-a257-00155d82e908")</f>
        <v>https://miland.ru/api/getInfo/image/cdec50ac-9fc7-11ee-a257-00155d82e908</v>
      </c>
    </row>
    <row r="3508" spans="1:19" s="2" customFormat="1" ht="96.2" customHeight="1" outlineLevel="4">
      <c r="A3508" s="52">
        <v>2754</v>
      </c>
      <c r="B3508" s="26" t="s">
        <v>11595</v>
      </c>
      <c r="C3508" s="66" t="s">
        <v>11596</v>
      </c>
      <c r="D3508" s="66"/>
      <c r="E3508" s="66"/>
      <c r="F3508" s="66"/>
      <c r="G3508" s="27" t="s">
        <v>11597</v>
      </c>
      <c r="H3508" s="33">
        <v>2</v>
      </c>
      <c r="I3508" s="29"/>
      <c r="J3508" s="25">
        <v>1</v>
      </c>
      <c r="K3508" s="30">
        <v>534.6</v>
      </c>
      <c r="L3508" s="17"/>
      <c r="M3508" s="29">
        <f t="shared" si="167"/>
        <v>0</v>
      </c>
      <c r="N3508" s="31">
        <f>0.243*L3508</f>
        <v>0</v>
      </c>
      <c r="O3508" s="32">
        <f>0.00551*L3508</f>
        <v>0</v>
      </c>
      <c r="P3508" s="36"/>
      <c r="Q3508" s="29" t="s">
        <v>11598</v>
      </c>
      <c r="R3508" s="29" t="s">
        <v>611</v>
      </c>
      <c r="S3508" s="26" t="str">
        <f>HYPERLINK("https://miland.ru/api/getInfo/image/b4e56590-5626-11ee-a245-00155d82e902")</f>
        <v>https://miland.ru/api/getInfo/image/b4e56590-5626-11ee-a245-00155d82e902</v>
      </c>
    </row>
    <row r="3509" spans="1:19" s="2" customFormat="1" ht="96.2" customHeight="1" outlineLevel="4">
      <c r="A3509" s="52">
        <v>2755</v>
      </c>
      <c r="B3509" s="26" t="s">
        <v>11599</v>
      </c>
      <c r="C3509" s="66" t="s">
        <v>11600</v>
      </c>
      <c r="D3509" s="66"/>
      <c r="E3509" s="66"/>
      <c r="F3509" s="66"/>
      <c r="G3509" s="27" t="s">
        <v>11601</v>
      </c>
      <c r="H3509" s="33">
        <v>1</v>
      </c>
      <c r="I3509" s="29"/>
      <c r="J3509" s="25">
        <v>1</v>
      </c>
      <c r="K3509" s="30">
        <v>534.6</v>
      </c>
      <c r="L3509" s="17"/>
      <c r="M3509" s="29">
        <f t="shared" si="167"/>
        <v>0</v>
      </c>
      <c r="N3509" s="34">
        <f>0.24*L3509</f>
        <v>0</v>
      </c>
      <c r="O3509" s="32">
        <f>0.00079*L3509</f>
        <v>0</v>
      </c>
      <c r="P3509" s="36"/>
      <c r="Q3509" s="29" t="s">
        <v>11602</v>
      </c>
      <c r="R3509" s="29"/>
      <c r="S3509" s="26" t="str">
        <f>HYPERLINK("https://miland.ru/api/getInfo/image/3ba4846a-c979-11ed-a230-00155d82e902")</f>
        <v>https://miland.ru/api/getInfo/image/3ba4846a-c979-11ed-a230-00155d82e902</v>
      </c>
    </row>
    <row r="3510" spans="1:19" s="2" customFormat="1" ht="96.2" customHeight="1" outlineLevel="4">
      <c r="A3510" s="53">
        <v>2756</v>
      </c>
      <c r="B3510" s="10" t="s">
        <v>11603</v>
      </c>
      <c r="C3510" s="65" t="s">
        <v>11604</v>
      </c>
      <c r="D3510" s="65"/>
      <c r="E3510" s="65"/>
      <c r="F3510" s="65"/>
      <c r="G3510" s="11" t="s">
        <v>11605</v>
      </c>
      <c r="H3510" s="14">
        <v>4</v>
      </c>
      <c r="I3510" s="15"/>
      <c r="J3510" s="9">
        <v>1</v>
      </c>
      <c r="K3510" s="16">
        <v>546.4</v>
      </c>
      <c r="L3510" s="17"/>
      <c r="M3510" s="15">
        <f t="shared" si="167"/>
        <v>0</v>
      </c>
      <c r="N3510" s="18">
        <f>0.235*L3510</f>
        <v>0</v>
      </c>
      <c r="O3510" s="19">
        <f>0.00366*L3510</f>
        <v>0</v>
      </c>
      <c r="P3510" s="24" t="s">
        <v>26</v>
      </c>
      <c r="Q3510" s="15" t="s">
        <v>11606</v>
      </c>
      <c r="R3510" s="15"/>
      <c r="S3510" s="10" t="str">
        <f>HYPERLINK("https://miland.ru/api/getInfo/image/18829354-b64c-11f0-a286-00155d82e908")</f>
        <v>https://miland.ru/api/getInfo/image/18829354-b64c-11f0-a286-00155d82e908</v>
      </c>
    </row>
    <row r="3511" spans="1:19" s="2" customFormat="1" ht="96.2" customHeight="1" outlineLevel="4">
      <c r="A3511" s="52">
        <v>2757</v>
      </c>
      <c r="B3511" s="26" t="s">
        <v>11607</v>
      </c>
      <c r="C3511" s="66" t="s">
        <v>11608</v>
      </c>
      <c r="D3511" s="66"/>
      <c r="E3511" s="66"/>
      <c r="F3511" s="66"/>
      <c r="G3511" s="27" t="s">
        <v>11609</v>
      </c>
      <c r="H3511" s="33">
        <v>3</v>
      </c>
      <c r="I3511" s="29"/>
      <c r="J3511" s="25">
        <v>1</v>
      </c>
      <c r="K3511" s="30">
        <v>516.29999999999995</v>
      </c>
      <c r="L3511" s="17"/>
      <c r="M3511" s="29">
        <f t="shared" si="167"/>
        <v>0</v>
      </c>
      <c r="N3511" s="31">
        <f>0.239*L3511</f>
        <v>0</v>
      </c>
      <c r="O3511" s="32">
        <f>0.00502*L3511</f>
        <v>0</v>
      </c>
      <c r="P3511" s="36"/>
      <c r="Q3511" s="29" t="s">
        <v>11610</v>
      </c>
      <c r="R3511" s="29" t="s">
        <v>611</v>
      </c>
      <c r="S3511" s="26" t="str">
        <f>HYPERLINK("https://miland.ru/api/getInfo/image/eed95c09-5625-11ee-a245-00155d82e902")</f>
        <v>https://miland.ru/api/getInfo/image/eed95c09-5625-11ee-a245-00155d82e902</v>
      </c>
    </row>
    <row r="3512" spans="1:19" s="2" customFormat="1" ht="96.2" customHeight="1" outlineLevel="4">
      <c r="A3512" s="52">
        <v>2758</v>
      </c>
      <c r="B3512" s="26" t="s">
        <v>11611</v>
      </c>
      <c r="C3512" s="66" t="s">
        <v>11612</v>
      </c>
      <c r="D3512" s="66"/>
      <c r="E3512" s="66"/>
      <c r="F3512" s="66"/>
      <c r="G3512" s="27" t="s">
        <v>11613</v>
      </c>
      <c r="H3512" s="33">
        <v>2</v>
      </c>
      <c r="I3512" s="29"/>
      <c r="J3512" s="25">
        <v>1</v>
      </c>
      <c r="K3512" s="30">
        <v>516.29999999999995</v>
      </c>
      <c r="L3512" s="17"/>
      <c r="M3512" s="29">
        <f t="shared" si="167"/>
        <v>0</v>
      </c>
      <c r="N3512" s="31">
        <f>0.224*L3512</f>
        <v>0</v>
      </c>
      <c r="O3512" s="32">
        <f>0.00563*L3512</f>
        <v>0</v>
      </c>
      <c r="P3512" s="36"/>
      <c r="Q3512" s="29" t="s">
        <v>11614</v>
      </c>
      <c r="R3512" s="29" t="s">
        <v>611</v>
      </c>
      <c r="S3512" s="26" t="str">
        <f>HYPERLINK("https://miland.ru/api/getInfo/image/f2e505fc-5626-11ee-a245-00155d82e902")</f>
        <v>https://miland.ru/api/getInfo/image/f2e505fc-5626-11ee-a245-00155d82e902</v>
      </c>
    </row>
    <row r="3513" spans="1:19" s="2" customFormat="1" ht="96.2" customHeight="1" outlineLevel="4">
      <c r="A3513" s="52">
        <v>2759</v>
      </c>
      <c r="B3513" s="26" t="s">
        <v>11615</v>
      </c>
      <c r="C3513" s="66" t="s">
        <v>11616</v>
      </c>
      <c r="D3513" s="66"/>
      <c r="E3513" s="66"/>
      <c r="F3513" s="66"/>
      <c r="G3513" s="27" t="s">
        <v>11617</v>
      </c>
      <c r="H3513" s="33">
        <v>3</v>
      </c>
      <c r="I3513" s="29"/>
      <c r="J3513" s="25">
        <v>1</v>
      </c>
      <c r="K3513" s="30">
        <v>516.29999999999995</v>
      </c>
      <c r="L3513" s="17"/>
      <c r="M3513" s="29">
        <f t="shared" si="167"/>
        <v>0</v>
      </c>
      <c r="N3513" s="34">
        <f>0.24*L3513</f>
        <v>0</v>
      </c>
      <c r="O3513" s="32">
        <f>0.00508*L3513</f>
        <v>0</v>
      </c>
      <c r="P3513" s="36"/>
      <c r="Q3513" s="29" t="s">
        <v>11618</v>
      </c>
      <c r="R3513" s="29"/>
      <c r="S3513" s="26" t="str">
        <f>HYPERLINK("https://miland.ru/api/getInfo/image/4984473c-5629-11ee-a245-00155d82e902")</f>
        <v>https://miland.ru/api/getInfo/image/4984473c-5629-11ee-a245-00155d82e902</v>
      </c>
    </row>
    <row r="3514" spans="1:19" s="2" customFormat="1" ht="96.2" customHeight="1" outlineLevel="4">
      <c r="A3514" s="52">
        <v>2760</v>
      </c>
      <c r="B3514" s="26" t="s">
        <v>11619</v>
      </c>
      <c r="C3514" s="66" t="s">
        <v>11620</v>
      </c>
      <c r="D3514" s="66"/>
      <c r="E3514" s="66"/>
      <c r="F3514" s="66"/>
      <c r="G3514" s="27" t="s">
        <v>11621</v>
      </c>
      <c r="H3514" s="33">
        <v>4</v>
      </c>
      <c r="I3514" s="29"/>
      <c r="J3514" s="25">
        <v>1</v>
      </c>
      <c r="K3514" s="30">
        <v>516.29999999999995</v>
      </c>
      <c r="L3514" s="17"/>
      <c r="M3514" s="29">
        <f t="shared" si="167"/>
        <v>0</v>
      </c>
      <c r="N3514" s="34">
        <f>0.24*L3514</f>
        <v>0</v>
      </c>
      <c r="O3514" s="32">
        <f>0.00642*L3514</f>
        <v>0</v>
      </c>
      <c r="P3514" s="36"/>
      <c r="Q3514" s="29" t="s">
        <v>11622</v>
      </c>
      <c r="R3514" s="29" t="s">
        <v>611</v>
      </c>
      <c r="S3514" s="26" t="str">
        <f>HYPERLINK("https://miland.ru/api/getInfo/image/0e988e65-5628-11ee-a245-00155d82e902")</f>
        <v>https://miland.ru/api/getInfo/image/0e988e65-5628-11ee-a245-00155d82e902</v>
      </c>
    </row>
    <row r="3515" spans="1:19" s="2" customFormat="1" ht="96.2" customHeight="1" outlineLevel="4">
      <c r="A3515" s="52">
        <v>2761</v>
      </c>
      <c r="B3515" s="26" t="s">
        <v>11623</v>
      </c>
      <c r="C3515" s="66" t="s">
        <v>11624</v>
      </c>
      <c r="D3515" s="66"/>
      <c r="E3515" s="66"/>
      <c r="F3515" s="66"/>
      <c r="G3515" s="27" t="s">
        <v>11625</v>
      </c>
      <c r="H3515" s="33">
        <v>6</v>
      </c>
      <c r="I3515" s="29"/>
      <c r="J3515" s="25">
        <v>1</v>
      </c>
      <c r="K3515" s="30">
        <v>546.4</v>
      </c>
      <c r="L3515" s="17"/>
      <c r="M3515" s="29">
        <f t="shared" si="167"/>
        <v>0</v>
      </c>
      <c r="N3515" s="31">
        <f>0.235*L3515</f>
        <v>0</v>
      </c>
      <c r="O3515" s="32">
        <f>0.00377*L3515</f>
        <v>0</v>
      </c>
      <c r="P3515" s="36"/>
      <c r="Q3515" s="29" t="s">
        <v>11626</v>
      </c>
      <c r="R3515" s="29" t="s">
        <v>611</v>
      </c>
      <c r="S3515" s="26" t="str">
        <f>HYPERLINK("https://miland.ru/api/getInfo/image/2f7d2cfa-5625-11ee-a245-00155d82e902")</f>
        <v>https://miland.ru/api/getInfo/image/2f7d2cfa-5625-11ee-a245-00155d82e902</v>
      </c>
    </row>
    <row r="3516" spans="1:19" s="2" customFormat="1" ht="96.2" customHeight="1" outlineLevel="4">
      <c r="A3516" s="52">
        <v>2762</v>
      </c>
      <c r="B3516" s="26" t="s">
        <v>11627</v>
      </c>
      <c r="C3516" s="66" t="s">
        <v>11628</v>
      </c>
      <c r="D3516" s="66"/>
      <c r="E3516" s="66"/>
      <c r="F3516" s="66"/>
      <c r="G3516" s="27" t="s">
        <v>11629</v>
      </c>
      <c r="H3516" s="33">
        <v>5</v>
      </c>
      <c r="I3516" s="29"/>
      <c r="J3516" s="25">
        <v>1</v>
      </c>
      <c r="K3516" s="30">
        <v>534.6</v>
      </c>
      <c r="L3516" s="17"/>
      <c r="M3516" s="29">
        <f t="shared" si="167"/>
        <v>0</v>
      </c>
      <c r="N3516" s="31">
        <f>0.239*L3516</f>
        <v>0</v>
      </c>
      <c r="O3516" s="32">
        <f>0.00642*L3516</f>
        <v>0</v>
      </c>
      <c r="P3516" s="36"/>
      <c r="Q3516" s="29" t="s">
        <v>11630</v>
      </c>
      <c r="R3516" s="29" t="s">
        <v>611</v>
      </c>
      <c r="S3516" s="26" t="str">
        <f>HYPERLINK("https://miland.ru/api/getInfo/image/2e7c9b44-5626-11ee-a245-00155d82e902")</f>
        <v>https://miland.ru/api/getInfo/image/2e7c9b44-5626-11ee-a245-00155d82e902</v>
      </c>
    </row>
    <row r="3517" spans="1:19" s="2" customFormat="1" ht="96.2" customHeight="1" outlineLevel="4">
      <c r="A3517" s="52">
        <v>2763</v>
      </c>
      <c r="B3517" s="26" t="s">
        <v>11631</v>
      </c>
      <c r="C3517" s="66" t="s">
        <v>11632</v>
      </c>
      <c r="D3517" s="66"/>
      <c r="E3517" s="66"/>
      <c r="F3517" s="66"/>
      <c r="G3517" s="27" t="s">
        <v>11633</v>
      </c>
      <c r="H3517" s="33">
        <v>2</v>
      </c>
      <c r="I3517" s="29"/>
      <c r="J3517" s="25">
        <v>1</v>
      </c>
      <c r="K3517" s="30">
        <v>546.4</v>
      </c>
      <c r="L3517" s="17"/>
      <c r="M3517" s="29">
        <f t="shared" si="167"/>
        <v>0</v>
      </c>
      <c r="N3517" s="31">
        <f>0.243*L3517</f>
        <v>0</v>
      </c>
      <c r="O3517" s="32">
        <f>0.00551*L3517</f>
        <v>0</v>
      </c>
      <c r="P3517" s="36"/>
      <c r="Q3517" s="29" t="s">
        <v>11634</v>
      </c>
      <c r="R3517" s="29" t="s">
        <v>611</v>
      </c>
      <c r="S3517" s="26" t="str">
        <f>HYPERLINK("https://miland.ru/api/getInfo/image/07c4da8a-7401-11ef-a265-00155d82e908")</f>
        <v>https://miland.ru/api/getInfo/image/07c4da8a-7401-11ef-a265-00155d82e908</v>
      </c>
    </row>
    <row r="3518" spans="1:19" s="2" customFormat="1" ht="96.2" customHeight="1" outlineLevel="4">
      <c r="A3518" s="52">
        <v>2764</v>
      </c>
      <c r="B3518" s="26" t="s">
        <v>11635</v>
      </c>
      <c r="C3518" s="66" t="s">
        <v>11636</v>
      </c>
      <c r="D3518" s="66"/>
      <c r="E3518" s="66"/>
      <c r="F3518" s="66"/>
      <c r="G3518" s="27" t="s">
        <v>11637</v>
      </c>
      <c r="H3518" s="33">
        <v>6</v>
      </c>
      <c r="I3518" s="29"/>
      <c r="J3518" s="25">
        <v>1</v>
      </c>
      <c r="K3518" s="30">
        <v>546.4</v>
      </c>
      <c r="L3518" s="17"/>
      <c r="M3518" s="29">
        <f t="shared" si="167"/>
        <v>0</v>
      </c>
      <c r="N3518" s="31">
        <f>0.239*L3518</f>
        <v>0</v>
      </c>
      <c r="O3518" s="32">
        <f>0.00502*L3518</f>
        <v>0</v>
      </c>
      <c r="P3518" s="36"/>
      <c r="Q3518" s="29" t="s">
        <v>11638</v>
      </c>
      <c r="R3518" s="29" t="s">
        <v>611</v>
      </c>
      <c r="S3518" s="26" t="str">
        <f>HYPERLINK("https://miland.ru/api/getInfo/image/d3ffa6b3-c979-11ed-a230-00155d82e902")</f>
        <v>https://miland.ru/api/getInfo/image/d3ffa6b3-c979-11ed-a230-00155d82e902</v>
      </c>
    </row>
    <row r="3519" spans="1:19" s="2" customFormat="1" ht="96.2" customHeight="1" outlineLevel="4">
      <c r="A3519" s="52">
        <v>2765</v>
      </c>
      <c r="B3519" s="26" t="s">
        <v>11639</v>
      </c>
      <c r="C3519" s="66" t="s">
        <v>11640</v>
      </c>
      <c r="D3519" s="66"/>
      <c r="E3519" s="66"/>
      <c r="F3519" s="66"/>
      <c r="G3519" s="27" t="s">
        <v>11641</v>
      </c>
      <c r="H3519" s="33">
        <v>6</v>
      </c>
      <c r="I3519" s="29"/>
      <c r="J3519" s="25">
        <v>1</v>
      </c>
      <c r="K3519" s="30">
        <v>553.34</v>
      </c>
      <c r="L3519" s="17"/>
      <c r="M3519" s="29">
        <f t="shared" si="167"/>
        <v>0</v>
      </c>
      <c r="N3519" s="31">
        <f>0.371*L3519</f>
        <v>0</v>
      </c>
      <c r="O3519" s="32">
        <f>0.00894*L3519</f>
        <v>0</v>
      </c>
      <c r="P3519" s="36"/>
      <c r="Q3519" s="29" t="s">
        <v>11642</v>
      </c>
      <c r="R3519" s="29" t="s">
        <v>611</v>
      </c>
      <c r="S3519" s="26" t="str">
        <f>HYPERLINK("https://miland.ru/api/getInfo/image/87162e24-9fc9-11ee-a257-00155d82e908")</f>
        <v>https://miland.ru/api/getInfo/image/87162e24-9fc9-11ee-a257-00155d82e908</v>
      </c>
    </row>
    <row r="3520" spans="1:19" s="2" customFormat="1" ht="96.2" customHeight="1" outlineLevel="4">
      <c r="A3520" s="52">
        <v>2766</v>
      </c>
      <c r="B3520" s="26" t="s">
        <v>11643</v>
      </c>
      <c r="C3520" s="66" t="s">
        <v>11644</v>
      </c>
      <c r="D3520" s="66"/>
      <c r="E3520" s="66"/>
      <c r="F3520" s="66"/>
      <c r="G3520" s="27" t="s">
        <v>11645</v>
      </c>
      <c r="H3520" s="33">
        <v>5</v>
      </c>
      <c r="I3520" s="29"/>
      <c r="J3520" s="25">
        <v>1</v>
      </c>
      <c r="K3520" s="30">
        <v>534.6</v>
      </c>
      <c r="L3520" s="17"/>
      <c r="M3520" s="29">
        <f t="shared" si="167"/>
        <v>0</v>
      </c>
      <c r="N3520" s="34">
        <f>0.24*L3520</f>
        <v>0</v>
      </c>
      <c r="O3520" s="32">
        <f>0.00265*L3520</f>
        <v>0</v>
      </c>
      <c r="P3520" s="36"/>
      <c r="Q3520" s="29" t="s">
        <v>11646</v>
      </c>
      <c r="R3520" s="29" t="s">
        <v>611</v>
      </c>
      <c r="S3520" s="26" t="str">
        <f>HYPERLINK("https://miland.ru/api/getInfo/image/1b37a34c-c97a-11ed-a230-00155d82e902")</f>
        <v>https://miland.ru/api/getInfo/image/1b37a34c-c97a-11ed-a230-00155d82e902</v>
      </c>
    </row>
    <row r="3521" spans="1:19" s="2" customFormat="1" ht="96.2" customHeight="1" outlineLevel="4">
      <c r="A3521" s="52">
        <v>2767</v>
      </c>
      <c r="B3521" s="26" t="s">
        <v>11647</v>
      </c>
      <c r="C3521" s="66" t="s">
        <v>11648</v>
      </c>
      <c r="D3521" s="66"/>
      <c r="E3521" s="66"/>
      <c r="F3521" s="66"/>
      <c r="G3521" s="27" t="s">
        <v>11649</v>
      </c>
      <c r="H3521" s="33">
        <v>1</v>
      </c>
      <c r="I3521" s="29"/>
      <c r="J3521" s="25">
        <v>1</v>
      </c>
      <c r="K3521" s="30">
        <v>534.6</v>
      </c>
      <c r="L3521" s="17"/>
      <c r="M3521" s="29">
        <f t="shared" si="167"/>
        <v>0</v>
      </c>
      <c r="N3521" s="34">
        <f>0.24*L3521</f>
        <v>0</v>
      </c>
      <c r="O3521" s="32">
        <f>0.00855*L3521</f>
        <v>0</v>
      </c>
      <c r="P3521" s="36"/>
      <c r="Q3521" s="29" t="s">
        <v>11650</v>
      </c>
      <c r="R3521" s="29" t="s">
        <v>611</v>
      </c>
      <c r="S3521" s="26" t="str">
        <f>HYPERLINK("https://miland.ru/api/getInfo/image/8290a05a-985b-11eb-a201-ac1f6b442185")</f>
        <v>https://miland.ru/api/getInfo/image/8290a05a-985b-11eb-a201-ac1f6b442185</v>
      </c>
    </row>
    <row r="3522" spans="1:19" s="2" customFormat="1" ht="96.2" customHeight="1" outlineLevel="4">
      <c r="A3522" s="52">
        <v>2768</v>
      </c>
      <c r="B3522" s="26" t="s">
        <v>11651</v>
      </c>
      <c r="C3522" s="66" t="s">
        <v>11652</v>
      </c>
      <c r="D3522" s="66"/>
      <c r="E3522" s="66"/>
      <c r="F3522" s="66"/>
      <c r="G3522" s="27" t="s">
        <v>11653</v>
      </c>
      <c r="H3522" s="33">
        <v>1</v>
      </c>
      <c r="I3522" s="29"/>
      <c r="J3522" s="25">
        <v>1</v>
      </c>
      <c r="K3522" s="30">
        <v>546.4</v>
      </c>
      <c r="L3522" s="17"/>
      <c r="M3522" s="29">
        <f t="shared" si="167"/>
        <v>0</v>
      </c>
      <c r="N3522" s="34">
        <f>0.24*L3522</f>
        <v>0</v>
      </c>
      <c r="O3522" s="32">
        <f>0.00642*L3522</f>
        <v>0</v>
      </c>
      <c r="P3522" s="36"/>
      <c r="Q3522" s="29" t="s">
        <v>11654</v>
      </c>
      <c r="R3522" s="29" t="s">
        <v>611</v>
      </c>
      <c r="S3522" s="26" t="str">
        <f>HYPERLINK("https://miland.ru/api/getInfo/image/c458f585-ca68-11ea-a249-ac1f6b442184")</f>
        <v>https://miland.ru/api/getInfo/image/c458f585-ca68-11ea-a249-ac1f6b442184</v>
      </c>
    </row>
    <row r="3523" spans="1:19" s="2" customFormat="1" ht="96.2" customHeight="1" outlineLevel="4">
      <c r="A3523" s="52">
        <v>2769</v>
      </c>
      <c r="B3523" s="26" t="s">
        <v>11655</v>
      </c>
      <c r="C3523" s="66" t="s">
        <v>11656</v>
      </c>
      <c r="D3523" s="66"/>
      <c r="E3523" s="66"/>
      <c r="F3523" s="66"/>
      <c r="G3523" s="27" t="s">
        <v>11657</v>
      </c>
      <c r="H3523" s="33">
        <v>3</v>
      </c>
      <c r="I3523" s="29"/>
      <c r="J3523" s="25">
        <v>1</v>
      </c>
      <c r="K3523" s="30">
        <v>534.6</v>
      </c>
      <c r="L3523" s="17"/>
      <c r="M3523" s="29">
        <f t="shared" si="167"/>
        <v>0</v>
      </c>
      <c r="N3523" s="34">
        <f>0.25*L3523</f>
        <v>0</v>
      </c>
      <c r="O3523" s="32">
        <f>0.00645*L3523</f>
        <v>0</v>
      </c>
      <c r="P3523" s="36"/>
      <c r="Q3523" s="29" t="s">
        <v>11658</v>
      </c>
      <c r="R3523" s="29" t="s">
        <v>611</v>
      </c>
      <c r="S3523" s="26" t="str">
        <f>HYPERLINK("https://miland.ru/api/getInfo/image/e396eba3-6033-11ed-a229-00155d82e902")</f>
        <v>https://miland.ru/api/getInfo/image/e396eba3-6033-11ed-a229-00155d82e902</v>
      </c>
    </row>
    <row r="3524" spans="1:19" s="2" customFormat="1" ht="96.2" customHeight="1" outlineLevel="4">
      <c r="A3524" s="52">
        <v>2770</v>
      </c>
      <c r="B3524" s="26" t="s">
        <v>11659</v>
      </c>
      <c r="C3524" s="66" t="s">
        <v>11660</v>
      </c>
      <c r="D3524" s="66"/>
      <c r="E3524" s="66"/>
      <c r="F3524" s="66"/>
      <c r="G3524" s="27" t="s">
        <v>11661</v>
      </c>
      <c r="H3524" s="33">
        <v>39</v>
      </c>
      <c r="I3524" s="29"/>
      <c r="J3524" s="25">
        <v>1</v>
      </c>
      <c r="K3524" s="30">
        <v>546.4</v>
      </c>
      <c r="L3524" s="17"/>
      <c r="M3524" s="29">
        <f t="shared" si="167"/>
        <v>0</v>
      </c>
      <c r="N3524" s="31">
        <f>0.233*L3524</f>
        <v>0</v>
      </c>
      <c r="O3524" s="32">
        <f>0.00291*L3524</f>
        <v>0</v>
      </c>
      <c r="P3524" s="36"/>
      <c r="Q3524" s="29" t="s">
        <v>11662</v>
      </c>
      <c r="R3524" s="29" t="s">
        <v>611</v>
      </c>
      <c r="S3524" s="26" t="str">
        <f>HYPERLINK("https://miland.ru/api/getInfo/image/b840a68d-ca69-11ea-a249-ac1f6b442184")</f>
        <v>https://miland.ru/api/getInfo/image/b840a68d-ca69-11ea-a249-ac1f6b442184</v>
      </c>
    </row>
    <row r="3525" spans="1:19" s="2" customFormat="1" ht="96.2" customHeight="1" outlineLevel="4">
      <c r="A3525" s="52">
        <v>2771</v>
      </c>
      <c r="B3525" s="26" t="s">
        <v>11663</v>
      </c>
      <c r="C3525" s="66" t="s">
        <v>11664</v>
      </c>
      <c r="D3525" s="66"/>
      <c r="E3525" s="66"/>
      <c r="F3525" s="66"/>
      <c r="G3525" s="27" t="s">
        <v>11665</v>
      </c>
      <c r="H3525" s="33">
        <v>1</v>
      </c>
      <c r="I3525" s="29"/>
      <c r="J3525" s="25">
        <v>1</v>
      </c>
      <c r="K3525" s="30">
        <v>658.86</v>
      </c>
      <c r="L3525" s="17"/>
      <c r="M3525" s="29">
        <f t="shared" si="167"/>
        <v>0</v>
      </c>
      <c r="N3525" s="34">
        <f>0.27*L3525</f>
        <v>0</v>
      </c>
      <c r="O3525" s="32">
        <f>0.00158*L3525</f>
        <v>0</v>
      </c>
      <c r="P3525" s="36"/>
      <c r="Q3525" s="29" t="s">
        <v>11666</v>
      </c>
      <c r="R3525" s="29"/>
      <c r="S3525" s="26" t="str">
        <f>HYPERLINK("https://miland.ru/api/getInfo/image/96f1faff-a27d-11ef-a267-00155d82e908")</f>
        <v>https://miland.ru/api/getInfo/image/96f1faff-a27d-11ef-a267-00155d82e908</v>
      </c>
    </row>
    <row r="3526" spans="1:19" s="2" customFormat="1" ht="96.2" customHeight="1" outlineLevel="4">
      <c r="A3526" s="52">
        <v>2772</v>
      </c>
      <c r="B3526" s="26" t="s">
        <v>11667</v>
      </c>
      <c r="C3526" s="66" t="s">
        <v>11668</v>
      </c>
      <c r="D3526" s="66"/>
      <c r="E3526" s="66"/>
      <c r="F3526" s="66"/>
      <c r="G3526" s="27" t="s">
        <v>11669</v>
      </c>
      <c r="H3526" s="33">
        <v>4</v>
      </c>
      <c r="I3526" s="29"/>
      <c r="J3526" s="25">
        <v>1</v>
      </c>
      <c r="K3526" s="30">
        <v>546.4</v>
      </c>
      <c r="L3526" s="17"/>
      <c r="M3526" s="29">
        <f t="shared" si="167"/>
        <v>0</v>
      </c>
      <c r="N3526" s="31">
        <f>0.236*L3526</f>
        <v>0</v>
      </c>
      <c r="O3526" s="32">
        <f>0.00285*L3526</f>
        <v>0</v>
      </c>
      <c r="P3526" s="36"/>
      <c r="Q3526" s="29" t="s">
        <v>11670</v>
      </c>
      <c r="R3526" s="29" t="s">
        <v>611</v>
      </c>
      <c r="S3526" s="26" t="str">
        <f>HYPERLINK("https://miland.ru/api/getInfo/image/53a39fa2-ca69-11ea-a249-ac1f6b442184")</f>
        <v>https://miland.ru/api/getInfo/image/53a39fa2-ca69-11ea-a249-ac1f6b442184</v>
      </c>
    </row>
    <row r="3527" spans="1:19" s="2" customFormat="1" ht="96.2" customHeight="1" outlineLevel="4">
      <c r="A3527" s="52">
        <v>2773</v>
      </c>
      <c r="B3527" s="26" t="s">
        <v>11671</v>
      </c>
      <c r="C3527" s="66" t="s">
        <v>11672</v>
      </c>
      <c r="D3527" s="66"/>
      <c r="E3527" s="66"/>
      <c r="F3527" s="66"/>
      <c r="G3527" s="27" t="s">
        <v>11673</v>
      </c>
      <c r="H3527" s="33">
        <v>2</v>
      </c>
      <c r="I3527" s="29"/>
      <c r="J3527" s="25">
        <v>1</v>
      </c>
      <c r="K3527" s="30">
        <v>546.4</v>
      </c>
      <c r="L3527" s="17"/>
      <c r="M3527" s="29">
        <f t="shared" si="167"/>
        <v>0</v>
      </c>
      <c r="N3527" s="31">
        <f>0.256*L3527</f>
        <v>0</v>
      </c>
      <c r="O3527" s="32">
        <f>0.00277*L3527</f>
        <v>0</v>
      </c>
      <c r="P3527" s="36"/>
      <c r="Q3527" s="29" t="s">
        <v>11674</v>
      </c>
      <c r="R3527" s="29" t="s">
        <v>611</v>
      </c>
      <c r="S3527" s="26" t="str">
        <f>HYPERLINK("https://miland.ru/api/getInfo/image/1fceddcd-6036-11ed-a229-00155d82e902")</f>
        <v>https://miland.ru/api/getInfo/image/1fceddcd-6036-11ed-a229-00155d82e902</v>
      </c>
    </row>
    <row r="3528" spans="1:19" s="2" customFormat="1" ht="96.2" customHeight="1" outlineLevel="4">
      <c r="A3528" s="52">
        <v>2774</v>
      </c>
      <c r="B3528" s="26" t="s">
        <v>11675</v>
      </c>
      <c r="C3528" s="66" t="s">
        <v>11676</v>
      </c>
      <c r="D3528" s="66"/>
      <c r="E3528" s="66"/>
      <c r="F3528" s="66"/>
      <c r="G3528" s="27" t="s">
        <v>11677</v>
      </c>
      <c r="H3528" s="33">
        <v>1</v>
      </c>
      <c r="I3528" s="29"/>
      <c r="J3528" s="25">
        <v>1</v>
      </c>
      <c r="K3528" s="30">
        <v>534.6</v>
      </c>
      <c r="L3528" s="17"/>
      <c r="M3528" s="29">
        <f t="shared" si="167"/>
        <v>0</v>
      </c>
      <c r="N3528" s="31">
        <f>0.237*L3528</f>
        <v>0</v>
      </c>
      <c r="O3528" s="32">
        <f>0.00357*L3528</f>
        <v>0</v>
      </c>
      <c r="P3528" s="36"/>
      <c r="Q3528" s="29" t="s">
        <v>11678</v>
      </c>
      <c r="R3528" s="29" t="s">
        <v>611</v>
      </c>
      <c r="S3528" s="26" t="str">
        <f>HYPERLINK("https://miland.ru/api/getInfo/image/d868b83e-6030-11ed-a229-00155d82e902")</f>
        <v>https://miland.ru/api/getInfo/image/d868b83e-6030-11ed-a229-00155d82e902</v>
      </c>
    </row>
    <row r="3529" spans="1:19" s="2" customFormat="1" ht="96.2" customHeight="1" outlineLevel="4">
      <c r="A3529" s="52">
        <v>2775</v>
      </c>
      <c r="B3529" s="26" t="s">
        <v>11679</v>
      </c>
      <c r="C3529" s="66" t="s">
        <v>11680</v>
      </c>
      <c r="D3529" s="66"/>
      <c r="E3529" s="66"/>
      <c r="F3529" s="66"/>
      <c r="G3529" s="27" t="s">
        <v>11681</v>
      </c>
      <c r="H3529" s="33">
        <v>5</v>
      </c>
      <c r="I3529" s="29"/>
      <c r="J3529" s="25">
        <v>1</v>
      </c>
      <c r="K3529" s="30">
        <v>546.4</v>
      </c>
      <c r="L3529" s="17"/>
      <c r="M3529" s="29">
        <f t="shared" si="167"/>
        <v>0</v>
      </c>
      <c r="N3529" s="31">
        <f>0.234*L3529</f>
        <v>0</v>
      </c>
      <c r="O3529" s="32">
        <f>0.00404*L3529</f>
        <v>0</v>
      </c>
      <c r="P3529" s="36"/>
      <c r="Q3529" s="29" t="s">
        <v>11682</v>
      </c>
      <c r="R3529" s="29" t="s">
        <v>611</v>
      </c>
      <c r="S3529" s="26" t="str">
        <f>HYPERLINK("https://miland.ru/api/getInfo/image/1ad42603-ca69-11ea-a249-ac1f6b442184")</f>
        <v>https://miland.ru/api/getInfo/image/1ad42603-ca69-11ea-a249-ac1f6b442184</v>
      </c>
    </row>
    <row r="3530" spans="1:19" s="2" customFormat="1" ht="96.2" customHeight="1" outlineLevel="4">
      <c r="A3530" s="52">
        <v>2776</v>
      </c>
      <c r="B3530" s="26" t="s">
        <v>11683</v>
      </c>
      <c r="C3530" s="66" t="s">
        <v>11684</v>
      </c>
      <c r="D3530" s="66"/>
      <c r="E3530" s="66"/>
      <c r="F3530" s="66"/>
      <c r="G3530" s="27" t="s">
        <v>11685</v>
      </c>
      <c r="H3530" s="33">
        <v>3</v>
      </c>
      <c r="I3530" s="29"/>
      <c r="J3530" s="25">
        <v>1</v>
      </c>
      <c r="K3530" s="30">
        <v>534.6</v>
      </c>
      <c r="L3530" s="17"/>
      <c r="M3530" s="29">
        <f t="shared" si="167"/>
        <v>0</v>
      </c>
      <c r="N3530" s="31">
        <f>0.224*L3530</f>
        <v>0</v>
      </c>
      <c r="O3530" s="32">
        <f>0.00563*L3530</f>
        <v>0</v>
      </c>
      <c r="P3530" s="36"/>
      <c r="Q3530" s="29" t="s">
        <v>11686</v>
      </c>
      <c r="R3530" s="29" t="s">
        <v>611</v>
      </c>
      <c r="S3530" s="26" t="str">
        <f>HYPERLINK("https://miland.ru/api/getInfo/image/e6c0faac-ca68-11ea-a249-ac1f6b442184")</f>
        <v>https://miland.ru/api/getInfo/image/e6c0faac-ca68-11ea-a249-ac1f6b442184</v>
      </c>
    </row>
    <row r="3531" spans="1:19" s="2" customFormat="1" ht="96.2" customHeight="1" outlineLevel="4">
      <c r="A3531" s="52">
        <v>2777</v>
      </c>
      <c r="B3531" s="26" t="s">
        <v>11687</v>
      </c>
      <c r="C3531" s="66" t="s">
        <v>11688</v>
      </c>
      <c r="D3531" s="66"/>
      <c r="E3531" s="66"/>
      <c r="F3531" s="66"/>
      <c r="G3531" s="27" t="s">
        <v>11689</v>
      </c>
      <c r="H3531" s="33">
        <v>2</v>
      </c>
      <c r="I3531" s="29"/>
      <c r="J3531" s="25">
        <v>1</v>
      </c>
      <c r="K3531" s="37">
        <v>1208.93</v>
      </c>
      <c r="L3531" s="17"/>
      <c r="M3531" s="29">
        <f t="shared" si="167"/>
        <v>0</v>
      </c>
      <c r="N3531" s="31">
        <f>0.307*L3531</f>
        <v>0</v>
      </c>
      <c r="O3531" s="32">
        <f>0.00559*L3531</f>
        <v>0</v>
      </c>
      <c r="P3531" s="36"/>
      <c r="Q3531" s="29" t="s">
        <v>11690</v>
      </c>
      <c r="R3531" s="29" t="s">
        <v>611</v>
      </c>
      <c r="S3531" s="26" t="str">
        <f>HYPERLINK("https://miland.ru/api/getInfo/image/095d0832-a27e-11ef-a267-00155d82e908")</f>
        <v>https://miland.ru/api/getInfo/image/095d0832-a27e-11ef-a267-00155d82e908</v>
      </c>
    </row>
    <row r="3532" spans="1:19" s="2" customFormat="1" ht="96.2" customHeight="1" outlineLevel="4">
      <c r="A3532" s="52">
        <v>2778</v>
      </c>
      <c r="B3532" s="26" t="s">
        <v>11691</v>
      </c>
      <c r="C3532" s="66" t="s">
        <v>11692</v>
      </c>
      <c r="D3532" s="66"/>
      <c r="E3532" s="66"/>
      <c r="F3532" s="66"/>
      <c r="G3532" s="27" t="s">
        <v>11693</v>
      </c>
      <c r="H3532" s="33">
        <v>2</v>
      </c>
      <c r="I3532" s="29"/>
      <c r="J3532" s="25">
        <v>1</v>
      </c>
      <c r="K3532" s="37">
        <v>1674.59</v>
      </c>
      <c r="L3532" s="17"/>
      <c r="M3532" s="29">
        <f t="shared" si="167"/>
        <v>0</v>
      </c>
      <c r="N3532" s="31">
        <f>0.367*L3532</f>
        <v>0</v>
      </c>
      <c r="O3532" s="32">
        <f>0.00635*L3532</f>
        <v>0</v>
      </c>
      <c r="P3532" s="36"/>
      <c r="Q3532" s="29" t="s">
        <v>11694</v>
      </c>
      <c r="R3532" s="29" t="s">
        <v>611</v>
      </c>
      <c r="S3532" s="26" t="str">
        <f>HYPERLINK("https://miland.ru/api/getInfo/image/d08a2f5c-a27d-11ef-a267-00155d82e908")</f>
        <v>https://miland.ru/api/getInfo/image/d08a2f5c-a27d-11ef-a267-00155d82e908</v>
      </c>
    </row>
    <row r="3533" spans="1:19" s="2" customFormat="1" ht="96.2" customHeight="1" outlineLevel="4">
      <c r="A3533" s="52">
        <v>2779</v>
      </c>
      <c r="B3533" s="26" t="s">
        <v>11695</v>
      </c>
      <c r="C3533" s="66" t="s">
        <v>11696</v>
      </c>
      <c r="D3533" s="66"/>
      <c r="E3533" s="66"/>
      <c r="F3533" s="66"/>
      <c r="G3533" s="27" t="s">
        <v>11697</v>
      </c>
      <c r="H3533" s="33">
        <v>2</v>
      </c>
      <c r="I3533" s="29"/>
      <c r="J3533" s="25">
        <v>1</v>
      </c>
      <c r="K3533" s="30">
        <v>546.4</v>
      </c>
      <c r="L3533" s="17"/>
      <c r="M3533" s="29">
        <f t="shared" si="167"/>
        <v>0</v>
      </c>
      <c r="N3533" s="34">
        <f>0.24*L3533</f>
        <v>0</v>
      </c>
      <c r="O3533" s="32">
        <f>0.00508*L3533</f>
        <v>0</v>
      </c>
      <c r="P3533" s="36"/>
      <c r="Q3533" s="29" t="s">
        <v>11698</v>
      </c>
      <c r="R3533" s="29" t="s">
        <v>611</v>
      </c>
      <c r="S3533" s="26" t="str">
        <f>HYPERLINK("https://miland.ru/api/getInfo/image/4851ea97-14cd-11ea-a237-ac1f6b442184")</f>
        <v>https://miland.ru/api/getInfo/image/4851ea97-14cd-11ea-a237-ac1f6b442184</v>
      </c>
    </row>
    <row r="3534" spans="1:19" s="2" customFormat="1" ht="96.2" customHeight="1" outlineLevel="4">
      <c r="A3534" s="52">
        <v>2780</v>
      </c>
      <c r="B3534" s="26" t="s">
        <v>11699</v>
      </c>
      <c r="C3534" s="66" t="s">
        <v>11700</v>
      </c>
      <c r="D3534" s="66"/>
      <c r="E3534" s="66"/>
      <c r="F3534" s="66"/>
      <c r="G3534" s="27" t="s">
        <v>11701</v>
      </c>
      <c r="H3534" s="33">
        <v>1</v>
      </c>
      <c r="I3534" s="29"/>
      <c r="J3534" s="25">
        <v>1</v>
      </c>
      <c r="K3534" s="30">
        <v>546.4</v>
      </c>
      <c r="L3534" s="17"/>
      <c r="M3534" s="29">
        <f t="shared" si="167"/>
        <v>0</v>
      </c>
      <c r="N3534" s="31">
        <f>0.239*L3534</f>
        <v>0</v>
      </c>
      <c r="O3534" s="32">
        <f>0.00502*L3534</f>
        <v>0</v>
      </c>
      <c r="P3534" s="36"/>
      <c r="Q3534" s="29" t="s">
        <v>11702</v>
      </c>
      <c r="R3534" s="29" t="s">
        <v>611</v>
      </c>
      <c r="S3534" s="26" t="str">
        <f>HYPERLINK("https://miland.ru/api/getInfo/image/ca3cf22c-ca69-11ea-a249-ac1f6b442184")</f>
        <v>https://miland.ru/api/getInfo/image/ca3cf22c-ca69-11ea-a249-ac1f6b442184</v>
      </c>
    </row>
    <row r="3535" spans="1:19" s="2" customFormat="1" ht="96.2" customHeight="1" outlineLevel="4">
      <c r="A3535" s="52">
        <v>2781</v>
      </c>
      <c r="B3535" s="26" t="s">
        <v>11703</v>
      </c>
      <c r="C3535" s="66" t="s">
        <v>11704</v>
      </c>
      <c r="D3535" s="66"/>
      <c r="E3535" s="66"/>
      <c r="F3535" s="66"/>
      <c r="G3535" s="27" t="s">
        <v>11705</v>
      </c>
      <c r="H3535" s="33">
        <v>5</v>
      </c>
      <c r="I3535" s="29"/>
      <c r="J3535" s="25">
        <v>1</v>
      </c>
      <c r="K3535" s="30">
        <v>546.4</v>
      </c>
      <c r="L3535" s="17"/>
      <c r="M3535" s="29">
        <f t="shared" si="167"/>
        <v>0</v>
      </c>
      <c r="N3535" s="31">
        <f>0.247*L3535</f>
        <v>0</v>
      </c>
      <c r="O3535" s="32">
        <f>0.00396*L3535</f>
        <v>0</v>
      </c>
      <c r="P3535" s="36"/>
      <c r="Q3535" s="29" t="s">
        <v>11706</v>
      </c>
      <c r="R3535" s="29" t="s">
        <v>611</v>
      </c>
      <c r="S3535" s="26" t="str">
        <f>HYPERLINK("https://miland.ru/api/getInfo/image/9af7fd0b-6032-11ed-a229-00155d82e902")</f>
        <v>https://miland.ru/api/getInfo/image/9af7fd0b-6032-11ed-a229-00155d82e902</v>
      </c>
    </row>
    <row r="3536" spans="1:19" s="2" customFormat="1" ht="96.2" customHeight="1" outlineLevel="4">
      <c r="A3536" s="52">
        <v>2782</v>
      </c>
      <c r="B3536" s="26" t="s">
        <v>11707</v>
      </c>
      <c r="C3536" s="66" t="s">
        <v>11708</v>
      </c>
      <c r="D3536" s="66"/>
      <c r="E3536" s="66"/>
      <c r="F3536" s="66"/>
      <c r="G3536" s="27" t="s">
        <v>11709</v>
      </c>
      <c r="H3536" s="33">
        <v>5</v>
      </c>
      <c r="I3536" s="29"/>
      <c r="J3536" s="25">
        <v>1</v>
      </c>
      <c r="K3536" s="30">
        <v>576.5</v>
      </c>
      <c r="L3536" s="17"/>
      <c r="M3536" s="29">
        <f t="shared" si="167"/>
        <v>0</v>
      </c>
      <c r="N3536" s="31">
        <f>0.137*L3536</f>
        <v>0</v>
      </c>
      <c r="O3536" s="32">
        <f>0.00065*L3536</f>
        <v>0</v>
      </c>
      <c r="P3536" s="36"/>
      <c r="Q3536" s="29" t="s">
        <v>11710</v>
      </c>
      <c r="R3536" s="29" t="s">
        <v>611</v>
      </c>
      <c r="S3536" s="26" t="str">
        <f>HYPERLINK("https://miland.ru/api/getInfo/image/5204c199-a27d-11ef-a267-00155d82e908")</f>
        <v>https://miland.ru/api/getInfo/image/5204c199-a27d-11ef-a267-00155d82e908</v>
      </c>
    </row>
    <row r="3537" spans="1:19" s="2" customFormat="1" ht="96.2" customHeight="1" outlineLevel="4">
      <c r="A3537" s="52">
        <v>2783</v>
      </c>
      <c r="B3537" s="26" t="s">
        <v>11711</v>
      </c>
      <c r="C3537" s="66" t="s">
        <v>11712</v>
      </c>
      <c r="D3537" s="66"/>
      <c r="E3537" s="66"/>
      <c r="F3537" s="66"/>
      <c r="G3537" s="27" t="s">
        <v>11713</v>
      </c>
      <c r="H3537" s="33">
        <v>1</v>
      </c>
      <c r="I3537" s="29"/>
      <c r="J3537" s="25">
        <v>1</v>
      </c>
      <c r="K3537" s="30">
        <v>546.4</v>
      </c>
      <c r="L3537" s="17"/>
      <c r="M3537" s="29">
        <f t="shared" si="167"/>
        <v>0</v>
      </c>
      <c r="N3537" s="31">
        <f>0.238*L3537</f>
        <v>0</v>
      </c>
      <c r="O3537" s="32">
        <f>0.00034*L3537</f>
        <v>0</v>
      </c>
      <c r="P3537" s="36"/>
      <c r="Q3537" s="29" t="s">
        <v>11714</v>
      </c>
      <c r="R3537" s="29" t="s">
        <v>611</v>
      </c>
      <c r="S3537" s="26" t="str">
        <f>HYPERLINK("https://miland.ru/api/getInfo/image/d701a9ab-6035-11ed-a229-00155d82e902")</f>
        <v>https://miland.ru/api/getInfo/image/d701a9ab-6035-11ed-a229-00155d82e902</v>
      </c>
    </row>
    <row r="3538" spans="1:19" s="2" customFormat="1" ht="96.2" customHeight="1" outlineLevel="4">
      <c r="A3538" s="52">
        <v>2784</v>
      </c>
      <c r="B3538" s="26" t="s">
        <v>11715</v>
      </c>
      <c r="C3538" s="66" t="s">
        <v>11716</v>
      </c>
      <c r="D3538" s="66"/>
      <c r="E3538" s="66"/>
      <c r="F3538" s="66"/>
      <c r="G3538" s="27" t="s">
        <v>11717</v>
      </c>
      <c r="H3538" s="33">
        <v>2</v>
      </c>
      <c r="I3538" s="29"/>
      <c r="J3538" s="25">
        <v>1</v>
      </c>
      <c r="K3538" s="30">
        <v>534.6</v>
      </c>
      <c r="L3538" s="17"/>
      <c r="M3538" s="29">
        <f t="shared" si="167"/>
        <v>0</v>
      </c>
      <c r="N3538" s="31">
        <f>0.221*L3538</f>
        <v>0</v>
      </c>
      <c r="O3538" s="32">
        <f>0.00292*L3538</f>
        <v>0</v>
      </c>
      <c r="P3538" s="36"/>
      <c r="Q3538" s="29" t="s">
        <v>11718</v>
      </c>
      <c r="R3538" s="29" t="s">
        <v>611</v>
      </c>
      <c r="S3538" s="26" t="str">
        <f>HYPERLINK("https://miland.ru/api/getInfo/image/c10d49fa-14cd-11ea-a237-ac1f6b442184")</f>
        <v>https://miland.ru/api/getInfo/image/c10d49fa-14cd-11ea-a237-ac1f6b442184</v>
      </c>
    </row>
    <row r="3539" spans="1:19" s="1" customFormat="1" ht="12" customHeight="1" outlineLevel="3">
      <c r="A3539" s="64" t="s">
        <v>11719</v>
      </c>
      <c r="B3539" s="64"/>
      <c r="C3539" s="64"/>
      <c r="D3539" s="64"/>
      <c r="E3539" s="64"/>
      <c r="F3539" s="64"/>
      <c r="G3539" s="8"/>
      <c r="H3539" s="12"/>
      <c r="I3539" s="2"/>
      <c r="J3539" s="2"/>
      <c r="K3539" s="13"/>
      <c r="L3539" s="2"/>
      <c r="M3539" s="2"/>
      <c r="N3539" s="2"/>
      <c r="O3539" s="2"/>
      <c r="P3539" s="2"/>
      <c r="Q3539" s="2"/>
      <c r="R3539" s="2"/>
      <c r="S3539" s="2"/>
    </row>
    <row r="3540" spans="1:19" s="2" customFormat="1" ht="96.2" customHeight="1" outlineLevel="4">
      <c r="A3540" s="53">
        <v>2785</v>
      </c>
      <c r="B3540" s="10" t="s">
        <v>11720</v>
      </c>
      <c r="C3540" s="65" t="s">
        <v>11721</v>
      </c>
      <c r="D3540" s="65"/>
      <c r="E3540" s="65"/>
      <c r="F3540" s="65"/>
      <c r="G3540" s="11" t="s">
        <v>11722</v>
      </c>
      <c r="H3540" s="14">
        <v>92</v>
      </c>
      <c r="I3540" s="15"/>
      <c r="J3540" s="9">
        <v>1</v>
      </c>
      <c r="K3540" s="16">
        <v>403.98</v>
      </c>
      <c r="L3540" s="17"/>
      <c r="M3540" s="15">
        <f t="shared" ref="M3540:M3546" si="168">K3540*L3540</f>
        <v>0</v>
      </c>
      <c r="N3540" s="18">
        <f>0.157*L3540</f>
        <v>0</v>
      </c>
      <c r="O3540" s="19">
        <f>0.01052*L3540</f>
        <v>0</v>
      </c>
      <c r="P3540" s="24" t="s">
        <v>26</v>
      </c>
      <c r="Q3540" s="15" t="s">
        <v>11723</v>
      </c>
      <c r="R3540" s="15"/>
      <c r="S3540" s="10" t="str">
        <f>HYPERLINK("https://miland.ru/api/getInfo/image/7ebf2e4f-c074-11f0-a289-00155d82e908")</f>
        <v>https://miland.ru/api/getInfo/image/7ebf2e4f-c074-11f0-a289-00155d82e908</v>
      </c>
    </row>
    <row r="3541" spans="1:19" s="2" customFormat="1" ht="96.2" customHeight="1" outlineLevel="4">
      <c r="A3541" s="53">
        <v>2786</v>
      </c>
      <c r="B3541" s="10" t="s">
        <v>11724</v>
      </c>
      <c r="C3541" s="65" t="s">
        <v>11725</v>
      </c>
      <c r="D3541" s="65"/>
      <c r="E3541" s="65"/>
      <c r="F3541" s="65"/>
      <c r="G3541" s="11" t="s">
        <v>11726</v>
      </c>
      <c r="H3541" s="14">
        <v>3</v>
      </c>
      <c r="I3541" s="15"/>
      <c r="J3541" s="9">
        <v>2</v>
      </c>
      <c r="K3541" s="16">
        <v>386.41</v>
      </c>
      <c r="L3541" s="17"/>
      <c r="M3541" s="15">
        <f t="shared" si="168"/>
        <v>0</v>
      </c>
      <c r="N3541" s="18">
        <f>0.148*L3541</f>
        <v>0</v>
      </c>
      <c r="O3541" s="19">
        <f>0.01149*L3541</f>
        <v>0</v>
      </c>
      <c r="P3541" s="24" t="s">
        <v>26</v>
      </c>
      <c r="Q3541" s="15" t="s">
        <v>11727</v>
      </c>
      <c r="R3541" s="15"/>
      <c r="S3541" s="10" t="str">
        <f>HYPERLINK("https://miland.ru/api/getInfo/image/41d0c691-c075-11f0-a289-00155d82e908")</f>
        <v>https://miland.ru/api/getInfo/image/41d0c691-c075-11f0-a289-00155d82e908</v>
      </c>
    </row>
    <row r="3542" spans="1:19" s="2" customFormat="1" ht="96.2" customHeight="1" outlineLevel="4">
      <c r="A3542" s="53">
        <v>2787</v>
      </c>
      <c r="B3542" s="10" t="s">
        <v>11728</v>
      </c>
      <c r="C3542" s="65" t="s">
        <v>11729</v>
      </c>
      <c r="D3542" s="65"/>
      <c r="E3542" s="65"/>
      <c r="F3542" s="65"/>
      <c r="G3542" s="11" t="s">
        <v>11730</v>
      </c>
      <c r="H3542" s="14">
        <v>1</v>
      </c>
      <c r="I3542" s="15"/>
      <c r="J3542" s="9">
        <v>1</v>
      </c>
      <c r="K3542" s="16">
        <v>386.41</v>
      </c>
      <c r="L3542" s="17"/>
      <c r="M3542" s="15">
        <f t="shared" si="168"/>
        <v>0</v>
      </c>
      <c r="N3542" s="18">
        <f>0.157*L3542</f>
        <v>0</v>
      </c>
      <c r="O3542" s="19">
        <f>0.01384*L3542</f>
        <v>0</v>
      </c>
      <c r="P3542" s="24" t="s">
        <v>26</v>
      </c>
      <c r="Q3542" s="15" t="s">
        <v>11731</v>
      </c>
      <c r="R3542" s="15"/>
      <c r="S3542" s="10" t="str">
        <f>HYPERLINK("https://miland.ru/api/getInfo/image/05c93f82-c075-11f0-a289-00155d82e908")</f>
        <v>https://miland.ru/api/getInfo/image/05c93f82-c075-11f0-a289-00155d82e908</v>
      </c>
    </row>
    <row r="3543" spans="1:19" s="2" customFormat="1" ht="96.2" customHeight="1" outlineLevel="4">
      <c r="A3543" s="53">
        <v>2788</v>
      </c>
      <c r="B3543" s="10" t="s">
        <v>11732</v>
      </c>
      <c r="C3543" s="65" t="s">
        <v>11733</v>
      </c>
      <c r="D3543" s="65"/>
      <c r="E3543" s="65"/>
      <c r="F3543" s="65"/>
      <c r="G3543" s="11" t="s">
        <v>11734</v>
      </c>
      <c r="H3543" s="14">
        <v>5</v>
      </c>
      <c r="I3543" s="15"/>
      <c r="J3543" s="9">
        <v>2</v>
      </c>
      <c r="K3543" s="16">
        <v>386.41</v>
      </c>
      <c r="L3543" s="17"/>
      <c r="M3543" s="15">
        <f t="shared" si="168"/>
        <v>0</v>
      </c>
      <c r="N3543" s="18">
        <f>0.118*L3543</f>
        <v>0</v>
      </c>
      <c r="O3543" s="19">
        <f>0.01018*L3543</f>
        <v>0</v>
      </c>
      <c r="P3543" s="24" t="s">
        <v>26</v>
      </c>
      <c r="Q3543" s="15" t="s">
        <v>11735</v>
      </c>
      <c r="R3543" s="15"/>
      <c r="S3543" s="10" t="str">
        <f>HYPERLINK("https://miland.ru/api/getInfo/image/cb03ad13-c073-11f0-a289-00155d82e908")</f>
        <v>https://miland.ru/api/getInfo/image/cb03ad13-c073-11f0-a289-00155d82e908</v>
      </c>
    </row>
    <row r="3544" spans="1:19" s="2" customFormat="1" ht="96.2" customHeight="1" outlineLevel="4">
      <c r="A3544" s="53">
        <v>2789</v>
      </c>
      <c r="B3544" s="10" t="s">
        <v>11736</v>
      </c>
      <c r="C3544" s="65" t="s">
        <v>11737</v>
      </c>
      <c r="D3544" s="65"/>
      <c r="E3544" s="65"/>
      <c r="F3544" s="65"/>
      <c r="G3544" s="11" t="s">
        <v>11738</v>
      </c>
      <c r="H3544" s="14">
        <v>1</v>
      </c>
      <c r="I3544" s="15"/>
      <c r="J3544" s="9">
        <v>1</v>
      </c>
      <c r="K3544" s="16">
        <v>529.51</v>
      </c>
      <c r="L3544" s="17"/>
      <c r="M3544" s="15">
        <f t="shared" si="168"/>
        <v>0</v>
      </c>
      <c r="N3544" s="18">
        <f>0.062*L3544</f>
        <v>0</v>
      </c>
      <c r="O3544" s="19">
        <f>0.00165*L3544</f>
        <v>0</v>
      </c>
      <c r="P3544" s="24" t="s">
        <v>26</v>
      </c>
      <c r="Q3544" s="15" t="s">
        <v>11739</v>
      </c>
      <c r="R3544" s="15"/>
      <c r="S3544" s="10" t="str">
        <f>HYPERLINK("https://miland.ru/api/getInfo/image/8cc883a6-c076-11f0-a289-00155d82e908")</f>
        <v>https://miland.ru/api/getInfo/image/8cc883a6-c076-11f0-a289-00155d82e908</v>
      </c>
    </row>
    <row r="3545" spans="1:19" s="2" customFormat="1" ht="96.2" customHeight="1" outlineLevel="4">
      <c r="A3545" s="53">
        <v>2790</v>
      </c>
      <c r="B3545" s="10" t="s">
        <v>11740</v>
      </c>
      <c r="C3545" s="65" t="s">
        <v>11741</v>
      </c>
      <c r="D3545" s="65"/>
      <c r="E3545" s="65"/>
      <c r="F3545" s="65"/>
      <c r="G3545" s="11" t="s">
        <v>11742</v>
      </c>
      <c r="H3545" s="14">
        <v>1</v>
      </c>
      <c r="I3545" s="15"/>
      <c r="J3545" s="9">
        <v>1</v>
      </c>
      <c r="K3545" s="16">
        <v>428.83</v>
      </c>
      <c r="L3545" s="17"/>
      <c r="M3545" s="15">
        <f t="shared" si="168"/>
        <v>0</v>
      </c>
      <c r="N3545" s="18">
        <f>0.158*L3545</f>
        <v>0</v>
      </c>
      <c r="O3545" s="19">
        <f>0.01478*L3545</f>
        <v>0</v>
      </c>
      <c r="P3545" s="24" t="s">
        <v>26</v>
      </c>
      <c r="Q3545" s="15" t="s">
        <v>11743</v>
      </c>
      <c r="R3545" s="15"/>
      <c r="S3545" s="10" t="str">
        <f>HYPERLINK("https://miland.ru/api/getInfo/image/9bfa220f-c074-11f0-a289-00155d82e908")</f>
        <v>https://miland.ru/api/getInfo/image/9bfa220f-c074-11f0-a289-00155d82e908</v>
      </c>
    </row>
    <row r="3546" spans="1:19" s="2" customFormat="1" ht="96.2" customHeight="1" outlineLevel="4">
      <c r="A3546" s="53">
        <v>2791</v>
      </c>
      <c r="B3546" s="10" t="s">
        <v>11744</v>
      </c>
      <c r="C3546" s="65" t="s">
        <v>11745</v>
      </c>
      <c r="D3546" s="65"/>
      <c r="E3546" s="65"/>
      <c r="F3546" s="65"/>
      <c r="G3546" s="11" t="s">
        <v>11746</v>
      </c>
      <c r="H3546" s="14">
        <v>1</v>
      </c>
      <c r="I3546" s="15"/>
      <c r="J3546" s="9">
        <v>1</v>
      </c>
      <c r="K3546" s="16">
        <v>428.83</v>
      </c>
      <c r="L3546" s="17"/>
      <c r="M3546" s="15">
        <f t="shared" si="168"/>
        <v>0</v>
      </c>
      <c r="N3546" s="18">
        <f>0.157*L3546</f>
        <v>0</v>
      </c>
      <c r="O3546" s="20">
        <f>0.0141*L3546</f>
        <v>0</v>
      </c>
      <c r="P3546" s="24" t="s">
        <v>26</v>
      </c>
      <c r="Q3546" s="15" t="s">
        <v>11747</v>
      </c>
      <c r="R3546" s="15"/>
      <c r="S3546" s="10" t="str">
        <f>HYPERLINK("https://miland.ru/api/getInfo/image/230ac426-c075-11f0-a289-00155d82e908")</f>
        <v>https://miland.ru/api/getInfo/image/230ac426-c075-11f0-a289-00155d82e908</v>
      </c>
    </row>
    <row r="3547" spans="1:19" s="1" customFormat="1" ht="12" customHeight="1" outlineLevel="3">
      <c r="A3547" s="64" t="s">
        <v>11748</v>
      </c>
      <c r="B3547" s="64"/>
      <c r="C3547" s="64"/>
      <c r="D3547" s="64"/>
      <c r="E3547" s="64"/>
      <c r="F3547" s="64"/>
      <c r="G3547" s="8"/>
      <c r="H3547" s="12"/>
      <c r="I3547" s="2"/>
      <c r="J3547" s="2"/>
      <c r="K3547" s="13"/>
      <c r="L3547" s="2"/>
      <c r="M3547" s="2"/>
      <c r="N3547" s="2"/>
      <c r="O3547" s="2"/>
      <c r="P3547" s="2"/>
      <c r="Q3547" s="2"/>
      <c r="R3547" s="2"/>
      <c r="S3547" s="2"/>
    </row>
    <row r="3548" spans="1:19" s="2" customFormat="1" ht="96.2" customHeight="1" outlineLevel="4">
      <c r="A3548" s="52">
        <v>2792</v>
      </c>
      <c r="B3548" s="26" t="s">
        <v>11749</v>
      </c>
      <c r="C3548" s="66" t="s">
        <v>11750</v>
      </c>
      <c r="D3548" s="66"/>
      <c r="E3548" s="66"/>
      <c r="F3548" s="66"/>
      <c r="G3548" s="27" t="s">
        <v>11751</v>
      </c>
      <c r="H3548" s="33">
        <v>2</v>
      </c>
      <c r="I3548" s="29"/>
      <c r="J3548" s="25">
        <v>1</v>
      </c>
      <c r="K3548" s="30">
        <v>476.22</v>
      </c>
      <c r="L3548" s="17"/>
      <c r="M3548" s="29">
        <f>K3548*L3548</f>
        <v>0</v>
      </c>
      <c r="N3548" s="34">
        <f>0.29*L3548</f>
        <v>0</v>
      </c>
      <c r="O3548" s="35">
        <f>0.0096*L3548</f>
        <v>0</v>
      </c>
      <c r="P3548" s="36"/>
      <c r="Q3548" s="29" t="s">
        <v>11752</v>
      </c>
      <c r="R3548" s="29" t="s">
        <v>611</v>
      </c>
      <c r="S3548" s="26" t="str">
        <f>HYPERLINK("https://miland.ru/api/getInfo/image/89573341-46d0-11ec-a20f-ac1f6b442185")</f>
        <v>https://miland.ru/api/getInfo/image/89573341-46d0-11ec-a20f-ac1f6b442185</v>
      </c>
    </row>
    <row r="3549" spans="1:19" s="2" customFormat="1" ht="96.2" customHeight="1" outlineLevel="4">
      <c r="A3549" s="52">
        <v>2793</v>
      </c>
      <c r="B3549" s="26" t="s">
        <v>11753</v>
      </c>
      <c r="C3549" s="66" t="s">
        <v>11754</v>
      </c>
      <c r="D3549" s="66"/>
      <c r="E3549" s="66"/>
      <c r="F3549" s="66"/>
      <c r="G3549" s="27" t="s">
        <v>11755</v>
      </c>
      <c r="H3549" s="33">
        <v>4</v>
      </c>
      <c r="I3549" s="29"/>
      <c r="J3549" s="25">
        <v>1</v>
      </c>
      <c r="K3549" s="30">
        <v>855.12</v>
      </c>
      <c r="L3549" s="17"/>
      <c r="M3549" s="29">
        <f>K3549*L3549</f>
        <v>0</v>
      </c>
      <c r="N3549" s="34">
        <f>0.29*L3549</f>
        <v>0</v>
      </c>
      <c r="O3549" s="35">
        <f>0.0096*L3549</f>
        <v>0</v>
      </c>
      <c r="P3549" s="36"/>
      <c r="Q3549" s="29" t="s">
        <v>11756</v>
      </c>
      <c r="R3549" s="29" t="s">
        <v>611</v>
      </c>
      <c r="S3549" s="26" t="str">
        <f>HYPERLINK("https://miland.ru/api/getInfo/image/bda6afd6-46d1-11ec-a20f-ac1f6b442185")</f>
        <v>https://miland.ru/api/getInfo/image/bda6afd6-46d1-11ec-a20f-ac1f6b442185</v>
      </c>
    </row>
    <row r="3550" spans="1:19" s="2" customFormat="1" ht="96.2" customHeight="1" outlineLevel="4">
      <c r="A3550" s="52">
        <v>2794</v>
      </c>
      <c r="B3550" s="26" t="s">
        <v>11757</v>
      </c>
      <c r="C3550" s="66" t="s">
        <v>11758</v>
      </c>
      <c r="D3550" s="66"/>
      <c r="E3550" s="66"/>
      <c r="F3550" s="66"/>
      <c r="G3550" s="27" t="s">
        <v>11759</v>
      </c>
      <c r="H3550" s="33">
        <v>1</v>
      </c>
      <c r="I3550" s="29"/>
      <c r="J3550" s="25">
        <v>1</v>
      </c>
      <c r="K3550" s="30">
        <v>855.12</v>
      </c>
      <c r="L3550" s="17"/>
      <c r="M3550" s="29">
        <f>K3550*L3550</f>
        <v>0</v>
      </c>
      <c r="N3550" s="31">
        <f>0.271*L3550</f>
        <v>0</v>
      </c>
      <c r="O3550" s="32">
        <f>0.00952*L3550</f>
        <v>0</v>
      </c>
      <c r="P3550" s="36"/>
      <c r="Q3550" s="29" t="s">
        <v>11760</v>
      </c>
      <c r="R3550" s="29" t="s">
        <v>611</v>
      </c>
      <c r="S3550" s="26" t="str">
        <f>HYPERLINK("https://miland.ru/api/getInfo/image/96ea46ed-46d1-11ec-a20f-ac1f6b442185")</f>
        <v>https://miland.ru/api/getInfo/image/96ea46ed-46d1-11ec-a20f-ac1f6b442185</v>
      </c>
    </row>
    <row r="3551" spans="1:19" s="2" customFormat="1" ht="96.2" customHeight="1" outlineLevel="4">
      <c r="A3551" s="52">
        <v>2795</v>
      </c>
      <c r="B3551" s="26" t="s">
        <v>11761</v>
      </c>
      <c r="C3551" s="66" t="s">
        <v>11762</v>
      </c>
      <c r="D3551" s="66"/>
      <c r="E3551" s="66"/>
      <c r="F3551" s="66"/>
      <c r="G3551" s="27" t="s">
        <v>11763</v>
      </c>
      <c r="H3551" s="33">
        <v>5</v>
      </c>
      <c r="I3551" s="29"/>
      <c r="J3551" s="25">
        <v>1</v>
      </c>
      <c r="K3551" s="30">
        <v>585.13</v>
      </c>
      <c r="L3551" s="17"/>
      <c r="M3551" s="29">
        <f>K3551*L3551</f>
        <v>0</v>
      </c>
      <c r="N3551" s="31">
        <f>0.161*L3551</f>
        <v>0</v>
      </c>
      <c r="O3551" s="32">
        <f>0.00317*L3551</f>
        <v>0</v>
      </c>
      <c r="P3551" s="36"/>
      <c r="Q3551" s="29" t="s">
        <v>11764</v>
      </c>
      <c r="R3551" s="29" t="s">
        <v>611</v>
      </c>
      <c r="S3551" s="26" t="str">
        <f>HYPERLINK("https://miland.ru/api/getInfo/image/5afef8c3-d92a-11ed-a232-00155d82e902")</f>
        <v>https://miland.ru/api/getInfo/image/5afef8c3-d92a-11ed-a232-00155d82e902</v>
      </c>
    </row>
    <row r="3552" spans="1:19" s="2" customFormat="1" ht="96.2" customHeight="1" outlineLevel="4">
      <c r="A3552" s="52">
        <v>2796</v>
      </c>
      <c r="B3552" s="26" t="s">
        <v>11765</v>
      </c>
      <c r="C3552" s="66" t="s">
        <v>11766</v>
      </c>
      <c r="D3552" s="66"/>
      <c r="E3552" s="66"/>
      <c r="F3552" s="66"/>
      <c r="G3552" s="27" t="s">
        <v>11767</v>
      </c>
      <c r="H3552" s="33">
        <v>1</v>
      </c>
      <c r="I3552" s="29"/>
      <c r="J3552" s="25">
        <v>1</v>
      </c>
      <c r="K3552" s="30">
        <v>751.69</v>
      </c>
      <c r="L3552" s="17"/>
      <c r="M3552" s="29">
        <f>K3552*L3552</f>
        <v>0</v>
      </c>
      <c r="N3552" s="31">
        <f>0.288*L3552</f>
        <v>0</v>
      </c>
      <c r="O3552" s="32">
        <f>0.00886*L3552</f>
        <v>0</v>
      </c>
      <c r="P3552" s="36"/>
      <c r="Q3552" s="29" t="s">
        <v>11768</v>
      </c>
      <c r="R3552" s="29" t="s">
        <v>611</v>
      </c>
      <c r="S3552" s="26" t="str">
        <f>HYPERLINK("https://miland.ru/api/getInfo/image/b33ca1b9-c4bc-11ed-a230-00155d82e902")</f>
        <v>https://miland.ru/api/getInfo/image/b33ca1b9-c4bc-11ed-a230-00155d82e902</v>
      </c>
    </row>
    <row r="3553" spans="1:19" s="1" customFormat="1" ht="12" customHeight="1" outlineLevel="3">
      <c r="A3553" s="64" t="s">
        <v>11769</v>
      </c>
      <c r="B3553" s="64"/>
      <c r="C3553" s="64"/>
      <c r="D3553" s="64"/>
      <c r="E3553" s="64"/>
      <c r="F3553" s="64"/>
      <c r="G3553" s="8"/>
      <c r="H3553" s="12"/>
      <c r="I3553" s="2"/>
      <c r="J3553" s="2"/>
      <c r="K3553" s="13"/>
      <c r="L3553" s="2"/>
      <c r="M3553" s="2"/>
      <c r="N3553" s="2"/>
      <c r="O3553" s="2"/>
      <c r="P3553" s="2"/>
      <c r="Q3553" s="2"/>
      <c r="R3553" s="2"/>
      <c r="S3553" s="2"/>
    </row>
    <row r="3554" spans="1:19" s="2" customFormat="1" ht="96.2" customHeight="1" outlineLevel="4">
      <c r="A3554" s="52">
        <v>2797</v>
      </c>
      <c r="B3554" s="26" t="s">
        <v>11770</v>
      </c>
      <c r="C3554" s="66" t="s">
        <v>11771</v>
      </c>
      <c r="D3554" s="66"/>
      <c r="E3554" s="66"/>
      <c r="F3554" s="66"/>
      <c r="G3554" s="27" t="s">
        <v>11772</v>
      </c>
      <c r="H3554" s="33">
        <v>1</v>
      </c>
      <c r="I3554" s="29"/>
      <c r="J3554" s="25">
        <v>1</v>
      </c>
      <c r="K3554" s="30">
        <v>126.85</v>
      </c>
      <c r="L3554" s="17"/>
      <c r="M3554" s="29">
        <f>K3554*L3554</f>
        <v>0</v>
      </c>
      <c r="N3554" s="34">
        <f>0.03*L3554</f>
        <v>0</v>
      </c>
      <c r="O3554" s="32">
        <f>0.00042*L3554</f>
        <v>0</v>
      </c>
      <c r="P3554" s="36"/>
      <c r="Q3554" s="29" t="s">
        <v>11773</v>
      </c>
      <c r="R3554" s="29" t="s">
        <v>611</v>
      </c>
      <c r="S3554" s="26" t="str">
        <f>HYPERLINK("https://miland.ru/api/getInfo/image/3ea65596-db45-11e8-a213-ac1f6b442184")</f>
        <v>https://miland.ru/api/getInfo/image/3ea65596-db45-11e8-a213-ac1f6b442184</v>
      </c>
    </row>
    <row r="3555" spans="1:19" s="1" customFormat="1" ht="12" customHeight="1" outlineLevel="3">
      <c r="A3555" s="64" t="s">
        <v>11774</v>
      </c>
      <c r="B3555" s="64"/>
      <c r="C3555" s="64"/>
      <c r="D3555" s="64"/>
      <c r="E3555" s="64"/>
      <c r="F3555" s="64"/>
      <c r="G3555" s="8"/>
      <c r="H3555" s="12"/>
      <c r="I3555" s="2"/>
      <c r="J3555" s="2"/>
      <c r="K3555" s="13"/>
      <c r="L3555" s="2"/>
      <c r="M3555" s="2"/>
      <c r="N3555" s="2"/>
      <c r="O3555" s="2"/>
      <c r="P3555" s="2"/>
      <c r="Q3555" s="2"/>
      <c r="R3555" s="2"/>
      <c r="S3555" s="2"/>
    </row>
    <row r="3556" spans="1:19" s="2" customFormat="1" ht="96.2" customHeight="1" outlineLevel="4">
      <c r="A3556" s="52">
        <v>2798</v>
      </c>
      <c r="B3556" s="26" t="s">
        <v>11775</v>
      </c>
      <c r="C3556" s="66" t="s">
        <v>11776</v>
      </c>
      <c r="D3556" s="66"/>
      <c r="E3556" s="66"/>
      <c r="F3556" s="66"/>
      <c r="G3556" s="27" t="s">
        <v>11777</v>
      </c>
      <c r="H3556" s="33">
        <v>290</v>
      </c>
      <c r="I3556" s="29"/>
      <c r="J3556" s="25">
        <v>1</v>
      </c>
      <c r="K3556" s="37">
        <v>1166.83</v>
      </c>
      <c r="L3556" s="17"/>
      <c r="M3556" s="29">
        <f t="shared" ref="M3556:M3580" si="169">K3556*L3556</f>
        <v>0</v>
      </c>
      <c r="N3556" s="31">
        <f>0.379*L3556</f>
        <v>0</v>
      </c>
      <c r="O3556" s="32">
        <f>0.00192*L3556</f>
        <v>0</v>
      </c>
      <c r="P3556" s="36"/>
      <c r="Q3556" s="29" t="s">
        <v>11778</v>
      </c>
      <c r="R3556" s="29"/>
      <c r="S3556" s="26" t="str">
        <f>HYPERLINK("https://miland.ru/api/getInfo/image/75a032b3-f70e-11ee-a25d-00155d82e908")</f>
        <v>https://miland.ru/api/getInfo/image/75a032b3-f70e-11ee-a25d-00155d82e908</v>
      </c>
    </row>
    <row r="3557" spans="1:19" s="2" customFormat="1" ht="96.2" customHeight="1" outlineLevel="4">
      <c r="A3557" s="52">
        <v>2799</v>
      </c>
      <c r="B3557" s="26" t="s">
        <v>11779</v>
      </c>
      <c r="C3557" s="66" t="s">
        <v>11780</v>
      </c>
      <c r="D3557" s="66"/>
      <c r="E3557" s="66"/>
      <c r="F3557" s="66"/>
      <c r="G3557" s="27" t="s">
        <v>11781</v>
      </c>
      <c r="H3557" s="33">
        <v>285</v>
      </c>
      <c r="I3557" s="29"/>
      <c r="J3557" s="25">
        <v>1</v>
      </c>
      <c r="K3557" s="30">
        <v>867.42</v>
      </c>
      <c r="L3557" s="17"/>
      <c r="M3557" s="29">
        <f t="shared" si="169"/>
        <v>0</v>
      </c>
      <c r="N3557" s="31">
        <f>0.349*L3557</f>
        <v>0</v>
      </c>
      <c r="O3557" s="32">
        <f>0.00191*L3557</f>
        <v>0</v>
      </c>
      <c r="P3557" s="36"/>
      <c r="Q3557" s="29" t="s">
        <v>11782</v>
      </c>
      <c r="R3557" s="29"/>
      <c r="S3557" s="26" t="str">
        <f>HYPERLINK("https://miland.ru/api/getInfo/image/2b9b7cbb-f70f-11ee-a25d-00155d82e908")</f>
        <v>https://miland.ru/api/getInfo/image/2b9b7cbb-f70f-11ee-a25d-00155d82e908</v>
      </c>
    </row>
    <row r="3558" spans="1:19" s="2" customFormat="1" ht="96.2" customHeight="1" outlineLevel="4">
      <c r="A3558" s="52">
        <v>2800</v>
      </c>
      <c r="B3558" s="26" t="s">
        <v>11783</v>
      </c>
      <c r="C3558" s="66" t="s">
        <v>11784</v>
      </c>
      <c r="D3558" s="66"/>
      <c r="E3558" s="66"/>
      <c r="F3558" s="66"/>
      <c r="G3558" s="27" t="s">
        <v>11785</v>
      </c>
      <c r="H3558" s="33">
        <v>161</v>
      </c>
      <c r="I3558" s="29"/>
      <c r="J3558" s="25">
        <v>1</v>
      </c>
      <c r="K3558" s="30">
        <v>916.16</v>
      </c>
      <c r="L3558" s="17"/>
      <c r="M3558" s="29">
        <f t="shared" si="169"/>
        <v>0</v>
      </c>
      <c r="N3558" s="31">
        <f>0.356*L3558</f>
        <v>0</v>
      </c>
      <c r="O3558" s="32">
        <f>0.00189*L3558</f>
        <v>0</v>
      </c>
      <c r="P3558" s="36"/>
      <c r="Q3558" s="29" t="s">
        <v>11786</v>
      </c>
      <c r="R3558" s="29"/>
      <c r="S3558" s="26" t="str">
        <f>HYPERLINK("https://miland.ru/api/getInfo/image/603efde2-f70f-11ee-a25d-00155d82e908")</f>
        <v>https://miland.ru/api/getInfo/image/603efde2-f70f-11ee-a25d-00155d82e908</v>
      </c>
    </row>
    <row r="3559" spans="1:19" s="2" customFormat="1" ht="96.2" customHeight="1" outlineLevel="4">
      <c r="A3559" s="52">
        <v>2801</v>
      </c>
      <c r="B3559" s="26" t="s">
        <v>11787</v>
      </c>
      <c r="C3559" s="66" t="s">
        <v>11788</v>
      </c>
      <c r="D3559" s="66"/>
      <c r="E3559" s="66"/>
      <c r="F3559" s="66"/>
      <c r="G3559" s="27" t="s">
        <v>11789</v>
      </c>
      <c r="H3559" s="33">
        <v>4</v>
      </c>
      <c r="I3559" s="29"/>
      <c r="J3559" s="25">
        <v>1</v>
      </c>
      <c r="K3559" s="37">
        <v>1615.61</v>
      </c>
      <c r="L3559" s="17"/>
      <c r="M3559" s="29">
        <f t="shared" si="169"/>
        <v>0</v>
      </c>
      <c r="N3559" s="31">
        <f>0.631*L3559</f>
        <v>0</v>
      </c>
      <c r="O3559" s="32">
        <f>0.00392*L3559</f>
        <v>0</v>
      </c>
      <c r="P3559" s="36"/>
      <c r="Q3559" s="29" t="s">
        <v>11790</v>
      </c>
      <c r="R3559" s="29" t="s">
        <v>611</v>
      </c>
      <c r="S3559" s="26" t="str">
        <f>HYPERLINK("https://miland.ru/api/getInfo/image/91456d3f-f70f-11ee-a25d-00155d82e908")</f>
        <v>https://miland.ru/api/getInfo/image/91456d3f-f70f-11ee-a25d-00155d82e908</v>
      </c>
    </row>
    <row r="3560" spans="1:19" s="2" customFormat="1" ht="96.2" customHeight="1" outlineLevel="4">
      <c r="A3560" s="52">
        <v>2802</v>
      </c>
      <c r="B3560" s="26" t="s">
        <v>11791</v>
      </c>
      <c r="C3560" s="66" t="s">
        <v>11792</v>
      </c>
      <c r="D3560" s="66"/>
      <c r="E3560" s="66"/>
      <c r="F3560" s="66"/>
      <c r="G3560" s="27" t="s">
        <v>11793</v>
      </c>
      <c r="H3560" s="33">
        <v>415</v>
      </c>
      <c r="I3560" s="29"/>
      <c r="J3560" s="25">
        <v>1</v>
      </c>
      <c r="K3560" s="37">
        <v>1029.5899999999999</v>
      </c>
      <c r="L3560" s="17"/>
      <c r="M3560" s="29">
        <f t="shared" si="169"/>
        <v>0</v>
      </c>
      <c r="N3560" s="41">
        <f>0.5*L3560</f>
        <v>0</v>
      </c>
      <c r="O3560" s="32">
        <f>0.00163*L3560</f>
        <v>0</v>
      </c>
      <c r="P3560" s="36"/>
      <c r="Q3560" s="29" t="s">
        <v>11794</v>
      </c>
      <c r="R3560" s="29"/>
      <c r="S3560" s="26" t="str">
        <f>HYPERLINK("https://miland.ru/api/getInfo/image/8a63aa75-a87f-11ed-a230-00155d82e902")</f>
        <v>https://miland.ru/api/getInfo/image/8a63aa75-a87f-11ed-a230-00155d82e902</v>
      </c>
    </row>
    <row r="3561" spans="1:19" s="2" customFormat="1" ht="96.2" customHeight="1" outlineLevel="4">
      <c r="A3561" s="52">
        <v>2803</v>
      </c>
      <c r="B3561" s="26" t="s">
        <v>11795</v>
      </c>
      <c r="C3561" s="66" t="s">
        <v>11796</v>
      </c>
      <c r="D3561" s="66"/>
      <c r="E3561" s="66"/>
      <c r="F3561" s="66"/>
      <c r="G3561" s="27" t="s">
        <v>11797</v>
      </c>
      <c r="H3561" s="33">
        <v>315</v>
      </c>
      <c r="I3561" s="29"/>
      <c r="J3561" s="25">
        <v>1</v>
      </c>
      <c r="K3561" s="37">
        <v>1544.39</v>
      </c>
      <c r="L3561" s="17"/>
      <c r="M3561" s="29">
        <f t="shared" si="169"/>
        <v>0</v>
      </c>
      <c r="N3561" s="50">
        <f>1*L3561</f>
        <v>0</v>
      </c>
      <c r="O3561" s="35">
        <f>0.0036*L3561</f>
        <v>0</v>
      </c>
      <c r="P3561" s="36"/>
      <c r="Q3561" s="29" t="s">
        <v>11798</v>
      </c>
      <c r="R3561" s="29"/>
      <c r="S3561" s="26" t="str">
        <f>HYPERLINK("https://miland.ru/api/getInfo/image/57f05c8c-a87f-11ed-a230-00155d82e902")</f>
        <v>https://miland.ru/api/getInfo/image/57f05c8c-a87f-11ed-a230-00155d82e902</v>
      </c>
    </row>
    <row r="3562" spans="1:19" s="2" customFormat="1" ht="96.2" customHeight="1" outlineLevel="4">
      <c r="A3562" s="52">
        <v>2804</v>
      </c>
      <c r="B3562" s="26" t="s">
        <v>11799</v>
      </c>
      <c r="C3562" s="66" t="s">
        <v>11800</v>
      </c>
      <c r="D3562" s="66"/>
      <c r="E3562" s="66"/>
      <c r="F3562" s="66"/>
      <c r="G3562" s="27" t="s">
        <v>11801</v>
      </c>
      <c r="H3562" s="33">
        <v>103</v>
      </c>
      <c r="I3562" s="29"/>
      <c r="J3562" s="25">
        <v>1</v>
      </c>
      <c r="K3562" s="37">
        <v>1397.3</v>
      </c>
      <c r="L3562" s="17"/>
      <c r="M3562" s="29">
        <f t="shared" si="169"/>
        <v>0</v>
      </c>
      <c r="N3562" s="31">
        <f>0.638*L3562</f>
        <v>0</v>
      </c>
      <c r="O3562" s="32">
        <f>0.00394*L3562</f>
        <v>0</v>
      </c>
      <c r="P3562" s="36"/>
      <c r="Q3562" s="29" t="s">
        <v>11802</v>
      </c>
      <c r="R3562" s="29"/>
      <c r="S3562" s="26" t="str">
        <f>HYPERLINK("https://miland.ru/api/getInfo/image/019aae03-a87f-11ed-a230-00155d82e902")</f>
        <v>https://miland.ru/api/getInfo/image/019aae03-a87f-11ed-a230-00155d82e902</v>
      </c>
    </row>
    <row r="3563" spans="1:19" s="2" customFormat="1" ht="96.2" customHeight="1" outlineLevel="4">
      <c r="A3563" s="52">
        <v>2805</v>
      </c>
      <c r="B3563" s="26" t="s">
        <v>11803</v>
      </c>
      <c r="C3563" s="66" t="s">
        <v>11804</v>
      </c>
      <c r="D3563" s="66"/>
      <c r="E3563" s="66"/>
      <c r="F3563" s="66"/>
      <c r="G3563" s="27" t="s">
        <v>11805</v>
      </c>
      <c r="H3563" s="33">
        <v>109</v>
      </c>
      <c r="I3563" s="29"/>
      <c r="J3563" s="25">
        <v>1</v>
      </c>
      <c r="K3563" s="37">
        <v>1123.56</v>
      </c>
      <c r="L3563" s="17"/>
      <c r="M3563" s="29">
        <f t="shared" si="169"/>
        <v>0</v>
      </c>
      <c r="N3563" s="31">
        <f>0.433*L3563</f>
        <v>0</v>
      </c>
      <c r="O3563" s="32">
        <f>0.00201*L3563</f>
        <v>0</v>
      </c>
      <c r="P3563" s="36"/>
      <c r="Q3563" s="29" t="s">
        <v>11806</v>
      </c>
      <c r="R3563" s="29"/>
      <c r="S3563" s="26" t="str">
        <f>HYPERLINK("https://miland.ru/api/getInfo/image/720ff824-f70f-11ee-a25d-00155d82e908")</f>
        <v>https://miland.ru/api/getInfo/image/720ff824-f70f-11ee-a25d-00155d82e908</v>
      </c>
    </row>
    <row r="3564" spans="1:19" s="2" customFormat="1" ht="96.2" customHeight="1" outlineLevel="4">
      <c r="A3564" s="52">
        <v>2806</v>
      </c>
      <c r="B3564" s="26" t="s">
        <v>11807</v>
      </c>
      <c r="C3564" s="66" t="s">
        <v>11808</v>
      </c>
      <c r="D3564" s="66"/>
      <c r="E3564" s="66"/>
      <c r="F3564" s="66"/>
      <c r="G3564" s="27" t="s">
        <v>11809</v>
      </c>
      <c r="H3564" s="33">
        <v>111</v>
      </c>
      <c r="I3564" s="29"/>
      <c r="J3564" s="25">
        <v>1</v>
      </c>
      <c r="K3564" s="30">
        <v>922.5</v>
      </c>
      <c r="L3564" s="17"/>
      <c r="M3564" s="29">
        <f t="shared" si="169"/>
        <v>0</v>
      </c>
      <c r="N3564" s="31">
        <f>0.358*L3564</f>
        <v>0</v>
      </c>
      <c r="O3564" s="32">
        <f>0.00198*L3564</f>
        <v>0</v>
      </c>
      <c r="P3564" s="36"/>
      <c r="Q3564" s="29" t="s">
        <v>11810</v>
      </c>
      <c r="R3564" s="29"/>
      <c r="S3564" s="26" t="str">
        <f>HYPERLINK("https://miland.ru/api/getInfo/image/b0b39db9-2f2e-11f0-a27c-00155d82e908")</f>
        <v>https://miland.ru/api/getInfo/image/b0b39db9-2f2e-11f0-a27c-00155d82e908</v>
      </c>
    </row>
    <row r="3565" spans="1:19" s="2" customFormat="1" ht="96.2" customHeight="1" outlineLevel="4">
      <c r="A3565" s="52">
        <v>2807</v>
      </c>
      <c r="B3565" s="26" t="s">
        <v>11811</v>
      </c>
      <c r="C3565" s="66" t="s">
        <v>11812</v>
      </c>
      <c r="D3565" s="66"/>
      <c r="E3565" s="66"/>
      <c r="F3565" s="66"/>
      <c r="G3565" s="27" t="s">
        <v>11813</v>
      </c>
      <c r="H3565" s="33">
        <v>110</v>
      </c>
      <c r="I3565" s="29"/>
      <c r="J3565" s="25">
        <v>1</v>
      </c>
      <c r="K3565" s="30">
        <v>975.22</v>
      </c>
      <c r="L3565" s="17"/>
      <c r="M3565" s="29">
        <f t="shared" si="169"/>
        <v>0</v>
      </c>
      <c r="N3565" s="31">
        <f>0.357*L3565</f>
        <v>0</v>
      </c>
      <c r="O3565" s="31">
        <f>0.002*L3565</f>
        <v>0</v>
      </c>
      <c r="P3565" s="36"/>
      <c r="Q3565" s="29" t="s">
        <v>11814</v>
      </c>
      <c r="R3565" s="29"/>
      <c r="S3565" s="26" t="str">
        <f>HYPERLINK("https://miland.ru/api/getInfo/image/ff7a9f6b-2f2e-11f0-a27c-00155d82e908")</f>
        <v>https://miland.ru/api/getInfo/image/ff7a9f6b-2f2e-11f0-a27c-00155d82e908</v>
      </c>
    </row>
    <row r="3566" spans="1:19" s="2" customFormat="1" ht="96.2" customHeight="1" outlineLevel="4">
      <c r="A3566" s="52">
        <v>2808</v>
      </c>
      <c r="B3566" s="26" t="s">
        <v>11815</v>
      </c>
      <c r="C3566" s="66" t="s">
        <v>11816</v>
      </c>
      <c r="D3566" s="66"/>
      <c r="E3566" s="66"/>
      <c r="F3566" s="66"/>
      <c r="G3566" s="27" t="s">
        <v>11817</v>
      </c>
      <c r="H3566" s="33">
        <v>231</v>
      </c>
      <c r="I3566" s="29"/>
      <c r="J3566" s="25">
        <v>1</v>
      </c>
      <c r="K3566" s="30">
        <v>980.48</v>
      </c>
      <c r="L3566" s="17"/>
      <c r="M3566" s="29">
        <f t="shared" si="169"/>
        <v>0</v>
      </c>
      <c r="N3566" s="31">
        <f>0.429*L3566</f>
        <v>0</v>
      </c>
      <c r="O3566" s="32">
        <f>0.00223*L3566</f>
        <v>0</v>
      </c>
      <c r="P3566" s="36"/>
      <c r="Q3566" s="29" t="s">
        <v>11818</v>
      </c>
      <c r="R3566" s="29"/>
      <c r="S3566" s="26" t="str">
        <f>HYPERLINK("https://miland.ru/api/getInfo/image/e8da67c8-2f2d-11f0-a27c-00155d82e908")</f>
        <v>https://miland.ru/api/getInfo/image/e8da67c8-2f2d-11f0-a27c-00155d82e908</v>
      </c>
    </row>
    <row r="3567" spans="1:19" s="2" customFormat="1" ht="96.2" customHeight="1" outlineLevel="4">
      <c r="A3567" s="52">
        <v>2809</v>
      </c>
      <c r="B3567" s="26" t="s">
        <v>11819</v>
      </c>
      <c r="C3567" s="66" t="s">
        <v>11820</v>
      </c>
      <c r="D3567" s="66"/>
      <c r="E3567" s="66"/>
      <c r="F3567" s="66"/>
      <c r="G3567" s="27" t="s">
        <v>11821</v>
      </c>
      <c r="H3567" s="33">
        <v>2</v>
      </c>
      <c r="I3567" s="29"/>
      <c r="J3567" s="25">
        <v>1</v>
      </c>
      <c r="K3567" s="37">
        <v>1985.64</v>
      </c>
      <c r="L3567" s="17"/>
      <c r="M3567" s="29">
        <f t="shared" si="169"/>
        <v>0</v>
      </c>
      <c r="N3567" s="31">
        <f>0.739*L3567</f>
        <v>0</v>
      </c>
      <c r="O3567" s="32">
        <f>0.00401*L3567</f>
        <v>0</v>
      </c>
      <c r="P3567" s="36"/>
      <c r="Q3567" s="29" t="s">
        <v>11822</v>
      </c>
      <c r="R3567" s="29"/>
      <c r="S3567" s="26" t="str">
        <f>HYPERLINK("https://miland.ru/api/getInfo/image/e8f52e43-a880-11ed-a230-00155d82e902")</f>
        <v>https://miland.ru/api/getInfo/image/e8f52e43-a880-11ed-a230-00155d82e902</v>
      </c>
    </row>
    <row r="3568" spans="1:19" s="2" customFormat="1" ht="96.2" customHeight="1" outlineLevel="4">
      <c r="A3568" s="52">
        <v>2810</v>
      </c>
      <c r="B3568" s="26" t="s">
        <v>11823</v>
      </c>
      <c r="C3568" s="66" t="s">
        <v>11824</v>
      </c>
      <c r="D3568" s="66"/>
      <c r="E3568" s="66"/>
      <c r="F3568" s="66"/>
      <c r="G3568" s="27" t="s">
        <v>11825</v>
      </c>
      <c r="H3568" s="33">
        <v>5</v>
      </c>
      <c r="I3568" s="29"/>
      <c r="J3568" s="25">
        <v>1</v>
      </c>
      <c r="K3568" s="30">
        <v>577.85</v>
      </c>
      <c r="L3568" s="17"/>
      <c r="M3568" s="29">
        <f t="shared" si="169"/>
        <v>0</v>
      </c>
      <c r="N3568" s="31">
        <f>0.094*L3568</f>
        <v>0</v>
      </c>
      <c r="O3568" s="32">
        <f>0.00025*L3568</f>
        <v>0</v>
      </c>
      <c r="P3568" s="36"/>
      <c r="Q3568" s="29" t="s">
        <v>11826</v>
      </c>
      <c r="R3568" s="29" t="s">
        <v>611</v>
      </c>
      <c r="S3568" s="26" t="str">
        <f>HYPERLINK("https://miland.ru/api/getInfo/image/4f216514-a87d-11ed-a230-00155d82e902")</f>
        <v>https://miland.ru/api/getInfo/image/4f216514-a87d-11ed-a230-00155d82e902</v>
      </c>
    </row>
    <row r="3569" spans="1:19" s="2" customFormat="1" ht="96.2" customHeight="1" outlineLevel="4">
      <c r="A3569" s="52">
        <v>2811</v>
      </c>
      <c r="B3569" s="26" t="s">
        <v>11827</v>
      </c>
      <c r="C3569" s="66" t="s">
        <v>11828</v>
      </c>
      <c r="D3569" s="66"/>
      <c r="E3569" s="66"/>
      <c r="F3569" s="66"/>
      <c r="G3569" s="27" t="s">
        <v>11829</v>
      </c>
      <c r="H3569" s="33">
        <v>200</v>
      </c>
      <c r="I3569" s="29"/>
      <c r="J3569" s="25">
        <v>1</v>
      </c>
      <c r="K3569" s="30">
        <v>661.88</v>
      </c>
      <c r="L3569" s="17"/>
      <c r="M3569" s="29">
        <f t="shared" si="169"/>
        <v>0</v>
      </c>
      <c r="N3569" s="31">
        <f>0.105*L3569</f>
        <v>0</v>
      </c>
      <c r="O3569" s="32">
        <f>0.00031*L3569</f>
        <v>0</v>
      </c>
      <c r="P3569" s="36"/>
      <c r="Q3569" s="29" t="s">
        <v>11830</v>
      </c>
      <c r="R3569" s="29"/>
      <c r="S3569" s="26" t="str">
        <f>HYPERLINK("https://miland.ru/api/getInfo/image/ea637d1e-a87c-11ed-a230-00155d82e902")</f>
        <v>https://miland.ru/api/getInfo/image/ea637d1e-a87c-11ed-a230-00155d82e902</v>
      </c>
    </row>
    <row r="3570" spans="1:19" s="2" customFormat="1" ht="96.2" customHeight="1" outlineLevel="4">
      <c r="A3570" s="52">
        <v>2812</v>
      </c>
      <c r="B3570" s="26" t="s">
        <v>11831</v>
      </c>
      <c r="C3570" s="66" t="s">
        <v>11832</v>
      </c>
      <c r="D3570" s="66"/>
      <c r="E3570" s="66"/>
      <c r="F3570" s="66"/>
      <c r="G3570" s="27" t="s">
        <v>11833</v>
      </c>
      <c r="H3570" s="33">
        <v>387</v>
      </c>
      <c r="I3570" s="29"/>
      <c r="J3570" s="25">
        <v>1</v>
      </c>
      <c r="K3570" s="30">
        <v>661.88</v>
      </c>
      <c r="L3570" s="17"/>
      <c r="M3570" s="29">
        <f t="shared" si="169"/>
        <v>0</v>
      </c>
      <c r="N3570" s="31">
        <f>0.104*L3570</f>
        <v>0</v>
      </c>
      <c r="O3570" s="32">
        <f>0.00032*L3570</f>
        <v>0</v>
      </c>
      <c r="P3570" s="36"/>
      <c r="Q3570" s="29" t="s">
        <v>11834</v>
      </c>
      <c r="R3570" s="29"/>
      <c r="S3570" s="26" t="str">
        <f>HYPERLINK("https://miland.ru/api/getInfo/image/1bdc7179-a87d-11ed-a230-00155d82e902")</f>
        <v>https://miland.ru/api/getInfo/image/1bdc7179-a87d-11ed-a230-00155d82e902</v>
      </c>
    </row>
    <row r="3571" spans="1:19" s="2" customFormat="1" ht="96.2" customHeight="1" outlineLevel="4">
      <c r="A3571" s="52">
        <v>2813</v>
      </c>
      <c r="B3571" s="26" t="s">
        <v>11835</v>
      </c>
      <c r="C3571" s="66" t="s">
        <v>11836</v>
      </c>
      <c r="D3571" s="66"/>
      <c r="E3571" s="66"/>
      <c r="F3571" s="66"/>
      <c r="G3571" s="27" t="s">
        <v>11837</v>
      </c>
      <c r="H3571" s="28" t="s">
        <v>44</v>
      </c>
      <c r="I3571" s="29"/>
      <c r="J3571" s="25">
        <v>1</v>
      </c>
      <c r="K3571" s="30">
        <v>415.25</v>
      </c>
      <c r="L3571" s="17"/>
      <c r="M3571" s="29">
        <f t="shared" si="169"/>
        <v>0</v>
      </c>
      <c r="N3571" s="31">
        <f>0.138*L3571</f>
        <v>0</v>
      </c>
      <c r="O3571" s="32">
        <f>0.00061*L3571</f>
        <v>0</v>
      </c>
      <c r="P3571" s="36"/>
      <c r="Q3571" s="29" t="s">
        <v>11838</v>
      </c>
      <c r="R3571" s="29"/>
      <c r="S3571" s="26" t="str">
        <f>HYPERLINK("https://miland.ru/api/getInfo/image/8f8a780f-a880-11ed-a230-00155d82e902")</f>
        <v>https://miland.ru/api/getInfo/image/8f8a780f-a880-11ed-a230-00155d82e902</v>
      </c>
    </row>
    <row r="3572" spans="1:19" s="2" customFormat="1" ht="96.2" customHeight="1" outlineLevel="4">
      <c r="A3572" s="52">
        <v>2814</v>
      </c>
      <c r="B3572" s="26" t="s">
        <v>11839</v>
      </c>
      <c r="C3572" s="66" t="s">
        <v>11840</v>
      </c>
      <c r="D3572" s="66"/>
      <c r="E3572" s="66"/>
      <c r="F3572" s="66"/>
      <c r="G3572" s="27" t="s">
        <v>11841</v>
      </c>
      <c r="H3572" s="28" t="s">
        <v>44</v>
      </c>
      <c r="I3572" s="29"/>
      <c r="J3572" s="25">
        <v>1</v>
      </c>
      <c r="K3572" s="30">
        <v>415.25</v>
      </c>
      <c r="L3572" s="17"/>
      <c r="M3572" s="29">
        <f t="shared" si="169"/>
        <v>0</v>
      </c>
      <c r="N3572" s="31">
        <f>0.141*L3572</f>
        <v>0</v>
      </c>
      <c r="O3572" s="35">
        <f>0.0006*L3572</f>
        <v>0</v>
      </c>
      <c r="P3572" s="36"/>
      <c r="Q3572" s="29" t="s">
        <v>11842</v>
      </c>
      <c r="R3572" s="29"/>
      <c r="S3572" s="26" t="str">
        <f>HYPERLINK("https://miland.ru/api/getInfo/image/5de6abed-a880-11ed-a230-00155d82e902")</f>
        <v>https://miland.ru/api/getInfo/image/5de6abed-a880-11ed-a230-00155d82e902</v>
      </c>
    </row>
    <row r="3573" spans="1:19" s="2" customFormat="1" ht="96.2" customHeight="1" outlineLevel="4">
      <c r="A3573" s="52">
        <v>2815</v>
      </c>
      <c r="B3573" s="26" t="s">
        <v>11843</v>
      </c>
      <c r="C3573" s="66" t="s">
        <v>11844</v>
      </c>
      <c r="D3573" s="66"/>
      <c r="E3573" s="66"/>
      <c r="F3573" s="66"/>
      <c r="G3573" s="27" t="s">
        <v>11845</v>
      </c>
      <c r="H3573" s="33">
        <v>284</v>
      </c>
      <c r="I3573" s="29"/>
      <c r="J3573" s="25">
        <v>1</v>
      </c>
      <c r="K3573" s="37">
        <v>1037.8</v>
      </c>
      <c r="L3573" s="17"/>
      <c r="M3573" s="29">
        <f t="shared" si="169"/>
        <v>0</v>
      </c>
      <c r="N3573" s="31">
        <f>0.236*L3573</f>
        <v>0</v>
      </c>
      <c r="O3573" s="32">
        <f>0.00164*L3573</f>
        <v>0</v>
      </c>
      <c r="P3573" s="36"/>
      <c r="Q3573" s="29" t="s">
        <v>11846</v>
      </c>
      <c r="R3573" s="29"/>
      <c r="S3573" s="26" t="str">
        <f>HYPERLINK("https://miland.ru/api/getInfo/image/a9ccf3b5-a87c-11ed-a230-00155d82e902")</f>
        <v>https://miland.ru/api/getInfo/image/a9ccf3b5-a87c-11ed-a230-00155d82e902</v>
      </c>
    </row>
    <row r="3574" spans="1:19" s="2" customFormat="1" ht="96.2" customHeight="1" outlineLevel="4">
      <c r="A3574" s="52">
        <v>2816</v>
      </c>
      <c r="B3574" s="26" t="s">
        <v>11847</v>
      </c>
      <c r="C3574" s="66" t="s">
        <v>11848</v>
      </c>
      <c r="D3574" s="66"/>
      <c r="E3574" s="66"/>
      <c r="F3574" s="66"/>
      <c r="G3574" s="27" t="s">
        <v>11849</v>
      </c>
      <c r="H3574" s="33">
        <v>205</v>
      </c>
      <c r="I3574" s="29"/>
      <c r="J3574" s="25">
        <v>2</v>
      </c>
      <c r="K3574" s="30">
        <v>310.27999999999997</v>
      </c>
      <c r="L3574" s="17"/>
      <c r="M3574" s="29">
        <f t="shared" si="169"/>
        <v>0</v>
      </c>
      <c r="N3574" s="31">
        <f>0.134*L3574</f>
        <v>0</v>
      </c>
      <c r="O3574" s="32">
        <f>0.00056*L3574</f>
        <v>0</v>
      </c>
      <c r="P3574" s="36"/>
      <c r="Q3574" s="29" t="s">
        <v>11850</v>
      </c>
      <c r="R3574" s="29"/>
      <c r="S3574" s="26" t="str">
        <f>HYPERLINK("https://miland.ru/api/getInfo/image/4b235a02-a87e-11ed-a230-00155d82e902")</f>
        <v>https://miland.ru/api/getInfo/image/4b235a02-a87e-11ed-a230-00155d82e902</v>
      </c>
    </row>
    <row r="3575" spans="1:19" s="2" customFormat="1" ht="96.2" customHeight="1" outlineLevel="4">
      <c r="A3575" s="52">
        <v>2817</v>
      </c>
      <c r="B3575" s="26" t="s">
        <v>11851</v>
      </c>
      <c r="C3575" s="66" t="s">
        <v>11852</v>
      </c>
      <c r="D3575" s="66"/>
      <c r="E3575" s="66"/>
      <c r="F3575" s="66"/>
      <c r="G3575" s="27" t="s">
        <v>11853</v>
      </c>
      <c r="H3575" s="33">
        <v>295</v>
      </c>
      <c r="I3575" s="29"/>
      <c r="J3575" s="25">
        <v>2</v>
      </c>
      <c r="K3575" s="30">
        <v>310.27999999999997</v>
      </c>
      <c r="L3575" s="17"/>
      <c r="M3575" s="29">
        <f t="shared" si="169"/>
        <v>0</v>
      </c>
      <c r="N3575" s="31">
        <f>0.127*L3575</f>
        <v>0</v>
      </c>
      <c r="O3575" s="32">
        <f>0.00056*L3575</f>
        <v>0</v>
      </c>
      <c r="P3575" s="36"/>
      <c r="Q3575" s="29" t="s">
        <v>11854</v>
      </c>
      <c r="R3575" s="29"/>
      <c r="S3575" s="26" t="str">
        <f>HYPERLINK("https://miland.ru/api/getInfo/image/faa71356-a87d-11ed-a230-00155d82e902")</f>
        <v>https://miland.ru/api/getInfo/image/faa71356-a87d-11ed-a230-00155d82e902</v>
      </c>
    </row>
    <row r="3576" spans="1:19" s="2" customFormat="1" ht="96.2" customHeight="1" outlineLevel="4">
      <c r="A3576" s="52">
        <v>2818</v>
      </c>
      <c r="B3576" s="26" t="s">
        <v>11855</v>
      </c>
      <c r="C3576" s="66" t="s">
        <v>11856</v>
      </c>
      <c r="D3576" s="66"/>
      <c r="E3576" s="66"/>
      <c r="F3576" s="66"/>
      <c r="G3576" s="27" t="s">
        <v>11857</v>
      </c>
      <c r="H3576" s="28" t="s">
        <v>44</v>
      </c>
      <c r="I3576" s="29"/>
      <c r="J3576" s="25">
        <v>1</v>
      </c>
      <c r="K3576" s="30">
        <v>438.6</v>
      </c>
      <c r="L3576" s="17"/>
      <c r="M3576" s="29">
        <f t="shared" si="169"/>
        <v>0</v>
      </c>
      <c r="N3576" s="31">
        <f>0.146*L3576</f>
        <v>0</v>
      </c>
      <c r="O3576" s="32">
        <f>0.00045*L3576</f>
        <v>0</v>
      </c>
      <c r="P3576" s="36"/>
      <c r="Q3576" s="29" t="s">
        <v>11858</v>
      </c>
      <c r="R3576" s="29"/>
      <c r="S3576" s="26" t="str">
        <f>HYPERLINK("https://miland.ru/api/getInfo/image/bff09506-a87f-11ed-a230-00155d82e902")</f>
        <v>https://miland.ru/api/getInfo/image/bff09506-a87f-11ed-a230-00155d82e902</v>
      </c>
    </row>
    <row r="3577" spans="1:19" s="2" customFormat="1" ht="96.2" customHeight="1" outlineLevel="4">
      <c r="A3577" s="52">
        <v>2819</v>
      </c>
      <c r="B3577" s="26" t="s">
        <v>11859</v>
      </c>
      <c r="C3577" s="66" t="s">
        <v>11860</v>
      </c>
      <c r="D3577" s="66"/>
      <c r="E3577" s="66"/>
      <c r="F3577" s="66"/>
      <c r="G3577" s="27" t="s">
        <v>11861</v>
      </c>
      <c r="H3577" s="28" t="s">
        <v>44</v>
      </c>
      <c r="I3577" s="29"/>
      <c r="J3577" s="25">
        <v>1</v>
      </c>
      <c r="K3577" s="30">
        <v>833.48</v>
      </c>
      <c r="L3577" s="17"/>
      <c r="M3577" s="29">
        <f t="shared" si="169"/>
        <v>0</v>
      </c>
      <c r="N3577" s="31">
        <f>0.134*L3577</f>
        <v>0</v>
      </c>
      <c r="O3577" s="32">
        <f>0.00062*L3577</f>
        <v>0</v>
      </c>
      <c r="P3577" s="36"/>
      <c r="Q3577" s="29" t="s">
        <v>11862</v>
      </c>
      <c r="R3577" s="29"/>
      <c r="S3577" s="26" t="str">
        <f>HYPERLINK("https://miland.ru/api/getInfo/image/c266804e-a87d-11ed-a230-00155d82e902")</f>
        <v>https://miland.ru/api/getInfo/image/c266804e-a87d-11ed-a230-00155d82e902</v>
      </c>
    </row>
    <row r="3578" spans="1:19" s="2" customFormat="1" ht="96.2" customHeight="1" outlineLevel="4">
      <c r="A3578" s="52">
        <v>2820</v>
      </c>
      <c r="B3578" s="26" t="s">
        <v>11863</v>
      </c>
      <c r="C3578" s="66" t="s">
        <v>11864</v>
      </c>
      <c r="D3578" s="66"/>
      <c r="E3578" s="66"/>
      <c r="F3578" s="66"/>
      <c r="G3578" s="27" t="s">
        <v>11865</v>
      </c>
      <c r="H3578" s="28" t="s">
        <v>44</v>
      </c>
      <c r="I3578" s="29"/>
      <c r="J3578" s="25">
        <v>2</v>
      </c>
      <c r="K3578" s="30">
        <v>310.27999999999997</v>
      </c>
      <c r="L3578" s="17"/>
      <c r="M3578" s="29">
        <f t="shared" si="169"/>
        <v>0</v>
      </c>
      <c r="N3578" s="31">
        <f>0.127*L3578</f>
        <v>0</v>
      </c>
      <c r="O3578" s="32">
        <f>0.00059*L3578</f>
        <v>0</v>
      </c>
      <c r="P3578" s="36"/>
      <c r="Q3578" s="29" t="s">
        <v>11866</v>
      </c>
      <c r="R3578" s="29"/>
      <c r="S3578" s="26" t="str">
        <f>HYPERLINK("https://miland.ru/api/getInfo/image/7ce3bed6-a87e-11ed-a230-00155d82e902")</f>
        <v>https://miland.ru/api/getInfo/image/7ce3bed6-a87e-11ed-a230-00155d82e902</v>
      </c>
    </row>
    <row r="3579" spans="1:19" s="2" customFormat="1" ht="96.2" customHeight="1" outlineLevel="4">
      <c r="A3579" s="52">
        <v>2821</v>
      </c>
      <c r="B3579" s="26" t="s">
        <v>11867</v>
      </c>
      <c r="C3579" s="66" t="s">
        <v>11868</v>
      </c>
      <c r="D3579" s="66"/>
      <c r="E3579" s="66"/>
      <c r="F3579" s="66"/>
      <c r="G3579" s="27" t="s">
        <v>11869</v>
      </c>
      <c r="H3579" s="28" t="s">
        <v>44</v>
      </c>
      <c r="I3579" s="29"/>
      <c r="J3579" s="25">
        <v>2</v>
      </c>
      <c r="K3579" s="30">
        <v>306.39</v>
      </c>
      <c r="L3579" s="17"/>
      <c r="M3579" s="29">
        <f t="shared" si="169"/>
        <v>0</v>
      </c>
      <c r="N3579" s="31">
        <f>0.126*L3579</f>
        <v>0</v>
      </c>
      <c r="O3579" s="32">
        <f>0.00041*L3579</f>
        <v>0</v>
      </c>
      <c r="P3579" s="36"/>
      <c r="Q3579" s="29" t="s">
        <v>11870</v>
      </c>
      <c r="R3579" s="29"/>
      <c r="S3579" s="26" t="str">
        <f>HYPERLINK("https://miland.ru/api/getInfo/image/35ab003d-51ff-11ee-a244-00155d82e902")</f>
        <v>https://miland.ru/api/getInfo/image/35ab003d-51ff-11ee-a244-00155d82e902</v>
      </c>
    </row>
    <row r="3580" spans="1:19" s="2" customFormat="1" ht="96.2" customHeight="1" outlineLevel="4">
      <c r="A3580" s="52">
        <v>2822</v>
      </c>
      <c r="B3580" s="26" t="s">
        <v>11871</v>
      </c>
      <c r="C3580" s="66" t="s">
        <v>11872</v>
      </c>
      <c r="D3580" s="66"/>
      <c r="E3580" s="66"/>
      <c r="F3580" s="66"/>
      <c r="G3580" s="27" t="s">
        <v>11873</v>
      </c>
      <c r="H3580" s="33">
        <v>395</v>
      </c>
      <c r="I3580" s="29"/>
      <c r="J3580" s="25">
        <v>1</v>
      </c>
      <c r="K3580" s="30">
        <v>806.53</v>
      </c>
      <c r="L3580" s="17"/>
      <c r="M3580" s="29">
        <f t="shared" si="169"/>
        <v>0</v>
      </c>
      <c r="N3580" s="31">
        <f>0.419*L3580</f>
        <v>0</v>
      </c>
      <c r="O3580" s="32">
        <f>0.00193*L3580</f>
        <v>0</v>
      </c>
      <c r="P3580" s="36"/>
      <c r="Q3580" s="29" t="s">
        <v>11874</v>
      </c>
      <c r="R3580" s="29"/>
      <c r="S3580" s="26" t="str">
        <f>HYPERLINK("https://miland.ru/api/getInfo/image/ef7dc14b-2f2c-11f0-a27c-00155d82e908")</f>
        <v>https://miland.ru/api/getInfo/image/ef7dc14b-2f2c-11f0-a27c-00155d82e908</v>
      </c>
    </row>
    <row r="3581" spans="1:19" s="1" customFormat="1" ht="12" customHeight="1" outlineLevel="3">
      <c r="A3581" s="64" t="s">
        <v>11875</v>
      </c>
      <c r="B3581" s="64"/>
      <c r="C3581" s="64"/>
      <c r="D3581" s="64"/>
      <c r="E3581" s="64"/>
      <c r="F3581" s="64"/>
      <c r="G3581" s="8"/>
      <c r="H3581" s="12"/>
      <c r="I3581" s="2"/>
      <c r="J3581" s="2"/>
      <c r="K3581" s="13"/>
      <c r="L3581" s="2"/>
      <c r="M3581" s="2"/>
      <c r="N3581" s="2"/>
      <c r="O3581" s="2"/>
      <c r="P3581" s="2"/>
      <c r="Q3581" s="2"/>
      <c r="R3581" s="2"/>
      <c r="S3581" s="2"/>
    </row>
    <row r="3582" spans="1:19" s="1" customFormat="1" ht="12" customHeight="1" outlineLevel="4">
      <c r="A3582" s="64" t="s">
        <v>11876</v>
      </c>
      <c r="B3582" s="64"/>
      <c r="C3582" s="64"/>
      <c r="D3582" s="64"/>
      <c r="E3582" s="64"/>
      <c r="F3582" s="64"/>
      <c r="G3582" s="8"/>
      <c r="H3582" s="12"/>
      <c r="I3582" s="2"/>
      <c r="J3582" s="2"/>
      <c r="K3582" s="13"/>
      <c r="L3582" s="2"/>
      <c r="M3582" s="2"/>
      <c r="N3582" s="2"/>
      <c r="O3582" s="2"/>
      <c r="P3582" s="2"/>
      <c r="Q3582" s="2"/>
      <c r="R3582" s="2"/>
      <c r="S3582" s="2"/>
    </row>
    <row r="3583" spans="1:19" s="1" customFormat="1" ht="12" customHeight="1" outlineLevel="5">
      <c r="A3583" s="64" t="s">
        <v>11877</v>
      </c>
      <c r="B3583" s="64"/>
      <c r="C3583" s="64"/>
      <c r="D3583" s="64"/>
      <c r="E3583" s="64"/>
      <c r="F3583" s="64"/>
      <c r="G3583" s="8"/>
      <c r="H3583" s="12"/>
      <c r="I3583" s="2"/>
      <c r="J3583" s="2"/>
      <c r="K3583" s="13"/>
      <c r="L3583" s="2"/>
      <c r="M3583" s="2"/>
      <c r="N3583" s="2"/>
      <c r="O3583" s="2"/>
      <c r="P3583" s="2"/>
      <c r="Q3583" s="2"/>
      <c r="R3583" s="2"/>
      <c r="S3583" s="2"/>
    </row>
    <row r="3584" spans="1:19" s="1" customFormat="1" ht="24" customHeight="1" outlineLevel="6">
      <c r="A3584" s="64" t="s">
        <v>11878</v>
      </c>
      <c r="B3584" s="64"/>
      <c r="C3584" s="64"/>
      <c r="D3584" s="64"/>
      <c r="E3584" s="64"/>
      <c r="F3584" s="64"/>
      <c r="G3584" s="8"/>
      <c r="H3584" s="12"/>
      <c r="I3584" s="2"/>
      <c r="J3584" s="2"/>
      <c r="K3584" s="13"/>
      <c r="L3584" s="2"/>
      <c r="M3584" s="2"/>
      <c r="N3584" s="2"/>
      <c r="O3584" s="2"/>
      <c r="P3584" s="2"/>
      <c r="Q3584" s="2"/>
      <c r="R3584" s="2"/>
      <c r="S3584" s="2"/>
    </row>
    <row r="3585" spans="1:19" s="2" customFormat="1" ht="96.2" customHeight="1" outlineLevel="7">
      <c r="A3585" s="52">
        <v>2823</v>
      </c>
      <c r="B3585" s="26" t="s">
        <v>11879</v>
      </c>
      <c r="C3585" s="66" t="s">
        <v>11880</v>
      </c>
      <c r="D3585" s="66"/>
      <c r="E3585" s="66"/>
      <c r="F3585" s="66"/>
      <c r="G3585" s="27" t="s">
        <v>11881</v>
      </c>
      <c r="H3585" s="33">
        <v>24</v>
      </c>
      <c r="I3585" s="29"/>
      <c r="J3585" s="25">
        <v>3</v>
      </c>
      <c r="K3585" s="30">
        <v>217.1</v>
      </c>
      <c r="L3585" s="17"/>
      <c r="M3585" s="29">
        <f>K3585*L3585</f>
        <v>0</v>
      </c>
      <c r="N3585" s="31">
        <f>0.112*L3585</f>
        <v>0</v>
      </c>
      <c r="O3585" s="35">
        <f>0.0008*L3585</f>
        <v>0</v>
      </c>
      <c r="P3585" s="36"/>
      <c r="Q3585" s="29" t="s">
        <v>11882</v>
      </c>
      <c r="R3585" s="29" t="s">
        <v>611</v>
      </c>
      <c r="S3585" s="26" t="str">
        <f>HYPERLINK("https://miland.ru/api/getInfo/image/8913461d-375f-11ee-a240-00155d82e902")</f>
        <v>https://miland.ru/api/getInfo/image/8913461d-375f-11ee-a240-00155d82e902</v>
      </c>
    </row>
    <row r="3586" spans="1:19" s="1" customFormat="1" ht="12" customHeight="1" outlineLevel="6">
      <c r="A3586" s="64" t="s">
        <v>11883</v>
      </c>
      <c r="B3586" s="64"/>
      <c r="C3586" s="64"/>
      <c r="D3586" s="64"/>
      <c r="E3586" s="64"/>
      <c r="F3586" s="64"/>
      <c r="G3586" s="8"/>
      <c r="H3586" s="12"/>
      <c r="I3586" s="2"/>
      <c r="J3586" s="2"/>
      <c r="K3586" s="13"/>
      <c r="L3586" s="2"/>
      <c r="M3586" s="2"/>
      <c r="N3586" s="2"/>
      <c r="O3586" s="2"/>
      <c r="P3586" s="2"/>
      <c r="Q3586" s="2"/>
      <c r="R3586" s="2"/>
      <c r="S3586" s="2"/>
    </row>
    <row r="3587" spans="1:19" s="2" customFormat="1" ht="96.2" customHeight="1" outlineLevel="7">
      <c r="A3587" s="52">
        <v>2824</v>
      </c>
      <c r="B3587" s="26" t="s">
        <v>11884</v>
      </c>
      <c r="C3587" s="66" t="s">
        <v>11885</v>
      </c>
      <c r="D3587" s="66"/>
      <c r="E3587" s="66"/>
      <c r="F3587" s="66"/>
      <c r="G3587" s="27" t="s">
        <v>11886</v>
      </c>
      <c r="H3587" s="33">
        <v>111</v>
      </c>
      <c r="I3587" s="29"/>
      <c r="J3587" s="25">
        <v>6</v>
      </c>
      <c r="K3587" s="30">
        <v>110.35</v>
      </c>
      <c r="L3587" s="17"/>
      <c r="M3587" s="29">
        <f t="shared" ref="M3587:M3592" si="170">K3587*L3587</f>
        <v>0</v>
      </c>
      <c r="N3587" s="31">
        <f>0.051*L3587</f>
        <v>0</v>
      </c>
      <c r="O3587" s="32">
        <f>0.00019*L3587</f>
        <v>0</v>
      </c>
      <c r="P3587" s="36"/>
      <c r="Q3587" s="29" t="s">
        <v>11887</v>
      </c>
      <c r="R3587" s="29" t="s">
        <v>611</v>
      </c>
      <c r="S3587" s="26" t="str">
        <f>HYPERLINK("https://miland.ru/api/getInfo/image/dbd7d142-0d0b-11ef-a25d-00155d82e908")</f>
        <v>https://miland.ru/api/getInfo/image/dbd7d142-0d0b-11ef-a25d-00155d82e908</v>
      </c>
    </row>
    <row r="3588" spans="1:19" s="2" customFormat="1" ht="96.2" customHeight="1" outlineLevel="7">
      <c r="A3588" s="52">
        <v>2825</v>
      </c>
      <c r="B3588" s="26" t="s">
        <v>11888</v>
      </c>
      <c r="C3588" s="66" t="s">
        <v>11889</v>
      </c>
      <c r="D3588" s="66"/>
      <c r="E3588" s="66"/>
      <c r="F3588" s="66"/>
      <c r="G3588" s="27" t="s">
        <v>11890</v>
      </c>
      <c r="H3588" s="33">
        <v>9</v>
      </c>
      <c r="I3588" s="29"/>
      <c r="J3588" s="25">
        <v>6</v>
      </c>
      <c r="K3588" s="30">
        <v>110.35</v>
      </c>
      <c r="L3588" s="17"/>
      <c r="M3588" s="29">
        <f t="shared" si="170"/>
        <v>0</v>
      </c>
      <c r="N3588" s="31">
        <f>0.051*L3588</f>
        <v>0</v>
      </c>
      <c r="O3588" s="32">
        <f>0.00015*L3588</f>
        <v>0</v>
      </c>
      <c r="P3588" s="36"/>
      <c r="Q3588" s="29" t="s">
        <v>11891</v>
      </c>
      <c r="R3588" s="29" t="s">
        <v>611</v>
      </c>
      <c r="S3588" s="26" t="str">
        <f>HYPERLINK("https://miland.ru/api/getInfo/image/5c667e7d-0d0b-11ef-a25d-00155d82e908")</f>
        <v>https://miland.ru/api/getInfo/image/5c667e7d-0d0b-11ef-a25d-00155d82e908</v>
      </c>
    </row>
    <row r="3589" spans="1:19" s="2" customFormat="1" ht="96.2" customHeight="1" outlineLevel="7">
      <c r="A3589" s="52">
        <v>2826</v>
      </c>
      <c r="B3589" s="26" t="s">
        <v>11892</v>
      </c>
      <c r="C3589" s="66" t="s">
        <v>11893</v>
      </c>
      <c r="D3589" s="66"/>
      <c r="E3589" s="66"/>
      <c r="F3589" s="66"/>
      <c r="G3589" s="27" t="s">
        <v>11894</v>
      </c>
      <c r="H3589" s="33">
        <v>2</v>
      </c>
      <c r="I3589" s="29"/>
      <c r="J3589" s="25">
        <v>2</v>
      </c>
      <c r="K3589" s="30">
        <v>110.35</v>
      </c>
      <c r="L3589" s="17"/>
      <c r="M3589" s="29">
        <f t="shared" si="170"/>
        <v>0</v>
      </c>
      <c r="N3589" s="31">
        <f>0.052*L3589</f>
        <v>0</v>
      </c>
      <c r="O3589" s="32">
        <f>0.00016*L3589</f>
        <v>0</v>
      </c>
      <c r="P3589" s="36"/>
      <c r="Q3589" s="29" t="s">
        <v>11895</v>
      </c>
      <c r="R3589" s="29" t="s">
        <v>611</v>
      </c>
      <c r="S3589" s="26" t="str">
        <f>HYPERLINK("https://miland.ru/api/getInfo/image/8bbfb1be-0d0b-11ef-a25d-00155d82e908")</f>
        <v>https://miland.ru/api/getInfo/image/8bbfb1be-0d0b-11ef-a25d-00155d82e908</v>
      </c>
    </row>
    <row r="3590" spans="1:19" s="2" customFormat="1" ht="96.2" customHeight="1" outlineLevel="7">
      <c r="A3590" s="52">
        <v>2827</v>
      </c>
      <c r="B3590" s="26" t="s">
        <v>11896</v>
      </c>
      <c r="C3590" s="66" t="s">
        <v>11897</v>
      </c>
      <c r="D3590" s="66"/>
      <c r="E3590" s="66"/>
      <c r="F3590" s="66"/>
      <c r="G3590" s="27" t="s">
        <v>11898</v>
      </c>
      <c r="H3590" s="28" t="s">
        <v>44</v>
      </c>
      <c r="I3590" s="29"/>
      <c r="J3590" s="25">
        <v>6</v>
      </c>
      <c r="K3590" s="30">
        <v>110.35</v>
      </c>
      <c r="L3590" s="17"/>
      <c r="M3590" s="29">
        <f t="shared" si="170"/>
        <v>0</v>
      </c>
      <c r="N3590" s="31">
        <f>0.054*L3590</f>
        <v>0</v>
      </c>
      <c r="O3590" s="32">
        <f>0.00014*L3590</f>
        <v>0</v>
      </c>
      <c r="P3590" s="36"/>
      <c r="Q3590" s="29" t="s">
        <v>11899</v>
      </c>
      <c r="R3590" s="29" t="s">
        <v>611</v>
      </c>
      <c r="S3590" s="26" t="str">
        <f>HYPERLINK("https://miland.ru/api/getInfo/image/b9ba7d25-0d0b-11ef-a25d-00155d82e908")</f>
        <v>https://miland.ru/api/getInfo/image/b9ba7d25-0d0b-11ef-a25d-00155d82e908</v>
      </c>
    </row>
    <row r="3591" spans="1:19" s="2" customFormat="1" ht="96.2" customHeight="1" outlineLevel="7">
      <c r="A3591" s="52">
        <v>2828</v>
      </c>
      <c r="B3591" s="26" t="s">
        <v>11900</v>
      </c>
      <c r="C3591" s="66" t="s">
        <v>11901</v>
      </c>
      <c r="D3591" s="66"/>
      <c r="E3591" s="66"/>
      <c r="F3591" s="66"/>
      <c r="G3591" s="27" t="s">
        <v>11902</v>
      </c>
      <c r="H3591" s="33">
        <v>96</v>
      </c>
      <c r="I3591" s="29"/>
      <c r="J3591" s="25">
        <v>6</v>
      </c>
      <c r="K3591" s="30">
        <v>110.35</v>
      </c>
      <c r="L3591" s="17"/>
      <c r="M3591" s="29">
        <f t="shared" si="170"/>
        <v>0</v>
      </c>
      <c r="N3591" s="31">
        <f>0.052*L3591</f>
        <v>0</v>
      </c>
      <c r="O3591" s="32">
        <f>0.00023*L3591</f>
        <v>0</v>
      </c>
      <c r="P3591" s="36"/>
      <c r="Q3591" s="29" t="s">
        <v>11903</v>
      </c>
      <c r="R3591" s="29" t="s">
        <v>611</v>
      </c>
      <c r="S3591" s="26" t="str">
        <f>HYPERLINK("https://miland.ru/api/getInfo/image/998f7519-0d0b-11ef-a25d-00155d82e908")</f>
        <v>https://miland.ru/api/getInfo/image/998f7519-0d0b-11ef-a25d-00155d82e908</v>
      </c>
    </row>
    <row r="3592" spans="1:19" s="2" customFormat="1" ht="96.2" customHeight="1" outlineLevel="7">
      <c r="A3592" s="52">
        <v>2829</v>
      </c>
      <c r="B3592" s="26" t="s">
        <v>11904</v>
      </c>
      <c r="C3592" s="66" t="s">
        <v>11905</v>
      </c>
      <c r="D3592" s="66"/>
      <c r="E3592" s="66"/>
      <c r="F3592" s="66"/>
      <c r="G3592" s="27" t="s">
        <v>11906</v>
      </c>
      <c r="H3592" s="33">
        <v>183</v>
      </c>
      <c r="I3592" s="29"/>
      <c r="J3592" s="25">
        <v>6</v>
      </c>
      <c r="K3592" s="30">
        <v>110.35</v>
      </c>
      <c r="L3592" s="17"/>
      <c r="M3592" s="29">
        <f t="shared" si="170"/>
        <v>0</v>
      </c>
      <c r="N3592" s="41">
        <f>5.1*L3592</f>
        <v>0</v>
      </c>
      <c r="O3592" s="32">
        <f>0.03444*L3592</f>
        <v>0</v>
      </c>
      <c r="P3592" s="36"/>
      <c r="Q3592" s="29" t="s">
        <v>11907</v>
      </c>
      <c r="R3592" s="29" t="s">
        <v>611</v>
      </c>
      <c r="S3592" s="26" t="str">
        <f>HYPERLINK("https://miland.ru/api/getInfo/image/b7958ede-0d0a-11ef-a25d-00155d82e908")</f>
        <v>https://miland.ru/api/getInfo/image/b7958ede-0d0a-11ef-a25d-00155d82e908</v>
      </c>
    </row>
    <row r="3593" spans="1:19" s="1" customFormat="1" ht="12" customHeight="1" outlineLevel="5">
      <c r="A3593" s="64" t="s">
        <v>11908</v>
      </c>
      <c r="B3593" s="64"/>
      <c r="C3593" s="64"/>
      <c r="D3593" s="64"/>
      <c r="E3593" s="64"/>
      <c r="F3593" s="64"/>
      <c r="G3593" s="8"/>
      <c r="H3593" s="12"/>
      <c r="I3593" s="2"/>
      <c r="J3593" s="2"/>
      <c r="K3593" s="13"/>
      <c r="L3593" s="2"/>
      <c r="M3593" s="2"/>
      <c r="N3593" s="2"/>
      <c r="O3593" s="2"/>
      <c r="P3593" s="2"/>
      <c r="Q3593" s="2"/>
      <c r="R3593" s="2"/>
      <c r="S3593" s="2"/>
    </row>
    <row r="3594" spans="1:19" s="1" customFormat="1" ht="12" customHeight="1" outlineLevel="6">
      <c r="A3594" s="64" t="s">
        <v>11909</v>
      </c>
      <c r="B3594" s="64"/>
      <c r="C3594" s="64"/>
      <c r="D3594" s="64"/>
      <c r="E3594" s="64"/>
      <c r="F3594" s="64"/>
      <c r="G3594" s="8"/>
      <c r="H3594" s="12"/>
      <c r="I3594" s="2"/>
      <c r="J3594" s="2"/>
      <c r="K3594" s="13"/>
      <c r="L3594" s="2"/>
      <c r="M3594" s="2"/>
      <c r="N3594" s="2"/>
      <c r="O3594" s="2"/>
      <c r="P3594" s="2"/>
      <c r="Q3594" s="2"/>
      <c r="R3594" s="2"/>
      <c r="S3594" s="2"/>
    </row>
    <row r="3595" spans="1:19" s="2" customFormat="1" ht="96.2" customHeight="1" outlineLevel="7">
      <c r="A3595" s="52">
        <v>2830</v>
      </c>
      <c r="B3595" s="26" t="s">
        <v>11910</v>
      </c>
      <c r="C3595" s="66" t="s">
        <v>11911</v>
      </c>
      <c r="D3595" s="66"/>
      <c r="E3595" s="66"/>
      <c r="F3595" s="66"/>
      <c r="G3595" s="27" t="s">
        <v>11912</v>
      </c>
      <c r="H3595" s="33">
        <v>10</v>
      </c>
      <c r="I3595" s="29"/>
      <c r="J3595" s="25">
        <v>3</v>
      </c>
      <c r="K3595" s="30">
        <v>229.16</v>
      </c>
      <c r="L3595" s="17"/>
      <c r="M3595" s="29">
        <f>K3595*L3595</f>
        <v>0</v>
      </c>
      <c r="N3595" s="31">
        <f>0.049*L3595</f>
        <v>0</v>
      </c>
      <c r="O3595" s="32">
        <f>0.00049*L3595</f>
        <v>0</v>
      </c>
      <c r="P3595" s="36"/>
      <c r="Q3595" s="29" t="s">
        <v>11913</v>
      </c>
      <c r="R3595" s="29" t="s">
        <v>611</v>
      </c>
      <c r="S3595" s="26" t="str">
        <f>HYPERLINK("https://miland.ru/api/getInfo/image/1eba4c29-380a-11ee-a240-00155d82e902")</f>
        <v>https://miland.ru/api/getInfo/image/1eba4c29-380a-11ee-a240-00155d82e902</v>
      </c>
    </row>
    <row r="3596" spans="1:19" s="2" customFormat="1" ht="96.2" customHeight="1" outlineLevel="7">
      <c r="A3596" s="52">
        <v>2831</v>
      </c>
      <c r="B3596" s="26" t="s">
        <v>11914</v>
      </c>
      <c r="C3596" s="66" t="s">
        <v>11915</v>
      </c>
      <c r="D3596" s="66"/>
      <c r="E3596" s="66"/>
      <c r="F3596" s="66"/>
      <c r="G3596" s="27" t="s">
        <v>11916</v>
      </c>
      <c r="H3596" s="33">
        <v>2</v>
      </c>
      <c r="I3596" s="29"/>
      <c r="J3596" s="25">
        <v>2</v>
      </c>
      <c r="K3596" s="30">
        <v>229.16</v>
      </c>
      <c r="L3596" s="17"/>
      <c r="M3596" s="29">
        <f>K3596*L3596</f>
        <v>0</v>
      </c>
      <c r="N3596" s="31">
        <f>0.114*L3596</f>
        <v>0</v>
      </c>
      <c r="O3596" s="32">
        <f>0.00065*L3596</f>
        <v>0</v>
      </c>
      <c r="P3596" s="36"/>
      <c r="Q3596" s="29" t="s">
        <v>11917</v>
      </c>
      <c r="R3596" s="29" t="s">
        <v>611</v>
      </c>
      <c r="S3596" s="26" t="str">
        <f>HYPERLINK("https://miland.ru/api/getInfo/image/76a41186-380d-11ee-a240-00155d82e902")</f>
        <v>https://miland.ru/api/getInfo/image/76a41186-380d-11ee-a240-00155d82e902</v>
      </c>
    </row>
    <row r="3597" spans="1:19" s="2" customFormat="1" ht="96.2" customHeight="1" outlineLevel="7">
      <c r="A3597" s="52">
        <v>2832</v>
      </c>
      <c r="B3597" s="26" t="s">
        <v>11918</v>
      </c>
      <c r="C3597" s="66" t="s">
        <v>11919</v>
      </c>
      <c r="D3597" s="66"/>
      <c r="E3597" s="66"/>
      <c r="F3597" s="66"/>
      <c r="G3597" s="27" t="s">
        <v>11920</v>
      </c>
      <c r="H3597" s="33">
        <v>412</v>
      </c>
      <c r="I3597" s="29"/>
      <c r="J3597" s="25">
        <v>3</v>
      </c>
      <c r="K3597" s="30">
        <v>229.16</v>
      </c>
      <c r="L3597" s="17"/>
      <c r="M3597" s="29">
        <f>K3597*L3597</f>
        <v>0</v>
      </c>
      <c r="N3597" s="34">
        <f>0.17*L3597</f>
        <v>0</v>
      </c>
      <c r="O3597" s="32">
        <f>0.00144*L3597</f>
        <v>0</v>
      </c>
      <c r="P3597" s="36"/>
      <c r="Q3597" s="29" t="s">
        <v>11921</v>
      </c>
      <c r="R3597" s="29" t="s">
        <v>611</v>
      </c>
      <c r="S3597" s="26" t="str">
        <f>HYPERLINK("https://miland.ru/api/getInfo/image/cc8316db-380e-11ee-a240-00155d82e902")</f>
        <v>https://miland.ru/api/getInfo/image/cc8316db-380e-11ee-a240-00155d82e902</v>
      </c>
    </row>
    <row r="3598" spans="1:19" s="1" customFormat="1" ht="12" customHeight="1" outlineLevel="5">
      <c r="A3598" s="64" t="s">
        <v>11922</v>
      </c>
      <c r="B3598" s="64"/>
      <c r="C3598" s="64"/>
      <c r="D3598" s="64"/>
      <c r="E3598" s="64"/>
      <c r="F3598" s="64"/>
      <c r="G3598" s="8"/>
      <c r="H3598" s="12"/>
      <c r="I3598" s="2"/>
      <c r="J3598" s="2"/>
      <c r="K3598" s="13"/>
      <c r="L3598" s="2"/>
      <c r="M3598" s="2"/>
      <c r="N3598" s="2"/>
      <c r="O3598" s="2"/>
      <c r="P3598" s="2"/>
      <c r="Q3598" s="2"/>
      <c r="R3598" s="2"/>
      <c r="S3598" s="2"/>
    </row>
    <row r="3599" spans="1:19" s="1" customFormat="1" ht="12" customHeight="1" outlineLevel="6">
      <c r="A3599" s="64" t="s">
        <v>11923</v>
      </c>
      <c r="B3599" s="64"/>
      <c r="C3599" s="64"/>
      <c r="D3599" s="64"/>
      <c r="E3599" s="64"/>
      <c r="F3599" s="64"/>
      <c r="G3599" s="8"/>
      <c r="H3599" s="12"/>
      <c r="I3599" s="2"/>
      <c r="J3599" s="2"/>
      <c r="K3599" s="13"/>
      <c r="L3599" s="2"/>
      <c r="M3599" s="2"/>
      <c r="N3599" s="2"/>
      <c r="O3599" s="2"/>
      <c r="P3599" s="2"/>
      <c r="Q3599" s="2"/>
      <c r="R3599" s="2"/>
      <c r="S3599" s="2"/>
    </row>
    <row r="3600" spans="1:19" s="2" customFormat="1" ht="96.2" customHeight="1" outlineLevel="7">
      <c r="A3600" s="52">
        <v>2833</v>
      </c>
      <c r="B3600" s="26" t="s">
        <v>11924</v>
      </c>
      <c r="C3600" s="66" t="s">
        <v>11925</v>
      </c>
      <c r="D3600" s="66"/>
      <c r="E3600" s="66"/>
      <c r="F3600" s="66"/>
      <c r="G3600" s="27" t="s">
        <v>11926</v>
      </c>
      <c r="H3600" s="33">
        <v>278</v>
      </c>
      <c r="I3600" s="29"/>
      <c r="J3600" s="25">
        <v>3</v>
      </c>
      <c r="K3600" s="30">
        <v>244.24</v>
      </c>
      <c r="L3600" s="17"/>
      <c r="M3600" s="29">
        <f>K3600*L3600</f>
        <v>0</v>
      </c>
      <c r="N3600" s="31">
        <f>0.157*L3600</f>
        <v>0</v>
      </c>
      <c r="O3600" s="32">
        <f>0.00128*L3600</f>
        <v>0</v>
      </c>
      <c r="P3600" s="36"/>
      <c r="Q3600" s="29" t="s">
        <v>11927</v>
      </c>
      <c r="R3600" s="29"/>
      <c r="S3600" s="26" t="str">
        <f>HYPERLINK("https://miland.ru/api/getInfo/image/1ea7386c-380a-11ee-a240-00155d82e902")</f>
        <v>https://miland.ru/api/getInfo/image/1ea7386c-380a-11ee-a240-00155d82e902</v>
      </c>
    </row>
    <row r="3601" spans="1:19" s="2" customFormat="1" ht="96.2" customHeight="1" outlineLevel="7">
      <c r="A3601" s="52">
        <v>2834</v>
      </c>
      <c r="B3601" s="26" t="s">
        <v>11928</v>
      </c>
      <c r="C3601" s="66" t="s">
        <v>11929</v>
      </c>
      <c r="D3601" s="66"/>
      <c r="E3601" s="66"/>
      <c r="F3601" s="66"/>
      <c r="G3601" s="27" t="s">
        <v>11930</v>
      </c>
      <c r="H3601" s="33">
        <v>421</v>
      </c>
      <c r="I3601" s="29"/>
      <c r="J3601" s="25">
        <v>3</v>
      </c>
      <c r="K3601" s="30">
        <v>244.24</v>
      </c>
      <c r="L3601" s="17"/>
      <c r="M3601" s="29">
        <f>K3601*L3601</f>
        <v>0</v>
      </c>
      <c r="N3601" s="31">
        <f>0.155*L3601</f>
        <v>0</v>
      </c>
      <c r="O3601" s="32">
        <f>0.00118*L3601</f>
        <v>0</v>
      </c>
      <c r="P3601" s="36"/>
      <c r="Q3601" s="29" t="s">
        <v>11931</v>
      </c>
      <c r="R3601" s="29"/>
      <c r="S3601" s="26" t="str">
        <f>HYPERLINK("https://miland.ru/api/getInfo/image/ff01b4b9-3809-11ee-a240-00155d82e902")</f>
        <v>https://miland.ru/api/getInfo/image/ff01b4b9-3809-11ee-a240-00155d82e902</v>
      </c>
    </row>
    <row r="3602" spans="1:19" s="1" customFormat="1" ht="12" customHeight="1" outlineLevel="5">
      <c r="A3602" s="64" t="s">
        <v>11932</v>
      </c>
      <c r="B3602" s="64"/>
      <c r="C3602" s="64"/>
      <c r="D3602" s="64"/>
      <c r="E3602" s="64"/>
      <c r="F3602" s="64"/>
      <c r="G3602" s="8"/>
      <c r="H3602" s="12"/>
      <c r="I3602" s="2"/>
      <c r="J3602" s="2"/>
      <c r="K3602" s="13"/>
      <c r="L3602" s="2"/>
      <c r="M3602" s="2"/>
      <c r="N3602" s="2"/>
      <c r="O3602" s="2"/>
      <c r="P3602" s="2"/>
      <c r="Q3602" s="2"/>
      <c r="R3602" s="2"/>
      <c r="S3602" s="2"/>
    </row>
    <row r="3603" spans="1:19" s="1" customFormat="1" ht="12" customHeight="1" outlineLevel="6">
      <c r="A3603" s="64" t="s">
        <v>11909</v>
      </c>
      <c r="B3603" s="64"/>
      <c r="C3603" s="64"/>
      <c r="D3603" s="64"/>
      <c r="E3603" s="64"/>
      <c r="F3603" s="64"/>
      <c r="G3603" s="8"/>
      <c r="H3603" s="12"/>
      <c r="I3603" s="2"/>
      <c r="J3603" s="2"/>
      <c r="K3603" s="13"/>
      <c r="L3603" s="2"/>
      <c r="M3603" s="2"/>
      <c r="N3603" s="2"/>
      <c r="O3603" s="2"/>
      <c r="P3603" s="2"/>
      <c r="Q3603" s="2"/>
      <c r="R3603" s="2"/>
      <c r="S3603" s="2"/>
    </row>
    <row r="3604" spans="1:19" s="2" customFormat="1" ht="96.2" customHeight="1" outlineLevel="7">
      <c r="A3604" s="52">
        <v>2835</v>
      </c>
      <c r="B3604" s="26" t="s">
        <v>11933</v>
      </c>
      <c r="C3604" s="66" t="s">
        <v>11934</v>
      </c>
      <c r="D3604" s="66"/>
      <c r="E3604" s="66"/>
      <c r="F3604" s="66"/>
      <c r="G3604" s="27" t="s">
        <v>11935</v>
      </c>
      <c r="H3604" s="33">
        <v>5</v>
      </c>
      <c r="I3604" s="29"/>
      <c r="J3604" s="25">
        <v>1</v>
      </c>
      <c r="K3604" s="30">
        <v>600</v>
      </c>
      <c r="L3604" s="17"/>
      <c r="M3604" s="29">
        <f>K3604*L3604</f>
        <v>0</v>
      </c>
      <c r="N3604" s="31">
        <f>0.632*L3604</f>
        <v>0</v>
      </c>
      <c r="O3604" s="32">
        <f>0.00204*L3604</f>
        <v>0</v>
      </c>
      <c r="P3604" s="36"/>
      <c r="Q3604" s="29" t="s">
        <v>11936</v>
      </c>
      <c r="R3604" s="29" t="s">
        <v>611</v>
      </c>
      <c r="S3604" s="26" t="str">
        <f>HYPERLINK("https://miland.ru/api/getInfo/image/e734abf3-377f-11ee-a240-00155d82e902")</f>
        <v>https://miland.ru/api/getInfo/image/e734abf3-377f-11ee-a240-00155d82e902</v>
      </c>
    </row>
    <row r="3605" spans="1:19" s="2" customFormat="1" ht="96.2" customHeight="1" outlineLevel="7">
      <c r="A3605" s="52">
        <v>2836</v>
      </c>
      <c r="B3605" s="26" t="s">
        <v>11937</v>
      </c>
      <c r="C3605" s="66" t="s">
        <v>11938</v>
      </c>
      <c r="D3605" s="66"/>
      <c r="E3605" s="66"/>
      <c r="F3605" s="66"/>
      <c r="G3605" s="27" t="s">
        <v>11939</v>
      </c>
      <c r="H3605" s="33">
        <v>354</v>
      </c>
      <c r="I3605" s="29"/>
      <c r="J3605" s="25">
        <v>1</v>
      </c>
      <c r="K3605" s="30">
        <v>600</v>
      </c>
      <c r="L3605" s="17"/>
      <c r="M3605" s="29">
        <f>K3605*L3605</f>
        <v>0</v>
      </c>
      <c r="N3605" s="31">
        <f>0.737*L3605</f>
        <v>0</v>
      </c>
      <c r="O3605" s="32">
        <f>0.00363*L3605</f>
        <v>0</v>
      </c>
      <c r="P3605" s="36"/>
      <c r="Q3605" s="29" t="s">
        <v>11940</v>
      </c>
      <c r="R3605" s="29"/>
      <c r="S3605" s="26" t="str">
        <f>HYPERLINK("https://miland.ru/api/getInfo/image/1038b1fc-3780-11ee-a240-00155d82e902")</f>
        <v>https://miland.ru/api/getInfo/image/1038b1fc-3780-11ee-a240-00155d82e902</v>
      </c>
    </row>
    <row r="3606" spans="1:19" s="2" customFormat="1" ht="96.2" customHeight="1" outlineLevel="7">
      <c r="A3606" s="52">
        <v>2837</v>
      </c>
      <c r="B3606" s="26" t="s">
        <v>11941</v>
      </c>
      <c r="C3606" s="66" t="s">
        <v>11942</v>
      </c>
      <c r="D3606" s="66"/>
      <c r="E3606" s="66"/>
      <c r="F3606" s="66"/>
      <c r="G3606" s="27" t="s">
        <v>11943</v>
      </c>
      <c r="H3606" s="33">
        <v>407</v>
      </c>
      <c r="I3606" s="29"/>
      <c r="J3606" s="25">
        <v>1</v>
      </c>
      <c r="K3606" s="30">
        <v>600</v>
      </c>
      <c r="L3606" s="17"/>
      <c r="M3606" s="29">
        <f>K3606*L3606</f>
        <v>0</v>
      </c>
      <c r="N3606" s="31">
        <f>0.732*L3606</f>
        <v>0</v>
      </c>
      <c r="O3606" s="32">
        <f>0.00374*L3606</f>
        <v>0</v>
      </c>
      <c r="P3606" s="36"/>
      <c r="Q3606" s="29" t="s">
        <v>11944</v>
      </c>
      <c r="R3606" s="29"/>
      <c r="S3606" s="26" t="str">
        <f>HYPERLINK("https://miland.ru/api/getInfo/image/4f5912f2-3782-11ee-a240-00155d82e902")</f>
        <v>https://miland.ru/api/getInfo/image/4f5912f2-3782-11ee-a240-00155d82e902</v>
      </c>
    </row>
    <row r="3607" spans="1:19" s="1" customFormat="1" ht="12" customHeight="1" outlineLevel="6">
      <c r="A3607" s="64" t="s">
        <v>11923</v>
      </c>
      <c r="B3607" s="64"/>
      <c r="C3607" s="64"/>
      <c r="D3607" s="64"/>
      <c r="E3607" s="64"/>
      <c r="F3607" s="64"/>
      <c r="G3607" s="8"/>
      <c r="H3607" s="12"/>
      <c r="I3607" s="2"/>
      <c r="J3607" s="2"/>
      <c r="K3607" s="13"/>
      <c r="L3607" s="2"/>
      <c r="M3607" s="2"/>
      <c r="N3607" s="2"/>
      <c r="O3607" s="2"/>
      <c r="P3607" s="2"/>
      <c r="Q3607" s="2"/>
      <c r="R3607" s="2"/>
      <c r="S3607" s="2"/>
    </row>
    <row r="3608" spans="1:19" s="2" customFormat="1" ht="96.2" customHeight="1" outlineLevel="7">
      <c r="A3608" s="52">
        <v>2838</v>
      </c>
      <c r="B3608" s="26" t="s">
        <v>11945</v>
      </c>
      <c r="C3608" s="66" t="s">
        <v>11946</v>
      </c>
      <c r="D3608" s="66"/>
      <c r="E3608" s="66"/>
      <c r="F3608" s="66"/>
      <c r="G3608" s="27" t="s">
        <v>11947</v>
      </c>
      <c r="H3608" s="33">
        <v>167</v>
      </c>
      <c r="I3608" s="29"/>
      <c r="J3608" s="25">
        <v>2</v>
      </c>
      <c r="K3608" s="30">
        <v>277.41000000000003</v>
      </c>
      <c r="L3608" s="17"/>
      <c r="M3608" s="29">
        <f>K3608*L3608</f>
        <v>0</v>
      </c>
      <c r="N3608" s="31">
        <f>0.228*L3608</f>
        <v>0</v>
      </c>
      <c r="O3608" s="32">
        <f>0.00206*L3608</f>
        <v>0</v>
      </c>
      <c r="P3608" s="36"/>
      <c r="Q3608" s="29" t="s">
        <v>11948</v>
      </c>
      <c r="R3608" s="29" t="s">
        <v>611</v>
      </c>
      <c r="S3608" s="26" t="str">
        <f>HYPERLINK("https://miland.ru/api/getInfo/image/06c70c38-380b-11ee-a240-00155d82e902")</f>
        <v>https://miland.ru/api/getInfo/image/06c70c38-380b-11ee-a240-00155d82e902</v>
      </c>
    </row>
    <row r="3609" spans="1:19" s="2" customFormat="1" ht="96.2" customHeight="1" outlineLevel="7">
      <c r="A3609" s="52">
        <v>2839</v>
      </c>
      <c r="B3609" s="26" t="s">
        <v>11949</v>
      </c>
      <c r="C3609" s="66" t="s">
        <v>11950</v>
      </c>
      <c r="D3609" s="66"/>
      <c r="E3609" s="66"/>
      <c r="F3609" s="66"/>
      <c r="G3609" s="27" t="s">
        <v>11951</v>
      </c>
      <c r="H3609" s="33">
        <v>35</v>
      </c>
      <c r="I3609" s="29"/>
      <c r="J3609" s="25">
        <v>2</v>
      </c>
      <c r="K3609" s="30">
        <v>277.41000000000003</v>
      </c>
      <c r="L3609" s="17"/>
      <c r="M3609" s="29">
        <f>K3609*L3609</f>
        <v>0</v>
      </c>
      <c r="N3609" s="31">
        <f>0.177*L3609</f>
        <v>0</v>
      </c>
      <c r="O3609" s="32">
        <f>0.00105*L3609</f>
        <v>0</v>
      </c>
      <c r="P3609" s="36"/>
      <c r="Q3609" s="29" t="s">
        <v>11952</v>
      </c>
      <c r="R3609" s="29" t="s">
        <v>611</v>
      </c>
      <c r="S3609" s="26" t="str">
        <f>HYPERLINK("https://miland.ru/api/getInfo/image/ddd23ff9-380b-11ee-a240-00155d82e902")</f>
        <v>https://miland.ru/api/getInfo/image/ddd23ff9-380b-11ee-a240-00155d82e902</v>
      </c>
    </row>
    <row r="3610" spans="1:19" s="1" customFormat="1" ht="12" customHeight="1" outlineLevel="5">
      <c r="A3610" s="64" t="s">
        <v>11953</v>
      </c>
      <c r="B3610" s="64"/>
      <c r="C3610" s="64"/>
      <c r="D3610" s="64"/>
      <c r="E3610" s="64"/>
      <c r="F3610" s="64"/>
      <c r="G3610" s="8"/>
      <c r="H3610" s="12"/>
      <c r="I3610" s="2"/>
      <c r="J3610" s="2"/>
      <c r="K3610" s="13"/>
      <c r="L3610" s="2"/>
      <c r="M3610" s="2"/>
      <c r="N3610" s="2"/>
      <c r="O3610" s="2"/>
      <c r="P3610" s="2"/>
      <c r="Q3610" s="2"/>
      <c r="R3610" s="2"/>
      <c r="S3610" s="2"/>
    </row>
    <row r="3611" spans="1:19" s="1" customFormat="1" ht="12" customHeight="1" outlineLevel="6">
      <c r="A3611" s="64" t="s">
        <v>11954</v>
      </c>
      <c r="B3611" s="64"/>
      <c r="C3611" s="64"/>
      <c r="D3611" s="64"/>
      <c r="E3611" s="64"/>
      <c r="F3611" s="64"/>
      <c r="G3611" s="8"/>
      <c r="H3611" s="12"/>
      <c r="I3611" s="2"/>
      <c r="J3611" s="2"/>
      <c r="K3611" s="13"/>
      <c r="L3611" s="2"/>
      <c r="M3611" s="2"/>
      <c r="N3611" s="2"/>
      <c r="O3611" s="2"/>
      <c r="P3611" s="2"/>
      <c r="Q3611" s="2"/>
      <c r="R3611" s="2"/>
      <c r="S3611" s="2"/>
    </row>
    <row r="3612" spans="1:19" s="2" customFormat="1" ht="96.2" customHeight="1" outlineLevel="7">
      <c r="A3612" s="52">
        <v>2840</v>
      </c>
      <c r="B3612" s="26" t="s">
        <v>11955</v>
      </c>
      <c r="C3612" s="66" t="s">
        <v>11956</v>
      </c>
      <c r="D3612" s="66"/>
      <c r="E3612" s="66"/>
      <c r="F3612" s="66"/>
      <c r="G3612" s="27" t="s">
        <v>11957</v>
      </c>
      <c r="H3612" s="33">
        <v>441</v>
      </c>
      <c r="I3612" s="29"/>
      <c r="J3612" s="25">
        <v>1</v>
      </c>
      <c r="K3612" s="30">
        <v>540.03</v>
      </c>
      <c r="L3612" s="17"/>
      <c r="M3612" s="29">
        <f>K3612*L3612</f>
        <v>0</v>
      </c>
      <c r="N3612" s="31">
        <f>0.516*L3612</f>
        <v>0</v>
      </c>
      <c r="O3612" s="32">
        <f>0.00266*L3612</f>
        <v>0</v>
      </c>
      <c r="P3612" s="36"/>
      <c r="Q3612" s="29" t="s">
        <v>11958</v>
      </c>
      <c r="R3612" s="29"/>
      <c r="S3612" s="26" t="str">
        <f>HYPERLINK("https://miland.ru/api/getInfo/image/2d3b726b-b7e0-11eb-a205-ac1f6b442185")</f>
        <v>https://miland.ru/api/getInfo/image/2d3b726b-b7e0-11eb-a205-ac1f6b442185</v>
      </c>
    </row>
    <row r="3613" spans="1:19" s="2" customFormat="1" ht="96.2" customHeight="1" outlineLevel="7">
      <c r="A3613" s="52">
        <v>2841</v>
      </c>
      <c r="B3613" s="26" t="s">
        <v>11959</v>
      </c>
      <c r="C3613" s="66" t="s">
        <v>11960</v>
      </c>
      <c r="D3613" s="66"/>
      <c r="E3613" s="66"/>
      <c r="F3613" s="66"/>
      <c r="G3613" s="27" t="s">
        <v>11961</v>
      </c>
      <c r="H3613" s="33">
        <v>323</v>
      </c>
      <c r="I3613" s="29"/>
      <c r="J3613" s="25">
        <v>1</v>
      </c>
      <c r="K3613" s="30">
        <v>588.42999999999995</v>
      </c>
      <c r="L3613" s="17"/>
      <c r="M3613" s="29">
        <f>K3613*L3613</f>
        <v>0</v>
      </c>
      <c r="N3613" s="31">
        <f>0.242*L3613</f>
        <v>0</v>
      </c>
      <c r="O3613" s="32">
        <f>0.00174*L3613</f>
        <v>0</v>
      </c>
      <c r="P3613" s="36"/>
      <c r="Q3613" s="29" t="s">
        <v>11962</v>
      </c>
      <c r="R3613" s="29"/>
      <c r="S3613" s="26" t="str">
        <f>HYPERLINK("https://miland.ru/api/getInfo/image/f3a1f6ef-0174-11ef-a25d-00155d82e908")</f>
        <v>https://miland.ru/api/getInfo/image/f3a1f6ef-0174-11ef-a25d-00155d82e908</v>
      </c>
    </row>
    <row r="3614" spans="1:19" s="1" customFormat="1" ht="12" customHeight="1" outlineLevel="6">
      <c r="A3614" s="64" t="s">
        <v>11963</v>
      </c>
      <c r="B3614" s="64"/>
      <c r="C3614" s="64"/>
      <c r="D3614" s="64"/>
      <c r="E3614" s="64"/>
      <c r="F3614" s="64"/>
      <c r="G3614" s="8"/>
      <c r="H3614" s="12"/>
      <c r="I3614" s="2"/>
      <c r="J3614" s="2"/>
      <c r="K3614" s="13"/>
      <c r="L3614" s="2"/>
      <c r="M3614" s="2"/>
      <c r="N3614" s="2"/>
      <c r="O3614" s="2"/>
      <c r="P3614" s="2"/>
      <c r="Q3614" s="2"/>
      <c r="R3614" s="2"/>
      <c r="S3614" s="2"/>
    </row>
    <row r="3615" spans="1:19" s="2" customFormat="1" ht="96.2" customHeight="1" outlineLevel="7">
      <c r="A3615" s="52">
        <v>2842</v>
      </c>
      <c r="B3615" s="26" t="s">
        <v>11964</v>
      </c>
      <c r="C3615" s="66" t="s">
        <v>11965</v>
      </c>
      <c r="D3615" s="66"/>
      <c r="E3615" s="66"/>
      <c r="F3615" s="66"/>
      <c r="G3615" s="27" t="s">
        <v>11966</v>
      </c>
      <c r="H3615" s="33">
        <v>192</v>
      </c>
      <c r="I3615" s="29"/>
      <c r="J3615" s="25">
        <v>2</v>
      </c>
      <c r="K3615" s="30">
        <v>289.45999999999998</v>
      </c>
      <c r="L3615" s="17"/>
      <c r="M3615" s="29">
        <f t="shared" ref="M3615:M3624" si="171">K3615*L3615</f>
        <v>0</v>
      </c>
      <c r="N3615" s="31">
        <f>0.238*L3615</f>
        <v>0</v>
      </c>
      <c r="O3615" s="32">
        <f>0.00178*L3615</f>
        <v>0</v>
      </c>
      <c r="P3615" s="36"/>
      <c r="Q3615" s="29" t="s">
        <v>11967</v>
      </c>
      <c r="R3615" s="29"/>
      <c r="S3615" s="26" t="str">
        <f>HYPERLINK("https://miland.ru/api/getInfo/image/4bf99848-3765-11ee-a240-00155d82e902")</f>
        <v>https://miland.ru/api/getInfo/image/4bf99848-3765-11ee-a240-00155d82e902</v>
      </c>
    </row>
    <row r="3616" spans="1:19" s="2" customFormat="1" ht="96.2" customHeight="1" outlineLevel="7">
      <c r="A3616" s="52">
        <v>2843</v>
      </c>
      <c r="B3616" s="26" t="s">
        <v>11968</v>
      </c>
      <c r="C3616" s="66" t="s">
        <v>11969</v>
      </c>
      <c r="D3616" s="66"/>
      <c r="E3616" s="66"/>
      <c r="F3616" s="66"/>
      <c r="G3616" s="27" t="s">
        <v>11970</v>
      </c>
      <c r="H3616" s="33">
        <v>408</v>
      </c>
      <c r="I3616" s="29"/>
      <c r="J3616" s="25">
        <v>2</v>
      </c>
      <c r="K3616" s="30">
        <v>289.45999999999998</v>
      </c>
      <c r="L3616" s="17"/>
      <c r="M3616" s="29">
        <f t="shared" si="171"/>
        <v>0</v>
      </c>
      <c r="N3616" s="31">
        <f>0.236*L3616</f>
        <v>0</v>
      </c>
      <c r="O3616" s="32">
        <f>0.00175*L3616</f>
        <v>0</v>
      </c>
      <c r="P3616" s="36"/>
      <c r="Q3616" s="29" t="s">
        <v>11971</v>
      </c>
      <c r="R3616" s="29"/>
      <c r="S3616" s="26" t="str">
        <f>HYPERLINK("https://miland.ru/api/getInfo/image/aad9730f-3765-11ee-a240-00155d82e902")</f>
        <v>https://miland.ru/api/getInfo/image/aad9730f-3765-11ee-a240-00155d82e902</v>
      </c>
    </row>
    <row r="3617" spans="1:19" s="2" customFormat="1" ht="96.2" customHeight="1" outlineLevel="7">
      <c r="A3617" s="52">
        <v>2844</v>
      </c>
      <c r="B3617" s="26" t="s">
        <v>11972</v>
      </c>
      <c r="C3617" s="66" t="s">
        <v>11973</v>
      </c>
      <c r="D3617" s="66"/>
      <c r="E3617" s="66"/>
      <c r="F3617" s="66"/>
      <c r="G3617" s="27" t="s">
        <v>11974</v>
      </c>
      <c r="H3617" s="28" t="s">
        <v>44</v>
      </c>
      <c r="I3617" s="29"/>
      <c r="J3617" s="25">
        <v>2</v>
      </c>
      <c r="K3617" s="30">
        <v>289.45999999999998</v>
      </c>
      <c r="L3617" s="17"/>
      <c r="M3617" s="29">
        <f t="shared" si="171"/>
        <v>0</v>
      </c>
      <c r="N3617" s="31">
        <f>0.229*L3617</f>
        <v>0</v>
      </c>
      <c r="O3617" s="32">
        <f>0.00175*L3617</f>
        <v>0</v>
      </c>
      <c r="P3617" s="36"/>
      <c r="Q3617" s="29" t="s">
        <v>11975</v>
      </c>
      <c r="R3617" s="29"/>
      <c r="S3617" s="26" t="str">
        <f>HYPERLINK("https://miland.ru/api/getInfo/image/27d6e512-3765-11ee-a240-00155d82e902")</f>
        <v>https://miland.ru/api/getInfo/image/27d6e512-3765-11ee-a240-00155d82e902</v>
      </c>
    </row>
    <row r="3618" spans="1:19" s="2" customFormat="1" ht="96.2" customHeight="1" outlineLevel="7">
      <c r="A3618" s="52">
        <v>2845</v>
      </c>
      <c r="B3618" s="26" t="s">
        <v>11976</v>
      </c>
      <c r="C3618" s="66" t="s">
        <v>11977</v>
      </c>
      <c r="D3618" s="66"/>
      <c r="E3618" s="66"/>
      <c r="F3618" s="66"/>
      <c r="G3618" s="27" t="s">
        <v>11978</v>
      </c>
      <c r="H3618" s="33">
        <v>440</v>
      </c>
      <c r="I3618" s="29"/>
      <c r="J3618" s="25">
        <v>2</v>
      </c>
      <c r="K3618" s="30">
        <v>289.45999999999998</v>
      </c>
      <c r="L3618" s="17"/>
      <c r="M3618" s="29">
        <f t="shared" si="171"/>
        <v>0</v>
      </c>
      <c r="N3618" s="34">
        <f>0.24*L3618</f>
        <v>0</v>
      </c>
      <c r="O3618" s="32">
        <f>0.00174*L3618</f>
        <v>0</v>
      </c>
      <c r="P3618" s="36"/>
      <c r="Q3618" s="29" t="s">
        <v>11979</v>
      </c>
      <c r="R3618" s="29"/>
      <c r="S3618" s="26" t="str">
        <f>HYPERLINK("https://miland.ru/api/getInfo/image/69f91b07-3765-11ee-a240-00155d82e902")</f>
        <v>https://miland.ru/api/getInfo/image/69f91b07-3765-11ee-a240-00155d82e902</v>
      </c>
    </row>
    <row r="3619" spans="1:19" s="2" customFormat="1" ht="96.2" customHeight="1" outlineLevel="7">
      <c r="A3619" s="52">
        <v>2846</v>
      </c>
      <c r="B3619" s="26" t="s">
        <v>11980</v>
      </c>
      <c r="C3619" s="66" t="s">
        <v>11981</v>
      </c>
      <c r="D3619" s="66"/>
      <c r="E3619" s="66"/>
      <c r="F3619" s="66"/>
      <c r="G3619" s="27" t="s">
        <v>11982</v>
      </c>
      <c r="H3619" s="33">
        <v>269</v>
      </c>
      <c r="I3619" s="29"/>
      <c r="J3619" s="25">
        <v>2</v>
      </c>
      <c r="K3619" s="30">
        <v>289.45999999999998</v>
      </c>
      <c r="L3619" s="17"/>
      <c r="M3619" s="29">
        <f t="shared" si="171"/>
        <v>0</v>
      </c>
      <c r="N3619" s="31">
        <f>0.233*L3619</f>
        <v>0</v>
      </c>
      <c r="O3619" s="32">
        <f>0.00171*L3619</f>
        <v>0</v>
      </c>
      <c r="P3619" s="36"/>
      <c r="Q3619" s="29" t="s">
        <v>11983</v>
      </c>
      <c r="R3619" s="29"/>
      <c r="S3619" s="26" t="str">
        <f>HYPERLINK("https://miland.ru/api/getInfo/image/d93462ce-3766-11ee-a240-00155d82e902")</f>
        <v>https://miland.ru/api/getInfo/image/d93462ce-3766-11ee-a240-00155d82e902</v>
      </c>
    </row>
    <row r="3620" spans="1:19" s="2" customFormat="1" ht="96.2" customHeight="1" outlineLevel="7">
      <c r="A3620" s="52">
        <v>2847</v>
      </c>
      <c r="B3620" s="26" t="s">
        <v>11984</v>
      </c>
      <c r="C3620" s="66" t="s">
        <v>11985</v>
      </c>
      <c r="D3620" s="66"/>
      <c r="E3620" s="66"/>
      <c r="F3620" s="66"/>
      <c r="G3620" s="27" t="s">
        <v>11986</v>
      </c>
      <c r="H3620" s="33">
        <v>1</v>
      </c>
      <c r="I3620" s="29"/>
      <c r="J3620" s="25">
        <v>1</v>
      </c>
      <c r="K3620" s="30">
        <v>289.45999999999998</v>
      </c>
      <c r="L3620" s="17"/>
      <c r="M3620" s="29">
        <f t="shared" si="171"/>
        <v>0</v>
      </c>
      <c r="N3620" s="31">
        <f>0.195*L3620</f>
        <v>0</v>
      </c>
      <c r="O3620" s="32">
        <f>0.00098*L3620</f>
        <v>0</v>
      </c>
      <c r="P3620" s="36"/>
      <c r="Q3620" s="29" t="s">
        <v>11987</v>
      </c>
      <c r="R3620" s="29" t="s">
        <v>611</v>
      </c>
      <c r="S3620" s="26" t="str">
        <f>HYPERLINK("https://miland.ru/api/getInfo/image/f9f3408b-3766-11ee-a240-00155d82e902")</f>
        <v>https://miland.ru/api/getInfo/image/f9f3408b-3766-11ee-a240-00155d82e902</v>
      </c>
    </row>
    <row r="3621" spans="1:19" s="2" customFormat="1" ht="96.2" customHeight="1" outlineLevel="7">
      <c r="A3621" s="52">
        <v>2848</v>
      </c>
      <c r="B3621" s="26" t="s">
        <v>11988</v>
      </c>
      <c r="C3621" s="66" t="s">
        <v>11989</v>
      </c>
      <c r="D3621" s="66"/>
      <c r="E3621" s="66"/>
      <c r="F3621" s="66"/>
      <c r="G3621" s="27" t="s">
        <v>11990</v>
      </c>
      <c r="H3621" s="33">
        <v>415</v>
      </c>
      <c r="I3621" s="29"/>
      <c r="J3621" s="25">
        <v>2</v>
      </c>
      <c r="K3621" s="30">
        <v>289.45999999999998</v>
      </c>
      <c r="L3621" s="17"/>
      <c r="M3621" s="29">
        <f t="shared" si="171"/>
        <v>0</v>
      </c>
      <c r="N3621" s="31">
        <f>0.238*L3621</f>
        <v>0</v>
      </c>
      <c r="O3621" s="35">
        <f>0.0017*L3621</f>
        <v>0</v>
      </c>
      <c r="P3621" s="36"/>
      <c r="Q3621" s="29" t="s">
        <v>11991</v>
      </c>
      <c r="R3621" s="29"/>
      <c r="S3621" s="26" t="str">
        <f>HYPERLINK("https://miland.ru/api/getInfo/image/9505a6b8-3766-11ee-a240-00155d82e902")</f>
        <v>https://miland.ru/api/getInfo/image/9505a6b8-3766-11ee-a240-00155d82e902</v>
      </c>
    </row>
    <row r="3622" spans="1:19" s="2" customFormat="1" ht="96.2" customHeight="1" outlineLevel="7">
      <c r="A3622" s="52">
        <v>2849</v>
      </c>
      <c r="B3622" s="26" t="s">
        <v>11992</v>
      </c>
      <c r="C3622" s="66" t="s">
        <v>11993</v>
      </c>
      <c r="D3622" s="66"/>
      <c r="E3622" s="66"/>
      <c r="F3622" s="66"/>
      <c r="G3622" s="27" t="s">
        <v>11994</v>
      </c>
      <c r="H3622" s="33">
        <v>290</v>
      </c>
      <c r="I3622" s="29"/>
      <c r="J3622" s="25">
        <v>2</v>
      </c>
      <c r="K3622" s="30">
        <v>289.45999999999998</v>
      </c>
      <c r="L3622" s="17"/>
      <c r="M3622" s="29">
        <f t="shared" si="171"/>
        <v>0</v>
      </c>
      <c r="N3622" s="31">
        <f>0.231*L3622</f>
        <v>0</v>
      </c>
      <c r="O3622" s="32">
        <f>0.00166*L3622</f>
        <v>0</v>
      </c>
      <c r="P3622" s="36"/>
      <c r="Q3622" s="29" t="s">
        <v>11995</v>
      </c>
      <c r="R3622" s="29"/>
      <c r="S3622" s="26" t="str">
        <f>HYPERLINK("https://miland.ru/api/getInfo/image/cacb3869-3765-11ee-a240-00155d82e902")</f>
        <v>https://miland.ru/api/getInfo/image/cacb3869-3765-11ee-a240-00155d82e902</v>
      </c>
    </row>
    <row r="3623" spans="1:19" s="2" customFormat="1" ht="96.2" customHeight="1" outlineLevel="7">
      <c r="A3623" s="52">
        <v>2850</v>
      </c>
      <c r="B3623" s="26" t="s">
        <v>11996</v>
      </c>
      <c r="C3623" s="66" t="s">
        <v>11997</v>
      </c>
      <c r="D3623" s="66"/>
      <c r="E3623" s="66"/>
      <c r="F3623" s="66"/>
      <c r="G3623" s="27" t="s">
        <v>11998</v>
      </c>
      <c r="H3623" s="33">
        <v>344</v>
      </c>
      <c r="I3623" s="29"/>
      <c r="J3623" s="25">
        <v>2</v>
      </c>
      <c r="K3623" s="30">
        <v>289.45999999999998</v>
      </c>
      <c r="L3623" s="17"/>
      <c r="M3623" s="29">
        <f t="shared" si="171"/>
        <v>0</v>
      </c>
      <c r="N3623" s="31">
        <f>0.242*L3623</f>
        <v>0</v>
      </c>
      <c r="O3623" s="32">
        <f>0.00172*L3623</f>
        <v>0</v>
      </c>
      <c r="P3623" s="36"/>
      <c r="Q3623" s="29" t="s">
        <v>11999</v>
      </c>
      <c r="R3623" s="29"/>
      <c r="S3623" s="26" t="str">
        <f>HYPERLINK("https://miland.ru/api/getInfo/image/2c8488a1-3766-11ee-a240-00155d82e902")</f>
        <v>https://miland.ru/api/getInfo/image/2c8488a1-3766-11ee-a240-00155d82e902</v>
      </c>
    </row>
    <row r="3624" spans="1:19" s="2" customFormat="1" ht="96.2" customHeight="1" outlineLevel="7">
      <c r="A3624" s="52">
        <v>2851</v>
      </c>
      <c r="B3624" s="26" t="s">
        <v>12000</v>
      </c>
      <c r="C3624" s="66" t="s">
        <v>12001</v>
      </c>
      <c r="D3624" s="66"/>
      <c r="E3624" s="66"/>
      <c r="F3624" s="66"/>
      <c r="G3624" s="27" t="s">
        <v>12002</v>
      </c>
      <c r="H3624" s="33">
        <v>408</v>
      </c>
      <c r="I3624" s="29"/>
      <c r="J3624" s="25">
        <v>2</v>
      </c>
      <c r="K3624" s="30">
        <v>289.45999999999998</v>
      </c>
      <c r="L3624" s="17"/>
      <c r="M3624" s="29">
        <f t="shared" si="171"/>
        <v>0</v>
      </c>
      <c r="N3624" s="31">
        <f>0.239*L3624</f>
        <v>0</v>
      </c>
      <c r="O3624" s="32">
        <f>0.00167*L3624</f>
        <v>0</v>
      </c>
      <c r="P3624" s="36"/>
      <c r="Q3624" s="29" t="s">
        <v>12003</v>
      </c>
      <c r="R3624" s="29"/>
      <c r="S3624" s="26" t="str">
        <f>HYPERLINK("https://miland.ru/api/getInfo/image/e67a9274-3764-11ee-a240-00155d82e902")</f>
        <v>https://miland.ru/api/getInfo/image/e67a9274-3764-11ee-a240-00155d82e902</v>
      </c>
    </row>
    <row r="3625" spans="1:19" s="1" customFormat="1" ht="12" customHeight="1" outlineLevel="5">
      <c r="A3625" s="64" t="s">
        <v>12004</v>
      </c>
      <c r="B3625" s="64"/>
      <c r="C3625" s="64"/>
      <c r="D3625" s="64"/>
      <c r="E3625" s="64"/>
      <c r="F3625" s="64"/>
      <c r="G3625" s="8"/>
      <c r="H3625" s="12"/>
      <c r="I3625" s="2"/>
      <c r="J3625" s="2"/>
      <c r="K3625" s="13"/>
      <c r="L3625" s="2"/>
      <c r="M3625" s="2"/>
      <c r="N3625" s="2"/>
      <c r="O3625" s="2"/>
      <c r="P3625" s="2"/>
      <c r="Q3625" s="2"/>
      <c r="R3625" s="2"/>
      <c r="S3625" s="2"/>
    </row>
    <row r="3626" spans="1:19" s="1" customFormat="1" ht="12" customHeight="1" outlineLevel="6">
      <c r="A3626" s="64" t="s">
        <v>11909</v>
      </c>
      <c r="B3626" s="64"/>
      <c r="C3626" s="64"/>
      <c r="D3626" s="64"/>
      <c r="E3626" s="64"/>
      <c r="F3626" s="64"/>
      <c r="G3626" s="8"/>
      <c r="H3626" s="12"/>
      <c r="I3626" s="2"/>
      <c r="J3626" s="2"/>
      <c r="K3626" s="13"/>
      <c r="L3626" s="2"/>
      <c r="M3626" s="2"/>
      <c r="N3626" s="2"/>
      <c r="O3626" s="2"/>
      <c r="P3626" s="2"/>
      <c r="Q3626" s="2"/>
      <c r="R3626" s="2"/>
      <c r="S3626" s="2"/>
    </row>
    <row r="3627" spans="1:19" s="2" customFormat="1" ht="96.2" customHeight="1" outlineLevel="7">
      <c r="A3627" s="52">
        <v>2852</v>
      </c>
      <c r="B3627" s="26" t="s">
        <v>12005</v>
      </c>
      <c r="C3627" s="66" t="s">
        <v>12006</v>
      </c>
      <c r="D3627" s="66"/>
      <c r="E3627" s="66"/>
      <c r="F3627" s="66"/>
      <c r="G3627" s="27" t="s">
        <v>12007</v>
      </c>
      <c r="H3627" s="33">
        <v>4</v>
      </c>
      <c r="I3627" s="29"/>
      <c r="J3627" s="25">
        <v>1</v>
      </c>
      <c r="K3627" s="37">
        <v>1560.56</v>
      </c>
      <c r="L3627" s="17"/>
      <c r="M3627" s="29">
        <f>K3627*L3627</f>
        <v>0</v>
      </c>
      <c r="N3627" s="31">
        <f>0.925*L3627</f>
        <v>0</v>
      </c>
      <c r="O3627" s="32">
        <f>0.00338*L3627</f>
        <v>0</v>
      </c>
      <c r="P3627" s="36"/>
      <c r="Q3627" s="29" t="s">
        <v>12008</v>
      </c>
      <c r="R3627" s="29" t="s">
        <v>611</v>
      </c>
      <c r="S3627" s="26" t="str">
        <f>HYPERLINK("https://miland.ru/api/getInfo/image/2f24bb3e-8d4b-11ef-a265-00155d82e908")</f>
        <v>https://miland.ru/api/getInfo/image/2f24bb3e-8d4b-11ef-a265-00155d82e908</v>
      </c>
    </row>
    <row r="3628" spans="1:19" s="2" customFormat="1" ht="96.2" customHeight="1" outlineLevel="7">
      <c r="A3628" s="52">
        <v>2853</v>
      </c>
      <c r="B3628" s="26" t="s">
        <v>12009</v>
      </c>
      <c r="C3628" s="66" t="s">
        <v>12010</v>
      </c>
      <c r="D3628" s="66"/>
      <c r="E3628" s="66"/>
      <c r="F3628" s="66"/>
      <c r="G3628" s="27" t="s">
        <v>12011</v>
      </c>
      <c r="H3628" s="33">
        <v>30</v>
      </c>
      <c r="I3628" s="29"/>
      <c r="J3628" s="25">
        <v>1</v>
      </c>
      <c r="K3628" s="37">
        <v>1560.56</v>
      </c>
      <c r="L3628" s="17"/>
      <c r="M3628" s="29">
        <f>K3628*L3628</f>
        <v>0</v>
      </c>
      <c r="N3628" s="31">
        <f>0.923*L3628</f>
        <v>0</v>
      </c>
      <c r="O3628" s="35">
        <f>0.0034*L3628</f>
        <v>0</v>
      </c>
      <c r="P3628" s="36"/>
      <c r="Q3628" s="29" t="s">
        <v>12012</v>
      </c>
      <c r="R3628" s="29" t="s">
        <v>611</v>
      </c>
      <c r="S3628" s="26" t="str">
        <f>HYPERLINK("https://miland.ru/api/getInfo/image/82d7a9ea-8d4b-11ef-a265-00155d82e908")</f>
        <v>https://miland.ru/api/getInfo/image/82d7a9ea-8d4b-11ef-a265-00155d82e908</v>
      </c>
    </row>
    <row r="3629" spans="1:19" s="1" customFormat="1" ht="12" customHeight="1" outlineLevel="5">
      <c r="A3629" s="64" t="s">
        <v>12013</v>
      </c>
      <c r="B3629" s="64"/>
      <c r="C3629" s="64"/>
      <c r="D3629" s="64"/>
      <c r="E3629" s="64"/>
      <c r="F3629" s="64"/>
      <c r="G3629" s="8"/>
      <c r="H3629" s="12"/>
      <c r="I3629" s="2"/>
      <c r="J3629" s="2"/>
      <c r="K3629" s="13"/>
      <c r="L3629" s="2"/>
      <c r="M3629" s="2"/>
      <c r="N3629" s="2"/>
      <c r="O3629" s="2"/>
      <c r="P3629" s="2"/>
      <c r="Q3629" s="2"/>
      <c r="R3629" s="2"/>
      <c r="S3629" s="2"/>
    </row>
    <row r="3630" spans="1:19" s="2" customFormat="1" ht="96.2" customHeight="1" outlineLevel="6">
      <c r="A3630" s="52">
        <v>2854</v>
      </c>
      <c r="B3630" s="26" t="s">
        <v>12014</v>
      </c>
      <c r="C3630" s="66" t="s">
        <v>12015</v>
      </c>
      <c r="D3630" s="66"/>
      <c r="E3630" s="66"/>
      <c r="F3630" s="66"/>
      <c r="G3630" s="27" t="s">
        <v>12016</v>
      </c>
      <c r="H3630" s="33">
        <v>4</v>
      </c>
      <c r="I3630" s="29"/>
      <c r="J3630" s="25">
        <v>1</v>
      </c>
      <c r="K3630" s="30">
        <v>876.29</v>
      </c>
      <c r="L3630" s="17"/>
      <c r="M3630" s="29">
        <f t="shared" ref="M3630:M3643" si="172">K3630*L3630</f>
        <v>0</v>
      </c>
      <c r="N3630" s="31">
        <f>0.722*L3630</f>
        <v>0</v>
      </c>
      <c r="O3630" s="32">
        <f>0.00291*L3630</f>
        <v>0</v>
      </c>
      <c r="P3630" s="36"/>
      <c r="Q3630" s="29" t="s">
        <v>12017</v>
      </c>
      <c r="R3630" s="29" t="s">
        <v>611</v>
      </c>
      <c r="S3630" s="26" t="str">
        <f>HYPERLINK("https://miland.ru/api/getInfo/image/2552c636-b7e5-11eb-a205-ac1f6b442185")</f>
        <v>https://miland.ru/api/getInfo/image/2552c636-b7e5-11eb-a205-ac1f6b442185</v>
      </c>
    </row>
    <row r="3631" spans="1:19" s="2" customFormat="1" ht="96.2" customHeight="1" outlineLevel="6">
      <c r="A3631" s="52">
        <v>2855</v>
      </c>
      <c r="B3631" s="26" t="s">
        <v>12018</v>
      </c>
      <c r="C3631" s="66" t="s">
        <v>12019</v>
      </c>
      <c r="D3631" s="66"/>
      <c r="E3631" s="66"/>
      <c r="F3631" s="66"/>
      <c r="G3631" s="27" t="s">
        <v>12020</v>
      </c>
      <c r="H3631" s="33">
        <v>4</v>
      </c>
      <c r="I3631" s="29"/>
      <c r="J3631" s="25">
        <v>1</v>
      </c>
      <c r="K3631" s="37">
        <v>2003.48</v>
      </c>
      <c r="L3631" s="17"/>
      <c r="M3631" s="29">
        <f t="shared" si="172"/>
        <v>0</v>
      </c>
      <c r="N3631" s="31">
        <f>1.112*L3631</f>
        <v>0</v>
      </c>
      <c r="O3631" s="32">
        <f>0.00625*L3631</f>
        <v>0</v>
      </c>
      <c r="P3631" s="36"/>
      <c r="Q3631" s="29" t="s">
        <v>12021</v>
      </c>
      <c r="R3631" s="29"/>
      <c r="S3631" s="26" t="str">
        <f>HYPERLINK("https://miland.ru/api/getInfo/image/f60616cf-8d48-11ef-a265-00155d82e908")</f>
        <v>https://miland.ru/api/getInfo/image/f60616cf-8d48-11ef-a265-00155d82e908</v>
      </c>
    </row>
    <row r="3632" spans="1:19" s="2" customFormat="1" ht="96.2" customHeight="1" outlineLevel="6">
      <c r="A3632" s="52">
        <v>2856</v>
      </c>
      <c r="B3632" s="26" t="s">
        <v>12022</v>
      </c>
      <c r="C3632" s="66" t="s">
        <v>12023</v>
      </c>
      <c r="D3632" s="66"/>
      <c r="E3632" s="66"/>
      <c r="F3632" s="66"/>
      <c r="G3632" s="27" t="s">
        <v>12024</v>
      </c>
      <c r="H3632" s="33">
        <v>2</v>
      </c>
      <c r="I3632" s="29"/>
      <c r="J3632" s="25">
        <v>1</v>
      </c>
      <c r="K3632" s="37">
        <v>1028.42</v>
      </c>
      <c r="L3632" s="17"/>
      <c r="M3632" s="29">
        <f t="shared" si="172"/>
        <v>0</v>
      </c>
      <c r="N3632" s="31">
        <f>0.808*L3632</f>
        <v>0</v>
      </c>
      <c r="O3632" s="32">
        <f>0.00237*L3632</f>
        <v>0</v>
      </c>
      <c r="P3632" s="36"/>
      <c r="Q3632" s="29" t="s">
        <v>12025</v>
      </c>
      <c r="R3632" s="29" t="s">
        <v>611</v>
      </c>
      <c r="S3632" s="26" t="str">
        <f>HYPERLINK("https://miland.ru/api/getInfo/image/50471617-5077-11ed-a21d-ac1f6b442185")</f>
        <v>https://miland.ru/api/getInfo/image/50471617-5077-11ed-a21d-ac1f6b442185</v>
      </c>
    </row>
    <row r="3633" spans="1:19" s="2" customFormat="1" ht="96.2" customHeight="1" outlineLevel="6">
      <c r="A3633" s="52">
        <v>2857</v>
      </c>
      <c r="B3633" s="26" t="s">
        <v>12026</v>
      </c>
      <c r="C3633" s="66" t="s">
        <v>12027</v>
      </c>
      <c r="D3633" s="66"/>
      <c r="E3633" s="66"/>
      <c r="F3633" s="66"/>
      <c r="G3633" s="27" t="s">
        <v>12028</v>
      </c>
      <c r="H3633" s="33">
        <v>2</v>
      </c>
      <c r="I3633" s="29"/>
      <c r="J3633" s="25">
        <v>1</v>
      </c>
      <c r="K3633" s="37">
        <v>1143.26</v>
      </c>
      <c r="L3633" s="17"/>
      <c r="M3633" s="29">
        <f t="shared" si="172"/>
        <v>0</v>
      </c>
      <c r="N3633" s="31">
        <f>0.795*L3633</f>
        <v>0</v>
      </c>
      <c r="O3633" s="32">
        <f>0.00292*L3633</f>
        <v>0</v>
      </c>
      <c r="P3633" s="36"/>
      <c r="Q3633" s="29" t="s">
        <v>12029</v>
      </c>
      <c r="R3633" s="29" t="s">
        <v>611</v>
      </c>
      <c r="S3633" s="26" t="str">
        <f>HYPERLINK("https://miland.ru/api/getInfo/image/e351a33d-5076-11ed-a21d-ac1f6b442185")</f>
        <v>https://miland.ru/api/getInfo/image/e351a33d-5076-11ed-a21d-ac1f6b442185</v>
      </c>
    </row>
    <row r="3634" spans="1:19" s="2" customFormat="1" ht="96.2" customHeight="1" outlineLevel="6">
      <c r="A3634" s="52">
        <v>2858</v>
      </c>
      <c r="B3634" s="26" t="s">
        <v>12030</v>
      </c>
      <c r="C3634" s="66" t="s">
        <v>12031</v>
      </c>
      <c r="D3634" s="66"/>
      <c r="E3634" s="66"/>
      <c r="F3634" s="66"/>
      <c r="G3634" s="27" t="s">
        <v>12032</v>
      </c>
      <c r="H3634" s="33">
        <v>1</v>
      </c>
      <c r="I3634" s="29"/>
      <c r="J3634" s="25">
        <v>1</v>
      </c>
      <c r="K3634" s="37">
        <v>1052.57</v>
      </c>
      <c r="L3634" s="17"/>
      <c r="M3634" s="29">
        <f t="shared" si="172"/>
        <v>0</v>
      </c>
      <c r="N3634" s="31">
        <f>0.786*L3634</f>
        <v>0</v>
      </c>
      <c r="O3634" s="32">
        <f>0.00216*L3634</f>
        <v>0</v>
      </c>
      <c r="P3634" s="36"/>
      <c r="Q3634" s="29" t="s">
        <v>12033</v>
      </c>
      <c r="R3634" s="29" t="s">
        <v>611</v>
      </c>
      <c r="S3634" s="26" t="str">
        <f>HYPERLINK("https://miland.ru/api/getInfo/image/665d979b-5076-11ed-a21d-ac1f6b442185")</f>
        <v>https://miland.ru/api/getInfo/image/665d979b-5076-11ed-a21d-ac1f6b442185</v>
      </c>
    </row>
    <row r="3635" spans="1:19" s="2" customFormat="1" ht="96.2" customHeight="1" outlineLevel="6">
      <c r="A3635" s="52">
        <v>2859</v>
      </c>
      <c r="B3635" s="26" t="s">
        <v>12034</v>
      </c>
      <c r="C3635" s="66" t="s">
        <v>12035</v>
      </c>
      <c r="D3635" s="66"/>
      <c r="E3635" s="66"/>
      <c r="F3635" s="66"/>
      <c r="G3635" s="27" t="s">
        <v>12036</v>
      </c>
      <c r="H3635" s="33">
        <v>260</v>
      </c>
      <c r="I3635" s="29"/>
      <c r="J3635" s="25">
        <v>1</v>
      </c>
      <c r="K3635" s="30">
        <v>505.59</v>
      </c>
      <c r="L3635" s="17"/>
      <c r="M3635" s="29">
        <f t="shared" si="172"/>
        <v>0</v>
      </c>
      <c r="N3635" s="31">
        <f>0.482*L3635</f>
        <v>0</v>
      </c>
      <c r="O3635" s="32">
        <f>0.00347*L3635</f>
        <v>0</v>
      </c>
      <c r="P3635" s="36"/>
      <c r="Q3635" s="29" t="s">
        <v>12037</v>
      </c>
      <c r="R3635" s="29"/>
      <c r="S3635" s="26" t="str">
        <f>HYPERLINK("https://miland.ru/api/getInfo/image/61fe448d-5069-11ed-a21d-ac1f6b442185")</f>
        <v>https://miland.ru/api/getInfo/image/61fe448d-5069-11ed-a21d-ac1f6b442185</v>
      </c>
    </row>
    <row r="3636" spans="1:19" s="2" customFormat="1" ht="96.2" customHeight="1" outlineLevel="6">
      <c r="A3636" s="52">
        <v>2860</v>
      </c>
      <c r="B3636" s="26" t="s">
        <v>12038</v>
      </c>
      <c r="C3636" s="66" t="s">
        <v>12039</v>
      </c>
      <c r="D3636" s="66"/>
      <c r="E3636" s="66"/>
      <c r="F3636" s="66"/>
      <c r="G3636" s="27" t="s">
        <v>12040</v>
      </c>
      <c r="H3636" s="33">
        <v>4</v>
      </c>
      <c r="I3636" s="29"/>
      <c r="J3636" s="25">
        <v>1</v>
      </c>
      <c r="K3636" s="37">
        <v>1110.02</v>
      </c>
      <c r="L3636" s="17"/>
      <c r="M3636" s="29">
        <f t="shared" si="172"/>
        <v>0</v>
      </c>
      <c r="N3636" s="31">
        <f>0.609*L3636</f>
        <v>0</v>
      </c>
      <c r="O3636" s="35">
        <f>0.0037*L3636</f>
        <v>0</v>
      </c>
      <c r="P3636" s="36"/>
      <c r="Q3636" s="29" t="s">
        <v>12041</v>
      </c>
      <c r="R3636" s="29" t="s">
        <v>611</v>
      </c>
      <c r="S3636" s="26" t="str">
        <f>HYPERLINK("https://miland.ru/api/getInfo/image/05f0ddf2-0172-11ef-a25d-00155d82e908")</f>
        <v>https://miland.ru/api/getInfo/image/05f0ddf2-0172-11ef-a25d-00155d82e908</v>
      </c>
    </row>
    <row r="3637" spans="1:19" s="2" customFormat="1" ht="96.2" customHeight="1" outlineLevel="6">
      <c r="A3637" s="52">
        <v>2861</v>
      </c>
      <c r="B3637" s="26" t="s">
        <v>12042</v>
      </c>
      <c r="C3637" s="66" t="s">
        <v>12043</v>
      </c>
      <c r="D3637" s="66"/>
      <c r="E3637" s="66"/>
      <c r="F3637" s="66"/>
      <c r="G3637" s="27" t="s">
        <v>12044</v>
      </c>
      <c r="H3637" s="33">
        <v>105</v>
      </c>
      <c r="I3637" s="29"/>
      <c r="J3637" s="25">
        <v>1</v>
      </c>
      <c r="K3637" s="30">
        <v>384.24</v>
      </c>
      <c r="L3637" s="17"/>
      <c r="M3637" s="29">
        <f t="shared" si="172"/>
        <v>0</v>
      </c>
      <c r="N3637" s="31">
        <f>0.411*L3637</f>
        <v>0</v>
      </c>
      <c r="O3637" s="32">
        <f>0.00215*L3637</f>
        <v>0</v>
      </c>
      <c r="P3637" s="36"/>
      <c r="Q3637" s="29" t="s">
        <v>12045</v>
      </c>
      <c r="R3637" s="29" t="s">
        <v>611</v>
      </c>
      <c r="S3637" s="26" t="str">
        <f>HYPERLINK("https://miland.ru/api/getInfo/image/e143f182-0171-11ef-a25d-00155d82e908")</f>
        <v>https://miland.ru/api/getInfo/image/e143f182-0171-11ef-a25d-00155d82e908</v>
      </c>
    </row>
    <row r="3638" spans="1:19" s="2" customFormat="1" ht="96.2" customHeight="1" outlineLevel="6">
      <c r="A3638" s="52">
        <v>2862</v>
      </c>
      <c r="B3638" s="26" t="s">
        <v>12046</v>
      </c>
      <c r="C3638" s="66" t="s">
        <v>12047</v>
      </c>
      <c r="D3638" s="66"/>
      <c r="E3638" s="66"/>
      <c r="F3638" s="66"/>
      <c r="G3638" s="27" t="s">
        <v>12048</v>
      </c>
      <c r="H3638" s="33">
        <v>4</v>
      </c>
      <c r="I3638" s="29"/>
      <c r="J3638" s="25">
        <v>1</v>
      </c>
      <c r="K3638" s="30">
        <v>505.59</v>
      </c>
      <c r="L3638" s="17"/>
      <c r="M3638" s="29">
        <f t="shared" si="172"/>
        <v>0</v>
      </c>
      <c r="N3638" s="31">
        <f>0.412*L3638</f>
        <v>0</v>
      </c>
      <c r="O3638" s="32">
        <f>0.00208*L3638</f>
        <v>0</v>
      </c>
      <c r="P3638" s="36"/>
      <c r="Q3638" s="29" t="s">
        <v>12049</v>
      </c>
      <c r="R3638" s="29" t="s">
        <v>611</v>
      </c>
      <c r="S3638" s="26" t="str">
        <f>HYPERLINK("https://miland.ru/api/getInfo/image/ae5ba641-0170-11ef-a25d-00155d82e908")</f>
        <v>https://miland.ru/api/getInfo/image/ae5ba641-0170-11ef-a25d-00155d82e908</v>
      </c>
    </row>
    <row r="3639" spans="1:19" s="2" customFormat="1" ht="96.2" customHeight="1" outlineLevel="6">
      <c r="A3639" s="52">
        <v>2863</v>
      </c>
      <c r="B3639" s="26" t="s">
        <v>12050</v>
      </c>
      <c r="C3639" s="66" t="s">
        <v>12051</v>
      </c>
      <c r="D3639" s="66"/>
      <c r="E3639" s="66"/>
      <c r="F3639" s="66"/>
      <c r="G3639" s="27" t="s">
        <v>12052</v>
      </c>
      <c r="H3639" s="33">
        <v>344</v>
      </c>
      <c r="I3639" s="29"/>
      <c r="J3639" s="25">
        <v>1</v>
      </c>
      <c r="K3639" s="30">
        <v>988.87</v>
      </c>
      <c r="L3639" s="17"/>
      <c r="M3639" s="29">
        <f t="shared" si="172"/>
        <v>0</v>
      </c>
      <c r="N3639" s="31">
        <f>0.688*L3639</f>
        <v>0</v>
      </c>
      <c r="O3639" s="32">
        <f>0.00298*L3639</f>
        <v>0</v>
      </c>
      <c r="P3639" s="36"/>
      <c r="Q3639" s="29" t="s">
        <v>12053</v>
      </c>
      <c r="R3639" s="29" t="s">
        <v>611</v>
      </c>
      <c r="S3639" s="26" t="str">
        <f>HYPERLINK("https://miland.ru/api/getInfo/image/678f5530-0170-11ef-a25d-00155d82e908")</f>
        <v>https://miland.ru/api/getInfo/image/678f5530-0170-11ef-a25d-00155d82e908</v>
      </c>
    </row>
    <row r="3640" spans="1:19" s="2" customFormat="1" ht="96.2" customHeight="1" outlineLevel="6">
      <c r="A3640" s="52">
        <v>2864</v>
      </c>
      <c r="B3640" s="26" t="s">
        <v>12054</v>
      </c>
      <c r="C3640" s="66" t="s">
        <v>12055</v>
      </c>
      <c r="D3640" s="66"/>
      <c r="E3640" s="66"/>
      <c r="F3640" s="66"/>
      <c r="G3640" s="27" t="s">
        <v>12056</v>
      </c>
      <c r="H3640" s="33">
        <v>5</v>
      </c>
      <c r="I3640" s="29"/>
      <c r="J3640" s="25">
        <v>1</v>
      </c>
      <c r="K3640" s="30">
        <v>526.29</v>
      </c>
      <c r="L3640" s="17"/>
      <c r="M3640" s="29">
        <f t="shared" si="172"/>
        <v>0</v>
      </c>
      <c r="N3640" s="31">
        <f>0.405*L3640</f>
        <v>0</v>
      </c>
      <c r="O3640" s="35">
        <f>0.0024*L3640</f>
        <v>0</v>
      </c>
      <c r="P3640" s="36"/>
      <c r="Q3640" s="29" t="s">
        <v>12057</v>
      </c>
      <c r="R3640" s="29" t="s">
        <v>611</v>
      </c>
      <c r="S3640" s="26" t="str">
        <f>HYPERLINK("https://miland.ru/api/getInfo/image/65b294bf-3772-11ee-a240-00155d82e902")</f>
        <v>https://miland.ru/api/getInfo/image/65b294bf-3772-11ee-a240-00155d82e902</v>
      </c>
    </row>
    <row r="3641" spans="1:19" s="2" customFormat="1" ht="96.2" customHeight="1" outlineLevel="6">
      <c r="A3641" s="52">
        <v>2865</v>
      </c>
      <c r="B3641" s="26" t="s">
        <v>12058</v>
      </c>
      <c r="C3641" s="66" t="s">
        <v>12059</v>
      </c>
      <c r="D3641" s="66"/>
      <c r="E3641" s="66"/>
      <c r="F3641" s="66"/>
      <c r="G3641" s="27" t="s">
        <v>12060</v>
      </c>
      <c r="H3641" s="33">
        <v>5</v>
      </c>
      <c r="I3641" s="29"/>
      <c r="J3641" s="25">
        <v>1</v>
      </c>
      <c r="K3641" s="30">
        <v>526.29</v>
      </c>
      <c r="L3641" s="17"/>
      <c r="M3641" s="29">
        <f t="shared" si="172"/>
        <v>0</v>
      </c>
      <c r="N3641" s="31">
        <f>0.412*L3641</f>
        <v>0</v>
      </c>
      <c r="O3641" s="32">
        <f>0.00217*L3641</f>
        <v>0</v>
      </c>
      <c r="P3641" s="36"/>
      <c r="Q3641" s="29" t="s">
        <v>12061</v>
      </c>
      <c r="R3641" s="29" t="s">
        <v>611</v>
      </c>
      <c r="S3641" s="26" t="str">
        <f>HYPERLINK("https://miland.ru/api/getInfo/image/28edabd6-3772-11ee-a240-00155d82e902")</f>
        <v>https://miland.ru/api/getInfo/image/28edabd6-3772-11ee-a240-00155d82e902</v>
      </c>
    </row>
    <row r="3642" spans="1:19" s="2" customFormat="1" ht="96.2" customHeight="1" outlineLevel="6">
      <c r="A3642" s="52">
        <v>2866</v>
      </c>
      <c r="B3642" s="26" t="s">
        <v>12062</v>
      </c>
      <c r="C3642" s="66" t="s">
        <v>12063</v>
      </c>
      <c r="D3642" s="66"/>
      <c r="E3642" s="66"/>
      <c r="F3642" s="66"/>
      <c r="G3642" s="27" t="s">
        <v>12064</v>
      </c>
      <c r="H3642" s="33">
        <v>237</v>
      </c>
      <c r="I3642" s="29"/>
      <c r="J3642" s="25">
        <v>1</v>
      </c>
      <c r="K3642" s="30">
        <v>633.20000000000005</v>
      </c>
      <c r="L3642" s="17"/>
      <c r="M3642" s="29">
        <f t="shared" si="172"/>
        <v>0</v>
      </c>
      <c r="N3642" s="31">
        <f>0.473*L3642</f>
        <v>0</v>
      </c>
      <c r="O3642" s="32">
        <f>0.00344*L3642</f>
        <v>0</v>
      </c>
      <c r="P3642" s="36"/>
      <c r="Q3642" s="29" t="s">
        <v>12065</v>
      </c>
      <c r="R3642" s="29"/>
      <c r="S3642" s="26" t="str">
        <f>HYPERLINK("https://miland.ru/api/getInfo/image/92ff56c1-3772-11ee-a240-00155d82e902")</f>
        <v>https://miland.ru/api/getInfo/image/92ff56c1-3772-11ee-a240-00155d82e902</v>
      </c>
    </row>
    <row r="3643" spans="1:19" s="2" customFormat="1" ht="96.2" customHeight="1" outlineLevel="6">
      <c r="A3643" s="52">
        <v>2867</v>
      </c>
      <c r="B3643" s="26" t="s">
        <v>12066</v>
      </c>
      <c r="C3643" s="66" t="s">
        <v>12067</v>
      </c>
      <c r="D3643" s="66"/>
      <c r="E3643" s="66"/>
      <c r="F3643" s="66"/>
      <c r="G3643" s="27" t="s">
        <v>12068</v>
      </c>
      <c r="H3643" s="33">
        <v>66</v>
      </c>
      <c r="I3643" s="29"/>
      <c r="J3643" s="25">
        <v>1</v>
      </c>
      <c r="K3643" s="30">
        <v>398.87</v>
      </c>
      <c r="L3643" s="17"/>
      <c r="M3643" s="29">
        <f t="shared" si="172"/>
        <v>0</v>
      </c>
      <c r="N3643" s="31">
        <f>0.414*L3643</f>
        <v>0</v>
      </c>
      <c r="O3643" s="32">
        <f>0.00205*L3643</f>
        <v>0</v>
      </c>
      <c r="P3643" s="36"/>
      <c r="Q3643" s="29" t="s">
        <v>12069</v>
      </c>
      <c r="R3643" s="29" t="s">
        <v>611</v>
      </c>
      <c r="S3643" s="26" t="str">
        <f>HYPERLINK("https://miland.ru/api/getInfo/image/c9797045-3773-11ee-a240-00155d82e902")</f>
        <v>https://miland.ru/api/getInfo/image/c9797045-3773-11ee-a240-00155d82e902</v>
      </c>
    </row>
    <row r="3644" spans="1:19" s="1" customFormat="1" ht="12" customHeight="1" outlineLevel="5">
      <c r="A3644" s="64" t="s">
        <v>12070</v>
      </c>
      <c r="B3644" s="64"/>
      <c r="C3644" s="64"/>
      <c r="D3644" s="64"/>
      <c r="E3644" s="64"/>
      <c r="F3644" s="64"/>
      <c r="G3644" s="8"/>
      <c r="H3644" s="12"/>
      <c r="I3644" s="2"/>
      <c r="J3644" s="2"/>
      <c r="K3644" s="13"/>
      <c r="L3644" s="2"/>
      <c r="M3644" s="2"/>
      <c r="N3644" s="2"/>
      <c r="O3644" s="2"/>
      <c r="P3644" s="2"/>
      <c r="Q3644" s="2"/>
      <c r="R3644" s="2"/>
      <c r="S3644" s="2"/>
    </row>
    <row r="3645" spans="1:19" s="2" customFormat="1" ht="96.2" customHeight="1" outlineLevel="6">
      <c r="A3645" s="52">
        <v>2868</v>
      </c>
      <c r="B3645" s="26" t="s">
        <v>12071</v>
      </c>
      <c r="C3645" s="66" t="s">
        <v>12072</v>
      </c>
      <c r="D3645" s="66"/>
      <c r="E3645" s="66"/>
      <c r="F3645" s="66"/>
      <c r="G3645" s="27" t="s">
        <v>12073</v>
      </c>
      <c r="H3645" s="33">
        <v>228</v>
      </c>
      <c r="I3645" s="29"/>
      <c r="J3645" s="25">
        <v>1</v>
      </c>
      <c r="K3645" s="37">
        <v>1277.31</v>
      </c>
      <c r="L3645" s="17"/>
      <c r="M3645" s="29">
        <f t="shared" ref="M3645:M3653" si="173">K3645*L3645</f>
        <v>0</v>
      </c>
      <c r="N3645" s="31">
        <f>1.096*L3645</f>
        <v>0</v>
      </c>
      <c r="O3645" s="32">
        <f>0.00587*L3645</f>
        <v>0</v>
      </c>
      <c r="P3645" s="36"/>
      <c r="Q3645" s="29" t="s">
        <v>12074</v>
      </c>
      <c r="R3645" s="29"/>
      <c r="S3645" s="26" t="str">
        <f>HYPERLINK("https://miland.ru/api/getInfo/image/1c5ccb65-016f-11ef-a25d-00155d82e908")</f>
        <v>https://miland.ru/api/getInfo/image/1c5ccb65-016f-11ef-a25d-00155d82e908</v>
      </c>
    </row>
    <row r="3646" spans="1:19" s="2" customFormat="1" ht="96.2" customHeight="1" outlineLevel="6">
      <c r="A3646" s="52">
        <v>2869</v>
      </c>
      <c r="B3646" s="26" t="s">
        <v>12075</v>
      </c>
      <c r="C3646" s="66" t="s">
        <v>12076</v>
      </c>
      <c r="D3646" s="66"/>
      <c r="E3646" s="66"/>
      <c r="F3646" s="66"/>
      <c r="G3646" s="27" t="s">
        <v>12077</v>
      </c>
      <c r="H3646" s="33">
        <v>454</v>
      </c>
      <c r="I3646" s="29"/>
      <c r="J3646" s="25">
        <v>1</v>
      </c>
      <c r="K3646" s="37">
        <v>1187.8699999999999</v>
      </c>
      <c r="L3646" s="17"/>
      <c r="M3646" s="29">
        <f t="shared" si="173"/>
        <v>0</v>
      </c>
      <c r="N3646" s="31">
        <f>0.944*L3646</f>
        <v>0</v>
      </c>
      <c r="O3646" s="32">
        <f>0.00393*L3646</f>
        <v>0</v>
      </c>
      <c r="P3646" s="36"/>
      <c r="Q3646" s="29" t="s">
        <v>12078</v>
      </c>
      <c r="R3646" s="29" t="s">
        <v>611</v>
      </c>
      <c r="S3646" s="26" t="str">
        <f>HYPERLINK("https://miland.ru/api/getInfo/image/7e3071fc-016f-11ef-a25d-00155d82e908")</f>
        <v>https://miland.ru/api/getInfo/image/7e3071fc-016f-11ef-a25d-00155d82e908</v>
      </c>
    </row>
    <row r="3647" spans="1:19" s="2" customFormat="1" ht="96.2" customHeight="1" outlineLevel="6">
      <c r="A3647" s="52">
        <v>2870</v>
      </c>
      <c r="B3647" s="26" t="s">
        <v>12079</v>
      </c>
      <c r="C3647" s="66" t="s">
        <v>12080</v>
      </c>
      <c r="D3647" s="66"/>
      <c r="E3647" s="66"/>
      <c r="F3647" s="66"/>
      <c r="G3647" s="27" t="s">
        <v>12081</v>
      </c>
      <c r="H3647" s="33">
        <v>94</v>
      </c>
      <c r="I3647" s="29"/>
      <c r="J3647" s="25">
        <v>1</v>
      </c>
      <c r="K3647" s="30">
        <v>790</v>
      </c>
      <c r="L3647" s="17"/>
      <c r="M3647" s="29">
        <f t="shared" si="173"/>
        <v>0</v>
      </c>
      <c r="N3647" s="31">
        <f>0.611*L3647</f>
        <v>0</v>
      </c>
      <c r="O3647" s="32">
        <f>0.00423*L3647</f>
        <v>0</v>
      </c>
      <c r="P3647" s="36"/>
      <c r="Q3647" s="29" t="s">
        <v>12082</v>
      </c>
      <c r="R3647" s="29"/>
      <c r="S3647" s="26" t="str">
        <f>HYPERLINK("https://miland.ru/api/getInfo/image/3b13b21f-376d-11ee-a240-00155d82e902")</f>
        <v>https://miland.ru/api/getInfo/image/3b13b21f-376d-11ee-a240-00155d82e902</v>
      </c>
    </row>
    <row r="3648" spans="1:19" s="2" customFormat="1" ht="96.2" customHeight="1" outlineLevel="6">
      <c r="A3648" s="52">
        <v>2871</v>
      </c>
      <c r="B3648" s="26" t="s">
        <v>12083</v>
      </c>
      <c r="C3648" s="66" t="s">
        <v>12084</v>
      </c>
      <c r="D3648" s="66"/>
      <c r="E3648" s="66"/>
      <c r="F3648" s="66"/>
      <c r="G3648" s="27" t="s">
        <v>12085</v>
      </c>
      <c r="H3648" s="33">
        <v>32</v>
      </c>
      <c r="I3648" s="29"/>
      <c r="J3648" s="25">
        <v>1</v>
      </c>
      <c r="K3648" s="30">
        <v>790</v>
      </c>
      <c r="L3648" s="17"/>
      <c r="M3648" s="29">
        <f t="shared" si="173"/>
        <v>0</v>
      </c>
      <c r="N3648" s="31">
        <f>0.635*L3648</f>
        <v>0</v>
      </c>
      <c r="O3648" s="32">
        <f>0.00423*L3648</f>
        <v>0</v>
      </c>
      <c r="P3648" s="36"/>
      <c r="Q3648" s="29" t="s">
        <v>12086</v>
      </c>
      <c r="R3648" s="29"/>
      <c r="S3648" s="26" t="str">
        <f>HYPERLINK("https://miland.ru/api/getInfo/image/6250553e-376d-11ee-a240-00155d82e902")</f>
        <v>https://miland.ru/api/getInfo/image/6250553e-376d-11ee-a240-00155d82e902</v>
      </c>
    </row>
    <row r="3649" spans="1:19" s="2" customFormat="1" ht="96.2" customHeight="1" outlineLevel="6">
      <c r="A3649" s="52">
        <v>2872</v>
      </c>
      <c r="B3649" s="26" t="s">
        <v>12087</v>
      </c>
      <c r="C3649" s="66" t="s">
        <v>12088</v>
      </c>
      <c r="D3649" s="66"/>
      <c r="E3649" s="66"/>
      <c r="F3649" s="66"/>
      <c r="G3649" s="27" t="s">
        <v>12089</v>
      </c>
      <c r="H3649" s="33">
        <v>377</v>
      </c>
      <c r="I3649" s="29"/>
      <c r="J3649" s="25">
        <v>1</v>
      </c>
      <c r="K3649" s="30">
        <v>790</v>
      </c>
      <c r="L3649" s="17"/>
      <c r="M3649" s="29">
        <f t="shared" si="173"/>
        <v>0</v>
      </c>
      <c r="N3649" s="31">
        <f>0.623*L3649</f>
        <v>0</v>
      </c>
      <c r="O3649" s="32">
        <f>0.00424*L3649</f>
        <v>0</v>
      </c>
      <c r="P3649" s="36"/>
      <c r="Q3649" s="29" t="s">
        <v>12090</v>
      </c>
      <c r="R3649" s="29"/>
      <c r="S3649" s="26" t="str">
        <f>HYPERLINK("https://miland.ru/api/getInfo/image/b4d91f52-376d-11ee-a240-00155d82e902")</f>
        <v>https://miland.ru/api/getInfo/image/b4d91f52-376d-11ee-a240-00155d82e902</v>
      </c>
    </row>
    <row r="3650" spans="1:19" s="2" customFormat="1" ht="96.2" customHeight="1" outlineLevel="6">
      <c r="A3650" s="52">
        <v>2873</v>
      </c>
      <c r="B3650" s="26" t="s">
        <v>12091</v>
      </c>
      <c r="C3650" s="66" t="s">
        <v>12092</v>
      </c>
      <c r="D3650" s="66"/>
      <c r="E3650" s="66"/>
      <c r="F3650" s="66"/>
      <c r="G3650" s="27" t="s">
        <v>12093</v>
      </c>
      <c r="H3650" s="33">
        <v>375</v>
      </c>
      <c r="I3650" s="29"/>
      <c r="J3650" s="25">
        <v>1</v>
      </c>
      <c r="K3650" s="30">
        <v>790</v>
      </c>
      <c r="L3650" s="17"/>
      <c r="M3650" s="29">
        <f t="shared" si="173"/>
        <v>0</v>
      </c>
      <c r="N3650" s="31">
        <f>0.619*L3650</f>
        <v>0</v>
      </c>
      <c r="O3650" s="35">
        <f>0.0043*L3650</f>
        <v>0</v>
      </c>
      <c r="P3650" s="36"/>
      <c r="Q3650" s="29" t="s">
        <v>12094</v>
      </c>
      <c r="R3650" s="29"/>
      <c r="S3650" s="26" t="str">
        <f>HYPERLINK("https://miland.ru/api/getInfo/image/876638a0-376d-11ee-a240-00155d82e902")</f>
        <v>https://miland.ru/api/getInfo/image/876638a0-376d-11ee-a240-00155d82e902</v>
      </c>
    </row>
    <row r="3651" spans="1:19" s="2" customFormat="1" ht="96.2" customHeight="1" outlineLevel="6">
      <c r="A3651" s="52">
        <v>2874</v>
      </c>
      <c r="B3651" s="26" t="s">
        <v>12095</v>
      </c>
      <c r="C3651" s="66" t="s">
        <v>12096</v>
      </c>
      <c r="D3651" s="66"/>
      <c r="E3651" s="66"/>
      <c r="F3651" s="66"/>
      <c r="G3651" s="27" t="s">
        <v>12097</v>
      </c>
      <c r="H3651" s="33">
        <v>265</v>
      </c>
      <c r="I3651" s="29"/>
      <c r="J3651" s="25">
        <v>1</v>
      </c>
      <c r="K3651" s="30">
        <v>790</v>
      </c>
      <c r="L3651" s="17"/>
      <c r="M3651" s="29">
        <f t="shared" si="173"/>
        <v>0</v>
      </c>
      <c r="N3651" s="31">
        <f>0.648*L3651</f>
        <v>0</v>
      </c>
      <c r="O3651" s="32">
        <f>0.00432*L3651</f>
        <v>0</v>
      </c>
      <c r="P3651" s="36"/>
      <c r="Q3651" s="29" t="s">
        <v>12098</v>
      </c>
      <c r="R3651" s="29"/>
      <c r="S3651" s="26" t="str">
        <f>HYPERLINK("https://miland.ru/api/getInfo/image/f3b32d27-376c-11ee-a240-00155d82e902")</f>
        <v>https://miland.ru/api/getInfo/image/f3b32d27-376c-11ee-a240-00155d82e902</v>
      </c>
    </row>
    <row r="3652" spans="1:19" s="2" customFormat="1" ht="96.2" customHeight="1" outlineLevel="6">
      <c r="A3652" s="52">
        <v>2875</v>
      </c>
      <c r="B3652" s="26" t="s">
        <v>12099</v>
      </c>
      <c r="C3652" s="66" t="s">
        <v>12100</v>
      </c>
      <c r="D3652" s="66"/>
      <c r="E3652" s="66"/>
      <c r="F3652" s="66"/>
      <c r="G3652" s="27" t="s">
        <v>12101</v>
      </c>
      <c r="H3652" s="33">
        <v>295</v>
      </c>
      <c r="I3652" s="29"/>
      <c r="J3652" s="25">
        <v>1</v>
      </c>
      <c r="K3652" s="30">
        <v>630.79</v>
      </c>
      <c r="L3652" s="17"/>
      <c r="M3652" s="29">
        <f t="shared" si="173"/>
        <v>0</v>
      </c>
      <c r="N3652" s="31">
        <f>0.619*L3652</f>
        <v>0</v>
      </c>
      <c r="O3652" s="32">
        <f>0.00448*L3652</f>
        <v>0</v>
      </c>
      <c r="P3652" s="36"/>
      <c r="Q3652" s="29" t="s">
        <v>12102</v>
      </c>
      <c r="R3652" s="29"/>
      <c r="S3652" s="26" t="str">
        <f>HYPERLINK("https://miland.ru/api/getInfo/image/162c1233-506b-11ed-a21d-ac1f6b442185")</f>
        <v>https://miland.ru/api/getInfo/image/162c1233-506b-11ed-a21d-ac1f6b442185</v>
      </c>
    </row>
    <row r="3653" spans="1:19" s="2" customFormat="1" ht="96.2" customHeight="1" outlineLevel="6">
      <c r="A3653" s="52">
        <v>2876</v>
      </c>
      <c r="B3653" s="26" t="s">
        <v>12103</v>
      </c>
      <c r="C3653" s="66" t="s">
        <v>12104</v>
      </c>
      <c r="D3653" s="66"/>
      <c r="E3653" s="66"/>
      <c r="F3653" s="66"/>
      <c r="G3653" s="27" t="s">
        <v>12105</v>
      </c>
      <c r="H3653" s="33">
        <v>234</v>
      </c>
      <c r="I3653" s="29"/>
      <c r="J3653" s="25">
        <v>1</v>
      </c>
      <c r="K3653" s="30">
        <v>630.79</v>
      </c>
      <c r="L3653" s="17"/>
      <c r="M3653" s="29">
        <f t="shared" si="173"/>
        <v>0</v>
      </c>
      <c r="N3653" s="31">
        <f>0.638*L3653</f>
        <v>0</v>
      </c>
      <c r="O3653" s="32">
        <f>0.00444*L3653</f>
        <v>0</v>
      </c>
      <c r="P3653" s="36"/>
      <c r="Q3653" s="29" t="s">
        <v>12106</v>
      </c>
      <c r="R3653" s="29"/>
      <c r="S3653" s="26" t="str">
        <f>HYPERLINK("https://miland.ru/api/getInfo/image/b7c4abd1-506a-11ed-a21d-ac1f6b442185")</f>
        <v>https://miland.ru/api/getInfo/image/b7c4abd1-506a-11ed-a21d-ac1f6b442185</v>
      </c>
    </row>
    <row r="3654" spans="1:19" s="1" customFormat="1" ht="12" customHeight="1" outlineLevel="5">
      <c r="A3654" s="64" t="s">
        <v>12107</v>
      </c>
      <c r="B3654" s="64"/>
      <c r="C3654" s="64"/>
      <c r="D3654" s="64"/>
      <c r="E3654" s="64"/>
      <c r="F3654" s="64"/>
      <c r="G3654" s="8"/>
      <c r="H3654" s="12"/>
      <c r="I3654" s="2"/>
      <c r="J3654" s="2"/>
      <c r="K3654" s="13"/>
      <c r="L3654" s="2"/>
      <c r="M3654" s="2"/>
      <c r="N3654" s="2"/>
      <c r="O3654" s="2"/>
      <c r="P3654" s="2"/>
      <c r="Q3654" s="2"/>
      <c r="R3654" s="2"/>
      <c r="S3654" s="2"/>
    </row>
    <row r="3655" spans="1:19" s="2" customFormat="1" ht="96.2" customHeight="1" outlineLevel="6">
      <c r="A3655" s="52">
        <v>2877</v>
      </c>
      <c r="B3655" s="26" t="s">
        <v>12108</v>
      </c>
      <c r="C3655" s="66" t="s">
        <v>12109</v>
      </c>
      <c r="D3655" s="66"/>
      <c r="E3655" s="66"/>
      <c r="F3655" s="66"/>
      <c r="G3655" s="27" t="s">
        <v>12110</v>
      </c>
      <c r="H3655" s="33">
        <v>1</v>
      </c>
      <c r="I3655" s="29"/>
      <c r="J3655" s="25">
        <v>1</v>
      </c>
      <c r="K3655" s="37">
        <v>1397.25</v>
      </c>
      <c r="L3655" s="17"/>
      <c r="M3655" s="29">
        <f>K3655*L3655</f>
        <v>0</v>
      </c>
      <c r="N3655" s="31">
        <f>1.045*L3655</f>
        <v>0</v>
      </c>
      <c r="O3655" s="32">
        <f>0.00131*L3655</f>
        <v>0</v>
      </c>
      <c r="P3655" s="36"/>
      <c r="Q3655" s="29" t="s">
        <v>12111</v>
      </c>
      <c r="R3655" s="29" t="s">
        <v>611</v>
      </c>
      <c r="S3655" s="26" t="str">
        <f>HYPERLINK("https://miland.ru/api/getInfo/image/8b4e9c99-380d-11ee-a240-00155d82e902")</f>
        <v>https://miland.ru/api/getInfo/image/8b4e9c99-380d-11ee-a240-00155d82e902</v>
      </c>
    </row>
    <row r="3656" spans="1:19" s="2" customFormat="1" ht="96.2" customHeight="1" outlineLevel="6">
      <c r="A3656" s="52">
        <v>2878</v>
      </c>
      <c r="B3656" s="26" t="s">
        <v>12112</v>
      </c>
      <c r="C3656" s="66" t="s">
        <v>12113</v>
      </c>
      <c r="D3656" s="66"/>
      <c r="E3656" s="66"/>
      <c r="F3656" s="66"/>
      <c r="G3656" s="27" t="s">
        <v>12114</v>
      </c>
      <c r="H3656" s="33">
        <v>493</v>
      </c>
      <c r="I3656" s="29"/>
      <c r="J3656" s="25">
        <v>1</v>
      </c>
      <c r="K3656" s="37">
        <v>1397.25</v>
      </c>
      <c r="L3656" s="17"/>
      <c r="M3656" s="29">
        <f>K3656*L3656</f>
        <v>0</v>
      </c>
      <c r="N3656" s="31">
        <f>1.231*L3656</f>
        <v>0</v>
      </c>
      <c r="O3656" s="32">
        <f>0.00798*L3656</f>
        <v>0</v>
      </c>
      <c r="P3656" s="36"/>
      <c r="Q3656" s="29" t="s">
        <v>12115</v>
      </c>
      <c r="R3656" s="29"/>
      <c r="S3656" s="26" t="str">
        <f>HYPERLINK("https://miland.ru/api/getInfo/image/e3b7d6b7-380d-11ee-a240-00155d82e902")</f>
        <v>https://miland.ru/api/getInfo/image/e3b7d6b7-380d-11ee-a240-00155d82e902</v>
      </c>
    </row>
    <row r="3657" spans="1:19" s="1" customFormat="1" ht="12" customHeight="1" outlineLevel="5">
      <c r="A3657" s="64" t="s">
        <v>12116</v>
      </c>
      <c r="B3657" s="64"/>
      <c r="C3657" s="64"/>
      <c r="D3657" s="64"/>
      <c r="E3657" s="64"/>
      <c r="F3657" s="64"/>
      <c r="G3657" s="8"/>
      <c r="H3657" s="12"/>
      <c r="I3657" s="2"/>
      <c r="J3657" s="2"/>
      <c r="K3657" s="13"/>
      <c r="L3657" s="2"/>
      <c r="M3657" s="2"/>
      <c r="N3657" s="2"/>
      <c r="O3657" s="2"/>
      <c r="P3657" s="2"/>
      <c r="Q3657" s="2"/>
      <c r="R3657" s="2"/>
      <c r="S3657" s="2"/>
    </row>
    <row r="3658" spans="1:19" s="2" customFormat="1" ht="96.2" customHeight="1" outlineLevel="6">
      <c r="A3658" s="52">
        <v>2879</v>
      </c>
      <c r="B3658" s="26" t="s">
        <v>12117</v>
      </c>
      <c r="C3658" s="66" t="s">
        <v>12118</v>
      </c>
      <c r="D3658" s="66"/>
      <c r="E3658" s="66"/>
      <c r="F3658" s="66"/>
      <c r="G3658" s="27" t="s">
        <v>12119</v>
      </c>
      <c r="H3658" s="33">
        <v>137</v>
      </c>
      <c r="I3658" s="29"/>
      <c r="J3658" s="25">
        <v>1</v>
      </c>
      <c r="K3658" s="37">
        <v>1543.63</v>
      </c>
      <c r="L3658" s="17"/>
      <c r="M3658" s="29">
        <f t="shared" ref="M3658:M3672" si="174">K3658*L3658</f>
        <v>0</v>
      </c>
      <c r="N3658" s="34">
        <f>1.32*L3658</f>
        <v>0</v>
      </c>
      <c r="O3658" s="32">
        <f>0.00744*L3658</f>
        <v>0</v>
      </c>
      <c r="P3658" s="36"/>
      <c r="Q3658" s="29" t="s">
        <v>12120</v>
      </c>
      <c r="R3658" s="29"/>
      <c r="S3658" s="26" t="str">
        <f>HYPERLINK("https://miland.ru/api/getInfo/image/95fa5328-507b-11ed-a21d-ac1f6b442185")</f>
        <v>https://miland.ru/api/getInfo/image/95fa5328-507b-11ed-a21d-ac1f6b442185</v>
      </c>
    </row>
    <row r="3659" spans="1:19" s="2" customFormat="1" ht="96.2" customHeight="1" outlineLevel="6">
      <c r="A3659" s="52">
        <v>2880</v>
      </c>
      <c r="B3659" s="26" t="s">
        <v>12121</v>
      </c>
      <c r="C3659" s="66" t="s">
        <v>12122</v>
      </c>
      <c r="D3659" s="66"/>
      <c r="E3659" s="66"/>
      <c r="F3659" s="66"/>
      <c r="G3659" s="27" t="s">
        <v>12123</v>
      </c>
      <c r="H3659" s="33">
        <v>3</v>
      </c>
      <c r="I3659" s="29"/>
      <c r="J3659" s="25">
        <v>1</v>
      </c>
      <c r="K3659" s="37">
        <v>1543.63</v>
      </c>
      <c r="L3659" s="17"/>
      <c r="M3659" s="29">
        <f t="shared" si="174"/>
        <v>0</v>
      </c>
      <c r="N3659" s="31">
        <f>1.178*L3659</f>
        <v>0</v>
      </c>
      <c r="O3659" s="32">
        <f>0.00535*L3659</f>
        <v>0</v>
      </c>
      <c r="P3659" s="36"/>
      <c r="Q3659" s="29" t="s">
        <v>12124</v>
      </c>
      <c r="R3659" s="29" t="s">
        <v>611</v>
      </c>
      <c r="S3659" s="26" t="str">
        <f>HYPERLINK("https://miland.ru/api/getInfo/image/e74f97fe-5079-11ed-a21d-ac1f6b442185")</f>
        <v>https://miland.ru/api/getInfo/image/e74f97fe-5079-11ed-a21d-ac1f6b442185</v>
      </c>
    </row>
    <row r="3660" spans="1:19" s="2" customFormat="1" ht="96.2" customHeight="1" outlineLevel="6">
      <c r="A3660" s="52">
        <v>2881</v>
      </c>
      <c r="B3660" s="26" t="s">
        <v>12125</v>
      </c>
      <c r="C3660" s="66" t="s">
        <v>12126</v>
      </c>
      <c r="D3660" s="66"/>
      <c r="E3660" s="66"/>
      <c r="F3660" s="66"/>
      <c r="G3660" s="27" t="s">
        <v>12127</v>
      </c>
      <c r="H3660" s="33">
        <v>154</v>
      </c>
      <c r="I3660" s="29"/>
      <c r="J3660" s="25">
        <v>1</v>
      </c>
      <c r="K3660" s="37">
        <v>1543.63</v>
      </c>
      <c r="L3660" s="17"/>
      <c r="M3660" s="29">
        <f t="shared" si="174"/>
        <v>0</v>
      </c>
      <c r="N3660" s="31">
        <f>1.311*L3660</f>
        <v>0</v>
      </c>
      <c r="O3660" s="32">
        <f>0.00747*L3660</f>
        <v>0</v>
      </c>
      <c r="P3660" s="36"/>
      <c r="Q3660" s="29" t="s">
        <v>12128</v>
      </c>
      <c r="R3660" s="29"/>
      <c r="S3660" s="26" t="str">
        <f>HYPERLINK("https://miland.ru/api/getInfo/image/ef729e64-507b-11ed-a21d-ac1f6b442185")</f>
        <v>https://miland.ru/api/getInfo/image/ef729e64-507b-11ed-a21d-ac1f6b442185</v>
      </c>
    </row>
    <row r="3661" spans="1:19" s="2" customFormat="1" ht="96.2" customHeight="1" outlineLevel="6">
      <c r="A3661" s="52">
        <v>2882</v>
      </c>
      <c r="B3661" s="26" t="s">
        <v>12129</v>
      </c>
      <c r="C3661" s="66" t="s">
        <v>12130</v>
      </c>
      <c r="D3661" s="66"/>
      <c r="E3661" s="66"/>
      <c r="F3661" s="66"/>
      <c r="G3661" s="27" t="s">
        <v>12131</v>
      </c>
      <c r="H3661" s="33">
        <v>311</v>
      </c>
      <c r="I3661" s="29"/>
      <c r="J3661" s="25">
        <v>1</v>
      </c>
      <c r="K3661" s="37">
        <v>1543.63</v>
      </c>
      <c r="L3661" s="17"/>
      <c r="M3661" s="29">
        <f t="shared" si="174"/>
        <v>0</v>
      </c>
      <c r="N3661" s="31">
        <f>1.356*L3661</f>
        <v>0</v>
      </c>
      <c r="O3661" s="32">
        <f>0.00732*L3661</f>
        <v>0</v>
      </c>
      <c r="P3661" s="36"/>
      <c r="Q3661" s="29" t="s">
        <v>12132</v>
      </c>
      <c r="R3661" s="29"/>
      <c r="S3661" s="26" t="str">
        <f>HYPERLINK("https://miland.ru/api/getInfo/image/8aa59d07-507c-11ed-a21d-ac1f6b442185")</f>
        <v>https://miland.ru/api/getInfo/image/8aa59d07-507c-11ed-a21d-ac1f6b442185</v>
      </c>
    </row>
    <row r="3662" spans="1:19" s="2" customFormat="1" ht="96.2" customHeight="1" outlineLevel="6">
      <c r="A3662" s="52">
        <v>2883</v>
      </c>
      <c r="B3662" s="26" t="s">
        <v>12133</v>
      </c>
      <c r="C3662" s="66" t="s">
        <v>12134</v>
      </c>
      <c r="D3662" s="66"/>
      <c r="E3662" s="66"/>
      <c r="F3662" s="66"/>
      <c r="G3662" s="27" t="s">
        <v>12135</v>
      </c>
      <c r="H3662" s="33">
        <v>227</v>
      </c>
      <c r="I3662" s="29"/>
      <c r="J3662" s="25">
        <v>1</v>
      </c>
      <c r="K3662" s="37">
        <v>1543.63</v>
      </c>
      <c r="L3662" s="17"/>
      <c r="M3662" s="29">
        <f t="shared" si="174"/>
        <v>0</v>
      </c>
      <c r="N3662" s="31">
        <f>1.379*L3662</f>
        <v>0</v>
      </c>
      <c r="O3662" s="32">
        <f>0.00763*L3662</f>
        <v>0</v>
      </c>
      <c r="P3662" s="36"/>
      <c r="Q3662" s="29" t="s">
        <v>12136</v>
      </c>
      <c r="R3662" s="29"/>
      <c r="S3662" s="26" t="str">
        <f>HYPERLINK("https://miland.ru/api/getInfo/image/d0e9cd89-507c-11ed-a21d-ac1f6b442185")</f>
        <v>https://miland.ru/api/getInfo/image/d0e9cd89-507c-11ed-a21d-ac1f6b442185</v>
      </c>
    </row>
    <row r="3663" spans="1:19" s="2" customFormat="1" ht="96.2" customHeight="1" outlineLevel="6">
      <c r="A3663" s="52">
        <v>2884</v>
      </c>
      <c r="B3663" s="26" t="s">
        <v>12137</v>
      </c>
      <c r="C3663" s="66" t="s">
        <v>12138</v>
      </c>
      <c r="D3663" s="66"/>
      <c r="E3663" s="66"/>
      <c r="F3663" s="66"/>
      <c r="G3663" s="27" t="s">
        <v>12139</v>
      </c>
      <c r="H3663" s="33">
        <v>1</v>
      </c>
      <c r="I3663" s="29"/>
      <c r="J3663" s="25">
        <v>1</v>
      </c>
      <c r="K3663" s="37">
        <v>1614.54</v>
      </c>
      <c r="L3663" s="17"/>
      <c r="M3663" s="29">
        <f t="shared" si="174"/>
        <v>0</v>
      </c>
      <c r="N3663" s="34">
        <f>1.34*L3663</f>
        <v>0</v>
      </c>
      <c r="O3663" s="32">
        <f>0.00715*L3663</f>
        <v>0</v>
      </c>
      <c r="P3663" s="36"/>
      <c r="Q3663" s="29" t="s">
        <v>12140</v>
      </c>
      <c r="R3663" s="29" t="s">
        <v>611</v>
      </c>
      <c r="S3663" s="26" t="str">
        <f>HYPERLINK("https://miland.ru/api/getInfo/image/89d31fa5-016d-11ef-a25d-00155d82e908")</f>
        <v>https://miland.ru/api/getInfo/image/89d31fa5-016d-11ef-a25d-00155d82e908</v>
      </c>
    </row>
    <row r="3664" spans="1:19" s="2" customFormat="1" ht="96.2" customHeight="1" outlineLevel="6">
      <c r="A3664" s="52">
        <v>2885</v>
      </c>
      <c r="B3664" s="26" t="s">
        <v>12141</v>
      </c>
      <c r="C3664" s="66" t="s">
        <v>12142</v>
      </c>
      <c r="D3664" s="66"/>
      <c r="E3664" s="66"/>
      <c r="F3664" s="66"/>
      <c r="G3664" s="27" t="s">
        <v>12143</v>
      </c>
      <c r="H3664" s="33">
        <v>213</v>
      </c>
      <c r="I3664" s="29"/>
      <c r="J3664" s="25">
        <v>1</v>
      </c>
      <c r="K3664" s="37">
        <v>1614.54</v>
      </c>
      <c r="L3664" s="17"/>
      <c r="M3664" s="29">
        <f t="shared" si="174"/>
        <v>0</v>
      </c>
      <c r="N3664" s="31">
        <f>1.662*L3664</f>
        <v>0</v>
      </c>
      <c r="O3664" s="32">
        <f>0.00824*L3664</f>
        <v>0</v>
      </c>
      <c r="P3664" s="36"/>
      <c r="Q3664" s="29" t="s">
        <v>12144</v>
      </c>
      <c r="R3664" s="29" t="s">
        <v>611</v>
      </c>
      <c r="S3664" s="26" t="str">
        <f>HYPERLINK("https://miland.ru/api/getInfo/image/b6ad6f99-016d-11ef-a25d-00155d82e908")</f>
        <v>https://miland.ru/api/getInfo/image/b6ad6f99-016d-11ef-a25d-00155d82e908</v>
      </c>
    </row>
    <row r="3665" spans="1:19" s="2" customFormat="1" ht="96.2" customHeight="1" outlineLevel="6">
      <c r="A3665" s="52">
        <v>2886</v>
      </c>
      <c r="B3665" s="26" t="s">
        <v>12145</v>
      </c>
      <c r="C3665" s="66" t="s">
        <v>12146</v>
      </c>
      <c r="D3665" s="66"/>
      <c r="E3665" s="66"/>
      <c r="F3665" s="66"/>
      <c r="G3665" s="27" t="s">
        <v>12147</v>
      </c>
      <c r="H3665" s="33">
        <v>264</v>
      </c>
      <c r="I3665" s="29"/>
      <c r="J3665" s="25">
        <v>1</v>
      </c>
      <c r="K3665" s="30">
        <v>894.19</v>
      </c>
      <c r="L3665" s="17"/>
      <c r="M3665" s="29">
        <f t="shared" si="174"/>
        <v>0</v>
      </c>
      <c r="N3665" s="31">
        <f>1.269*L3665</f>
        <v>0</v>
      </c>
      <c r="O3665" s="32">
        <f>0.00702*L3665</f>
        <v>0</v>
      </c>
      <c r="P3665" s="36"/>
      <c r="Q3665" s="29" t="s">
        <v>12148</v>
      </c>
      <c r="R3665" s="29"/>
      <c r="S3665" s="26" t="str">
        <f>HYPERLINK("https://miland.ru/api/getInfo/image/bf0217f4-c048-11ea-a249-ac1f6b442184")</f>
        <v>https://miland.ru/api/getInfo/image/bf0217f4-c048-11ea-a249-ac1f6b442184</v>
      </c>
    </row>
    <row r="3666" spans="1:19" s="2" customFormat="1" ht="96.2" customHeight="1" outlineLevel="6">
      <c r="A3666" s="52">
        <v>2887</v>
      </c>
      <c r="B3666" s="26" t="s">
        <v>12149</v>
      </c>
      <c r="C3666" s="66" t="s">
        <v>12150</v>
      </c>
      <c r="D3666" s="66"/>
      <c r="E3666" s="66"/>
      <c r="F3666" s="66"/>
      <c r="G3666" s="27" t="s">
        <v>12151</v>
      </c>
      <c r="H3666" s="33">
        <v>5</v>
      </c>
      <c r="I3666" s="29"/>
      <c r="J3666" s="25">
        <v>1</v>
      </c>
      <c r="K3666" s="37">
        <v>1390.41</v>
      </c>
      <c r="L3666" s="17"/>
      <c r="M3666" s="29">
        <f t="shared" si="174"/>
        <v>0</v>
      </c>
      <c r="N3666" s="34">
        <f>1.74*L3666</f>
        <v>0</v>
      </c>
      <c r="O3666" s="32">
        <f>0.00765*L3666</f>
        <v>0</v>
      </c>
      <c r="P3666" s="36"/>
      <c r="Q3666" s="29" t="s">
        <v>12152</v>
      </c>
      <c r="R3666" s="29"/>
      <c r="S3666" s="26" t="str">
        <f>HYPERLINK("https://miland.ru/api/getInfo/image/de56d44f-c952-11ed-a230-00155d82e902")</f>
        <v>https://miland.ru/api/getInfo/image/de56d44f-c952-11ed-a230-00155d82e902</v>
      </c>
    </row>
    <row r="3667" spans="1:19" s="2" customFormat="1" ht="96.2" customHeight="1" outlineLevel="6">
      <c r="A3667" s="52">
        <v>2888</v>
      </c>
      <c r="B3667" s="26" t="s">
        <v>12153</v>
      </c>
      <c r="C3667" s="66" t="s">
        <v>12154</v>
      </c>
      <c r="D3667" s="66"/>
      <c r="E3667" s="66"/>
      <c r="F3667" s="66"/>
      <c r="G3667" s="27" t="s">
        <v>12155</v>
      </c>
      <c r="H3667" s="33">
        <v>151</v>
      </c>
      <c r="I3667" s="29"/>
      <c r="J3667" s="25">
        <v>1</v>
      </c>
      <c r="K3667" s="37">
        <v>1390.41</v>
      </c>
      <c r="L3667" s="17"/>
      <c r="M3667" s="29">
        <f t="shared" si="174"/>
        <v>0</v>
      </c>
      <c r="N3667" s="31">
        <f>1.701*L3667</f>
        <v>0</v>
      </c>
      <c r="O3667" s="32">
        <f>0.00734*L3667</f>
        <v>0</v>
      </c>
      <c r="P3667" s="36"/>
      <c r="Q3667" s="29" t="s">
        <v>12156</v>
      </c>
      <c r="R3667" s="29"/>
      <c r="S3667" s="26" t="str">
        <f>HYPERLINK("https://miland.ru/api/getInfo/image/97641912-c952-11ed-a230-00155d82e902")</f>
        <v>https://miland.ru/api/getInfo/image/97641912-c952-11ed-a230-00155d82e902</v>
      </c>
    </row>
    <row r="3668" spans="1:19" s="2" customFormat="1" ht="96.2" customHeight="1" outlineLevel="6">
      <c r="A3668" s="52">
        <v>2889</v>
      </c>
      <c r="B3668" s="26" t="s">
        <v>12157</v>
      </c>
      <c r="C3668" s="66" t="s">
        <v>12158</v>
      </c>
      <c r="D3668" s="66"/>
      <c r="E3668" s="66"/>
      <c r="F3668" s="66"/>
      <c r="G3668" s="27" t="s">
        <v>12159</v>
      </c>
      <c r="H3668" s="33">
        <v>295</v>
      </c>
      <c r="I3668" s="29"/>
      <c r="J3668" s="25">
        <v>1</v>
      </c>
      <c r="K3668" s="30">
        <v>925.76</v>
      </c>
      <c r="L3668" s="17"/>
      <c r="M3668" s="29">
        <f t="shared" si="174"/>
        <v>0</v>
      </c>
      <c r="N3668" s="31">
        <f>1.418*L3668</f>
        <v>0</v>
      </c>
      <c r="O3668" s="32">
        <f>0.00603*L3668</f>
        <v>0</v>
      </c>
      <c r="P3668" s="36"/>
      <c r="Q3668" s="29" t="s">
        <v>12160</v>
      </c>
      <c r="R3668" s="29"/>
      <c r="S3668" s="26" t="str">
        <f>HYPERLINK("https://miland.ru/api/getInfo/image/869cc997-79f0-11ec-a211-ac1f6b442185")</f>
        <v>https://miland.ru/api/getInfo/image/869cc997-79f0-11ec-a211-ac1f6b442185</v>
      </c>
    </row>
    <row r="3669" spans="1:19" s="2" customFormat="1" ht="96.2" customHeight="1" outlineLevel="6">
      <c r="A3669" s="52">
        <v>2890</v>
      </c>
      <c r="B3669" s="26" t="s">
        <v>12161</v>
      </c>
      <c r="C3669" s="66" t="s">
        <v>12162</v>
      </c>
      <c r="D3669" s="66"/>
      <c r="E3669" s="66"/>
      <c r="F3669" s="66"/>
      <c r="G3669" s="27" t="s">
        <v>12163</v>
      </c>
      <c r="H3669" s="33">
        <v>97</v>
      </c>
      <c r="I3669" s="29"/>
      <c r="J3669" s="25">
        <v>1</v>
      </c>
      <c r="K3669" s="30">
        <v>925.76</v>
      </c>
      <c r="L3669" s="17"/>
      <c r="M3669" s="29">
        <f t="shared" si="174"/>
        <v>0</v>
      </c>
      <c r="N3669" s="31">
        <f>1.436*L3669</f>
        <v>0</v>
      </c>
      <c r="O3669" s="35">
        <f>0.0063*L3669</f>
        <v>0</v>
      </c>
      <c r="P3669" s="36"/>
      <c r="Q3669" s="29" t="s">
        <v>12164</v>
      </c>
      <c r="R3669" s="29"/>
      <c r="S3669" s="26" t="str">
        <f>HYPERLINK("https://miland.ru/api/getInfo/image/f5da3c17-79ef-11ec-a211-ac1f6b442185")</f>
        <v>https://miland.ru/api/getInfo/image/f5da3c17-79ef-11ec-a211-ac1f6b442185</v>
      </c>
    </row>
    <row r="3670" spans="1:19" s="2" customFormat="1" ht="96.2" customHeight="1" outlineLevel="6">
      <c r="A3670" s="52">
        <v>2891</v>
      </c>
      <c r="B3670" s="26" t="s">
        <v>12165</v>
      </c>
      <c r="C3670" s="66" t="s">
        <v>12166</v>
      </c>
      <c r="D3670" s="66"/>
      <c r="E3670" s="66"/>
      <c r="F3670" s="66"/>
      <c r="G3670" s="27" t="s">
        <v>12167</v>
      </c>
      <c r="H3670" s="33">
        <v>2</v>
      </c>
      <c r="I3670" s="29"/>
      <c r="J3670" s="25">
        <v>1</v>
      </c>
      <c r="K3670" s="37">
        <v>1614.54</v>
      </c>
      <c r="L3670" s="17"/>
      <c r="M3670" s="29">
        <f t="shared" si="174"/>
        <v>0</v>
      </c>
      <c r="N3670" s="31">
        <f>1.683*L3670</f>
        <v>0</v>
      </c>
      <c r="O3670" s="32">
        <f>0.00722*L3670</f>
        <v>0</v>
      </c>
      <c r="P3670" s="36"/>
      <c r="Q3670" s="29" t="s">
        <v>12168</v>
      </c>
      <c r="R3670" s="29"/>
      <c r="S3670" s="26" t="str">
        <f>HYPERLINK("https://miland.ru/api/getInfo/image/2a5844b8-c953-11ed-a230-00155d82e902")</f>
        <v>https://miland.ru/api/getInfo/image/2a5844b8-c953-11ed-a230-00155d82e902</v>
      </c>
    </row>
    <row r="3671" spans="1:19" s="2" customFormat="1" ht="96.2" customHeight="1" outlineLevel="6">
      <c r="A3671" s="52">
        <v>2892</v>
      </c>
      <c r="B3671" s="26" t="s">
        <v>12169</v>
      </c>
      <c r="C3671" s="66" t="s">
        <v>12170</v>
      </c>
      <c r="D3671" s="66"/>
      <c r="E3671" s="66"/>
      <c r="F3671" s="66"/>
      <c r="G3671" s="27" t="s">
        <v>12171</v>
      </c>
      <c r="H3671" s="33">
        <v>8</v>
      </c>
      <c r="I3671" s="29"/>
      <c r="J3671" s="25">
        <v>1</v>
      </c>
      <c r="K3671" s="37">
        <v>1614.54</v>
      </c>
      <c r="L3671" s="17"/>
      <c r="M3671" s="29">
        <f t="shared" si="174"/>
        <v>0</v>
      </c>
      <c r="N3671" s="31">
        <f>1.485*L3671</f>
        <v>0</v>
      </c>
      <c r="O3671" s="32">
        <f>0.00588*L3671</f>
        <v>0</v>
      </c>
      <c r="P3671" s="36"/>
      <c r="Q3671" s="29" t="s">
        <v>12172</v>
      </c>
      <c r="R3671" s="29" t="s">
        <v>611</v>
      </c>
      <c r="S3671" s="26" t="str">
        <f>HYPERLINK("https://miland.ru/api/getInfo/image/49745f63-c951-11ed-a230-00155d82e902")</f>
        <v>https://miland.ru/api/getInfo/image/49745f63-c951-11ed-a230-00155d82e902</v>
      </c>
    </row>
    <row r="3672" spans="1:19" s="2" customFormat="1" ht="96.2" customHeight="1" outlineLevel="6">
      <c r="A3672" s="52">
        <v>2893</v>
      </c>
      <c r="B3672" s="26" t="s">
        <v>12173</v>
      </c>
      <c r="C3672" s="66" t="s">
        <v>12174</v>
      </c>
      <c r="D3672" s="66"/>
      <c r="E3672" s="66"/>
      <c r="F3672" s="66"/>
      <c r="G3672" s="27" t="s">
        <v>12175</v>
      </c>
      <c r="H3672" s="33">
        <v>1</v>
      </c>
      <c r="I3672" s="29"/>
      <c r="J3672" s="25">
        <v>1</v>
      </c>
      <c r="K3672" s="37">
        <v>1614.54</v>
      </c>
      <c r="L3672" s="17"/>
      <c r="M3672" s="29">
        <f t="shared" si="174"/>
        <v>0</v>
      </c>
      <c r="N3672" s="31">
        <f>1.434*L3672</f>
        <v>0</v>
      </c>
      <c r="O3672" s="32">
        <f>0.00466*L3672</f>
        <v>0</v>
      </c>
      <c r="P3672" s="36"/>
      <c r="Q3672" s="29" t="s">
        <v>12176</v>
      </c>
      <c r="R3672" s="29" t="s">
        <v>611</v>
      </c>
      <c r="S3672" s="26" t="str">
        <f>HYPERLINK("https://miland.ru/api/getInfo/image/04db43e8-c952-11ed-a230-00155d82e902")</f>
        <v>https://miland.ru/api/getInfo/image/04db43e8-c952-11ed-a230-00155d82e902</v>
      </c>
    </row>
    <row r="3673" spans="1:19" s="1" customFormat="1" ht="12" customHeight="1" outlineLevel="5">
      <c r="A3673" s="64" t="s">
        <v>12177</v>
      </c>
      <c r="B3673" s="64"/>
      <c r="C3673" s="64"/>
      <c r="D3673" s="64"/>
      <c r="E3673" s="64"/>
      <c r="F3673" s="64"/>
      <c r="G3673" s="8"/>
      <c r="H3673" s="12"/>
      <c r="I3673" s="2"/>
      <c r="J3673" s="2"/>
      <c r="K3673" s="13"/>
      <c r="L3673" s="2"/>
      <c r="M3673" s="2"/>
      <c r="N3673" s="2"/>
      <c r="O3673" s="2"/>
      <c r="P3673" s="2"/>
      <c r="Q3673" s="2"/>
      <c r="R3673" s="2"/>
      <c r="S3673" s="2"/>
    </row>
    <row r="3674" spans="1:19" s="2" customFormat="1" ht="96.2" customHeight="1" outlineLevel="6">
      <c r="A3674" s="52">
        <v>2894</v>
      </c>
      <c r="B3674" s="26" t="s">
        <v>12178</v>
      </c>
      <c r="C3674" s="66" t="s">
        <v>12179</v>
      </c>
      <c r="D3674" s="66"/>
      <c r="E3674" s="66"/>
      <c r="F3674" s="66"/>
      <c r="G3674" s="27" t="s">
        <v>12180</v>
      </c>
      <c r="H3674" s="33">
        <v>485</v>
      </c>
      <c r="I3674" s="29"/>
      <c r="J3674" s="25">
        <v>1</v>
      </c>
      <c r="K3674" s="30">
        <v>691.97</v>
      </c>
      <c r="L3674" s="17"/>
      <c r="M3674" s="29">
        <f t="shared" ref="M3674:M3686" si="175">K3674*L3674</f>
        <v>0</v>
      </c>
      <c r="N3674" s="31">
        <f>0.901*L3674</f>
        <v>0</v>
      </c>
      <c r="O3674" s="32">
        <f>0.00366*L3674</f>
        <v>0</v>
      </c>
      <c r="P3674" s="36"/>
      <c r="Q3674" s="29" t="s">
        <v>12181</v>
      </c>
      <c r="R3674" s="29"/>
      <c r="S3674" s="26" t="str">
        <f>HYPERLINK("https://miland.ru/api/getInfo/image/aa36bcd9-5070-11ed-a21d-ac1f6b442185")</f>
        <v>https://miland.ru/api/getInfo/image/aa36bcd9-5070-11ed-a21d-ac1f6b442185</v>
      </c>
    </row>
    <row r="3675" spans="1:19" s="2" customFormat="1" ht="96.2" customHeight="1" outlineLevel="6">
      <c r="A3675" s="52">
        <v>2895</v>
      </c>
      <c r="B3675" s="26" t="s">
        <v>12182</v>
      </c>
      <c r="C3675" s="66" t="s">
        <v>12183</v>
      </c>
      <c r="D3675" s="66"/>
      <c r="E3675" s="66"/>
      <c r="F3675" s="66"/>
      <c r="G3675" s="27" t="s">
        <v>12184</v>
      </c>
      <c r="H3675" s="33">
        <v>110</v>
      </c>
      <c r="I3675" s="29"/>
      <c r="J3675" s="25">
        <v>1</v>
      </c>
      <c r="K3675" s="30">
        <v>430.95</v>
      </c>
      <c r="L3675" s="17"/>
      <c r="M3675" s="29">
        <f t="shared" si="175"/>
        <v>0</v>
      </c>
      <c r="N3675" s="31">
        <f>0.466*L3675</f>
        <v>0</v>
      </c>
      <c r="O3675" s="32">
        <f>0.00194*L3675</f>
        <v>0</v>
      </c>
      <c r="P3675" s="36"/>
      <c r="Q3675" s="29" t="s">
        <v>12185</v>
      </c>
      <c r="R3675" s="29"/>
      <c r="S3675" s="26" t="str">
        <f>HYPERLINK("https://miland.ru/api/getInfo/image/6d57c633-376b-11ee-a240-00155d82e902")</f>
        <v>https://miland.ru/api/getInfo/image/6d57c633-376b-11ee-a240-00155d82e902</v>
      </c>
    </row>
    <row r="3676" spans="1:19" s="2" customFormat="1" ht="96.2" customHeight="1" outlineLevel="6">
      <c r="A3676" s="52">
        <v>2896</v>
      </c>
      <c r="B3676" s="26" t="s">
        <v>12186</v>
      </c>
      <c r="C3676" s="66" t="s">
        <v>12187</v>
      </c>
      <c r="D3676" s="66"/>
      <c r="E3676" s="66"/>
      <c r="F3676" s="66"/>
      <c r="G3676" s="27" t="s">
        <v>12188</v>
      </c>
      <c r="H3676" s="33">
        <v>377</v>
      </c>
      <c r="I3676" s="29"/>
      <c r="J3676" s="25">
        <v>1</v>
      </c>
      <c r="K3676" s="30">
        <v>430.95</v>
      </c>
      <c r="L3676" s="17"/>
      <c r="M3676" s="29">
        <f t="shared" si="175"/>
        <v>0</v>
      </c>
      <c r="N3676" s="31">
        <f>0.573*L3676</f>
        <v>0</v>
      </c>
      <c r="O3676" s="32">
        <f>0.00347*L3676</f>
        <v>0</v>
      </c>
      <c r="P3676" s="36"/>
      <c r="Q3676" s="29" t="s">
        <v>12189</v>
      </c>
      <c r="R3676" s="29"/>
      <c r="S3676" s="26" t="str">
        <f>HYPERLINK("https://miland.ru/api/getInfo/image/202eaaeb-376b-11ee-a240-00155d82e902")</f>
        <v>https://miland.ru/api/getInfo/image/202eaaeb-376b-11ee-a240-00155d82e902</v>
      </c>
    </row>
    <row r="3677" spans="1:19" s="2" customFormat="1" ht="96.2" customHeight="1" outlineLevel="6">
      <c r="A3677" s="52">
        <v>2897</v>
      </c>
      <c r="B3677" s="26" t="s">
        <v>12190</v>
      </c>
      <c r="C3677" s="66" t="s">
        <v>12191</v>
      </c>
      <c r="D3677" s="66"/>
      <c r="E3677" s="66"/>
      <c r="F3677" s="66"/>
      <c r="G3677" s="27" t="s">
        <v>12192</v>
      </c>
      <c r="H3677" s="33">
        <v>43</v>
      </c>
      <c r="I3677" s="29"/>
      <c r="J3677" s="25">
        <v>1</v>
      </c>
      <c r="K3677" s="30">
        <v>430.95</v>
      </c>
      <c r="L3677" s="17"/>
      <c r="M3677" s="29">
        <f t="shared" si="175"/>
        <v>0</v>
      </c>
      <c r="N3677" s="31">
        <f>0.463*L3677</f>
        <v>0</v>
      </c>
      <c r="O3677" s="35">
        <f>0.0013*L3677</f>
        <v>0</v>
      </c>
      <c r="P3677" s="36"/>
      <c r="Q3677" s="29" t="s">
        <v>12193</v>
      </c>
      <c r="R3677" s="29"/>
      <c r="S3677" s="26" t="str">
        <f>HYPERLINK("https://miland.ru/api/getInfo/image/46ea8f6e-376b-11ee-a240-00155d82e902")</f>
        <v>https://miland.ru/api/getInfo/image/46ea8f6e-376b-11ee-a240-00155d82e902</v>
      </c>
    </row>
    <row r="3678" spans="1:19" s="2" customFormat="1" ht="96.2" customHeight="1" outlineLevel="6">
      <c r="A3678" s="52">
        <v>2898</v>
      </c>
      <c r="B3678" s="26" t="s">
        <v>12194</v>
      </c>
      <c r="C3678" s="66" t="s">
        <v>12195</v>
      </c>
      <c r="D3678" s="66"/>
      <c r="E3678" s="66"/>
      <c r="F3678" s="66"/>
      <c r="G3678" s="27" t="s">
        <v>12196</v>
      </c>
      <c r="H3678" s="33">
        <v>374</v>
      </c>
      <c r="I3678" s="29"/>
      <c r="J3678" s="25">
        <v>1</v>
      </c>
      <c r="K3678" s="30">
        <v>691.97</v>
      </c>
      <c r="L3678" s="17"/>
      <c r="M3678" s="29">
        <f t="shared" si="175"/>
        <v>0</v>
      </c>
      <c r="N3678" s="31">
        <f>0.986*L3678</f>
        <v>0</v>
      </c>
      <c r="O3678" s="32">
        <f>0.00377*L3678</f>
        <v>0</v>
      </c>
      <c r="P3678" s="36"/>
      <c r="Q3678" s="29" t="s">
        <v>12197</v>
      </c>
      <c r="R3678" s="29"/>
      <c r="S3678" s="26" t="str">
        <f>HYPERLINK("https://miland.ru/api/getInfo/image/c6c2f28a-3546-11f0-a27c-00155d82e908")</f>
        <v>https://miland.ru/api/getInfo/image/c6c2f28a-3546-11f0-a27c-00155d82e908</v>
      </c>
    </row>
    <row r="3679" spans="1:19" s="2" customFormat="1" ht="96.2" customHeight="1" outlineLevel="6">
      <c r="A3679" s="52">
        <v>2899</v>
      </c>
      <c r="B3679" s="26" t="s">
        <v>12198</v>
      </c>
      <c r="C3679" s="66" t="s">
        <v>12199</v>
      </c>
      <c r="D3679" s="66"/>
      <c r="E3679" s="66"/>
      <c r="F3679" s="66"/>
      <c r="G3679" s="27" t="s">
        <v>12200</v>
      </c>
      <c r="H3679" s="33">
        <v>395</v>
      </c>
      <c r="I3679" s="29"/>
      <c r="J3679" s="25">
        <v>1</v>
      </c>
      <c r="K3679" s="30">
        <v>691.97</v>
      </c>
      <c r="L3679" s="17"/>
      <c r="M3679" s="29">
        <f t="shared" si="175"/>
        <v>0</v>
      </c>
      <c r="N3679" s="31">
        <f>0.882*L3679</f>
        <v>0</v>
      </c>
      <c r="O3679" s="32">
        <f>0.00364*L3679</f>
        <v>0</v>
      </c>
      <c r="P3679" s="36"/>
      <c r="Q3679" s="29" t="s">
        <v>12201</v>
      </c>
      <c r="R3679" s="29"/>
      <c r="S3679" s="26" t="str">
        <f>HYPERLINK("https://miland.ru/api/getInfo/image/1d006bd3-3548-11f0-a27c-00155d82e908")</f>
        <v>https://miland.ru/api/getInfo/image/1d006bd3-3548-11f0-a27c-00155d82e908</v>
      </c>
    </row>
    <row r="3680" spans="1:19" s="2" customFormat="1" ht="96.2" customHeight="1" outlineLevel="6">
      <c r="A3680" s="52">
        <v>2900</v>
      </c>
      <c r="B3680" s="26" t="s">
        <v>12202</v>
      </c>
      <c r="C3680" s="66" t="s">
        <v>12203</v>
      </c>
      <c r="D3680" s="66"/>
      <c r="E3680" s="66"/>
      <c r="F3680" s="66"/>
      <c r="G3680" s="27" t="s">
        <v>12204</v>
      </c>
      <c r="H3680" s="33">
        <v>283</v>
      </c>
      <c r="I3680" s="29"/>
      <c r="J3680" s="25">
        <v>1</v>
      </c>
      <c r="K3680" s="30">
        <v>691.97</v>
      </c>
      <c r="L3680" s="17"/>
      <c r="M3680" s="29">
        <f t="shared" si="175"/>
        <v>0</v>
      </c>
      <c r="N3680" s="41">
        <f>0.9*L3680</f>
        <v>0</v>
      </c>
      <c r="O3680" s="32">
        <f>0.00353*L3680</f>
        <v>0</v>
      </c>
      <c r="P3680" s="36"/>
      <c r="Q3680" s="29" t="s">
        <v>12205</v>
      </c>
      <c r="R3680" s="29"/>
      <c r="S3680" s="26" t="str">
        <f>HYPERLINK("https://miland.ru/api/getInfo/image/3cfe1aac-5070-11ed-a21d-ac1f6b442185")</f>
        <v>https://miland.ru/api/getInfo/image/3cfe1aac-5070-11ed-a21d-ac1f6b442185</v>
      </c>
    </row>
    <row r="3681" spans="1:19" s="2" customFormat="1" ht="96.2" customHeight="1" outlineLevel="6">
      <c r="A3681" s="52">
        <v>2901</v>
      </c>
      <c r="B3681" s="26" t="s">
        <v>12206</v>
      </c>
      <c r="C3681" s="66" t="s">
        <v>12207</v>
      </c>
      <c r="D3681" s="66"/>
      <c r="E3681" s="66"/>
      <c r="F3681" s="66"/>
      <c r="G3681" s="27" t="s">
        <v>12208</v>
      </c>
      <c r="H3681" s="33">
        <v>371</v>
      </c>
      <c r="I3681" s="29"/>
      <c r="J3681" s="25">
        <v>1</v>
      </c>
      <c r="K3681" s="30">
        <v>691.97</v>
      </c>
      <c r="L3681" s="17"/>
      <c r="M3681" s="29">
        <f t="shared" si="175"/>
        <v>0</v>
      </c>
      <c r="N3681" s="31">
        <f>0.899*L3681</f>
        <v>0</v>
      </c>
      <c r="O3681" s="35">
        <f>0.0037*L3681</f>
        <v>0</v>
      </c>
      <c r="P3681" s="36"/>
      <c r="Q3681" s="29" t="s">
        <v>12209</v>
      </c>
      <c r="R3681" s="29"/>
      <c r="S3681" s="26" t="str">
        <f>HYPERLINK("https://miland.ru/api/getInfo/image/daf19b8c-3547-11f0-a27c-00155d82e908")</f>
        <v>https://miland.ru/api/getInfo/image/daf19b8c-3547-11f0-a27c-00155d82e908</v>
      </c>
    </row>
    <row r="3682" spans="1:19" s="2" customFormat="1" ht="96.2" customHeight="1" outlineLevel="6">
      <c r="A3682" s="52">
        <v>2902</v>
      </c>
      <c r="B3682" s="26" t="s">
        <v>12210</v>
      </c>
      <c r="C3682" s="66" t="s">
        <v>12211</v>
      </c>
      <c r="D3682" s="66"/>
      <c r="E3682" s="66"/>
      <c r="F3682" s="66"/>
      <c r="G3682" s="27" t="s">
        <v>12212</v>
      </c>
      <c r="H3682" s="33">
        <v>375</v>
      </c>
      <c r="I3682" s="29"/>
      <c r="J3682" s="25">
        <v>1</v>
      </c>
      <c r="K3682" s="30">
        <v>691.97</v>
      </c>
      <c r="L3682" s="17"/>
      <c r="M3682" s="29">
        <f t="shared" si="175"/>
        <v>0</v>
      </c>
      <c r="N3682" s="31">
        <f>0.903*L3682</f>
        <v>0</v>
      </c>
      <c r="O3682" s="32">
        <f>0.00033*L3682</f>
        <v>0</v>
      </c>
      <c r="P3682" s="36"/>
      <c r="Q3682" s="29" t="s">
        <v>12213</v>
      </c>
      <c r="R3682" s="29"/>
      <c r="S3682" s="26" t="str">
        <f>HYPERLINK("https://miland.ru/api/getInfo/image/9d7d5c27-3548-11f0-a27c-00155d82e908")</f>
        <v>https://miland.ru/api/getInfo/image/9d7d5c27-3548-11f0-a27c-00155d82e908</v>
      </c>
    </row>
    <row r="3683" spans="1:19" s="2" customFormat="1" ht="96.2" customHeight="1" outlineLevel="6">
      <c r="A3683" s="52">
        <v>2903</v>
      </c>
      <c r="B3683" s="26" t="s">
        <v>12214</v>
      </c>
      <c r="C3683" s="66" t="s">
        <v>12215</v>
      </c>
      <c r="D3683" s="66"/>
      <c r="E3683" s="66"/>
      <c r="F3683" s="66"/>
      <c r="G3683" s="27" t="s">
        <v>12216</v>
      </c>
      <c r="H3683" s="33">
        <v>413</v>
      </c>
      <c r="I3683" s="29"/>
      <c r="J3683" s="25">
        <v>1</v>
      </c>
      <c r="K3683" s="30">
        <v>691.97</v>
      </c>
      <c r="L3683" s="17"/>
      <c r="M3683" s="29">
        <f t="shared" si="175"/>
        <v>0</v>
      </c>
      <c r="N3683" s="31">
        <f>0.896*L3683</f>
        <v>0</v>
      </c>
      <c r="O3683" s="32">
        <f>0.00357*L3683</f>
        <v>0</v>
      </c>
      <c r="P3683" s="36"/>
      <c r="Q3683" s="29" t="s">
        <v>12217</v>
      </c>
      <c r="R3683" s="29"/>
      <c r="S3683" s="26" t="str">
        <f>HYPERLINK("https://miland.ru/api/getInfo/image/de6896a0-3548-11f0-a27c-00155d82e908")</f>
        <v>https://miland.ru/api/getInfo/image/de6896a0-3548-11f0-a27c-00155d82e908</v>
      </c>
    </row>
    <row r="3684" spans="1:19" s="2" customFormat="1" ht="96.2" customHeight="1" outlineLevel="6">
      <c r="A3684" s="52">
        <v>2904</v>
      </c>
      <c r="B3684" s="26" t="s">
        <v>12218</v>
      </c>
      <c r="C3684" s="66" t="s">
        <v>12219</v>
      </c>
      <c r="D3684" s="66"/>
      <c r="E3684" s="66"/>
      <c r="F3684" s="66"/>
      <c r="G3684" s="27" t="s">
        <v>12220</v>
      </c>
      <c r="H3684" s="33">
        <v>330</v>
      </c>
      <c r="I3684" s="29"/>
      <c r="J3684" s="25">
        <v>1</v>
      </c>
      <c r="K3684" s="30">
        <v>691.97</v>
      </c>
      <c r="L3684" s="17"/>
      <c r="M3684" s="29">
        <f t="shared" si="175"/>
        <v>0</v>
      </c>
      <c r="N3684" s="31">
        <f>0.899*L3684</f>
        <v>0</v>
      </c>
      <c r="O3684" s="32">
        <f>0.00345*L3684</f>
        <v>0</v>
      </c>
      <c r="P3684" s="36"/>
      <c r="Q3684" s="29" t="s">
        <v>12221</v>
      </c>
      <c r="R3684" s="29"/>
      <c r="S3684" s="26" t="str">
        <f>HYPERLINK("https://miland.ru/api/getInfo/image/5e6c975a-3548-11f0-a27c-00155d82e908")</f>
        <v>https://miland.ru/api/getInfo/image/5e6c975a-3548-11f0-a27c-00155d82e908</v>
      </c>
    </row>
    <row r="3685" spans="1:19" s="2" customFormat="1" ht="96.2" customHeight="1" outlineLevel="6">
      <c r="A3685" s="52">
        <v>2905</v>
      </c>
      <c r="B3685" s="26" t="s">
        <v>12222</v>
      </c>
      <c r="C3685" s="66" t="s">
        <v>12223</v>
      </c>
      <c r="D3685" s="66"/>
      <c r="E3685" s="66"/>
      <c r="F3685" s="66"/>
      <c r="G3685" s="27" t="s">
        <v>12224</v>
      </c>
      <c r="H3685" s="33">
        <v>301</v>
      </c>
      <c r="I3685" s="29"/>
      <c r="J3685" s="25">
        <v>1</v>
      </c>
      <c r="K3685" s="30">
        <v>691.97</v>
      </c>
      <c r="L3685" s="17"/>
      <c r="M3685" s="29">
        <f t="shared" si="175"/>
        <v>0</v>
      </c>
      <c r="N3685" s="31">
        <f>0.897*L3685</f>
        <v>0</v>
      </c>
      <c r="O3685" s="32">
        <f>0.00358*L3685</f>
        <v>0</v>
      </c>
      <c r="P3685" s="36"/>
      <c r="Q3685" s="29" t="s">
        <v>12225</v>
      </c>
      <c r="R3685" s="29"/>
      <c r="S3685" s="26" t="str">
        <f>HYPERLINK("https://miland.ru/api/getInfo/image/7816ce96-506d-11ed-a21d-ac1f6b442185")</f>
        <v>https://miland.ru/api/getInfo/image/7816ce96-506d-11ed-a21d-ac1f6b442185</v>
      </c>
    </row>
    <row r="3686" spans="1:19" s="2" customFormat="1" ht="96.2" customHeight="1" outlineLevel="6">
      <c r="A3686" s="52">
        <v>2906</v>
      </c>
      <c r="B3686" s="26" t="s">
        <v>12226</v>
      </c>
      <c r="C3686" s="66" t="s">
        <v>12227</v>
      </c>
      <c r="D3686" s="66"/>
      <c r="E3686" s="66"/>
      <c r="F3686" s="66"/>
      <c r="G3686" s="27" t="s">
        <v>12228</v>
      </c>
      <c r="H3686" s="33">
        <v>278</v>
      </c>
      <c r="I3686" s="29"/>
      <c r="J3686" s="25">
        <v>1</v>
      </c>
      <c r="K3686" s="30">
        <v>691.97</v>
      </c>
      <c r="L3686" s="17"/>
      <c r="M3686" s="29">
        <f t="shared" si="175"/>
        <v>0</v>
      </c>
      <c r="N3686" s="31">
        <f>0.899*L3686</f>
        <v>0</v>
      </c>
      <c r="O3686" s="32">
        <f>0.00341*L3686</f>
        <v>0</v>
      </c>
      <c r="P3686" s="36"/>
      <c r="Q3686" s="29" t="s">
        <v>12229</v>
      </c>
      <c r="R3686" s="29"/>
      <c r="S3686" s="26" t="str">
        <f>HYPERLINK("https://miland.ru/api/getInfo/image/ff125439-5070-11ed-a21d-ac1f6b442185")</f>
        <v>https://miland.ru/api/getInfo/image/ff125439-5070-11ed-a21d-ac1f6b442185</v>
      </c>
    </row>
    <row r="3687" spans="1:19" s="1" customFormat="1" ht="12" customHeight="1" outlineLevel="5">
      <c r="A3687" s="64" t="s">
        <v>12230</v>
      </c>
      <c r="B3687" s="64"/>
      <c r="C3687" s="64"/>
      <c r="D3687" s="64"/>
      <c r="E3687" s="64"/>
      <c r="F3687" s="64"/>
      <c r="G3687" s="8"/>
      <c r="H3687" s="12"/>
      <c r="I3687" s="2"/>
      <c r="J3687" s="2"/>
      <c r="K3687" s="13"/>
      <c r="L3687" s="2"/>
      <c r="M3687" s="2"/>
      <c r="N3687" s="2"/>
      <c r="O3687" s="2"/>
      <c r="P3687" s="2"/>
      <c r="Q3687" s="2"/>
      <c r="R3687" s="2"/>
      <c r="S3687" s="2"/>
    </row>
    <row r="3688" spans="1:19" s="2" customFormat="1" ht="96.2" customHeight="1" outlineLevel="6">
      <c r="A3688" s="52">
        <v>2907</v>
      </c>
      <c r="B3688" s="26" t="s">
        <v>12231</v>
      </c>
      <c r="C3688" s="66" t="s">
        <v>12232</v>
      </c>
      <c r="D3688" s="66"/>
      <c r="E3688" s="66"/>
      <c r="F3688" s="66"/>
      <c r="G3688" s="27" t="s">
        <v>12233</v>
      </c>
      <c r="H3688" s="33">
        <v>3</v>
      </c>
      <c r="I3688" s="29"/>
      <c r="J3688" s="25">
        <v>1</v>
      </c>
      <c r="K3688" s="37">
        <v>1182.3800000000001</v>
      </c>
      <c r="L3688" s="17"/>
      <c r="M3688" s="29">
        <f>K3688*L3688</f>
        <v>0</v>
      </c>
      <c r="N3688" s="31">
        <f>1.162*L3688</f>
        <v>0</v>
      </c>
      <c r="O3688" s="32">
        <f>0.00348*L3688</f>
        <v>0</v>
      </c>
      <c r="P3688" s="36"/>
      <c r="Q3688" s="29" t="s">
        <v>12234</v>
      </c>
      <c r="R3688" s="29" t="s">
        <v>611</v>
      </c>
      <c r="S3688" s="26" t="str">
        <f>HYPERLINK("https://miland.ru/api/getInfo/image/17f83270-0174-11ef-a25d-00155d82e908")</f>
        <v>https://miland.ru/api/getInfo/image/17f83270-0174-11ef-a25d-00155d82e908</v>
      </c>
    </row>
    <row r="3689" spans="1:19" s="2" customFormat="1" ht="96.2" customHeight="1" outlineLevel="6">
      <c r="A3689" s="52">
        <v>2908</v>
      </c>
      <c r="B3689" s="26" t="s">
        <v>12235</v>
      </c>
      <c r="C3689" s="66" t="s">
        <v>12236</v>
      </c>
      <c r="D3689" s="66"/>
      <c r="E3689" s="66"/>
      <c r="F3689" s="66"/>
      <c r="G3689" s="27" t="s">
        <v>12237</v>
      </c>
      <c r="H3689" s="33">
        <v>3</v>
      </c>
      <c r="I3689" s="29"/>
      <c r="J3689" s="25">
        <v>1</v>
      </c>
      <c r="K3689" s="37">
        <v>1392.5</v>
      </c>
      <c r="L3689" s="17"/>
      <c r="M3689" s="29">
        <f>K3689*L3689</f>
        <v>0</v>
      </c>
      <c r="N3689" s="31">
        <f>0.915*L3689</f>
        <v>0</v>
      </c>
      <c r="O3689" s="32">
        <f>0.00251*L3689</f>
        <v>0</v>
      </c>
      <c r="P3689" s="36"/>
      <c r="Q3689" s="29" t="s">
        <v>12238</v>
      </c>
      <c r="R3689" s="29" t="s">
        <v>611</v>
      </c>
      <c r="S3689" s="26" t="str">
        <f>HYPERLINK("https://miland.ru/api/getInfo/image/10484f89-0173-11ef-a25d-00155d82e908")</f>
        <v>https://miland.ru/api/getInfo/image/10484f89-0173-11ef-a25d-00155d82e908</v>
      </c>
    </row>
    <row r="3690" spans="1:19" s="2" customFormat="1" ht="96.2" customHeight="1" outlineLevel="6">
      <c r="A3690" s="52">
        <v>2909</v>
      </c>
      <c r="B3690" s="26" t="s">
        <v>12239</v>
      </c>
      <c r="C3690" s="66" t="s">
        <v>12240</v>
      </c>
      <c r="D3690" s="66"/>
      <c r="E3690" s="66"/>
      <c r="F3690" s="66"/>
      <c r="G3690" s="27" t="s">
        <v>12241</v>
      </c>
      <c r="H3690" s="33">
        <v>3</v>
      </c>
      <c r="I3690" s="29"/>
      <c r="J3690" s="25">
        <v>1</v>
      </c>
      <c r="K3690" s="30">
        <v>473.78</v>
      </c>
      <c r="L3690" s="17"/>
      <c r="M3690" s="29">
        <f>K3690*L3690</f>
        <v>0</v>
      </c>
      <c r="N3690" s="34">
        <f>0.29*L3690</f>
        <v>0</v>
      </c>
      <c r="O3690" s="32">
        <f>0.00122*L3690</f>
        <v>0</v>
      </c>
      <c r="P3690" s="36"/>
      <c r="Q3690" s="29" t="s">
        <v>12242</v>
      </c>
      <c r="R3690" s="29" t="s">
        <v>611</v>
      </c>
      <c r="S3690" s="26" t="str">
        <f>HYPERLINK("https://miland.ru/api/getInfo/image/f0642ae9-0175-11ef-a25d-00155d82e908")</f>
        <v>https://miland.ru/api/getInfo/image/f0642ae9-0175-11ef-a25d-00155d82e908</v>
      </c>
    </row>
    <row r="3691" spans="1:19" s="2" customFormat="1" ht="96.2" customHeight="1" outlineLevel="6">
      <c r="A3691" s="52">
        <v>2910</v>
      </c>
      <c r="B3691" s="26" t="s">
        <v>12243</v>
      </c>
      <c r="C3691" s="66" t="s">
        <v>12244</v>
      </c>
      <c r="D3691" s="66"/>
      <c r="E3691" s="66"/>
      <c r="F3691" s="66"/>
      <c r="G3691" s="27" t="s">
        <v>12245</v>
      </c>
      <c r="H3691" s="33">
        <v>1</v>
      </c>
      <c r="I3691" s="29"/>
      <c r="J3691" s="25">
        <v>1</v>
      </c>
      <c r="K3691" s="37">
        <v>1458.42</v>
      </c>
      <c r="L3691" s="17"/>
      <c r="M3691" s="29">
        <f>K3691*L3691</f>
        <v>0</v>
      </c>
      <c r="N3691" s="31">
        <f>0.775*L3691</f>
        <v>0</v>
      </c>
      <c r="O3691" s="32">
        <f>0.00203*L3691</f>
        <v>0</v>
      </c>
      <c r="P3691" s="36"/>
      <c r="Q3691" s="29" t="s">
        <v>12246</v>
      </c>
      <c r="R3691" s="29" t="s">
        <v>611</v>
      </c>
      <c r="S3691" s="26" t="str">
        <f>HYPERLINK("https://miland.ru/api/getInfo/image/67024f5b-0175-11ef-a25d-00155d82e908")</f>
        <v>https://miland.ru/api/getInfo/image/67024f5b-0175-11ef-a25d-00155d82e908</v>
      </c>
    </row>
    <row r="3692" spans="1:19" s="1" customFormat="1" ht="12" customHeight="1" outlineLevel="4">
      <c r="A3692" s="64" t="s">
        <v>12247</v>
      </c>
      <c r="B3692" s="64"/>
      <c r="C3692" s="64"/>
      <c r="D3692" s="64"/>
      <c r="E3692" s="64"/>
      <c r="F3692" s="64"/>
      <c r="G3692" s="8"/>
      <c r="H3692" s="12"/>
      <c r="I3692" s="2"/>
      <c r="J3692" s="2"/>
      <c r="K3692" s="13"/>
      <c r="L3692" s="2"/>
      <c r="M3692" s="2"/>
      <c r="N3692" s="2"/>
      <c r="O3692" s="2"/>
      <c r="P3692" s="2"/>
      <c r="Q3692" s="2"/>
      <c r="R3692" s="2"/>
      <c r="S3692" s="2"/>
    </row>
    <row r="3693" spans="1:19" s="1" customFormat="1" ht="12" customHeight="1" outlineLevel="5">
      <c r="A3693" s="64" t="s">
        <v>12248</v>
      </c>
      <c r="B3693" s="64"/>
      <c r="C3693" s="64"/>
      <c r="D3693" s="64"/>
      <c r="E3693" s="64"/>
      <c r="F3693" s="64"/>
      <c r="G3693" s="8"/>
      <c r="H3693" s="12"/>
      <c r="I3693" s="2"/>
      <c r="J3693" s="2"/>
      <c r="K3693" s="13"/>
      <c r="L3693" s="2"/>
      <c r="M3693" s="2"/>
      <c r="N3693" s="2"/>
      <c r="O3693" s="2"/>
      <c r="P3693" s="2"/>
      <c r="Q3693" s="2"/>
      <c r="R3693" s="2"/>
      <c r="S3693" s="2"/>
    </row>
    <row r="3694" spans="1:19" s="2" customFormat="1" ht="96.2" customHeight="1" outlineLevel="6">
      <c r="A3694" s="52">
        <v>2911</v>
      </c>
      <c r="B3694" s="26" t="s">
        <v>12249</v>
      </c>
      <c r="C3694" s="66" t="s">
        <v>12250</v>
      </c>
      <c r="D3694" s="66"/>
      <c r="E3694" s="66"/>
      <c r="F3694" s="66"/>
      <c r="G3694" s="27" t="s">
        <v>12251</v>
      </c>
      <c r="H3694" s="33">
        <v>37</v>
      </c>
      <c r="I3694" s="29"/>
      <c r="J3694" s="25">
        <v>1</v>
      </c>
      <c r="K3694" s="30">
        <v>713.01</v>
      </c>
      <c r="L3694" s="17"/>
      <c r="M3694" s="29">
        <f>K3694*L3694</f>
        <v>0</v>
      </c>
      <c r="N3694" s="31">
        <f>0.672*L3694</f>
        <v>0</v>
      </c>
      <c r="O3694" s="32">
        <f>0.00198*L3694</f>
        <v>0</v>
      </c>
      <c r="P3694" s="36"/>
      <c r="Q3694" s="29" t="s">
        <v>12252</v>
      </c>
      <c r="R3694" s="29"/>
      <c r="S3694" s="26" t="str">
        <f>HYPERLINK("https://miland.ru/api/getInfo/image/9244dd5f-da91-11ed-a232-00155d82e902")</f>
        <v>https://miland.ru/api/getInfo/image/9244dd5f-da91-11ed-a232-00155d82e902</v>
      </c>
    </row>
    <row r="3695" spans="1:19" s="2" customFormat="1" ht="96.2" customHeight="1" outlineLevel="6">
      <c r="A3695" s="52">
        <v>2912</v>
      </c>
      <c r="B3695" s="26" t="s">
        <v>12253</v>
      </c>
      <c r="C3695" s="66" t="s">
        <v>12254</v>
      </c>
      <c r="D3695" s="66"/>
      <c r="E3695" s="66"/>
      <c r="F3695" s="66"/>
      <c r="G3695" s="27" t="s">
        <v>12255</v>
      </c>
      <c r="H3695" s="33">
        <v>63</v>
      </c>
      <c r="I3695" s="29"/>
      <c r="J3695" s="25">
        <v>1</v>
      </c>
      <c r="K3695" s="30">
        <v>670.15</v>
      </c>
      <c r="L3695" s="17"/>
      <c r="M3695" s="29">
        <f>K3695*L3695</f>
        <v>0</v>
      </c>
      <c r="N3695" s="31">
        <f>0.523*L3695</f>
        <v>0</v>
      </c>
      <c r="O3695" s="35">
        <f>0.0044*L3695</f>
        <v>0</v>
      </c>
      <c r="P3695" s="36"/>
      <c r="Q3695" s="29" t="s">
        <v>12256</v>
      </c>
      <c r="R3695" s="29"/>
      <c r="S3695" s="26" t="str">
        <f>HYPERLINK("https://miland.ru/api/getInfo/image/d109c5e5-20d3-11f0-a279-00155d82e908")</f>
        <v>https://miland.ru/api/getInfo/image/d109c5e5-20d3-11f0-a279-00155d82e908</v>
      </c>
    </row>
    <row r="3696" spans="1:19" s="2" customFormat="1" ht="96.2" customHeight="1" outlineLevel="6">
      <c r="A3696" s="52">
        <v>2913</v>
      </c>
      <c r="B3696" s="26" t="s">
        <v>12257</v>
      </c>
      <c r="C3696" s="66" t="s">
        <v>12258</v>
      </c>
      <c r="D3696" s="66"/>
      <c r="E3696" s="66"/>
      <c r="F3696" s="66"/>
      <c r="G3696" s="27" t="s">
        <v>12259</v>
      </c>
      <c r="H3696" s="33">
        <v>31</v>
      </c>
      <c r="I3696" s="29"/>
      <c r="J3696" s="25">
        <v>1</v>
      </c>
      <c r="K3696" s="30">
        <v>695.02</v>
      </c>
      <c r="L3696" s="17"/>
      <c r="M3696" s="29">
        <f>K3696*L3696</f>
        <v>0</v>
      </c>
      <c r="N3696" s="31">
        <f>0.558*L3696</f>
        <v>0</v>
      </c>
      <c r="O3696" s="32">
        <f>0.00467*L3696</f>
        <v>0</v>
      </c>
      <c r="P3696" s="36"/>
      <c r="Q3696" s="29" t="s">
        <v>12260</v>
      </c>
      <c r="R3696" s="29"/>
      <c r="S3696" s="26" t="str">
        <f>HYPERLINK("https://miland.ru/api/getInfo/image/8e7ac8da-20d3-11f0-a279-00155d82e908")</f>
        <v>https://miland.ru/api/getInfo/image/8e7ac8da-20d3-11f0-a279-00155d82e908</v>
      </c>
    </row>
    <row r="3697" spans="1:19" s="2" customFormat="1" ht="96.2" customHeight="1" outlineLevel="6">
      <c r="A3697" s="52">
        <v>2914</v>
      </c>
      <c r="B3697" s="26" t="s">
        <v>12261</v>
      </c>
      <c r="C3697" s="66" t="s">
        <v>12262</v>
      </c>
      <c r="D3697" s="66"/>
      <c r="E3697" s="66"/>
      <c r="F3697" s="66"/>
      <c r="G3697" s="27" t="s">
        <v>12263</v>
      </c>
      <c r="H3697" s="33">
        <v>48</v>
      </c>
      <c r="I3697" s="29"/>
      <c r="J3697" s="25">
        <v>1</v>
      </c>
      <c r="K3697" s="30">
        <v>372.48</v>
      </c>
      <c r="L3697" s="17"/>
      <c r="M3697" s="29">
        <f>K3697*L3697</f>
        <v>0</v>
      </c>
      <c r="N3697" s="34">
        <f>0.37*L3697</f>
        <v>0</v>
      </c>
      <c r="O3697" s="32">
        <f>0.01641*L3697</f>
        <v>0</v>
      </c>
      <c r="P3697" s="36"/>
      <c r="Q3697" s="29" t="s">
        <v>12264</v>
      </c>
      <c r="R3697" s="29"/>
      <c r="S3697" s="26" t="str">
        <f>HYPERLINK("https://miland.ru/api/getInfo/image/f0a4ccd1-20d4-11f0-a279-00155d82e908")</f>
        <v>https://miland.ru/api/getInfo/image/f0a4ccd1-20d4-11f0-a279-00155d82e908</v>
      </c>
    </row>
    <row r="3698" spans="1:19" s="2" customFormat="1" ht="96.2" customHeight="1" outlineLevel="6">
      <c r="A3698" s="52">
        <v>2915</v>
      </c>
      <c r="B3698" s="26" t="s">
        <v>12265</v>
      </c>
      <c r="C3698" s="66" t="s">
        <v>12266</v>
      </c>
      <c r="D3698" s="66"/>
      <c r="E3698" s="66"/>
      <c r="F3698" s="66"/>
      <c r="G3698" s="27" t="s">
        <v>12267</v>
      </c>
      <c r="H3698" s="33">
        <v>25</v>
      </c>
      <c r="I3698" s="29"/>
      <c r="J3698" s="25">
        <v>1</v>
      </c>
      <c r="K3698" s="30">
        <v>645.44000000000005</v>
      </c>
      <c r="L3698" s="17"/>
      <c r="M3698" s="29">
        <f>K3698*L3698</f>
        <v>0</v>
      </c>
      <c r="N3698" s="34">
        <f>17.41*L3698</f>
        <v>0</v>
      </c>
      <c r="O3698" s="32">
        <f>0.17072*L3698</f>
        <v>0</v>
      </c>
      <c r="P3698" s="36"/>
      <c r="Q3698" s="29" t="s">
        <v>12268</v>
      </c>
      <c r="R3698" s="29"/>
      <c r="S3698" s="26" t="str">
        <f>HYPERLINK("https://miland.ru/api/getInfo/image/355b8844-20d5-11f0-a279-00155d82e908")</f>
        <v>https://miland.ru/api/getInfo/image/355b8844-20d5-11f0-a279-00155d82e908</v>
      </c>
    </row>
    <row r="3699" spans="1:19" s="1" customFormat="1" ht="12" customHeight="1" outlineLevel="5">
      <c r="A3699" s="64" t="s">
        <v>12269</v>
      </c>
      <c r="B3699" s="64"/>
      <c r="C3699" s="64"/>
      <c r="D3699" s="64"/>
      <c r="E3699" s="64"/>
      <c r="F3699" s="64"/>
      <c r="G3699" s="8"/>
      <c r="H3699" s="12"/>
      <c r="I3699" s="2"/>
      <c r="J3699" s="2"/>
      <c r="K3699" s="13"/>
      <c r="L3699" s="2"/>
      <c r="M3699" s="2"/>
      <c r="N3699" s="2"/>
      <c r="O3699" s="2"/>
      <c r="P3699" s="2"/>
      <c r="Q3699" s="2"/>
      <c r="R3699" s="2"/>
      <c r="S3699" s="2"/>
    </row>
    <row r="3700" spans="1:19" s="2" customFormat="1" ht="96.2" customHeight="1" outlineLevel="6">
      <c r="A3700" s="52">
        <v>2916</v>
      </c>
      <c r="B3700" s="26" t="s">
        <v>12270</v>
      </c>
      <c r="C3700" s="66" t="s">
        <v>12271</v>
      </c>
      <c r="D3700" s="66"/>
      <c r="E3700" s="66"/>
      <c r="F3700" s="66"/>
      <c r="G3700" s="27" t="s">
        <v>12272</v>
      </c>
      <c r="H3700" s="33">
        <v>59</v>
      </c>
      <c r="I3700" s="29"/>
      <c r="J3700" s="25">
        <v>1</v>
      </c>
      <c r="K3700" s="30">
        <v>802.44</v>
      </c>
      <c r="L3700" s="17"/>
      <c r="M3700" s="29">
        <f t="shared" ref="M3700:M3708" si="176">K3700*L3700</f>
        <v>0</v>
      </c>
      <c r="N3700" s="31">
        <f>0.327*L3700</f>
        <v>0</v>
      </c>
      <c r="O3700" s="32">
        <f>0.00374*L3700</f>
        <v>0</v>
      </c>
      <c r="P3700" s="36"/>
      <c r="Q3700" s="29" t="s">
        <v>12273</v>
      </c>
      <c r="R3700" s="29"/>
      <c r="S3700" s="26" t="str">
        <f>HYPERLINK("https://miland.ru/api/getInfo/image/7f3ebb73-f27c-11ee-a25b-00155d82e908")</f>
        <v>https://miland.ru/api/getInfo/image/7f3ebb73-f27c-11ee-a25b-00155d82e908</v>
      </c>
    </row>
    <row r="3701" spans="1:19" s="2" customFormat="1" ht="96.2" customHeight="1" outlineLevel="6">
      <c r="A3701" s="52">
        <v>2917</v>
      </c>
      <c r="B3701" s="26" t="s">
        <v>12274</v>
      </c>
      <c r="C3701" s="66" t="s">
        <v>12275</v>
      </c>
      <c r="D3701" s="66"/>
      <c r="E3701" s="66"/>
      <c r="F3701" s="66"/>
      <c r="G3701" s="27" t="s">
        <v>12276</v>
      </c>
      <c r="H3701" s="33">
        <v>114</v>
      </c>
      <c r="I3701" s="29"/>
      <c r="J3701" s="25">
        <v>1</v>
      </c>
      <c r="K3701" s="30">
        <v>534.95000000000005</v>
      </c>
      <c r="L3701" s="17"/>
      <c r="M3701" s="29">
        <f t="shared" si="176"/>
        <v>0</v>
      </c>
      <c r="N3701" s="31">
        <f>0.258*L3701</f>
        <v>0</v>
      </c>
      <c r="O3701" s="32">
        <f>0.00193*L3701</f>
        <v>0</v>
      </c>
      <c r="P3701" s="36"/>
      <c r="Q3701" s="29" t="s">
        <v>12277</v>
      </c>
      <c r="R3701" s="29"/>
      <c r="S3701" s="26" t="str">
        <f>HYPERLINK("https://miland.ru/api/getInfo/image/ca15413d-f27b-11ee-a25b-00155d82e908")</f>
        <v>https://miland.ru/api/getInfo/image/ca15413d-f27b-11ee-a25b-00155d82e908</v>
      </c>
    </row>
    <row r="3702" spans="1:19" s="2" customFormat="1" ht="96.2" customHeight="1" outlineLevel="6">
      <c r="A3702" s="52">
        <v>2918</v>
      </c>
      <c r="B3702" s="26" t="s">
        <v>12278</v>
      </c>
      <c r="C3702" s="66" t="s">
        <v>12279</v>
      </c>
      <c r="D3702" s="66"/>
      <c r="E3702" s="66"/>
      <c r="F3702" s="66"/>
      <c r="G3702" s="27" t="s">
        <v>12280</v>
      </c>
      <c r="H3702" s="33">
        <v>4</v>
      </c>
      <c r="I3702" s="29"/>
      <c r="J3702" s="25">
        <v>1</v>
      </c>
      <c r="K3702" s="30">
        <v>917.83</v>
      </c>
      <c r="L3702" s="17"/>
      <c r="M3702" s="29">
        <f t="shared" si="176"/>
        <v>0</v>
      </c>
      <c r="N3702" s="31">
        <f>0.431*L3702</f>
        <v>0</v>
      </c>
      <c r="O3702" s="32">
        <f>0.00244*L3702</f>
        <v>0</v>
      </c>
      <c r="P3702" s="36"/>
      <c r="Q3702" s="29" t="s">
        <v>12281</v>
      </c>
      <c r="R3702" s="29" t="s">
        <v>611</v>
      </c>
      <c r="S3702" s="26" t="str">
        <f>HYPERLINK("https://miland.ru/api/getInfo/image/8ef01c65-f27c-11ee-a25b-00155d82e908")</f>
        <v>https://miland.ru/api/getInfo/image/8ef01c65-f27c-11ee-a25b-00155d82e908</v>
      </c>
    </row>
    <row r="3703" spans="1:19" s="2" customFormat="1" ht="96.2" customHeight="1" outlineLevel="6">
      <c r="A3703" s="52">
        <v>2919</v>
      </c>
      <c r="B3703" s="26" t="s">
        <v>12282</v>
      </c>
      <c r="C3703" s="66" t="s">
        <v>12283</v>
      </c>
      <c r="D3703" s="66"/>
      <c r="E3703" s="66"/>
      <c r="F3703" s="66"/>
      <c r="G3703" s="27" t="s">
        <v>12284</v>
      </c>
      <c r="H3703" s="33">
        <v>97</v>
      </c>
      <c r="I3703" s="29"/>
      <c r="J3703" s="25">
        <v>1</v>
      </c>
      <c r="K3703" s="30">
        <v>839.14</v>
      </c>
      <c r="L3703" s="17"/>
      <c r="M3703" s="29">
        <f t="shared" si="176"/>
        <v>0</v>
      </c>
      <c r="N3703" s="31">
        <f>0.292*L3703</f>
        <v>0</v>
      </c>
      <c r="O3703" s="32">
        <f>0.00203*L3703</f>
        <v>0</v>
      </c>
      <c r="P3703" s="36"/>
      <c r="Q3703" s="29" t="s">
        <v>12285</v>
      </c>
      <c r="R3703" s="29"/>
      <c r="S3703" s="26" t="str">
        <f>HYPERLINK("https://miland.ru/api/getInfo/image/6f816ea5-f27c-11ee-a25b-00155d82e908")</f>
        <v>https://miland.ru/api/getInfo/image/6f816ea5-f27c-11ee-a25b-00155d82e908</v>
      </c>
    </row>
    <row r="3704" spans="1:19" s="2" customFormat="1" ht="96.2" customHeight="1" outlineLevel="6">
      <c r="A3704" s="52">
        <v>2920</v>
      </c>
      <c r="B3704" s="26" t="s">
        <v>12286</v>
      </c>
      <c r="C3704" s="66" t="s">
        <v>12287</v>
      </c>
      <c r="D3704" s="66"/>
      <c r="E3704" s="66"/>
      <c r="F3704" s="66"/>
      <c r="G3704" s="27" t="s">
        <v>12288</v>
      </c>
      <c r="H3704" s="33">
        <v>203</v>
      </c>
      <c r="I3704" s="29"/>
      <c r="J3704" s="25">
        <v>1</v>
      </c>
      <c r="K3704" s="30">
        <v>534.95000000000005</v>
      </c>
      <c r="L3704" s="17"/>
      <c r="M3704" s="29">
        <f t="shared" si="176"/>
        <v>0</v>
      </c>
      <c r="N3704" s="31">
        <f>0.351*L3704</f>
        <v>0</v>
      </c>
      <c r="O3704" s="32">
        <f>0.00177*L3704</f>
        <v>0</v>
      </c>
      <c r="P3704" s="36"/>
      <c r="Q3704" s="29" t="s">
        <v>12289</v>
      </c>
      <c r="R3704" s="29"/>
      <c r="S3704" s="26" t="str">
        <f>HYPERLINK("https://miland.ru/api/getInfo/image/11d523c7-f27c-11ee-a25b-00155d82e908")</f>
        <v>https://miland.ru/api/getInfo/image/11d523c7-f27c-11ee-a25b-00155d82e908</v>
      </c>
    </row>
    <row r="3705" spans="1:19" s="2" customFormat="1" ht="96.2" customHeight="1" outlineLevel="6">
      <c r="A3705" s="52">
        <v>2921</v>
      </c>
      <c r="B3705" s="26" t="s">
        <v>12290</v>
      </c>
      <c r="C3705" s="66" t="s">
        <v>12291</v>
      </c>
      <c r="D3705" s="66"/>
      <c r="E3705" s="66"/>
      <c r="F3705" s="66"/>
      <c r="G3705" s="27" t="s">
        <v>12292</v>
      </c>
      <c r="H3705" s="33">
        <v>62</v>
      </c>
      <c r="I3705" s="29"/>
      <c r="J3705" s="25">
        <v>1</v>
      </c>
      <c r="K3705" s="30">
        <v>538.05999999999995</v>
      </c>
      <c r="L3705" s="17"/>
      <c r="M3705" s="29">
        <f t="shared" si="176"/>
        <v>0</v>
      </c>
      <c r="N3705" s="31">
        <f>0.454*L3705</f>
        <v>0</v>
      </c>
      <c r="O3705" s="32">
        <f>0.00184*L3705</f>
        <v>0</v>
      </c>
      <c r="P3705" s="36"/>
      <c r="Q3705" s="29" t="s">
        <v>12293</v>
      </c>
      <c r="R3705" s="29"/>
      <c r="S3705" s="26" t="str">
        <f>HYPERLINK("https://miland.ru/api/getInfo/image/79163750-da95-11ed-a232-00155d82e902")</f>
        <v>https://miland.ru/api/getInfo/image/79163750-da95-11ed-a232-00155d82e902</v>
      </c>
    </row>
    <row r="3706" spans="1:19" s="2" customFormat="1" ht="96.2" customHeight="1" outlineLevel="6">
      <c r="A3706" s="52">
        <v>2922</v>
      </c>
      <c r="B3706" s="26" t="s">
        <v>12294</v>
      </c>
      <c r="C3706" s="66" t="s">
        <v>12295</v>
      </c>
      <c r="D3706" s="66"/>
      <c r="E3706" s="66"/>
      <c r="F3706" s="66"/>
      <c r="G3706" s="27" t="s">
        <v>12296</v>
      </c>
      <c r="H3706" s="33">
        <v>234</v>
      </c>
      <c r="I3706" s="29"/>
      <c r="J3706" s="25">
        <v>1</v>
      </c>
      <c r="K3706" s="30">
        <v>565.52</v>
      </c>
      <c r="L3706" s="17"/>
      <c r="M3706" s="29">
        <f t="shared" si="176"/>
        <v>0</v>
      </c>
      <c r="N3706" s="31">
        <f>0.363*L3706</f>
        <v>0</v>
      </c>
      <c r="O3706" s="32">
        <f>0.00146*L3706</f>
        <v>0</v>
      </c>
      <c r="P3706" s="36"/>
      <c r="Q3706" s="29" t="s">
        <v>12297</v>
      </c>
      <c r="R3706" s="29"/>
      <c r="S3706" s="26" t="str">
        <f>HYPERLINK("https://miland.ru/api/getInfo/image/b418830b-da95-11ed-a232-00155d82e902")</f>
        <v>https://miland.ru/api/getInfo/image/b418830b-da95-11ed-a232-00155d82e902</v>
      </c>
    </row>
    <row r="3707" spans="1:19" s="2" customFormat="1" ht="96.2" customHeight="1" outlineLevel="6">
      <c r="A3707" s="52">
        <v>2923</v>
      </c>
      <c r="B3707" s="26" t="s">
        <v>12298</v>
      </c>
      <c r="C3707" s="66" t="s">
        <v>12299</v>
      </c>
      <c r="D3707" s="66"/>
      <c r="E3707" s="66"/>
      <c r="F3707" s="66"/>
      <c r="G3707" s="27" t="s">
        <v>12300</v>
      </c>
      <c r="H3707" s="33">
        <v>139</v>
      </c>
      <c r="I3707" s="29"/>
      <c r="J3707" s="25">
        <v>1</v>
      </c>
      <c r="K3707" s="30">
        <v>494.14</v>
      </c>
      <c r="L3707" s="17"/>
      <c r="M3707" s="29">
        <f t="shared" si="176"/>
        <v>0</v>
      </c>
      <c r="N3707" s="34">
        <f>0.45*L3707</f>
        <v>0</v>
      </c>
      <c r="O3707" s="32">
        <f>0.00202*L3707</f>
        <v>0</v>
      </c>
      <c r="P3707" s="36"/>
      <c r="Q3707" s="29" t="s">
        <v>12301</v>
      </c>
      <c r="R3707" s="29"/>
      <c r="S3707" s="26" t="str">
        <f>HYPERLINK("https://miland.ru/api/getInfo/image/eeb35f64-da94-11ed-a232-00155d82e902")</f>
        <v>https://miland.ru/api/getInfo/image/eeb35f64-da94-11ed-a232-00155d82e902</v>
      </c>
    </row>
    <row r="3708" spans="1:19" s="2" customFormat="1" ht="96.2" customHeight="1" outlineLevel="6">
      <c r="A3708" s="52">
        <v>2924</v>
      </c>
      <c r="B3708" s="26" t="s">
        <v>12302</v>
      </c>
      <c r="C3708" s="66" t="s">
        <v>12303</v>
      </c>
      <c r="D3708" s="66"/>
      <c r="E3708" s="66"/>
      <c r="F3708" s="66"/>
      <c r="G3708" s="27" t="s">
        <v>12304</v>
      </c>
      <c r="H3708" s="33">
        <v>173</v>
      </c>
      <c r="I3708" s="29"/>
      <c r="J3708" s="25">
        <v>1</v>
      </c>
      <c r="K3708" s="30">
        <v>483.16</v>
      </c>
      <c r="L3708" s="17"/>
      <c r="M3708" s="29">
        <f t="shared" si="176"/>
        <v>0</v>
      </c>
      <c r="N3708" s="34">
        <f>0.36*L3708</f>
        <v>0</v>
      </c>
      <c r="O3708" s="32">
        <f>0.00159*L3708</f>
        <v>0</v>
      </c>
      <c r="P3708" s="36"/>
      <c r="Q3708" s="29" t="s">
        <v>12305</v>
      </c>
      <c r="R3708" s="29"/>
      <c r="S3708" s="26" t="str">
        <f>HYPERLINK("https://miland.ru/api/getInfo/image/40f704a3-da95-11ed-a232-00155d82e902")</f>
        <v>https://miland.ru/api/getInfo/image/40f704a3-da95-11ed-a232-00155d82e902</v>
      </c>
    </row>
    <row r="3709" spans="1:19" s="1" customFormat="1" ht="12" customHeight="1" outlineLevel="5">
      <c r="A3709" s="64" t="s">
        <v>12306</v>
      </c>
      <c r="B3709" s="64"/>
      <c r="C3709" s="64"/>
      <c r="D3709" s="64"/>
      <c r="E3709" s="64"/>
      <c r="F3709" s="64"/>
      <c r="G3709" s="8"/>
      <c r="H3709" s="12"/>
      <c r="I3709" s="2"/>
      <c r="J3709" s="2"/>
      <c r="K3709" s="13"/>
      <c r="L3709" s="2"/>
      <c r="M3709" s="2"/>
      <c r="N3709" s="2"/>
      <c r="O3709" s="2"/>
      <c r="P3709" s="2"/>
      <c r="Q3709" s="2"/>
      <c r="R3709" s="2"/>
      <c r="S3709" s="2"/>
    </row>
    <row r="3710" spans="1:19" s="2" customFormat="1" ht="96.2" customHeight="1" outlineLevel="6">
      <c r="A3710" s="52">
        <v>2925</v>
      </c>
      <c r="B3710" s="26" t="s">
        <v>12307</v>
      </c>
      <c r="C3710" s="66" t="s">
        <v>12308</v>
      </c>
      <c r="D3710" s="66"/>
      <c r="E3710" s="66"/>
      <c r="F3710" s="66"/>
      <c r="G3710" s="27" t="s">
        <v>12309</v>
      </c>
      <c r="H3710" s="28" t="s">
        <v>44</v>
      </c>
      <c r="I3710" s="29"/>
      <c r="J3710" s="25">
        <v>1</v>
      </c>
      <c r="K3710" s="37">
        <v>1298.8800000000001</v>
      </c>
      <c r="L3710" s="17"/>
      <c r="M3710" s="29">
        <f t="shared" ref="M3710:M3719" si="177">K3710*L3710</f>
        <v>0</v>
      </c>
      <c r="N3710" s="31">
        <f>1.281*L3710</f>
        <v>0</v>
      </c>
      <c r="O3710" s="32">
        <f>0.01275*L3710</f>
        <v>0</v>
      </c>
      <c r="P3710" s="36"/>
      <c r="Q3710" s="29" t="s">
        <v>12310</v>
      </c>
      <c r="R3710" s="29"/>
      <c r="S3710" s="26" t="str">
        <f>HYPERLINK("https://miland.ru/api/getInfo/image/f4f4ea95-d9e8-11ed-a232-00155d82e902")</f>
        <v>https://miland.ru/api/getInfo/image/f4f4ea95-d9e8-11ed-a232-00155d82e902</v>
      </c>
    </row>
    <row r="3711" spans="1:19" s="2" customFormat="1" ht="96.2" customHeight="1" outlineLevel="6">
      <c r="A3711" s="52">
        <v>2926</v>
      </c>
      <c r="B3711" s="26" t="s">
        <v>12311</v>
      </c>
      <c r="C3711" s="66" t="s">
        <v>12312</v>
      </c>
      <c r="D3711" s="66"/>
      <c r="E3711" s="66"/>
      <c r="F3711" s="66"/>
      <c r="G3711" s="27" t="s">
        <v>12313</v>
      </c>
      <c r="H3711" s="28" t="s">
        <v>44</v>
      </c>
      <c r="I3711" s="29"/>
      <c r="J3711" s="25">
        <v>2</v>
      </c>
      <c r="K3711" s="30">
        <v>319.69</v>
      </c>
      <c r="L3711" s="17"/>
      <c r="M3711" s="29">
        <f t="shared" si="177"/>
        <v>0</v>
      </c>
      <c r="N3711" s="31">
        <f>0.272*L3711</f>
        <v>0</v>
      </c>
      <c r="O3711" s="32">
        <f>0.00252*L3711</f>
        <v>0</v>
      </c>
      <c r="P3711" s="36"/>
      <c r="Q3711" s="29" t="s">
        <v>12314</v>
      </c>
      <c r="R3711" s="29"/>
      <c r="S3711" s="26" t="str">
        <f>HYPERLINK("https://miland.ru/api/getInfo/image/1d63cffc-d9e7-11ed-a232-00155d82e902")</f>
        <v>https://miland.ru/api/getInfo/image/1d63cffc-d9e7-11ed-a232-00155d82e902</v>
      </c>
    </row>
    <row r="3712" spans="1:19" s="2" customFormat="1" ht="96.2" customHeight="1" outlineLevel="6">
      <c r="A3712" s="52">
        <v>2927</v>
      </c>
      <c r="B3712" s="26" t="s">
        <v>12315</v>
      </c>
      <c r="C3712" s="66" t="s">
        <v>12316</v>
      </c>
      <c r="D3712" s="66"/>
      <c r="E3712" s="66"/>
      <c r="F3712" s="66"/>
      <c r="G3712" s="27" t="s">
        <v>12317</v>
      </c>
      <c r="H3712" s="28" t="s">
        <v>44</v>
      </c>
      <c r="I3712" s="29"/>
      <c r="J3712" s="25">
        <v>1</v>
      </c>
      <c r="K3712" s="30">
        <v>701.46</v>
      </c>
      <c r="L3712" s="17"/>
      <c r="M3712" s="29">
        <f t="shared" si="177"/>
        <v>0</v>
      </c>
      <c r="N3712" s="31">
        <f>0.574*L3712</f>
        <v>0</v>
      </c>
      <c r="O3712" s="32">
        <f>0.00635*L3712</f>
        <v>0</v>
      </c>
      <c r="P3712" s="36"/>
      <c r="Q3712" s="29" t="s">
        <v>12318</v>
      </c>
      <c r="R3712" s="29"/>
      <c r="S3712" s="26" t="str">
        <f>HYPERLINK("https://miland.ru/api/getInfo/image/a16d27c2-d9e8-11ed-a232-00155d82e902")</f>
        <v>https://miland.ru/api/getInfo/image/a16d27c2-d9e8-11ed-a232-00155d82e902</v>
      </c>
    </row>
    <row r="3713" spans="1:19" s="2" customFormat="1" ht="96.2" customHeight="1" outlineLevel="6">
      <c r="A3713" s="52">
        <v>2928</v>
      </c>
      <c r="B3713" s="26" t="s">
        <v>12319</v>
      </c>
      <c r="C3713" s="66" t="s">
        <v>12320</v>
      </c>
      <c r="D3713" s="66"/>
      <c r="E3713" s="66"/>
      <c r="F3713" s="66"/>
      <c r="G3713" s="27" t="s">
        <v>12321</v>
      </c>
      <c r="H3713" s="28" t="s">
        <v>44</v>
      </c>
      <c r="I3713" s="29"/>
      <c r="J3713" s="25">
        <v>1</v>
      </c>
      <c r="K3713" s="37">
        <v>1222.9000000000001</v>
      </c>
      <c r="L3713" s="17"/>
      <c r="M3713" s="29">
        <f t="shared" si="177"/>
        <v>0</v>
      </c>
      <c r="N3713" s="34">
        <f>1.04*L3713</f>
        <v>0</v>
      </c>
      <c r="O3713" s="32">
        <f>0.01147*L3713</f>
        <v>0</v>
      </c>
      <c r="P3713" s="36"/>
      <c r="Q3713" s="29" t="s">
        <v>12322</v>
      </c>
      <c r="R3713" s="29"/>
      <c r="S3713" s="26" t="str">
        <f>HYPERLINK("https://miland.ru/api/getInfo/image/40a9f5b0-d9e9-11ed-a232-00155d82e902")</f>
        <v>https://miland.ru/api/getInfo/image/40a9f5b0-d9e9-11ed-a232-00155d82e902</v>
      </c>
    </row>
    <row r="3714" spans="1:19" s="2" customFormat="1" ht="96.2" customHeight="1" outlineLevel="6">
      <c r="A3714" s="52">
        <v>2929</v>
      </c>
      <c r="B3714" s="26" t="s">
        <v>12323</v>
      </c>
      <c r="C3714" s="66" t="s">
        <v>12324</v>
      </c>
      <c r="D3714" s="66"/>
      <c r="E3714" s="66"/>
      <c r="F3714" s="66"/>
      <c r="G3714" s="27" t="s">
        <v>12325</v>
      </c>
      <c r="H3714" s="28" t="s">
        <v>44</v>
      </c>
      <c r="I3714" s="29"/>
      <c r="J3714" s="25">
        <v>1</v>
      </c>
      <c r="K3714" s="37">
        <v>1285.8</v>
      </c>
      <c r="L3714" s="17"/>
      <c r="M3714" s="29">
        <f t="shared" si="177"/>
        <v>0</v>
      </c>
      <c r="N3714" s="31">
        <f>1.125*L3714</f>
        <v>0</v>
      </c>
      <c r="O3714" s="32">
        <f>0.01355*L3714</f>
        <v>0</v>
      </c>
      <c r="P3714" s="36"/>
      <c r="Q3714" s="29" t="s">
        <v>12326</v>
      </c>
      <c r="R3714" s="29"/>
      <c r="S3714" s="26" t="str">
        <f>HYPERLINK("https://miland.ru/api/getInfo/image/c4fcfa3f-d9e6-11ed-a232-00155d82e902")</f>
        <v>https://miland.ru/api/getInfo/image/c4fcfa3f-d9e6-11ed-a232-00155d82e902</v>
      </c>
    </row>
    <row r="3715" spans="1:19" s="2" customFormat="1" ht="96.2" customHeight="1" outlineLevel="6">
      <c r="A3715" s="52">
        <v>2930</v>
      </c>
      <c r="B3715" s="26" t="s">
        <v>12327</v>
      </c>
      <c r="C3715" s="66" t="s">
        <v>12328</v>
      </c>
      <c r="D3715" s="66"/>
      <c r="E3715" s="66"/>
      <c r="F3715" s="66"/>
      <c r="G3715" s="27" t="s">
        <v>12329</v>
      </c>
      <c r="H3715" s="28" t="s">
        <v>44</v>
      </c>
      <c r="I3715" s="29"/>
      <c r="J3715" s="25">
        <v>1</v>
      </c>
      <c r="K3715" s="37">
        <v>1222.9000000000001</v>
      </c>
      <c r="L3715" s="17"/>
      <c r="M3715" s="29">
        <f t="shared" si="177"/>
        <v>0</v>
      </c>
      <c r="N3715" s="31">
        <f>0.926*L3715</f>
        <v>0</v>
      </c>
      <c r="O3715" s="32">
        <f>0.01176*L3715</f>
        <v>0</v>
      </c>
      <c r="P3715" s="36"/>
      <c r="Q3715" s="29" t="s">
        <v>12330</v>
      </c>
      <c r="R3715" s="29"/>
      <c r="S3715" s="26" t="str">
        <f>HYPERLINK("https://miland.ru/api/getInfo/image/40c945c0-d9ed-11ed-a232-00155d82e902")</f>
        <v>https://miland.ru/api/getInfo/image/40c945c0-d9ed-11ed-a232-00155d82e902</v>
      </c>
    </row>
    <row r="3716" spans="1:19" s="2" customFormat="1" ht="96.2" customHeight="1" outlineLevel="6">
      <c r="A3716" s="52">
        <v>2931</v>
      </c>
      <c r="B3716" s="26" t="s">
        <v>12331</v>
      </c>
      <c r="C3716" s="66" t="s">
        <v>12332</v>
      </c>
      <c r="D3716" s="66"/>
      <c r="E3716" s="66"/>
      <c r="F3716" s="66"/>
      <c r="G3716" s="27" t="s">
        <v>12333</v>
      </c>
      <c r="H3716" s="28" t="s">
        <v>44</v>
      </c>
      <c r="I3716" s="29"/>
      <c r="J3716" s="25">
        <v>1</v>
      </c>
      <c r="K3716" s="30">
        <v>442.24</v>
      </c>
      <c r="L3716" s="17"/>
      <c r="M3716" s="29">
        <f t="shared" si="177"/>
        <v>0</v>
      </c>
      <c r="N3716" s="31">
        <f>0.445*L3716</f>
        <v>0</v>
      </c>
      <c r="O3716" s="32">
        <f>0.00425*L3716</f>
        <v>0</v>
      </c>
      <c r="P3716" s="36"/>
      <c r="Q3716" s="29" t="s">
        <v>12334</v>
      </c>
      <c r="R3716" s="29"/>
      <c r="S3716" s="26" t="str">
        <f>HYPERLINK("https://miland.ru/api/getInfo/image/5d07a30c-d9ec-11ed-a232-00155d82e902")</f>
        <v>https://miland.ru/api/getInfo/image/5d07a30c-d9ec-11ed-a232-00155d82e902</v>
      </c>
    </row>
    <row r="3717" spans="1:19" s="2" customFormat="1" ht="96.2" customHeight="1" outlineLevel="6">
      <c r="A3717" s="52">
        <v>2932</v>
      </c>
      <c r="B3717" s="26" t="s">
        <v>12335</v>
      </c>
      <c r="C3717" s="66" t="s">
        <v>12336</v>
      </c>
      <c r="D3717" s="66"/>
      <c r="E3717" s="66"/>
      <c r="F3717" s="66"/>
      <c r="G3717" s="27" t="s">
        <v>12337</v>
      </c>
      <c r="H3717" s="28" t="s">
        <v>44</v>
      </c>
      <c r="I3717" s="29"/>
      <c r="J3717" s="25">
        <v>1</v>
      </c>
      <c r="K3717" s="30">
        <v>788.46</v>
      </c>
      <c r="L3717" s="17"/>
      <c r="M3717" s="29">
        <f t="shared" si="177"/>
        <v>0</v>
      </c>
      <c r="N3717" s="31">
        <f>0.674*L3717</f>
        <v>0</v>
      </c>
      <c r="O3717" s="32">
        <f>0.00778*L3717</f>
        <v>0</v>
      </c>
      <c r="P3717" s="36"/>
      <c r="Q3717" s="29" t="s">
        <v>12338</v>
      </c>
      <c r="R3717" s="29"/>
      <c r="S3717" s="26" t="str">
        <f>HYPERLINK("https://miland.ru/api/getInfo/image/c1295647-d9eb-11ed-a232-00155d82e902")</f>
        <v>https://miland.ru/api/getInfo/image/c1295647-d9eb-11ed-a232-00155d82e902</v>
      </c>
    </row>
    <row r="3718" spans="1:19" s="2" customFormat="1" ht="96.2" customHeight="1" outlineLevel="6">
      <c r="A3718" s="52">
        <v>2933</v>
      </c>
      <c r="B3718" s="26" t="s">
        <v>12339</v>
      </c>
      <c r="C3718" s="66" t="s">
        <v>12340</v>
      </c>
      <c r="D3718" s="66"/>
      <c r="E3718" s="66"/>
      <c r="F3718" s="66"/>
      <c r="G3718" s="27" t="s">
        <v>12341</v>
      </c>
      <c r="H3718" s="28" t="s">
        <v>44</v>
      </c>
      <c r="I3718" s="29"/>
      <c r="J3718" s="25">
        <v>1</v>
      </c>
      <c r="K3718" s="30">
        <v>631.87</v>
      </c>
      <c r="L3718" s="17"/>
      <c r="M3718" s="29">
        <f t="shared" si="177"/>
        <v>0</v>
      </c>
      <c r="N3718" s="31">
        <f>0.622*L3718</f>
        <v>0</v>
      </c>
      <c r="O3718" s="32">
        <f>0.00588*L3718</f>
        <v>0</v>
      </c>
      <c r="P3718" s="36"/>
      <c r="Q3718" s="29" t="s">
        <v>12342</v>
      </c>
      <c r="R3718" s="29"/>
      <c r="S3718" s="26" t="str">
        <f>HYPERLINK("https://miland.ru/api/getInfo/image/09ba88e6-f292-11ee-a25b-00155d82e908")</f>
        <v>https://miland.ru/api/getInfo/image/09ba88e6-f292-11ee-a25b-00155d82e908</v>
      </c>
    </row>
    <row r="3719" spans="1:19" s="2" customFormat="1" ht="96.2" customHeight="1" outlineLevel="6">
      <c r="A3719" s="52">
        <v>2934</v>
      </c>
      <c r="B3719" s="26" t="s">
        <v>12343</v>
      </c>
      <c r="C3719" s="66" t="s">
        <v>12344</v>
      </c>
      <c r="D3719" s="66"/>
      <c r="E3719" s="66"/>
      <c r="F3719" s="66"/>
      <c r="G3719" s="27" t="s">
        <v>12345</v>
      </c>
      <c r="H3719" s="28" t="s">
        <v>44</v>
      </c>
      <c r="I3719" s="29"/>
      <c r="J3719" s="25">
        <v>1</v>
      </c>
      <c r="K3719" s="30">
        <v>586.29999999999995</v>
      </c>
      <c r="L3719" s="17"/>
      <c r="M3719" s="29">
        <f t="shared" si="177"/>
        <v>0</v>
      </c>
      <c r="N3719" s="31">
        <f>0.633*L3719</f>
        <v>0</v>
      </c>
      <c r="O3719" s="32">
        <f>0.00633*L3719</f>
        <v>0</v>
      </c>
      <c r="P3719" s="36"/>
      <c r="Q3719" s="29" t="s">
        <v>12346</v>
      </c>
      <c r="R3719" s="29"/>
      <c r="S3719" s="26" t="str">
        <f>HYPERLINK("https://miland.ru/api/getInfo/image/acacaa49-f292-11ee-a25b-00155d82e908")</f>
        <v>https://miland.ru/api/getInfo/image/acacaa49-f292-11ee-a25b-00155d82e908</v>
      </c>
    </row>
    <row r="3720" spans="1:19" s="1" customFormat="1" ht="12" customHeight="1" outlineLevel="5">
      <c r="A3720" s="64" t="s">
        <v>12347</v>
      </c>
      <c r="B3720" s="64"/>
      <c r="C3720" s="64"/>
      <c r="D3720" s="64"/>
      <c r="E3720" s="64"/>
      <c r="F3720" s="64"/>
      <c r="G3720" s="8"/>
      <c r="H3720" s="12"/>
      <c r="I3720" s="2"/>
      <c r="J3720" s="2"/>
      <c r="K3720" s="13"/>
      <c r="L3720" s="2"/>
      <c r="M3720" s="2"/>
      <c r="N3720" s="2"/>
      <c r="O3720" s="2"/>
      <c r="P3720" s="2"/>
      <c r="Q3720" s="2"/>
      <c r="R3720" s="2"/>
      <c r="S3720" s="2"/>
    </row>
    <row r="3721" spans="1:19" s="2" customFormat="1" ht="96.2" customHeight="1" outlineLevel="6">
      <c r="A3721" s="53">
        <v>2935</v>
      </c>
      <c r="B3721" s="10" t="s">
        <v>12348</v>
      </c>
      <c r="C3721" s="65" t="s">
        <v>12349</v>
      </c>
      <c r="D3721" s="65"/>
      <c r="E3721" s="65"/>
      <c r="F3721" s="65"/>
      <c r="G3721" s="11" t="s">
        <v>12350</v>
      </c>
      <c r="H3721" s="14">
        <v>75</v>
      </c>
      <c r="I3721" s="15"/>
      <c r="J3721" s="9">
        <v>3</v>
      </c>
      <c r="K3721" s="16">
        <v>243.18</v>
      </c>
      <c r="L3721" s="17"/>
      <c r="M3721" s="15">
        <f>K3721*L3721</f>
        <v>0</v>
      </c>
      <c r="N3721" s="23">
        <f>0.16*L3721</f>
        <v>0</v>
      </c>
      <c r="O3721" s="19">
        <f>0.00118*L3721</f>
        <v>0</v>
      </c>
      <c r="P3721" s="24" t="s">
        <v>26</v>
      </c>
      <c r="Q3721" s="15" t="s">
        <v>12351</v>
      </c>
      <c r="R3721" s="15"/>
      <c r="S3721" s="10" t="str">
        <f>HYPERLINK("https://miland.ru/api/getInfo/image/23691f6d-63e7-11f1-a296-00155d82e908")</f>
        <v>https://miland.ru/api/getInfo/image/23691f6d-63e7-11f1-a296-00155d82e908</v>
      </c>
    </row>
    <row r="3722" spans="1:19" s="2" customFormat="1" ht="96.2" customHeight="1" outlineLevel="6">
      <c r="A3722" s="53">
        <v>2936</v>
      </c>
      <c r="B3722" s="10" t="s">
        <v>12352</v>
      </c>
      <c r="C3722" s="65" t="s">
        <v>12353</v>
      </c>
      <c r="D3722" s="65"/>
      <c r="E3722" s="65"/>
      <c r="F3722" s="65"/>
      <c r="G3722" s="11" t="s">
        <v>12354</v>
      </c>
      <c r="H3722" s="14">
        <v>8</v>
      </c>
      <c r="I3722" s="15"/>
      <c r="J3722" s="9">
        <v>3</v>
      </c>
      <c r="K3722" s="16">
        <v>254.72</v>
      </c>
      <c r="L3722" s="17"/>
      <c r="M3722" s="15">
        <f>K3722*L3722</f>
        <v>0</v>
      </c>
      <c r="N3722" s="18">
        <f>0.157*L3722</f>
        <v>0</v>
      </c>
      <c r="O3722" s="20">
        <f>0.0012*L3722</f>
        <v>0</v>
      </c>
      <c r="P3722" s="24" t="s">
        <v>26</v>
      </c>
      <c r="Q3722" s="15" t="s">
        <v>12355</v>
      </c>
      <c r="R3722" s="15"/>
      <c r="S3722" s="10" t="str">
        <f>HYPERLINK("https://miland.ru/api/getInfo/image/902a805f-63e7-11f1-a296-00155d82e908")</f>
        <v>https://miland.ru/api/getInfo/image/902a805f-63e7-11f1-a296-00155d82e908</v>
      </c>
    </row>
    <row r="3723" spans="1:19" s="1" customFormat="1" ht="12" customHeight="1" outlineLevel="2">
      <c r="A3723" s="63" t="s">
        <v>12356</v>
      </c>
      <c r="B3723" s="63"/>
      <c r="C3723" s="63"/>
      <c r="D3723" s="63"/>
      <c r="E3723" s="63"/>
      <c r="F3723" s="63"/>
      <c r="G3723" s="8"/>
      <c r="H3723" s="12"/>
      <c r="I3723" s="2"/>
      <c r="J3723" s="2"/>
      <c r="K3723" s="13"/>
      <c r="L3723" s="2"/>
      <c r="M3723" s="2"/>
      <c r="N3723" s="2"/>
      <c r="O3723" s="2"/>
      <c r="P3723" s="2"/>
      <c r="Q3723" s="2"/>
      <c r="R3723" s="2"/>
      <c r="S3723" s="2"/>
    </row>
    <row r="3724" spans="1:19" s="1" customFormat="1" ht="12" customHeight="1" outlineLevel="3">
      <c r="A3724" s="64" t="s">
        <v>12357</v>
      </c>
      <c r="B3724" s="64"/>
      <c r="C3724" s="64"/>
      <c r="D3724" s="64"/>
      <c r="E3724" s="64"/>
      <c r="F3724" s="64"/>
      <c r="G3724" s="8"/>
      <c r="H3724" s="12"/>
      <c r="I3724" s="2"/>
      <c r="J3724" s="2"/>
      <c r="K3724" s="13"/>
      <c r="L3724" s="2"/>
      <c r="M3724" s="2"/>
      <c r="N3724" s="2"/>
      <c r="O3724" s="2"/>
      <c r="P3724" s="2"/>
      <c r="Q3724" s="2"/>
      <c r="R3724" s="2"/>
      <c r="S3724" s="2"/>
    </row>
    <row r="3725" spans="1:19" s="1" customFormat="1" ht="12" customHeight="1" outlineLevel="4">
      <c r="A3725" s="64" t="s">
        <v>12358</v>
      </c>
      <c r="B3725" s="64"/>
      <c r="C3725" s="64"/>
      <c r="D3725" s="64"/>
      <c r="E3725" s="64"/>
      <c r="F3725" s="64"/>
      <c r="G3725" s="8"/>
      <c r="H3725" s="12"/>
      <c r="I3725" s="2"/>
      <c r="J3725" s="2"/>
      <c r="K3725" s="13"/>
      <c r="L3725" s="2"/>
      <c r="M3725" s="2"/>
      <c r="N3725" s="2"/>
      <c r="O3725" s="2"/>
      <c r="P3725" s="2"/>
      <c r="Q3725" s="2"/>
      <c r="R3725" s="2"/>
      <c r="S3725" s="2"/>
    </row>
    <row r="3726" spans="1:19" s="2" customFormat="1" ht="96.2" customHeight="1" outlineLevel="5">
      <c r="A3726" s="52">
        <v>2937</v>
      </c>
      <c r="B3726" s="26" t="s">
        <v>12359</v>
      </c>
      <c r="C3726" s="66" t="s">
        <v>12360</v>
      </c>
      <c r="D3726" s="66"/>
      <c r="E3726" s="66"/>
      <c r="F3726" s="66"/>
      <c r="G3726" s="27" t="s">
        <v>12361</v>
      </c>
      <c r="H3726" s="33">
        <v>3</v>
      </c>
      <c r="I3726" s="29"/>
      <c r="J3726" s="25">
        <v>1</v>
      </c>
      <c r="K3726" s="37">
        <v>1249.8399999999999</v>
      </c>
      <c r="L3726" s="17"/>
      <c r="M3726" s="29">
        <f t="shared" ref="M3726:M3752" si="178">K3726*L3726</f>
        <v>0</v>
      </c>
      <c r="N3726" s="31">
        <f>0.899*L3726</f>
        <v>0</v>
      </c>
      <c r="O3726" s="32">
        <f>0.00504*L3726</f>
        <v>0</v>
      </c>
      <c r="P3726" s="36"/>
      <c r="Q3726" s="29" t="s">
        <v>12362</v>
      </c>
      <c r="R3726" s="29" t="s">
        <v>611</v>
      </c>
      <c r="S3726" s="26" t="str">
        <f>HYPERLINK("https://miland.ru/api/getInfo/image/4d6458ec-2177-11ee-a23d-00155d82e902")</f>
        <v>https://miland.ru/api/getInfo/image/4d6458ec-2177-11ee-a23d-00155d82e902</v>
      </c>
    </row>
    <row r="3727" spans="1:19" s="2" customFormat="1" ht="96.2" customHeight="1" outlineLevel="5">
      <c r="A3727" s="52">
        <v>2938</v>
      </c>
      <c r="B3727" s="26" t="s">
        <v>12363</v>
      </c>
      <c r="C3727" s="66" t="s">
        <v>12364</v>
      </c>
      <c r="D3727" s="66"/>
      <c r="E3727" s="66"/>
      <c r="F3727" s="66"/>
      <c r="G3727" s="27" t="s">
        <v>12365</v>
      </c>
      <c r="H3727" s="33">
        <v>13</v>
      </c>
      <c r="I3727" s="29"/>
      <c r="J3727" s="25">
        <v>1</v>
      </c>
      <c r="K3727" s="37">
        <v>1281.22</v>
      </c>
      <c r="L3727" s="17"/>
      <c r="M3727" s="29">
        <f t="shared" si="178"/>
        <v>0</v>
      </c>
      <c r="N3727" s="31">
        <f>1.152*L3727</f>
        <v>0</v>
      </c>
      <c r="O3727" s="32">
        <f>0.00619*L3727</f>
        <v>0</v>
      </c>
      <c r="P3727" s="36"/>
      <c r="Q3727" s="29" t="s">
        <v>12366</v>
      </c>
      <c r="R3727" s="29"/>
      <c r="S3727" s="26" t="str">
        <f>HYPERLINK("https://miland.ru/api/getInfo/image/728e9297-215b-11ee-a23d-00155d82e902")</f>
        <v>https://miland.ru/api/getInfo/image/728e9297-215b-11ee-a23d-00155d82e902</v>
      </c>
    </row>
    <row r="3728" spans="1:19" s="2" customFormat="1" ht="96.2" customHeight="1" outlineLevel="5">
      <c r="A3728" s="52">
        <v>2939</v>
      </c>
      <c r="B3728" s="26" t="s">
        <v>12367</v>
      </c>
      <c r="C3728" s="66" t="s">
        <v>12368</v>
      </c>
      <c r="D3728" s="66"/>
      <c r="E3728" s="66"/>
      <c r="F3728" s="66"/>
      <c r="G3728" s="27" t="s">
        <v>12369</v>
      </c>
      <c r="H3728" s="33">
        <v>2</v>
      </c>
      <c r="I3728" s="29"/>
      <c r="J3728" s="25">
        <v>1</v>
      </c>
      <c r="K3728" s="30">
        <v>839.01</v>
      </c>
      <c r="L3728" s="17"/>
      <c r="M3728" s="29">
        <f t="shared" si="178"/>
        <v>0</v>
      </c>
      <c r="N3728" s="31">
        <f>0.605*L3728</f>
        <v>0</v>
      </c>
      <c r="O3728" s="35">
        <f>0.0037*L3728</f>
        <v>0</v>
      </c>
      <c r="P3728" s="36"/>
      <c r="Q3728" s="29" t="s">
        <v>12370</v>
      </c>
      <c r="R3728" s="29"/>
      <c r="S3728" s="26" t="str">
        <f>HYPERLINK("https://miland.ru/api/getInfo/image/bf17dc2d-215b-11ee-a23d-00155d82e902")</f>
        <v>https://miland.ru/api/getInfo/image/bf17dc2d-215b-11ee-a23d-00155d82e902</v>
      </c>
    </row>
    <row r="3729" spans="1:19" s="2" customFormat="1" ht="96.2" customHeight="1" outlineLevel="5">
      <c r="A3729" s="53">
        <v>2940</v>
      </c>
      <c r="B3729" s="10" t="s">
        <v>12371</v>
      </c>
      <c r="C3729" s="65" t="s">
        <v>12372</v>
      </c>
      <c r="D3729" s="65"/>
      <c r="E3729" s="65"/>
      <c r="F3729" s="65"/>
      <c r="G3729" s="11" t="s">
        <v>12373</v>
      </c>
      <c r="H3729" s="14">
        <v>141</v>
      </c>
      <c r="I3729" s="15"/>
      <c r="J3729" s="9">
        <v>1</v>
      </c>
      <c r="K3729" s="16">
        <v>814.63</v>
      </c>
      <c r="L3729" s="17"/>
      <c r="M3729" s="15">
        <f t="shared" si="178"/>
        <v>0</v>
      </c>
      <c r="N3729" s="23">
        <f>0.58*L3729</f>
        <v>0</v>
      </c>
      <c r="O3729" s="19">
        <f>0.00252*L3729</f>
        <v>0</v>
      </c>
      <c r="P3729" s="24" t="s">
        <v>26</v>
      </c>
      <c r="Q3729" s="15" t="s">
        <v>12374</v>
      </c>
      <c r="R3729" s="15"/>
      <c r="S3729" s="10" t="str">
        <f>HYPERLINK("https://miland.ru/api/getInfo/image/a9a035e1-2d92-11f1-a292-00155d82e908")</f>
        <v>https://miland.ru/api/getInfo/image/a9a035e1-2d92-11f1-a292-00155d82e908</v>
      </c>
    </row>
    <row r="3730" spans="1:19" s="2" customFormat="1" ht="96.2" customHeight="1" outlineLevel="5">
      <c r="A3730" s="53">
        <v>2941</v>
      </c>
      <c r="B3730" s="10" t="s">
        <v>12375</v>
      </c>
      <c r="C3730" s="65" t="s">
        <v>12376</v>
      </c>
      <c r="D3730" s="65"/>
      <c r="E3730" s="65"/>
      <c r="F3730" s="65"/>
      <c r="G3730" s="11" t="s">
        <v>12377</v>
      </c>
      <c r="H3730" s="14">
        <v>191</v>
      </c>
      <c r="I3730" s="15"/>
      <c r="J3730" s="9">
        <v>1</v>
      </c>
      <c r="K3730" s="16">
        <v>708.17</v>
      </c>
      <c r="L3730" s="17"/>
      <c r="M3730" s="15">
        <f t="shared" si="178"/>
        <v>0</v>
      </c>
      <c r="N3730" s="18">
        <f>0.586*L3730</f>
        <v>0</v>
      </c>
      <c r="O3730" s="19">
        <f>0.00361*L3730</f>
        <v>0</v>
      </c>
      <c r="P3730" s="24" t="s">
        <v>26</v>
      </c>
      <c r="Q3730" s="15" t="s">
        <v>12378</v>
      </c>
      <c r="R3730" s="15"/>
      <c r="S3730" s="10" t="str">
        <f>HYPERLINK("https://miland.ru/api/getInfo/image/3374b3a1-2d91-11f1-a292-00155d82e908")</f>
        <v>https://miland.ru/api/getInfo/image/3374b3a1-2d91-11f1-a292-00155d82e908</v>
      </c>
    </row>
    <row r="3731" spans="1:19" s="2" customFormat="1" ht="96.2" customHeight="1" outlineLevel="5">
      <c r="A3731" s="53">
        <v>2942</v>
      </c>
      <c r="B3731" s="10" t="s">
        <v>12379</v>
      </c>
      <c r="C3731" s="65" t="s">
        <v>12380</v>
      </c>
      <c r="D3731" s="65"/>
      <c r="E3731" s="65"/>
      <c r="F3731" s="65"/>
      <c r="G3731" s="11" t="s">
        <v>12381</v>
      </c>
      <c r="H3731" s="14">
        <v>287</v>
      </c>
      <c r="I3731" s="15"/>
      <c r="J3731" s="9">
        <v>1</v>
      </c>
      <c r="K3731" s="16">
        <v>708.17</v>
      </c>
      <c r="L3731" s="17"/>
      <c r="M3731" s="15">
        <f t="shared" si="178"/>
        <v>0</v>
      </c>
      <c r="N3731" s="18">
        <f>0.572*L3731</f>
        <v>0</v>
      </c>
      <c r="O3731" s="19">
        <f>0.00393*L3731</f>
        <v>0</v>
      </c>
      <c r="P3731" s="24" t="s">
        <v>26</v>
      </c>
      <c r="Q3731" s="15" t="s">
        <v>12382</v>
      </c>
      <c r="R3731" s="15"/>
      <c r="S3731" s="10" t="str">
        <f>HYPERLINK("https://miland.ru/api/getInfo/image/b33efaa3-2d90-11f1-a292-00155d82e908")</f>
        <v>https://miland.ru/api/getInfo/image/b33efaa3-2d90-11f1-a292-00155d82e908</v>
      </c>
    </row>
    <row r="3732" spans="1:19" s="2" customFormat="1" ht="96.2" customHeight="1" outlineLevel="5">
      <c r="A3732" s="53">
        <v>2943</v>
      </c>
      <c r="B3732" s="10" t="s">
        <v>12383</v>
      </c>
      <c r="C3732" s="65" t="s">
        <v>12384</v>
      </c>
      <c r="D3732" s="65"/>
      <c r="E3732" s="65"/>
      <c r="F3732" s="65"/>
      <c r="G3732" s="11" t="s">
        <v>12385</v>
      </c>
      <c r="H3732" s="14">
        <v>71</v>
      </c>
      <c r="I3732" s="15"/>
      <c r="J3732" s="9">
        <v>1</v>
      </c>
      <c r="K3732" s="22">
        <v>1076.3</v>
      </c>
      <c r="L3732" s="17"/>
      <c r="M3732" s="15">
        <f t="shared" si="178"/>
        <v>0</v>
      </c>
      <c r="N3732" s="18">
        <f>0.907*L3732</f>
        <v>0</v>
      </c>
      <c r="O3732" s="19">
        <f>0.00527*L3732</f>
        <v>0</v>
      </c>
      <c r="P3732" s="24" t="s">
        <v>26</v>
      </c>
      <c r="Q3732" s="15" t="s">
        <v>12386</v>
      </c>
      <c r="R3732" s="15"/>
      <c r="S3732" s="10" t="str">
        <f>HYPERLINK("https://miland.ru/api/getInfo/image/f199edf8-2d92-11f1-a292-00155d82e908")</f>
        <v>https://miland.ru/api/getInfo/image/f199edf8-2d92-11f1-a292-00155d82e908</v>
      </c>
    </row>
    <row r="3733" spans="1:19" s="2" customFormat="1" ht="96.2" customHeight="1" outlineLevel="5">
      <c r="A3733" s="52">
        <v>2944</v>
      </c>
      <c r="B3733" s="26" t="s">
        <v>12387</v>
      </c>
      <c r="C3733" s="66" t="s">
        <v>12388</v>
      </c>
      <c r="D3733" s="66"/>
      <c r="E3733" s="66"/>
      <c r="F3733" s="66"/>
      <c r="G3733" s="27" t="s">
        <v>12389</v>
      </c>
      <c r="H3733" s="33">
        <v>2</v>
      </c>
      <c r="I3733" s="29"/>
      <c r="J3733" s="25">
        <v>1</v>
      </c>
      <c r="K3733" s="30">
        <v>812.9</v>
      </c>
      <c r="L3733" s="17"/>
      <c r="M3733" s="29">
        <f t="shared" si="178"/>
        <v>0</v>
      </c>
      <c r="N3733" s="31">
        <f>0.611*L3733</f>
        <v>0</v>
      </c>
      <c r="O3733" s="32">
        <f>0.00388*L3733</f>
        <v>0</v>
      </c>
      <c r="P3733" s="36"/>
      <c r="Q3733" s="29" t="s">
        <v>12390</v>
      </c>
      <c r="R3733" s="29"/>
      <c r="S3733" s="26" t="str">
        <f>HYPERLINK("https://miland.ru/api/getInfo/image/9ce102c8-f8bb-11ee-a25d-00155d82e908")</f>
        <v>https://miland.ru/api/getInfo/image/9ce102c8-f8bb-11ee-a25d-00155d82e908</v>
      </c>
    </row>
    <row r="3734" spans="1:19" s="2" customFormat="1" ht="96.2" customHeight="1" outlineLevel="5">
      <c r="A3734" s="52">
        <v>2945</v>
      </c>
      <c r="B3734" s="26" t="s">
        <v>12391</v>
      </c>
      <c r="C3734" s="66" t="s">
        <v>12392</v>
      </c>
      <c r="D3734" s="66"/>
      <c r="E3734" s="66"/>
      <c r="F3734" s="66"/>
      <c r="G3734" s="27" t="s">
        <v>12393</v>
      </c>
      <c r="H3734" s="33">
        <v>7</v>
      </c>
      <c r="I3734" s="29"/>
      <c r="J3734" s="25">
        <v>1</v>
      </c>
      <c r="K3734" s="30">
        <v>885.3</v>
      </c>
      <c r="L3734" s="17"/>
      <c r="M3734" s="29">
        <f t="shared" si="178"/>
        <v>0</v>
      </c>
      <c r="N3734" s="31">
        <f>0.574*L3734</f>
        <v>0</v>
      </c>
      <c r="O3734" s="32">
        <f>0.00235*L3734</f>
        <v>0</v>
      </c>
      <c r="P3734" s="36"/>
      <c r="Q3734" s="29" t="s">
        <v>12394</v>
      </c>
      <c r="R3734" s="29" t="s">
        <v>611</v>
      </c>
      <c r="S3734" s="26" t="str">
        <f>HYPERLINK("https://miland.ru/api/getInfo/image/5537809c-f8bc-11ee-a25d-00155d82e908")</f>
        <v>https://miland.ru/api/getInfo/image/5537809c-f8bc-11ee-a25d-00155d82e908</v>
      </c>
    </row>
    <row r="3735" spans="1:19" s="2" customFormat="1" ht="96.2" customHeight="1" outlineLevel="5">
      <c r="A3735" s="53">
        <v>2946</v>
      </c>
      <c r="B3735" s="10" t="s">
        <v>12395</v>
      </c>
      <c r="C3735" s="65" t="s">
        <v>12396</v>
      </c>
      <c r="D3735" s="65"/>
      <c r="E3735" s="65"/>
      <c r="F3735" s="65"/>
      <c r="G3735" s="11" t="s">
        <v>12397</v>
      </c>
      <c r="H3735" s="14">
        <v>287</v>
      </c>
      <c r="I3735" s="15"/>
      <c r="J3735" s="9">
        <v>1</v>
      </c>
      <c r="K3735" s="16">
        <v>708.17</v>
      </c>
      <c r="L3735" s="17"/>
      <c r="M3735" s="15">
        <f t="shared" si="178"/>
        <v>0</v>
      </c>
      <c r="N3735" s="18">
        <f>0.669*L3735</f>
        <v>0</v>
      </c>
      <c r="O3735" s="19">
        <f>0.00387*L3735</f>
        <v>0</v>
      </c>
      <c r="P3735" s="24" t="s">
        <v>26</v>
      </c>
      <c r="Q3735" s="15" t="s">
        <v>12398</v>
      </c>
      <c r="R3735" s="15"/>
      <c r="S3735" s="10" t="str">
        <f>HYPERLINK("https://miland.ru/api/getInfo/image/49c1f89c-2d91-11f1-a292-00155d82e908")</f>
        <v>https://miland.ru/api/getInfo/image/49c1f89c-2d91-11f1-a292-00155d82e908</v>
      </c>
    </row>
    <row r="3736" spans="1:19" s="2" customFormat="1" ht="96.2" customHeight="1" outlineLevel="5">
      <c r="A3736" s="53">
        <v>2947</v>
      </c>
      <c r="B3736" s="10" t="s">
        <v>12399</v>
      </c>
      <c r="C3736" s="65" t="s">
        <v>12400</v>
      </c>
      <c r="D3736" s="65"/>
      <c r="E3736" s="65"/>
      <c r="F3736" s="65"/>
      <c r="G3736" s="11" t="s">
        <v>12401</v>
      </c>
      <c r="H3736" s="14">
        <v>191</v>
      </c>
      <c r="I3736" s="15"/>
      <c r="J3736" s="9">
        <v>1</v>
      </c>
      <c r="K3736" s="16">
        <v>708.17</v>
      </c>
      <c r="L3736" s="17"/>
      <c r="M3736" s="15">
        <f t="shared" si="178"/>
        <v>0</v>
      </c>
      <c r="N3736" s="18">
        <f>0.672*L3736</f>
        <v>0</v>
      </c>
      <c r="O3736" s="19">
        <f>0.00438*L3736</f>
        <v>0</v>
      </c>
      <c r="P3736" s="24" t="s">
        <v>26</v>
      </c>
      <c r="Q3736" s="15" t="s">
        <v>12402</v>
      </c>
      <c r="R3736" s="15"/>
      <c r="S3736" s="10" t="str">
        <f>HYPERLINK("https://miland.ru/api/getInfo/image/73b4901e-2d91-11f1-a292-00155d82e908")</f>
        <v>https://miland.ru/api/getInfo/image/73b4901e-2d91-11f1-a292-00155d82e908</v>
      </c>
    </row>
    <row r="3737" spans="1:19" s="2" customFormat="1" ht="96.2" customHeight="1" outlineLevel="5">
      <c r="A3737" s="52">
        <v>2948</v>
      </c>
      <c r="B3737" s="26" t="s">
        <v>12403</v>
      </c>
      <c r="C3737" s="66" t="s">
        <v>12404</v>
      </c>
      <c r="D3737" s="66"/>
      <c r="E3737" s="66"/>
      <c r="F3737" s="66"/>
      <c r="G3737" s="27" t="s">
        <v>12405</v>
      </c>
      <c r="H3737" s="33">
        <v>42</v>
      </c>
      <c r="I3737" s="29"/>
      <c r="J3737" s="25">
        <v>1</v>
      </c>
      <c r="K3737" s="37">
        <v>1004.48</v>
      </c>
      <c r="L3737" s="17"/>
      <c r="M3737" s="29">
        <f t="shared" si="178"/>
        <v>0</v>
      </c>
      <c r="N3737" s="31">
        <f>0.742*L3737</f>
        <v>0</v>
      </c>
      <c r="O3737" s="32">
        <f>0.00363*L3737</f>
        <v>0</v>
      </c>
      <c r="P3737" s="36"/>
      <c r="Q3737" s="29" t="s">
        <v>12406</v>
      </c>
      <c r="R3737" s="29"/>
      <c r="S3737" s="26" t="str">
        <f>HYPERLINK("https://miland.ru/api/getInfo/image/fab9ba4a-f8ba-11ee-a25d-00155d82e908")</f>
        <v>https://miland.ru/api/getInfo/image/fab9ba4a-f8ba-11ee-a25d-00155d82e908</v>
      </c>
    </row>
    <row r="3738" spans="1:19" s="2" customFormat="1" ht="96.2" customHeight="1" outlineLevel="5">
      <c r="A3738" s="52">
        <v>2949</v>
      </c>
      <c r="B3738" s="26" t="s">
        <v>12407</v>
      </c>
      <c r="C3738" s="66" t="s">
        <v>12408</v>
      </c>
      <c r="D3738" s="66"/>
      <c r="E3738" s="66"/>
      <c r="F3738" s="66"/>
      <c r="G3738" s="27" t="s">
        <v>12409</v>
      </c>
      <c r="H3738" s="33">
        <v>1</v>
      </c>
      <c r="I3738" s="29"/>
      <c r="J3738" s="25">
        <v>1</v>
      </c>
      <c r="K3738" s="30">
        <v>792.72</v>
      </c>
      <c r="L3738" s="17"/>
      <c r="M3738" s="29">
        <f t="shared" si="178"/>
        <v>0</v>
      </c>
      <c r="N3738" s="31">
        <f>0.518*L3738</f>
        <v>0</v>
      </c>
      <c r="O3738" s="32">
        <f>0.00268*L3738</f>
        <v>0</v>
      </c>
      <c r="P3738" s="36"/>
      <c r="Q3738" s="29" t="s">
        <v>12410</v>
      </c>
      <c r="R3738" s="29"/>
      <c r="S3738" s="26" t="str">
        <f>HYPERLINK("https://miland.ru/api/getInfo/image/3d1ea7fd-f8bb-11ee-a25d-00155d82e908")</f>
        <v>https://miland.ru/api/getInfo/image/3d1ea7fd-f8bb-11ee-a25d-00155d82e908</v>
      </c>
    </row>
    <row r="3739" spans="1:19" s="2" customFormat="1" ht="96.2" customHeight="1" outlineLevel="5">
      <c r="A3739" s="52">
        <v>2950</v>
      </c>
      <c r="B3739" s="26" t="s">
        <v>12411</v>
      </c>
      <c r="C3739" s="66" t="s">
        <v>12412</v>
      </c>
      <c r="D3739" s="66"/>
      <c r="E3739" s="66"/>
      <c r="F3739" s="66"/>
      <c r="G3739" s="27" t="s">
        <v>12413</v>
      </c>
      <c r="H3739" s="33">
        <v>1</v>
      </c>
      <c r="I3739" s="29"/>
      <c r="J3739" s="25">
        <v>1</v>
      </c>
      <c r="K3739" s="37">
        <v>1186.19</v>
      </c>
      <c r="L3739" s="17"/>
      <c r="M3739" s="29">
        <f t="shared" si="178"/>
        <v>0</v>
      </c>
      <c r="N3739" s="31">
        <f>0.995*L3739</f>
        <v>0</v>
      </c>
      <c r="O3739" s="32">
        <f>0.00522*L3739</f>
        <v>0</v>
      </c>
      <c r="P3739" s="36"/>
      <c r="Q3739" s="29" t="s">
        <v>12414</v>
      </c>
      <c r="R3739" s="29"/>
      <c r="S3739" s="26" t="str">
        <f>HYPERLINK("https://miland.ru/api/getInfo/image/b1a6dba6-2179-11ee-a23d-00155d82e902")</f>
        <v>https://miland.ru/api/getInfo/image/b1a6dba6-2179-11ee-a23d-00155d82e902</v>
      </c>
    </row>
    <row r="3740" spans="1:19" s="2" customFormat="1" ht="96.2" customHeight="1" outlineLevel="5">
      <c r="A3740" s="52">
        <v>2951</v>
      </c>
      <c r="B3740" s="26" t="s">
        <v>12415</v>
      </c>
      <c r="C3740" s="66" t="s">
        <v>12416</v>
      </c>
      <c r="D3740" s="66"/>
      <c r="E3740" s="66"/>
      <c r="F3740" s="66"/>
      <c r="G3740" s="27" t="s">
        <v>12417</v>
      </c>
      <c r="H3740" s="33">
        <v>4</v>
      </c>
      <c r="I3740" s="29"/>
      <c r="J3740" s="25">
        <v>1</v>
      </c>
      <c r="K3740" s="30">
        <v>532.34</v>
      </c>
      <c r="L3740" s="17"/>
      <c r="M3740" s="29">
        <f t="shared" si="178"/>
        <v>0</v>
      </c>
      <c r="N3740" s="31">
        <f>0.347*L3740</f>
        <v>0</v>
      </c>
      <c r="O3740" s="32">
        <f>0.00143*L3740</f>
        <v>0</v>
      </c>
      <c r="P3740" s="36"/>
      <c r="Q3740" s="29" t="s">
        <v>12418</v>
      </c>
      <c r="R3740" s="29" t="s">
        <v>611</v>
      </c>
      <c r="S3740" s="26" t="str">
        <f>HYPERLINK("https://miland.ru/api/getInfo/image/61b4dc5f-2179-11ee-a23d-00155d82e902")</f>
        <v>https://miland.ru/api/getInfo/image/61b4dc5f-2179-11ee-a23d-00155d82e902</v>
      </c>
    </row>
    <row r="3741" spans="1:19" s="2" customFormat="1" ht="96.2" customHeight="1" outlineLevel="5">
      <c r="A3741" s="52">
        <v>2952</v>
      </c>
      <c r="B3741" s="26" t="s">
        <v>12419</v>
      </c>
      <c r="C3741" s="66" t="s">
        <v>12420</v>
      </c>
      <c r="D3741" s="66"/>
      <c r="E3741" s="66"/>
      <c r="F3741" s="66"/>
      <c r="G3741" s="27" t="s">
        <v>12421</v>
      </c>
      <c r="H3741" s="33">
        <v>3</v>
      </c>
      <c r="I3741" s="29"/>
      <c r="J3741" s="25">
        <v>1</v>
      </c>
      <c r="K3741" s="30">
        <v>908.45</v>
      </c>
      <c r="L3741" s="17"/>
      <c r="M3741" s="29">
        <f t="shared" si="178"/>
        <v>0</v>
      </c>
      <c r="N3741" s="31">
        <f>0.695*L3741</f>
        <v>0</v>
      </c>
      <c r="O3741" s="32">
        <f>0.00421*L3741</f>
        <v>0</v>
      </c>
      <c r="P3741" s="36"/>
      <c r="Q3741" s="29" t="s">
        <v>12422</v>
      </c>
      <c r="R3741" s="29"/>
      <c r="S3741" s="26" t="str">
        <f>HYPERLINK("https://miland.ru/api/getInfo/image/26805987-f8bc-11ee-a25d-00155d82e908")</f>
        <v>https://miland.ru/api/getInfo/image/26805987-f8bc-11ee-a25d-00155d82e908</v>
      </c>
    </row>
    <row r="3742" spans="1:19" s="2" customFormat="1" ht="96.2" customHeight="1" outlineLevel="5">
      <c r="A3742" s="52">
        <v>2953</v>
      </c>
      <c r="B3742" s="26" t="s">
        <v>12423</v>
      </c>
      <c r="C3742" s="66" t="s">
        <v>12424</v>
      </c>
      <c r="D3742" s="66"/>
      <c r="E3742" s="66"/>
      <c r="F3742" s="66"/>
      <c r="G3742" s="27" t="s">
        <v>12425</v>
      </c>
      <c r="H3742" s="33">
        <v>2</v>
      </c>
      <c r="I3742" s="29"/>
      <c r="J3742" s="25">
        <v>1</v>
      </c>
      <c r="K3742" s="37">
        <v>1064.68</v>
      </c>
      <c r="L3742" s="17"/>
      <c r="M3742" s="29">
        <f t="shared" si="178"/>
        <v>0</v>
      </c>
      <c r="N3742" s="31">
        <f>0.882*L3742</f>
        <v>0</v>
      </c>
      <c r="O3742" s="32">
        <f>0.00422*L3742</f>
        <v>0</v>
      </c>
      <c r="P3742" s="36"/>
      <c r="Q3742" s="29" t="s">
        <v>12426</v>
      </c>
      <c r="R3742" s="29"/>
      <c r="S3742" s="26" t="str">
        <f>HYPERLINK("https://miland.ru/api/getInfo/image/0147877e-215d-11ee-a23d-00155d82e902")</f>
        <v>https://miland.ru/api/getInfo/image/0147877e-215d-11ee-a23d-00155d82e902</v>
      </c>
    </row>
    <row r="3743" spans="1:19" s="2" customFormat="1" ht="96.2" customHeight="1" outlineLevel="5">
      <c r="A3743" s="52">
        <v>2954</v>
      </c>
      <c r="B3743" s="26" t="s">
        <v>12427</v>
      </c>
      <c r="C3743" s="66" t="s">
        <v>12428</v>
      </c>
      <c r="D3743" s="66"/>
      <c r="E3743" s="66"/>
      <c r="F3743" s="66"/>
      <c r="G3743" s="27" t="s">
        <v>12429</v>
      </c>
      <c r="H3743" s="33">
        <v>22</v>
      </c>
      <c r="I3743" s="29"/>
      <c r="J3743" s="25">
        <v>1</v>
      </c>
      <c r="K3743" s="37">
        <v>1010.21</v>
      </c>
      <c r="L3743" s="17"/>
      <c r="M3743" s="29">
        <f t="shared" si="178"/>
        <v>0</v>
      </c>
      <c r="N3743" s="34">
        <f>1.32*L3743</f>
        <v>0</v>
      </c>
      <c r="O3743" s="32">
        <f>0.00629*L3743</f>
        <v>0</v>
      </c>
      <c r="P3743" s="36"/>
      <c r="Q3743" s="29" t="s">
        <v>12430</v>
      </c>
      <c r="R3743" s="29"/>
      <c r="S3743" s="26" t="str">
        <f>HYPERLINK("https://miland.ru/api/getInfo/image/9f583403-215d-11ee-a23d-00155d82e902")</f>
        <v>https://miland.ru/api/getInfo/image/9f583403-215d-11ee-a23d-00155d82e902</v>
      </c>
    </row>
    <row r="3744" spans="1:19" s="2" customFormat="1" ht="96.2" customHeight="1" outlineLevel="5">
      <c r="A3744" s="53">
        <v>2955</v>
      </c>
      <c r="B3744" s="10" t="s">
        <v>12431</v>
      </c>
      <c r="C3744" s="65" t="s">
        <v>12432</v>
      </c>
      <c r="D3744" s="65"/>
      <c r="E3744" s="65"/>
      <c r="F3744" s="65"/>
      <c r="G3744" s="11" t="s">
        <v>12433</v>
      </c>
      <c r="H3744" s="14">
        <v>143</v>
      </c>
      <c r="I3744" s="15"/>
      <c r="J3744" s="9">
        <v>1</v>
      </c>
      <c r="K3744" s="16">
        <v>878.81</v>
      </c>
      <c r="L3744" s="17"/>
      <c r="M3744" s="15">
        <f t="shared" si="178"/>
        <v>0</v>
      </c>
      <c r="N3744" s="18">
        <f>0.754*L3744</f>
        <v>0</v>
      </c>
      <c r="O3744" s="20">
        <f>0.0034*L3744</f>
        <v>0</v>
      </c>
      <c r="P3744" s="24" t="s">
        <v>26</v>
      </c>
      <c r="Q3744" s="15" t="s">
        <v>12434</v>
      </c>
      <c r="R3744" s="15"/>
      <c r="S3744" s="10" t="str">
        <f>HYPERLINK("https://miland.ru/api/getInfo/image/113c949d-2d93-11f1-a292-00155d82e908")</f>
        <v>https://miland.ru/api/getInfo/image/113c949d-2d93-11f1-a292-00155d82e908</v>
      </c>
    </row>
    <row r="3745" spans="1:19" s="2" customFormat="1" ht="96.2" customHeight="1" outlineLevel="5">
      <c r="A3745" s="53">
        <v>2956</v>
      </c>
      <c r="B3745" s="10" t="s">
        <v>12435</v>
      </c>
      <c r="C3745" s="65" t="s">
        <v>12436</v>
      </c>
      <c r="D3745" s="65"/>
      <c r="E3745" s="65"/>
      <c r="F3745" s="65"/>
      <c r="G3745" s="11" t="s">
        <v>12437</v>
      </c>
      <c r="H3745" s="14">
        <v>71</v>
      </c>
      <c r="I3745" s="15"/>
      <c r="J3745" s="9">
        <v>1</v>
      </c>
      <c r="K3745" s="16">
        <v>977.55</v>
      </c>
      <c r="L3745" s="17"/>
      <c r="M3745" s="15">
        <f t="shared" si="178"/>
        <v>0</v>
      </c>
      <c r="N3745" s="18">
        <f>0.783*L3745</f>
        <v>0</v>
      </c>
      <c r="O3745" s="19">
        <f>0.00461*L3745</f>
        <v>0</v>
      </c>
      <c r="P3745" s="24" t="s">
        <v>26</v>
      </c>
      <c r="Q3745" s="15" t="s">
        <v>12438</v>
      </c>
      <c r="R3745" s="15"/>
      <c r="S3745" s="10" t="str">
        <f>HYPERLINK("https://miland.ru/api/getInfo/image/31e07f91-2d92-11f1-a292-00155d82e908")</f>
        <v>https://miland.ru/api/getInfo/image/31e07f91-2d92-11f1-a292-00155d82e908</v>
      </c>
    </row>
    <row r="3746" spans="1:19" s="2" customFormat="1" ht="96.2" customHeight="1" outlineLevel="5">
      <c r="A3746" s="53">
        <v>2957</v>
      </c>
      <c r="B3746" s="10" t="s">
        <v>12439</v>
      </c>
      <c r="C3746" s="65" t="s">
        <v>12440</v>
      </c>
      <c r="D3746" s="65"/>
      <c r="E3746" s="65"/>
      <c r="F3746" s="65"/>
      <c r="G3746" s="11" t="s">
        <v>12441</v>
      </c>
      <c r="H3746" s="14">
        <v>105</v>
      </c>
      <c r="I3746" s="15"/>
      <c r="J3746" s="9">
        <v>1</v>
      </c>
      <c r="K3746" s="16">
        <v>567.77</v>
      </c>
      <c r="L3746" s="17"/>
      <c r="M3746" s="15">
        <f t="shared" si="178"/>
        <v>0</v>
      </c>
      <c r="N3746" s="18">
        <f>0.647*L3746</f>
        <v>0</v>
      </c>
      <c r="O3746" s="19">
        <f>0.00216*L3746</f>
        <v>0</v>
      </c>
      <c r="P3746" s="24" t="s">
        <v>26</v>
      </c>
      <c r="Q3746" s="15" t="s">
        <v>12442</v>
      </c>
      <c r="R3746" s="15"/>
      <c r="S3746" s="10" t="str">
        <f>HYPERLINK("https://miland.ru/api/getInfo/image/cbcf7c95-2d91-11f1-a292-00155d82e908")</f>
        <v>https://miland.ru/api/getInfo/image/cbcf7c95-2d91-11f1-a292-00155d82e908</v>
      </c>
    </row>
    <row r="3747" spans="1:19" s="2" customFormat="1" ht="96.2" customHeight="1" outlineLevel="5">
      <c r="A3747" s="53">
        <v>2958</v>
      </c>
      <c r="B3747" s="10" t="s">
        <v>12443</v>
      </c>
      <c r="C3747" s="65" t="s">
        <v>12444</v>
      </c>
      <c r="D3747" s="65"/>
      <c r="E3747" s="65"/>
      <c r="F3747" s="65"/>
      <c r="G3747" s="11" t="s">
        <v>12445</v>
      </c>
      <c r="H3747" s="14">
        <v>287</v>
      </c>
      <c r="I3747" s="15"/>
      <c r="J3747" s="9">
        <v>1</v>
      </c>
      <c r="K3747" s="16">
        <v>708.17</v>
      </c>
      <c r="L3747" s="17"/>
      <c r="M3747" s="15">
        <f t="shared" si="178"/>
        <v>0</v>
      </c>
      <c r="N3747" s="18">
        <f>0.614*L3747</f>
        <v>0</v>
      </c>
      <c r="O3747" s="19">
        <f>0.00383*L3747</f>
        <v>0</v>
      </c>
      <c r="P3747" s="24" t="s">
        <v>26</v>
      </c>
      <c r="Q3747" s="15" t="s">
        <v>12446</v>
      </c>
      <c r="R3747" s="15"/>
      <c r="S3747" s="10" t="str">
        <f>HYPERLINK("https://miland.ru/api/getInfo/image/5c48e3a3-2d91-11f1-a292-00155d82e908")</f>
        <v>https://miland.ru/api/getInfo/image/5c48e3a3-2d91-11f1-a292-00155d82e908</v>
      </c>
    </row>
    <row r="3748" spans="1:19" s="2" customFormat="1" ht="96.2" customHeight="1" outlineLevel="5">
      <c r="A3748" s="52">
        <v>2959</v>
      </c>
      <c r="B3748" s="26" t="s">
        <v>12447</v>
      </c>
      <c r="C3748" s="66" t="s">
        <v>12448</v>
      </c>
      <c r="D3748" s="66"/>
      <c r="E3748" s="66"/>
      <c r="F3748" s="66"/>
      <c r="G3748" s="27" t="s">
        <v>12449</v>
      </c>
      <c r="H3748" s="33">
        <v>2</v>
      </c>
      <c r="I3748" s="29"/>
      <c r="J3748" s="25">
        <v>1</v>
      </c>
      <c r="K3748" s="37">
        <v>1562.31</v>
      </c>
      <c r="L3748" s="17"/>
      <c r="M3748" s="29">
        <f t="shared" si="178"/>
        <v>0</v>
      </c>
      <c r="N3748" s="31">
        <f>0.861*L3748</f>
        <v>0</v>
      </c>
      <c r="O3748" s="32">
        <f>0.00414*L3748</f>
        <v>0</v>
      </c>
      <c r="P3748" s="36"/>
      <c r="Q3748" s="29" t="s">
        <v>12450</v>
      </c>
      <c r="R3748" s="29" t="s">
        <v>611</v>
      </c>
      <c r="S3748" s="26" t="str">
        <f>HYPERLINK("https://miland.ru/api/getInfo/image/1eb2e9a4-215f-11ee-a23d-00155d82e902")</f>
        <v>https://miland.ru/api/getInfo/image/1eb2e9a4-215f-11ee-a23d-00155d82e902</v>
      </c>
    </row>
    <row r="3749" spans="1:19" s="2" customFormat="1" ht="96.2" customHeight="1" outlineLevel="5">
      <c r="A3749" s="53">
        <v>2960</v>
      </c>
      <c r="B3749" s="10" t="s">
        <v>12451</v>
      </c>
      <c r="C3749" s="65" t="s">
        <v>12452</v>
      </c>
      <c r="D3749" s="65"/>
      <c r="E3749" s="65"/>
      <c r="F3749" s="65"/>
      <c r="G3749" s="11" t="s">
        <v>12453</v>
      </c>
      <c r="H3749" s="14">
        <v>93</v>
      </c>
      <c r="I3749" s="15"/>
      <c r="J3749" s="9">
        <v>1</v>
      </c>
      <c r="K3749" s="16">
        <v>878.81</v>
      </c>
      <c r="L3749" s="17"/>
      <c r="M3749" s="15">
        <f t="shared" si="178"/>
        <v>0</v>
      </c>
      <c r="N3749" s="18">
        <f>0.719*L3749</f>
        <v>0</v>
      </c>
      <c r="O3749" s="19">
        <f>0.00399*L3749</f>
        <v>0</v>
      </c>
      <c r="P3749" s="24" t="s">
        <v>26</v>
      </c>
      <c r="Q3749" s="15" t="s">
        <v>12454</v>
      </c>
      <c r="R3749" s="15"/>
      <c r="S3749" s="10" t="str">
        <f>HYPERLINK("https://miland.ru/api/getInfo/image/47eb62ff-2d92-11f1-a292-00155d82e908")</f>
        <v>https://miland.ru/api/getInfo/image/47eb62ff-2d92-11f1-a292-00155d82e908</v>
      </c>
    </row>
    <row r="3750" spans="1:19" s="2" customFormat="1" ht="96.2" customHeight="1" outlineLevel="5">
      <c r="A3750" s="53">
        <v>2961</v>
      </c>
      <c r="B3750" s="10" t="s">
        <v>12455</v>
      </c>
      <c r="C3750" s="65" t="s">
        <v>12456</v>
      </c>
      <c r="D3750" s="65"/>
      <c r="E3750" s="65"/>
      <c r="F3750" s="65"/>
      <c r="G3750" s="11" t="s">
        <v>12457</v>
      </c>
      <c r="H3750" s="14">
        <v>107</v>
      </c>
      <c r="I3750" s="15"/>
      <c r="J3750" s="9">
        <v>1</v>
      </c>
      <c r="K3750" s="16">
        <v>567.77</v>
      </c>
      <c r="L3750" s="17"/>
      <c r="M3750" s="15">
        <f t="shared" si="178"/>
        <v>0</v>
      </c>
      <c r="N3750" s="18">
        <f>0.717*L3750</f>
        <v>0</v>
      </c>
      <c r="O3750" s="19">
        <f>0.00281*L3750</f>
        <v>0</v>
      </c>
      <c r="P3750" s="24" t="s">
        <v>26</v>
      </c>
      <c r="Q3750" s="15" t="s">
        <v>12458</v>
      </c>
      <c r="R3750" s="15"/>
      <c r="S3750" s="10" t="str">
        <f>HYPERLINK("https://miland.ru/api/getInfo/image/91967460-2d91-11f1-a292-00155d82e908")</f>
        <v>https://miland.ru/api/getInfo/image/91967460-2d91-11f1-a292-00155d82e908</v>
      </c>
    </row>
    <row r="3751" spans="1:19" s="2" customFormat="1" ht="96.2" customHeight="1" outlineLevel="5">
      <c r="A3751" s="52">
        <v>2962</v>
      </c>
      <c r="B3751" s="26" t="s">
        <v>12459</v>
      </c>
      <c r="C3751" s="66" t="s">
        <v>12460</v>
      </c>
      <c r="D3751" s="66"/>
      <c r="E3751" s="66"/>
      <c r="F3751" s="66"/>
      <c r="G3751" s="27" t="s">
        <v>12461</v>
      </c>
      <c r="H3751" s="33">
        <v>450</v>
      </c>
      <c r="I3751" s="29"/>
      <c r="J3751" s="25">
        <v>1</v>
      </c>
      <c r="K3751" s="30">
        <v>890.57</v>
      </c>
      <c r="L3751" s="17"/>
      <c r="M3751" s="29">
        <f t="shared" si="178"/>
        <v>0</v>
      </c>
      <c r="N3751" s="31">
        <f>0.834*L3751</f>
        <v>0</v>
      </c>
      <c r="O3751" s="32">
        <f>0.00416*L3751</f>
        <v>0</v>
      </c>
      <c r="P3751" s="36"/>
      <c r="Q3751" s="29" t="s">
        <v>12462</v>
      </c>
      <c r="R3751" s="29"/>
      <c r="S3751" s="26" t="str">
        <f>HYPERLINK("https://miland.ru/api/getInfo/image/7e156f9e-f8bc-11ee-a25d-00155d82e908")</f>
        <v>https://miland.ru/api/getInfo/image/7e156f9e-f8bc-11ee-a25d-00155d82e908</v>
      </c>
    </row>
    <row r="3752" spans="1:19" s="2" customFormat="1" ht="96.2" customHeight="1" outlineLevel="5">
      <c r="A3752" s="52">
        <v>2963</v>
      </c>
      <c r="B3752" s="26" t="s">
        <v>12463</v>
      </c>
      <c r="C3752" s="66" t="s">
        <v>12464</v>
      </c>
      <c r="D3752" s="66"/>
      <c r="E3752" s="66"/>
      <c r="F3752" s="66"/>
      <c r="G3752" s="27" t="s">
        <v>12465</v>
      </c>
      <c r="H3752" s="33">
        <v>1</v>
      </c>
      <c r="I3752" s="29"/>
      <c r="J3752" s="25">
        <v>1</v>
      </c>
      <c r="K3752" s="37">
        <v>1105.19</v>
      </c>
      <c r="L3752" s="17"/>
      <c r="M3752" s="29">
        <f t="shared" si="178"/>
        <v>0</v>
      </c>
      <c r="N3752" s="34">
        <f>0.49*L3752</f>
        <v>0</v>
      </c>
      <c r="O3752" s="32">
        <f>0.00288*L3752</f>
        <v>0</v>
      </c>
      <c r="P3752" s="36"/>
      <c r="Q3752" s="29" t="s">
        <v>12466</v>
      </c>
      <c r="R3752" s="29" t="s">
        <v>611</v>
      </c>
      <c r="S3752" s="26" t="str">
        <f>HYPERLINK("https://miland.ru/api/getInfo/image/3c7b6272-f8ba-11ee-a25d-00155d82e908")</f>
        <v>https://miland.ru/api/getInfo/image/3c7b6272-f8ba-11ee-a25d-00155d82e908</v>
      </c>
    </row>
    <row r="3753" spans="1:19" s="1" customFormat="1" ht="12" customHeight="1" outlineLevel="4">
      <c r="A3753" s="64" t="s">
        <v>12467</v>
      </c>
      <c r="B3753" s="64"/>
      <c r="C3753" s="64"/>
      <c r="D3753" s="64"/>
      <c r="E3753" s="64"/>
      <c r="F3753" s="64"/>
      <c r="G3753" s="8"/>
      <c r="H3753" s="12"/>
      <c r="I3753" s="2"/>
      <c r="J3753" s="2"/>
      <c r="K3753" s="13"/>
      <c r="L3753" s="2"/>
      <c r="M3753" s="2"/>
      <c r="N3753" s="2"/>
      <c r="O3753" s="2"/>
      <c r="P3753" s="2"/>
      <c r="Q3753" s="2"/>
      <c r="R3753" s="2"/>
      <c r="S3753" s="2"/>
    </row>
    <row r="3754" spans="1:19" s="2" customFormat="1" ht="96.2" customHeight="1" outlineLevel="5">
      <c r="A3754" s="52">
        <v>2964</v>
      </c>
      <c r="B3754" s="26" t="s">
        <v>12468</v>
      </c>
      <c r="C3754" s="66" t="s">
        <v>12469</v>
      </c>
      <c r="D3754" s="66"/>
      <c r="E3754" s="66"/>
      <c r="F3754" s="66"/>
      <c r="G3754" s="27" t="s">
        <v>12470</v>
      </c>
      <c r="H3754" s="33">
        <v>211</v>
      </c>
      <c r="I3754" s="29"/>
      <c r="J3754" s="25">
        <v>1</v>
      </c>
      <c r="K3754" s="37">
        <v>1235.27</v>
      </c>
      <c r="L3754" s="17"/>
      <c r="M3754" s="29">
        <f>K3754*L3754</f>
        <v>0</v>
      </c>
      <c r="N3754" s="34">
        <f>0.31*L3754</f>
        <v>0</v>
      </c>
      <c r="O3754" s="32">
        <f>0.00358*L3754</f>
        <v>0</v>
      </c>
      <c r="P3754" s="36"/>
      <c r="Q3754" s="29" t="s">
        <v>12471</v>
      </c>
      <c r="R3754" s="29"/>
      <c r="S3754" s="26" t="str">
        <f>HYPERLINK("https://miland.ru/api/getInfo/image/fbad480f-de83-11ed-a233-00155d82e902")</f>
        <v>https://miland.ru/api/getInfo/image/fbad480f-de83-11ed-a233-00155d82e902</v>
      </c>
    </row>
    <row r="3755" spans="1:19" s="2" customFormat="1" ht="96.2" customHeight="1" outlineLevel="5">
      <c r="A3755" s="52">
        <v>2965</v>
      </c>
      <c r="B3755" s="26" t="s">
        <v>12472</v>
      </c>
      <c r="C3755" s="66" t="s">
        <v>12473</v>
      </c>
      <c r="D3755" s="66"/>
      <c r="E3755" s="66"/>
      <c r="F3755" s="66"/>
      <c r="G3755" s="27" t="s">
        <v>12474</v>
      </c>
      <c r="H3755" s="33">
        <v>67</v>
      </c>
      <c r="I3755" s="29"/>
      <c r="J3755" s="25">
        <v>1</v>
      </c>
      <c r="K3755" s="37">
        <v>1251.97</v>
      </c>
      <c r="L3755" s="17"/>
      <c r="M3755" s="29">
        <f>K3755*L3755</f>
        <v>0</v>
      </c>
      <c r="N3755" s="34">
        <f>0.38*L3755</f>
        <v>0</v>
      </c>
      <c r="O3755" s="32">
        <f>0.00417*L3755</f>
        <v>0</v>
      </c>
      <c r="P3755" s="36"/>
      <c r="Q3755" s="29" t="s">
        <v>12475</v>
      </c>
      <c r="R3755" s="29"/>
      <c r="S3755" s="26" t="str">
        <f>HYPERLINK("https://miland.ru/api/getInfo/image/20144561-de83-11ed-a233-00155d82e902")</f>
        <v>https://miland.ru/api/getInfo/image/20144561-de83-11ed-a233-00155d82e902</v>
      </c>
    </row>
    <row r="3756" spans="1:19" s="2" customFormat="1" ht="96.2" customHeight="1" outlineLevel="5">
      <c r="A3756" s="52">
        <v>2966</v>
      </c>
      <c r="B3756" s="26" t="s">
        <v>12476</v>
      </c>
      <c r="C3756" s="66" t="s">
        <v>12477</v>
      </c>
      <c r="D3756" s="66"/>
      <c r="E3756" s="66"/>
      <c r="F3756" s="66"/>
      <c r="G3756" s="27" t="s">
        <v>12478</v>
      </c>
      <c r="H3756" s="33">
        <v>489</v>
      </c>
      <c r="I3756" s="29"/>
      <c r="J3756" s="25">
        <v>1</v>
      </c>
      <c r="K3756" s="30">
        <v>918.1</v>
      </c>
      <c r="L3756" s="17"/>
      <c r="M3756" s="29">
        <f>K3756*L3756</f>
        <v>0</v>
      </c>
      <c r="N3756" s="31">
        <f>0.335*L3756</f>
        <v>0</v>
      </c>
      <c r="O3756" s="32">
        <f>0.00434*L3756</f>
        <v>0</v>
      </c>
      <c r="P3756" s="36"/>
      <c r="Q3756" s="29" t="s">
        <v>12479</v>
      </c>
      <c r="R3756" s="29"/>
      <c r="S3756" s="26" t="str">
        <f>HYPERLINK("https://miland.ru/api/getInfo/image/b6227651-de83-11ed-a233-00155d82e902")</f>
        <v>https://miland.ru/api/getInfo/image/b6227651-de83-11ed-a233-00155d82e902</v>
      </c>
    </row>
    <row r="3757" spans="1:19" s="2" customFormat="1" ht="96.2" customHeight="1" outlineLevel="5">
      <c r="A3757" s="52">
        <v>2967</v>
      </c>
      <c r="B3757" s="26" t="s">
        <v>12480</v>
      </c>
      <c r="C3757" s="66" t="s">
        <v>12481</v>
      </c>
      <c r="D3757" s="66"/>
      <c r="E3757" s="66"/>
      <c r="F3757" s="66"/>
      <c r="G3757" s="27" t="s">
        <v>12482</v>
      </c>
      <c r="H3757" s="33">
        <v>4</v>
      </c>
      <c r="I3757" s="29"/>
      <c r="J3757" s="25">
        <v>1</v>
      </c>
      <c r="K3757" s="37">
        <v>1277.01</v>
      </c>
      <c r="L3757" s="17"/>
      <c r="M3757" s="29">
        <f>K3757*L3757</f>
        <v>0</v>
      </c>
      <c r="N3757" s="31">
        <f>0.316*L3757</f>
        <v>0</v>
      </c>
      <c r="O3757" s="31">
        <f>0.006*L3757</f>
        <v>0</v>
      </c>
      <c r="P3757" s="36"/>
      <c r="Q3757" s="29" t="s">
        <v>12483</v>
      </c>
      <c r="R3757" s="29" t="s">
        <v>611</v>
      </c>
      <c r="S3757" s="26" t="str">
        <f>HYPERLINK("https://miland.ru/api/getInfo/image/31a8a882-de82-11ed-a233-00155d82e902")</f>
        <v>https://miland.ru/api/getInfo/image/31a8a882-de82-11ed-a233-00155d82e902</v>
      </c>
    </row>
    <row r="3758" spans="1:19" s="1" customFormat="1" ht="12" customHeight="1" outlineLevel="3">
      <c r="A3758" s="64" t="s">
        <v>12484</v>
      </c>
      <c r="B3758" s="64"/>
      <c r="C3758" s="64"/>
      <c r="D3758" s="64"/>
      <c r="E3758" s="64"/>
      <c r="F3758" s="64"/>
      <c r="G3758" s="8"/>
      <c r="H3758" s="12"/>
      <c r="I3758" s="2"/>
      <c r="J3758" s="2"/>
      <c r="K3758" s="13"/>
      <c r="L3758" s="2"/>
      <c r="M3758" s="2"/>
      <c r="N3758" s="2"/>
      <c r="O3758" s="2"/>
      <c r="P3758" s="2"/>
      <c r="Q3758" s="2"/>
      <c r="R3758" s="2"/>
      <c r="S3758" s="2"/>
    </row>
    <row r="3759" spans="1:19" s="2" customFormat="1" ht="96.2" customHeight="1" outlineLevel="4">
      <c r="A3759" s="52">
        <v>2968</v>
      </c>
      <c r="B3759" s="26" t="s">
        <v>12485</v>
      </c>
      <c r="C3759" s="66" t="s">
        <v>12486</v>
      </c>
      <c r="D3759" s="66"/>
      <c r="E3759" s="66"/>
      <c r="F3759" s="66"/>
      <c r="G3759" s="27" t="s">
        <v>12487</v>
      </c>
      <c r="H3759" s="33">
        <v>6</v>
      </c>
      <c r="I3759" s="29"/>
      <c r="J3759" s="25">
        <v>3</v>
      </c>
      <c r="K3759" s="30">
        <v>241.22</v>
      </c>
      <c r="L3759" s="17"/>
      <c r="M3759" s="29">
        <f>K3759*L3759</f>
        <v>0</v>
      </c>
      <c r="N3759" s="31">
        <f>0.454*L3759</f>
        <v>0</v>
      </c>
      <c r="O3759" s="32">
        <f>0.01347*L3759</f>
        <v>0</v>
      </c>
      <c r="P3759" s="36"/>
      <c r="Q3759" s="29" t="s">
        <v>12488</v>
      </c>
      <c r="R3759" s="29" t="s">
        <v>611</v>
      </c>
      <c r="S3759" s="26" t="str">
        <f>HYPERLINK("https://miland.ru/api/getInfo/image/46a6fdaf-10e8-11ee-a23b-00155d82e902")</f>
        <v>https://miland.ru/api/getInfo/image/46a6fdaf-10e8-11ee-a23b-00155d82e902</v>
      </c>
    </row>
    <row r="3760" spans="1:19" s="2" customFormat="1" ht="96.2" customHeight="1" outlineLevel="4">
      <c r="A3760" s="52">
        <v>2969</v>
      </c>
      <c r="B3760" s="26" t="s">
        <v>12489</v>
      </c>
      <c r="C3760" s="66" t="s">
        <v>12490</v>
      </c>
      <c r="D3760" s="66"/>
      <c r="E3760" s="66"/>
      <c r="F3760" s="66"/>
      <c r="G3760" s="27" t="s">
        <v>12491</v>
      </c>
      <c r="H3760" s="33">
        <v>1</v>
      </c>
      <c r="I3760" s="29"/>
      <c r="J3760" s="25">
        <v>1</v>
      </c>
      <c r="K3760" s="30">
        <v>199.9</v>
      </c>
      <c r="L3760" s="17"/>
      <c r="M3760" s="29">
        <f>K3760*L3760</f>
        <v>0</v>
      </c>
      <c r="N3760" s="31">
        <f>0.588*L3760</f>
        <v>0</v>
      </c>
      <c r="O3760" s="35">
        <f>0.0156*L3760</f>
        <v>0</v>
      </c>
      <c r="P3760" s="36"/>
      <c r="Q3760" s="29" t="s">
        <v>12492</v>
      </c>
      <c r="R3760" s="29" t="s">
        <v>611</v>
      </c>
      <c r="S3760" s="26" t="str">
        <f>HYPERLINK("https://miland.ru/api/getInfo/image/964f1eef-10d9-11ee-a23b-00155d82e902")</f>
        <v>https://miland.ru/api/getInfo/image/964f1eef-10d9-11ee-a23b-00155d82e902</v>
      </c>
    </row>
    <row r="3761" spans="1:19" s="2" customFormat="1" ht="96.2" customHeight="1" outlineLevel="4">
      <c r="A3761" s="52">
        <v>2970</v>
      </c>
      <c r="B3761" s="26" t="s">
        <v>12493</v>
      </c>
      <c r="C3761" s="66" t="s">
        <v>12494</v>
      </c>
      <c r="D3761" s="66"/>
      <c r="E3761" s="66"/>
      <c r="F3761" s="66"/>
      <c r="G3761" s="27" t="s">
        <v>12495</v>
      </c>
      <c r="H3761" s="33">
        <v>5</v>
      </c>
      <c r="I3761" s="29"/>
      <c r="J3761" s="25">
        <v>3</v>
      </c>
      <c r="K3761" s="30">
        <v>247.97</v>
      </c>
      <c r="L3761" s="17"/>
      <c r="M3761" s="29">
        <f>K3761*L3761</f>
        <v>0</v>
      </c>
      <c r="N3761" s="31">
        <f>0.673*L3761</f>
        <v>0</v>
      </c>
      <c r="O3761" s="35">
        <f>0.0238*L3761</f>
        <v>0</v>
      </c>
      <c r="P3761" s="36"/>
      <c r="Q3761" s="29" t="s">
        <v>12496</v>
      </c>
      <c r="R3761" s="29" t="s">
        <v>611</v>
      </c>
      <c r="S3761" s="26" t="str">
        <f>HYPERLINK("https://miland.ru/api/getInfo/image/fb963e58-10e7-11ee-a23b-00155d82e902")</f>
        <v>https://miland.ru/api/getInfo/image/fb963e58-10e7-11ee-a23b-00155d82e902</v>
      </c>
    </row>
    <row r="3762" spans="1:19" s="2" customFormat="1" ht="96.2" customHeight="1" outlineLevel="4">
      <c r="A3762" s="52">
        <v>2971</v>
      </c>
      <c r="B3762" s="26" t="s">
        <v>12497</v>
      </c>
      <c r="C3762" s="66" t="s">
        <v>12498</v>
      </c>
      <c r="D3762" s="66"/>
      <c r="E3762" s="66"/>
      <c r="F3762" s="66"/>
      <c r="G3762" s="27" t="s">
        <v>12499</v>
      </c>
      <c r="H3762" s="33">
        <v>1</v>
      </c>
      <c r="I3762" s="29"/>
      <c r="J3762" s="25">
        <v>1</v>
      </c>
      <c r="K3762" s="30">
        <v>908.24</v>
      </c>
      <c r="L3762" s="17"/>
      <c r="M3762" s="29">
        <f>K3762*L3762</f>
        <v>0</v>
      </c>
      <c r="N3762" s="31">
        <f>0.227*L3762</f>
        <v>0</v>
      </c>
      <c r="O3762" s="32">
        <f>0.00527*L3762</f>
        <v>0</v>
      </c>
      <c r="P3762" s="36"/>
      <c r="Q3762" s="29" t="s">
        <v>12500</v>
      </c>
      <c r="R3762" s="29" t="s">
        <v>611</v>
      </c>
      <c r="S3762" s="26" t="str">
        <f>HYPERLINK("https://miland.ru/api/getInfo/image/62654d42-10ea-11ee-a23b-00155d82e902")</f>
        <v>https://miland.ru/api/getInfo/image/62654d42-10ea-11ee-a23b-00155d82e902</v>
      </c>
    </row>
    <row r="3763" spans="1:19" s="1" customFormat="1" ht="12" customHeight="1" outlineLevel="3">
      <c r="A3763" s="64" t="s">
        <v>12501</v>
      </c>
      <c r="B3763" s="64"/>
      <c r="C3763" s="64"/>
      <c r="D3763" s="64"/>
      <c r="E3763" s="64"/>
      <c r="F3763" s="64"/>
      <c r="G3763" s="8"/>
      <c r="H3763" s="12"/>
      <c r="I3763" s="2"/>
      <c r="J3763" s="2"/>
      <c r="K3763" s="13"/>
      <c r="L3763" s="2"/>
      <c r="M3763" s="2"/>
      <c r="N3763" s="2"/>
      <c r="O3763" s="2"/>
      <c r="P3763" s="2"/>
      <c r="Q3763" s="2"/>
      <c r="R3763" s="2"/>
      <c r="S3763" s="2"/>
    </row>
    <row r="3764" spans="1:19" s="2" customFormat="1" ht="96.2" customHeight="1" outlineLevel="4">
      <c r="A3764" s="52">
        <v>2972</v>
      </c>
      <c r="B3764" s="26" t="s">
        <v>12502</v>
      </c>
      <c r="C3764" s="66" t="s">
        <v>12503</v>
      </c>
      <c r="D3764" s="66"/>
      <c r="E3764" s="66"/>
      <c r="F3764" s="66"/>
      <c r="G3764" s="27" t="s">
        <v>12504</v>
      </c>
      <c r="H3764" s="33">
        <v>4</v>
      </c>
      <c r="I3764" s="29"/>
      <c r="J3764" s="25">
        <v>1</v>
      </c>
      <c r="K3764" s="30">
        <v>720.83</v>
      </c>
      <c r="L3764" s="17"/>
      <c r="M3764" s="29">
        <f>K3764*L3764</f>
        <v>0</v>
      </c>
      <c r="N3764" s="31">
        <f>0.484*L3764</f>
        <v>0</v>
      </c>
      <c r="O3764" s="32">
        <f>0.00234*L3764</f>
        <v>0</v>
      </c>
      <c r="P3764" s="36"/>
      <c r="Q3764" s="29" t="s">
        <v>12505</v>
      </c>
      <c r="R3764" s="29" t="s">
        <v>611</v>
      </c>
      <c r="S3764" s="26" t="str">
        <f>HYPERLINK("https://miland.ru/api/getInfo/image/fc049e5a-9efe-11ee-a257-00155d82e908")</f>
        <v>https://miland.ru/api/getInfo/image/fc049e5a-9efe-11ee-a257-00155d82e908</v>
      </c>
    </row>
    <row r="3765" spans="1:19" s="2" customFormat="1" ht="96.2" customHeight="1" outlineLevel="4">
      <c r="A3765" s="52">
        <v>2973</v>
      </c>
      <c r="B3765" s="26" t="s">
        <v>12506</v>
      </c>
      <c r="C3765" s="66" t="s">
        <v>12507</v>
      </c>
      <c r="D3765" s="66"/>
      <c r="E3765" s="66"/>
      <c r="F3765" s="66"/>
      <c r="G3765" s="27" t="s">
        <v>12508</v>
      </c>
      <c r="H3765" s="33">
        <v>5</v>
      </c>
      <c r="I3765" s="29"/>
      <c r="J3765" s="25">
        <v>1</v>
      </c>
      <c r="K3765" s="30">
        <v>720.83</v>
      </c>
      <c r="L3765" s="17"/>
      <c r="M3765" s="29">
        <f>K3765*L3765</f>
        <v>0</v>
      </c>
      <c r="N3765" s="31">
        <f>0.474*L3765</f>
        <v>0</v>
      </c>
      <c r="O3765" s="32">
        <f>0.00235*L3765</f>
        <v>0</v>
      </c>
      <c r="P3765" s="36"/>
      <c r="Q3765" s="29" t="s">
        <v>12509</v>
      </c>
      <c r="R3765" s="29" t="s">
        <v>611</v>
      </c>
      <c r="S3765" s="26" t="str">
        <f>HYPERLINK("https://miland.ru/api/getInfo/image/ad43af40-9efe-11ee-a257-00155d82e908")</f>
        <v>https://miland.ru/api/getInfo/image/ad43af40-9efe-11ee-a257-00155d82e908</v>
      </c>
    </row>
    <row r="3766" spans="1:19" s="1" customFormat="1" ht="12" customHeight="1" outlineLevel="3">
      <c r="A3766" s="64" t="s">
        <v>172</v>
      </c>
      <c r="B3766" s="64"/>
      <c r="C3766" s="64"/>
      <c r="D3766" s="64"/>
      <c r="E3766" s="64"/>
      <c r="F3766" s="64"/>
      <c r="G3766" s="8"/>
      <c r="H3766" s="12"/>
      <c r="I3766" s="2"/>
      <c r="J3766" s="2"/>
      <c r="K3766" s="13"/>
      <c r="L3766" s="2"/>
      <c r="M3766" s="2"/>
      <c r="N3766" s="2"/>
      <c r="O3766" s="2"/>
      <c r="P3766" s="2"/>
      <c r="Q3766" s="2"/>
      <c r="R3766" s="2"/>
      <c r="S3766" s="2"/>
    </row>
    <row r="3767" spans="1:19" s="1" customFormat="1" ht="12" customHeight="1" outlineLevel="4">
      <c r="A3767" s="64" t="s">
        <v>12510</v>
      </c>
      <c r="B3767" s="64"/>
      <c r="C3767" s="64"/>
      <c r="D3767" s="64"/>
      <c r="E3767" s="64"/>
      <c r="F3767" s="64"/>
      <c r="G3767" s="8"/>
      <c r="H3767" s="12"/>
      <c r="I3767" s="2"/>
      <c r="J3767" s="2"/>
      <c r="K3767" s="13"/>
      <c r="L3767" s="2"/>
      <c r="M3767" s="2"/>
      <c r="N3767" s="2"/>
      <c r="O3767" s="2"/>
      <c r="P3767" s="2"/>
      <c r="Q3767" s="2"/>
      <c r="R3767" s="2"/>
      <c r="S3767" s="2"/>
    </row>
    <row r="3768" spans="1:19" s="2" customFormat="1" ht="96.2" customHeight="1" outlineLevel="5">
      <c r="A3768" s="52">
        <v>2974</v>
      </c>
      <c r="B3768" s="26" t="s">
        <v>12511</v>
      </c>
      <c r="C3768" s="66" t="s">
        <v>12512</v>
      </c>
      <c r="D3768" s="66"/>
      <c r="E3768" s="66"/>
      <c r="F3768" s="66"/>
      <c r="G3768" s="27" t="s">
        <v>12513</v>
      </c>
      <c r="H3768" s="33">
        <v>27</v>
      </c>
      <c r="I3768" s="29"/>
      <c r="J3768" s="25">
        <v>1</v>
      </c>
      <c r="K3768" s="37">
        <v>2068.6999999999998</v>
      </c>
      <c r="L3768" s="17"/>
      <c r="M3768" s="29">
        <f t="shared" ref="M3768:M3775" si="179">K3768*L3768</f>
        <v>0</v>
      </c>
      <c r="N3768" s="31">
        <f>0.568*L3768</f>
        <v>0</v>
      </c>
      <c r="O3768" s="32">
        <f>0.00646*L3768</f>
        <v>0</v>
      </c>
      <c r="P3768" s="36"/>
      <c r="Q3768" s="29" t="s">
        <v>12514</v>
      </c>
      <c r="R3768" s="29"/>
      <c r="S3768" s="26" t="str">
        <f>HYPERLINK("https://miland.ru/api/getInfo/image/79706fff-de8f-11ed-a233-00155d82e902")</f>
        <v>https://miland.ru/api/getInfo/image/79706fff-de8f-11ed-a233-00155d82e902</v>
      </c>
    </row>
    <row r="3769" spans="1:19" s="2" customFormat="1" ht="96.2" customHeight="1" outlineLevel="5">
      <c r="A3769" s="52">
        <v>2975</v>
      </c>
      <c r="B3769" s="26" t="s">
        <v>12515</v>
      </c>
      <c r="C3769" s="66" t="s">
        <v>12516</v>
      </c>
      <c r="D3769" s="66"/>
      <c r="E3769" s="66"/>
      <c r="F3769" s="66"/>
      <c r="G3769" s="27" t="s">
        <v>12517</v>
      </c>
      <c r="H3769" s="33">
        <v>6</v>
      </c>
      <c r="I3769" s="29"/>
      <c r="J3769" s="25">
        <v>1</v>
      </c>
      <c r="K3769" s="37">
        <v>1894.29</v>
      </c>
      <c r="L3769" s="17"/>
      <c r="M3769" s="29">
        <f t="shared" si="179"/>
        <v>0</v>
      </c>
      <c r="N3769" s="31">
        <f>0.607*L3769</f>
        <v>0</v>
      </c>
      <c r="O3769" s="32">
        <f>0.00462*L3769</f>
        <v>0</v>
      </c>
      <c r="P3769" s="36"/>
      <c r="Q3769" s="29" t="s">
        <v>12518</v>
      </c>
      <c r="R3769" s="29" t="s">
        <v>611</v>
      </c>
      <c r="S3769" s="26" t="str">
        <f>HYPERLINK("https://miland.ru/api/getInfo/image/f1ddcd62-f803-11ee-a25d-00155d82e908")</f>
        <v>https://miland.ru/api/getInfo/image/f1ddcd62-f803-11ee-a25d-00155d82e908</v>
      </c>
    </row>
    <row r="3770" spans="1:19" s="2" customFormat="1" ht="96.2" customHeight="1" outlineLevel="5">
      <c r="A3770" s="52">
        <v>2976</v>
      </c>
      <c r="B3770" s="26" t="s">
        <v>12519</v>
      </c>
      <c r="C3770" s="66" t="s">
        <v>12520</v>
      </c>
      <c r="D3770" s="66"/>
      <c r="E3770" s="66"/>
      <c r="F3770" s="66"/>
      <c r="G3770" s="27" t="s">
        <v>12521</v>
      </c>
      <c r="H3770" s="33">
        <v>33</v>
      </c>
      <c r="I3770" s="29"/>
      <c r="J3770" s="25">
        <v>1</v>
      </c>
      <c r="K3770" s="37">
        <v>3250.28</v>
      </c>
      <c r="L3770" s="17"/>
      <c r="M3770" s="29">
        <f t="shared" si="179"/>
        <v>0</v>
      </c>
      <c r="N3770" s="31">
        <f>0.867*L3770</f>
        <v>0</v>
      </c>
      <c r="O3770" s="32">
        <f>0.01034*L3770</f>
        <v>0</v>
      </c>
      <c r="P3770" s="36"/>
      <c r="Q3770" s="29" t="s">
        <v>12522</v>
      </c>
      <c r="R3770" s="29"/>
      <c r="S3770" s="26" t="str">
        <f>HYPERLINK("https://miland.ru/api/getInfo/image/2ab50cbc-f804-11ee-a25d-00155d82e908")</f>
        <v>https://miland.ru/api/getInfo/image/2ab50cbc-f804-11ee-a25d-00155d82e908</v>
      </c>
    </row>
    <row r="3771" spans="1:19" s="2" customFormat="1" ht="96.2" customHeight="1" outlineLevel="5">
      <c r="A3771" s="52">
        <v>2977</v>
      </c>
      <c r="B3771" s="26" t="s">
        <v>12523</v>
      </c>
      <c r="C3771" s="66" t="s">
        <v>12524</v>
      </c>
      <c r="D3771" s="66"/>
      <c r="E3771" s="66"/>
      <c r="F3771" s="66"/>
      <c r="G3771" s="27" t="s">
        <v>12525</v>
      </c>
      <c r="H3771" s="33">
        <v>1</v>
      </c>
      <c r="I3771" s="29"/>
      <c r="J3771" s="25">
        <v>1</v>
      </c>
      <c r="K3771" s="30">
        <v>956.52</v>
      </c>
      <c r="L3771" s="17"/>
      <c r="M3771" s="29">
        <f t="shared" si="179"/>
        <v>0</v>
      </c>
      <c r="N3771" s="31">
        <f>0.317*L3771</f>
        <v>0</v>
      </c>
      <c r="O3771" s="32">
        <f>0.00326*L3771</f>
        <v>0</v>
      </c>
      <c r="P3771" s="36"/>
      <c r="Q3771" s="29" t="s">
        <v>12526</v>
      </c>
      <c r="R3771" s="29"/>
      <c r="S3771" s="26" t="str">
        <f>HYPERLINK("https://miland.ru/api/getInfo/image/4b892084-6bb7-11ed-a22a-00155d82e902")</f>
        <v>https://miland.ru/api/getInfo/image/4b892084-6bb7-11ed-a22a-00155d82e902</v>
      </c>
    </row>
    <row r="3772" spans="1:19" s="2" customFormat="1" ht="96.2" customHeight="1" outlineLevel="5">
      <c r="A3772" s="52">
        <v>2978</v>
      </c>
      <c r="B3772" s="26" t="s">
        <v>12527</v>
      </c>
      <c r="C3772" s="66" t="s">
        <v>12528</v>
      </c>
      <c r="D3772" s="66"/>
      <c r="E3772" s="66"/>
      <c r="F3772" s="66"/>
      <c r="G3772" s="27" t="s">
        <v>12529</v>
      </c>
      <c r="H3772" s="33">
        <v>109</v>
      </c>
      <c r="I3772" s="29"/>
      <c r="J3772" s="25">
        <v>1</v>
      </c>
      <c r="K3772" s="30">
        <v>956.52</v>
      </c>
      <c r="L3772" s="17"/>
      <c r="M3772" s="29">
        <f t="shared" si="179"/>
        <v>0</v>
      </c>
      <c r="N3772" s="31">
        <f>0.362*L3772</f>
        <v>0</v>
      </c>
      <c r="O3772" s="32">
        <f>0.00342*L3772</f>
        <v>0</v>
      </c>
      <c r="P3772" s="36"/>
      <c r="Q3772" s="29" t="s">
        <v>12530</v>
      </c>
      <c r="R3772" s="29"/>
      <c r="S3772" s="26" t="str">
        <f>HYPERLINK("https://miland.ru/api/getInfo/image/7cdbdc04-6bb7-11ed-a22a-00155d82e902")</f>
        <v>https://miland.ru/api/getInfo/image/7cdbdc04-6bb7-11ed-a22a-00155d82e902</v>
      </c>
    </row>
    <row r="3773" spans="1:19" s="2" customFormat="1" ht="96.2" customHeight="1" outlineLevel="5">
      <c r="A3773" s="52">
        <v>2979</v>
      </c>
      <c r="B3773" s="26" t="s">
        <v>12531</v>
      </c>
      <c r="C3773" s="66" t="s">
        <v>12532</v>
      </c>
      <c r="D3773" s="66"/>
      <c r="E3773" s="66"/>
      <c r="F3773" s="66"/>
      <c r="G3773" s="27" t="s">
        <v>12533</v>
      </c>
      <c r="H3773" s="33">
        <v>69</v>
      </c>
      <c r="I3773" s="29"/>
      <c r="J3773" s="25">
        <v>1</v>
      </c>
      <c r="K3773" s="30">
        <v>956.52</v>
      </c>
      <c r="L3773" s="17"/>
      <c r="M3773" s="29">
        <f t="shared" si="179"/>
        <v>0</v>
      </c>
      <c r="N3773" s="31">
        <f>0.364*L3773</f>
        <v>0</v>
      </c>
      <c r="O3773" s="32">
        <f>0.00348*L3773</f>
        <v>0</v>
      </c>
      <c r="P3773" s="36"/>
      <c r="Q3773" s="29" t="s">
        <v>12534</v>
      </c>
      <c r="R3773" s="29"/>
      <c r="S3773" s="26" t="str">
        <f>HYPERLINK("https://miland.ru/api/getInfo/image/02564a9b-6bb8-11ed-a22a-00155d82e902")</f>
        <v>https://miland.ru/api/getInfo/image/02564a9b-6bb8-11ed-a22a-00155d82e902</v>
      </c>
    </row>
    <row r="3774" spans="1:19" s="2" customFormat="1" ht="96.2" customHeight="1" outlineLevel="5">
      <c r="A3774" s="52">
        <v>2980</v>
      </c>
      <c r="B3774" s="26" t="s">
        <v>12535</v>
      </c>
      <c r="C3774" s="66" t="s">
        <v>12536</v>
      </c>
      <c r="D3774" s="66"/>
      <c r="E3774" s="66"/>
      <c r="F3774" s="66"/>
      <c r="G3774" s="27" t="s">
        <v>12537</v>
      </c>
      <c r="H3774" s="33">
        <v>32</v>
      </c>
      <c r="I3774" s="29"/>
      <c r="J3774" s="25">
        <v>1</v>
      </c>
      <c r="K3774" s="30">
        <v>956.52</v>
      </c>
      <c r="L3774" s="17"/>
      <c r="M3774" s="29">
        <f t="shared" si="179"/>
        <v>0</v>
      </c>
      <c r="N3774" s="31">
        <f>0.397*L3774</f>
        <v>0</v>
      </c>
      <c r="O3774" s="32">
        <f>0.00242*L3774</f>
        <v>0</v>
      </c>
      <c r="P3774" s="36"/>
      <c r="Q3774" s="29" t="s">
        <v>12538</v>
      </c>
      <c r="R3774" s="29"/>
      <c r="S3774" s="26" t="str">
        <f>HYPERLINK("https://miland.ru/api/getInfo/image/148cc6f8-6bb7-11ed-a22a-00155d82e902")</f>
        <v>https://miland.ru/api/getInfo/image/148cc6f8-6bb7-11ed-a22a-00155d82e902</v>
      </c>
    </row>
    <row r="3775" spans="1:19" s="2" customFormat="1" ht="96.2" customHeight="1" outlineLevel="5">
      <c r="A3775" s="52">
        <v>2981</v>
      </c>
      <c r="B3775" s="26" t="s">
        <v>12539</v>
      </c>
      <c r="C3775" s="66" t="s">
        <v>12540</v>
      </c>
      <c r="D3775" s="66"/>
      <c r="E3775" s="66"/>
      <c r="F3775" s="66"/>
      <c r="G3775" s="27" t="s">
        <v>12541</v>
      </c>
      <c r="H3775" s="33">
        <v>2</v>
      </c>
      <c r="I3775" s="29"/>
      <c r="J3775" s="25">
        <v>1</v>
      </c>
      <c r="K3775" s="37">
        <v>1346.35</v>
      </c>
      <c r="L3775" s="17"/>
      <c r="M3775" s="29">
        <f t="shared" si="179"/>
        <v>0</v>
      </c>
      <c r="N3775" s="34">
        <f>0.66*L3775</f>
        <v>0</v>
      </c>
      <c r="O3775" s="32">
        <f>0.00392*L3775</f>
        <v>0</v>
      </c>
      <c r="P3775" s="36"/>
      <c r="Q3775" s="29" t="s">
        <v>12542</v>
      </c>
      <c r="R3775" s="29" t="s">
        <v>611</v>
      </c>
      <c r="S3775" s="26" t="str">
        <f>HYPERLINK("https://miland.ru/api/getInfo/image/34452cae-f634-11e9-a235-ac1f6b442184")</f>
        <v>https://miland.ru/api/getInfo/image/34452cae-f634-11e9-a235-ac1f6b442184</v>
      </c>
    </row>
    <row r="3776" spans="1:19" s="1" customFormat="1" ht="12" customHeight="1" outlineLevel="4">
      <c r="A3776" s="64" t="s">
        <v>12543</v>
      </c>
      <c r="B3776" s="64"/>
      <c r="C3776" s="64"/>
      <c r="D3776" s="64"/>
      <c r="E3776" s="64"/>
      <c r="F3776" s="64"/>
      <c r="G3776" s="8"/>
      <c r="H3776" s="12"/>
      <c r="I3776" s="2"/>
      <c r="J3776" s="2"/>
      <c r="K3776" s="13"/>
      <c r="L3776" s="2"/>
      <c r="M3776" s="2"/>
      <c r="N3776" s="2"/>
      <c r="O3776" s="2"/>
      <c r="P3776" s="2"/>
      <c r="Q3776" s="2"/>
      <c r="R3776" s="2"/>
      <c r="S3776" s="2"/>
    </row>
    <row r="3777" spans="1:19" s="2" customFormat="1" ht="96.2" customHeight="1" outlineLevel="5">
      <c r="A3777" s="52">
        <v>2982</v>
      </c>
      <c r="B3777" s="26" t="s">
        <v>12544</v>
      </c>
      <c r="C3777" s="66" t="s">
        <v>12545</v>
      </c>
      <c r="D3777" s="66"/>
      <c r="E3777" s="66"/>
      <c r="F3777" s="66"/>
      <c r="G3777" s="27" t="s">
        <v>12546</v>
      </c>
      <c r="H3777" s="33">
        <v>105</v>
      </c>
      <c r="I3777" s="29"/>
      <c r="J3777" s="25">
        <v>1</v>
      </c>
      <c r="K3777" s="30">
        <v>749.76</v>
      </c>
      <c r="L3777" s="17"/>
      <c r="M3777" s="29">
        <f t="shared" ref="M3777:M3794" si="180">K3777*L3777</f>
        <v>0</v>
      </c>
      <c r="N3777" s="31">
        <f>0.385*L3777</f>
        <v>0</v>
      </c>
      <c r="O3777" s="32">
        <f>0.00621*L3777</f>
        <v>0</v>
      </c>
      <c r="P3777" s="36"/>
      <c r="Q3777" s="29" t="s">
        <v>12547</v>
      </c>
      <c r="R3777" s="29"/>
      <c r="S3777" s="26" t="str">
        <f>HYPERLINK("https://miland.ru/api/getInfo/image/ded31675-df4a-11ed-a233-00155d82e902")</f>
        <v>https://miland.ru/api/getInfo/image/ded31675-df4a-11ed-a233-00155d82e902</v>
      </c>
    </row>
    <row r="3778" spans="1:19" s="2" customFormat="1" ht="96.2" customHeight="1" outlineLevel="5">
      <c r="A3778" s="52">
        <v>2983</v>
      </c>
      <c r="B3778" s="26" t="s">
        <v>12548</v>
      </c>
      <c r="C3778" s="66" t="s">
        <v>12549</v>
      </c>
      <c r="D3778" s="66"/>
      <c r="E3778" s="66"/>
      <c r="F3778" s="66"/>
      <c r="G3778" s="27" t="s">
        <v>12550</v>
      </c>
      <c r="H3778" s="33">
        <v>189</v>
      </c>
      <c r="I3778" s="29"/>
      <c r="J3778" s="25">
        <v>1</v>
      </c>
      <c r="K3778" s="30">
        <v>530.29</v>
      </c>
      <c r="L3778" s="17"/>
      <c r="M3778" s="29">
        <f t="shared" si="180"/>
        <v>0</v>
      </c>
      <c r="N3778" s="34">
        <f>0.26*L3778</f>
        <v>0</v>
      </c>
      <c r="O3778" s="32">
        <f>0.00411*L3778</f>
        <v>0</v>
      </c>
      <c r="P3778" s="36"/>
      <c r="Q3778" s="29" t="s">
        <v>12551</v>
      </c>
      <c r="R3778" s="29"/>
      <c r="S3778" s="26" t="str">
        <f>HYPERLINK("https://miland.ru/api/getInfo/image/5615e6d6-2ab6-11ee-a23d-00155d82e902")</f>
        <v>https://miland.ru/api/getInfo/image/5615e6d6-2ab6-11ee-a23d-00155d82e902</v>
      </c>
    </row>
    <row r="3779" spans="1:19" s="2" customFormat="1" ht="96.2" customHeight="1" outlineLevel="5">
      <c r="A3779" s="52">
        <v>2984</v>
      </c>
      <c r="B3779" s="26" t="s">
        <v>12552</v>
      </c>
      <c r="C3779" s="66" t="s">
        <v>12553</v>
      </c>
      <c r="D3779" s="66"/>
      <c r="E3779" s="66"/>
      <c r="F3779" s="66"/>
      <c r="G3779" s="27" t="s">
        <v>12554</v>
      </c>
      <c r="H3779" s="33">
        <v>1</v>
      </c>
      <c r="I3779" s="29"/>
      <c r="J3779" s="25">
        <v>1</v>
      </c>
      <c r="K3779" s="30">
        <v>774.26</v>
      </c>
      <c r="L3779" s="17"/>
      <c r="M3779" s="29">
        <f t="shared" si="180"/>
        <v>0</v>
      </c>
      <c r="N3779" s="31">
        <f>0.433*L3779</f>
        <v>0</v>
      </c>
      <c r="O3779" s="32">
        <f>0.00731*L3779</f>
        <v>0</v>
      </c>
      <c r="P3779" s="36"/>
      <c r="Q3779" s="29" t="s">
        <v>12555</v>
      </c>
      <c r="R3779" s="29" t="s">
        <v>611</v>
      </c>
      <c r="S3779" s="26" t="str">
        <f>HYPERLINK("https://miland.ru/api/getInfo/image/af89d536-21a8-11f0-a279-00155d82e908")</f>
        <v>https://miland.ru/api/getInfo/image/af89d536-21a8-11f0-a279-00155d82e908</v>
      </c>
    </row>
    <row r="3780" spans="1:19" s="2" customFormat="1" ht="96.2" customHeight="1" outlineLevel="5">
      <c r="A3780" s="52">
        <v>2985</v>
      </c>
      <c r="B3780" s="26" t="s">
        <v>12556</v>
      </c>
      <c r="C3780" s="66" t="s">
        <v>12557</v>
      </c>
      <c r="D3780" s="66"/>
      <c r="E3780" s="66"/>
      <c r="F3780" s="66"/>
      <c r="G3780" s="27" t="s">
        <v>12558</v>
      </c>
      <c r="H3780" s="33">
        <v>1</v>
      </c>
      <c r="I3780" s="29"/>
      <c r="J3780" s="25">
        <v>1</v>
      </c>
      <c r="K3780" s="30">
        <v>774.26</v>
      </c>
      <c r="L3780" s="17"/>
      <c r="M3780" s="29">
        <f t="shared" si="180"/>
        <v>0</v>
      </c>
      <c r="N3780" s="31">
        <f>0.371*L3780</f>
        <v>0</v>
      </c>
      <c r="O3780" s="32">
        <f>0.00653*L3780</f>
        <v>0</v>
      </c>
      <c r="P3780" s="36"/>
      <c r="Q3780" s="29" t="s">
        <v>12559</v>
      </c>
      <c r="R3780" s="29" t="s">
        <v>611</v>
      </c>
      <c r="S3780" s="26" t="str">
        <f>HYPERLINK("https://miland.ru/api/getInfo/image/0b9a2347-21a9-11f0-a279-00155d82e908")</f>
        <v>https://miland.ru/api/getInfo/image/0b9a2347-21a9-11f0-a279-00155d82e908</v>
      </c>
    </row>
    <row r="3781" spans="1:19" s="2" customFormat="1" ht="96.2" customHeight="1" outlineLevel="5">
      <c r="A3781" s="52">
        <v>2986</v>
      </c>
      <c r="B3781" s="26" t="s">
        <v>12560</v>
      </c>
      <c r="C3781" s="66" t="s">
        <v>12561</v>
      </c>
      <c r="D3781" s="66"/>
      <c r="E3781" s="66"/>
      <c r="F3781" s="66"/>
      <c r="G3781" s="27" t="s">
        <v>12562</v>
      </c>
      <c r="H3781" s="33">
        <v>233</v>
      </c>
      <c r="I3781" s="29"/>
      <c r="J3781" s="25">
        <v>1</v>
      </c>
      <c r="K3781" s="30">
        <v>635.91</v>
      </c>
      <c r="L3781" s="17"/>
      <c r="M3781" s="29">
        <f t="shared" si="180"/>
        <v>0</v>
      </c>
      <c r="N3781" s="31">
        <f>0.383*L3781</f>
        <v>0</v>
      </c>
      <c r="O3781" s="32">
        <f>0.00538*L3781</f>
        <v>0</v>
      </c>
      <c r="P3781" s="36"/>
      <c r="Q3781" s="29" t="s">
        <v>12563</v>
      </c>
      <c r="R3781" s="29"/>
      <c r="S3781" s="26" t="str">
        <f>HYPERLINK("https://miland.ru/api/getInfo/image/a0bb6af6-7a13-11ee-a248-00155d82e902")</f>
        <v>https://miland.ru/api/getInfo/image/a0bb6af6-7a13-11ee-a248-00155d82e902</v>
      </c>
    </row>
    <row r="3782" spans="1:19" s="2" customFormat="1" ht="96.2" customHeight="1" outlineLevel="5">
      <c r="A3782" s="52">
        <v>2987</v>
      </c>
      <c r="B3782" s="26" t="s">
        <v>12564</v>
      </c>
      <c r="C3782" s="66" t="s">
        <v>12565</v>
      </c>
      <c r="D3782" s="66"/>
      <c r="E3782" s="66"/>
      <c r="F3782" s="66"/>
      <c r="G3782" s="27" t="s">
        <v>12566</v>
      </c>
      <c r="H3782" s="33">
        <v>83</v>
      </c>
      <c r="I3782" s="29"/>
      <c r="J3782" s="25">
        <v>1</v>
      </c>
      <c r="K3782" s="30">
        <v>631.65</v>
      </c>
      <c r="L3782" s="17"/>
      <c r="M3782" s="29">
        <f t="shared" si="180"/>
        <v>0</v>
      </c>
      <c r="N3782" s="31">
        <f>0.244*L3782</f>
        <v>0</v>
      </c>
      <c r="O3782" s="32">
        <f>0.00352*L3782</f>
        <v>0</v>
      </c>
      <c r="P3782" s="36"/>
      <c r="Q3782" s="29" t="s">
        <v>12567</v>
      </c>
      <c r="R3782" s="29"/>
      <c r="S3782" s="26" t="str">
        <f>HYPERLINK("https://miland.ru/api/getInfo/image/0c51fb48-7a13-11ee-a248-00155d82e902")</f>
        <v>https://miland.ru/api/getInfo/image/0c51fb48-7a13-11ee-a248-00155d82e902</v>
      </c>
    </row>
    <row r="3783" spans="1:19" s="2" customFormat="1" ht="96.2" customHeight="1" outlineLevel="5">
      <c r="A3783" s="52">
        <v>2988</v>
      </c>
      <c r="B3783" s="26" t="s">
        <v>12568</v>
      </c>
      <c r="C3783" s="66" t="s">
        <v>12569</v>
      </c>
      <c r="D3783" s="66"/>
      <c r="E3783" s="66"/>
      <c r="F3783" s="66"/>
      <c r="G3783" s="27" t="s">
        <v>12570</v>
      </c>
      <c r="H3783" s="33">
        <v>149</v>
      </c>
      <c r="I3783" s="29"/>
      <c r="J3783" s="25">
        <v>1</v>
      </c>
      <c r="K3783" s="30">
        <v>695.88</v>
      </c>
      <c r="L3783" s="17"/>
      <c r="M3783" s="29">
        <f t="shared" si="180"/>
        <v>0</v>
      </c>
      <c r="N3783" s="31">
        <f>0.281*L3783</f>
        <v>0</v>
      </c>
      <c r="O3783" s="32">
        <f>0.00358*L3783</f>
        <v>0</v>
      </c>
      <c r="P3783" s="36"/>
      <c r="Q3783" s="29" t="s">
        <v>12571</v>
      </c>
      <c r="R3783" s="29"/>
      <c r="S3783" s="26" t="str">
        <f>HYPERLINK("https://miland.ru/api/getInfo/image/872f62ce-7a13-11ee-a248-00155d82e902")</f>
        <v>https://miland.ru/api/getInfo/image/872f62ce-7a13-11ee-a248-00155d82e902</v>
      </c>
    </row>
    <row r="3784" spans="1:19" s="2" customFormat="1" ht="96.2" customHeight="1" outlineLevel="5">
      <c r="A3784" s="52">
        <v>2989</v>
      </c>
      <c r="B3784" s="26" t="s">
        <v>12572</v>
      </c>
      <c r="C3784" s="66" t="s">
        <v>12573</v>
      </c>
      <c r="D3784" s="66"/>
      <c r="E3784" s="66"/>
      <c r="F3784" s="66"/>
      <c r="G3784" s="27" t="s">
        <v>12574</v>
      </c>
      <c r="H3784" s="33">
        <v>102</v>
      </c>
      <c r="I3784" s="29"/>
      <c r="J3784" s="25">
        <v>1</v>
      </c>
      <c r="K3784" s="30">
        <v>685.18</v>
      </c>
      <c r="L3784" s="17"/>
      <c r="M3784" s="29">
        <f t="shared" si="180"/>
        <v>0</v>
      </c>
      <c r="N3784" s="31">
        <f>0.388*L3784</f>
        <v>0</v>
      </c>
      <c r="O3784" s="32">
        <f>0.00577*L3784</f>
        <v>0</v>
      </c>
      <c r="P3784" s="36"/>
      <c r="Q3784" s="29" t="s">
        <v>12575</v>
      </c>
      <c r="R3784" s="29"/>
      <c r="S3784" s="26" t="str">
        <f>HYPERLINK("https://miland.ru/api/getInfo/image/a038f075-7a10-11ee-a248-00155d82e902")</f>
        <v>https://miland.ru/api/getInfo/image/a038f075-7a10-11ee-a248-00155d82e902</v>
      </c>
    </row>
    <row r="3785" spans="1:19" s="2" customFormat="1" ht="96.2" customHeight="1" outlineLevel="5">
      <c r="A3785" s="52">
        <v>2990</v>
      </c>
      <c r="B3785" s="26" t="s">
        <v>12576</v>
      </c>
      <c r="C3785" s="66" t="s">
        <v>12577</v>
      </c>
      <c r="D3785" s="66"/>
      <c r="E3785" s="66"/>
      <c r="F3785" s="66"/>
      <c r="G3785" s="27" t="s">
        <v>12578</v>
      </c>
      <c r="H3785" s="33">
        <v>75</v>
      </c>
      <c r="I3785" s="29"/>
      <c r="J3785" s="25">
        <v>1</v>
      </c>
      <c r="K3785" s="30">
        <v>711.94</v>
      </c>
      <c r="L3785" s="17"/>
      <c r="M3785" s="29">
        <f t="shared" si="180"/>
        <v>0</v>
      </c>
      <c r="N3785" s="31">
        <f>0.262*L3785</f>
        <v>0</v>
      </c>
      <c r="O3785" s="32">
        <f>0.00319*L3785</f>
        <v>0</v>
      </c>
      <c r="P3785" s="36"/>
      <c r="Q3785" s="29" t="s">
        <v>12579</v>
      </c>
      <c r="R3785" s="29"/>
      <c r="S3785" s="26" t="str">
        <f>HYPERLINK("https://miland.ru/api/getInfo/image/5321a3fc-7a13-11ee-a248-00155d82e902")</f>
        <v>https://miland.ru/api/getInfo/image/5321a3fc-7a13-11ee-a248-00155d82e902</v>
      </c>
    </row>
    <row r="3786" spans="1:19" s="2" customFormat="1" ht="96.2" customHeight="1" outlineLevel="5">
      <c r="A3786" s="52">
        <v>2991</v>
      </c>
      <c r="B3786" s="26" t="s">
        <v>12580</v>
      </c>
      <c r="C3786" s="66" t="s">
        <v>12581</v>
      </c>
      <c r="D3786" s="66"/>
      <c r="E3786" s="66"/>
      <c r="F3786" s="66"/>
      <c r="G3786" s="27" t="s">
        <v>12582</v>
      </c>
      <c r="H3786" s="33">
        <v>65</v>
      </c>
      <c r="I3786" s="29"/>
      <c r="J3786" s="25">
        <v>1</v>
      </c>
      <c r="K3786" s="30">
        <v>711.94</v>
      </c>
      <c r="L3786" s="17"/>
      <c r="M3786" s="29">
        <f t="shared" si="180"/>
        <v>0</v>
      </c>
      <c r="N3786" s="31">
        <f>0.272*L3786</f>
        <v>0</v>
      </c>
      <c r="O3786" s="32">
        <f>0.00353*L3786</f>
        <v>0</v>
      </c>
      <c r="P3786" s="36"/>
      <c r="Q3786" s="29" t="s">
        <v>12583</v>
      </c>
      <c r="R3786" s="29"/>
      <c r="S3786" s="26" t="str">
        <f>HYPERLINK("https://miland.ru/api/getInfo/image/6e5d4b39-7a13-11ee-a248-00155d82e902")</f>
        <v>https://miland.ru/api/getInfo/image/6e5d4b39-7a13-11ee-a248-00155d82e902</v>
      </c>
    </row>
    <row r="3787" spans="1:19" s="2" customFormat="1" ht="96.2" customHeight="1" outlineLevel="5">
      <c r="A3787" s="52">
        <v>2992</v>
      </c>
      <c r="B3787" s="26" t="s">
        <v>12584</v>
      </c>
      <c r="C3787" s="66" t="s">
        <v>12585</v>
      </c>
      <c r="D3787" s="66"/>
      <c r="E3787" s="66"/>
      <c r="F3787" s="66"/>
      <c r="G3787" s="27" t="s">
        <v>12586</v>
      </c>
      <c r="H3787" s="33">
        <v>1</v>
      </c>
      <c r="I3787" s="29"/>
      <c r="J3787" s="25">
        <v>1</v>
      </c>
      <c r="K3787" s="30">
        <v>535.29999999999995</v>
      </c>
      <c r="L3787" s="17"/>
      <c r="M3787" s="29">
        <f t="shared" si="180"/>
        <v>0</v>
      </c>
      <c r="N3787" s="31">
        <f>0.236*L3787</f>
        <v>0</v>
      </c>
      <c r="O3787" s="32">
        <f>0.00365*L3787</f>
        <v>0</v>
      </c>
      <c r="P3787" s="36"/>
      <c r="Q3787" s="29" t="s">
        <v>12587</v>
      </c>
      <c r="R3787" s="29"/>
      <c r="S3787" s="26" t="str">
        <f>HYPERLINK("https://miland.ru/api/getInfo/image/b648bb57-7a12-11ee-a248-00155d82e902")</f>
        <v>https://miland.ru/api/getInfo/image/b648bb57-7a12-11ee-a248-00155d82e902</v>
      </c>
    </row>
    <row r="3788" spans="1:19" s="2" customFormat="1" ht="96.2" customHeight="1" outlineLevel="5">
      <c r="A3788" s="52">
        <v>2993</v>
      </c>
      <c r="B3788" s="26" t="s">
        <v>12588</v>
      </c>
      <c r="C3788" s="66" t="s">
        <v>12589</v>
      </c>
      <c r="D3788" s="66"/>
      <c r="E3788" s="66"/>
      <c r="F3788" s="66"/>
      <c r="G3788" s="27" t="s">
        <v>12590</v>
      </c>
      <c r="H3788" s="33">
        <v>1</v>
      </c>
      <c r="I3788" s="29"/>
      <c r="J3788" s="25">
        <v>1</v>
      </c>
      <c r="K3788" s="30">
        <v>535.29999999999995</v>
      </c>
      <c r="L3788" s="17"/>
      <c r="M3788" s="29">
        <f t="shared" si="180"/>
        <v>0</v>
      </c>
      <c r="N3788" s="31">
        <f>0.242*L3788</f>
        <v>0</v>
      </c>
      <c r="O3788" s="32">
        <f>0.00348*L3788</f>
        <v>0</v>
      </c>
      <c r="P3788" s="36"/>
      <c r="Q3788" s="29" t="s">
        <v>12591</v>
      </c>
      <c r="R3788" s="29"/>
      <c r="S3788" s="26" t="str">
        <f>HYPERLINK("https://miland.ru/api/getInfo/image/8cec7e49-7a12-11ee-a248-00155d82e902")</f>
        <v>https://miland.ru/api/getInfo/image/8cec7e49-7a12-11ee-a248-00155d82e902</v>
      </c>
    </row>
    <row r="3789" spans="1:19" s="2" customFormat="1" ht="96.2" customHeight="1" outlineLevel="5">
      <c r="A3789" s="52">
        <v>2994</v>
      </c>
      <c r="B3789" s="26" t="s">
        <v>12592</v>
      </c>
      <c r="C3789" s="66" t="s">
        <v>12593</v>
      </c>
      <c r="D3789" s="66"/>
      <c r="E3789" s="66"/>
      <c r="F3789" s="66"/>
      <c r="G3789" s="27" t="s">
        <v>12594</v>
      </c>
      <c r="H3789" s="33">
        <v>99</v>
      </c>
      <c r="I3789" s="29"/>
      <c r="J3789" s="25">
        <v>1</v>
      </c>
      <c r="K3789" s="30">
        <v>689.38</v>
      </c>
      <c r="L3789" s="17"/>
      <c r="M3789" s="29">
        <f t="shared" si="180"/>
        <v>0</v>
      </c>
      <c r="N3789" s="31">
        <f>0.332*L3789</f>
        <v>0</v>
      </c>
      <c r="O3789" s="35">
        <f>0.0054*L3789</f>
        <v>0</v>
      </c>
      <c r="P3789" s="36"/>
      <c r="Q3789" s="29" t="s">
        <v>12595</v>
      </c>
      <c r="R3789" s="29"/>
      <c r="S3789" s="26" t="str">
        <f>HYPERLINK("https://miland.ru/api/getInfo/image/f6ffa083-7a11-11ee-a248-00155d82e902")</f>
        <v>https://miland.ru/api/getInfo/image/f6ffa083-7a11-11ee-a248-00155d82e902</v>
      </c>
    </row>
    <row r="3790" spans="1:19" s="2" customFormat="1" ht="96.2" customHeight="1" outlineLevel="5">
      <c r="A3790" s="52">
        <v>2995</v>
      </c>
      <c r="B3790" s="26" t="s">
        <v>12596</v>
      </c>
      <c r="C3790" s="66" t="s">
        <v>12597</v>
      </c>
      <c r="D3790" s="66"/>
      <c r="E3790" s="66"/>
      <c r="F3790" s="66"/>
      <c r="G3790" s="27" t="s">
        <v>12598</v>
      </c>
      <c r="H3790" s="33">
        <v>2</v>
      </c>
      <c r="I3790" s="29"/>
      <c r="J3790" s="25">
        <v>1</v>
      </c>
      <c r="K3790" s="30">
        <v>996.36</v>
      </c>
      <c r="L3790" s="17"/>
      <c r="M3790" s="29">
        <f t="shared" si="180"/>
        <v>0</v>
      </c>
      <c r="N3790" s="31">
        <f>0.499*L3790</f>
        <v>0</v>
      </c>
      <c r="O3790" s="32">
        <f>0.00909*L3790</f>
        <v>0</v>
      </c>
      <c r="P3790" s="36"/>
      <c r="Q3790" s="29" t="s">
        <v>12599</v>
      </c>
      <c r="R3790" s="29" t="s">
        <v>611</v>
      </c>
      <c r="S3790" s="26" t="str">
        <f>HYPERLINK("https://miland.ru/api/getInfo/image/497b8b71-f252-11ee-a25b-00155d82e908")</f>
        <v>https://miland.ru/api/getInfo/image/497b8b71-f252-11ee-a25b-00155d82e908</v>
      </c>
    </row>
    <row r="3791" spans="1:19" s="2" customFormat="1" ht="96.2" customHeight="1" outlineLevel="5">
      <c r="A3791" s="52">
        <v>2996</v>
      </c>
      <c r="B3791" s="26" t="s">
        <v>12600</v>
      </c>
      <c r="C3791" s="66" t="s">
        <v>12601</v>
      </c>
      <c r="D3791" s="66"/>
      <c r="E3791" s="66"/>
      <c r="F3791" s="66"/>
      <c r="G3791" s="27" t="s">
        <v>12602</v>
      </c>
      <c r="H3791" s="33">
        <v>22</v>
      </c>
      <c r="I3791" s="29"/>
      <c r="J3791" s="25">
        <v>1</v>
      </c>
      <c r="K3791" s="37">
        <v>1150.8900000000001</v>
      </c>
      <c r="L3791" s="17"/>
      <c r="M3791" s="29">
        <f t="shared" si="180"/>
        <v>0</v>
      </c>
      <c r="N3791" s="31">
        <f>0.501*L3791</f>
        <v>0</v>
      </c>
      <c r="O3791" s="32">
        <f>0.00709*L3791</f>
        <v>0</v>
      </c>
      <c r="P3791" s="36"/>
      <c r="Q3791" s="29" t="s">
        <v>12603</v>
      </c>
      <c r="R3791" s="29"/>
      <c r="S3791" s="26" t="str">
        <f>HYPERLINK("https://miland.ru/api/getInfo/image/a748c9b2-f252-11ee-a25b-00155d82e908")</f>
        <v>https://miland.ru/api/getInfo/image/a748c9b2-f252-11ee-a25b-00155d82e908</v>
      </c>
    </row>
    <row r="3792" spans="1:19" s="2" customFormat="1" ht="96.2" customHeight="1" outlineLevel="5">
      <c r="A3792" s="52">
        <v>2997</v>
      </c>
      <c r="B3792" s="26" t="s">
        <v>12604</v>
      </c>
      <c r="C3792" s="66" t="s">
        <v>12605</v>
      </c>
      <c r="D3792" s="66"/>
      <c r="E3792" s="66"/>
      <c r="F3792" s="66"/>
      <c r="G3792" s="27" t="s">
        <v>12606</v>
      </c>
      <c r="H3792" s="33">
        <v>36</v>
      </c>
      <c r="I3792" s="29"/>
      <c r="J3792" s="25">
        <v>1</v>
      </c>
      <c r="K3792" s="30">
        <v>917.7</v>
      </c>
      <c r="L3792" s="17"/>
      <c r="M3792" s="29">
        <f t="shared" si="180"/>
        <v>0</v>
      </c>
      <c r="N3792" s="31">
        <f>0.441*L3792</f>
        <v>0</v>
      </c>
      <c r="O3792" s="32">
        <f>0.00728*L3792</f>
        <v>0</v>
      </c>
      <c r="P3792" s="36"/>
      <c r="Q3792" s="29" t="s">
        <v>12607</v>
      </c>
      <c r="R3792" s="29"/>
      <c r="S3792" s="26" t="str">
        <f>HYPERLINK("https://miland.ru/api/getInfo/image/82af002d-f252-11ee-a25b-00155d82e908")</f>
        <v>https://miland.ru/api/getInfo/image/82af002d-f252-11ee-a25b-00155d82e908</v>
      </c>
    </row>
    <row r="3793" spans="1:19" s="2" customFormat="1" ht="96.2" customHeight="1" outlineLevel="5">
      <c r="A3793" s="53">
        <v>2998</v>
      </c>
      <c r="B3793" s="10" t="s">
        <v>12608</v>
      </c>
      <c r="C3793" s="65" t="s">
        <v>12609</v>
      </c>
      <c r="D3793" s="65"/>
      <c r="E3793" s="65"/>
      <c r="F3793" s="65"/>
      <c r="G3793" s="11" t="s">
        <v>12610</v>
      </c>
      <c r="H3793" s="14">
        <v>218</v>
      </c>
      <c r="I3793" s="15"/>
      <c r="J3793" s="9">
        <v>1</v>
      </c>
      <c r="K3793" s="16">
        <v>713.17</v>
      </c>
      <c r="L3793" s="17"/>
      <c r="M3793" s="15">
        <f t="shared" si="180"/>
        <v>0</v>
      </c>
      <c r="N3793" s="18">
        <f>0.269*L3793</f>
        <v>0</v>
      </c>
      <c r="O3793" s="19">
        <f>0.00336*L3793</f>
        <v>0</v>
      </c>
      <c r="P3793" s="24" t="s">
        <v>26</v>
      </c>
      <c r="Q3793" s="15" t="s">
        <v>12611</v>
      </c>
      <c r="R3793" s="15"/>
      <c r="S3793" s="10" t="str">
        <f>HYPERLINK("https://miland.ru/api/getInfo/image/9970e6da-afe2-11f0-a286-00155d82e908")</f>
        <v>https://miland.ru/api/getInfo/image/9970e6da-afe2-11f0-a286-00155d82e908</v>
      </c>
    </row>
    <row r="3794" spans="1:19" s="2" customFormat="1" ht="96.2" customHeight="1" outlineLevel="5">
      <c r="A3794" s="53">
        <v>2999</v>
      </c>
      <c r="B3794" s="10" t="s">
        <v>12612</v>
      </c>
      <c r="C3794" s="65" t="s">
        <v>12613</v>
      </c>
      <c r="D3794" s="65"/>
      <c r="E3794" s="65"/>
      <c r="F3794" s="65"/>
      <c r="G3794" s="11" t="s">
        <v>12614</v>
      </c>
      <c r="H3794" s="14">
        <v>160</v>
      </c>
      <c r="I3794" s="15"/>
      <c r="J3794" s="9">
        <v>1</v>
      </c>
      <c r="K3794" s="16">
        <v>788.25</v>
      </c>
      <c r="L3794" s="17"/>
      <c r="M3794" s="15">
        <f t="shared" si="180"/>
        <v>0</v>
      </c>
      <c r="N3794" s="23">
        <f>0.43*L3794</f>
        <v>0</v>
      </c>
      <c r="O3794" s="19">
        <f>0.00436*L3794</f>
        <v>0</v>
      </c>
      <c r="P3794" s="24" t="s">
        <v>26</v>
      </c>
      <c r="Q3794" s="15" t="s">
        <v>12615</v>
      </c>
      <c r="R3794" s="15"/>
      <c r="S3794" s="10" t="str">
        <f>HYPERLINK("https://miland.ru/api/getInfo/image/ccf501d6-afe1-11f0-a286-00155d82e908")</f>
        <v>https://miland.ru/api/getInfo/image/ccf501d6-afe1-11f0-a286-00155d82e908</v>
      </c>
    </row>
    <row r="3795" spans="1:19" s="1" customFormat="1" ht="12" customHeight="1" outlineLevel="3">
      <c r="A3795" s="64" t="s">
        <v>12616</v>
      </c>
      <c r="B3795" s="64"/>
      <c r="C3795" s="64"/>
      <c r="D3795" s="64"/>
      <c r="E3795" s="64"/>
      <c r="F3795" s="64"/>
      <c r="G3795" s="8"/>
      <c r="H3795" s="12"/>
      <c r="I3795" s="2"/>
      <c r="J3795" s="2"/>
      <c r="K3795" s="13"/>
      <c r="L3795" s="2"/>
      <c r="M3795" s="2"/>
      <c r="N3795" s="2"/>
      <c r="O3795" s="2"/>
      <c r="P3795" s="2"/>
      <c r="Q3795" s="2"/>
      <c r="R3795" s="2"/>
      <c r="S3795" s="2"/>
    </row>
    <row r="3796" spans="1:19" s="2" customFormat="1" ht="96.2" customHeight="1" outlineLevel="4">
      <c r="A3796" s="52">
        <v>3000</v>
      </c>
      <c r="B3796" s="26" t="s">
        <v>12617</v>
      </c>
      <c r="C3796" s="66" t="s">
        <v>12618</v>
      </c>
      <c r="D3796" s="66"/>
      <c r="E3796" s="66"/>
      <c r="F3796" s="66"/>
      <c r="G3796" s="27" t="s">
        <v>12619</v>
      </c>
      <c r="H3796" s="28" t="s">
        <v>44</v>
      </c>
      <c r="I3796" s="29"/>
      <c r="J3796" s="25">
        <v>3</v>
      </c>
      <c r="K3796" s="30">
        <v>260.23</v>
      </c>
      <c r="L3796" s="17"/>
      <c r="M3796" s="29">
        <f t="shared" ref="M3796:M3823" si="181">K3796*L3796</f>
        <v>0</v>
      </c>
      <c r="N3796" s="31">
        <f>0.125*L3796</f>
        <v>0</v>
      </c>
      <c r="O3796" s="32">
        <f>0.00106*L3796</f>
        <v>0</v>
      </c>
      <c r="P3796" s="36"/>
      <c r="Q3796" s="29" t="s">
        <v>12620</v>
      </c>
      <c r="R3796" s="29"/>
      <c r="S3796" s="26" t="str">
        <f>HYPERLINK("https://miland.ru/api/getInfo/image/7dba0e08-3464-11ef-a261-00155d82e908")</f>
        <v>https://miland.ru/api/getInfo/image/7dba0e08-3464-11ef-a261-00155d82e908</v>
      </c>
    </row>
    <row r="3797" spans="1:19" s="2" customFormat="1" ht="96.2" customHeight="1" outlineLevel="4">
      <c r="A3797" s="52">
        <v>3001</v>
      </c>
      <c r="B3797" s="26" t="s">
        <v>12621</v>
      </c>
      <c r="C3797" s="66" t="s">
        <v>12622</v>
      </c>
      <c r="D3797" s="66"/>
      <c r="E3797" s="66"/>
      <c r="F3797" s="66"/>
      <c r="G3797" s="27" t="s">
        <v>12623</v>
      </c>
      <c r="H3797" s="28" t="s">
        <v>44</v>
      </c>
      <c r="I3797" s="29"/>
      <c r="J3797" s="25">
        <v>3</v>
      </c>
      <c r="K3797" s="30">
        <v>225.19</v>
      </c>
      <c r="L3797" s="17"/>
      <c r="M3797" s="29">
        <f t="shared" si="181"/>
        <v>0</v>
      </c>
      <c r="N3797" s="34">
        <f>0.12*L3797</f>
        <v>0</v>
      </c>
      <c r="O3797" s="32">
        <f>0.00097*L3797</f>
        <v>0</v>
      </c>
      <c r="P3797" s="36"/>
      <c r="Q3797" s="29" t="s">
        <v>12624</v>
      </c>
      <c r="R3797" s="29"/>
      <c r="S3797" s="26" t="str">
        <f>HYPERLINK("https://miland.ru/api/getInfo/image/c50c63f6-3464-11ef-a261-00155d82e908")</f>
        <v>https://miland.ru/api/getInfo/image/c50c63f6-3464-11ef-a261-00155d82e908</v>
      </c>
    </row>
    <row r="3798" spans="1:19" s="2" customFormat="1" ht="96.2" customHeight="1" outlineLevel="4">
      <c r="A3798" s="52">
        <v>3002</v>
      </c>
      <c r="B3798" s="26" t="s">
        <v>12625</v>
      </c>
      <c r="C3798" s="66" t="s">
        <v>12626</v>
      </c>
      <c r="D3798" s="66"/>
      <c r="E3798" s="66"/>
      <c r="F3798" s="66"/>
      <c r="G3798" s="27" t="s">
        <v>12627</v>
      </c>
      <c r="H3798" s="28" t="s">
        <v>44</v>
      </c>
      <c r="I3798" s="29"/>
      <c r="J3798" s="25">
        <v>3</v>
      </c>
      <c r="K3798" s="30">
        <v>225.19</v>
      </c>
      <c r="L3798" s="17"/>
      <c r="M3798" s="29">
        <f t="shared" si="181"/>
        <v>0</v>
      </c>
      <c r="N3798" s="31">
        <f>0.133*L3798</f>
        <v>0</v>
      </c>
      <c r="O3798" s="32">
        <f>0.00104*L3798</f>
        <v>0</v>
      </c>
      <c r="P3798" s="36"/>
      <c r="Q3798" s="29" t="s">
        <v>12628</v>
      </c>
      <c r="R3798" s="29"/>
      <c r="S3798" s="26" t="str">
        <f>HYPERLINK("https://miland.ru/api/getInfo/image/9fee3e18-3465-11ef-a261-00155d82e908")</f>
        <v>https://miland.ru/api/getInfo/image/9fee3e18-3465-11ef-a261-00155d82e908</v>
      </c>
    </row>
    <row r="3799" spans="1:19" s="2" customFormat="1" ht="96.2" customHeight="1" outlineLevel="4">
      <c r="A3799" s="52">
        <v>3003</v>
      </c>
      <c r="B3799" s="26" t="s">
        <v>12629</v>
      </c>
      <c r="C3799" s="66" t="s">
        <v>12630</v>
      </c>
      <c r="D3799" s="66"/>
      <c r="E3799" s="66"/>
      <c r="F3799" s="66"/>
      <c r="G3799" s="27" t="s">
        <v>12631</v>
      </c>
      <c r="H3799" s="28" t="s">
        <v>44</v>
      </c>
      <c r="I3799" s="29"/>
      <c r="J3799" s="25">
        <v>1</v>
      </c>
      <c r="K3799" s="30">
        <v>609.53</v>
      </c>
      <c r="L3799" s="17"/>
      <c r="M3799" s="29">
        <f t="shared" si="181"/>
        <v>0</v>
      </c>
      <c r="N3799" s="31">
        <f>0.317*L3799</f>
        <v>0</v>
      </c>
      <c r="O3799" s="32">
        <f>0.00126*L3799</f>
        <v>0</v>
      </c>
      <c r="P3799" s="36"/>
      <c r="Q3799" s="29" t="s">
        <v>12632</v>
      </c>
      <c r="R3799" s="29"/>
      <c r="S3799" s="26" t="str">
        <f>HYPERLINK("https://miland.ru/api/getInfo/image/0090826b-c380-11ef-a268-00155d82e908")</f>
        <v>https://miland.ru/api/getInfo/image/0090826b-c380-11ef-a268-00155d82e908</v>
      </c>
    </row>
    <row r="3800" spans="1:19" s="2" customFormat="1" ht="96.2" customHeight="1" outlineLevel="4">
      <c r="A3800" s="52">
        <v>3004</v>
      </c>
      <c r="B3800" s="26" t="s">
        <v>12633</v>
      </c>
      <c r="C3800" s="66" t="s">
        <v>12634</v>
      </c>
      <c r="D3800" s="66"/>
      <c r="E3800" s="66"/>
      <c r="F3800" s="66"/>
      <c r="G3800" s="27" t="s">
        <v>12635</v>
      </c>
      <c r="H3800" s="28" t="s">
        <v>44</v>
      </c>
      <c r="I3800" s="29"/>
      <c r="J3800" s="25">
        <v>3</v>
      </c>
      <c r="K3800" s="30">
        <v>225.19</v>
      </c>
      <c r="L3800" s="17"/>
      <c r="M3800" s="29">
        <f t="shared" si="181"/>
        <v>0</v>
      </c>
      <c r="N3800" s="31">
        <f>0.127*L3800</f>
        <v>0</v>
      </c>
      <c r="O3800" s="32">
        <f>0.00101*L3800</f>
        <v>0</v>
      </c>
      <c r="P3800" s="36"/>
      <c r="Q3800" s="29" t="s">
        <v>12636</v>
      </c>
      <c r="R3800" s="29"/>
      <c r="S3800" s="26" t="str">
        <f>HYPERLINK("https://miland.ru/api/getInfo/image/c9888973-3465-11ef-a261-00155d82e908")</f>
        <v>https://miland.ru/api/getInfo/image/c9888973-3465-11ef-a261-00155d82e908</v>
      </c>
    </row>
    <row r="3801" spans="1:19" s="2" customFormat="1" ht="96.2" customHeight="1" outlineLevel="4">
      <c r="A3801" s="52">
        <v>3005</v>
      </c>
      <c r="B3801" s="26" t="s">
        <v>12637</v>
      </c>
      <c r="C3801" s="66" t="s">
        <v>12638</v>
      </c>
      <c r="D3801" s="66"/>
      <c r="E3801" s="66"/>
      <c r="F3801" s="66"/>
      <c r="G3801" s="27" t="s">
        <v>12639</v>
      </c>
      <c r="H3801" s="28" t="s">
        <v>44</v>
      </c>
      <c r="I3801" s="29"/>
      <c r="J3801" s="25">
        <v>3</v>
      </c>
      <c r="K3801" s="30">
        <v>225.19</v>
      </c>
      <c r="L3801" s="17"/>
      <c r="M3801" s="29">
        <f t="shared" si="181"/>
        <v>0</v>
      </c>
      <c r="N3801" s="31">
        <f>0.117*L3801</f>
        <v>0</v>
      </c>
      <c r="O3801" s="32">
        <f>0.00103*L3801</f>
        <v>0</v>
      </c>
      <c r="P3801" s="36"/>
      <c r="Q3801" s="29" t="s">
        <v>12640</v>
      </c>
      <c r="R3801" s="29"/>
      <c r="S3801" s="26" t="str">
        <f>HYPERLINK("https://miland.ru/api/getInfo/image/b7831429-3465-11ef-a261-00155d82e908")</f>
        <v>https://miland.ru/api/getInfo/image/b7831429-3465-11ef-a261-00155d82e908</v>
      </c>
    </row>
    <row r="3802" spans="1:19" s="2" customFormat="1" ht="96.2" customHeight="1" outlineLevel="4">
      <c r="A3802" s="52">
        <v>3006</v>
      </c>
      <c r="B3802" s="26" t="s">
        <v>12641</v>
      </c>
      <c r="C3802" s="66" t="s">
        <v>12642</v>
      </c>
      <c r="D3802" s="66"/>
      <c r="E3802" s="66"/>
      <c r="F3802" s="66"/>
      <c r="G3802" s="27" t="s">
        <v>12643</v>
      </c>
      <c r="H3802" s="33">
        <v>268</v>
      </c>
      <c r="I3802" s="29"/>
      <c r="J3802" s="25">
        <v>2</v>
      </c>
      <c r="K3802" s="30">
        <v>395.94</v>
      </c>
      <c r="L3802" s="17"/>
      <c r="M3802" s="29">
        <f t="shared" si="181"/>
        <v>0</v>
      </c>
      <c r="N3802" s="31">
        <f>0.265*L3802</f>
        <v>0</v>
      </c>
      <c r="O3802" s="32">
        <f>0.00157*L3802</f>
        <v>0</v>
      </c>
      <c r="P3802" s="36"/>
      <c r="Q3802" s="29" t="s">
        <v>12644</v>
      </c>
      <c r="R3802" s="29"/>
      <c r="S3802" s="26" t="str">
        <f>HYPERLINK("https://miland.ru/api/getInfo/image/9f6eb769-c37f-11ef-a268-00155d82e908")</f>
        <v>https://miland.ru/api/getInfo/image/9f6eb769-c37f-11ef-a268-00155d82e908</v>
      </c>
    </row>
    <row r="3803" spans="1:19" s="2" customFormat="1" ht="96.2" customHeight="1" outlineLevel="4">
      <c r="A3803" s="53">
        <v>3007</v>
      </c>
      <c r="B3803" s="10" t="s">
        <v>12645</v>
      </c>
      <c r="C3803" s="65" t="s">
        <v>12646</v>
      </c>
      <c r="D3803" s="65"/>
      <c r="E3803" s="65"/>
      <c r="F3803" s="65"/>
      <c r="G3803" s="11" t="s">
        <v>12647</v>
      </c>
      <c r="H3803" s="21" t="s">
        <v>44</v>
      </c>
      <c r="I3803" s="15"/>
      <c r="J3803" s="9">
        <v>3</v>
      </c>
      <c r="K3803" s="16">
        <v>225.19</v>
      </c>
      <c r="L3803" s="17"/>
      <c r="M3803" s="15">
        <f t="shared" si="181"/>
        <v>0</v>
      </c>
      <c r="N3803" s="18">
        <f>0.125*L3803</f>
        <v>0</v>
      </c>
      <c r="O3803" s="19">
        <f>0.00101*L3803</f>
        <v>0</v>
      </c>
      <c r="P3803" s="24" t="s">
        <v>26</v>
      </c>
      <c r="Q3803" s="15" t="s">
        <v>12648</v>
      </c>
      <c r="R3803" s="15"/>
      <c r="S3803" s="10" t="str">
        <f>HYPERLINK("https://miland.ru/api/getInfo/image/2614dacb-34d0-11f1-a292-00155d82e908")</f>
        <v>https://miland.ru/api/getInfo/image/2614dacb-34d0-11f1-a292-00155d82e908</v>
      </c>
    </row>
    <row r="3804" spans="1:19" s="2" customFormat="1" ht="96.2" customHeight="1" outlineLevel="4">
      <c r="A3804" s="52">
        <v>3008</v>
      </c>
      <c r="B3804" s="26" t="s">
        <v>12649</v>
      </c>
      <c r="C3804" s="66" t="s">
        <v>12650</v>
      </c>
      <c r="D3804" s="66"/>
      <c r="E3804" s="66"/>
      <c r="F3804" s="66"/>
      <c r="G3804" s="27" t="s">
        <v>12651</v>
      </c>
      <c r="H3804" s="33">
        <v>120</v>
      </c>
      <c r="I3804" s="29"/>
      <c r="J3804" s="25">
        <v>1</v>
      </c>
      <c r="K3804" s="30">
        <v>641.24</v>
      </c>
      <c r="L3804" s="17"/>
      <c r="M3804" s="29">
        <f t="shared" si="181"/>
        <v>0</v>
      </c>
      <c r="N3804" s="31">
        <f>0.271*L3804</f>
        <v>0</v>
      </c>
      <c r="O3804" s="32">
        <f>0.00149*L3804</f>
        <v>0</v>
      </c>
      <c r="P3804" s="36"/>
      <c r="Q3804" s="29" t="s">
        <v>12652</v>
      </c>
      <c r="R3804" s="29"/>
      <c r="S3804" s="26" t="str">
        <f>HYPERLINK("https://miland.ru/api/getInfo/image/999c9cb3-a643-11ef-a267-00155d82e908")</f>
        <v>https://miland.ru/api/getInfo/image/999c9cb3-a643-11ef-a267-00155d82e908</v>
      </c>
    </row>
    <row r="3805" spans="1:19" s="2" customFormat="1" ht="96.2" customHeight="1" outlineLevel="4">
      <c r="A3805" s="52">
        <v>3009</v>
      </c>
      <c r="B3805" s="26" t="s">
        <v>12653</v>
      </c>
      <c r="C3805" s="66" t="s">
        <v>12654</v>
      </c>
      <c r="D3805" s="66"/>
      <c r="E3805" s="66"/>
      <c r="F3805" s="66"/>
      <c r="G3805" s="27" t="s">
        <v>12655</v>
      </c>
      <c r="H3805" s="33">
        <v>1</v>
      </c>
      <c r="I3805" s="29"/>
      <c r="J3805" s="25">
        <v>1</v>
      </c>
      <c r="K3805" s="30">
        <v>641.24</v>
      </c>
      <c r="L3805" s="17"/>
      <c r="M3805" s="29">
        <f t="shared" si="181"/>
        <v>0</v>
      </c>
      <c r="N3805" s="31">
        <f>0.271*L3805</f>
        <v>0</v>
      </c>
      <c r="O3805" s="32">
        <f>0.00149*L3805</f>
        <v>0</v>
      </c>
      <c r="P3805" s="36"/>
      <c r="Q3805" s="29" t="s">
        <v>12656</v>
      </c>
      <c r="R3805" s="29"/>
      <c r="S3805" s="26" t="str">
        <f>HYPERLINK("https://miland.ru/api/getInfo/image/124d6a6a-a644-11ef-a267-00155d82e908")</f>
        <v>https://miland.ru/api/getInfo/image/124d6a6a-a644-11ef-a267-00155d82e908</v>
      </c>
    </row>
    <row r="3806" spans="1:19" s="2" customFormat="1" ht="96.2" customHeight="1" outlineLevel="4">
      <c r="A3806" s="52">
        <v>3010</v>
      </c>
      <c r="B3806" s="26" t="s">
        <v>12657</v>
      </c>
      <c r="C3806" s="66" t="s">
        <v>12658</v>
      </c>
      <c r="D3806" s="66"/>
      <c r="E3806" s="66"/>
      <c r="F3806" s="66"/>
      <c r="G3806" s="27" t="s">
        <v>12659</v>
      </c>
      <c r="H3806" s="28" t="s">
        <v>44</v>
      </c>
      <c r="I3806" s="29"/>
      <c r="J3806" s="25">
        <v>3</v>
      </c>
      <c r="K3806" s="30">
        <v>225.19</v>
      </c>
      <c r="L3806" s="17"/>
      <c r="M3806" s="29">
        <f t="shared" si="181"/>
        <v>0</v>
      </c>
      <c r="N3806" s="31">
        <f>0.115*L3806</f>
        <v>0</v>
      </c>
      <c r="O3806" s="31">
        <f>0.001*L3806</f>
        <v>0</v>
      </c>
      <c r="P3806" s="36"/>
      <c r="Q3806" s="29" t="s">
        <v>12660</v>
      </c>
      <c r="R3806" s="29"/>
      <c r="S3806" s="26" t="str">
        <f>HYPERLINK("https://miland.ru/api/getInfo/image/defa0cca-3464-11ef-a261-00155d82e908")</f>
        <v>https://miland.ru/api/getInfo/image/defa0cca-3464-11ef-a261-00155d82e908</v>
      </c>
    </row>
    <row r="3807" spans="1:19" s="2" customFormat="1" ht="96.2" customHeight="1" outlineLevel="4">
      <c r="A3807" s="52">
        <v>3011</v>
      </c>
      <c r="B3807" s="26" t="s">
        <v>12661</v>
      </c>
      <c r="C3807" s="66" t="s">
        <v>12662</v>
      </c>
      <c r="D3807" s="66"/>
      <c r="E3807" s="66"/>
      <c r="F3807" s="66"/>
      <c r="G3807" s="27" t="s">
        <v>12663</v>
      </c>
      <c r="H3807" s="28" t="s">
        <v>44</v>
      </c>
      <c r="I3807" s="29"/>
      <c r="J3807" s="25">
        <v>3</v>
      </c>
      <c r="K3807" s="30">
        <v>203.72</v>
      </c>
      <c r="L3807" s="17"/>
      <c r="M3807" s="29">
        <f t="shared" si="181"/>
        <v>0</v>
      </c>
      <c r="N3807" s="31">
        <f>0.126*L3807</f>
        <v>0</v>
      </c>
      <c r="O3807" s="31">
        <f>0.001*L3807</f>
        <v>0</v>
      </c>
      <c r="P3807" s="36"/>
      <c r="Q3807" s="29" t="s">
        <v>12664</v>
      </c>
      <c r="R3807" s="29"/>
      <c r="S3807" s="26" t="str">
        <f>HYPERLINK("https://miland.ru/api/getInfo/image/086e13f8-f7ad-11e7-951c-5cf3fc4a2490")</f>
        <v>https://miland.ru/api/getInfo/image/086e13f8-f7ad-11e7-951c-5cf3fc4a2490</v>
      </c>
    </row>
    <row r="3808" spans="1:19" s="2" customFormat="1" ht="96.2" customHeight="1" outlineLevel="4">
      <c r="A3808" s="53">
        <v>3012</v>
      </c>
      <c r="B3808" s="10" t="s">
        <v>12665</v>
      </c>
      <c r="C3808" s="65" t="s">
        <v>12666</v>
      </c>
      <c r="D3808" s="65"/>
      <c r="E3808" s="65"/>
      <c r="F3808" s="65"/>
      <c r="G3808" s="11" t="s">
        <v>12667</v>
      </c>
      <c r="H3808" s="21" t="s">
        <v>44</v>
      </c>
      <c r="I3808" s="15"/>
      <c r="J3808" s="9">
        <v>3</v>
      </c>
      <c r="K3808" s="16">
        <v>240.21</v>
      </c>
      <c r="L3808" s="17"/>
      <c r="M3808" s="15">
        <f t="shared" si="181"/>
        <v>0</v>
      </c>
      <c r="N3808" s="18">
        <f>0.139*L3808</f>
        <v>0</v>
      </c>
      <c r="O3808" s="19">
        <f>0.00077*L3808</f>
        <v>0</v>
      </c>
      <c r="P3808" s="24" t="s">
        <v>26</v>
      </c>
      <c r="Q3808" s="15" t="s">
        <v>12668</v>
      </c>
      <c r="R3808" s="15"/>
      <c r="S3808" s="10" t="str">
        <f>HYPERLINK("https://miland.ru/api/getInfo/image/f3706edc-34d0-11f1-a292-00155d82e908")</f>
        <v>https://miland.ru/api/getInfo/image/f3706edc-34d0-11f1-a292-00155d82e908</v>
      </c>
    </row>
    <row r="3809" spans="1:19" s="2" customFormat="1" ht="96.2" customHeight="1" outlineLevel="4">
      <c r="A3809" s="53">
        <v>3013</v>
      </c>
      <c r="B3809" s="10" t="s">
        <v>12669</v>
      </c>
      <c r="C3809" s="65" t="s">
        <v>12670</v>
      </c>
      <c r="D3809" s="65"/>
      <c r="E3809" s="65"/>
      <c r="F3809" s="65"/>
      <c r="G3809" s="11" t="s">
        <v>12671</v>
      </c>
      <c r="H3809" s="21" t="s">
        <v>44</v>
      </c>
      <c r="I3809" s="15"/>
      <c r="J3809" s="9">
        <v>3</v>
      </c>
      <c r="K3809" s="16">
        <v>241.21</v>
      </c>
      <c r="L3809" s="17"/>
      <c r="M3809" s="15">
        <f t="shared" si="181"/>
        <v>0</v>
      </c>
      <c r="N3809" s="23">
        <f>0.14*L3809</f>
        <v>0</v>
      </c>
      <c r="O3809" s="20">
        <f>0.0008*L3809</f>
        <v>0</v>
      </c>
      <c r="P3809" s="24" t="s">
        <v>26</v>
      </c>
      <c r="Q3809" s="15" t="s">
        <v>12672</v>
      </c>
      <c r="R3809" s="15"/>
      <c r="S3809" s="10" t="str">
        <f>HYPERLINK("https://miland.ru/api/getInfo/image/3d4945ef-34d1-11f1-a292-00155d82e908")</f>
        <v>https://miland.ru/api/getInfo/image/3d4945ef-34d1-11f1-a292-00155d82e908</v>
      </c>
    </row>
    <row r="3810" spans="1:19" s="2" customFormat="1" ht="96.2" customHeight="1" outlineLevel="4">
      <c r="A3810" s="52">
        <v>3014</v>
      </c>
      <c r="B3810" s="26" t="s">
        <v>12673</v>
      </c>
      <c r="C3810" s="66" t="s">
        <v>12674</v>
      </c>
      <c r="D3810" s="66"/>
      <c r="E3810" s="66"/>
      <c r="F3810" s="66"/>
      <c r="G3810" s="27" t="s">
        <v>12675</v>
      </c>
      <c r="H3810" s="28" t="s">
        <v>44</v>
      </c>
      <c r="I3810" s="29"/>
      <c r="J3810" s="25">
        <v>3</v>
      </c>
      <c r="K3810" s="30">
        <v>240.21</v>
      </c>
      <c r="L3810" s="17"/>
      <c r="M3810" s="29">
        <f t="shared" si="181"/>
        <v>0</v>
      </c>
      <c r="N3810" s="31">
        <f>0.139*L3810</f>
        <v>0</v>
      </c>
      <c r="O3810" s="32">
        <f>0.00079*L3810</f>
        <v>0</v>
      </c>
      <c r="P3810" s="36"/>
      <c r="Q3810" s="29" t="s">
        <v>12676</v>
      </c>
      <c r="R3810" s="29"/>
      <c r="S3810" s="26" t="str">
        <f>HYPERLINK("https://miland.ru/api/getInfo/image/70eab85f-3465-11ef-a261-00155d82e908")</f>
        <v>https://miland.ru/api/getInfo/image/70eab85f-3465-11ef-a261-00155d82e908</v>
      </c>
    </row>
    <row r="3811" spans="1:19" s="2" customFormat="1" ht="96.2" customHeight="1" outlineLevel="4">
      <c r="A3811" s="52">
        <v>3015</v>
      </c>
      <c r="B3811" s="26" t="s">
        <v>12677</v>
      </c>
      <c r="C3811" s="66" t="s">
        <v>12678</v>
      </c>
      <c r="D3811" s="66"/>
      <c r="E3811" s="66"/>
      <c r="F3811" s="66"/>
      <c r="G3811" s="27" t="s">
        <v>12679</v>
      </c>
      <c r="H3811" s="33">
        <v>76</v>
      </c>
      <c r="I3811" s="29"/>
      <c r="J3811" s="25">
        <v>3</v>
      </c>
      <c r="K3811" s="30">
        <v>203.72</v>
      </c>
      <c r="L3811" s="17"/>
      <c r="M3811" s="29">
        <f t="shared" si="181"/>
        <v>0</v>
      </c>
      <c r="N3811" s="31">
        <f>0.136*L3811</f>
        <v>0</v>
      </c>
      <c r="O3811" s="32">
        <f>0.00079*L3811</f>
        <v>0</v>
      </c>
      <c r="P3811" s="36"/>
      <c r="Q3811" s="29" t="s">
        <v>12680</v>
      </c>
      <c r="R3811" s="29"/>
      <c r="S3811" s="26" t="str">
        <f>HYPERLINK("https://miland.ru/api/getInfo/image/95f83864-76e1-11e9-a226-ac1f6b442184")</f>
        <v>https://miland.ru/api/getInfo/image/95f83864-76e1-11e9-a226-ac1f6b442184</v>
      </c>
    </row>
    <row r="3812" spans="1:19" s="2" customFormat="1" ht="96.2" customHeight="1" outlineLevel="4">
      <c r="A3812" s="52">
        <v>3016</v>
      </c>
      <c r="B3812" s="26" t="s">
        <v>12681</v>
      </c>
      <c r="C3812" s="66" t="s">
        <v>12682</v>
      </c>
      <c r="D3812" s="66"/>
      <c r="E3812" s="66"/>
      <c r="F3812" s="66"/>
      <c r="G3812" s="27" t="s">
        <v>12683</v>
      </c>
      <c r="H3812" s="33">
        <v>417</v>
      </c>
      <c r="I3812" s="29"/>
      <c r="J3812" s="25">
        <v>3</v>
      </c>
      <c r="K3812" s="30">
        <v>218.91</v>
      </c>
      <c r="L3812" s="17"/>
      <c r="M3812" s="29">
        <f t="shared" si="181"/>
        <v>0</v>
      </c>
      <c r="N3812" s="31">
        <f>0.143*L3812</f>
        <v>0</v>
      </c>
      <c r="O3812" s="32">
        <f>0.00084*L3812</f>
        <v>0</v>
      </c>
      <c r="P3812" s="36"/>
      <c r="Q3812" s="29" t="s">
        <v>12684</v>
      </c>
      <c r="R3812" s="29"/>
      <c r="S3812" s="26" t="str">
        <f>HYPERLINK("https://miland.ru/api/getInfo/image/eab32cbe-76e1-11e9-a226-ac1f6b442184")</f>
        <v>https://miland.ru/api/getInfo/image/eab32cbe-76e1-11e9-a226-ac1f6b442184</v>
      </c>
    </row>
    <row r="3813" spans="1:19" s="2" customFormat="1" ht="96.2" customHeight="1" outlineLevel="4">
      <c r="A3813" s="52">
        <v>3017</v>
      </c>
      <c r="B3813" s="26" t="s">
        <v>12685</v>
      </c>
      <c r="C3813" s="66" t="s">
        <v>12686</v>
      </c>
      <c r="D3813" s="66"/>
      <c r="E3813" s="66"/>
      <c r="F3813" s="66"/>
      <c r="G3813" s="27" t="s">
        <v>12687</v>
      </c>
      <c r="H3813" s="33">
        <v>297</v>
      </c>
      <c r="I3813" s="29"/>
      <c r="J3813" s="25">
        <v>3</v>
      </c>
      <c r="K3813" s="30">
        <v>203.72</v>
      </c>
      <c r="L3813" s="17"/>
      <c r="M3813" s="29">
        <f t="shared" si="181"/>
        <v>0</v>
      </c>
      <c r="N3813" s="31">
        <f>0.142*L3813</f>
        <v>0</v>
      </c>
      <c r="O3813" s="32">
        <f>0.00086*L3813</f>
        <v>0</v>
      </c>
      <c r="P3813" s="36"/>
      <c r="Q3813" s="29" t="s">
        <v>12688</v>
      </c>
      <c r="R3813" s="29"/>
      <c r="S3813" s="26" t="str">
        <f>HYPERLINK("https://miland.ru/api/getInfo/image/054f6e4a-76e2-11e9-a226-ac1f6b442184")</f>
        <v>https://miland.ru/api/getInfo/image/054f6e4a-76e2-11e9-a226-ac1f6b442184</v>
      </c>
    </row>
    <row r="3814" spans="1:19" s="2" customFormat="1" ht="96.2" customHeight="1" outlineLevel="4">
      <c r="A3814" s="53">
        <v>3018</v>
      </c>
      <c r="B3814" s="10" t="s">
        <v>12689</v>
      </c>
      <c r="C3814" s="65" t="s">
        <v>12690</v>
      </c>
      <c r="D3814" s="65"/>
      <c r="E3814" s="65"/>
      <c r="F3814" s="65"/>
      <c r="G3814" s="11" t="s">
        <v>12691</v>
      </c>
      <c r="H3814" s="21" t="s">
        <v>44</v>
      </c>
      <c r="I3814" s="15"/>
      <c r="J3814" s="9">
        <v>3</v>
      </c>
      <c r="K3814" s="16">
        <v>225.19</v>
      </c>
      <c r="L3814" s="17"/>
      <c r="M3814" s="15">
        <f t="shared" si="181"/>
        <v>0</v>
      </c>
      <c r="N3814" s="18">
        <f>0.125*L3814</f>
        <v>0</v>
      </c>
      <c r="O3814" s="19">
        <f>0.00097*L3814</f>
        <v>0</v>
      </c>
      <c r="P3814" s="24" t="s">
        <v>26</v>
      </c>
      <c r="Q3814" s="15" t="s">
        <v>12692</v>
      </c>
      <c r="R3814" s="15"/>
      <c r="S3814" s="10" t="str">
        <f>HYPERLINK("https://miland.ru/api/getInfo/image/6bb3ce60-34d0-11f1-a292-00155d82e908")</f>
        <v>https://miland.ru/api/getInfo/image/6bb3ce60-34d0-11f1-a292-00155d82e908</v>
      </c>
    </row>
    <row r="3815" spans="1:19" s="2" customFormat="1" ht="96.2" customHeight="1" outlineLevel="4">
      <c r="A3815" s="53">
        <v>3019</v>
      </c>
      <c r="B3815" s="10" t="s">
        <v>12693</v>
      </c>
      <c r="C3815" s="65" t="s">
        <v>12694</v>
      </c>
      <c r="D3815" s="65"/>
      <c r="E3815" s="65"/>
      <c r="F3815" s="65"/>
      <c r="G3815" s="11" t="s">
        <v>12695</v>
      </c>
      <c r="H3815" s="21" t="s">
        <v>44</v>
      </c>
      <c r="I3815" s="15"/>
      <c r="J3815" s="9">
        <v>3</v>
      </c>
      <c r="K3815" s="16">
        <v>225.19</v>
      </c>
      <c r="L3815" s="17"/>
      <c r="M3815" s="15">
        <f t="shared" si="181"/>
        <v>0</v>
      </c>
      <c r="N3815" s="18">
        <f>0.111*L3815</f>
        <v>0</v>
      </c>
      <c r="O3815" s="18">
        <f>0.001*L3815</f>
        <v>0</v>
      </c>
      <c r="P3815" s="24" t="s">
        <v>26</v>
      </c>
      <c r="Q3815" s="15" t="s">
        <v>12696</v>
      </c>
      <c r="R3815" s="15"/>
      <c r="S3815" s="10" t="str">
        <f>HYPERLINK("https://miland.ru/api/getInfo/image/ad38dc5f-34d0-11f1-a292-00155d82e908")</f>
        <v>https://miland.ru/api/getInfo/image/ad38dc5f-34d0-11f1-a292-00155d82e908</v>
      </c>
    </row>
    <row r="3816" spans="1:19" s="2" customFormat="1" ht="96.2" customHeight="1" outlineLevel="4">
      <c r="A3816" s="53">
        <v>3020</v>
      </c>
      <c r="B3816" s="10" t="s">
        <v>12697</v>
      </c>
      <c r="C3816" s="65" t="s">
        <v>12698</v>
      </c>
      <c r="D3816" s="65"/>
      <c r="E3816" s="65"/>
      <c r="F3816" s="65"/>
      <c r="G3816" s="11" t="s">
        <v>12699</v>
      </c>
      <c r="H3816" s="21" t="s">
        <v>44</v>
      </c>
      <c r="I3816" s="15"/>
      <c r="J3816" s="9">
        <v>3</v>
      </c>
      <c r="K3816" s="16">
        <v>225.19</v>
      </c>
      <c r="L3816" s="17"/>
      <c r="M3816" s="15">
        <f t="shared" si="181"/>
        <v>0</v>
      </c>
      <c r="N3816" s="18">
        <f>0.124*L3816</f>
        <v>0</v>
      </c>
      <c r="O3816" s="18">
        <f>0.001*L3816</f>
        <v>0</v>
      </c>
      <c r="P3816" s="24" t="s">
        <v>26</v>
      </c>
      <c r="Q3816" s="15" t="s">
        <v>12700</v>
      </c>
      <c r="R3816" s="15"/>
      <c r="S3816" s="10" t="str">
        <f>HYPERLINK("https://miland.ru/api/getInfo/image/cea6314b-34d0-11f1-a292-00155d82e908")</f>
        <v>https://miland.ru/api/getInfo/image/cea6314b-34d0-11f1-a292-00155d82e908</v>
      </c>
    </row>
    <row r="3817" spans="1:19" s="2" customFormat="1" ht="96.2" customHeight="1" outlineLevel="4">
      <c r="A3817" s="53">
        <v>3021</v>
      </c>
      <c r="B3817" s="10" t="s">
        <v>12701</v>
      </c>
      <c r="C3817" s="65" t="s">
        <v>12702</v>
      </c>
      <c r="D3817" s="65"/>
      <c r="E3817" s="65"/>
      <c r="F3817" s="65"/>
      <c r="G3817" s="11" t="s">
        <v>12703</v>
      </c>
      <c r="H3817" s="21" t="s">
        <v>44</v>
      </c>
      <c r="I3817" s="15"/>
      <c r="J3817" s="9">
        <v>3</v>
      </c>
      <c r="K3817" s="16">
        <v>225.19</v>
      </c>
      <c r="L3817" s="17"/>
      <c r="M3817" s="15">
        <f t="shared" si="181"/>
        <v>0</v>
      </c>
      <c r="N3817" s="18">
        <f>0.137*L3817</f>
        <v>0</v>
      </c>
      <c r="O3817" s="19">
        <f>0.00105*L3817</f>
        <v>0</v>
      </c>
      <c r="P3817" s="24" t="s">
        <v>26</v>
      </c>
      <c r="Q3817" s="15" t="s">
        <v>12704</v>
      </c>
      <c r="R3817" s="15"/>
      <c r="S3817" s="10" t="str">
        <f>HYPERLINK("https://miland.ru/api/getInfo/image/89db5386-34d0-11f1-a292-00155d82e908")</f>
        <v>https://miland.ru/api/getInfo/image/89db5386-34d0-11f1-a292-00155d82e908</v>
      </c>
    </row>
    <row r="3818" spans="1:19" s="2" customFormat="1" ht="96.2" customHeight="1" outlineLevel="4">
      <c r="A3818" s="52">
        <v>3022</v>
      </c>
      <c r="B3818" s="26" t="s">
        <v>12705</v>
      </c>
      <c r="C3818" s="66" t="s">
        <v>12706</v>
      </c>
      <c r="D3818" s="66"/>
      <c r="E3818" s="66"/>
      <c r="F3818" s="66"/>
      <c r="G3818" s="27" t="s">
        <v>12707</v>
      </c>
      <c r="H3818" s="28" t="s">
        <v>44</v>
      </c>
      <c r="I3818" s="29"/>
      <c r="J3818" s="25">
        <v>3</v>
      </c>
      <c r="K3818" s="30">
        <v>208.57</v>
      </c>
      <c r="L3818" s="17"/>
      <c r="M3818" s="29">
        <f t="shared" si="181"/>
        <v>0</v>
      </c>
      <c r="N3818" s="31">
        <f>0.117*L3818</f>
        <v>0</v>
      </c>
      <c r="O3818" s="32">
        <f>0.00101*L3818</f>
        <v>0</v>
      </c>
      <c r="P3818" s="36"/>
      <c r="Q3818" s="29" t="s">
        <v>12708</v>
      </c>
      <c r="R3818" s="29"/>
      <c r="S3818" s="26" t="str">
        <f>HYPERLINK("https://miland.ru/api/getInfo/image/9b6bbc43-76e5-11e9-a226-ac1f6b442184")</f>
        <v>https://miland.ru/api/getInfo/image/9b6bbc43-76e5-11e9-a226-ac1f6b442184</v>
      </c>
    </row>
    <row r="3819" spans="1:19" s="2" customFormat="1" ht="96.2" customHeight="1" outlineLevel="4">
      <c r="A3819" s="52">
        <v>3023</v>
      </c>
      <c r="B3819" s="26" t="s">
        <v>12709</v>
      </c>
      <c r="C3819" s="66" t="s">
        <v>12710</v>
      </c>
      <c r="D3819" s="66"/>
      <c r="E3819" s="66"/>
      <c r="F3819" s="66"/>
      <c r="G3819" s="27" t="s">
        <v>12711</v>
      </c>
      <c r="H3819" s="33">
        <v>410</v>
      </c>
      <c r="I3819" s="29"/>
      <c r="J3819" s="25">
        <v>3</v>
      </c>
      <c r="K3819" s="30">
        <v>225.19</v>
      </c>
      <c r="L3819" s="17"/>
      <c r="M3819" s="29">
        <f t="shared" si="181"/>
        <v>0</v>
      </c>
      <c r="N3819" s="34">
        <f>0.12*L3819</f>
        <v>0</v>
      </c>
      <c r="O3819" s="31">
        <f>0.001*L3819</f>
        <v>0</v>
      </c>
      <c r="P3819" s="36"/>
      <c r="Q3819" s="29" t="s">
        <v>12712</v>
      </c>
      <c r="R3819" s="29"/>
      <c r="S3819" s="26" t="str">
        <f>HYPERLINK("https://miland.ru/api/getInfo/image/f698160c-f7ad-11e7-951c-5cf3fc4a2490")</f>
        <v>https://miland.ru/api/getInfo/image/f698160c-f7ad-11e7-951c-5cf3fc4a2490</v>
      </c>
    </row>
    <row r="3820" spans="1:19" s="2" customFormat="1" ht="96.2" customHeight="1" outlineLevel="4">
      <c r="A3820" s="52">
        <v>3024</v>
      </c>
      <c r="B3820" s="26" t="s">
        <v>12713</v>
      </c>
      <c r="C3820" s="66" t="s">
        <v>12714</v>
      </c>
      <c r="D3820" s="66"/>
      <c r="E3820" s="66"/>
      <c r="F3820" s="66"/>
      <c r="G3820" s="27" t="s">
        <v>12715</v>
      </c>
      <c r="H3820" s="28" t="s">
        <v>44</v>
      </c>
      <c r="I3820" s="29"/>
      <c r="J3820" s="25">
        <v>1</v>
      </c>
      <c r="K3820" s="30">
        <v>488.01</v>
      </c>
      <c r="L3820" s="17"/>
      <c r="M3820" s="29">
        <f t="shared" si="181"/>
        <v>0</v>
      </c>
      <c r="N3820" s="31">
        <f>21.972*L3820</f>
        <v>0</v>
      </c>
      <c r="O3820" s="32">
        <f>0.09166*L3820</f>
        <v>0</v>
      </c>
      <c r="P3820" s="36"/>
      <c r="Q3820" s="29" t="s">
        <v>12716</v>
      </c>
      <c r="R3820" s="29"/>
      <c r="S3820" s="26" t="str">
        <f>HYPERLINK("https://miland.ru/api/getInfo/image/fe3ce18f-da97-11ed-a232-00155d82e902")</f>
        <v>https://miland.ru/api/getInfo/image/fe3ce18f-da97-11ed-a232-00155d82e902</v>
      </c>
    </row>
    <row r="3821" spans="1:19" s="2" customFormat="1" ht="96.2" customHeight="1" outlineLevel="4">
      <c r="A3821" s="52">
        <v>3025</v>
      </c>
      <c r="B3821" s="26" t="s">
        <v>12717</v>
      </c>
      <c r="C3821" s="66" t="s">
        <v>12718</v>
      </c>
      <c r="D3821" s="66"/>
      <c r="E3821" s="66"/>
      <c r="F3821" s="66"/>
      <c r="G3821" s="27" t="s">
        <v>12719</v>
      </c>
      <c r="H3821" s="28" t="s">
        <v>44</v>
      </c>
      <c r="I3821" s="29"/>
      <c r="J3821" s="25">
        <v>3</v>
      </c>
      <c r="K3821" s="30">
        <v>240.21</v>
      </c>
      <c r="L3821" s="17"/>
      <c r="M3821" s="29">
        <f t="shared" si="181"/>
        <v>0</v>
      </c>
      <c r="N3821" s="31">
        <f>0.138*L3821</f>
        <v>0</v>
      </c>
      <c r="O3821" s="32">
        <f>0.00081*L3821</f>
        <v>0</v>
      </c>
      <c r="P3821" s="36"/>
      <c r="Q3821" s="29" t="s">
        <v>12720</v>
      </c>
      <c r="R3821" s="29"/>
      <c r="S3821" s="26" t="str">
        <f>HYPERLINK("https://miland.ru/api/getInfo/image/b1d36d40-da98-11ed-a232-00155d82e902")</f>
        <v>https://miland.ru/api/getInfo/image/b1d36d40-da98-11ed-a232-00155d82e902</v>
      </c>
    </row>
    <row r="3822" spans="1:19" s="2" customFormat="1" ht="96.2" customHeight="1" outlineLevel="4">
      <c r="A3822" s="52">
        <v>3026</v>
      </c>
      <c r="B3822" s="26" t="s">
        <v>12721</v>
      </c>
      <c r="C3822" s="66" t="s">
        <v>12722</v>
      </c>
      <c r="D3822" s="66"/>
      <c r="E3822" s="66"/>
      <c r="F3822" s="66"/>
      <c r="G3822" s="27" t="s">
        <v>12723</v>
      </c>
      <c r="H3822" s="28" t="s">
        <v>44</v>
      </c>
      <c r="I3822" s="29"/>
      <c r="J3822" s="25">
        <v>3</v>
      </c>
      <c r="K3822" s="30">
        <v>260.23</v>
      </c>
      <c r="L3822" s="17"/>
      <c r="M3822" s="29">
        <f t="shared" si="181"/>
        <v>0</v>
      </c>
      <c r="N3822" s="31">
        <f>0.119*L3822</f>
        <v>0</v>
      </c>
      <c r="O3822" s="32">
        <f>0.00112*L3822</f>
        <v>0</v>
      </c>
      <c r="P3822" s="36"/>
      <c r="Q3822" s="29" t="s">
        <v>12724</v>
      </c>
      <c r="R3822" s="29"/>
      <c r="S3822" s="26" t="str">
        <f>HYPERLINK("https://miland.ru/api/getInfo/image/721f7e19-da98-11ed-a232-00155d82e902")</f>
        <v>https://miland.ru/api/getInfo/image/721f7e19-da98-11ed-a232-00155d82e902</v>
      </c>
    </row>
    <row r="3823" spans="1:19" s="2" customFormat="1" ht="96.2" customHeight="1" outlineLevel="4">
      <c r="A3823" s="52">
        <v>3027</v>
      </c>
      <c r="B3823" s="26" t="s">
        <v>12725</v>
      </c>
      <c r="C3823" s="66" t="s">
        <v>12726</v>
      </c>
      <c r="D3823" s="66"/>
      <c r="E3823" s="66"/>
      <c r="F3823" s="66"/>
      <c r="G3823" s="27" t="s">
        <v>12727</v>
      </c>
      <c r="H3823" s="33">
        <v>3</v>
      </c>
      <c r="I3823" s="29"/>
      <c r="J3823" s="25">
        <v>3</v>
      </c>
      <c r="K3823" s="30">
        <v>225.19</v>
      </c>
      <c r="L3823" s="17"/>
      <c r="M3823" s="29">
        <f t="shared" si="181"/>
        <v>0</v>
      </c>
      <c r="N3823" s="31">
        <f>0.124*L3823</f>
        <v>0</v>
      </c>
      <c r="O3823" s="32">
        <f>0.00096*L3823</f>
        <v>0</v>
      </c>
      <c r="P3823" s="36"/>
      <c r="Q3823" s="29" t="s">
        <v>12728</v>
      </c>
      <c r="R3823" s="29"/>
      <c r="S3823" s="26" t="str">
        <f>HYPERLINK("https://miland.ru/api/getInfo/image/3b7dc4ae-da98-11ed-a232-00155d82e902")</f>
        <v>https://miland.ru/api/getInfo/image/3b7dc4ae-da98-11ed-a232-00155d82e902</v>
      </c>
    </row>
    <row r="3824" spans="1:19" s="1" customFormat="1" ht="12" customHeight="1" outlineLevel="3">
      <c r="A3824" s="64" t="s">
        <v>12729</v>
      </c>
      <c r="B3824" s="64"/>
      <c r="C3824" s="64"/>
      <c r="D3824" s="64"/>
      <c r="E3824" s="64"/>
      <c r="F3824" s="64"/>
      <c r="G3824" s="8"/>
      <c r="H3824" s="12"/>
      <c r="I3824" s="2"/>
      <c r="J3824" s="2"/>
      <c r="K3824" s="13"/>
      <c r="L3824" s="2"/>
      <c r="M3824" s="2"/>
      <c r="N3824" s="2"/>
      <c r="O3824" s="2"/>
      <c r="P3824" s="2"/>
      <c r="Q3824" s="2"/>
      <c r="R3824" s="2"/>
      <c r="S3824" s="2"/>
    </row>
    <row r="3825" spans="1:19" s="2" customFormat="1" ht="96.2" customHeight="1" outlineLevel="4">
      <c r="A3825" s="52">
        <v>3028</v>
      </c>
      <c r="B3825" s="26" t="s">
        <v>12730</v>
      </c>
      <c r="C3825" s="66" t="s">
        <v>12731</v>
      </c>
      <c r="D3825" s="66"/>
      <c r="E3825" s="66"/>
      <c r="F3825" s="66"/>
      <c r="G3825" s="27" t="s">
        <v>12732</v>
      </c>
      <c r="H3825" s="33">
        <v>7</v>
      </c>
      <c r="I3825" s="29"/>
      <c r="J3825" s="25">
        <v>1</v>
      </c>
      <c r="K3825" s="37">
        <v>1629.72</v>
      </c>
      <c r="L3825" s="17"/>
      <c r="M3825" s="29">
        <f t="shared" ref="M3825:M3833" si="182">K3825*L3825</f>
        <v>0</v>
      </c>
      <c r="N3825" s="31">
        <f>0.533*L3825</f>
        <v>0</v>
      </c>
      <c r="O3825" s="32">
        <f>0.00127*L3825</f>
        <v>0</v>
      </c>
      <c r="P3825" s="36"/>
      <c r="Q3825" s="29" t="s">
        <v>12733</v>
      </c>
      <c r="R3825" s="29" t="s">
        <v>611</v>
      </c>
      <c r="S3825" s="26" t="str">
        <f>HYPERLINK("https://miland.ru/api/getInfo/image/542c159a-c4bb-11ed-a230-00155d82e902")</f>
        <v>https://miland.ru/api/getInfo/image/542c159a-c4bb-11ed-a230-00155d82e902</v>
      </c>
    </row>
    <row r="3826" spans="1:19" s="2" customFormat="1" ht="96.2" customHeight="1" outlineLevel="4">
      <c r="A3826" s="52">
        <v>3029</v>
      </c>
      <c r="B3826" s="26" t="s">
        <v>12734</v>
      </c>
      <c r="C3826" s="66" t="s">
        <v>12735</v>
      </c>
      <c r="D3826" s="66"/>
      <c r="E3826" s="66"/>
      <c r="F3826" s="66"/>
      <c r="G3826" s="27" t="s">
        <v>12736</v>
      </c>
      <c r="H3826" s="33">
        <v>158</v>
      </c>
      <c r="I3826" s="29"/>
      <c r="J3826" s="25">
        <v>1</v>
      </c>
      <c r="K3826" s="30">
        <v>409.91</v>
      </c>
      <c r="L3826" s="17"/>
      <c r="M3826" s="29">
        <f t="shared" si="182"/>
        <v>0</v>
      </c>
      <c r="N3826" s="31">
        <f>0.171*L3826</f>
        <v>0</v>
      </c>
      <c r="O3826" s="32">
        <f>0.00195*L3826</f>
        <v>0</v>
      </c>
      <c r="P3826" s="36"/>
      <c r="Q3826" s="29" t="s">
        <v>12737</v>
      </c>
      <c r="R3826" s="29"/>
      <c r="S3826" s="26" t="str">
        <f>HYPERLINK("https://miland.ru/api/getInfo/image/a336c528-e9a3-11ed-a233-00155d82e902")</f>
        <v>https://miland.ru/api/getInfo/image/a336c528-e9a3-11ed-a233-00155d82e902</v>
      </c>
    </row>
    <row r="3827" spans="1:19" s="2" customFormat="1" ht="96.2" customHeight="1" outlineLevel="4">
      <c r="A3827" s="52">
        <v>3030</v>
      </c>
      <c r="B3827" s="26" t="s">
        <v>12738</v>
      </c>
      <c r="C3827" s="66" t="s">
        <v>12739</v>
      </c>
      <c r="D3827" s="66"/>
      <c r="E3827" s="66"/>
      <c r="F3827" s="66"/>
      <c r="G3827" s="27" t="s">
        <v>12740</v>
      </c>
      <c r="H3827" s="33">
        <v>158</v>
      </c>
      <c r="I3827" s="29"/>
      <c r="J3827" s="25">
        <v>1</v>
      </c>
      <c r="K3827" s="30">
        <v>409.91</v>
      </c>
      <c r="L3827" s="17"/>
      <c r="M3827" s="29">
        <f t="shared" si="182"/>
        <v>0</v>
      </c>
      <c r="N3827" s="31">
        <f>0.173*L3827</f>
        <v>0</v>
      </c>
      <c r="O3827" s="32">
        <f>0.00186*L3827</f>
        <v>0</v>
      </c>
      <c r="P3827" s="36"/>
      <c r="Q3827" s="29" t="s">
        <v>12741</v>
      </c>
      <c r="R3827" s="29"/>
      <c r="S3827" s="26" t="str">
        <f>HYPERLINK("https://miland.ru/api/getInfo/image/012d20a0-e9a4-11ed-a233-00155d82e902")</f>
        <v>https://miland.ru/api/getInfo/image/012d20a0-e9a4-11ed-a233-00155d82e902</v>
      </c>
    </row>
    <row r="3828" spans="1:19" s="2" customFormat="1" ht="96.2" customHeight="1" outlineLevel="4">
      <c r="A3828" s="52">
        <v>3031</v>
      </c>
      <c r="B3828" s="26" t="s">
        <v>12742</v>
      </c>
      <c r="C3828" s="66" t="s">
        <v>12743</v>
      </c>
      <c r="D3828" s="66"/>
      <c r="E3828" s="66"/>
      <c r="F3828" s="66"/>
      <c r="G3828" s="27" t="s">
        <v>12744</v>
      </c>
      <c r="H3828" s="33">
        <v>65</v>
      </c>
      <c r="I3828" s="29"/>
      <c r="J3828" s="25">
        <v>1</v>
      </c>
      <c r="K3828" s="30">
        <v>445.5</v>
      </c>
      <c r="L3828" s="17"/>
      <c r="M3828" s="29">
        <f t="shared" si="182"/>
        <v>0</v>
      </c>
      <c r="N3828" s="31">
        <f>0.271*L3828</f>
        <v>0</v>
      </c>
      <c r="O3828" s="32">
        <f>0.00423*L3828</f>
        <v>0</v>
      </c>
      <c r="P3828" s="36"/>
      <c r="Q3828" s="29" t="s">
        <v>12745</v>
      </c>
      <c r="R3828" s="29"/>
      <c r="S3828" s="26" t="str">
        <f>HYPERLINK("https://miland.ru/api/getInfo/image/37249e6d-e9a5-11ed-a233-00155d82e902")</f>
        <v>https://miland.ru/api/getInfo/image/37249e6d-e9a5-11ed-a233-00155d82e902</v>
      </c>
    </row>
    <row r="3829" spans="1:19" s="2" customFormat="1" ht="96.2" customHeight="1" outlineLevel="4">
      <c r="A3829" s="52">
        <v>3032</v>
      </c>
      <c r="B3829" s="26" t="s">
        <v>12746</v>
      </c>
      <c r="C3829" s="66" t="s">
        <v>12747</v>
      </c>
      <c r="D3829" s="66"/>
      <c r="E3829" s="66"/>
      <c r="F3829" s="66"/>
      <c r="G3829" s="27" t="s">
        <v>12748</v>
      </c>
      <c r="H3829" s="33">
        <v>93</v>
      </c>
      <c r="I3829" s="29"/>
      <c r="J3829" s="25">
        <v>1</v>
      </c>
      <c r="K3829" s="30">
        <v>430.15</v>
      </c>
      <c r="L3829" s="17"/>
      <c r="M3829" s="29">
        <f t="shared" si="182"/>
        <v>0</v>
      </c>
      <c r="N3829" s="31">
        <f>0.262*L3829</f>
        <v>0</v>
      </c>
      <c r="O3829" s="32">
        <f>0.00465*L3829</f>
        <v>0</v>
      </c>
      <c r="P3829" s="36"/>
      <c r="Q3829" s="29" t="s">
        <v>12749</v>
      </c>
      <c r="R3829" s="29"/>
      <c r="S3829" s="26" t="str">
        <f>HYPERLINK("https://miland.ru/api/getInfo/image/05053558-e9a6-11ed-a233-00155d82e902")</f>
        <v>https://miland.ru/api/getInfo/image/05053558-e9a6-11ed-a233-00155d82e902</v>
      </c>
    </row>
    <row r="3830" spans="1:19" s="2" customFormat="1" ht="96.2" customHeight="1" outlineLevel="4">
      <c r="A3830" s="52">
        <v>3033</v>
      </c>
      <c r="B3830" s="26" t="s">
        <v>12750</v>
      </c>
      <c r="C3830" s="66" t="s">
        <v>12751</v>
      </c>
      <c r="D3830" s="66"/>
      <c r="E3830" s="66"/>
      <c r="F3830" s="66"/>
      <c r="G3830" s="27" t="s">
        <v>12752</v>
      </c>
      <c r="H3830" s="33">
        <v>24</v>
      </c>
      <c r="I3830" s="29"/>
      <c r="J3830" s="25">
        <v>1</v>
      </c>
      <c r="K3830" s="30">
        <v>961.51</v>
      </c>
      <c r="L3830" s="17"/>
      <c r="M3830" s="29">
        <f t="shared" si="182"/>
        <v>0</v>
      </c>
      <c r="N3830" s="31">
        <f>0.387*L3830</f>
        <v>0</v>
      </c>
      <c r="O3830" s="32">
        <f>0.00717*L3830</f>
        <v>0</v>
      </c>
      <c r="P3830" s="36"/>
      <c r="Q3830" s="29" t="s">
        <v>12753</v>
      </c>
      <c r="R3830" s="29"/>
      <c r="S3830" s="26" t="str">
        <f>HYPERLINK("https://miland.ru/api/getInfo/image/9c653cb9-e9a1-11ed-a233-00155d82e902")</f>
        <v>https://miland.ru/api/getInfo/image/9c653cb9-e9a1-11ed-a233-00155d82e902</v>
      </c>
    </row>
    <row r="3831" spans="1:19" s="2" customFormat="1" ht="96.2" customHeight="1" outlineLevel="4">
      <c r="A3831" s="52">
        <v>3034</v>
      </c>
      <c r="B3831" s="26" t="s">
        <v>12754</v>
      </c>
      <c r="C3831" s="66" t="s">
        <v>12755</v>
      </c>
      <c r="D3831" s="66"/>
      <c r="E3831" s="66"/>
      <c r="F3831" s="66"/>
      <c r="G3831" s="27" t="s">
        <v>12756</v>
      </c>
      <c r="H3831" s="33">
        <v>160</v>
      </c>
      <c r="I3831" s="29"/>
      <c r="J3831" s="25">
        <v>1</v>
      </c>
      <c r="K3831" s="30">
        <v>409.91</v>
      </c>
      <c r="L3831" s="17"/>
      <c r="M3831" s="29">
        <f t="shared" si="182"/>
        <v>0</v>
      </c>
      <c r="N3831" s="34">
        <f>0.23*L3831</f>
        <v>0</v>
      </c>
      <c r="O3831" s="32">
        <f>0.00207*L3831</f>
        <v>0</v>
      </c>
      <c r="P3831" s="36"/>
      <c r="Q3831" s="29" t="s">
        <v>12757</v>
      </c>
      <c r="R3831" s="29"/>
      <c r="S3831" s="26" t="str">
        <f>HYPERLINK("https://miland.ru/api/getInfo/image/771ed7b8-e9a4-11ed-a233-00155d82e902")</f>
        <v>https://miland.ru/api/getInfo/image/771ed7b8-e9a4-11ed-a233-00155d82e902</v>
      </c>
    </row>
    <row r="3832" spans="1:19" s="2" customFormat="1" ht="96.2" customHeight="1" outlineLevel="4">
      <c r="A3832" s="52">
        <v>3035</v>
      </c>
      <c r="B3832" s="26" t="s">
        <v>12758</v>
      </c>
      <c r="C3832" s="66" t="s">
        <v>12759</v>
      </c>
      <c r="D3832" s="66"/>
      <c r="E3832" s="66"/>
      <c r="F3832" s="66"/>
      <c r="G3832" s="27" t="s">
        <v>12760</v>
      </c>
      <c r="H3832" s="33">
        <v>155</v>
      </c>
      <c r="I3832" s="29"/>
      <c r="J3832" s="25">
        <v>1</v>
      </c>
      <c r="K3832" s="30">
        <v>409.91</v>
      </c>
      <c r="L3832" s="17"/>
      <c r="M3832" s="29">
        <f t="shared" si="182"/>
        <v>0</v>
      </c>
      <c r="N3832" s="31">
        <f>0.158*L3832</f>
        <v>0</v>
      </c>
      <c r="O3832" s="32">
        <f>0.00191*L3832</f>
        <v>0</v>
      </c>
      <c r="P3832" s="36"/>
      <c r="Q3832" s="29" t="s">
        <v>12761</v>
      </c>
      <c r="R3832" s="29"/>
      <c r="S3832" s="26" t="str">
        <f>HYPERLINK("https://miland.ru/api/getInfo/image/c4113e17-e9a4-11ed-a233-00155d82e902")</f>
        <v>https://miland.ru/api/getInfo/image/c4113e17-e9a4-11ed-a233-00155d82e902</v>
      </c>
    </row>
    <row r="3833" spans="1:19" s="2" customFormat="1" ht="96.2" customHeight="1" outlineLevel="4">
      <c r="A3833" s="52">
        <v>3036</v>
      </c>
      <c r="B3833" s="26" t="s">
        <v>12762</v>
      </c>
      <c r="C3833" s="66" t="s">
        <v>12763</v>
      </c>
      <c r="D3833" s="66"/>
      <c r="E3833" s="66"/>
      <c r="F3833" s="66"/>
      <c r="G3833" s="27" t="s">
        <v>12764</v>
      </c>
      <c r="H3833" s="33">
        <v>69</v>
      </c>
      <c r="I3833" s="29"/>
      <c r="J3833" s="25">
        <v>1</v>
      </c>
      <c r="K3833" s="30">
        <v>485.82</v>
      </c>
      <c r="L3833" s="17"/>
      <c r="M3833" s="29">
        <f t="shared" si="182"/>
        <v>0</v>
      </c>
      <c r="N3833" s="34">
        <f>0.21*L3833</f>
        <v>0</v>
      </c>
      <c r="O3833" s="32">
        <f>0.00323*L3833</f>
        <v>0</v>
      </c>
      <c r="P3833" s="36"/>
      <c r="Q3833" s="29" t="s">
        <v>12765</v>
      </c>
      <c r="R3833" s="29"/>
      <c r="S3833" s="26" t="str">
        <f>HYPERLINK("https://miland.ru/api/getInfo/image/25987532-e9a3-11ed-a233-00155d82e902")</f>
        <v>https://miland.ru/api/getInfo/image/25987532-e9a3-11ed-a233-00155d82e902</v>
      </c>
    </row>
    <row r="3834" spans="1:19" s="1" customFormat="1" ht="12" customHeight="1" outlineLevel="3">
      <c r="A3834" s="64" t="s">
        <v>12766</v>
      </c>
      <c r="B3834" s="64"/>
      <c r="C3834" s="64"/>
      <c r="D3834" s="64"/>
      <c r="E3834" s="64"/>
      <c r="F3834" s="64"/>
      <c r="G3834" s="8"/>
      <c r="H3834" s="12"/>
      <c r="I3834" s="2"/>
      <c r="J3834" s="2"/>
      <c r="K3834" s="13"/>
      <c r="L3834" s="2"/>
      <c r="M3834" s="2"/>
      <c r="N3834" s="2"/>
      <c r="O3834" s="2"/>
      <c r="P3834" s="2"/>
      <c r="Q3834" s="2"/>
      <c r="R3834" s="2"/>
      <c r="S3834" s="2"/>
    </row>
    <row r="3835" spans="1:19" s="1" customFormat="1" ht="12" customHeight="1" outlineLevel="4">
      <c r="A3835" s="64" t="s">
        <v>12767</v>
      </c>
      <c r="B3835" s="64"/>
      <c r="C3835" s="64"/>
      <c r="D3835" s="64"/>
      <c r="E3835" s="64"/>
      <c r="F3835" s="64"/>
      <c r="G3835" s="8"/>
      <c r="H3835" s="12"/>
      <c r="I3835" s="2"/>
      <c r="J3835" s="2"/>
      <c r="K3835" s="13"/>
      <c r="L3835" s="2"/>
      <c r="M3835" s="2"/>
      <c r="N3835" s="2"/>
      <c r="O3835" s="2"/>
      <c r="P3835" s="2"/>
      <c r="Q3835" s="2"/>
      <c r="R3835" s="2"/>
      <c r="S3835" s="2"/>
    </row>
    <row r="3836" spans="1:19" s="1" customFormat="1" ht="12" customHeight="1" outlineLevel="5">
      <c r="A3836" s="64" t="s">
        <v>12768</v>
      </c>
      <c r="B3836" s="64"/>
      <c r="C3836" s="64"/>
      <c r="D3836" s="64"/>
      <c r="E3836" s="64"/>
      <c r="F3836" s="64"/>
      <c r="G3836" s="8"/>
      <c r="H3836" s="12"/>
      <c r="I3836" s="2"/>
      <c r="J3836" s="2"/>
      <c r="K3836" s="13"/>
      <c r="L3836" s="2"/>
      <c r="M3836" s="2"/>
      <c r="N3836" s="2"/>
      <c r="O3836" s="2"/>
      <c r="P3836" s="2"/>
      <c r="Q3836" s="2"/>
      <c r="R3836" s="2"/>
      <c r="S3836" s="2"/>
    </row>
    <row r="3837" spans="1:19" s="2" customFormat="1" ht="96.2" customHeight="1" outlineLevel="6">
      <c r="A3837" s="53">
        <v>3037</v>
      </c>
      <c r="B3837" s="10" t="s">
        <v>12769</v>
      </c>
      <c r="C3837" s="65" t="s">
        <v>12770</v>
      </c>
      <c r="D3837" s="65"/>
      <c r="E3837" s="65"/>
      <c r="F3837" s="65"/>
      <c r="G3837" s="11" t="s">
        <v>12771</v>
      </c>
      <c r="H3837" s="14">
        <v>113</v>
      </c>
      <c r="I3837" s="15"/>
      <c r="J3837" s="9">
        <v>1</v>
      </c>
      <c r="K3837" s="16">
        <v>896.15</v>
      </c>
      <c r="L3837" s="17"/>
      <c r="M3837" s="15">
        <f>K3837*L3837</f>
        <v>0</v>
      </c>
      <c r="N3837" s="18">
        <f>0.236*L3837</f>
        <v>0</v>
      </c>
      <c r="O3837" s="19">
        <f>0.00238*L3837</f>
        <v>0</v>
      </c>
      <c r="P3837" s="24" t="s">
        <v>26</v>
      </c>
      <c r="Q3837" s="15" t="s">
        <v>12772</v>
      </c>
      <c r="R3837" s="15"/>
      <c r="S3837" s="10" t="str">
        <f>HYPERLINK("https://miland.ru/api/getInfo/image/14527281-af15-11f0-a286-00155d82e908")</f>
        <v>https://miland.ru/api/getInfo/image/14527281-af15-11f0-a286-00155d82e908</v>
      </c>
    </row>
    <row r="3838" spans="1:19" s="2" customFormat="1" ht="96.2" customHeight="1" outlineLevel="6">
      <c r="A3838" s="52">
        <v>3038</v>
      </c>
      <c r="B3838" s="26" t="s">
        <v>12773</v>
      </c>
      <c r="C3838" s="66" t="s">
        <v>12774</v>
      </c>
      <c r="D3838" s="66"/>
      <c r="E3838" s="66"/>
      <c r="F3838" s="66"/>
      <c r="G3838" s="27" t="s">
        <v>12775</v>
      </c>
      <c r="H3838" s="33">
        <v>1</v>
      </c>
      <c r="I3838" s="29"/>
      <c r="J3838" s="25">
        <v>1</v>
      </c>
      <c r="K3838" s="30">
        <v>975.85</v>
      </c>
      <c r="L3838" s="17"/>
      <c r="M3838" s="29">
        <f>K3838*L3838</f>
        <v>0</v>
      </c>
      <c r="N3838" s="34">
        <f>0.24*L3838</f>
        <v>0</v>
      </c>
      <c r="O3838" s="32">
        <f>0.00194*L3838</f>
        <v>0</v>
      </c>
      <c r="P3838" s="36"/>
      <c r="Q3838" s="29" t="s">
        <v>12776</v>
      </c>
      <c r="R3838" s="29" t="s">
        <v>611</v>
      </c>
      <c r="S3838" s="26" t="str">
        <f>HYPERLINK("https://miland.ru/api/getInfo/image/bf9d6128-f648-11ee-a25b-00155d82e908")</f>
        <v>https://miland.ru/api/getInfo/image/bf9d6128-f648-11ee-a25b-00155d82e908</v>
      </c>
    </row>
    <row r="3839" spans="1:19" s="1" customFormat="1" ht="12" customHeight="1" outlineLevel="5">
      <c r="A3839" s="64" t="s">
        <v>12777</v>
      </c>
      <c r="B3839" s="64"/>
      <c r="C3839" s="64"/>
      <c r="D3839" s="64"/>
      <c r="E3839" s="64"/>
      <c r="F3839" s="64"/>
      <c r="G3839" s="8"/>
      <c r="H3839" s="12"/>
      <c r="I3839" s="2"/>
      <c r="J3839" s="2"/>
      <c r="K3839" s="13"/>
      <c r="L3839" s="2"/>
      <c r="M3839" s="2"/>
      <c r="N3839" s="2"/>
      <c r="O3839" s="2"/>
      <c r="P3839" s="2"/>
      <c r="Q3839" s="2"/>
      <c r="R3839" s="2"/>
      <c r="S3839" s="2"/>
    </row>
    <row r="3840" spans="1:19" s="2" customFormat="1" ht="96.2" customHeight="1" outlineLevel="6">
      <c r="A3840" s="53">
        <v>3039</v>
      </c>
      <c r="B3840" s="10" t="s">
        <v>12778</v>
      </c>
      <c r="C3840" s="65" t="s">
        <v>12779</v>
      </c>
      <c r="D3840" s="65"/>
      <c r="E3840" s="65"/>
      <c r="F3840" s="65"/>
      <c r="G3840" s="11" t="s">
        <v>12780</v>
      </c>
      <c r="H3840" s="14">
        <v>207</v>
      </c>
      <c r="I3840" s="15"/>
      <c r="J3840" s="9">
        <v>3</v>
      </c>
      <c r="K3840" s="16">
        <v>220.82</v>
      </c>
      <c r="L3840" s="17"/>
      <c r="M3840" s="15">
        <f>K3840*L3840</f>
        <v>0</v>
      </c>
      <c r="N3840" s="18">
        <f>0.132*L3840</f>
        <v>0</v>
      </c>
      <c r="O3840" s="19">
        <f>0.00168*L3840</f>
        <v>0</v>
      </c>
      <c r="P3840" s="24" t="s">
        <v>26</v>
      </c>
      <c r="Q3840" s="15" t="s">
        <v>12781</v>
      </c>
      <c r="R3840" s="15"/>
      <c r="S3840" s="10" t="str">
        <f>HYPERLINK("https://miland.ru/api/getInfo/image/b91ff109-af18-11f0-a286-00155d82e908")</f>
        <v>https://miland.ru/api/getInfo/image/b91ff109-af18-11f0-a286-00155d82e908</v>
      </c>
    </row>
    <row r="3841" spans="1:19" s="2" customFormat="1" ht="96.2" customHeight="1" outlineLevel="6">
      <c r="A3841" s="53">
        <v>3040</v>
      </c>
      <c r="B3841" s="10" t="s">
        <v>12782</v>
      </c>
      <c r="C3841" s="65" t="s">
        <v>12783</v>
      </c>
      <c r="D3841" s="65"/>
      <c r="E3841" s="65"/>
      <c r="F3841" s="65"/>
      <c r="G3841" s="11" t="s">
        <v>12784</v>
      </c>
      <c r="H3841" s="14">
        <v>18</v>
      </c>
      <c r="I3841" s="15"/>
      <c r="J3841" s="9">
        <v>3</v>
      </c>
      <c r="K3841" s="16">
        <v>220.82</v>
      </c>
      <c r="L3841" s="17"/>
      <c r="M3841" s="15">
        <f>K3841*L3841</f>
        <v>0</v>
      </c>
      <c r="N3841" s="18">
        <f>0.106*L3841</f>
        <v>0</v>
      </c>
      <c r="O3841" s="19">
        <f>0.00163*L3841</f>
        <v>0</v>
      </c>
      <c r="P3841" s="24" t="s">
        <v>26</v>
      </c>
      <c r="Q3841" s="15" t="s">
        <v>12785</v>
      </c>
      <c r="R3841" s="15"/>
      <c r="S3841" s="10" t="str">
        <f>HYPERLINK("https://miland.ru/api/getInfo/image/a294e8c4-af18-11f0-a286-00155d82e908")</f>
        <v>https://miland.ru/api/getInfo/image/a294e8c4-af18-11f0-a286-00155d82e908</v>
      </c>
    </row>
    <row r="3842" spans="1:19" s="1" customFormat="1" ht="12" customHeight="1" outlineLevel="5">
      <c r="A3842" s="64" t="s">
        <v>12786</v>
      </c>
      <c r="B3842" s="64"/>
      <c r="C3842" s="64"/>
      <c r="D3842" s="64"/>
      <c r="E3842" s="64"/>
      <c r="F3842" s="64"/>
      <c r="G3842" s="8"/>
      <c r="H3842" s="12"/>
      <c r="I3842" s="2"/>
      <c r="J3842" s="2"/>
      <c r="K3842" s="13"/>
      <c r="L3842" s="2"/>
      <c r="M3842" s="2"/>
      <c r="N3842" s="2"/>
      <c r="O3842" s="2"/>
      <c r="P3842" s="2"/>
      <c r="Q3842" s="2"/>
      <c r="R3842" s="2"/>
      <c r="S3842" s="2"/>
    </row>
    <row r="3843" spans="1:19" s="2" customFormat="1" ht="96.2" customHeight="1" outlineLevel="6">
      <c r="A3843" s="52">
        <v>3041</v>
      </c>
      <c r="B3843" s="26" t="s">
        <v>12787</v>
      </c>
      <c r="C3843" s="66" t="s">
        <v>12788</v>
      </c>
      <c r="D3843" s="66"/>
      <c r="E3843" s="66"/>
      <c r="F3843" s="66"/>
      <c r="G3843" s="27" t="s">
        <v>12789</v>
      </c>
      <c r="H3843" s="33">
        <v>38</v>
      </c>
      <c r="I3843" s="29"/>
      <c r="J3843" s="25">
        <v>3</v>
      </c>
      <c r="K3843" s="30">
        <v>191.57</v>
      </c>
      <c r="L3843" s="17"/>
      <c r="M3843" s="29">
        <f>K3843*L3843</f>
        <v>0</v>
      </c>
      <c r="N3843" s="31">
        <f>0.055*L3843</f>
        <v>0</v>
      </c>
      <c r="O3843" s="32">
        <f>0.00163*L3843</f>
        <v>0</v>
      </c>
      <c r="P3843" s="36"/>
      <c r="Q3843" s="29" t="s">
        <v>12790</v>
      </c>
      <c r="R3843" s="29" t="s">
        <v>611</v>
      </c>
      <c r="S3843" s="26" t="str">
        <f>HYPERLINK("https://miland.ru/api/getInfo/image/f82681c7-f64d-11ee-a25c-00155d82e908")</f>
        <v>https://miland.ru/api/getInfo/image/f82681c7-f64d-11ee-a25c-00155d82e908</v>
      </c>
    </row>
    <row r="3844" spans="1:19" s="1" customFormat="1" ht="12" customHeight="1" outlineLevel="4">
      <c r="A3844" s="64" t="s">
        <v>12791</v>
      </c>
      <c r="B3844" s="64"/>
      <c r="C3844" s="64"/>
      <c r="D3844" s="64"/>
      <c r="E3844" s="64"/>
      <c r="F3844" s="64"/>
      <c r="G3844" s="8"/>
      <c r="H3844" s="12"/>
      <c r="I3844" s="2"/>
      <c r="J3844" s="2"/>
      <c r="K3844" s="13"/>
      <c r="L3844" s="2"/>
      <c r="M3844" s="2"/>
      <c r="N3844" s="2"/>
      <c r="O3844" s="2"/>
      <c r="P3844" s="2"/>
      <c r="Q3844" s="2"/>
      <c r="R3844" s="2"/>
      <c r="S3844" s="2"/>
    </row>
    <row r="3845" spans="1:19" s="2" customFormat="1" ht="96.2" customHeight="1" outlineLevel="5">
      <c r="A3845" s="52">
        <v>3042</v>
      </c>
      <c r="B3845" s="26" t="s">
        <v>12792</v>
      </c>
      <c r="C3845" s="66" t="s">
        <v>12793</v>
      </c>
      <c r="D3845" s="66"/>
      <c r="E3845" s="66"/>
      <c r="F3845" s="66"/>
      <c r="G3845" s="27" t="s">
        <v>12794</v>
      </c>
      <c r="H3845" s="33">
        <v>9</v>
      </c>
      <c r="I3845" s="29"/>
      <c r="J3845" s="25">
        <v>1</v>
      </c>
      <c r="K3845" s="37">
        <v>1530.91</v>
      </c>
      <c r="L3845" s="17"/>
      <c r="M3845" s="29">
        <f>K3845*L3845</f>
        <v>0</v>
      </c>
      <c r="N3845" s="31">
        <f>0.674*L3845</f>
        <v>0</v>
      </c>
      <c r="O3845" s="32">
        <f>0.00543*L3845</f>
        <v>0</v>
      </c>
      <c r="P3845" s="36"/>
      <c r="Q3845" s="29" t="s">
        <v>12795</v>
      </c>
      <c r="R3845" s="29" t="s">
        <v>611</v>
      </c>
      <c r="S3845" s="26" t="str">
        <f>HYPERLINK("https://miland.ru/api/getInfo/image/604a62b3-5b26-11f0-a281-00155d82e908")</f>
        <v>https://miland.ru/api/getInfo/image/604a62b3-5b26-11f0-a281-00155d82e908</v>
      </c>
    </row>
    <row r="3846" spans="1:19" s="2" customFormat="1" ht="96.2" customHeight="1" outlineLevel="5">
      <c r="A3846" s="52">
        <v>3043</v>
      </c>
      <c r="B3846" s="26" t="s">
        <v>12796</v>
      </c>
      <c r="C3846" s="66" t="s">
        <v>12797</v>
      </c>
      <c r="D3846" s="66"/>
      <c r="E3846" s="66"/>
      <c r="F3846" s="66"/>
      <c r="G3846" s="27" t="s">
        <v>12798</v>
      </c>
      <c r="H3846" s="33">
        <v>1</v>
      </c>
      <c r="I3846" s="29"/>
      <c r="J3846" s="25">
        <v>1</v>
      </c>
      <c r="K3846" s="37">
        <v>1698.35</v>
      </c>
      <c r="L3846" s="17"/>
      <c r="M3846" s="29">
        <f>K3846*L3846</f>
        <v>0</v>
      </c>
      <c r="N3846" s="31">
        <f>0.714*L3846</f>
        <v>0</v>
      </c>
      <c r="O3846" s="32">
        <f>0.00564*L3846</f>
        <v>0</v>
      </c>
      <c r="P3846" s="36"/>
      <c r="Q3846" s="29" t="s">
        <v>12799</v>
      </c>
      <c r="R3846" s="29" t="s">
        <v>611</v>
      </c>
      <c r="S3846" s="26" t="str">
        <f>HYPERLINK("https://miland.ru/api/getInfo/image/b9bfd67d-5b26-11f0-a281-00155d82e908")</f>
        <v>https://miland.ru/api/getInfo/image/b9bfd67d-5b26-11f0-a281-00155d82e908</v>
      </c>
    </row>
    <row r="3847" spans="1:19" s="2" customFormat="1" ht="96.2" customHeight="1" outlineLevel="5">
      <c r="A3847" s="52">
        <v>3044</v>
      </c>
      <c r="B3847" s="26" t="s">
        <v>12800</v>
      </c>
      <c r="C3847" s="66" t="s">
        <v>12801</v>
      </c>
      <c r="D3847" s="66"/>
      <c r="E3847" s="66"/>
      <c r="F3847" s="66"/>
      <c r="G3847" s="27" t="s">
        <v>12802</v>
      </c>
      <c r="H3847" s="33">
        <v>5</v>
      </c>
      <c r="I3847" s="29"/>
      <c r="J3847" s="25">
        <v>1</v>
      </c>
      <c r="K3847" s="37">
        <v>1411.3</v>
      </c>
      <c r="L3847" s="17"/>
      <c r="M3847" s="29">
        <f>K3847*L3847</f>
        <v>0</v>
      </c>
      <c r="N3847" s="31">
        <f>0.717*L3847</f>
        <v>0</v>
      </c>
      <c r="O3847" s="32">
        <f>0.00498*L3847</f>
        <v>0</v>
      </c>
      <c r="P3847" s="36"/>
      <c r="Q3847" s="29" t="s">
        <v>12803</v>
      </c>
      <c r="R3847" s="29" t="s">
        <v>611</v>
      </c>
      <c r="S3847" s="26" t="str">
        <f>HYPERLINK("https://miland.ru/api/getInfo/image/fd1223e3-5b26-11f0-a281-00155d82e908")</f>
        <v>https://miland.ru/api/getInfo/image/fd1223e3-5b26-11f0-a281-00155d82e908</v>
      </c>
    </row>
    <row r="3848" spans="1:19" s="2" customFormat="1" ht="96.2" customHeight="1" outlineLevel="5">
      <c r="A3848" s="52">
        <v>3045</v>
      </c>
      <c r="B3848" s="26" t="s">
        <v>12804</v>
      </c>
      <c r="C3848" s="66" t="s">
        <v>12805</v>
      </c>
      <c r="D3848" s="66"/>
      <c r="E3848" s="66"/>
      <c r="F3848" s="66"/>
      <c r="G3848" s="27" t="s">
        <v>12806</v>
      </c>
      <c r="H3848" s="33">
        <v>4</v>
      </c>
      <c r="I3848" s="29"/>
      <c r="J3848" s="25">
        <v>1</v>
      </c>
      <c r="K3848" s="37">
        <v>1530.91</v>
      </c>
      <c r="L3848" s="17"/>
      <c r="M3848" s="29">
        <f>K3848*L3848</f>
        <v>0</v>
      </c>
      <c r="N3848" s="31">
        <f>0.691*L3848</f>
        <v>0</v>
      </c>
      <c r="O3848" s="35">
        <f>0.0052*L3848</f>
        <v>0</v>
      </c>
      <c r="P3848" s="36"/>
      <c r="Q3848" s="29" t="s">
        <v>12807</v>
      </c>
      <c r="R3848" s="29" t="s">
        <v>611</v>
      </c>
      <c r="S3848" s="26" t="str">
        <f>HYPERLINK("https://miland.ru/api/getInfo/image/16c4177c-5b26-11f0-a281-00155d82e908")</f>
        <v>https://miland.ru/api/getInfo/image/16c4177c-5b26-11f0-a281-00155d82e908</v>
      </c>
    </row>
    <row r="3849" spans="1:19" s="1" customFormat="1" ht="12" customHeight="1" outlineLevel="4">
      <c r="A3849" s="64" t="s">
        <v>12808</v>
      </c>
      <c r="B3849" s="64"/>
      <c r="C3849" s="64"/>
      <c r="D3849" s="64"/>
      <c r="E3849" s="64"/>
      <c r="F3849" s="64"/>
      <c r="G3849" s="8"/>
      <c r="H3849" s="12"/>
      <c r="I3849" s="2"/>
      <c r="J3849" s="2"/>
      <c r="K3849" s="13"/>
      <c r="L3849" s="2"/>
      <c r="M3849" s="2"/>
      <c r="N3849" s="2"/>
      <c r="O3849" s="2"/>
      <c r="P3849" s="2"/>
      <c r="Q3849" s="2"/>
      <c r="R3849" s="2"/>
      <c r="S3849" s="2"/>
    </row>
    <row r="3850" spans="1:19" s="2" customFormat="1" ht="96.2" customHeight="1" outlineLevel="5">
      <c r="A3850" s="52">
        <v>3046</v>
      </c>
      <c r="B3850" s="26" t="s">
        <v>12809</v>
      </c>
      <c r="C3850" s="66" t="s">
        <v>12810</v>
      </c>
      <c r="D3850" s="66"/>
      <c r="E3850" s="66"/>
      <c r="F3850" s="66"/>
      <c r="G3850" s="27" t="s">
        <v>12811</v>
      </c>
      <c r="H3850" s="33">
        <v>4</v>
      </c>
      <c r="I3850" s="29"/>
      <c r="J3850" s="25">
        <v>1</v>
      </c>
      <c r="K3850" s="30">
        <v>767.52</v>
      </c>
      <c r="L3850" s="17"/>
      <c r="M3850" s="29">
        <f t="shared" ref="M3850:M3857" si="183">K3850*L3850</f>
        <v>0</v>
      </c>
      <c r="N3850" s="31">
        <f>0.224*L3850</f>
        <v>0</v>
      </c>
      <c r="O3850" s="32">
        <f>0.00152*L3850</f>
        <v>0</v>
      </c>
      <c r="P3850" s="36"/>
      <c r="Q3850" s="29" t="s">
        <v>12812</v>
      </c>
      <c r="R3850" s="29"/>
      <c r="S3850" s="26" t="str">
        <f>HYPERLINK("https://miland.ru/api/getInfo/image/5a1d209b-f649-11ee-a25b-00155d82e908")</f>
        <v>https://miland.ru/api/getInfo/image/5a1d209b-f649-11ee-a25b-00155d82e908</v>
      </c>
    </row>
    <row r="3851" spans="1:19" s="2" customFormat="1" ht="96.2" customHeight="1" outlineLevel="5">
      <c r="A3851" s="52">
        <v>3047</v>
      </c>
      <c r="B3851" s="26" t="s">
        <v>12813</v>
      </c>
      <c r="C3851" s="66" t="s">
        <v>12814</v>
      </c>
      <c r="D3851" s="66"/>
      <c r="E3851" s="66"/>
      <c r="F3851" s="66"/>
      <c r="G3851" s="27" t="s">
        <v>12815</v>
      </c>
      <c r="H3851" s="33">
        <v>5</v>
      </c>
      <c r="I3851" s="29"/>
      <c r="J3851" s="25">
        <v>1</v>
      </c>
      <c r="K3851" s="37">
        <v>1169.56</v>
      </c>
      <c r="L3851" s="17"/>
      <c r="M3851" s="29">
        <f t="shared" si="183"/>
        <v>0</v>
      </c>
      <c r="N3851" s="31">
        <f>0.194*L3851</f>
        <v>0</v>
      </c>
      <c r="O3851" s="32">
        <f>0.00127*L3851</f>
        <v>0</v>
      </c>
      <c r="P3851" s="36"/>
      <c r="Q3851" s="29" t="s">
        <v>12816</v>
      </c>
      <c r="R3851" s="29" t="s">
        <v>611</v>
      </c>
      <c r="S3851" s="26" t="str">
        <f>HYPERLINK("https://miland.ru/api/getInfo/image/cdf013e1-f64a-11ee-a25b-00155d82e908")</f>
        <v>https://miland.ru/api/getInfo/image/cdf013e1-f64a-11ee-a25b-00155d82e908</v>
      </c>
    </row>
    <row r="3852" spans="1:19" s="2" customFormat="1" ht="96.2" customHeight="1" outlineLevel="5">
      <c r="A3852" s="52">
        <v>3048</v>
      </c>
      <c r="B3852" s="26" t="s">
        <v>12817</v>
      </c>
      <c r="C3852" s="66" t="s">
        <v>12818</v>
      </c>
      <c r="D3852" s="66"/>
      <c r="E3852" s="66"/>
      <c r="F3852" s="66"/>
      <c r="G3852" s="27" t="s">
        <v>12819</v>
      </c>
      <c r="H3852" s="33">
        <v>1</v>
      </c>
      <c r="I3852" s="29"/>
      <c r="J3852" s="25">
        <v>1</v>
      </c>
      <c r="K3852" s="30">
        <v>879.69</v>
      </c>
      <c r="L3852" s="17"/>
      <c r="M3852" s="29">
        <f t="shared" si="183"/>
        <v>0</v>
      </c>
      <c r="N3852" s="31">
        <f>0.232*L3852</f>
        <v>0</v>
      </c>
      <c r="O3852" s="32">
        <f>0.00209*L3852</f>
        <v>0</v>
      </c>
      <c r="P3852" s="36"/>
      <c r="Q3852" s="29" t="s">
        <v>12820</v>
      </c>
      <c r="R3852" s="29" t="s">
        <v>611</v>
      </c>
      <c r="S3852" s="26" t="str">
        <f>HYPERLINK("https://miland.ru/api/getInfo/image/8a058941-f649-11ee-a25b-00155d82e908")</f>
        <v>https://miland.ru/api/getInfo/image/8a058941-f649-11ee-a25b-00155d82e908</v>
      </c>
    </row>
    <row r="3853" spans="1:19" s="2" customFormat="1" ht="96.2" customHeight="1" outlineLevel="5">
      <c r="A3853" s="52">
        <v>3049</v>
      </c>
      <c r="B3853" s="26" t="s">
        <v>12821</v>
      </c>
      <c r="C3853" s="66" t="s">
        <v>12822</v>
      </c>
      <c r="D3853" s="66"/>
      <c r="E3853" s="66"/>
      <c r="F3853" s="66"/>
      <c r="G3853" s="27" t="s">
        <v>12823</v>
      </c>
      <c r="H3853" s="33">
        <v>1</v>
      </c>
      <c r="I3853" s="29"/>
      <c r="J3853" s="25">
        <v>1</v>
      </c>
      <c r="K3853" s="30">
        <v>824.7</v>
      </c>
      <c r="L3853" s="17"/>
      <c r="M3853" s="29">
        <f t="shared" si="183"/>
        <v>0</v>
      </c>
      <c r="N3853" s="34">
        <f>0.22*L3853</f>
        <v>0</v>
      </c>
      <c r="O3853" s="32">
        <f>0.00213*L3853</f>
        <v>0</v>
      </c>
      <c r="P3853" s="36"/>
      <c r="Q3853" s="29" t="s">
        <v>12824</v>
      </c>
      <c r="R3853" s="29"/>
      <c r="S3853" s="26" t="str">
        <f>HYPERLINK("https://miland.ru/api/getInfo/image/217a5d19-f64b-11ee-a25b-00155d82e908")</f>
        <v>https://miland.ru/api/getInfo/image/217a5d19-f64b-11ee-a25b-00155d82e908</v>
      </c>
    </row>
    <row r="3854" spans="1:19" s="2" customFormat="1" ht="96.2" customHeight="1" outlineLevel="5">
      <c r="A3854" s="52">
        <v>3050</v>
      </c>
      <c r="B3854" s="26" t="s">
        <v>12825</v>
      </c>
      <c r="C3854" s="66" t="s">
        <v>12826</v>
      </c>
      <c r="D3854" s="66"/>
      <c r="E3854" s="66"/>
      <c r="F3854" s="66"/>
      <c r="G3854" s="27" t="s">
        <v>12827</v>
      </c>
      <c r="H3854" s="33">
        <v>2</v>
      </c>
      <c r="I3854" s="29"/>
      <c r="J3854" s="25">
        <v>1</v>
      </c>
      <c r="K3854" s="37">
        <v>1154.58</v>
      </c>
      <c r="L3854" s="17"/>
      <c r="M3854" s="29">
        <f t="shared" si="183"/>
        <v>0</v>
      </c>
      <c r="N3854" s="34">
        <f>0.27*L3854</f>
        <v>0</v>
      </c>
      <c r="O3854" s="32">
        <f>0.00196*L3854</f>
        <v>0</v>
      </c>
      <c r="P3854" s="36"/>
      <c r="Q3854" s="29" t="s">
        <v>12828</v>
      </c>
      <c r="R3854" s="29" t="s">
        <v>611</v>
      </c>
      <c r="S3854" s="26" t="str">
        <f>HYPERLINK("https://miland.ru/api/getInfo/image/168ba2bb-f649-11ee-a25b-00155d82e908")</f>
        <v>https://miland.ru/api/getInfo/image/168ba2bb-f649-11ee-a25b-00155d82e908</v>
      </c>
    </row>
    <row r="3855" spans="1:19" s="2" customFormat="1" ht="96.2" customHeight="1" outlineLevel="5">
      <c r="A3855" s="52">
        <v>3051</v>
      </c>
      <c r="B3855" s="26" t="s">
        <v>12829</v>
      </c>
      <c r="C3855" s="66" t="s">
        <v>12830</v>
      </c>
      <c r="D3855" s="66"/>
      <c r="E3855" s="66"/>
      <c r="F3855" s="66"/>
      <c r="G3855" s="27" t="s">
        <v>12831</v>
      </c>
      <c r="H3855" s="33">
        <v>2</v>
      </c>
      <c r="I3855" s="29"/>
      <c r="J3855" s="25">
        <v>1</v>
      </c>
      <c r="K3855" s="37">
        <v>1241.9000000000001</v>
      </c>
      <c r="L3855" s="17"/>
      <c r="M3855" s="29">
        <f t="shared" si="183"/>
        <v>0</v>
      </c>
      <c r="N3855" s="31">
        <f>0.217*L3855</f>
        <v>0</v>
      </c>
      <c r="O3855" s="32">
        <f>0.00156*L3855</f>
        <v>0</v>
      </c>
      <c r="P3855" s="36"/>
      <c r="Q3855" s="29" t="s">
        <v>12832</v>
      </c>
      <c r="R3855" s="29" t="s">
        <v>611</v>
      </c>
      <c r="S3855" s="26" t="str">
        <f>HYPERLINK("https://miland.ru/api/getInfo/image/b636a495-f649-11ee-a25b-00155d82e908")</f>
        <v>https://miland.ru/api/getInfo/image/b636a495-f649-11ee-a25b-00155d82e908</v>
      </c>
    </row>
    <row r="3856" spans="1:19" s="2" customFormat="1" ht="96.2" customHeight="1" outlineLevel="5">
      <c r="A3856" s="52">
        <v>3052</v>
      </c>
      <c r="B3856" s="26" t="s">
        <v>12833</v>
      </c>
      <c r="C3856" s="66" t="s">
        <v>12834</v>
      </c>
      <c r="D3856" s="66"/>
      <c r="E3856" s="66"/>
      <c r="F3856" s="66"/>
      <c r="G3856" s="27" t="s">
        <v>12835</v>
      </c>
      <c r="H3856" s="33">
        <v>2</v>
      </c>
      <c r="I3856" s="29"/>
      <c r="J3856" s="25">
        <v>1</v>
      </c>
      <c r="K3856" s="37">
        <v>1448.89</v>
      </c>
      <c r="L3856" s="17"/>
      <c r="M3856" s="29">
        <f t="shared" si="183"/>
        <v>0</v>
      </c>
      <c r="N3856" s="31">
        <f>0.236*L3856</f>
        <v>0</v>
      </c>
      <c r="O3856" s="32">
        <f>0.00173*L3856</f>
        <v>0</v>
      </c>
      <c r="P3856" s="36"/>
      <c r="Q3856" s="29" t="s">
        <v>12836</v>
      </c>
      <c r="R3856" s="29" t="s">
        <v>611</v>
      </c>
      <c r="S3856" s="26" t="str">
        <f>HYPERLINK("https://miland.ru/api/getInfo/image/726f4d57-f64a-11ee-a25b-00155d82e908")</f>
        <v>https://miland.ru/api/getInfo/image/726f4d57-f64a-11ee-a25b-00155d82e908</v>
      </c>
    </row>
    <row r="3857" spans="1:19" s="2" customFormat="1" ht="96.2" customHeight="1" outlineLevel="5">
      <c r="A3857" s="52">
        <v>3053</v>
      </c>
      <c r="B3857" s="26" t="s">
        <v>12837</v>
      </c>
      <c r="C3857" s="66" t="s">
        <v>12838</v>
      </c>
      <c r="D3857" s="66"/>
      <c r="E3857" s="66"/>
      <c r="F3857" s="66"/>
      <c r="G3857" s="27" t="s">
        <v>12839</v>
      </c>
      <c r="H3857" s="33">
        <v>4</v>
      </c>
      <c r="I3857" s="29"/>
      <c r="J3857" s="25">
        <v>1</v>
      </c>
      <c r="K3857" s="30">
        <v>986.81</v>
      </c>
      <c r="L3857" s="17"/>
      <c r="M3857" s="29">
        <f t="shared" si="183"/>
        <v>0</v>
      </c>
      <c r="N3857" s="31">
        <f>0.251*L3857</f>
        <v>0</v>
      </c>
      <c r="O3857" s="32">
        <f>0.00152*L3857</f>
        <v>0</v>
      </c>
      <c r="P3857" s="36"/>
      <c r="Q3857" s="29" t="s">
        <v>12840</v>
      </c>
      <c r="R3857" s="29" t="s">
        <v>611</v>
      </c>
      <c r="S3857" s="26" t="str">
        <f>HYPERLINK("https://miland.ru/api/getInfo/image/3ddedf3a-f64a-11ee-a25b-00155d82e908")</f>
        <v>https://miland.ru/api/getInfo/image/3ddedf3a-f64a-11ee-a25b-00155d82e908</v>
      </c>
    </row>
    <row r="3858" spans="1:19" s="1" customFormat="1" ht="12" customHeight="1" outlineLevel="4">
      <c r="A3858" s="64" t="s">
        <v>12841</v>
      </c>
      <c r="B3858" s="64"/>
      <c r="C3858" s="64"/>
      <c r="D3858" s="64"/>
      <c r="E3858" s="64"/>
      <c r="F3858" s="64"/>
      <c r="G3858" s="8"/>
      <c r="H3858" s="12"/>
      <c r="I3858" s="2"/>
      <c r="J3858" s="2"/>
      <c r="K3858" s="13"/>
      <c r="L3858" s="2"/>
      <c r="M3858" s="2"/>
      <c r="N3858" s="2"/>
      <c r="O3858" s="2"/>
      <c r="P3858" s="2"/>
      <c r="Q3858" s="2"/>
      <c r="R3858" s="2"/>
      <c r="S3858" s="2"/>
    </row>
    <row r="3859" spans="1:19" s="2" customFormat="1" ht="96.2" customHeight="1" outlineLevel="5">
      <c r="A3859" s="52">
        <v>3054</v>
      </c>
      <c r="B3859" s="26" t="s">
        <v>12842</v>
      </c>
      <c r="C3859" s="66" t="s">
        <v>12843</v>
      </c>
      <c r="D3859" s="66"/>
      <c r="E3859" s="66"/>
      <c r="F3859" s="66"/>
      <c r="G3859" s="27" t="s">
        <v>12844</v>
      </c>
      <c r="H3859" s="33">
        <v>3</v>
      </c>
      <c r="I3859" s="29"/>
      <c r="J3859" s="25">
        <v>1</v>
      </c>
      <c r="K3859" s="37">
        <v>1623.76</v>
      </c>
      <c r="L3859" s="17"/>
      <c r="M3859" s="29">
        <f>K3859*L3859</f>
        <v>0</v>
      </c>
      <c r="N3859" s="31">
        <f>3.727*L3859</f>
        <v>0</v>
      </c>
      <c r="O3859" s="32">
        <f>0.02419*L3859</f>
        <v>0</v>
      </c>
      <c r="P3859" s="36"/>
      <c r="Q3859" s="29" t="s">
        <v>12845</v>
      </c>
      <c r="R3859" s="29"/>
      <c r="S3859" s="26" t="str">
        <f>HYPERLINK("https://miland.ru/api/getInfo/image/7e730e99-8919-11ee-a24a-00155d82e902")</f>
        <v>https://miland.ru/api/getInfo/image/7e730e99-8919-11ee-a24a-00155d82e902</v>
      </c>
    </row>
    <row r="3860" spans="1:19" s="1" customFormat="1" ht="12" customHeight="1" outlineLevel="3">
      <c r="A3860" s="64" t="s">
        <v>12846</v>
      </c>
      <c r="B3860" s="64"/>
      <c r="C3860" s="64"/>
      <c r="D3860" s="64"/>
      <c r="E3860" s="64"/>
      <c r="F3860" s="64"/>
      <c r="G3860" s="8"/>
      <c r="H3860" s="12"/>
      <c r="I3860" s="2"/>
      <c r="J3860" s="2"/>
      <c r="K3860" s="13"/>
      <c r="L3860" s="2"/>
      <c r="M3860" s="2"/>
      <c r="N3860" s="2"/>
      <c r="O3860" s="2"/>
      <c r="P3860" s="2"/>
      <c r="Q3860" s="2"/>
      <c r="R3860" s="2"/>
      <c r="S3860" s="2"/>
    </row>
    <row r="3861" spans="1:19" s="1" customFormat="1" ht="12" customHeight="1" outlineLevel="4">
      <c r="A3861" s="64" t="s">
        <v>12847</v>
      </c>
      <c r="B3861" s="64"/>
      <c r="C3861" s="64"/>
      <c r="D3861" s="64"/>
      <c r="E3861" s="64"/>
      <c r="F3861" s="64"/>
      <c r="G3861" s="8"/>
      <c r="H3861" s="12"/>
      <c r="I3861" s="2"/>
      <c r="J3861" s="2"/>
      <c r="K3861" s="13"/>
      <c r="L3861" s="2"/>
      <c r="M3861" s="2"/>
      <c r="N3861" s="2"/>
      <c r="O3861" s="2"/>
      <c r="P3861" s="2"/>
      <c r="Q3861" s="2"/>
      <c r="R3861" s="2"/>
      <c r="S3861" s="2"/>
    </row>
    <row r="3862" spans="1:19" s="2" customFormat="1" ht="96.2" customHeight="1" outlineLevel="5">
      <c r="A3862" s="52">
        <v>3055</v>
      </c>
      <c r="B3862" s="26" t="s">
        <v>12848</v>
      </c>
      <c r="C3862" s="66" t="s">
        <v>12849</v>
      </c>
      <c r="D3862" s="66"/>
      <c r="E3862" s="66"/>
      <c r="F3862" s="66"/>
      <c r="G3862" s="27" t="s">
        <v>12850</v>
      </c>
      <c r="H3862" s="33">
        <v>1</v>
      </c>
      <c r="I3862" s="29"/>
      <c r="J3862" s="25">
        <v>1</v>
      </c>
      <c r="K3862" s="30">
        <v>302.72000000000003</v>
      </c>
      <c r="L3862" s="17"/>
      <c r="M3862" s="29">
        <f>K3862*L3862</f>
        <v>0</v>
      </c>
      <c r="N3862" s="31">
        <f>0.141*L3862</f>
        <v>0</v>
      </c>
      <c r="O3862" s="32">
        <f>0.00021*L3862</f>
        <v>0</v>
      </c>
      <c r="P3862" s="36"/>
      <c r="Q3862" s="29" t="s">
        <v>12851</v>
      </c>
      <c r="R3862" s="29" t="s">
        <v>611</v>
      </c>
      <c r="S3862" s="26" t="str">
        <f>HYPERLINK("https://miland.ru/api/getInfo/image/4b93b5c6-5056-11ed-a21d-ac1f6b442185")</f>
        <v>https://miland.ru/api/getInfo/image/4b93b5c6-5056-11ed-a21d-ac1f6b442185</v>
      </c>
    </row>
    <row r="3863" spans="1:19" s="2" customFormat="1" ht="96.2" customHeight="1" outlineLevel="5">
      <c r="A3863" s="52">
        <v>3056</v>
      </c>
      <c r="B3863" s="26" t="s">
        <v>12852</v>
      </c>
      <c r="C3863" s="66" t="s">
        <v>12853</v>
      </c>
      <c r="D3863" s="66"/>
      <c r="E3863" s="66"/>
      <c r="F3863" s="66"/>
      <c r="G3863" s="27" t="s">
        <v>12854</v>
      </c>
      <c r="H3863" s="33">
        <v>1</v>
      </c>
      <c r="I3863" s="29"/>
      <c r="J3863" s="25">
        <v>1</v>
      </c>
      <c r="K3863" s="30">
        <v>695.92</v>
      </c>
      <c r="L3863" s="17"/>
      <c r="M3863" s="29">
        <f>K3863*L3863</f>
        <v>0</v>
      </c>
      <c r="N3863" s="31">
        <f>0.435*L3863</f>
        <v>0</v>
      </c>
      <c r="O3863" s="32">
        <f>0.00059*L3863</f>
        <v>0</v>
      </c>
      <c r="P3863" s="36"/>
      <c r="Q3863" s="29" t="s">
        <v>12855</v>
      </c>
      <c r="R3863" s="29" t="s">
        <v>611</v>
      </c>
      <c r="S3863" s="26" t="str">
        <f>HYPERLINK("https://miland.ru/api/getInfo/image/0fb96312-504b-11ed-a21d-ac1f6b442185")</f>
        <v>https://miland.ru/api/getInfo/image/0fb96312-504b-11ed-a21d-ac1f6b442185</v>
      </c>
    </row>
    <row r="3864" spans="1:19" s="1" customFormat="1" ht="12" customHeight="1" outlineLevel="4">
      <c r="A3864" s="64" t="s">
        <v>12856</v>
      </c>
      <c r="B3864" s="64"/>
      <c r="C3864" s="64"/>
      <c r="D3864" s="64"/>
      <c r="E3864" s="64"/>
      <c r="F3864" s="64"/>
      <c r="G3864" s="8"/>
      <c r="H3864" s="12"/>
      <c r="I3864" s="2"/>
      <c r="J3864" s="2"/>
      <c r="K3864" s="13"/>
      <c r="L3864" s="2"/>
      <c r="M3864" s="2"/>
      <c r="N3864" s="2"/>
      <c r="O3864" s="2"/>
      <c r="P3864" s="2"/>
      <c r="Q3864" s="2"/>
      <c r="R3864" s="2"/>
      <c r="S3864" s="2"/>
    </row>
    <row r="3865" spans="1:19" s="2" customFormat="1" ht="96.2" customHeight="1" outlineLevel="5">
      <c r="A3865" s="52">
        <v>3057</v>
      </c>
      <c r="B3865" s="26" t="s">
        <v>12857</v>
      </c>
      <c r="C3865" s="66" t="s">
        <v>12858</v>
      </c>
      <c r="D3865" s="66"/>
      <c r="E3865" s="66"/>
      <c r="F3865" s="66"/>
      <c r="G3865" s="27" t="s">
        <v>12859</v>
      </c>
      <c r="H3865" s="33">
        <v>2</v>
      </c>
      <c r="I3865" s="29"/>
      <c r="J3865" s="25">
        <v>2</v>
      </c>
      <c r="K3865" s="30">
        <v>192.33</v>
      </c>
      <c r="L3865" s="17"/>
      <c r="M3865" s="29">
        <f>K3865*L3865</f>
        <v>0</v>
      </c>
      <c r="N3865" s="31">
        <f>0.184*L3865</f>
        <v>0</v>
      </c>
      <c r="O3865" s="32">
        <f>0.00032*L3865</f>
        <v>0</v>
      </c>
      <c r="P3865" s="36"/>
      <c r="Q3865" s="29" t="s">
        <v>12860</v>
      </c>
      <c r="R3865" s="29"/>
      <c r="S3865" s="26" t="str">
        <f>HYPERLINK("https://miland.ru/api/getInfo/image/fa225d6e-c878-11ed-a230-00155d82e902")</f>
        <v>https://miland.ru/api/getInfo/image/fa225d6e-c878-11ed-a230-00155d82e902</v>
      </c>
    </row>
    <row r="3866" spans="1:19" s="2" customFormat="1" ht="96.2" customHeight="1" outlineLevel="5">
      <c r="A3866" s="52">
        <v>3058</v>
      </c>
      <c r="B3866" s="26" t="s">
        <v>12861</v>
      </c>
      <c r="C3866" s="66" t="s">
        <v>12862</v>
      </c>
      <c r="D3866" s="66"/>
      <c r="E3866" s="66"/>
      <c r="F3866" s="66"/>
      <c r="G3866" s="27" t="s">
        <v>12863</v>
      </c>
      <c r="H3866" s="33">
        <v>11</v>
      </c>
      <c r="I3866" s="29"/>
      <c r="J3866" s="25">
        <v>2</v>
      </c>
      <c r="K3866" s="30">
        <v>303.7</v>
      </c>
      <c r="L3866" s="17"/>
      <c r="M3866" s="29">
        <f>K3866*L3866</f>
        <v>0</v>
      </c>
      <c r="N3866" s="31">
        <f>0.125*L3866</f>
        <v>0</v>
      </c>
      <c r="O3866" s="32">
        <f>0.00067*L3866</f>
        <v>0</v>
      </c>
      <c r="P3866" s="36"/>
      <c r="Q3866" s="29" t="s">
        <v>12864</v>
      </c>
      <c r="R3866" s="29"/>
      <c r="S3866" s="26" t="str">
        <f>HYPERLINK("https://miland.ru/api/getInfo/image/80b665b0-3b00-11f0-a27c-00155d82e908")</f>
        <v>https://miland.ru/api/getInfo/image/80b665b0-3b00-11f0-a27c-00155d82e908</v>
      </c>
    </row>
    <row r="3867" spans="1:19" s="2" customFormat="1" ht="96.2" customHeight="1" outlineLevel="5">
      <c r="A3867" s="52">
        <v>3059</v>
      </c>
      <c r="B3867" s="26" t="s">
        <v>12865</v>
      </c>
      <c r="C3867" s="66" t="s">
        <v>12866</v>
      </c>
      <c r="D3867" s="66"/>
      <c r="E3867" s="66"/>
      <c r="F3867" s="66"/>
      <c r="G3867" s="27" t="s">
        <v>12867</v>
      </c>
      <c r="H3867" s="33">
        <v>79</v>
      </c>
      <c r="I3867" s="29"/>
      <c r="J3867" s="25">
        <v>3</v>
      </c>
      <c r="K3867" s="30">
        <v>248.93</v>
      </c>
      <c r="L3867" s="17"/>
      <c r="M3867" s="29">
        <f>K3867*L3867</f>
        <v>0</v>
      </c>
      <c r="N3867" s="31">
        <f>0.117*L3867</f>
        <v>0</v>
      </c>
      <c r="O3867" s="32">
        <f>0.00048*L3867</f>
        <v>0</v>
      </c>
      <c r="P3867" s="36"/>
      <c r="Q3867" s="29" t="s">
        <v>12868</v>
      </c>
      <c r="R3867" s="29"/>
      <c r="S3867" s="26" t="str">
        <f>HYPERLINK("https://miland.ru/api/getInfo/image/ceb5baab-3b00-11f0-a27c-00155d82e908")</f>
        <v>https://miland.ru/api/getInfo/image/ceb5baab-3b00-11f0-a27c-00155d82e908</v>
      </c>
    </row>
    <row r="3868" spans="1:19" s="1" customFormat="1" ht="12" customHeight="1" outlineLevel="3">
      <c r="A3868" s="64" t="s">
        <v>12869</v>
      </c>
      <c r="B3868" s="64"/>
      <c r="C3868" s="64"/>
      <c r="D3868" s="64"/>
      <c r="E3868" s="64"/>
      <c r="F3868" s="64"/>
      <c r="G3868" s="8"/>
      <c r="H3868" s="12"/>
      <c r="I3868" s="2"/>
      <c r="J3868" s="2"/>
      <c r="K3868" s="13"/>
      <c r="L3868" s="2"/>
      <c r="M3868" s="2"/>
      <c r="N3868" s="2"/>
      <c r="O3868" s="2"/>
      <c r="P3868" s="2"/>
      <c r="Q3868" s="2"/>
      <c r="R3868" s="2"/>
      <c r="S3868" s="2"/>
    </row>
    <row r="3869" spans="1:19" s="1" customFormat="1" ht="12" customHeight="1" outlineLevel="4">
      <c r="A3869" s="64" t="s">
        <v>12870</v>
      </c>
      <c r="B3869" s="64"/>
      <c r="C3869" s="64"/>
      <c r="D3869" s="64"/>
      <c r="E3869" s="64"/>
      <c r="F3869" s="64"/>
      <c r="G3869" s="8"/>
      <c r="H3869" s="12"/>
      <c r="I3869" s="2"/>
      <c r="J3869" s="2"/>
      <c r="K3869" s="13"/>
      <c r="L3869" s="2"/>
      <c r="M3869" s="2"/>
      <c r="N3869" s="2"/>
      <c r="O3869" s="2"/>
      <c r="P3869" s="2"/>
      <c r="Q3869" s="2"/>
      <c r="R3869" s="2"/>
      <c r="S3869" s="2"/>
    </row>
    <row r="3870" spans="1:19" s="2" customFormat="1" ht="96.2" customHeight="1" outlineLevel="5">
      <c r="A3870" s="53">
        <v>3060</v>
      </c>
      <c r="B3870" s="10" t="s">
        <v>12871</v>
      </c>
      <c r="C3870" s="65" t="s">
        <v>12872</v>
      </c>
      <c r="D3870" s="65"/>
      <c r="E3870" s="65"/>
      <c r="F3870" s="65"/>
      <c r="G3870" s="11" t="s">
        <v>12873</v>
      </c>
      <c r="H3870" s="14">
        <v>238</v>
      </c>
      <c r="I3870" s="15"/>
      <c r="J3870" s="9">
        <v>1</v>
      </c>
      <c r="K3870" s="16">
        <v>994.59</v>
      </c>
      <c r="L3870" s="17"/>
      <c r="M3870" s="15">
        <f t="shared" ref="M3870:M3887" si="184">K3870*L3870</f>
        <v>0</v>
      </c>
      <c r="N3870" s="18">
        <f>0.443*L3870</f>
        <v>0</v>
      </c>
      <c r="O3870" s="19">
        <f>0.00165*L3870</f>
        <v>0</v>
      </c>
      <c r="P3870" s="24" t="s">
        <v>26</v>
      </c>
      <c r="Q3870" s="15" t="s">
        <v>12874</v>
      </c>
      <c r="R3870" s="15"/>
      <c r="S3870" s="10" t="str">
        <f>HYPERLINK("https://miland.ru/api/getInfo/image/3b063868-be39-11f0-a288-00155d82e908")</f>
        <v>https://miland.ru/api/getInfo/image/3b063868-be39-11f0-a288-00155d82e908</v>
      </c>
    </row>
    <row r="3871" spans="1:19" s="2" customFormat="1" ht="96.2" customHeight="1" outlineLevel="5">
      <c r="A3871" s="53">
        <v>3061</v>
      </c>
      <c r="B3871" s="10" t="s">
        <v>12875</v>
      </c>
      <c r="C3871" s="65" t="s">
        <v>12876</v>
      </c>
      <c r="D3871" s="65"/>
      <c r="E3871" s="65"/>
      <c r="F3871" s="65"/>
      <c r="G3871" s="11" t="s">
        <v>12877</v>
      </c>
      <c r="H3871" s="14">
        <v>478</v>
      </c>
      <c r="I3871" s="15"/>
      <c r="J3871" s="9">
        <v>1</v>
      </c>
      <c r="K3871" s="16">
        <v>994.55</v>
      </c>
      <c r="L3871" s="17"/>
      <c r="M3871" s="15">
        <f t="shared" si="184"/>
        <v>0</v>
      </c>
      <c r="N3871" s="18">
        <f>0.445*L3871</f>
        <v>0</v>
      </c>
      <c r="O3871" s="19">
        <f>0.00163*L3871</f>
        <v>0</v>
      </c>
      <c r="P3871" s="24" t="s">
        <v>26</v>
      </c>
      <c r="Q3871" s="15" t="s">
        <v>12878</v>
      </c>
      <c r="R3871" s="15"/>
      <c r="S3871" s="10" t="str">
        <f>HYPERLINK("https://miland.ru/api/getInfo/image/cec3b542-be38-11f0-a288-00155d82e908")</f>
        <v>https://miland.ru/api/getInfo/image/cec3b542-be38-11f0-a288-00155d82e908</v>
      </c>
    </row>
    <row r="3872" spans="1:19" s="2" customFormat="1" ht="96.2" customHeight="1" outlineLevel="5">
      <c r="A3872" s="52">
        <v>3062</v>
      </c>
      <c r="B3872" s="26" t="s">
        <v>12879</v>
      </c>
      <c r="C3872" s="66" t="s">
        <v>12880</v>
      </c>
      <c r="D3872" s="66"/>
      <c r="E3872" s="66"/>
      <c r="F3872" s="66"/>
      <c r="G3872" s="27" t="s">
        <v>12881</v>
      </c>
      <c r="H3872" s="33">
        <v>4</v>
      </c>
      <c r="I3872" s="29"/>
      <c r="J3872" s="25">
        <v>1</v>
      </c>
      <c r="K3872" s="30">
        <v>976.73</v>
      </c>
      <c r="L3872" s="17"/>
      <c r="M3872" s="29">
        <f t="shared" si="184"/>
        <v>0</v>
      </c>
      <c r="N3872" s="31">
        <f>0.441*L3872</f>
        <v>0</v>
      </c>
      <c r="O3872" s="32">
        <f>0.00166*L3872</f>
        <v>0</v>
      </c>
      <c r="P3872" s="36"/>
      <c r="Q3872" s="29" t="s">
        <v>12882</v>
      </c>
      <c r="R3872" s="29"/>
      <c r="S3872" s="26" t="str">
        <f>HYPERLINK("https://miland.ru/api/getInfo/image/2382f75e-5234-11ee-a244-00155d82e902")</f>
        <v>https://miland.ru/api/getInfo/image/2382f75e-5234-11ee-a244-00155d82e902</v>
      </c>
    </row>
    <row r="3873" spans="1:19" s="2" customFormat="1" ht="96.2" customHeight="1" outlineLevel="5">
      <c r="A3873" s="52">
        <v>3063</v>
      </c>
      <c r="B3873" s="26" t="s">
        <v>12883</v>
      </c>
      <c r="C3873" s="66" t="s">
        <v>12884</v>
      </c>
      <c r="D3873" s="66"/>
      <c r="E3873" s="66"/>
      <c r="F3873" s="66"/>
      <c r="G3873" s="27" t="s">
        <v>12885</v>
      </c>
      <c r="H3873" s="33">
        <v>55</v>
      </c>
      <c r="I3873" s="29"/>
      <c r="J3873" s="25">
        <v>1</v>
      </c>
      <c r="K3873" s="37">
        <v>1457.09</v>
      </c>
      <c r="L3873" s="17"/>
      <c r="M3873" s="29">
        <f t="shared" si="184"/>
        <v>0</v>
      </c>
      <c r="N3873" s="31">
        <f>1.117*L3873</f>
        <v>0</v>
      </c>
      <c r="O3873" s="32">
        <f>0.00476*L3873</f>
        <v>0</v>
      </c>
      <c r="P3873" s="36"/>
      <c r="Q3873" s="29" t="s">
        <v>12886</v>
      </c>
      <c r="R3873" s="29"/>
      <c r="S3873" s="26" t="str">
        <f>HYPERLINK("https://miland.ru/api/getInfo/image/fe799c7b-5234-11ee-a244-00155d82e902")</f>
        <v>https://miland.ru/api/getInfo/image/fe799c7b-5234-11ee-a244-00155d82e902</v>
      </c>
    </row>
    <row r="3874" spans="1:19" s="2" customFormat="1" ht="96.2" customHeight="1" outlineLevel="5">
      <c r="A3874" s="53">
        <v>3064</v>
      </c>
      <c r="B3874" s="10" t="s">
        <v>12887</v>
      </c>
      <c r="C3874" s="65" t="s">
        <v>12888</v>
      </c>
      <c r="D3874" s="65"/>
      <c r="E3874" s="65"/>
      <c r="F3874" s="65"/>
      <c r="G3874" s="11" t="s">
        <v>12889</v>
      </c>
      <c r="H3874" s="14">
        <v>358</v>
      </c>
      <c r="I3874" s="15"/>
      <c r="J3874" s="9">
        <v>1</v>
      </c>
      <c r="K3874" s="16">
        <v>994.57</v>
      </c>
      <c r="L3874" s="17"/>
      <c r="M3874" s="15">
        <f t="shared" si="184"/>
        <v>0</v>
      </c>
      <c r="N3874" s="23">
        <f>0.44*L3874</f>
        <v>0</v>
      </c>
      <c r="O3874" s="19">
        <f>0.00163*L3874</f>
        <v>0</v>
      </c>
      <c r="P3874" s="24" t="s">
        <v>26</v>
      </c>
      <c r="Q3874" s="15" t="s">
        <v>12890</v>
      </c>
      <c r="R3874" s="15"/>
      <c r="S3874" s="10" t="str">
        <f>HYPERLINK("https://miland.ru/api/getInfo/image/ba590c13-be38-11f0-a288-00155d82e908")</f>
        <v>https://miland.ru/api/getInfo/image/ba590c13-be38-11f0-a288-00155d82e908</v>
      </c>
    </row>
    <row r="3875" spans="1:19" s="2" customFormat="1" ht="96.2" customHeight="1" outlineLevel="5">
      <c r="A3875" s="52">
        <v>3065</v>
      </c>
      <c r="B3875" s="26" t="s">
        <v>12891</v>
      </c>
      <c r="C3875" s="66" t="s">
        <v>12892</v>
      </c>
      <c r="D3875" s="66"/>
      <c r="E3875" s="66"/>
      <c r="F3875" s="66"/>
      <c r="G3875" s="27" t="s">
        <v>12893</v>
      </c>
      <c r="H3875" s="28" t="s">
        <v>44</v>
      </c>
      <c r="I3875" s="29"/>
      <c r="J3875" s="25">
        <v>1</v>
      </c>
      <c r="K3875" s="30">
        <v>976.73</v>
      </c>
      <c r="L3875" s="17"/>
      <c r="M3875" s="29">
        <f t="shared" si="184"/>
        <v>0</v>
      </c>
      <c r="N3875" s="31">
        <f>0.429*L3875</f>
        <v>0</v>
      </c>
      <c r="O3875" s="32">
        <f>0.00158*L3875</f>
        <v>0</v>
      </c>
      <c r="P3875" s="36"/>
      <c r="Q3875" s="29" t="s">
        <v>12894</v>
      </c>
      <c r="R3875" s="29"/>
      <c r="S3875" s="26" t="str">
        <f>HYPERLINK("https://miland.ru/api/getInfo/image/41c5d8ba-5235-11ee-a244-00155d82e902")</f>
        <v>https://miland.ru/api/getInfo/image/41c5d8ba-5235-11ee-a244-00155d82e902</v>
      </c>
    </row>
    <row r="3876" spans="1:19" s="2" customFormat="1" ht="96.2" customHeight="1" outlineLevel="5">
      <c r="A3876" s="52">
        <v>3066</v>
      </c>
      <c r="B3876" s="26" t="s">
        <v>12895</v>
      </c>
      <c r="C3876" s="66" t="s">
        <v>12896</v>
      </c>
      <c r="D3876" s="66"/>
      <c r="E3876" s="66"/>
      <c r="F3876" s="66"/>
      <c r="G3876" s="27" t="s">
        <v>12897</v>
      </c>
      <c r="H3876" s="33">
        <v>3</v>
      </c>
      <c r="I3876" s="29"/>
      <c r="J3876" s="25">
        <v>1</v>
      </c>
      <c r="K3876" s="37">
        <v>1457.09</v>
      </c>
      <c r="L3876" s="17"/>
      <c r="M3876" s="29">
        <f t="shared" si="184"/>
        <v>0</v>
      </c>
      <c r="N3876" s="31">
        <f>1.118*L3876</f>
        <v>0</v>
      </c>
      <c r="O3876" s="32">
        <f>0.00438*L3876</f>
        <v>0</v>
      </c>
      <c r="P3876" s="36"/>
      <c r="Q3876" s="29" t="s">
        <v>12898</v>
      </c>
      <c r="R3876" s="29" t="s">
        <v>611</v>
      </c>
      <c r="S3876" s="26" t="str">
        <f>HYPERLINK("https://miland.ru/api/getInfo/image/05026470-5236-11ee-a244-00155d82e902")</f>
        <v>https://miland.ru/api/getInfo/image/05026470-5236-11ee-a244-00155d82e902</v>
      </c>
    </row>
    <row r="3877" spans="1:19" s="2" customFormat="1" ht="96.2" customHeight="1" outlineLevel="5">
      <c r="A3877" s="53">
        <v>3067</v>
      </c>
      <c r="B3877" s="10" t="s">
        <v>12899</v>
      </c>
      <c r="C3877" s="65" t="s">
        <v>12900</v>
      </c>
      <c r="D3877" s="65"/>
      <c r="E3877" s="65"/>
      <c r="F3877" s="65"/>
      <c r="G3877" s="11" t="s">
        <v>12901</v>
      </c>
      <c r="H3877" s="21" t="s">
        <v>44</v>
      </c>
      <c r="I3877" s="15"/>
      <c r="J3877" s="9">
        <v>1</v>
      </c>
      <c r="K3877" s="16">
        <v>976.73</v>
      </c>
      <c r="L3877" s="17"/>
      <c r="M3877" s="15">
        <f t="shared" si="184"/>
        <v>0</v>
      </c>
      <c r="N3877" s="18">
        <f>0.447*L3877</f>
        <v>0</v>
      </c>
      <c r="O3877" s="20">
        <f>0.0015*L3877</f>
        <v>0</v>
      </c>
      <c r="P3877" s="24" t="s">
        <v>26</v>
      </c>
      <c r="Q3877" s="15" t="s">
        <v>12902</v>
      </c>
      <c r="R3877" s="15"/>
      <c r="S3877" s="10" t="str">
        <f>HYPERLINK("https://miland.ru/api/getInfo/image/741d89eb-be38-11f0-a288-00155d82e908")</f>
        <v>https://miland.ru/api/getInfo/image/741d89eb-be38-11f0-a288-00155d82e908</v>
      </c>
    </row>
    <row r="3878" spans="1:19" s="2" customFormat="1" ht="96.2" customHeight="1" outlineLevel="5">
      <c r="A3878" s="53">
        <v>3068</v>
      </c>
      <c r="B3878" s="10" t="s">
        <v>12903</v>
      </c>
      <c r="C3878" s="65" t="s">
        <v>12904</v>
      </c>
      <c r="D3878" s="65"/>
      <c r="E3878" s="65"/>
      <c r="F3878" s="65"/>
      <c r="G3878" s="11" t="s">
        <v>12905</v>
      </c>
      <c r="H3878" s="14">
        <v>238</v>
      </c>
      <c r="I3878" s="15"/>
      <c r="J3878" s="9">
        <v>1</v>
      </c>
      <c r="K3878" s="16">
        <v>994.59</v>
      </c>
      <c r="L3878" s="17"/>
      <c r="M3878" s="15">
        <f t="shared" si="184"/>
        <v>0</v>
      </c>
      <c r="N3878" s="18">
        <f>0.436*L3878</f>
        <v>0</v>
      </c>
      <c r="O3878" s="19">
        <f>0.00163*L3878</f>
        <v>0</v>
      </c>
      <c r="P3878" s="24" t="s">
        <v>26</v>
      </c>
      <c r="Q3878" s="15" t="s">
        <v>12906</v>
      </c>
      <c r="R3878" s="15"/>
      <c r="S3878" s="10" t="str">
        <f>HYPERLINK("https://miland.ru/api/getInfo/image/27c65d23-be39-11f0-a288-00155d82e908")</f>
        <v>https://miland.ru/api/getInfo/image/27c65d23-be39-11f0-a288-00155d82e908</v>
      </c>
    </row>
    <row r="3879" spans="1:19" s="2" customFormat="1" ht="96.2" customHeight="1" outlineLevel="5">
      <c r="A3879" s="53">
        <v>3069</v>
      </c>
      <c r="B3879" s="10" t="s">
        <v>12907</v>
      </c>
      <c r="C3879" s="65" t="s">
        <v>12908</v>
      </c>
      <c r="D3879" s="65"/>
      <c r="E3879" s="65"/>
      <c r="F3879" s="65"/>
      <c r="G3879" s="11" t="s">
        <v>12909</v>
      </c>
      <c r="H3879" s="14">
        <v>238</v>
      </c>
      <c r="I3879" s="15"/>
      <c r="J3879" s="9">
        <v>1</v>
      </c>
      <c r="K3879" s="16">
        <v>994.59</v>
      </c>
      <c r="L3879" s="17"/>
      <c r="M3879" s="15">
        <f t="shared" si="184"/>
        <v>0</v>
      </c>
      <c r="N3879" s="18">
        <f>0.454*L3879</f>
        <v>0</v>
      </c>
      <c r="O3879" s="19">
        <f>0.00162*L3879</f>
        <v>0</v>
      </c>
      <c r="P3879" s="24" t="s">
        <v>26</v>
      </c>
      <c r="Q3879" s="15" t="s">
        <v>12910</v>
      </c>
      <c r="R3879" s="15"/>
      <c r="S3879" s="10" t="str">
        <f>HYPERLINK("https://miland.ru/api/getInfo/image/fbde5e0a-be38-11f0-a288-00155d82e908")</f>
        <v>https://miland.ru/api/getInfo/image/fbde5e0a-be38-11f0-a288-00155d82e908</v>
      </c>
    </row>
    <row r="3880" spans="1:19" s="2" customFormat="1" ht="96.2" customHeight="1" outlineLevel="5">
      <c r="A3880" s="53">
        <v>3070</v>
      </c>
      <c r="B3880" s="10" t="s">
        <v>12911</v>
      </c>
      <c r="C3880" s="65" t="s">
        <v>12912</v>
      </c>
      <c r="D3880" s="65"/>
      <c r="E3880" s="65"/>
      <c r="F3880" s="65"/>
      <c r="G3880" s="11" t="s">
        <v>12913</v>
      </c>
      <c r="H3880" s="21" t="s">
        <v>44</v>
      </c>
      <c r="I3880" s="15"/>
      <c r="J3880" s="9">
        <v>1</v>
      </c>
      <c r="K3880" s="16">
        <v>976.73</v>
      </c>
      <c r="L3880" s="17"/>
      <c r="M3880" s="15">
        <f t="shared" si="184"/>
        <v>0</v>
      </c>
      <c r="N3880" s="23">
        <f>0.45*L3880</f>
        <v>0</v>
      </c>
      <c r="O3880" s="19">
        <f>0.00161*L3880</f>
        <v>0</v>
      </c>
      <c r="P3880" s="24" t="s">
        <v>26</v>
      </c>
      <c r="Q3880" s="15" t="s">
        <v>12914</v>
      </c>
      <c r="R3880" s="15"/>
      <c r="S3880" s="10" t="str">
        <f>HYPERLINK("https://miland.ru/api/getInfo/image/30738a2a-be38-11f0-a288-00155d82e908")</f>
        <v>https://miland.ru/api/getInfo/image/30738a2a-be38-11f0-a288-00155d82e908</v>
      </c>
    </row>
    <row r="3881" spans="1:19" s="2" customFormat="1" ht="96.2" customHeight="1" outlineLevel="5">
      <c r="A3881" s="52">
        <v>3071</v>
      </c>
      <c r="B3881" s="26" t="s">
        <v>12915</v>
      </c>
      <c r="C3881" s="66" t="s">
        <v>12916</v>
      </c>
      <c r="D3881" s="66"/>
      <c r="E3881" s="66"/>
      <c r="F3881" s="66"/>
      <c r="G3881" s="27" t="s">
        <v>12917</v>
      </c>
      <c r="H3881" s="28" t="s">
        <v>44</v>
      </c>
      <c r="I3881" s="29"/>
      <c r="J3881" s="25">
        <v>1</v>
      </c>
      <c r="K3881" s="30">
        <v>976.73</v>
      </c>
      <c r="L3881" s="17"/>
      <c r="M3881" s="29">
        <f t="shared" si="184"/>
        <v>0</v>
      </c>
      <c r="N3881" s="31">
        <f>0.437*L3881</f>
        <v>0</v>
      </c>
      <c r="O3881" s="32">
        <f>0.00163*L3881</f>
        <v>0</v>
      </c>
      <c r="P3881" s="36"/>
      <c r="Q3881" s="29" t="s">
        <v>12918</v>
      </c>
      <c r="R3881" s="29"/>
      <c r="S3881" s="26" t="str">
        <f>HYPERLINK("https://miland.ru/api/getInfo/image/4d181c8e-5236-11ee-a244-00155d82e902")</f>
        <v>https://miland.ru/api/getInfo/image/4d181c8e-5236-11ee-a244-00155d82e902</v>
      </c>
    </row>
    <row r="3882" spans="1:19" s="2" customFormat="1" ht="96.2" customHeight="1" outlineLevel="5">
      <c r="A3882" s="52">
        <v>3072</v>
      </c>
      <c r="B3882" s="26" t="s">
        <v>12919</v>
      </c>
      <c r="C3882" s="66" t="s">
        <v>12920</v>
      </c>
      <c r="D3882" s="66"/>
      <c r="E3882" s="66"/>
      <c r="F3882" s="66"/>
      <c r="G3882" s="27" t="s">
        <v>12921</v>
      </c>
      <c r="H3882" s="33">
        <v>343</v>
      </c>
      <c r="I3882" s="29"/>
      <c r="J3882" s="25">
        <v>1</v>
      </c>
      <c r="K3882" s="37">
        <v>1457.09</v>
      </c>
      <c r="L3882" s="17"/>
      <c r="M3882" s="29">
        <f t="shared" si="184"/>
        <v>0</v>
      </c>
      <c r="N3882" s="31">
        <f>1.109*L3882</f>
        <v>0</v>
      </c>
      <c r="O3882" s="32">
        <f>0.00457*L3882</f>
        <v>0</v>
      </c>
      <c r="P3882" s="36"/>
      <c r="Q3882" s="29" t="s">
        <v>12922</v>
      </c>
      <c r="R3882" s="29"/>
      <c r="S3882" s="26" t="str">
        <f>HYPERLINK("https://miland.ru/api/getInfo/image/946f16e0-5236-11ee-a244-00155d82e902")</f>
        <v>https://miland.ru/api/getInfo/image/946f16e0-5236-11ee-a244-00155d82e902</v>
      </c>
    </row>
    <row r="3883" spans="1:19" s="2" customFormat="1" ht="96.2" customHeight="1" outlineLevel="5">
      <c r="A3883" s="52">
        <v>3073</v>
      </c>
      <c r="B3883" s="26" t="s">
        <v>12923</v>
      </c>
      <c r="C3883" s="66" t="s">
        <v>12924</v>
      </c>
      <c r="D3883" s="66"/>
      <c r="E3883" s="66"/>
      <c r="F3883" s="66"/>
      <c r="G3883" s="27" t="s">
        <v>12925</v>
      </c>
      <c r="H3883" s="33">
        <v>388</v>
      </c>
      <c r="I3883" s="29"/>
      <c r="J3883" s="25">
        <v>1</v>
      </c>
      <c r="K3883" s="37">
        <v>1165.19</v>
      </c>
      <c r="L3883" s="17"/>
      <c r="M3883" s="29">
        <f t="shared" si="184"/>
        <v>0</v>
      </c>
      <c r="N3883" s="31">
        <f>0.721*L3883</f>
        <v>0</v>
      </c>
      <c r="O3883" s="32">
        <f>0.00293*L3883</f>
        <v>0</v>
      </c>
      <c r="P3883" s="36"/>
      <c r="Q3883" s="29" t="s">
        <v>12926</v>
      </c>
      <c r="R3883" s="29"/>
      <c r="S3883" s="26" t="str">
        <f>HYPERLINK("https://miland.ru/api/getInfo/image/0219f7f4-2eff-11eb-a25d-ac1f6b442184")</f>
        <v>https://miland.ru/api/getInfo/image/0219f7f4-2eff-11eb-a25d-ac1f6b442184</v>
      </c>
    </row>
    <row r="3884" spans="1:19" s="2" customFormat="1" ht="96.2" customHeight="1" outlineLevel="5">
      <c r="A3884" s="52">
        <v>3074</v>
      </c>
      <c r="B3884" s="26" t="s">
        <v>12927</v>
      </c>
      <c r="C3884" s="66" t="s">
        <v>12928</v>
      </c>
      <c r="D3884" s="66"/>
      <c r="E3884" s="66"/>
      <c r="F3884" s="66"/>
      <c r="G3884" s="27" t="s">
        <v>12929</v>
      </c>
      <c r="H3884" s="33">
        <v>320</v>
      </c>
      <c r="I3884" s="29"/>
      <c r="J3884" s="25">
        <v>1</v>
      </c>
      <c r="K3884" s="30">
        <v>976.73</v>
      </c>
      <c r="L3884" s="17"/>
      <c r="M3884" s="29">
        <f t="shared" si="184"/>
        <v>0</v>
      </c>
      <c r="N3884" s="34">
        <f>0.44*L3884</f>
        <v>0</v>
      </c>
      <c r="O3884" s="32">
        <f>0.00162*L3884</f>
        <v>0</v>
      </c>
      <c r="P3884" s="36"/>
      <c r="Q3884" s="29" t="s">
        <v>12930</v>
      </c>
      <c r="R3884" s="29"/>
      <c r="S3884" s="26" t="str">
        <f>HYPERLINK("https://miland.ru/api/getInfo/image/67058b61-2efe-11eb-a25d-ac1f6b442184")</f>
        <v>https://miland.ru/api/getInfo/image/67058b61-2efe-11eb-a25d-ac1f6b442184</v>
      </c>
    </row>
    <row r="3885" spans="1:19" s="2" customFormat="1" ht="96.2" customHeight="1" outlineLevel="5">
      <c r="A3885" s="52">
        <v>3075</v>
      </c>
      <c r="B3885" s="26" t="s">
        <v>12931</v>
      </c>
      <c r="C3885" s="66" t="s">
        <v>12932</v>
      </c>
      <c r="D3885" s="66"/>
      <c r="E3885" s="66"/>
      <c r="F3885" s="66"/>
      <c r="G3885" s="27" t="s">
        <v>12933</v>
      </c>
      <c r="H3885" s="28" t="s">
        <v>44</v>
      </c>
      <c r="I3885" s="29"/>
      <c r="J3885" s="25">
        <v>1</v>
      </c>
      <c r="K3885" s="30">
        <v>976.73</v>
      </c>
      <c r="L3885" s="17"/>
      <c r="M3885" s="29">
        <f t="shared" si="184"/>
        <v>0</v>
      </c>
      <c r="N3885" s="31">
        <f>0.438*L3885</f>
        <v>0</v>
      </c>
      <c r="O3885" s="32">
        <f>0.00161*L3885</f>
        <v>0</v>
      </c>
      <c r="P3885" s="36"/>
      <c r="Q3885" s="29" t="s">
        <v>12934</v>
      </c>
      <c r="R3885" s="29"/>
      <c r="S3885" s="26" t="str">
        <f>HYPERLINK("https://miland.ru/api/getInfo/image/841e70de-2efe-11eb-a25d-ac1f6b442184")</f>
        <v>https://miland.ru/api/getInfo/image/841e70de-2efe-11eb-a25d-ac1f6b442184</v>
      </c>
    </row>
    <row r="3886" spans="1:19" s="2" customFormat="1" ht="96.2" customHeight="1" outlineLevel="5">
      <c r="A3886" s="52">
        <v>3076</v>
      </c>
      <c r="B3886" s="26" t="s">
        <v>12935</v>
      </c>
      <c r="C3886" s="66" t="s">
        <v>12936</v>
      </c>
      <c r="D3886" s="66"/>
      <c r="E3886" s="66"/>
      <c r="F3886" s="66"/>
      <c r="G3886" s="27" t="s">
        <v>12937</v>
      </c>
      <c r="H3886" s="33">
        <v>454</v>
      </c>
      <c r="I3886" s="29"/>
      <c r="J3886" s="25">
        <v>1</v>
      </c>
      <c r="K3886" s="37">
        <v>1165.19</v>
      </c>
      <c r="L3886" s="17"/>
      <c r="M3886" s="29">
        <f t="shared" si="184"/>
        <v>0</v>
      </c>
      <c r="N3886" s="31">
        <f>0.713*L3886</f>
        <v>0</v>
      </c>
      <c r="O3886" s="32">
        <f>0.00287*L3886</f>
        <v>0</v>
      </c>
      <c r="P3886" s="36"/>
      <c r="Q3886" s="29" t="s">
        <v>12938</v>
      </c>
      <c r="R3886" s="29"/>
      <c r="S3886" s="26" t="str">
        <f>HYPERLINK("https://miland.ru/api/getInfo/image/a04b47ac-2efe-11eb-a25d-ac1f6b442184")</f>
        <v>https://miland.ru/api/getInfo/image/a04b47ac-2efe-11eb-a25d-ac1f6b442184</v>
      </c>
    </row>
    <row r="3887" spans="1:19" s="2" customFormat="1" ht="96.2" customHeight="1" outlineLevel="5">
      <c r="A3887" s="52">
        <v>3077</v>
      </c>
      <c r="B3887" s="26" t="s">
        <v>12939</v>
      </c>
      <c r="C3887" s="66" t="s">
        <v>12940</v>
      </c>
      <c r="D3887" s="66"/>
      <c r="E3887" s="66"/>
      <c r="F3887" s="66"/>
      <c r="G3887" s="27" t="s">
        <v>12941</v>
      </c>
      <c r="H3887" s="33">
        <v>2</v>
      </c>
      <c r="I3887" s="29"/>
      <c r="J3887" s="25">
        <v>1</v>
      </c>
      <c r="K3887" s="37">
        <v>1457.09</v>
      </c>
      <c r="L3887" s="17"/>
      <c r="M3887" s="29">
        <f t="shared" si="184"/>
        <v>0</v>
      </c>
      <c r="N3887" s="34">
        <f>1.04*L3887</f>
        <v>0</v>
      </c>
      <c r="O3887" s="32">
        <f>0.00378*L3887</f>
        <v>0</v>
      </c>
      <c r="P3887" s="36"/>
      <c r="Q3887" s="29" t="s">
        <v>12942</v>
      </c>
      <c r="R3887" s="29" t="s">
        <v>611</v>
      </c>
      <c r="S3887" s="26" t="str">
        <f>HYPERLINK("https://miland.ru/api/getInfo/image/59c66bc9-2eff-11eb-a25d-ac1f6b442184")</f>
        <v>https://miland.ru/api/getInfo/image/59c66bc9-2eff-11eb-a25d-ac1f6b442184</v>
      </c>
    </row>
    <row r="3888" spans="1:19" s="1" customFormat="1" ht="12" customHeight="1" outlineLevel="3">
      <c r="A3888" s="64" t="s">
        <v>12943</v>
      </c>
      <c r="B3888" s="64"/>
      <c r="C3888" s="64"/>
      <c r="D3888" s="64"/>
      <c r="E3888" s="64"/>
      <c r="F3888" s="64"/>
      <c r="G3888" s="8"/>
      <c r="H3888" s="12"/>
      <c r="I3888" s="2"/>
      <c r="J3888" s="2"/>
      <c r="K3888" s="13"/>
      <c r="L3888" s="2"/>
      <c r="M3888" s="2"/>
      <c r="N3888" s="2"/>
      <c r="O3888" s="2"/>
      <c r="P3888" s="2"/>
      <c r="Q3888" s="2"/>
      <c r="R3888" s="2"/>
      <c r="S3888" s="2"/>
    </row>
    <row r="3889" spans="1:19" s="2" customFormat="1" ht="96.2" customHeight="1" outlineLevel="4">
      <c r="A3889" s="53">
        <v>3078</v>
      </c>
      <c r="B3889" s="10" t="s">
        <v>12944</v>
      </c>
      <c r="C3889" s="65" t="s">
        <v>12945</v>
      </c>
      <c r="D3889" s="65"/>
      <c r="E3889" s="65"/>
      <c r="F3889" s="65"/>
      <c r="G3889" s="11" t="s">
        <v>12946</v>
      </c>
      <c r="H3889" s="21" t="s">
        <v>44</v>
      </c>
      <c r="I3889" s="15"/>
      <c r="J3889" s="9">
        <v>1</v>
      </c>
      <c r="K3889" s="16">
        <v>684.39</v>
      </c>
      <c r="L3889" s="17"/>
      <c r="M3889" s="15">
        <f>K3889*L3889</f>
        <v>0</v>
      </c>
      <c r="N3889" s="18">
        <f>0.219*L3889</f>
        <v>0</v>
      </c>
      <c r="O3889" s="19">
        <f>0.00367*L3889</f>
        <v>0</v>
      </c>
      <c r="P3889" s="24" t="s">
        <v>26</v>
      </c>
      <c r="Q3889" s="15" t="s">
        <v>12947</v>
      </c>
      <c r="R3889" s="15"/>
      <c r="S3889" s="10" t="str">
        <f>HYPERLINK("https://miland.ru/api/getInfo/image/824b58b9-396a-11f1-a293-00155d82e908")</f>
        <v>https://miland.ru/api/getInfo/image/824b58b9-396a-11f1-a293-00155d82e908</v>
      </c>
    </row>
    <row r="3890" spans="1:19" s="2" customFormat="1" ht="96.2" customHeight="1" outlineLevel="4">
      <c r="A3890" s="53">
        <v>3079</v>
      </c>
      <c r="B3890" s="10" t="s">
        <v>12948</v>
      </c>
      <c r="C3890" s="65" t="s">
        <v>12949</v>
      </c>
      <c r="D3890" s="65"/>
      <c r="E3890" s="65"/>
      <c r="F3890" s="65"/>
      <c r="G3890" s="11" t="s">
        <v>12950</v>
      </c>
      <c r="H3890" s="21" t="s">
        <v>44</v>
      </c>
      <c r="I3890" s="15"/>
      <c r="J3890" s="9">
        <v>1</v>
      </c>
      <c r="K3890" s="16">
        <v>684.39</v>
      </c>
      <c r="L3890" s="17"/>
      <c r="M3890" s="15">
        <f>K3890*L3890</f>
        <v>0</v>
      </c>
      <c r="N3890" s="18">
        <f>0.216*L3890</f>
        <v>0</v>
      </c>
      <c r="O3890" s="19">
        <f>0.00331*L3890</f>
        <v>0</v>
      </c>
      <c r="P3890" s="24" t="s">
        <v>26</v>
      </c>
      <c r="Q3890" s="15" t="s">
        <v>12951</v>
      </c>
      <c r="R3890" s="15"/>
      <c r="S3890" s="10" t="str">
        <f>HYPERLINK("https://miland.ru/api/getInfo/image/d44b71dc-2780-11f1-a291-00155d82e908")</f>
        <v>https://miland.ru/api/getInfo/image/d44b71dc-2780-11f1-a291-00155d82e908</v>
      </c>
    </row>
    <row r="3891" spans="1:19" s="2" customFormat="1" ht="96.2" customHeight="1" outlineLevel="4">
      <c r="A3891" s="53">
        <v>3080</v>
      </c>
      <c r="B3891" s="10" t="s">
        <v>12952</v>
      </c>
      <c r="C3891" s="65" t="s">
        <v>12953</v>
      </c>
      <c r="D3891" s="65"/>
      <c r="E3891" s="65"/>
      <c r="F3891" s="65"/>
      <c r="G3891" s="11" t="s">
        <v>12954</v>
      </c>
      <c r="H3891" s="21" t="s">
        <v>44</v>
      </c>
      <c r="I3891" s="15"/>
      <c r="J3891" s="9">
        <v>1</v>
      </c>
      <c r="K3891" s="16">
        <v>684.39</v>
      </c>
      <c r="L3891" s="17"/>
      <c r="M3891" s="15">
        <f>K3891*L3891</f>
        <v>0</v>
      </c>
      <c r="N3891" s="18">
        <f>0.214*L3891</f>
        <v>0</v>
      </c>
      <c r="O3891" s="19">
        <f>0.00352*L3891</f>
        <v>0</v>
      </c>
      <c r="P3891" s="24" t="s">
        <v>26</v>
      </c>
      <c r="Q3891" s="15" t="s">
        <v>12955</v>
      </c>
      <c r="R3891" s="15"/>
      <c r="S3891" s="10" t="str">
        <f>HYPERLINK("https://miland.ru/api/getInfo/image/41e2bf2c-396a-11f1-a293-00155d82e908")</f>
        <v>https://miland.ru/api/getInfo/image/41e2bf2c-396a-11f1-a293-00155d82e908</v>
      </c>
    </row>
    <row r="3892" spans="1:19" s="1" customFormat="1" ht="12" customHeight="1" outlineLevel="3">
      <c r="A3892" s="64" t="s">
        <v>11481</v>
      </c>
      <c r="B3892" s="64"/>
      <c r="C3892" s="64"/>
      <c r="D3892" s="64"/>
      <c r="E3892" s="64"/>
      <c r="F3892" s="64"/>
      <c r="G3892" s="8"/>
      <c r="H3892" s="12"/>
      <c r="I3892" s="2"/>
      <c r="J3892" s="2"/>
      <c r="K3892" s="13"/>
      <c r="L3892" s="2"/>
      <c r="M3892" s="2"/>
      <c r="N3892" s="2"/>
      <c r="O3892" s="2"/>
      <c r="P3892" s="2"/>
      <c r="Q3892" s="2"/>
      <c r="R3892" s="2"/>
      <c r="S3892" s="2"/>
    </row>
    <row r="3893" spans="1:19" s="1" customFormat="1" ht="12" customHeight="1" outlineLevel="4">
      <c r="A3893" s="64" t="s">
        <v>12956</v>
      </c>
      <c r="B3893" s="64"/>
      <c r="C3893" s="64"/>
      <c r="D3893" s="64"/>
      <c r="E3893" s="64"/>
      <c r="F3893" s="64"/>
      <c r="G3893" s="8"/>
      <c r="H3893" s="12"/>
      <c r="I3893" s="2"/>
      <c r="J3893" s="2"/>
      <c r="K3893" s="13"/>
      <c r="L3893" s="2"/>
      <c r="M3893" s="2"/>
      <c r="N3893" s="2"/>
      <c r="O3893" s="2"/>
      <c r="P3893" s="2"/>
      <c r="Q3893" s="2"/>
      <c r="R3893" s="2"/>
      <c r="S3893" s="2"/>
    </row>
    <row r="3894" spans="1:19" s="2" customFormat="1" ht="96.2" customHeight="1" outlineLevel="5">
      <c r="A3894" s="52">
        <v>3081</v>
      </c>
      <c r="B3894" s="26" t="s">
        <v>12957</v>
      </c>
      <c r="C3894" s="66" t="s">
        <v>12958</v>
      </c>
      <c r="D3894" s="66"/>
      <c r="E3894" s="66"/>
      <c r="F3894" s="66"/>
      <c r="G3894" s="27" t="s">
        <v>12959</v>
      </c>
      <c r="H3894" s="28" t="s">
        <v>44</v>
      </c>
      <c r="I3894" s="29"/>
      <c r="J3894" s="25">
        <v>1</v>
      </c>
      <c r="K3894" s="30">
        <v>552.86</v>
      </c>
      <c r="L3894" s="17"/>
      <c r="M3894" s="29">
        <f>K3894*L3894</f>
        <v>0</v>
      </c>
      <c r="N3894" s="31">
        <f>0.155*L3894</f>
        <v>0</v>
      </c>
      <c r="O3894" s="32">
        <f>0.00045*L3894</f>
        <v>0</v>
      </c>
      <c r="P3894" s="36"/>
      <c r="Q3894" s="29" t="s">
        <v>12960</v>
      </c>
      <c r="R3894" s="29"/>
      <c r="S3894" s="26" t="str">
        <f>HYPERLINK("https://miland.ru/api/getInfo/image/8f45d035-deb6-11ed-a233-00155d82e902")</f>
        <v>https://miland.ru/api/getInfo/image/8f45d035-deb6-11ed-a233-00155d82e902</v>
      </c>
    </row>
    <row r="3895" spans="1:19" s="2" customFormat="1" ht="96.2" customHeight="1" outlineLevel="5">
      <c r="A3895" s="52">
        <v>3082</v>
      </c>
      <c r="B3895" s="26" t="s">
        <v>12961</v>
      </c>
      <c r="C3895" s="66" t="s">
        <v>12962</v>
      </c>
      <c r="D3895" s="66"/>
      <c r="E3895" s="66"/>
      <c r="F3895" s="66"/>
      <c r="G3895" s="27" t="s">
        <v>12963</v>
      </c>
      <c r="H3895" s="28" t="s">
        <v>44</v>
      </c>
      <c r="I3895" s="29"/>
      <c r="J3895" s="25">
        <v>1</v>
      </c>
      <c r="K3895" s="30">
        <v>552.86</v>
      </c>
      <c r="L3895" s="17"/>
      <c r="M3895" s="29">
        <f>K3895*L3895</f>
        <v>0</v>
      </c>
      <c r="N3895" s="31">
        <f>0.157*L3895</f>
        <v>0</v>
      </c>
      <c r="O3895" s="32">
        <f>0.00181*L3895</f>
        <v>0</v>
      </c>
      <c r="P3895" s="36"/>
      <c r="Q3895" s="29" t="s">
        <v>12964</v>
      </c>
      <c r="R3895" s="29"/>
      <c r="S3895" s="26" t="str">
        <f>HYPERLINK("https://miland.ru/api/getInfo/image/33b8cad0-deb6-11ed-a233-00155d82e902")</f>
        <v>https://miland.ru/api/getInfo/image/33b8cad0-deb6-11ed-a233-00155d82e902</v>
      </c>
    </row>
    <row r="3896" spans="1:19" s="1" customFormat="1" ht="12" customHeight="1" outlineLevel="4">
      <c r="A3896" s="64" t="s">
        <v>113</v>
      </c>
      <c r="B3896" s="64"/>
      <c r="C3896" s="64"/>
      <c r="D3896" s="64"/>
      <c r="E3896" s="64"/>
      <c r="F3896" s="64"/>
      <c r="G3896" s="8"/>
      <c r="H3896" s="12"/>
      <c r="I3896" s="2"/>
      <c r="J3896" s="2"/>
      <c r="K3896" s="13"/>
      <c r="L3896" s="2"/>
      <c r="M3896" s="2"/>
      <c r="N3896" s="2"/>
      <c r="O3896" s="2"/>
      <c r="P3896" s="2"/>
      <c r="Q3896" s="2"/>
      <c r="R3896" s="2"/>
      <c r="S3896" s="2"/>
    </row>
    <row r="3897" spans="1:19" s="2" customFormat="1" ht="96.2" customHeight="1" outlineLevel="5">
      <c r="A3897" s="52">
        <v>3083</v>
      </c>
      <c r="B3897" s="26" t="s">
        <v>12965</v>
      </c>
      <c r="C3897" s="66" t="s">
        <v>12966</v>
      </c>
      <c r="D3897" s="66"/>
      <c r="E3897" s="66"/>
      <c r="F3897" s="66"/>
      <c r="G3897" s="27" t="s">
        <v>12967</v>
      </c>
      <c r="H3897" s="33">
        <v>277</v>
      </c>
      <c r="I3897" s="29"/>
      <c r="J3897" s="25">
        <v>1</v>
      </c>
      <c r="K3897" s="37">
        <v>2163.4</v>
      </c>
      <c r="L3897" s="17"/>
      <c r="M3897" s="29">
        <f>K3897*L3897</f>
        <v>0</v>
      </c>
      <c r="N3897" s="31">
        <f>1.264*L3897</f>
        <v>0</v>
      </c>
      <c r="O3897" s="32">
        <f>0.02102*L3897</f>
        <v>0</v>
      </c>
      <c r="P3897" s="36"/>
      <c r="Q3897" s="29" t="s">
        <v>12968</v>
      </c>
      <c r="R3897" s="29"/>
      <c r="S3897" s="26" t="str">
        <f>HYPERLINK("https://miland.ru/api/getInfo/image/b64d6f2c-de8b-11ed-a233-00155d82e902")</f>
        <v>https://miland.ru/api/getInfo/image/b64d6f2c-de8b-11ed-a233-00155d82e902</v>
      </c>
    </row>
    <row r="3898" spans="1:19" s="2" customFormat="1" ht="96.2" customHeight="1" outlineLevel="5">
      <c r="A3898" s="52">
        <v>3084</v>
      </c>
      <c r="B3898" s="26" t="s">
        <v>12969</v>
      </c>
      <c r="C3898" s="66" t="s">
        <v>12970</v>
      </c>
      <c r="D3898" s="66"/>
      <c r="E3898" s="66"/>
      <c r="F3898" s="66"/>
      <c r="G3898" s="27" t="s">
        <v>12971</v>
      </c>
      <c r="H3898" s="33">
        <v>390</v>
      </c>
      <c r="I3898" s="29"/>
      <c r="J3898" s="25">
        <v>1</v>
      </c>
      <c r="K3898" s="37">
        <v>2043.2</v>
      </c>
      <c r="L3898" s="17"/>
      <c r="M3898" s="29">
        <f>K3898*L3898</f>
        <v>0</v>
      </c>
      <c r="N3898" s="31">
        <f>0.826*L3898</f>
        <v>0</v>
      </c>
      <c r="O3898" s="35">
        <f>0.0133*L3898</f>
        <v>0</v>
      </c>
      <c r="P3898" s="36"/>
      <c r="Q3898" s="29" t="s">
        <v>12972</v>
      </c>
      <c r="R3898" s="29"/>
      <c r="S3898" s="26" t="str">
        <f>HYPERLINK("https://miland.ru/api/getInfo/image/38a1590b-de8b-11ed-a233-00155d82e902")</f>
        <v>https://miland.ru/api/getInfo/image/38a1590b-de8b-11ed-a233-00155d82e902</v>
      </c>
    </row>
    <row r="3899" spans="1:19" s="1" customFormat="1" ht="12" customHeight="1" outlineLevel="3">
      <c r="A3899" s="64" t="s">
        <v>12973</v>
      </c>
      <c r="B3899" s="64"/>
      <c r="C3899" s="64"/>
      <c r="D3899" s="64"/>
      <c r="E3899" s="64"/>
      <c r="F3899" s="64"/>
      <c r="G3899" s="8"/>
      <c r="H3899" s="12"/>
      <c r="I3899" s="2"/>
      <c r="J3899" s="2"/>
      <c r="K3899" s="13"/>
      <c r="L3899" s="2"/>
      <c r="M3899" s="2"/>
      <c r="N3899" s="2"/>
      <c r="O3899" s="2"/>
      <c r="P3899" s="2"/>
      <c r="Q3899" s="2"/>
      <c r="R3899" s="2"/>
      <c r="S3899" s="2"/>
    </row>
    <row r="3900" spans="1:19" s="2" customFormat="1" ht="96.2" customHeight="1" outlineLevel="4">
      <c r="A3900" s="52">
        <v>3085</v>
      </c>
      <c r="B3900" s="26" t="s">
        <v>12974</v>
      </c>
      <c r="C3900" s="66" t="s">
        <v>12975</v>
      </c>
      <c r="D3900" s="66"/>
      <c r="E3900" s="66"/>
      <c r="F3900" s="66"/>
      <c r="G3900" s="27" t="s">
        <v>12976</v>
      </c>
      <c r="H3900" s="28" t="s">
        <v>44</v>
      </c>
      <c r="I3900" s="29"/>
      <c r="J3900" s="25">
        <v>5</v>
      </c>
      <c r="K3900" s="30">
        <v>117.82</v>
      </c>
      <c r="L3900" s="17"/>
      <c r="M3900" s="29">
        <f>K3900*L3900</f>
        <v>0</v>
      </c>
      <c r="N3900" s="31">
        <f>0.045*L3900</f>
        <v>0</v>
      </c>
      <c r="O3900" s="32">
        <f>0.00041*L3900</f>
        <v>0</v>
      </c>
      <c r="P3900" s="36"/>
      <c r="Q3900" s="29" t="s">
        <v>12977</v>
      </c>
      <c r="R3900" s="29"/>
      <c r="S3900" s="26" t="str">
        <f>HYPERLINK("https://miland.ru/api/getInfo/image/bf8d0420-f7b1-11e7-951c-5cf3fc4a2490")</f>
        <v>https://miland.ru/api/getInfo/image/bf8d0420-f7b1-11e7-951c-5cf3fc4a2490</v>
      </c>
    </row>
    <row r="3901" spans="1:19" s="1" customFormat="1" ht="12" customHeight="1" outlineLevel="3">
      <c r="A3901" s="64" t="s">
        <v>12978</v>
      </c>
      <c r="B3901" s="64"/>
      <c r="C3901" s="64"/>
      <c r="D3901" s="64"/>
      <c r="E3901" s="64"/>
      <c r="F3901" s="64"/>
      <c r="G3901" s="8"/>
      <c r="H3901" s="12"/>
      <c r="I3901" s="2"/>
      <c r="J3901" s="2"/>
      <c r="K3901" s="13"/>
      <c r="L3901" s="2"/>
      <c r="M3901" s="2"/>
      <c r="N3901" s="2"/>
      <c r="O3901" s="2"/>
      <c r="P3901" s="2"/>
      <c r="Q3901" s="2"/>
      <c r="R3901" s="2"/>
      <c r="S3901" s="2"/>
    </row>
    <row r="3902" spans="1:19" s="1" customFormat="1" ht="12" customHeight="1" outlineLevel="4">
      <c r="A3902" s="64" t="s">
        <v>12979</v>
      </c>
      <c r="B3902" s="64"/>
      <c r="C3902" s="64"/>
      <c r="D3902" s="64"/>
      <c r="E3902" s="64"/>
      <c r="F3902" s="64"/>
      <c r="G3902" s="8"/>
      <c r="H3902" s="12"/>
      <c r="I3902" s="2"/>
      <c r="J3902" s="2"/>
      <c r="K3902" s="13"/>
      <c r="L3902" s="2"/>
      <c r="M3902" s="2"/>
      <c r="N3902" s="2"/>
      <c r="O3902" s="2"/>
      <c r="P3902" s="2"/>
      <c r="Q3902" s="2"/>
      <c r="R3902" s="2"/>
      <c r="S3902" s="2"/>
    </row>
    <row r="3903" spans="1:19" s="2" customFormat="1" ht="96.2" customHeight="1" outlineLevel="5">
      <c r="A3903" s="52">
        <v>3086</v>
      </c>
      <c r="B3903" s="26" t="s">
        <v>12980</v>
      </c>
      <c r="C3903" s="66" t="s">
        <v>12981</v>
      </c>
      <c r="D3903" s="66"/>
      <c r="E3903" s="66"/>
      <c r="F3903" s="66"/>
      <c r="G3903" s="27" t="s">
        <v>12982</v>
      </c>
      <c r="H3903" s="33">
        <v>2</v>
      </c>
      <c r="I3903" s="29"/>
      <c r="J3903" s="25">
        <v>1</v>
      </c>
      <c r="K3903" s="30">
        <v>701.1</v>
      </c>
      <c r="L3903" s="17"/>
      <c r="M3903" s="29">
        <f t="shared" ref="M3903:M3908" si="185">K3903*L3903</f>
        <v>0</v>
      </c>
      <c r="N3903" s="31">
        <f>0.222*L3903</f>
        <v>0</v>
      </c>
      <c r="O3903" s="32">
        <f>0.00162*L3903</f>
        <v>0</v>
      </c>
      <c r="P3903" s="36"/>
      <c r="Q3903" s="29" t="s">
        <v>12983</v>
      </c>
      <c r="R3903" s="29" t="s">
        <v>611</v>
      </c>
      <c r="S3903" s="26" t="str">
        <f>HYPERLINK("https://miland.ru/api/getInfo/image/1ba6aeef-e9b4-11ed-a233-00155d82e902")</f>
        <v>https://miland.ru/api/getInfo/image/1ba6aeef-e9b4-11ed-a233-00155d82e902</v>
      </c>
    </row>
    <row r="3904" spans="1:19" s="2" customFormat="1" ht="96.2" customHeight="1" outlineLevel="5">
      <c r="A3904" s="52">
        <v>3087</v>
      </c>
      <c r="B3904" s="26" t="s">
        <v>12984</v>
      </c>
      <c r="C3904" s="66" t="s">
        <v>12985</v>
      </c>
      <c r="D3904" s="66"/>
      <c r="E3904" s="66"/>
      <c r="F3904" s="66"/>
      <c r="G3904" s="27" t="s">
        <v>12986</v>
      </c>
      <c r="H3904" s="33">
        <v>5</v>
      </c>
      <c r="I3904" s="29"/>
      <c r="J3904" s="25">
        <v>1</v>
      </c>
      <c r="K3904" s="37">
        <v>1051.6500000000001</v>
      </c>
      <c r="L3904" s="17"/>
      <c r="M3904" s="29">
        <f t="shared" si="185"/>
        <v>0</v>
      </c>
      <c r="N3904" s="31">
        <f>0.381*L3904</f>
        <v>0</v>
      </c>
      <c r="O3904" s="32">
        <f>0.00256*L3904</f>
        <v>0</v>
      </c>
      <c r="P3904" s="36"/>
      <c r="Q3904" s="29" t="s">
        <v>12987</v>
      </c>
      <c r="R3904" s="29" t="s">
        <v>611</v>
      </c>
      <c r="S3904" s="26" t="str">
        <f>HYPERLINK("https://miland.ru/api/getInfo/image/18ae5ca3-e9c2-11ed-a233-00155d82e902")</f>
        <v>https://miland.ru/api/getInfo/image/18ae5ca3-e9c2-11ed-a233-00155d82e902</v>
      </c>
    </row>
    <row r="3905" spans="1:19" s="2" customFormat="1" ht="96.2" customHeight="1" outlineLevel="5">
      <c r="A3905" s="52">
        <v>3088</v>
      </c>
      <c r="B3905" s="26" t="s">
        <v>12988</v>
      </c>
      <c r="C3905" s="66" t="s">
        <v>12989</v>
      </c>
      <c r="D3905" s="66"/>
      <c r="E3905" s="66"/>
      <c r="F3905" s="66"/>
      <c r="G3905" s="27" t="s">
        <v>12990</v>
      </c>
      <c r="H3905" s="33">
        <v>33</v>
      </c>
      <c r="I3905" s="29"/>
      <c r="J3905" s="25">
        <v>1</v>
      </c>
      <c r="K3905" s="37">
        <v>1051.6500000000001</v>
      </c>
      <c r="L3905" s="17"/>
      <c r="M3905" s="29">
        <f t="shared" si="185"/>
        <v>0</v>
      </c>
      <c r="N3905" s="31">
        <f>0.406*L3905</f>
        <v>0</v>
      </c>
      <c r="O3905" s="32">
        <f>0.00297*L3905</f>
        <v>0</v>
      </c>
      <c r="P3905" s="36"/>
      <c r="Q3905" s="29" t="s">
        <v>12991</v>
      </c>
      <c r="R3905" s="29" t="s">
        <v>611</v>
      </c>
      <c r="S3905" s="26" t="str">
        <f>HYPERLINK("https://miland.ru/api/getInfo/image/2c5b64e8-e9c1-11ed-a233-00155d82e902")</f>
        <v>https://miland.ru/api/getInfo/image/2c5b64e8-e9c1-11ed-a233-00155d82e902</v>
      </c>
    </row>
    <row r="3906" spans="1:19" s="2" customFormat="1" ht="96.2" customHeight="1" outlineLevel="5">
      <c r="A3906" s="52">
        <v>3089</v>
      </c>
      <c r="B3906" s="26" t="s">
        <v>12992</v>
      </c>
      <c r="C3906" s="66" t="s">
        <v>12993</v>
      </c>
      <c r="D3906" s="66"/>
      <c r="E3906" s="66"/>
      <c r="F3906" s="66"/>
      <c r="G3906" s="27" t="s">
        <v>12994</v>
      </c>
      <c r="H3906" s="33">
        <v>2</v>
      </c>
      <c r="I3906" s="29"/>
      <c r="J3906" s="25">
        <v>1</v>
      </c>
      <c r="K3906" s="30">
        <v>901.42</v>
      </c>
      <c r="L3906" s="17"/>
      <c r="M3906" s="29">
        <f t="shared" si="185"/>
        <v>0</v>
      </c>
      <c r="N3906" s="31">
        <f>0.299*L3906</f>
        <v>0</v>
      </c>
      <c r="O3906" s="32">
        <f>0.00196*L3906</f>
        <v>0</v>
      </c>
      <c r="P3906" s="36"/>
      <c r="Q3906" s="29" t="s">
        <v>12995</v>
      </c>
      <c r="R3906" s="29" t="s">
        <v>611</v>
      </c>
      <c r="S3906" s="26" t="str">
        <f>HYPERLINK("https://miland.ru/api/getInfo/image/97d9c7cb-e9bc-11ed-a233-00155d82e902")</f>
        <v>https://miland.ru/api/getInfo/image/97d9c7cb-e9bc-11ed-a233-00155d82e902</v>
      </c>
    </row>
    <row r="3907" spans="1:19" s="2" customFormat="1" ht="96.2" customHeight="1" outlineLevel="5">
      <c r="A3907" s="52">
        <v>3090</v>
      </c>
      <c r="B3907" s="26" t="s">
        <v>12996</v>
      </c>
      <c r="C3907" s="66" t="s">
        <v>12997</v>
      </c>
      <c r="D3907" s="66"/>
      <c r="E3907" s="66"/>
      <c r="F3907" s="66"/>
      <c r="G3907" s="27" t="s">
        <v>12998</v>
      </c>
      <c r="H3907" s="33">
        <v>2</v>
      </c>
      <c r="I3907" s="29"/>
      <c r="J3907" s="25">
        <v>1</v>
      </c>
      <c r="K3907" s="30">
        <v>701.1</v>
      </c>
      <c r="L3907" s="17"/>
      <c r="M3907" s="29">
        <f t="shared" si="185"/>
        <v>0</v>
      </c>
      <c r="N3907" s="31">
        <f>0.212*L3907</f>
        <v>0</v>
      </c>
      <c r="O3907" s="32">
        <f>0.00149*L3907</f>
        <v>0</v>
      </c>
      <c r="P3907" s="36"/>
      <c r="Q3907" s="29" t="s">
        <v>12999</v>
      </c>
      <c r="R3907" s="29" t="s">
        <v>611</v>
      </c>
      <c r="S3907" s="26" t="str">
        <f>HYPERLINK("https://miland.ru/api/getInfo/image/1c813c55-e9ba-11ed-a233-00155d82e902")</f>
        <v>https://miland.ru/api/getInfo/image/1c813c55-e9ba-11ed-a233-00155d82e902</v>
      </c>
    </row>
    <row r="3908" spans="1:19" s="2" customFormat="1" ht="96.2" customHeight="1" outlineLevel="5">
      <c r="A3908" s="52">
        <v>3091</v>
      </c>
      <c r="B3908" s="26" t="s">
        <v>13000</v>
      </c>
      <c r="C3908" s="66" t="s">
        <v>13001</v>
      </c>
      <c r="D3908" s="66"/>
      <c r="E3908" s="66"/>
      <c r="F3908" s="66"/>
      <c r="G3908" s="27" t="s">
        <v>13002</v>
      </c>
      <c r="H3908" s="33">
        <v>2</v>
      </c>
      <c r="I3908" s="29"/>
      <c r="J3908" s="25">
        <v>1</v>
      </c>
      <c r="K3908" s="30">
        <v>701.1</v>
      </c>
      <c r="L3908" s="17"/>
      <c r="M3908" s="29">
        <f t="shared" si="185"/>
        <v>0</v>
      </c>
      <c r="N3908" s="31">
        <f>0.229*L3908</f>
        <v>0</v>
      </c>
      <c r="O3908" s="35">
        <f>0.0016*L3908</f>
        <v>0</v>
      </c>
      <c r="P3908" s="36"/>
      <c r="Q3908" s="29" t="s">
        <v>13003</v>
      </c>
      <c r="R3908" s="29" t="s">
        <v>611</v>
      </c>
      <c r="S3908" s="26" t="str">
        <f>HYPERLINK("https://miland.ru/api/getInfo/image/8c5bab8d-e9b8-11ed-a233-00155d82e902")</f>
        <v>https://miland.ru/api/getInfo/image/8c5bab8d-e9b8-11ed-a233-00155d82e902</v>
      </c>
    </row>
    <row r="3909" spans="1:19" s="1" customFormat="1" ht="12" customHeight="1" outlineLevel="4">
      <c r="A3909" s="64" t="s">
        <v>13004</v>
      </c>
      <c r="B3909" s="64"/>
      <c r="C3909" s="64"/>
      <c r="D3909" s="64"/>
      <c r="E3909" s="64"/>
      <c r="F3909" s="64"/>
      <c r="G3909" s="8"/>
      <c r="H3909" s="12"/>
      <c r="I3909" s="2"/>
      <c r="J3909" s="2"/>
      <c r="K3909" s="13"/>
      <c r="L3909" s="2"/>
      <c r="M3909" s="2"/>
      <c r="N3909" s="2"/>
      <c r="O3909" s="2"/>
      <c r="P3909" s="2"/>
      <c r="Q3909" s="2"/>
      <c r="R3909" s="2"/>
      <c r="S3909" s="2"/>
    </row>
    <row r="3910" spans="1:19" s="2" customFormat="1" ht="96.2" customHeight="1" outlineLevel="5">
      <c r="A3910" s="52">
        <v>3092</v>
      </c>
      <c r="B3910" s="26" t="s">
        <v>13005</v>
      </c>
      <c r="C3910" s="66" t="s">
        <v>13006</v>
      </c>
      <c r="D3910" s="66"/>
      <c r="E3910" s="66"/>
      <c r="F3910" s="66"/>
      <c r="G3910" s="27" t="s">
        <v>13007</v>
      </c>
      <c r="H3910" s="33">
        <v>93</v>
      </c>
      <c r="I3910" s="29"/>
      <c r="J3910" s="25">
        <v>2</v>
      </c>
      <c r="K3910" s="30">
        <v>358.99</v>
      </c>
      <c r="L3910" s="17"/>
      <c r="M3910" s="29">
        <f t="shared" ref="M3910:M3918" si="186">K3910*L3910</f>
        <v>0</v>
      </c>
      <c r="N3910" s="31">
        <f>0.132*L3910</f>
        <v>0</v>
      </c>
      <c r="O3910" s="32">
        <f>0.00087*L3910</f>
        <v>0</v>
      </c>
      <c r="P3910" s="36"/>
      <c r="Q3910" s="29" t="s">
        <v>13008</v>
      </c>
      <c r="R3910" s="29"/>
      <c r="S3910" s="26" t="str">
        <f>HYPERLINK("https://miland.ru/api/getInfo/image/37607688-f725-11ee-a25d-00155d82e908")</f>
        <v>https://miland.ru/api/getInfo/image/37607688-f725-11ee-a25d-00155d82e908</v>
      </c>
    </row>
    <row r="3911" spans="1:19" s="2" customFormat="1" ht="96.2" customHeight="1" outlineLevel="5">
      <c r="A3911" s="52">
        <v>3093</v>
      </c>
      <c r="B3911" s="26" t="s">
        <v>13009</v>
      </c>
      <c r="C3911" s="66" t="s">
        <v>13010</v>
      </c>
      <c r="D3911" s="66"/>
      <c r="E3911" s="66"/>
      <c r="F3911" s="66"/>
      <c r="G3911" s="27" t="s">
        <v>13011</v>
      </c>
      <c r="H3911" s="33">
        <v>127</v>
      </c>
      <c r="I3911" s="29"/>
      <c r="J3911" s="25">
        <v>1</v>
      </c>
      <c r="K3911" s="30">
        <v>695.84</v>
      </c>
      <c r="L3911" s="17"/>
      <c r="M3911" s="29">
        <f t="shared" si="186"/>
        <v>0</v>
      </c>
      <c r="N3911" s="31">
        <f>0.267*L3911</f>
        <v>0</v>
      </c>
      <c r="O3911" s="32">
        <f>0.00011*L3911</f>
        <v>0</v>
      </c>
      <c r="P3911" s="36"/>
      <c r="Q3911" s="29" t="s">
        <v>13012</v>
      </c>
      <c r="R3911" s="29"/>
      <c r="S3911" s="26" t="str">
        <f>HYPERLINK("https://miland.ru/api/getInfo/image/aaad8fe5-f723-11ee-a25d-00155d82e908")</f>
        <v>https://miland.ru/api/getInfo/image/aaad8fe5-f723-11ee-a25d-00155d82e908</v>
      </c>
    </row>
    <row r="3912" spans="1:19" s="2" customFormat="1" ht="96.2" customHeight="1" outlineLevel="5">
      <c r="A3912" s="52">
        <v>3094</v>
      </c>
      <c r="B3912" s="26" t="s">
        <v>13013</v>
      </c>
      <c r="C3912" s="66" t="s">
        <v>13014</v>
      </c>
      <c r="D3912" s="66"/>
      <c r="E3912" s="66"/>
      <c r="F3912" s="66"/>
      <c r="G3912" s="27" t="s">
        <v>13015</v>
      </c>
      <c r="H3912" s="33">
        <v>5</v>
      </c>
      <c r="I3912" s="29"/>
      <c r="J3912" s="25">
        <v>1</v>
      </c>
      <c r="K3912" s="30">
        <v>669.68</v>
      </c>
      <c r="L3912" s="17"/>
      <c r="M3912" s="29">
        <f t="shared" si="186"/>
        <v>0</v>
      </c>
      <c r="N3912" s="31">
        <f>0.271*L3912</f>
        <v>0</v>
      </c>
      <c r="O3912" s="32">
        <f>0.00106*L3912</f>
        <v>0</v>
      </c>
      <c r="P3912" s="36"/>
      <c r="Q3912" s="29" t="s">
        <v>13016</v>
      </c>
      <c r="R3912" s="29" t="s">
        <v>611</v>
      </c>
      <c r="S3912" s="26" t="str">
        <f>HYPERLINK("https://miland.ru/api/getInfo/image/94a902ec-f71c-11ee-a25d-00155d82e908")</f>
        <v>https://miland.ru/api/getInfo/image/94a902ec-f71c-11ee-a25d-00155d82e908</v>
      </c>
    </row>
    <row r="3913" spans="1:19" s="2" customFormat="1" ht="96.2" customHeight="1" outlineLevel="5">
      <c r="A3913" s="52">
        <v>3095</v>
      </c>
      <c r="B3913" s="26" t="s">
        <v>13017</v>
      </c>
      <c r="C3913" s="66" t="s">
        <v>13018</v>
      </c>
      <c r="D3913" s="66"/>
      <c r="E3913" s="66"/>
      <c r="F3913" s="66"/>
      <c r="G3913" s="27" t="s">
        <v>13019</v>
      </c>
      <c r="H3913" s="33">
        <v>94</v>
      </c>
      <c r="I3913" s="29"/>
      <c r="J3913" s="25">
        <v>2</v>
      </c>
      <c r="K3913" s="30">
        <v>358.99</v>
      </c>
      <c r="L3913" s="17"/>
      <c r="M3913" s="29">
        <f t="shared" si="186"/>
        <v>0</v>
      </c>
      <c r="N3913" s="31">
        <f>0.138*L3913</f>
        <v>0</v>
      </c>
      <c r="O3913" s="32">
        <f>0.00081*L3913</f>
        <v>0</v>
      </c>
      <c r="P3913" s="36"/>
      <c r="Q3913" s="29" t="s">
        <v>13020</v>
      </c>
      <c r="R3913" s="29"/>
      <c r="S3913" s="26" t="str">
        <f>HYPERLINK("https://miland.ru/api/getInfo/image/45aea953-f725-11ee-a25d-00155d82e908")</f>
        <v>https://miland.ru/api/getInfo/image/45aea953-f725-11ee-a25d-00155d82e908</v>
      </c>
    </row>
    <row r="3914" spans="1:19" s="2" customFormat="1" ht="96.2" customHeight="1" outlineLevel="5">
      <c r="A3914" s="52">
        <v>3096</v>
      </c>
      <c r="B3914" s="26" t="s">
        <v>13021</v>
      </c>
      <c r="C3914" s="66" t="s">
        <v>13022</v>
      </c>
      <c r="D3914" s="66"/>
      <c r="E3914" s="66"/>
      <c r="F3914" s="66"/>
      <c r="G3914" s="27" t="s">
        <v>13023</v>
      </c>
      <c r="H3914" s="33">
        <v>194</v>
      </c>
      <c r="I3914" s="29"/>
      <c r="J3914" s="25">
        <v>1</v>
      </c>
      <c r="K3914" s="30">
        <v>620.15</v>
      </c>
      <c r="L3914" s="17"/>
      <c r="M3914" s="29">
        <f t="shared" si="186"/>
        <v>0</v>
      </c>
      <c r="N3914" s="31">
        <f>0.185*L3914</f>
        <v>0</v>
      </c>
      <c r="O3914" s="35">
        <f>0.0008*L3914</f>
        <v>0</v>
      </c>
      <c r="P3914" s="36"/>
      <c r="Q3914" s="29" t="s">
        <v>13024</v>
      </c>
      <c r="R3914" s="29"/>
      <c r="S3914" s="26" t="str">
        <f>HYPERLINK("https://miland.ru/api/getInfo/image/0189f0cd-f726-11ee-a25d-00155d82e908")</f>
        <v>https://miland.ru/api/getInfo/image/0189f0cd-f726-11ee-a25d-00155d82e908</v>
      </c>
    </row>
    <row r="3915" spans="1:19" s="2" customFormat="1" ht="96.2" customHeight="1" outlineLevel="5">
      <c r="A3915" s="52">
        <v>3097</v>
      </c>
      <c r="B3915" s="26" t="s">
        <v>13025</v>
      </c>
      <c r="C3915" s="66" t="s">
        <v>13026</v>
      </c>
      <c r="D3915" s="66"/>
      <c r="E3915" s="66"/>
      <c r="F3915" s="66"/>
      <c r="G3915" s="27" t="s">
        <v>13027</v>
      </c>
      <c r="H3915" s="33">
        <v>394</v>
      </c>
      <c r="I3915" s="29"/>
      <c r="J3915" s="25">
        <v>1</v>
      </c>
      <c r="K3915" s="30">
        <v>670.6</v>
      </c>
      <c r="L3915" s="17"/>
      <c r="M3915" s="29">
        <f t="shared" si="186"/>
        <v>0</v>
      </c>
      <c r="N3915" s="34">
        <f>0.19*L3915</f>
        <v>0</v>
      </c>
      <c r="O3915" s="32">
        <f>0.00072*L3915</f>
        <v>0</v>
      </c>
      <c r="P3915" s="36"/>
      <c r="Q3915" s="29" t="s">
        <v>13028</v>
      </c>
      <c r="R3915" s="29"/>
      <c r="S3915" s="26" t="str">
        <f>HYPERLINK("https://miland.ru/api/getInfo/image/02fc6533-f724-11ee-a25d-00155d82e908")</f>
        <v>https://miland.ru/api/getInfo/image/02fc6533-f724-11ee-a25d-00155d82e908</v>
      </c>
    </row>
    <row r="3916" spans="1:19" s="2" customFormat="1" ht="96.2" customHeight="1" outlineLevel="5">
      <c r="A3916" s="52">
        <v>3098</v>
      </c>
      <c r="B3916" s="26" t="s">
        <v>13029</v>
      </c>
      <c r="C3916" s="66" t="s">
        <v>13030</v>
      </c>
      <c r="D3916" s="66"/>
      <c r="E3916" s="66"/>
      <c r="F3916" s="66"/>
      <c r="G3916" s="27" t="s">
        <v>13031</v>
      </c>
      <c r="H3916" s="33">
        <v>394</v>
      </c>
      <c r="I3916" s="29"/>
      <c r="J3916" s="25">
        <v>1</v>
      </c>
      <c r="K3916" s="30">
        <v>670.6</v>
      </c>
      <c r="L3916" s="17"/>
      <c r="M3916" s="29">
        <f t="shared" si="186"/>
        <v>0</v>
      </c>
      <c r="N3916" s="31">
        <f>0.192*L3916</f>
        <v>0</v>
      </c>
      <c r="O3916" s="32">
        <f>0.00084*L3916</f>
        <v>0</v>
      </c>
      <c r="P3916" s="36"/>
      <c r="Q3916" s="29" t="s">
        <v>13032</v>
      </c>
      <c r="R3916" s="29"/>
      <c r="S3916" s="26" t="str">
        <f>HYPERLINK("https://miland.ru/api/getInfo/image/29c05abc-f725-11ee-a25d-00155d82e908")</f>
        <v>https://miland.ru/api/getInfo/image/29c05abc-f725-11ee-a25d-00155d82e908</v>
      </c>
    </row>
    <row r="3917" spans="1:19" s="2" customFormat="1" ht="96.2" customHeight="1" outlineLevel="5">
      <c r="A3917" s="52">
        <v>3099</v>
      </c>
      <c r="B3917" s="26" t="s">
        <v>13033</v>
      </c>
      <c r="C3917" s="66" t="s">
        <v>13034</v>
      </c>
      <c r="D3917" s="66"/>
      <c r="E3917" s="66"/>
      <c r="F3917" s="66"/>
      <c r="G3917" s="27" t="s">
        <v>13035</v>
      </c>
      <c r="H3917" s="28" t="s">
        <v>44</v>
      </c>
      <c r="I3917" s="29"/>
      <c r="J3917" s="25">
        <v>4</v>
      </c>
      <c r="K3917" s="30">
        <v>145.68</v>
      </c>
      <c r="L3917" s="17"/>
      <c r="M3917" s="29">
        <f t="shared" si="186"/>
        <v>0</v>
      </c>
      <c r="N3917" s="31">
        <f>0.054*L3917</f>
        <v>0</v>
      </c>
      <c r="O3917" s="32">
        <f>0.00242*L3917</f>
        <v>0</v>
      </c>
      <c r="P3917" s="36"/>
      <c r="Q3917" s="29" t="s">
        <v>13036</v>
      </c>
      <c r="R3917" s="29"/>
      <c r="S3917" s="26" t="str">
        <f>HYPERLINK("https://miland.ru/api/getInfo/image/4b91c41d-f726-11ee-a25d-00155d82e908")</f>
        <v>https://miland.ru/api/getInfo/image/4b91c41d-f726-11ee-a25d-00155d82e908</v>
      </c>
    </row>
    <row r="3918" spans="1:19" s="2" customFormat="1" ht="96.2" customHeight="1" outlineLevel="5">
      <c r="A3918" s="52">
        <v>3100</v>
      </c>
      <c r="B3918" s="26" t="s">
        <v>13037</v>
      </c>
      <c r="C3918" s="66" t="s">
        <v>13038</v>
      </c>
      <c r="D3918" s="66"/>
      <c r="E3918" s="66"/>
      <c r="F3918" s="66"/>
      <c r="G3918" s="27" t="s">
        <v>13039</v>
      </c>
      <c r="H3918" s="33">
        <v>249</v>
      </c>
      <c r="I3918" s="29"/>
      <c r="J3918" s="25">
        <v>1</v>
      </c>
      <c r="K3918" s="30">
        <v>521.92999999999995</v>
      </c>
      <c r="L3918" s="17"/>
      <c r="M3918" s="29">
        <f t="shared" si="186"/>
        <v>0</v>
      </c>
      <c r="N3918" s="31">
        <f>0.189*L3918</f>
        <v>0</v>
      </c>
      <c r="O3918" s="32">
        <f>0.00081*L3918</f>
        <v>0</v>
      </c>
      <c r="P3918" s="36"/>
      <c r="Q3918" s="29" t="s">
        <v>13040</v>
      </c>
      <c r="R3918" s="29"/>
      <c r="S3918" s="26" t="str">
        <f>HYPERLINK("https://miland.ru/api/getInfo/image/f07c8642-f725-11ee-a25d-00155d82e908")</f>
        <v>https://miland.ru/api/getInfo/image/f07c8642-f725-11ee-a25d-00155d82e908</v>
      </c>
    </row>
    <row r="3919" spans="1:19" s="1" customFormat="1" ht="12" customHeight="1" outlineLevel="2">
      <c r="A3919" s="63" t="s">
        <v>13041</v>
      </c>
      <c r="B3919" s="63"/>
      <c r="C3919" s="63"/>
      <c r="D3919" s="63"/>
      <c r="E3919" s="63"/>
      <c r="F3919" s="63"/>
      <c r="G3919" s="8"/>
      <c r="H3919" s="12"/>
      <c r="I3919" s="2"/>
      <c r="J3919" s="2"/>
      <c r="K3919" s="13"/>
      <c r="L3919" s="2"/>
      <c r="M3919" s="2"/>
      <c r="N3919" s="2"/>
      <c r="O3919" s="2"/>
      <c r="P3919" s="2"/>
      <c r="Q3919" s="2"/>
      <c r="R3919" s="2"/>
      <c r="S3919" s="2"/>
    </row>
    <row r="3920" spans="1:19" s="1" customFormat="1" ht="12" customHeight="1" outlineLevel="3">
      <c r="A3920" s="64" t="s">
        <v>13042</v>
      </c>
      <c r="B3920" s="64"/>
      <c r="C3920" s="64"/>
      <c r="D3920" s="64"/>
      <c r="E3920" s="64"/>
      <c r="F3920" s="64"/>
      <c r="G3920" s="8"/>
      <c r="H3920" s="12"/>
      <c r="I3920" s="2"/>
      <c r="J3920" s="2"/>
      <c r="K3920" s="13"/>
      <c r="L3920" s="2"/>
      <c r="M3920" s="2"/>
      <c r="N3920" s="2"/>
      <c r="O3920" s="2"/>
      <c r="P3920" s="2"/>
      <c r="Q3920" s="2"/>
      <c r="R3920" s="2"/>
      <c r="S3920" s="2"/>
    </row>
    <row r="3921" spans="1:19" s="2" customFormat="1" ht="96.2" customHeight="1" outlineLevel="4">
      <c r="A3921" s="52">
        <v>3101</v>
      </c>
      <c r="B3921" s="26" t="s">
        <v>13043</v>
      </c>
      <c r="C3921" s="66" t="s">
        <v>13044</v>
      </c>
      <c r="D3921" s="66"/>
      <c r="E3921" s="66"/>
      <c r="F3921" s="66"/>
      <c r="G3921" s="27" t="s">
        <v>13045</v>
      </c>
      <c r="H3921" s="33">
        <v>6</v>
      </c>
      <c r="I3921" s="29"/>
      <c r="J3921" s="25">
        <v>4</v>
      </c>
      <c r="K3921" s="30">
        <v>161.78</v>
      </c>
      <c r="L3921" s="17"/>
      <c r="M3921" s="29">
        <f>K3921*L3921</f>
        <v>0</v>
      </c>
      <c r="N3921" s="31">
        <f>0.063*L3921</f>
        <v>0</v>
      </c>
      <c r="O3921" s="35">
        <f>0.0005*L3921</f>
        <v>0</v>
      </c>
      <c r="P3921" s="36"/>
      <c r="Q3921" s="29" t="s">
        <v>13046</v>
      </c>
      <c r="R3921" s="29"/>
      <c r="S3921" s="26" t="str">
        <f>HYPERLINK("https://miland.ru/api/getInfo/image/b87bd383-f969-11ed-a239-00155d82e902")</f>
        <v>https://miland.ru/api/getInfo/image/b87bd383-f969-11ed-a239-00155d82e902</v>
      </c>
    </row>
    <row r="3922" spans="1:19" s="1" customFormat="1" ht="12" customHeight="1" outlineLevel="3">
      <c r="A3922" s="64" t="s">
        <v>13047</v>
      </c>
      <c r="B3922" s="64"/>
      <c r="C3922" s="64"/>
      <c r="D3922" s="64"/>
      <c r="E3922" s="64"/>
      <c r="F3922" s="64"/>
      <c r="G3922" s="8"/>
      <c r="H3922" s="12"/>
      <c r="I3922" s="2"/>
      <c r="J3922" s="2"/>
      <c r="K3922" s="13"/>
      <c r="L3922" s="2"/>
      <c r="M3922" s="2"/>
      <c r="N3922" s="2"/>
      <c r="O3922" s="2"/>
      <c r="P3922" s="2"/>
      <c r="Q3922" s="2"/>
      <c r="R3922" s="2"/>
      <c r="S3922" s="2"/>
    </row>
    <row r="3923" spans="1:19" s="2" customFormat="1" ht="96.2" customHeight="1" outlineLevel="4">
      <c r="A3923" s="52">
        <v>3102</v>
      </c>
      <c r="B3923" s="26" t="s">
        <v>13048</v>
      </c>
      <c r="C3923" s="66" t="s">
        <v>13049</v>
      </c>
      <c r="D3923" s="66"/>
      <c r="E3923" s="66"/>
      <c r="F3923" s="66"/>
      <c r="G3923" s="27" t="s">
        <v>13050</v>
      </c>
      <c r="H3923" s="33">
        <v>5</v>
      </c>
      <c r="I3923" s="29"/>
      <c r="J3923" s="25">
        <v>1</v>
      </c>
      <c r="K3923" s="30">
        <v>899.7</v>
      </c>
      <c r="L3923" s="17"/>
      <c r="M3923" s="29">
        <f t="shared" ref="M3923:M3935" si="187">K3923*L3923</f>
        <v>0</v>
      </c>
      <c r="N3923" s="31">
        <f>0.184*L3923</f>
        <v>0</v>
      </c>
      <c r="O3923" s="32">
        <f>0.00163*L3923</f>
        <v>0</v>
      </c>
      <c r="P3923" s="36"/>
      <c r="Q3923" s="29" t="s">
        <v>13051</v>
      </c>
      <c r="R3923" s="29" t="s">
        <v>611</v>
      </c>
      <c r="S3923" s="26" t="str">
        <f>HYPERLINK("https://miland.ru/api/getInfo/image/1a773cb1-f5ab-11ee-a25b-00155d82e908")</f>
        <v>https://miland.ru/api/getInfo/image/1a773cb1-f5ab-11ee-a25b-00155d82e908</v>
      </c>
    </row>
    <row r="3924" spans="1:19" s="2" customFormat="1" ht="96.2" customHeight="1" outlineLevel="4">
      <c r="A3924" s="52">
        <v>3103</v>
      </c>
      <c r="B3924" s="26" t="s">
        <v>13052</v>
      </c>
      <c r="C3924" s="66" t="s">
        <v>13053</v>
      </c>
      <c r="D3924" s="66"/>
      <c r="E3924" s="66"/>
      <c r="F3924" s="66"/>
      <c r="G3924" s="27" t="s">
        <v>13054</v>
      </c>
      <c r="H3924" s="33">
        <v>1</v>
      </c>
      <c r="I3924" s="29"/>
      <c r="J3924" s="25">
        <v>1</v>
      </c>
      <c r="K3924" s="30">
        <v>352.64</v>
      </c>
      <c r="L3924" s="17"/>
      <c r="M3924" s="29">
        <f t="shared" si="187"/>
        <v>0</v>
      </c>
      <c r="N3924" s="31">
        <f>0.049*L3924</f>
        <v>0</v>
      </c>
      <c r="O3924" s="32">
        <f>0.00056*L3924</f>
        <v>0</v>
      </c>
      <c r="P3924" s="36"/>
      <c r="Q3924" s="29" t="s">
        <v>13055</v>
      </c>
      <c r="R3924" s="29"/>
      <c r="S3924" s="26" t="str">
        <f>HYPERLINK("https://miland.ru/api/getInfo/image/506bd3ab-f5ac-11ee-a25b-00155d82e908")</f>
        <v>https://miland.ru/api/getInfo/image/506bd3ab-f5ac-11ee-a25b-00155d82e908</v>
      </c>
    </row>
    <row r="3925" spans="1:19" s="2" customFormat="1" ht="96.2" customHeight="1" outlineLevel="4">
      <c r="A3925" s="52">
        <v>3104</v>
      </c>
      <c r="B3925" s="26" t="s">
        <v>13056</v>
      </c>
      <c r="C3925" s="66" t="s">
        <v>13057</v>
      </c>
      <c r="D3925" s="66"/>
      <c r="E3925" s="66"/>
      <c r="F3925" s="66"/>
      <c r="G3925" s="27" t="s">
        <v>13058</v>
      </c>
      <c r="H3925" s="33">
        <v>9</v>
      </c>
      <c r="I3925" s="29"/>
      <c r="J3925" s="25">
        <v>1</v>
      </c>
      <c r="K3925" s="30">
        <v>885</v>
      </c>
      <c r="L3925" s="17"/>
      <c r="M3925" s="29">
        <f t="shared" si="187"/>
        <v>0</v>
      </c>
      <c r="N3925" s="31">
        <f>0.163*L3925</f>
        <v>0</v>
      </c>
      <c r="O3925" s="32">
        <f>0.00109*L3925</f>
        <v>0</v>
      </c>
      <c r="P3925" s="36"/>
      <c r="Q3925" s="29" t="s">
        <v>13059</v>
      </c>
      <c r="R3925" s="29" t="s">
        <v>611</v>
      </c>
      <c r="S3925" s="26" t="str">
        <f>HYPERLINK("https://miland.ru/api/getInfo/image/7f2906f8-b6e4-11ef-a267-00155d82e908")</f>
        <v>https://miland.ru/api/getInfo/image/7f2906f8-b6e4-11ef-a267-00155d82e908</v>
      </c>
    </row>
    <row r="3926" spans="1:19" s="2" customFormat="1" ht="96.2" customHeight="1" outlineLevel="4">
      <c r="A3926" s="52">
        <v>3105</v>
      </c>
      <c r="B3926" s="26" t="s">
        <v>13060</v>
      </c>
      <c r="C3926" s="66" t="s">
        <v>13061</v>
      </c>
      <c r="D3926" s="66"/>
      <c r="E3926" s="66"/>
      <c r="F3926" s="66"/>
      <c r="G3926" s="27" t="s">
        <v>13062</v>
      </c>
      <c r="H3926" s="33">
        <v>1</v>
      </c>
      <c r="I3926" s="29"/>
      <c r="J3926" s="25">
        <v>1</v>
      </c>
      <c r="K3926" s="30">
        <v>834.43</v>
      </c>
      <c r="L3926" s="17"/>
      <c r="M3926" s="29">
        <f t="shared" si="187"/>
        <v>0</v>
      </c>
      <c r="N3926" s="31">
        <f>0.165*L3926</f>
        <v>0</v>
      </c>
      <c r="O3926" s="32">
        <f>0.00086*L3926</f>
        <v>0</v>
      </c>
      <c r="P3926" s="36"/>
      <c r="Q3926" s="29" t="s">
        <v>13063</v>
      </c>
      <c r="R3926" s="29" t="s">
        <v>611</v>
      </c>
      <c r="S3926" s="26" t="str">
        <f>HYPERLINK("https://miland.ru/api/getInfo/image/bd187cab-b6e4-11ef-a267-00155d82e908")</f>
        <v>https://miland.ru/api/getInfo/image/bd187cab-b6e4-11ef-a267-00155d82e908</v>
      </c>
    </row>
    <row r="3927" spans="1:19" s="2" customFormat="1" ht="96.2" customHeight="1" outlineLevel="4">
      <c r="A3927" s="52">
        <v>3106</v>
      </c>
      <c r="B3927" s="26" t="s">
        <v>13064</v>
      </c>
      <c r="C3927" s="66" t="s">
        <v>13065</v>
      </c>
      <c r="D3927" s="66"/>
      <c r="E3927" s="66"/>
      <c r="F3927" s="66"/>
      <c r="G3927" s="27" t="s">
        <v>13066</v>
      </c>
      <c r="H3927" s="33">
        <v>7</v>
      </c>
      <c r="I3927" s="29"/>
      <c r="J3927" s="25">
        <v>1</v>
      </c>
      <c r="K3927" s="30">
        <v>935.57</v>
      </c>
      <c r="L3927" s="17"/>
      <c r="M3927" s="29">
        <f t="shared" si="187"/>
        <v>0</v>
      </c>
      <c r="N3927" s="31">
        <f>0.141*L3927</f>
        <v>0</v>
      </c>
      <c r="O3927" s="35">
        <f>0.0012*L3927</f>
        <v>0</v>
      </c>
      <c r="P3927" s="36"/>
      <c r="Q3927" s="29" t="s">
        <v>13067</v>
      </c>
      <c r="R3927" s="29" t="s">
        <v>611</v>
      </c>
      <c r="S3927" s="26" t="str">
        <f>HYPERLINK("https://miland.ru/api/getInfo/image/1943f65a-b6e4-11ef-a267-00155d82e908")</f>
        <v>https://miland.ru/api/getInfo/image/1943f65a-b6e4-11ef-a267-00155d82e908</v>
      </c>
    </row>
    <row r="3928" spans="1:19" s="2" customFormat="1" ht="96.2" customHeight="1" outlineLevel="4">
      <c r="A3928" s="52">
        <v>3107</v>
      </c>
      <c r="B3928" s="26" t="s">
        <v>13068</v>
      </c>
      <c r="C3928" s="66" t="s">
        <v>13069</v>
      </c>
      <c r="D3928" s="66"/>
      <c r="E3928" s="66"/>
      <c r="F3928" s="66"/>
      <c r="G3928" s="27" t="s">
        <v>13070</v>
      </c>
      <c r="H3928" s="33">
        <v>1</v>
      </c>
      <c r="I3928" s="29"/>
      <c r="J3928" s="25">
        <v>1</v>
      </c>
      <c r="K3928" s="30">
        <v>885</v>
      </c>
      <c r="L3928" s="17"/>
      <c r="M3928" s="29">
        <f t="shared" si="187"/>
        <v>0</v>
      </c>
      <c r="N3928" s="31">
        <f>0.127*L3928</f>
        <v>0</v>
      </c>
      <c r="O3928" s="32">
        <f>0.00082*L3928</f>
        <v>0</v>
      </c>
      <c r="P3928" s="36"/>
      <c r="Q3928" s="29" t="s">
        <v>13071</v>
      </c>
      <c r="R3928" s="29" t="s">
        <v>611</v>
      </c>
      <c r="S3928" s="26" t="str">
        <f>HYPERLINK("https://miland.ru/api/getInfo/image/f16e55b1-b6e4-11ef-a267-00155d82e908")</f>
        <v>https://miland.ru/api/getInfo/image/f16e55b1-b6e4-11ef-a267-00155d82e908</v>
      </c>
    </row>
    <row r="3929" spans="1:19" s="2" customFormat="1" ht="96.2" customHeight="1" outlineLevel="4">
      <c r="A3929" s="52">
        <v>3108</v>
      </c>
      <c r="B3929" s="26" t="s">
        <v>13072</v>
      </c>
      <c r="C3929" s="66" t="s">
        <v>13073</v>
      </c>
      <c r="D3929" s="66"/>
      <c r="E3929" s="66"/>
      <c r="F3929" s="66"/>
      <c r="G3929" s="27" t="s">
        <v>13074</v>
      </c>
      <c r="H3929" s="33">
        <v>4</v>
      </c>
      <c r="I3929" s="29"/>
      <c r="J3929" s="25">
        <v>2</v>
      </c>
      <c r="K3929" s="30">
        <v>362.59</v>
      </c>
      <c r="L3929" s="17"/>
      <c r="M3929" s="29">
        <f t="shared" si="187"/>
        <v>0</v>
      </c>
      <c r="N3929" s="31">
        <f>0.081*L3929</f>
        <v>0</v>
      </c>
      <c r="O3929" s="32">
        <f>0.00069*L3929</f>
        <v>0</v>
      </c>
      <c r="P3929" s="36"/>
      <c r="Q3929" s="29" t="s">
        <v>13075</v>
      </c>
      <c r="R3929" s="29"/>
      <c r="S3929" s="26" t="str">
        <f>HYPERLINK("https://miland.ru/api/getInfo/image/3ab9d516-901a-11ee-a250-00155d82e908")</f>
        <v>https://miland.ru/api/getInfo/image/3ab9d516-901a-11ee-a250-00155d82e908</v>
      </c>
    </row>
    <row r="3930" spans="1:19" s="2" customFormat="1" ht="96.2" customHeight="1" outlineLevel="4">
      <c r="A3930" s="52">
        <v>3109</v>
      </c>
      <c r="B3930" s="26" t="s">
        <v>13076</v>
      </c>
      <c r="C3930" s="66" t="s">
        <v>13077</v>
      </c>
      <c r="D3930" s="66"/>
      <c r="E3930" s="66"/>
      <c r="F3930" s="66"/>
      <c r="G3930" s="27" t="s">
        <v>13078</v>
      </c>
      <c r="H3930" s="33">
        <v>73</v>
      </c>
      <c r="I3930" s="29"/>
      <c r="J3930" s="25">
        <v>2</v>
      </c>
      <c r="K3930" s="30">
        <v>362.59</v>
      </c>
      <c r="L3930" s="17"/>
      <c r="M3930" s="29">
        <f t="shared" si="187"/>
        <v>0</v>
      </c>
      <c r="N3930" s="31">
        <f>0.078*L3930</f>
        <v>0</v>
      </c>
      <c r="O3930" s="32">
        <f>0.00069*L3930</f>
        <v>0</v>
      </c>
      <c r="P3930" s="36"/>
      <c r="Q3930" s="29" t="s">
        <v>13079</v>
      </c>
      <c r="R3930" s="29"/>
      <c r="S3930" s="26" t="str">
        <f>HYPERLINK("https://miland.ru/api/getInfo/image/28fbedc3-901a-11ee-a250-00155d82e908")</f>
        <v>https://miland.ru/api/getInfo/image/28fbedc3-901a-11ee-a250-00155d82e908</v>
      </c>
    </row>
    <row r="3931" spans="1:19" s="2" customFormat="1" ht="96.2" customHeight="1" outlineLevel="4">
      <c r="A3931" s="52">
        <v>3110</v>
      </c>
      <c r="B3931" s="26" t="s">
        <v>13080</v>
      </c>
      <c r="C3931" s="66" t="s">
        <v>13081</v>
      </c>
      <c r="D3931" s="66"/>
      <c r="E3931" s="66"/>
      <c r="F3931" s="66"/>
      <c r="G3931" s="27" t="s">
        <v>13082</v>
      </c>
      <c r="H3931" s="33">
        <v>10</v>
      </c>
      <c r="I3931" s="29"/>
      <c r="J3931" s="25">
        <v>2</v>
      </c>
      <c r="K3931" s="30">
        <v>362.59</v>
      </c>
      <c r="L3931" s="17"/>
      <c r="M3931" s="29">
        <f t="shared" si="187"/>
        <v>0</v>
      </c>
      <c r="N3931" s="34">
        <f>0.08*L3931</f>
        <v>0</v>
      </c>
      <c r="O3931" s="32">
        <f>0.00468*L3931</f>
        <v>0</v>
      </c>
      <c r="P3931" s="36"/>
      <c r="Q3931" s="29" t="s">
        <v>13083</v>
      </c>
      <c r="R3931" s="29"/>
      <c r="S3931" s="26" t="str">
        <f>HYPERLINK("https://miland.ru/api/getInfo/image/646e4872-901a-11ee-a250-00155d82e908")</f>
        <v>https://miland.ru/api/getInfo/image/646e4872-901a-11ee-a250-00155d82e908</v>
      </c>
    </row>
    <row r="3932" spans="1:19" s="2" customFormat="1" ht="96.2" customHeight="1" outlineLevel="4">
      <c r="A3932" s="52">
        <v>3111</v>
      </c>
      <c r="B3932" s="26" t="s">
        <v>13084</v>
      </c>
      <c r="C3932" s="66" t="s">
        <v>13085</v>
      </c>
      <c r="D3932" s="66"/>
      <c r="E3932" s="66"/>
      <c r="F3932" s="66"/>
      <c r="G3932" s="27" t="s">
        <v>13086</v>
      </c>
      <c r="H3932" s="33">
        <v>4</v>
      </c>
      <c r="I3932" s="29"/>
      <c r="J3932" s="25">
        <v>2</v>
      </c>
      <c r="K3932" s="30">
        <v>362.59</v>
      </c>
      <c r="L3932" s="17"/>
      <c r="M3932" s="29">
        <f t="shared" si="187"/>
        <v>0</v>
      </c>
      <c r="N3932" s="31">
        <f>0.086*L3932</f>
        <v>0</v>
      </c>
      <c r="O3932" s="35">
        <f>0.0006*L3932</f>
        <v>0</v>
      </c>
      <c r="P3932" s="36"/>
      <c r="Q3932" s="29" t="s">
        <v>13087</v>
      </c>
      <c r="R3932" s="29"/>
      <c r="S3932" s="26" t="str">
        <f>HYPERLINK("https://miland.ru/api/getInfo/image/99c95f14-901a-11ee-a250-00155d82e908")</f>
        <v>https://miland.ru/api/getInfo/image/99c95f14-901a-11ee-a250-00155d82e908</v>
      </c>
    </row>
    <row r="3933" spans="1:19" s="2" customFormat="1" ht="96.2" customHeight="1" outlineLevel="4">
      <c r="A3933" s="52">
        <v>3112</v>
      </c>
      <c r="B3933" s="26" t="s">
        <v>13088</v>
      </c>
      <c r="C3933" s="66" t="s">
        <v>13089</v>
      </c>
      <c r="D3933" s="66"/>
      <c r="E3933" s="66"/>
      <c r="F3933" s="66"/>
      <c r="G3933" s="27" t="s">
        <v>13090</v>
      </c>
      <c r="H3933" s="33">
        <v>332</v>
      </c>
      <c r="I3933" s="29"/>
      <c r="J3933" s="25">
        <v>2</v>
      </c>
      <c r="K3933" s="30">
        <v>351.44</v>
      </c>
      <c r="L3933" s="17"/>
      <c r="M3933" s="29">
        <f t="shared" si="187"/>
        <v>0</v>
      </c>
      <c r="N3933" s="31">
        <f>0.069*L3933</f>
        <v>0</v>
      </c>
      <c r="O3933" s="32">
        <f>0.00048*L3933</f>
        <v>0</v>
      </c>
      <c r="P3933" s="36"/>
      <c r="Q3933" s="29" t="s">
        <v>13091</v>
      </c>
      <c r="R3933" s="29"/>
      <c r="S3933" s="26" t="str">
        <f>HYPERLINK("https://miland.ru/api/getInfo/image/85f722dc-f96e-11ed-a239-00155d82e902")</f>
        <v>https://miland.ru/api/getInfo/image/85f722dc-f96e-11ed-a239-00155d82e902</v>
      </c>
    </row>
    <row r="3934" spans="1:19" s="2" customFormat="1" ht="96.2" customHeight="1" outlineLevel="4">
      <c r="A3934" s="52">
        <v>3113</v>
      </c>
      <c r="B3934" s="26" t="s">
        <v>13092</v>
      </c>
      <c r="C3934" s="66" t="s">
        <v>13093</v>
      </c>
      <c r="D3934" s="66"/>
      <c r="E3934" s="66"/>
      <c r="F3934" s="66"/>
      <c r="G3934" s="27" t="s">
        <v>13094</v>
      </c>
      <c r="H3934" s="33">
        <v>266</v>
      </c>
      <c r="I3934" s="29"/>
      <c r="J3934" s="25">
        <v>2</v>
      </c>
      <c r="K3934" s="30">
        <v>351.44</v>
      </c>
      <c r="L3934" s="17"/>
      <c r="M3934" s="29">
        <f t="shared" si="187"/>
        <v>0</v>
      </c>
      <c r="N3934" s="31">
        <f>0.068*L3934</f>
        <v>0</v>
      </c>
      <c r="O3934" s="32">
        <f>0.00044*L3934</f>
        <v>0</v>
      </c>
      <c r="P3934" s="36"/>
      <c r="Q3934" s="29" t="s">
        <v>13095</v>
      </c>
      <c r="R3934" s="29"/>
      <c r="S3934" s="26" t="str">
        <f>HYPERLINK("https://miland.ru/api/getInfo/image/aee23ac5-f96d-11ed-a239-00155d82e902")</f>
        <v>https://miland.ru/api/getInfo/image/aee23ac5-f96d-11ed-a239-00155d82e902</v>
      </c>
    </row>
    <row r="3935" spans="1:19" s="2" customFormat="1" ht="96.2" customHeight="1" outlineLevel="4">
      <c r="A3935" s="52">
        <v>3114</v>
      </c>
      <c r="B3935" s="26" t="s">
        <v>13096</v>
      </c>
      <c r="C3935" s="66" t="s">
        <v>13097</v>
      </c>
      <c r="D3935" s="66"/>
      <c r="E3935" s="66"/>
      <c r="F3935" s="66"/>
      <c r="G3935" s="27" t="s">
        <v>13098</v>
      </c>
      <c r="H3935" s="33">
        <v>8</v>
      </c>
      <c r="I3935" s="29"/>
      <c r="J3935" s="25">
        <v>2</v>
      </c>
      <c r="K3935" s="30">
        <v>278.14</v>
      </c>
      <c r="L3935" s="17"/>
      <c r="M3935" s="29">
        <f t="shared" si="187"/>
        <v>0</v>
      </c>
      <c r="N3935" s="31">
        <f>0.084*L3935</f>
        <v>0</v>
      </c>
      <c r="O3935" s="32">
        <f>0.00074*L3935</f>
        <v>0</v>
      </c>
      <c r="P3935" s="36"/>
      <c r="Q3935" s="29" t="s">
        <v>13099</v>
      </c>
      <c r="R3935" s="29"/>
      <c r="S3935" s="26" t="str">
        <f>HYPERLINK("https://miland.ru/api/getInfo/image/69e26e61-f96f-11ed-a239-00155d82e902")</f>
        <v>https://miland.ru/api/getInfo/image/69e26e61-f96f-11ed-a239-00155d82e902</v>
      </c>
    </row>
    <row r="3936" spans="1:19" s="1" customFormat="1" ht="12" customHeight="1" outlineLevel="3">
      <c r="A3936" s="64" t="s">
        <v>13100</v>
      </c>
      <c r="B3936" s="64"/>
      <c r="C3936" s="64"/>
      <c r="D3936" s="64"/>
      <c r="E3936" s="64"/>
      <c r="F3936" s="64"/>
      <c r="G3936" s="8"/>
      <c r="H3936" s="12"/>
      <c r="I3936" s="2"/>
      <c r="J3936" s="2"/>
      <c r="K3936" s="13"/>
      <c r="L3936" s="2"/>
      <c r="M3936" s="2"/>
      <c r="N3936" s="2"/>
      <c r="O3936" s="2"/>
      <c r="P3936" s="2"/>
      <c r="Q3936" s="2"/>
      <c r="R3936" s="2"/>
      <c r="S3936" s="2"/>
    </row>
    <row r="3937" spans="1:19" s="2" customFormat="1" ht="96.2" customHeight="1" outlineLevel="4">
      <c r="A3937" s="52">
        <v>3115</v>
      </c>
      <c r="B3937" s="26" t="s">
        <v>13101</v>
      </c>
      <c r="C3937" s="66" t="s">
        <v>13102</v>
      </c>
      <c r="D3937" s="66"/>
      <c r="E3937" s="66"/>
      <c r="F3937" s="66"/>
      <c r="G3937" s="27" t="s">
        <v>13103</v>
      </c>
      <c r="H3937" s="33">
        <v>8</v>
      </c>
      <c r="I3937" s="29"/>
      <c r="J3937" s="25">
        <v>1</v>
      </c>
      <c r="K3937" s="30">
        <v>609.15</v>
      </c>
      <c r="L3937" s="17"/>
      <c r="M3937" s="29">
        <f>K3937*L3937</f>
        <v>0</v>
      </c>
      <c r="N3937" s="34">
        <f>0.14*L3937</f>
        <v>0</v>
      </c>
      <c r="O3937" s="32">
        <f>0.00143*L3937</f>
        <v>0</v>
      </c>
      <c r="P3937" s="36"/>
      <c r="Q3937" s="29" t="s">
        <v>13104</v>
      </c>
      <c r="R3937" s="29" t="s">
        <v>611</v>
      </c>
      <c r="S3937" s="26" t="str">
        <f>HYPERLINK("https://miland.ru/api/getInfo/image/f1b37767-f5ac-11ee-a25b-00155d82e908")</f>
        <v>https://miland.ru/api/getInfo/image/f1b37767-f5ac-11ee-a25b-00155d82e908</v>
      </c>
    </row>
    <row r="3938" spans="1:19" s="1" customFormat="1" ht="12" customHeight="1" outlineLevel="3">
      <c r="A3938" s="64" t="s">
        <v>12616</v>
      </c>
      <c r="B3938" s="64"/>
      <c r="C3938" s="64"/>
      <c r="D3938" s="64"/>
      <c r="E3938" s="64"/>
      <c r="F3938" s="64"/>
      <c r="G3938" s="8"/>
      <c r="H3938" s="12"/>
      <c r="I3938" s="2"/>
      <c r="J3938" s="2"/>
      <c r="K3938" s="13"/>
      <c r="L3938" s="2"/>
      <c r="M3938" s="2"/>
      <c r="N3938" s="2"/>
      <c r="O3938" s="2"/>
      <c r="P3938" s="2"/>
      <c r="Q3938" s="2"/>
      <c r="R3938" s="2"/>
      <c r="S3938" s="2"/>
    </row>
    <row r="3939" spans="1:19" s="2" customFormat="1" ht="96.2" customHeight="1" outlineLevel="4">
      <c r="A3939" s="53">
        <v>3116</v>
      </c>
      <c r="B3939" s="10" t="s">
        <v>13105</v>
      </c>
      <c r="C3939" s="65" t="s">
        <v>13106</v>
      </c>
      <c r="D3939" s="65"/>
      <c r="E3939" s="65"/>
      <c r="F3939" s="65"/>
      <c r="G3939" s="11" t="s">
        <v>13107</v>
      </c>
      <c r="H3939" s="14">
        <v>194</v>
      </c>
      <c r="I3939" s="15"/>
      <c r="J3939" s="9">
        <v>1</v>
      </c>
      <c r="K3939" s="16">
        <v>738.26</v>
      </c>
      <c r="L3939" s="17"/>
      <c r="M3939" s="15">
        <f t="shared" ref="M3939:M3949" si="188">K3939*L3939</f>
        <v>0</v>
      </c>
      <c r="N3939" s="18">
        <f>0.182*L3939</f>
        <v>0</v>
      </c>
      <c r="O3939" s="19">
        <f>0.00095*L3939</f>
        <v>0</v>
      </c>
      <c r="P3939" s="24" t="s">
        <v>26</v>
      </c>
      <c r="Q3939" s="15" t="s">
        <v>13108</v>
      </c>
      <c r="R3939" s="15"/>
      <c r="S3939" s="10" t="str">
        <f>HYPERLINK("https://miland.ru/api/getInfo/image/9411c56c-2e61-11f1-a292-00155d82e908")</f>
        <v>https://miland.ru/api/getInfo/image/9411c56c-2e61-11f1-a292-00155d82e908</v>
      </c>
    </row>
    <row r="3940" spans="1:19" s="2" customFormat="1" ht="96.2" customHeight="1" outlineLevel="4">
      <c r="A3940" s="53">
        <v>3117</v>
      </c>
      <c r="B3940" s="10" t="s">
        <v>13109</v>
      </c>
      <c r="C3940" s="65" t="s">
        <v>13110</v>
      </c>
      <c r="D3940" s="65"/>
      <c r="E3940" s="65"/>
      <c r="F3940" s="65"/>
      <c r="G3940" s="11" t="s">
        <v>13111</v>
      </c>
      <c r="H3940" s="14">
        <v>194</v>
      </c>
      <c r="I3940" s="15"/>
      <c r="J3940" s="9">
        <v>1</v>
      </c>
      <c r="K3940" s="16">
        <v>693.51</v>
      </c>
      <c r="L3940" s="17"/>
      <c r="M3940" s="15">
        <f t="shared" si="188"/>
        <v>0</v>
      </c>
      <c r="N3940" s="18">
        <f>0.181*L3940</f>
        <v>0</v>
      </c>
      <c r="O3940" s="19">
        <f>0.00075*L3940</f>
        <v>0</v>
      </c>
      <c r="P3940" s="24" t="s">
        <v>26</v>
      </c>
      <c r="Q3940" s="15" t="s">
        <v>13112</v>
      </c>
      <c r="R3940" s="15"/>
      <c r="S3940" s="10" t="str">
        <f>HYPERLINK("https://miland.ru/api/getInfo/image/a10d489f-2e60-11f1-a292-00155d82e908")</f>
        <v>https://miland.ru/api/getInfo/image/a10d489f-2e60-11f1-a292-00155d82e908</v>
      </c>
    </row>
    <row r="3941" spans="1:19" s="2" customFormat="1" ht="96.2" customHeight="1" outlineLevel="4">
      <c r="A3941" s="53">
        <v>3118</v>
      </c>
      <c r="B3941" s="10" t="s">
        <v>13113</v>
      </c>
      <c r="C3941" s="65" t="s">
        <v>13114</v>
      </c>
      <c r="D3941" s="65"/>
      <c r="E3941" s="65"/>
      <c r="F3941" s="65"/>
      <c r="G3941" s="11" t="s">
        <v>13115</v>
      </c>
      <c r="H3941" s="14">
        <v>194</v>
      </c>
      <c r="I3941" s="15"/>
      <c r="J3941" s="9">
        <v>1</v>
      </c>
      <c r="K3941" s="16">
        <v>738.26</v>
      </c>
      <c r="L3941" s="17"/>
      <c r="M3941" s="15">
        <f t="shared" si="188"/>
        <v>0</v>
      </c>
      <c r="N3941" s="18">
        <f>0.186*L3941</f>
        <v>0</v>
      </c>
      <c r="O3941" s="19">
        <f>0.00101*L3941</f>
        <v>0</v>
      </c>
      <c r="P3941" s="24" t="s">
        <v>26</v>
      </c>
      <c r="Q3941" s="15" t="s">
        <v>13116</v>
      </c>
      <c r="R3941" s="15"/>
      <c r="S3941" s="10" t="str">
        <f>HYPERLINK("https://miland.ru/api/getInfo/image/83db0971-2e61-11f1-a292-00155d82e908")</f>
        <v>https://miland.ru/api/getInfo/image/83db0971-2e61-11f1-a292-00155d82e908</v>
      </c>
    </row>
    <row r="3942" spans="1:19" s="2" customFormat="1" ht="96.2" customHeight="1" outlineLevel="4">
      <c r="A3942" s="53">
        <v>3119</v>
      </c>
      <c r="B3942" s="10" t="s">
        <v>13117</v>
      </c>
      <c r="C3942" s="65" t="s">
        <v>13118</v>
      </c>
      <c r="D3942" s="65"/>
      <c r="E3942" s="65"/>
      <c r="F3942" s="65"/>
      <c r="G3942" s="11" t="s">
        <v>13119</v>
      </c>
      <c r="H3942" s="14">
        <v>194</v>
      </c>
      <c r="I3942" s="15"/>
      <c r="J3942" s="9">
        <v>1</v>
      </c>
      <c r="K3942" s="16">
        <v>738.26</v>
      </c>
      <c r="L3942" s="17"/>
      <c r="M3942" s="15">
        <f t="shared" si="188"/>
        <v>0</v>
      </c>
      <c r="N3942" s="18">
        <f>0.186*L3942</f>
        <v>0</v>
      </c>
      <c r="O3942" s="19">
        <f>0.00753*L3942</f>
        <v>0</v>
      </c>
      <c r="P3942" s="24" t="s">
        <v>26</v>
      </c>
      <c r="Q3942" s="15" t="s">
        <v>13120</v>
      </c>
      <c r="R3942" s="15"/>
      <c r="S3942" s="10" t="str">
        <f>HYPERLINK("https://miland.ru/api/getInfo/image/b3321ac4-2e61-11f1-a292-00155d82e908")</f>
        <v>https://miland.ru/api/getInfo/image/b3321ac4-2e61-11f1-a292-00155d82e908</v>
      </c>
    </row>
    <row r="3943" spans="1:19" s="2" customFormat="1" ht="96.2" customHeight="1" outlineLevel="4">
      <c r="A3943" s="53">
        <v>3120</v>
      </c>
      <c r="B3943" s="10" t="s">
        <v>13121</v>
      </c>
      <c r="C3943" s="65" t="s">
        <v>13122</v>
      </c>
      <c r="D3943" s="65"/>
      <c r="E3943" s="65"/>
      <c r="F3943" s="65"/>
      <c r="G3943" s="11" t="s">
        <v>13123</v>
      </c>
      <c r="H3943" s="14">
        <v>194</v>
      </c>
      <c r="I3943" s="15"/>
      <c r="J3943" s="9">
        <v>1</v>
      </c>
      <c r="K3943" s="16">
        <v>638.74</v>
      </c>
      <c r="L3943" s="17"/>
      <c r="M3943" s="15">
        <f t="shared" si="188"/>
        <v>0</v>
      </c>
      <c r="N3943" s="18">
        <f>0.149*L3943</f>
        <v>0</v>
      </c>
      <c r="O3943" s="19">
        <f>0.00085*L3943</f>
        <v>0</v>
      </c>
      <c r="P3943" s="24" t="s">
        <v>26</v>
      </c>
      <c r="Q3943" s="15" t="s">
        <v>13124</v>
      </c>
      <c r="R3943" s="15"/>
      <c r="S3943" s="10" t="str">
        <f>HYPERLINK("https://miland.ru/api/getInfo/image/724b76af-2e61-11f1-a292-00155d82e908")</f>
        <v>https://miland.ru/api/getInfo/image/724b76af-2e61-11f1-a292-00155d82e908</v>
      </c>
    </row>
    <row r="3944" spans="1:19" s="2" customFormat="1" ht="96.2" customHeight="1" outlineLevel="4">
      <c r="A3944" s="53">
        <v>3121</v>
      </c>
      <c r="B3944" s="10" t="s">
        <v>13125</v>
      </c>
      <c r="C3944" s="65" t="s">
        <v>13126</v>
      </c>
      <c r="D3944" s="65"/>
      <c r="E3944" s="65"/>
      <c r="F3944" s="65"/>
      <c r="G3944" s="11" t="s">
        <v>13127</v>
      </c>
      <c r="H3944" s="14">
        <v>194</v>
      </c>
      <c r="I3944" s="15"/>
      <c r="J3944" s="9">
        <v>1</v>
      </c>
      <c r="K3944" s="16">
        <v>693.51</v>
      </c>
      <c r="L3944" s="17"/>
      <c r="M3944" s="15">
        <f t="shared" si="188"/>
        <v>0</v>
      </c>
      <c r="N3944" s="18">
        <f>0.178*L3944</f>
        <v>0</v>
      </c>
      <c r="O3944" s="19">
        <f>0.00071*L3944</f>
        <v>0</v>
      </c>
      <c r="P3944" s="24" t="s">
        <v>26</v>
      </c>
      <c r="Q3944" s="15" t="s">
        <v>13128</v>
      </c>
      <c r="R3944" s="15"/>
      <c r="S3944" s="10" t="str">
        <f>HYPERLINK("https://miland.ru/api/getInfo/image/fa9fe2dd-2e60-11f1-a292-00155d82e908")</f>
        <v>https://miland.ru/api/getInfo/image/fa9fe2dd-2e60-11f1-a292-00155d82e908</v>
      </c>
    </row>
    <row r="3945" spans="1:19" s="2" customFormat="1" ht="96.2" customHeight="1" outlineLevel="4">
      <c r="A3945" s="53">
        <v>3122</v>
      </c>
      <c r="B3945" s="10" t="s">
        <v>13129</v>
      </c>
      <c r="C3945" s="65" t="s">
        <v>13130</v>
      </c>
      <c r="D3945" s="65"/>
      <c r="E3945" s="65"/>
      <c r="F3945" s="65"/>
      <c r="G3945" s="11" t="s">
        <v>13131</v>
      </c>
      <c r="H3945" s="14">
        <v>194</v>
      </c>
      <c r="I3945" s="15"/>
      <c r="J3945" s="9">
        <v>1</v>
      </c>
      <c r="K3945" s="16">
        <v>693.51</v>
      </c>
      <c r="L3945" s="17"/>
      <c r="M3945" s="15">
        <f t="shared" si="188"/>
        <v>0</v>
      </c>
      <c r="N3945" s="23">
        <f>0.18*L3945</f>
        <v>0</v>
      </c>
      <c r="O3945" s="19">
        <f>0.00072*L3945</f>
        <v>0</v>
      </c>
      <c r="P3945" s="24" t="s">
        <v>26</v>
      </c>
      <c r="Q3945" s="15" t="s">
        <v>13132</v>
      </c>
      <c r="R3945" s="15"/>
      <c r="S3945" s="10" t="str">
        <f>HYPERLINK("https://miland.ru/api/getInfo/image/1a4c6df7-2e61-11f1-a292-00155d82e908")</f>
        <v>https://miland.ru/api/getInfo/image/1a4c6df7-2e61-11f1-a292-00155d82e908</v>
      </c>
    </row>
    <row r="3946" spans="1:19" s="2" customFormat="1" ht="96.2" customHeight="1" outlineLevel="4">
      <c r="A3946" s="52">
        <v>3123</v>
      </c>
      <c r="B3946" s="26" t="s">
        <v>13133</v>
      </c>
      <c r="C3946" s="66" t="s">
        <v>13134</v>
      </c>
      <c r="D3946" s="66"/>
      <c r="E3946" s="66"/>
      <c r="F3946" s="66"/>
      <c r="G3946" s="27" t="s">
        <v>13135</v>
      </c>
      <c r="H3946" s="33">
        <v>2</v>
      </c>
      <c r="I3946" s="29"/>
      <c r="J3946" s="25">
        <v>2</v>
      </c>
      <c r="K3946" s="30">
        <v>384.91</v>
      </c>
      <c r="L3946" s="17"/>
      <c r="M3946" s="29">
        <f t="shared" si="188"/>
        <v>0</v>
      </c>
      <c r="N3946" s="31">
        <f>0.132*L3946</f>
        <v>0</v>
      </c>
      <c r="O3946" s="32">
        <f>0.00081*L3946</f>
        <v>0</v>
      </c>
      <c r="P3946" s="36"/>
      <c r="Q3946" s="29" t="s">
        <v>13136</v>
      </c>
      <c r="R3946" s="29"/>
      <c r="S3946" s="26" t="str">
        <f>HYPERLINK("https://miland.ru/api/getInfo/image/017f6c78-901f-11ee-a250-00155d82e908")</f>
        <v>https://miland.ru/api/getInfo/image/017f6c78-901f-11ee-a250-00155d82e908</v>
      </c>
    </row>
    <row r="3947" spans="1:19" s="2" customFormat="1" ht="96.2" customHeight="1" outlineLevel="4">
      <c r="A3947" s="53">
        <v>3124</v>
      </c>
      <c r="B3947" s="10" t="s">
        <v>13137</v>
      </c>
      <c r="C3947" s="65" t="s">
        <v>13138</v>
      </c>
      <c r="D3947" s="65"/>
      <c r="E3947" s="65"/>
      <c r="F3947" s="65"/>
      <c r="G3947" s="11" t="s">
        <v>13139</v>
      </c>
      <c r="H3947" s="14">
        <v>194</v>
      </c>
      <c r="I3947" s="15"/>
      <c r="J3947" s="9">
        <v>1</v>
      </c>
      <c r="K3947" s="16">
        <v>638.74</v>
      </c>
      <c r="L3947" s="17"/>
      <c r="M3947" s="15">
        <f t="shared" si="188"/>
        <v>0</v>
      </c>
      <c r="N3947" s="18">
        <f>0.154*L3947</f>
        <v>0</v>
      </c>
      <c r="O3947" s="19">
        <f>0.00082*L3947</f>
        <v>0</v>
      </c>
      <c r="P3947" s="24" t="s">
        <v>26</v>
      </c>
      <c r="Q3947" s="15" t="s">
        <v>13140</v>
      </c>
      <c r="R3947" s="15"/>
      <c r="S3947" s="10" t="str">
        <f>HYPERLINK("https://miland.ru/api/getInfo/image/50699408-2e61-11f1-a292-00155d82e908")</f>
        <v>https://miland.ru/api/getInfo/image/50699408-2e61-11f1-a292-00155d82e908</v>
      </c>
    </row>
    <row r="3948" spans="1:19" s="2" customFormat="1" ht="96.2" customHeight="1" outlineLevel="4">
      <c r="A3948" s="53">
        <v>3125</v>
      </c>
      <c r="B3948" s="10" t="s">
        <v>13141</v>
      </c>
      <c r="C3948" s="65" t="s">
        <v>13142</v>
      </c>
      <c r="D3948" s="65"/>
      <c r="E3948" s="65"/>
      <c r="F3948" s="65"/>
      <c r="G3948" s="11" t="s">
        <v>13143</v>
      </c>
      <c r="H3948" s="14">
        <v>394</v>
      </c>
      <c r="I3948" s="15"/>
      <c r="J3948" s="9">
        <v>2</v>
      </c>
      <c r="K3948" s="16">
        <v>384.91</v>
      </c>
      <c r="L3948" s="17"/>
      <c r="M3948" s="15">
        <f t="shared" si="188"/>
        <v>0</v>
      </c>
      <c r="N3948" s="18">
        <f>0.134*L3948</f>
        <v>0</v>
      </c>
      <c r="O3948" s="19">
        <f>0.00091*L3948</f>
        <v>0</v>
      </c>
      <c r="P3948" s="24" t="s">
        <v>26</v>
      </c>
      <c r="Q3948" s="15" t="s">
        <v>13144</v>
      </c>
      <c r="R3948" s="15"/>
      <c r="S3948" s="10" t="str">
        <f>HYPERLINK("https://miland.ru/api/getInfo/image/decff2b3-2e61-11f1-a292-00155d82e908")</f>
        <v>https://miland.ru/api/getInfo/image/decff2b3-2e61-11f1-a292-00155d82e908</v>
      </c>
    </row>
    <row r="3949" spans="1:19" s="2" customFormat="1" ht="96.2" customHeight="1" outlineLevel="4">
      <c r="A3949" s="53">
        <v>3126</v>
      </c>
      <c r="B3949" s="10" t="s">
        <v>13145</v>
      </c>
      <c r="C3949" s="65" t="s">
        <v>13146</v>
      </c>
      <c r="D3949" s="65"/>
      <c r="E3949" s="65"/>
      <c r="F3949" s="65"/>
      <c r="G3949" s="11" t="s">
        <v>13147</v>
      </c>
      <c r="H3949" s="14">
        <v>194</v>
      </c>
      <c r="I3949" s="15"/>
      <c r="J3949" s="9">
        <v>2</v>
      </c>
      <c r="K3949" s="16">
        <v>384.91</v>
      </c>
      <c r="L3949" s="17"/>
      <c r="M3949" s="15">
        <f t="shared" si="188"/>
        <v>0</v>
      </c>
      <c r="N3949" s="18">
        <f>0.152*L3949</f>
        <v>0</v>
      </c>
      <c r="O3949" s="19">
        <f>0.00159*L3949</f>
        <v>0</v>
      </c>
      <c r="P3949" s="24" t="s">
        <v>26</v>
      </c>
      <c r="Q3949" s="15" t="s">
        <v>13148</v>
      </c>
      <c r="R3949" s="15"/>
      <c r="S3949" s="10" t="str">
        <f>HYPERLINK("https://miland.ru/api/getInfo/image/c8898c96-2e61-11f1-a292-00155d82e908")</f>
        <v>https://miland.ru/api/getInfo/image/c8898c96-2e61-11f1-a292-00155d82e908</v>
      </c>
    </row>
    <row r="3950" spans="1:19" s="1" customFormat="1" ht="12" customHeight="1" outlineLevel="2">
      <c r="A3950" s="63" t="s">
        <v>13149</v>
      </c>
      <c r="B3950" s="63"/>
      <c r="C3950" s="63"/>
      <c r="D3950" s="63"/>
      <c r="E3950" s="63"/>
      <c r="F3950" s="63"/>
      <c r="G3950" s="8"/>
      <c r="H3950" s="12"/>
      <c r="I3950" s="2"/>
      <c r="J3950" s="2"/>
      <c r="K3950" s="13"/>
      <c r="L3950" s="2"/>
      <c r="M3950" s="2"/>
      <c r="N3950" s="2"/>
      <c r="O3950" s="2"/>
      <c r="P3950" s="2"/>
      <c r="Q3950" s="2"/>
      <c r="R3950" s="2"/>
      <c r="S3950" s="2"/>
    </row>
    <row r="3951" spans="1:19" s="1" customFormat="1" ht="12" customHeight="1" outlineLevel="3">
      <c r="A3951" s="64" t="s">
        <v>13150</v>
      </c>
      <c r="B3951" s="64"/>
      <c r="C3951" s="64"/>
      <c r="D3951" s="64"/>
      <c r="E3951" s="64"/>
      <c r="F3951" s="64"/>
      <c r="G3951" s="8"/>
      <c r="H3951" s="12"/>
      <c r="I3951" s="2"/>
      <c r="J3951" s="2"/>
      <c r="K3951" s="13"/>
      <c r="L3951" s="2"/>
      <c r="M3951" s="2"/>
      <c r="N3951" s="2"/>
      <c r="O3951" s="2"/>
      <c r="P3951" s="2"/>
      <c r="Q3951" s="2"/>
      <c r="R3951" s="2"/>
      <c r="S3951" s="2"/>
    </row>
    <row r="3952" spans="1:19" s="2" customFormat="1" ht="96.2" customHeight="1" outlineLevel="4">
      <c r="A3952" s="52">
        <v>3127</v>
      </c>
      <c r="B3952" s="26" t="s">
        <v>13151</v>
      </c>
      <c r="C3952" s="66" t="s">
        <v>13152</v>
      </c>
      <c r="D3952" s="66"/>
      <c r="E3952" s="66"/>
      <c r="F3952" s="66"/>
      <c r="G3952" s="27" t="s">
        <v>13153</v>
      </c>
      <c r="H3952" s="33">
        <v>4</v>
      </c>
      <c r="I3952" s="29"/>
      <c r="J3952" s="25">
        <v>1</v>
      </c>
      <c r="K3952" s="37">
        <v>1841.96</v>
      </c>
      <c r="L3952" s="17"/>
      <c r="M3952" s="29">
        <f>K3952*L3952</f>
        <v>0</v>
      </c>
      <c r="N3952" s="31">
        <f>0.975*L3952</f>
        <v>0</v>
      </c>
      <c r="O3952" s="32">
        <f>0.00185*L3952</f>
        <v>0</v>
      </c>
      <c r="P3952" s="36"/>
      <c r="Q3952" s="29" t="s">
        <v>13154</v>
      </c>
      <c r="R3952" s="29" t="s">
        <v>611</v>
      </c>
      <c r="S3952" s="26" t="str">
        <f>HYPERLINK("https://miland.ru/api/getInfo/image/a198b5fa-e592-11ed-a233-00155d82e902")</f>
        <v>https://miland.ru/api/getInfo/image/a198b5fa-e592-11ed-a233-00155d82e902</v>
      </c>
    </row>
    <row r="3953" spans="1:19" s="1" customFormat="1" ht="12" customHeight="1" outlineLevel="3">
      <c r="A3953" s="64" t="s">
        <v>13155</v>
      </c>
      <c r="B3953" s="64"/>
      <c r="C3953" s="64"/>
      <c r="D3953" s="64"/>
      <c r="E3953" s="64"/>
      <c r="F3953" s="64"/>
      <c r="G3953" s="8"/>
      <c r="H3953" s="12"/>
      <c r="I3953" s="2"/>
      <c r="J3953" s="2"/>
      <c r="K3953" s="13"/>
      <c r="L3953" s="2"/>
      <c r="M3953" s="2"/>
      <c r="N3953" s="2"/>
      <c r="O3953" s="2"/>
      <c r="P3953" s="2"/>
      <c r="Q3953" s="2"/>
      <c r="R3953" s="2"/>
      <c r="S3953" s="2"/>
    </row>
    <row r="3954" spans="1:19" s="2" customFormat="1" ht="96.2" customHeight="1" outlineLevel="4">
      <c r="A3954" s="52">
        <v>3128</v>
      </c>
      <c r="B3954" s="26" t="s">
        <v>13156</v>
      </c>
      <c r="C3954" s="66" t="s">
        <v>13157</v>
      </c>
      <c r="D3954" s="66"/>
      <c r="E3954" s="66"/>
      <c r="F3954" s="66"/>
      <c r="G3954" s="27" t="s">
        <v>13158</v>
      </c>
      <c r="H3954" s="28" t="s">
        <v>44</v>
      </c>
      <c r="I3954" s="29"/>
      <c r="J3954" s="25">
        <v>1</v>
      </c>
      <c r="K3954" s="30">
        <v>548.36</v>
      </c>
      <c r="L3954" s="17"/>
      <c r="M3954" s="29">
        <f>K3954*L3954</f>
        <v>0</v>
      </c>
      <c r="N3954" s="31">
        <f>0.293*L3954</f>
        <v>0</v>
      </c>
      <c r="O3954" s="35">
        <f>0.0006*L3954</f>
        <v>0</v>
      </c>
      <c r="P3954" s="36"/>
      <c r="Q3954" s="29" t="s">
        <v>13159</v>
      </c>
      <c r="R3954" s="29"/>
      <c r="S3954" s="26" t="str">
        <f>HYPERLINK("https://miland.ru/api/getInfo/image/dd7961d0-5f36-11ed-a229-00155d82e902")</f>
        <v>https://miland.ru/api/getInfo/image/dd7961d0-5f36-11ed-a229-00155d82e902</v>
      </c>
    </row>
    <row r="3955" spans="1:19" s="2" customFormat="1" ht="96.2" customHeight="1" outlineLevel="4">
      <c r="A3955" s="52">
        <v>3129</v>
      </c>
      <c r="B3955" s="26" t="s">
        <v>13160</v>
      </c>
      <c r="C3955" s="66" t="s">
        <v>13161</v>
      </c>
      <c r="D3955" s="66"/>
      <c r="E3955" s="66"/>
      <c r="F3955" s="66"/>
      <c r="G3955" s="27" t="s">
        <v>13162</v>
      </c>
      <c r="H3955" s="28" t="s">
        <v>44</v>
      </c>
      <c r="I3955" s="29"/>
      <c r="J3955" s="25">
        <v>2</v>
      </c>
      <c r="K3955" s="30">
        <v>390.34</v>
      </c>
      <c r="L3955" s="17"/>
      <c r="M3955" s="29">
        <f>K3955*L3955</f>
        <v>0</v>
      </c>
      <c r="N3955" s="31">
        <f>0.232*L3955</f>
        <v>0</v>
      </c>
      <c r="O3955" s="32">
        <f>0.00056*L3955</f>
        <v>0</v>
      </c>
      <c r="P3955" s="36"/>
      <c r="Q3955" s="29" t="s">
        <v>13163</v>
      </c>
      <c r="R3955" s="29"/>
      <c r="S3955" s="26" t="str">
        <f>HYPERLINK("https://miland.ru/api/getInfo/image/9b6308ae-5f36-11ed-a229-00155d82e902")</f>
        <v>https://miland.ru/api/getInfo/image/9b6308ae-5f36-11ed-a229-00155d82e902</v>
      </c>
    </row>
    <row r="3956" spans="1:19" s="2" customFormat="1" ht="96.2" customHeight="1" outlineLevel="4">
      <c r="A3956" s="52">
        <v>3130</v>
      </c>
      <c r="B3956" s="26" t="s">
        <v>13164</v>
      </c>
      <c r="C3956" s="66" t="s">
        <v>13165</v>
      </c>
      <c r="D3956" s="66"/>
      <c r="E3956" s="66"/>
      <c r="F3956" s="66"/>
      <c r="G3956" s="27" t="s">
        <v>13166</v>
      </c>
      <c r="H3956" s="28" t="s">
        <v>44</v>
      </c>
      <c r="I3956" s="29"/>
      <c r="J3956" s="25">
        <v>2</v>
      </c>
      <c r="K3956" s="30">
        <v>390.34</v>
      </c>
      <c r="L3956" s="17"/>
      <c r="M3956" s="29">
        <f>K3956*L3956</f>
        <v>0</v>
      </c>
      <c r="N3956" s="31">
        <f>0.211*L3956</f>
        <v>0</v>
      </c>
      <c r="O3956" s="32">
        <f>0.00051*L3956</f>
        <v>0</v>
      </c>
      <c r="P3956" s="36"/>
      <c r="Q3956" s="29" t="s">
        <v>13167</v>
      </c>
      <c r="R3956" s="29"/>
      <c r="S3956" s="26" t="str">
        <f>HYPERLINK("https://miland.ru/api/getInfo/image/3348552e-5f36-11ed-a229-00155d82e902")</f>
        <v>https://miland.ru/api/getInfo/image/3348552e-5f36-11ed-a229-00155d82e902</v>
      </c>
    </row>
    <row r="3957" spans="1:19" s="2" customFormat="1" ht="96.2" customHeight="1" outlineLevel="4">
      <c r="A3957" s="53">
        <v>3131</v>
      </c>
      <c r="B3957" s="10" t="s">
        <v>13168</v>
      </c>
      <c r="C3957" s="65" t="s">
        <v>13169</v>
      </c>
      <c r="D3957" s="65"/>
      <c r="E3957" s="65"/>
      <c r="F3957" s="65"/>
      <c r="G3957" s="11" t="s">
        <v>13170</v>
      </c>
      <c r="H3957" s="21" t="s">
        <v>44</v>
      </c>
      <c r="I3957" s="15"/>
      <c r="J3957" s="9">
        <v>1</v>
      </c>
      <c r="K3957" s="16">
        <v>390.34</v>
      </c>
      <c r="L3957" s="17"/>
      <c r="M3957" s="15">
        <f>K3957*L3957</f>
        <v>0</v>
      </c>
      <c r="N3957" s="18">
        <f>0.237*L3957</f>
        <v>0</v>
      </c>
      <c r="O3957" s="19">
        <f>0.00054*L3957</f>
        <v>0</v>
      </c>
      <c r="P3957" s="24" t="s">
        <v>26</v>
      </c>
      <c r="Q3957" s="15" t="s">
        <v>13171</v>
      </c>
      <c r="R3957" s="15"/>
      <c r="S3957" s="10" t="str">
        <f>HYPERLINK("https://miland.ru/api/getInfo/image/aab83731-3f04-11f1-a294-00155d82e908")</f>
        <v>https://miland.ru/api/getInfo/image/aab83731-3f04-11f1-a294-00155d82e908</v>
      </c>
    </row>
    <row r="3958" spans="1:19" s="1" customFormat="1" ht="12" customHeight="1" outlineLevel="3">
      <c r="A3958" s="64" t="s">
        <v>13172</v>
      </c>
      <c r="B3958" s="64"/>
      <c r="C3958" s="64"/>
      <c r="D3958" s="64"/>
      <c r="E3958" s="64"/>
      <c r="F3958" s="64"/>
      <c r="G3958" s="8"/>
      <c r="H3958" s="12"/>
      <c r="I3958" s="2"/>
      <c r="J3958" s="2"/>
      <c r="K3958" s="13"/>
      <c r="L3958" s="2"/>
      <c r="M3958" s="2"/>
      <c r="N3958" s="2"/>
      <c r="O3958" s="2"/>
      <c r="P3958" s="2"/>
      <c r="Q3958" s="2"/>
      <c r="R3958" s="2"/>
      <c r="S3958" s="2"/>
    </row>
    <row r="3959" spans="1:19" s="2" customFormat="1" ht="96.2" customHeight="1" outlineLevel="4">
      <c r="A3959" s="52">
        <v>3132</v>
      </c>
      <c r="B3959" s="26" t="s">
        <v>13173</v>
      </c>
      <c r="C3959" s="66" t="s">
        <v>13174</v>
      </c>
      <c r="D3959" s="66"/>
      <c r="E3959" s="66"/>
      <c r="F3959" s="66"/>
      <c r="G3959" s="27" t="s">
        <v>13175</v>
      </c>
      <c r="H3959" s="33">
        <v>4</v>
      </c>
      <c r="I3959" s="29"/>
      <c r="J3959" s="25">
        <v>2</v>
      </c>
      <c r="K3959" s="30">
        <v>299.79000000000002</v>
      </c>
      <c r="L3959" s="17"/>
      <c r="M3959" s="29">
        <f>K3959*L3959</f>
        <v>0</v>
      </c>
      <c r="N3959" s="34">
        <f>0.07*L3959</f>
        <v>0</v>
      </c>
      <c r="O3959" s="32">
        <f>0.00077*L3959</f>
        <v>0</v>
      </c>
      <c r="P3959" s="36"/>
      <c r="Q3959" s="29" t="s">
        <v>13176</v>
      </c>
      <c r="R3959" s="29" t="s">
        <v>611</v>
      </c>
      <c r="S3959" s="26" t="str">
        <f>HYPERLINK("https://miland.ru/api/getInfo/image/7913414d-52e7-11ee-a244-00155d82e902")</f>
        <v>https://miland.ru/api/getInfo/image/7913414d-52e7-11ee-a244-00155d82e902</v>
      </c>
    </row>
    <row r="3960" spans="1:19" s="1" customFormat="1" ht="12" customHeight="1" outlineLevel="4">
      <c r="A3960" s="64" t="s">
        <v>13177</v>
      </c>
      <c r="B3960" s="64"/>
      <c r="C3960" s="64"/>
      <c r="D3960" s="64"/>
      <c r="E3960" s="64"/>
      <c r="F3960" s="64"/>
      <c r="G3960" s="8"/>
      <c r="H3960" s="12"/>
      <c r="I3960" s="2"/>
      <c r="J3960" s="2"/>
      <c r="K3960" s="13"/>
      <c r="L3960" s="2"/>
      <c r="M3960" s="2"/>
      <c r="N3960" s="2"/>
      <c r="O3960" s="2"/>
      <c r="P3960" s="2"/>
      <c r="Q3960" s="2"/>
      <c r="R3960" s="2"/>
      <c r="S3960" s="2"/>
    </row>
    <row r="3961" spans="1:19" s="2" customFormat="1" ht="96.2" customHeight="1" outlineLevel="5">
      <c r="A3961" s="52">
        <v>3133</v>
      </c>
      <c r="B3961" s="26" t="s">
        <v>13178</v>
      </c>
      <c r="C3961" s="66" t="s">
        <v>13179</v>
      </c>
      <c r="D3961" s="66"/>
      <c r="E3961" s="66"/>
      <c r="F3961" s="66"/>
      <c r="G3961" s="27" t="s">
        <v>13180</v>
      </c>
      <c r="H3961" s="33">
        <v>207</v>
      </c>
      <c r="I3961" s="29"/>
      <c r="J3961" s="25">
        <v>2</v>
      </c>
      <c r="K3961" s="30">
        <v>283.47000000000003</v>
      </c>
      <c r="L3961" s="17"/>
      <c r="M3961" s="29">
        <f>K3961*L3961</f>
        <v>0</v>
      </c>
      <c r="N3961" s="31">
        <f>0.028*L3961</f>
        <v>0</v>
      </c>
      <c r="O3961" s="32">
        <f>0.00013*L3961</f>
        <v>0</v>
      </c>
      <c r="P3961" s="36"/>
      <c r="Q3961" s="29" t="s">
        <v>13181</v>
      </c>
      <c r="R3961" s="29"/>
      <c r="S3961" s="26" t="str">
        <f>HYPERLINK("https://miland.ru/api/getInfo/image/2a7ce271-7329-11ee-a248-00155d82e902")</f>
        <v>https://miland.ru/api/getInfo/image/2a7ce271-7329-11ee-a248-00155d82e902</v>
      </c>
    </row>
    <row r="3962" spans="1:19" s="2" customFormat="1" ht="96.2" customHeight="1" outlineLevel="5">
      <c r="A3962" s="52">
        <v>3134</v>
      </c>
      <c r="B3962" s="26" t="s">
        <v>13182</v>
      </c>
      <c r="C3962" s="66" t="s">
        <v>13183</v>
      </c>
      <c r="D3962" s="66"/>
      <c r="E3962" s="66"/>
      <c r="F3962" s="66"/>
      <c r="G3962" s="27" t="s">
        <v>13184</v>
      </c>
      <c r="H3962" s="33">
        <v>41</v>
      </c>
      <c r="I3962" s="29"/>
      <c r="J3962" s="25">
        <v>3</v>
      </c>
      <c r="K3962" s="30">
        <v>213.85</v>
      </c>
      <c r="L3962" s="17"/>
      <c r="M3962" s="29">
        <f>K3962*L3962</f>
        <v>0</v>
      </c>
      <c r="N3962" s="31">
        <f>0.015*L3962</f>
        <v>0</v>
      </c>
      <c r="O3962" s="32">
        <f>0.00396*L3962</f>
        <v>0</v>
      </c>
      <c r="P3962" s="36"/>
      <c r="Q3962" s="29" t="s">
        <v>13185</v>
      </c>
      <c r="R3962" s="29"/>
      <c r="S3962" s="26" t="str">
        <f>HYPERLINK("https://miland.ru/api/getInfo/image/c24b9ad2-b884-11ef-a267-00155d82e908")</f>
        <v>https://miland.ru/api/getInfo/image/c24b9ad2-b884-11ef-a267-00155d82e908</v>
      </c>
    </row>
    <row r="3963" spans="1:19" s="2" customFormat="1" ht="96.2" customHeight="1" outlineLevel="5">
      <c r="A3963" s="52">
        <v>3135</v>
      </c>
      <c r="B3963" s="26" t="s">
        <v>13186</v>
      </c>
      <c r="C3963" s="66" t="s">
        <v>13187</v>
      </c>
      <c r="D3963" s="66"/>
      <c r="E3963" s="66"/>
      <c r="F3963" s="66"/>
      <c r="G3963" s="27" t="s">
        <v>13188</v>
      </c>
      <c r="H3963" s="33">
        <v>382</v>
      </c>
      <c r="I3963" s="29"/>
      <c r="J3963" s="25">
        <v>2</v>
      </c>
      <c r="K3963" s="30">
        <v>268.82</v>
      </c>
      <c r="L3963" s="17"/>
      <c r="M3963" s="29">
        <f>K3963*L3963</f>
        <v>0</v>
      </c>
      <c r="N3963" s="31">
        <f>0.027*L3963</f>
        <v>0</v>
      </c>
      <c r="O3963" s="32">
        <f>0.00005*L3963</f>
        <v>0</v>
      </c>
      <c r="P3963" s="36"/>
      <c r="Q3963" s="29" t="s">
        <v>13189</v>
      </c>
      <c r="R3963" s="29"/>
      <c r="S3963" s="26" t="str">
        <f>HYPERLINK("https://miland.ru/api/getInfo/image/d78c7b7c-b884-11ef-a267-00155d82e908")</f>
        <v>https://miland.ru/api/getInfo/image/d78c7b7c-b884-11ef-a267-00155d82e908</v>
      </c>
    </row>
    <row r="3964" spans="1:19" s="1" customFormat="1" ht="12" customHeight="1" outlineLevel="4">
      <c r="A3964" s="64" t="s">
        <v>13190</v>
      </c>
      <c r="B3964" s="64"/>
      <c r="C3964" s="64"/>
      <c r="D3964" s="64"/>
      <c r="E3964" s="64"/>
      <c r="F3964" s="64"/>
      <c r="G3964" s="8"/>
      <c r="H3964" s="12"/>
      <c r="I3964" s="2"/>
      <c r="J3964" s="2"/>
      <c r="K3964" s="13"/>
      <c r="L3964" s="2"/>
      <c r="M3964" s="2"/>
      <c r="N3964" s="2"/>
      <c r="O3964" s="2"/>
      <c r="P3964" s="2"/>
      <c r="Q3964" s="2"/>
      <c r="R3964" s="2"/>
      <c r="S3964" s="2"/>
    </row>
    <row r="3965" spans="1:19" s="2" customFormat="1" ht="96.2" customHeight="1" outlineLevel="5">
      <c r="A3965" s="52">
        <v>3136</v>
      </c>
      <c r="B3965" s="26" t="s">
        <v>13191</v>
      </c>
      <c r="C3965" s="66" t="s">
        <v>13192</v>
      </c>
      <c r="D3965" s="66"/>
      <c r="E3965" s="66"/>
      <c r="F3965" s="66"/>
      <c r="G3965" s="27" t="s">
        <v>13193</v>
      </c>
      <c r="H3965" s="28" t="s">
        <v>44</v>
      </c>
      <c r="I3965" s="29"/>
      <c r="J3965" s="25">
        <v>2</v>
      </c>
      <c r="K3965" s="30">
        <v>319.8</v>
      </c>
      <c r="L3965" s="17"/>
      <c r="M3965" s="29">
        <f>K3965*L3965</f>
        <v>0</v>
      </c>
      <c r="N3965" s="31">
        <f>0.062*L3965</f>
        <v>0</v>
      </c>
      <c r="O3965" s="32">
        <f>0.00473*L3965</f>
        <v>0</v>
      </c>
      <c r="P3965" s="36"/>
      <c r="Q3965" s="29" t="s">
        <v>13194</v>
      </c>
      <c r="R3965" s="29"/>
      <c r="S3965" s="26" t="str">
        <f>HYPERLINK("https://miland.ru/api/getInfo/image/cd3cce67-52e7-11ee-a244-00155d82e902")</f>
        <v>https://miland.ru/api/getInfo/image/cd3cce67-52e7-11ee-a244-00155d82e902</v>
      </c>
    </row>
    <row r="3966" spans="1:19" s="1" customFormat="1" ht="12" customHeight="1" outlineLevel="4">
      <c r="A3966" s="64" t="s">
        <v>13195</v>
      </c>
      <c r="B3966" s="64"/>
      <c r="C3966" s="64"/>
      <c r="D3966" s="64"/>
      <c r="E3966" s="64"/>
      <c r="F3966" s="64"/>
      <c r="G3966" s="8"/>
      <c r="H3966" s="12"/>
      <c r="I3966" s="2"/>
      <c r="J3966" s="2"/>
      <c r="K3966" s="13"/>
      <c r="L3966" s="2"/>
      <c r="M3966" s="2"/>
      <c r="N3966" s="2"/>
      <c r="O3966" s="2"/>
      <c r="P3966" s="2"/>
      <c r="Q3966" s="2"/>
      <c r="R3966" s="2"/>
      <c r="S3966" s="2"/>
    </row>
    <row r="3967" spans="1:19" s="2" customFormat="1" ht="96.2" customHeight="1" outlineLevel="5">
      <c r="A3967" s="52">
        <v>3137</v>
      </c>
      <c r="B3967" s="26" t="s">
        <v>13196</v>
      </c>
      <c r="C3967" s="66" t="s">
        <v>13197</v>
      </c>
      <c r="D3967" s="66"/>
      <c r="E3967" s="66"/>
      <c r="F3967" s="66"/>
      <c r="G3967" s="27" t="s">
        <v>13198</v>
      </c>
      <c r="H3967" s="33">
        <v>9</v>
      </c>
      <c r="I3967" s="29"/>
      <c r="J3967" s="25">
        <v>5</v>
      </c>
      <c r="K3967" s="30">
        <v>127.22</v>
      </c>
      <c r="L3967" s="17"/>
      <c r="M3967" s="29">
        <f>K3967*L3967</f>
        <v>0</v>
      </c>
      <c r="N3967" s="31">
        <f>0.015*L3967</f>
        <v>0</v>
      </c>
      <c r="O3967" s="32">
        <f>0.00006*L3967</f>
        <v>0</v>
      </c>
      <c r="P3967" s="36"/>
      <c r="Q3967" s="29" t="s">
        <v>13199</v>
      </c>
      <c r="R3967" s="29" t="s">
        <v>611</v>
      </c>
      <c r="S3967" s="26" t="str">
        <f>HYPERLINK("https://miland.ru/api/getInfo/image/78d7dcc7-52e4-11ee-a244-00155d82e902")</f>
        <v>https://miland.ru/api/getInfo/image/78d7dcc7-52e4-11ee-a244-00155d82e902</v>
      </c>
    </row>
    <row r="3968" spans="1:19" s="1" customFormat="1" ht="12" customHeight="1" outlineLevel="4">
      <c r="A3968" s="64" t="s">
        <v>13200</v>
      </c>
      <c r="B3968" s="64"/>
      <c r="C3968" s="64"/>
      <c r="D3968" s="64"/>
      <c r="E3968" s="64"/>
      <c r="F3968" s="64"/>
      <c r="G3968" s="8"/>
      <c r="H3968" s="12"/>
      <c r="I3968" s="2"/>
      <c r="J3968" s="2"/>
      <c r="K3968" s="13"/>
      <c r="L3968" s="2"/>
      <c r="M3968" s="2"/>
      <c r="N3968" s="2"/>
      <c r="O3968" s="2"/>
      <c r="P3968" s="2"/>
      <c r="Q3968" s="2"/>
      <c r="R3968" s="2"/>
      <c r="S3968" s="2"/>
    </row>
    <row r="3969" spans="1:19" s="2" customFormat="1" ht="96.2" customHeight="1" outlineLevel="5">
      <c r="A3969" s="52">
        <v>3138</v>
      </c>
      <c r="B3969" s="26" t="s">
        <v>13201</v>
      </c>
      <c r="C3969" s="66" t="s">
        <v>13202</v>
      </c>
      <c r="D3969" s="66"/>
      <c r="E3969" s="66"/>
      <c r="F3969" s="66"/>
      <c r="G3969" s="27" t="s">
        <v>13203</v>
      </c>
      <c r="H3969" s="28" t="s">
        <v>44</v>
      </c>
      <c r="I3969" s="29"/>
      <c r="J3969" s="25">
        <v>4</v>
      </c>
      <c r="K3969" s="30">
        <v>170.04</v>
      </c>
      <c r="L3969" s="17"/>
      <c r="M3969" s="29">
        <f>K3969*L3969</f>
        <v>0</v>
      </c>
      <c r="N3969" s="31">
        <f>0.044*L3969</f>
        <v>0</v>
      </c>
      <c r="O3969" s="32">
        <f>0.00033*L3969</f>
        <v>0</v>
      </c>
      <c r="P3969" s="36"/>
      <c r="Q3969" s="29" t="s">
        <v>13204</v>
      </c>
      <c r="R3969" s="29"/>
      <c r="S3969" s="26" t="str">
        <f>HYPERLINK("https://miland.ru/api/getInfo/image/1bef22b5-7319-11ee-a248-00155d82e902")</f>
        <v>https://miland.ru/api/getInfo/image/1bef22b5-7319-11ee-a248-00155d82e902</v>
      </c>
    </row>
    <row r="3970" spans="1:19" s="1" customFormat="1" ht="15.95" customHeight="1" outlineLevel="1">
      <c r="A3970" s="62" t="s">
        <v>13205</v>
      </c>
      <c r="B3970" s="62"/>
      <c r="C3970" s="62"/>
      <c r="D3970" s="62"/>
      <c r="E3970" s="62"/>
      <c r="F3970" s="62"/>
      <c r="G3970" s="8"/>
      <c r="H3970" s="12"/>
      <c r="I3970" s="2"/>
      <c r="J3970" s="2"/>
      <c r="K3970" s="13"/>
      <c r="L3970" s="2"/>
      <c r="M3970" s="2"/>
      <c r="N3970" s="2"/>
      <c r="O3970" s="2"/>
      <c r="P3970" s="2"/>
      <c r="Q3970" s="2"/>
      <c r="R3970" s="2"/>
      <c r="S3970" s="2"/>
    </row>
    <row r="3971" spans="1:19" s="1" customFormat="1" ht="12" customHeight="1" outlineLevel="2">
      <c r="A3971" s="63" t="s">
        <v>13206</v>
      </c>
      <c r="B3971" s="63"/>
      <c r="C3971" s="63"/>
      <c r="D3971" s="63"/>
      <c r="E3971" s="63"/>
      <c r="F3971" s="63"/>
      <c r="G3971" s="8"/>
      <c r="H3971" s="12"/>
      <c r="I3971" s="2"/>
      <c r="J3971" s="2"/>
      <c r="K3971" s="13"/>
      <c r="L3971" s="2"/>
      <c r="M3971" s="2"/>
      <c r="N3971" s="2"/>
      <c r="O3971" s="2"/>
      <c r="P3971" s="2"/>
      <c r="Q3971" s="2"/>
      <c r="R3971" s="2"/>
      <c r="S3971" s="2"/>
    </row>
    <row r="3972" spans="1:19" s="1" customFormat="1" ht="12" customHeight="1" outlineLevel="3">
      <c r="A3972" s="64" t="s">
        <v>7663</v>
      </c>
      <c r="B3972" s="64"/>
      <c r="C3972" s="64"/>
      <c r="D3972" s="64"/>
      <c r="E3972" s="64"/>
      <c r="F3972" s="64"/>
      <c r="G3972" s="8"/>
      <c r="H3972" s="12"/>
      <c r="I3972" s="2"/>
      <c r="J3972" s="2"/>
      <c r="K3972" s="13"/>
      <c r="L3972" s="2"/>
      <c r="M3972" s="2"/>
      <c r="N3972" s="2"/>
      <c r="O3972" s="2"/>
      <c r="P3972" s="2"/>
      <c r="Q3972" s="2"/>
      <c r="R3972" s="2"/>
      <c r="S3972" s="2"/>
    </row>
    <row r="3973" spans="1:19" s="1" customFormat="1" ht="12" customHeight="1" outlineLevel="4">
      <c r="A3973" s="64" t="s">
        <v>13207</v>
      </c>
      <c r="B3973" s="64"/>
      <c r="C3973" s="64"/>
      <c r="D3973" s="64"/>
      <c r="E3973" s="64"/>
      <c r="F3973" s="64"/>
      <c r="G3973" s="8"/>
      <c r="H3973" s="12"/>
      <c r="I3973" s="2"/>
      <c r="J3973" s="2"/>
      <c r="K3973" s="13"/>
      <c r="L3973" s="2"/>
      <c r="M3973" s="2"/>
      <c r="N3973" s="2"/>
      <c r="O3973" s="2"/>
      <c r="P3973" s="2"/>
      <c r="Q3973" s="2"/>
      <c r="R3973" s="2"/>
      <c r="S3973" s="2"/>
    </row>
    <row r="3974" spans="1:19" s="1" customFormat="1" ht="12" customHeight="1" outlineLevel="5">
      <c r="A3974" s="64" t="s">
        <v>13208</v>
      </c>
      <c r="B3974" s="64"/>
      <c r="C3974" s="64"/>
      <c r="D3974" s="64"/>
      <c r="E3974" s="64"/>
      <c r="F3974" s="64"/>
      <c r="G3974" s="8"/>
      <c r="H3974" s="12"/>
      <c r="I3974" s="2"/>
      <c r="J3974" s="2"/>
      <c r="K3974" s="13"/>
      <c r="L3974" s="2"/>
      <c r="M3974" s="2"/>
      <c r="N3974" s="2"/>
      <c r="O3974" s="2"/>
      <c r="P3974" s="2"/>
      <c r="Q3974" s="2"/>
      <c r="R3974" s="2"/>
      <c r="S3974" s="2"/>
    </row>
    <row r="3975" spans="1:19" s="2" customFormat="1" ht="96.2" customHeight="1" outlineLevel="6">
      <c r="A3975" s="52">
        <v>3139</v>
      </c>
      <c r="B3975" s="26" t="s">
        <v>13209</v>
      </c>
      <c r="C3975" s="66" t="s">
        <v>13210</v>
      </c>
      <c r="D3975" s="66"/>
      <c r="E3975" s="66"/>
      <c r="F3975" s="66"/>
      <c r="G3975" s="27" t="s">
        <v>13211</v>
      </c>
      <c r="H3975" s="28" t="s">
        <v>44</v>
      </c>
      <c r="I3975" s="29"/>
      <c r="J3975" s="25">
        <v>25</v>
      </c>
      <c r="K3975" s="30">
        <v>26.07</v>
      </c>
      <c r="L3975" s="17"/>
      <c r="M3975" s="29">
        <f>K3975*L3975</f>
        <v>0</v>
      </c>
      <c r="N3975" s="31">
        <f>0.027*L3975</f>
        <v>0</v>
      </c>
      <c r="O3975" s="32">
        <f>0.00052*L3975</f>
        <v>0</v>
      </c>
      <c r="P3975" s="36"/>
      <c r="Q3975" s="29" t="s">
        <v>13212</v>
      </c>
      <c r="R3975" s="29"/>
      <c r="S3975" s="26" t="str">
        <f>HYPERLINK("https://miland.ru/api/getInfo/image/66593931-63e8-11e8-84c9-5cf3fc4a2490")</f>
        <v>https://miland.ru/api/getInfo/image/66593931-63e8-11e8-84c9-5cf3fc4a2490</v>
      </c>
    </row>
    <row r="3976" spans="1:19" s="1" customFormat="1" ht="12" customHeight="1" outlineLevel="5">
      <c r="A3976" s="64" t="s">
        <v>13213</v>
      </c>
      <c r="B3976" s="64"/>
      <c r="C3976" s="64"/>
      <c r="D3976" s="64"/>
      <c r="E3976" s="64"/>
      <c r="F3976" s="64"/>
      <c r="G3976" s="8"/>
      <c r="H3976" s="12"/>
      <c r="I3976" s="2"/>
      <c r="J3976" s="2"/>
      <c r="K3976" s="13"/>
      <c r="L3976" s="2"/>
      <c r="M3976" s="2"/>
      <c r="N3976" s="2"/>
      <c r="O3976" s="2"/>
      <c r="P3976" s="2"/>
      <c r="Q3976" s="2"/>
      <c r="R3976" s="2"/>
      <c r="S3976" s="2"/>
    </row>
    <row r="3977" spans="1:19" s="2" customFormat="1" ht="96.2" customHeight="1" outlineLevel="6">
      <c r="A3977" s="52">
        <v>3140</v>
      </c>
      <c r="B3977" s="26" t="s">
        <v>13214</v>
      </c>
      <c r="C3977" s="66" t="s">
        <v>13215</v>
      </c>
      <c r="D3977" s="66"/>
      <c r="E3977" s="66"/>
      <c r="F3977" s="66"/>
      <c r="G3977" s="27" t="s">
        <v>13216</v>
      </c>
      <c r="H3977" s="28" t="s">
        <v>44</v>
      </c>
      <c r="I3977" s="29"/>
      <c r="J3977" s="25">
        <v>25</v>
      </c>
      <c r="K3977" s="30">
        <v>34.78</v>
      </c>
      <c r="L3977" s="17"/>
      <c r="M3977" s="29">
        <f>K3977*L3977</f>
        <v>0</v>
      </c>
      <c r="N3977" s="31">
        <f>0.034*L3977</f>
        <v>0</v>
      </c>
      <c r="O3977" s="32">
        <f>0.00228*L3977</f>
        <v>0</v>
      </c>
      <c r="P3977" s="36"/>
      <c r="Q3977" s="29" t="s">
        <v>13217</v>
      </c>
      <c r="R3977" s="29"/>
      <c r="S3977" s="26" t="str">
        <f>HYPERLINK("https://miland.ru/api/getInfo/image/ad209bb1-63e8-11e8-84c9-5cf3fc4a2490")</f>
        <v>https://miland.ru/api/getInfo/image/ad209bb1-63e8-11e8-84c9-5cf3fc4a2490</v>
      </c>
    </row>
    <row r="3978" spans="1:19" s="1" customFormat="1" ht="12" customHeight="1" outlineLevel="5">
      <c r="A3978" s="64" t="s">
        <v>13218</v>
      </c>
      <c r="B3978" s="64"/>
      <c r="C3978" s="64"/>
      <c r="D3978" s="64"/>
      <c r="E3978" s="64"/>
      <c r="F3978" s="64"/>
      <c r="G3978" s="8"/>
      <c r="H3978" s="12"/>
      <c r="I3978" s="2"/>
      <c r="J3978" s="2"/>
      <c r="K3978" s="13"/>
      <c r="L3978" s="2"/>
      <c r="M3978" s="2"/>
      <c r="N3978" s="2"/>
      <c r="O3978" s="2"/>
      <c r="P3978" s="2"/>
      <c r="Q3978" s="2"/>
      <c r="R3978" s="2"/>
      <c r="S3978" s="2"/>
    </row>
    <row r="3979" spans="1:19" s="2" customFormat="1" ht="96.2" customHeight="1" outlineLevel="6">
      <c r="A3979" s="52">
        <v>3141</v>
      </c>
      <c r="B3979" s="26" t="s">
        <v>13219</v>
      </c>
      <c r="C3979" s="66" t="s">
        <v>13220</v>
      </c>
      <c r="D3979" s="66"/>
      <c r="E3979" s="66"/>
      <c r="F3979" s="66"/>
      <c r="G3979" s="27" t="s">
        <v>13221</v>
      </c>
      <c r="H3979" s="28" t="s">
        <v>44</v>
      </c>
      <c r="I3979" s="29"/>
      <c r="J3979" s="25">
        <v>25</v>
      </c>
      <c r="K3979" s="30">
        <v>37.46</v>
      </c>
      <c r="L3979" s="17"/>
      <c r="M3979" s="29">
        <f>K3979*L3979</f>
        <v>0</v>
      </c>
      <c r="N3979" s="31">
        <f>0.054*L3979</f>
        <v>0</v>
      </c>
      <c r="O3979" s="32">
        <f>0.00065*L3979</f>
        <v>0</v>
      </c>
      <c r="P3979" s="36"/>
      <c r="Q3979" s="29" t="s">
        <v>13222</v>
      </c>
      <c r="R3979" s="29"/>
      <c r="S3979" s="26" t="str">
        <f>HYPERLINK("https://miland.ru/api/getInfo/image/4735bcd1-63e9-11e8-84c9-5cf3fc4a2490")</f>
        <v>https://miland.ru/api/getInfo/image/4735bcd1-63e9-11e8-84c9-5cf3fc4a2490</v>
      </c>
    </row>
    <row r="3980" spans="1:19" s="1" customFormat="1" ht="12" customHeight="1" outlineLevel="4">
      <c r="A3980" s="64" t="s">
        <v>7664</v>
      </c>
      <c r="B3980" s="64"/>
      <c r="C3980" s="64"/>
      <c r="D3980" s="64"/>
      <c r="E3980" s="64"/>
      <c r="F3980" s="64"/>
      <c r="G3980" s="8"/>
      <c r="H3980" s="12"/>
      <c r="I3980" s="2"/>
      <c r="J3980" s="2"/>
      <c r="K3980" s="13"/>
      <c r="L3980" s="2"/>
      <c r="M3980" s="2"/>
      <c r="N3980" s="2"/>
      <c r="O3980" s="2"/>
      <c r="P3980" s="2"/>
      <c r="Q3980" s="2"/>
      <c r="R3980" s="2"/>
      <c r="S3980" s="2"/>
    </row>
    <row r="3981" spans="1:19" s="1" customFormat="1" ht="12" customHeight="1" outlineLevel="5">
      <c r="A3981" s="64" t="s">
        <v>13223</v>
      </c>
      <c r="B3981" s="64"/>
      <c r="C3981" s="64"/>
      <c r="D3981" s="64"/>
      <c r="E3981" s="64"/>
      <c r="F3981" s="64"/>
      <c r="G3981" s="8"/>
      <c r="H3981" s="12"/>
      <c r="I3981" s="2"/>
      <c r="J3981" s="2"/>
      <c r="K3981" s="13"/>
      <c r="L3981" s="2"/>
      <c r="M3981" s="2"/>
      <c r="N3981" s="2"/>
      <c r="O3981" s="2"/>
      <c r="P3981" s="2"/>
      <c r="Q3981" s="2"/>
      <c r="R3981" s="2"/>
      <c r="S3981" s="2"/>
    </row>
    <row r="3982" spans="1:19" s="1" customFormat="1" ht="12" customHeight="1" outlineLevel="6">
      <c r="A3982" s="64" t="s">
        <v>13224</v>
      </c>
      <c r="B3982" s="64"/>
      <c r="C3982" s="64"/>
      <c r="D3982" s="64"/>
      <c r="E3982" s="64"/>
      <c r="F3982" s="64"/>
      <c r="G3982" s="8"/>
      <c r="H3982" s="12"/>
      <c r="I3982" s="2"/>
      <c r="J3982" s="2"/>
      <c r="K3982" s="13"/>
      <c r="L3982" s="2"/>
      <c r="M3982" s="2"/>
      <c r="N3982" s="2"/>
      <c r="O3982" s="2"/>
      <c r="P3982" s="2"/>
      <c r="Q3982" s="2"/>
      <c r="R3982" s="2"/>
      <c r="S3982" s="2"/>
    </row>
    <row r="3983" spans="1:19" s="2" customFormat="1" ht="96.2" customHeight="1" outlineLevel="7">
      <c r="A3983" s="53">
        <v>3142</v>
      </c>
      <c r="B3983" s="10" t="s">
        <v>13225</v>
      </c>
      <c r="C3983" s="65" t="s">
        <v>13226</v>
      </c>
      <c r="D3983" s="65"/>
      <c r="E3983" s="65"/>
      <c r="F3983" s="65"/>
      <c r="G3983" s="11" t="s">
        <v>13227</v>
      </c>
      <c r="H3983" s="21" t="s">
        <v>44</v>
      </c>
      <c r="I3983" s="15"/>
      <c r="J3983" s="9">
        <v>12</v>
      </c>
      <c r="K3983" s="16">
        <v>48.32</v>
      </c>
      <c r="L3983" s="17"/>
      <c r="M3983" s="15">
        <f t="shared" ref="M3983:M3995" si="189">K3983*L3983</f>
        <v>0</v>
      </c>
      <c r="N3983" s="18">
        <f>0.037*L3983</f>
        <v>0</v>
      </c>
      <c r="O3983" s="19">
        <f>0.00047*L3983</f>
        <v>0</v>
      </c>
      <c r="P3983" s="24" t="s">
        <v>26</v>
      </c>
      <c r="Q3983" s="15" t="s">
        <v>13228</v>
      </c>
      <c r="R3983" s="15"/>
      <c r="S3983" s="10" t="str">
        <f>HYPERLINK("https://miland.ru/api/getInfo/image/bc761dce-067d-11f1-a28f-00155d82e908")</f>
        <v>https://miland.ru/api/getInfo/image/bc761dce-067d-11f1-a28f-00155d82e908</v>
      </c>
    </row>
    <row r="3984" spans="1:19" s="2" customFormat="1" ht="96.2" customHeight="1" outlineLevel="7">
      <c r="A3984" s="53">
        <v>3143</v>
      </c>
      <c r="B3984" s="10" t="s">
        <v>13229</v>
      </c>
      <c r="C3984" s="65" t="s">
        <v>13230</v>
      </c>
      <c r="D3984" s="65"/>
      <c r="E3984" s="65"/>
      <c r="F3984" s="65"/>
      <c r="G3984" s="11" t="s">
        <v>13231</v>
      </c>
      <c r="H3984" s="21" t="s">
        <v>44</v>
      </c>
      <c r="I3984" s="15"/>
      <c r="J3984" s="9">
        <v>12</v>
      </c>
      <c r="K3984" s="16">
        <v>48.32</v>
      </c>
      <c r="L3984" s="17"/>
      <c r="M3984" s="15">
        <f t="shared" si="189"/>
        <v>0</v>
      </c>
      <c r="N3984" s="23">
        <f>0.04*L3984</f>
        <v>0</v>
      </c>
      <c r="O3984" s="20">
        <f>0.0009*L3984</f>
        <v>0</v>
      </c>
      <c r="P3984" s="24" t="s">
        <v>26</v>
      </c>
      <c r="Q3984" s="15" t="s">
        <v>13232</v>
      </c>
      <c r="R3984" s="15"/>
      <c r="S3984" s="10" t="str">
        <f>HYPERLINK("https://miland.ru/api/getInfo/image/5e97d03b-067e-11f1-a28f-00155d82e908")</f>
        <v>https://miland.ru/api/getInfo/image/5e97d03b-067e-11f1-a28f-00155d82e908</v>
      </c>
    </row>
    <row r="3985" spans="1:19" s="2" customFormat="1" ht="96.2" customHeight="1" outlineLevel="7">
      <c r="A3985" s="53">
        <v>3144</v>
      </c>
      <c r="B3985" s="10" t="s">
        <v>13233</v>
      </c>
      <c r="C3985" s="65" t="s">
        <v>13234</v>
      </c>
      <c r="D3985" s="65"/>
      <c r="E3985" s="65"/>
      <c r="F3985" s="65"/>
      <c r="G3985" s="11" t="s">
        <v>13235</v>
      </c>
      <c r="H3985" s="21" t="s">
        <v>44</v>
      </c>
      <c r="I3985" s="15"/>
      <c r="J3985" s="9">
        <v>12</v>
      </c>
      <c r="K3985" s="16">
        <v>48.32</v>
      </c>
      <c r="L3985" s="17"/>
      <c r="M3985" s="15">
        <f t="shared" si="189"/>
        <v>0</v>
      </c>
      <c r="N3985" s="18">
        <f>0.045*L3985</f>
        <v>0</v>
      </c>
      <c r="O3985" s="19">
        <f>0.00018*L3985</f>
        <v>0</v>
      </c>
      <c r="P3985" s="24" t="s">
        <v>26</v>
      </c>
      <c r="Q3985" s="15" t="s">
        <v>13236</v>
      </c>
      <c r="R3985" s="15"/>
      <c r="S3985" s="10" t="str">
        <f>HYPERLINK("https://miland.ru/api/getInfo/image/f8b1ace3-9d37-11f0-a285-00155d82e908")</f>
        <v>https://miland.ru/api/getInfo/image/f8b1ace3-9d37-11f0-a285-00155d82e908</v>
      </c>
    </row>
    <row r="3986" spans="1:19" s="2" customFormat="1" ht="96.2" customHeight="1" outlineLevel="7">
      <c r="A3986" s="53">
        <v>3145</v>
      </c>
      <c r="B3986" s="10" t="s">
        <v>13237</v>
      </c>
      <c r="C3986" s="65" t="s">
        <v>13238</v>
      </c>
      <c r="D3986" s="65"/>
      <c r="E3986" s="65"/>
      <c r="F3986" s="65"/>
      <c r="G3986" s="11" t="s">
        <v>13239</v>
      </c>
      <c r="H3986" s="21" t="s">
        <v>44</v>
      </c>
      <c r="I3986" s="15"/>
      <c r="J3986" s="9">
        <v>12</v>
      </c>
      <c r="K3986" s="16">
        <v>48.32</v>
      </c>
      <c r="L3986" s="17"/>
      <c r="M3986" s="15">
        <f t="shared" si="189"/>
        <v>0</v>
      </c>
      <c r="N3986" s="18">
        <f>0.043*L3986</f>
        <v>0</v>
      </c>
      <c r="O3986" s="20">
        <f>0.0006*L3986</f>
        <v>0</v>
      </c>
      <c r="P3986" s="24" t="s">
        <v>26</v>
      </c>
      <c r="Q3986" s="15" t="s">
        <v>13240</v>
      </c>
      <c r="R3986" s="15"/>
      <c r="S3986" s="10" t="str">
        <f>HYPERLINK("https://miland.ru/api/getInfo/image/4bd64c4e-067d-11f1-a28f-00155d82e908")</f>
        <v>https://miland.ru/api/getInfo/image/4bd64c4e-067d-11f1-a28f-00155d82e908</v>
      </c>
    </row>
    <row r="3987" spans="1:19" s="2" customFormat="1" ht="96.2" customHeight="1" outlineLevel="7">
      <c r="A3987" s="53">
        <v>3146</v>
      </c>
      <c r="B3987" s="10" t="s">
        <v>13241</v>
      </c>
      <c r="C3987" s="65" t="s">
        <v>13242</v>
      </c>
      <c r="D3987" s="65"/>
      <c r="E3987" s="65"/>
      <c r="F3987" s="65"/>
      <c r="G3987" s="11" t="s">
        <v>13243</v>
      </c>
      <c r="H3987" s="21" t="s">
        <v>44</v>
      </c>
      <c r="I3987" s="15"/>
      <c r="J3987" s="9">
        <v>12</v>
      </c>
      <c r="K3987" s="16">
        <v>48.32</v>
      </c>
      <c r="L3987" s="17"/>
      <c r="M3987" s="15">
        <f t="shared" si="189"/>
        <v>0</v>
      </c>
      <c r="N3987" s="18">
        <f>0.039*L3987</f>
        <v>0</v>
      </c>
      <c r="O3987" s="19">
        <f>0.01525*L3987</f>
        <v>0</v>
      </c>
      <c r="P3987" s="24" t="s">
        <v>26</v>
      </c>
      <c r="Q3987" s="15" t="s">
        <v>13244</v>
      </c>
      <c r="R3987" s="15"/>
      <c r="S3987" s="10" t="str">
        <f>HYPERLINK("https://miland.ru/api/getInfo/image/f9f5c640-067c-11f1-a28f-00155d82e908")</f>
        <v>https://miland.ru/api/getInfo/image/f9f5c640-067c-11f1-a28f-00155d82e908</v>
      </c>
    </row>
    <row r="3988" spans="1:19" s="2" customFormat="1" ht="96.2" customHeight="1" outlineLevel="7">
      <c r="A3988" s="53">
        <v>3147</v>
      </c>
      <c r="B3988" s="10" t="s">
        <v>13245</v>
      </c>
      <c r="C3988" s="65" t="s">
        <v>13246</v>
      </c>
      <c r="D3988" s="65"/>
      <c r="E3988" s="65"/>
      <c r="F3988" s="65"/>
      <c r="G3988" s="11" t="s">
        <v>13247</v>
      </c>
      <c r="H3988" s="21" t="s">
        <v>44</v>
      </c>
      <c r="I3988" s="15"/>
      <c r="J3988" s="9">
        <v>12</v>
      </c>
      <c r="K3988" s="16">
        <v>48.32</v>
      </c>
      <c r="L3988" s="17"/>
      <c r="M3988" s="15">
        <f t="shared" si="189"/>
        <v>0</v>
      </c>
      <c r="N3988" s="23">
        <f>0.04*L3988</f>
        <v>0</v>
      </c>
      <c r="O3988" s="19">
        <f>0.00052*L3988</f>
        <v>0</v>
      </c>
      <c r="P3988" s="24" t="s">
        <v>26</v>
      </c>
      <c r="Q3988" s="15" t="s">
        <v>13248</v>
      </c>
      <c r="R3988" s="15"/>
      <c r="S3988" s="10" t="str">
        <f>HYPERLINK("https://miland.ru/api/getInfo/image/1f6e1f9b-067d-11f1-a28f-00155d82e908")</f>
        <v>https://miland.ru/api/getInfo/image/1f6e1f9b-067d-11f1-a28f-00155d82e908</v>
      </c>
    </row>
    <row r="3989" spans="1:19" s="2" customFormat="1" ht="96.2" customHeight="1" outlineLevel="7">
      <c r="A3989" s="53">
        <v>3148</v>
      </c>
      <c r="B3989" s="10" t="s">
        <v>13249</v>
      </c>
      <c r="C3989" s="65" t="s">
        <v>13250</v>
      </c>
      <c r="D3989" s="65"/>
      <c r="E3989" s="65"/>
      <c r="F3989" s="65"/>
      <c r="G3989" s="11" t="s">
        <v>13251</v>
      </c>
      <c r="H3989" s="21" t="s">
        <v>44</v>
      </c>
      <c r="I3989" s="15"/>
      <c r="J3989" s="9">
        <v>12</v>
      </c>
      <c r="K3989" s="16">
        <v>48.32</v>
      </c>
      <c r="L3989" s="17"/>
      <c r="M3989" s="15">
        <f t="shared" si="189"/>
        <v>0</v>
      </c>
      <c r="N3989" s="18">
        <f>0.044*L3989</f>
        <v>0</v>
      </c>
      <c r="O3989" s="19">
        <f>0.00017*L3989</f>
        <v>0</v>
      </c>
      <c r="P3989" s="24" t="s">
        <v>26</v>
      </c>
      <c r="Q3989" s="15" t="s">
        <v>13252</v>
      </c>
      <c r="R3989" s="15"/>
      <c r="S3989" s="10" t="str">
        <f>HYPERLINK("https://miland.ru/api/getInfo/image/e5f09bfb-728d-11f0-a284-00155d82e908")</f>
        <v>https://miland.ru/api/getInfo/image/e5f09bfb-728d-11f0-a284-00155d82e908</v>
      </c>
    </row>
    <row r="3990" spans="1:19" s="2" customFormat="1" ht="96.2" customHeight="1" outlineLevel="7">
      <c r="A3990" s="53">
        <v>3149</v>
      </c>
      <c r="B3990" s="10" t="s">
        <v>13253</v>
      </c>
      <c r="C3990" s="65" t="s">
        <v>13254</v>
      </c>
      <c r="D3990" s="65"/>
      <c r="E3990" s="65"/>
      <c r="F3990" s="65"/>
      <c r="G3990" s="11" t="s">
        <v>13255</v>
      </c>
      <c r="H3990" s="21" t="s">
        <v>44</v>
      </c>
      <c r="I3990" s="15"/>
      <c r="J3990" s="9">
        <v>12</v>
      </c>
      <c r="K3990" s="16">
        <v>48.32</v>
      </c>
      <c r="L3990" s="17"/>
      <c r="M3990" s="15">
        <f t="shared" si="189"/>
        <v>0</v>
      </c>
      <c r="N3990" s="18">
        <f>0.044*L3990</f>
        <v>0</v>
      </c>
      <c r="O3990" s="19">
        <f>0.00017*L3990</f>
        <v>0</v>
      </c>
      <c r="P3990" s="24" t="s">
        <v>26</v>
      </c>
      <c r="Q3990" s="15" t="s">
        <v>13256</v>
      </c>
      <c r="R3990" s="15"/>
      <c r="S3990" s="10" t="str">
        <f>HYPERLINK("https://miland.ru/api/getInfo/image/9a52736f-728d-11f0-a284-00155d82e908")</f>
        <v>https://miland.ru/api/getInfo/image/9a52736f-728d-11f0-a284-00155d82e908</v>
      </c>
    </row>
    <row r="3991" spans="1:19" s="2" customFormat="1" ht="96.2" customHeight="1" outlineLevel="7">
      <c r="A3991" s="53">
        <v>3150</v>
      </c>
      <c r="B3991" s="10" t="s">
        <v>13257</v>
      </c>
      <c r="C3991" s="65" t="s">
        <v>13258</v>
      </c>
      <c r="D3991" s="65"/>
      <c r="E3991" s="65"/>
      <c r="F3991" s="65"/>
      <c r="G3991" s="11" t="s">
        <v>13259</v>
      </c>
      <c r="H3991" s="21" t="s">
        <v>44</v>
      </c>
      <c r="I3991" s="15"/>
      <c r="J3991" s="9">
        <v>12</v>
      </c>
      <c r="K3991" s="16">
        <v>48.32</v>
      </c>
      <c r="L3991" s="17"/>
      <c r="M3991" s="15">
        <f t="shared" si="189"/>
        <v>0</v>
      </c>
      <c r="N3991" s="18">
        <f>0.045*L3991</f>
        <v>0</v>
      </c>
      <c r="O3991" s="19">
        <f>0.00018*L3991</f>
        <v>0</v>
      </c>
      <c r="P3991" s="24" t="s">
        <v>26</v>
      </c>
      <c r="Q3991" s="15" t="s">
        <v>13260</v>
      </c>
      <c r="R3991" s="15"/>
      <c r="S3991" s="10" t="str">
        <f>HYPERLINK("https://miland.ru/api/getInfo/image/ae960cf3-9d38-11f0-a285-00155d82e908")</f>
        <v>https://miland.ru/api/getInfo/image/ae960cf3-9d38-11f0-a285-00155d82e908</v>
      </c>
    </row>
    <row r="3992" spans="1:19" s="2" customFormat="1" ht="96.2" customHeight="1" outlineLevel="7">
      <c r="A3992" s="53">
        <v>3151</v>
      </c>
      <c r="B3992" s="10" t="s">
        <v>13261</v>
      </c>
      <c r="C3992" s="65" t="s">
        <v>13262</v>
      </c>
      <c r="D3992" s="65"/>
      <c r="E3992" s="65"/>
      <c r="F3992" s="65"/>
      <c r="G3992" s="11" t="s">
        <v>13263</v>
      </c>
      <c r="H3992" s="21" t="s">
        <v>44</v>
      </c>
      <c r="I3992" s="15"/>
      <c r="J3992" s="9">
        <v>12</v>
      </c>
      <c r="K3992" s="16">
        <v>48.32</v>
      </c>
      <c r="L3992" s="17"/>
      <c r="M3992" s="15">
        <f t="shared" si="189"/>
        <v>0</v>
      </c>
      <c r="N3992" s="23">
        <f>0.04*L3992</f>
        <v>0</v>
      </c>
      <c r="O3992" s="19">
        <f>0.00034*L3992</f>
        <v>0</v>
      </c>
      <c r="P3992" s="24" t="s">
        <v>26</v>
      </c>
      <c r="Q3992" s="15" t="s">
        <v>13264</v>
      </c>
      <c r="R3992" s="15"/>
      <c r="S3992" s="10" t="str">
        <f>HYPERLINK("https://miland.ru/api/getInfo/image/a3074d4f-067d-11f1-a28f-00155d82e908")</f>
        <v>https://miland.ru/api/getInfo/image/a3074d4f-067d-11f1-a28f-00155d82e908</v>
      </c>
    </row>
    <row r="3993" spans="1:19" s="2" customFormat="1" ht="96.2" customHeight="1" outlineLevel="7">
      <c r="A3993" s="53">
        <v>3152</v>
      </c>
      <c r="B3993" s="10" t="s">
        <v>13265</v>
      </c>
      <c r="C3993" s="65" t="s">
        <v>13266</v>
      </c>
      <c r="D3993" s="65"/>
      <c r="E3993" s="65"/>
      <c r="F3993" s="65"/>
      <c r="G3993" s="11" t="s">
        <v>13267</v>
      </c>
      <c r="H3993" s="21" t="s">
        <v>44</v>
      </c>
      <c r="I3993" s="15"/>
      <c r="J3993" s="9">
        <v>12</v>
      </c>
      <c r="K3993" s="16">
        <v>48.32</v>
      </c>
      <c r="L3993" s="17"/>
      <c r="M3993" s="15">
        <f t="shared" si="189"/>
        <v>0</v>
      </c>
      <c r="N3993" s="18">
        <f>0.044*L3993</f>
        <v>0</v>
      </c>
      <c r="O3993" s="19">
        <f>0.00017*L3993</f>
        <v>0</v>
      </c>
      <c r="P3993" s="24" t="s">
        <v>26</v>
      </c>
      <c r="Q3993" s="15" t="s">
        <v>13268</v>
      </c>
      <c r="R3993" s="15"/>
      <c r="S3993" s="10" t="str">
        <f>HYPERLINK("https://miland.ru/api/getInfo/image/cda7a3f3-728d-11f0-a284-00155d82e908")</f>
        <v>https://miland.ru/api/getInfo/image/cda7a3f3-728d-11f0-a284-00155d82e908</v>
      </c>
    </row>
    <row r="3994" spans="1:19" s="2" customFormat="1" ht="96.2" customHeight="1" outlineLevel="7">
      <c r="A3994" s="53">
        <v>3153</v>
      </c>
      <c r="B3994" s="10" t="s">
        <v>13269</v>
      </c>
      <c r="C3994" s="65" t="s">
        <v>13270</v>
      </c>
      <c r="D3994" s="65"/>
      <c r="E3994" s="65"/>
      <c r="F3994" s="65"/>
      <c r="G3994" s="11" t="s">
        <v>13271</v>
      </c>
      <c r="H3994" s="14">
        <v>240</v>
      </c>
      <c r="I3994" s="15"/>
      <c r="J3994" s="9">
        <v>12</v>
      </c>
      <c r="K3994" s="16">
        <v>48.32</v>
      </c>
      <c r="L3994" s="17"/>
      <c r="M3994" s="15">
        <f t="shared" si="189"/>
        <v>0</v>
      </c>
      <c r="N3994" s="18">
        <f>0.045*L3994</f>
        <v>0</v>
      </c>
      <c r="O3994" s="19">
        <f>0.00017*L3994</f>
        <v>0</v>
      </c>
      <c r="P3994" s="24" t="s">
        <v>26</v>
      </c>
      <c r="Q3994" s="15" t="s">
        <v>13272</v>
      </c>
      <c r="R3994" s="15"/>
      <c r="S3994" s="10" t="str">
        <f>HYPERLINK("https://miland.ru/api/getInfo/image/d30e530d-728a-11f0-a284-00155d82e908")</f>
        <v>https://miland.ru/api/getInfo/image/d30e530d-728a-11f0-a284-00155d82e908</v>
      </c>
    </row>
    <row r="3995" spans="1:19" s="2" customFormat="1" ht="96.2" customHeight="1" outlineLevel="7">
      <c r="A3995" s="53">
        <v>3154</v>
      </c>
      <c r="B3995" s="10" t="s">
        <v>13273</v>
      </c>
      <c r="C3995" s="65" t="s">
        <v>13274</v>
      </c>
      <c r="D3995" s="65"/>
      <c r="E3995" s="65"/>
      <c r="F3995" s="65"/>
      <c r="G3995" s="11" t="s">
        <v>13275</v>
      </c>
      <c r="H3995" s="21" t="s">
        <v>44</v>
      </c>
      <c r="I3995" s="15"/>
      <c r="J3995" s="9">
        <v>12</v>
      </c>
      <c r="K3995" s="16">
        <v>48.32</v>
      </c>
      <c r="L3995" s="17"/>
      <c r="M3995" s="15">
        <f t="shared" si="189"/>
        <v>0</v>
      </c>
      <c r="N3995" s="18">
        <f>0.044*L3995</f>
        <v>0</v>
      </c>
      <c r="O3995" s="19">
        <f>0.00017*L3995</f>
        <v>0</v>
      </c>
      <c r="P3995" s="24" t="s">
        <v>26</v>
      </c>
      <c r="Q3995" s="15" t="s">
        <v>13276</v>
      </c>
      <c r="R3995" s="15"/>
      <c r="S3995" s="10" t="str">
        <f>HYPERLINK("https://miland.ru/api/getInfo/image/b2c2068a-728d-11f0-a284-00155d82e908")</f>
        <v>https://miland.ru/api/getInfo/image/b2c2068a-728d-11f0-a284-00155d82e908</v>
      </c>
    </row>
    <row r="3996" spans="1:19" s="1" customFormat="1" ht="12" customHeight="1" outlineLevel="6">
      <c r="A3996" s="64" t="s">
        <v>13277</v>
      </c>
      <c r="B3996" s="64"/>
      <c r="C3996" s="64"/>
      <c r="D3996" s="64"/>
      <c r="E3996" s="64"/>
      <c r="F3996" s="64"/>
      <c r="G3996" s="8"/>
      <c r="H3996" s="12"/>
      <c r="I3996" s="2"/>
      <c r="J3996" s="2"/>
      <c r="K3996" s="13"/>
      <c r="L3996" s="2"/>
      <c r="M3996" s="2"/>
      <c r="N3996" s="2"/>
      <c r="O3996" s="2"/>
      <c r="P3996" s="2"/>
      <c r="Q3996" s="2"/>
      <c r="R3996" s="2"/>
      <c r="S3996" s="2"/>
    </row>
    <row r="3997" spans="1:19" s="2" customFormat="1" ht="96.2" customHeight="1" outlineLevel="7">
      <c r="A3997" s="53">
        <v>3155</v>
      </c>
      <c r="B3997" s="10" t="s">
        <v>13278</v>
      </c>
      <c r="C3997" s="65" t="s">
        <v>13279</v>
      </c>
      <c r="D3997" s="65"/>
      <c r="E3997" s="65"/>
      <c r="F3997" s="65"/>
      <c r="G3997" s="11" t="s">
        <v>13280</v>
      </c>
      <c r="H3997" s="21" t="s">
        <v>44</v>
      </c>
      <c r="I3997" s="15"/>
      <c r="J3997" s="9">
        <v>12</v>
      </c>
      <c r="K3997" s="16">
        <v>60.48</v>
      </c>
      <c r="L3997" s="17"/>
      <c r="M3997" s="15">
        <f t="shared" ref="M3997:M4008" si="190">K3997*L3997</f>
        <v>0</v>
      </c>
      <c r="N3997" s="18">
        <f>0.041*L3997</f>
        <v>0</v>
      </c>
      <c r="O3997" s="19">
        <f>0.00043*L3997</f>
        <v>0</v>
      </c>
      <c r="P3997" s="24" t="s">
        <v>26</v>
      </c>
      <c r="Q3997" s="15" t="s">
        <v>13281</v>
      </c>
      <c r="R3997" s="15"/>
      <c r="S3997" s="10" t="str">
        <f>HYPERLINK("https://miland.ru/api/getInfo/image/c95175d0-067e-11f1-a28f-00155d82e908")</f>
        <v>https://miland.ru/api/getInfo/image/c95175d0-067e-11f1-a28f-00155d82e908</v>
      </c>
    </row>
    <row r="3998" spans="1:19" s="2" customFormat="1" ht="96.2" customHeight="1" outlineLevel="7">
      <c r="A3998" s="53">
        <v>3156</v>
      </c>
      <c r="B3998" s="10" t="s">
        <v>13282</v>
      </c>
      <c r="C3998" s="65" t="s">
        <v>13283</v>
      </c>
      <c r="D3998" s="65"/>
      <c r="E3998" s="65"/>
      <c r="F3998" s="65"/>
      <c r="G3998" s="11" t="s">
        <v>13284</v>
      </c>
      <c r="H3998" s="21" t="s">
        <v>44</v>
      </c>
      <c r="I3998" s="15"/>
      <c r="J3998" s="9">
        <v>12</v>
      </c>
      <c r="K3998" s="16">
        <v>60.48</v>
      </c>
      <c r="L3998" s="17"/>
      <c r="M3998" s="15">
        <f t="shared" si="190"/>
        <v>0</v>
      </c>
      <c r="N3998" s="18">
        <f>0.042*L3998</f>
        <v>0</v>
      </c>
      <c r="O3998" s="19">
        <f>0.00024*L3998</f>
        <v>0</v>
      </c>
      <c r="P3998" s="24" t="s">
        <v>26</v>
      </c>
      <c r="Q3998" s="15" t="s">
        <v>13285</v>
      </c>
      <c r="R3998" s="15"/>
      <c r="S3998" s="10" t="str">
        <f>HYPERLINK("https://miland.ru/api/getInfo/image/0e85f179-067f-11f1-a28f-00155d82e908")</f>
        <v>https://miland.ru/api/getInfo/image/0e85f179-067f-11f1-a28f-00155d82e908</v>
      </c>
    </row>
    <row r="3999" spans="1:19" s="2" customFormat="1" ht="96.2" customHeight="1" outlineLevel="7">
      <c r="A3999" s="53">
        <v>3157</v>
      </c>
      <c r="B3999" s="10" t="s">
        <v>13286</v>
      </c>
      <c r="C3999" s="65" t="s">
        <v>13287</v>
      </c>
      <c r="D3999" s="65"/>
      <c r="E3999" s="65"/>
      <c r="F3999" s="65"/>
      <c r="G3999" s="11" t="s">
        <v>13288</v>
      </c>
      <c r="H3999" s="21" t="s">
        <v>44</v>
      </c>
      <c r="I3999" s="15"/>
      <c r="J3999" s="9">
        <v>12</v>
      </c>
      <c r="K3999" s="16">
        <v>60.48</v>
      </c>
      <c r="L3999" s="17"/>
      <c r="M3999" s="15">
        <f t="shared" si="190"/>
        <v>0</v>
      </c>
      <c r="N3999" s="18">
        <f>0.043*L3999</f>
        <v>0</v>
      </c>
      <c r="O3999" s="20">
        <f>0.0006*L3999</f>
        <v>0</v>
      </c>
      <c r="P3999" s="24" t="s">
        <v>26</v>
      </c>
      <c r="Q3999" s="15" t="s">
        <v>13289</v>
      </c>
      <c r="R3999" s="15"/>
      <c r="S3999" s="10" t="str">
        <f>HYPERLINK("https://miland.ru/api/getInfo/image/b1055469-067e-11f1-a28f-00155d82e908")</f>
        <v>https://miland.ru/api/getInfo/image/b1055469-067e-11f1-a28f-00155d82e908</v>
      </c>
    </row>
    <row r="4000" spans="1:19" s="2" customFormat="1" ht="96.2" customHeight="1" outlineLevel="7">
      <c r="A4000" s="53">
        <v>3158</v>
      </c>
      <c r="B4000" s="10" t="s">
        <v>13290</v>
      </c>
      <c r="C4000" s="65" t="s">
        <v>13291</v>
      </c>
      <c r="D4000" s="65"/>
      <c r="E4000" s="65"/>
      <c r="F4000" s="65"/>
      <c r="G4000" s="11" t="s">
        <v>13292</v>
      </c>
      <c r="H4000" s="21" t="s">
        <v>44</v>
      </c>
      <c r="I4000" s="15"/>
      <c r="J4000" s="9">
        <v>12</v>
      </c>
      <c r="K4000" s="16">
        <v>60.48</v>
      </c>
      <c r="L4000" s="17"/>
      <c r="M4000" s="15">
        <f t="shared" si="190"/>
        <v>0</v>
      </c>
      <c r="N4000" s="18">
        <f>0.044*L4000</f>
        <v>0</v>
      </c>
      <c r="O4000" s="19">
        <f>0.00017*L4000</f>
        <v>0</v>
      </c>
      <c r="P4000" s="24" t="s">
        <v>26</v>
      </c>
      <c r="Q4000" s="15" t="s">
        <v>13293</v>
      </c>
      <c r="R4000" s="15"/>
      <c r="S4000" s="10" t="str">
        <f>HYPERLINK("https://miland.ru/api/getInfo/image/074a3fca-7680-11f0-a284-00155d82e908")</f>
        <v>https://miland.ru/api/getInfo/image/074a3fca-7680-11f0-a284-00155d82e908</v>
      </c>
    </row>
    <row r="4001" spans="1:19" s="2" customFormat="1" ht="96.2" customHeight="1" outlineLevel="7">
      <c r="A4001" s="53">
        <v>3159</v>
      </c>
      <c r="B4001" s="10" t="s">
        <v>13294</v>
      </c>
      <c r="C4001" s="65" t="s">
        <v>13295</v>
      </c>
      <c r="D4001" s="65"/>
      <c r="E4001" s="65"/>
      <c r="F4001" s="65"/>
      <c r="G4001" s="11" t="s">
        <v>13296</v>
      </c>
      <c r="H4001" s="21" t="s">
        <v>44</v>
      </c>
      <c r="I4001" s="15"/>
      <c r="J4001" s="9">
        <v>12</v>
      </c>
      <c r="K4001" s="16">
        <v>60.48</v>
      </c>
      <c r="L4001" s="17"/>
      <c r="M4001" s="15">
        <f t="shared" si="190"/>
        <v>0</v>
      </c>
      <c r="N4001" s="18">
        <f>0.043*L4001</f>
        <v>0</v>
      </c>
      <c r="O4001" s="20">
        <f>0.0002*L4001</f>
        <v>0</v>
      </c>
      <c r="P4001" s="24" t="s">
        <v>26</v>
      </c>
      <c r="Q4001" s="15" t="s">
        <v>13297</v>
      </c>
      <c r="R4001" s="15"/>
      <c r="S4001" s="10" t="str">
        <f>HYPERLINK("https://miland.ru/api/getInfo/image/a9714c99-7680-11f0-a284-00155d82e908")</f>
        <v>https://miland.ru/api/getInfo/image/a9714c99-7680-11f0-a284-00155d82e908</v>
      </c>
    </row>
    <row r="4002" spans="1:19" s="2" customFormat="1" ht="96.2" customHeight="1" outlineLevel="7">
      <c r="A4002" s="53">
        <v>3160</v>
      </c>
      <c r="B4002" s="10" t="s">
        <v>13298</v>
      </c>
      <c r="C4002" s="65" t="s">
        <v>13299</v>
      </c>
      <c r="D4002" s="65"/>
      <c r="E4002" s="65"/>
      <c r="F4002" s="65"/>
      <c r="G4002" s="11" t="s">
        <v>13300</v>
      </c>
      <c r="H4002" s="21" t="s">
        <v>44</v>
      </c>
      <c r="I4002" s="15"/>
      <c r="J4002" s="9">
        <v>12</v>
      </c>
      <c r="K4002" s="16">
        <v>60.48</v>
      </c>
      <c r="L4002" s="17"/>
      <c r="M4002" s="15">
        <f t="shared" si="190"/>
        <v>0</v>
      </c>
      <c r="N4002" s="18">
        <f>0.045*L4002</f>
        <v>0</v>
      </c>
      <c r="O4002" s="19">
        <f>0.00017*L4002</f>
        <v>0</v>
      </c>
      <c r="P4002" s="24" t="s">
        <v>26</v>
      </c>
      <c r="Q4002" s="15" t="s">
        <v>13301</v>
      </c>
      <c r="R4002" s="15"/>
      <c r="S4002" s="10" t="str">
        <f>HYPERLINK("https://miland.ru/api/getInfo/image/164cacd9-7681-11f0-a284-00155d82e908")</f>
        <v>https://miland.ru/api/getInfo/image/164cacd9-7681-11f0-a284-00155d82e908</v>
      </c>
    </row>
    <row r="4003" spans="1:19" s="2" customFormat="1" ht="96.2" customHeight="1" outlineLevel="7">
      <c r="A4003" s="53">
        <v>3161</v>
      </c>
      <c r="B4003" s="10" t="s">
        <v>13302</v>
      </c>
      <c r="C4003" s="65" t="s">
        <v>13303</v>
      </c>
      <c r="D4003" s="65"/>
      <c r="E4003" s="65"/>
      <c r="F4003" s="65"/>
      <c r="G4003" s="11" t="s">
        <v>13304</v>
      </c>
      <c r="H4003" s="21" t="s">
        <v>44</v>
      </c>
      <c r="I4003" s="15"/>
      <c r="J4003" s="9">
        <v>12</v>
      </c>
      <c r="K4003" s="16">
        <v>60.48</v>
      </c>
      <c r="L4003" s="17"/>
      <c r="M4003" s="15">
        <f t="shared" si="190"/>
        <v>0</v>
      </c>
      <c r="N4003" s="18">
        <f>0.044*L4003</f>
        <v>0</v>
      </c>
      <c r="O4003" s="19">
        <f>0.00017*L4003</f>
        <v>0</v>
      </c>
      <c r="P4003" s="24" t="s">
        <v>26</v>
      </c>
      <c r="Q4003" s="15" t="s">
        <v>13305</v>
      </c>
      <c r="R4003" s="15"/>
      <c r="S4003" s="10" t="str">
        <f>HYPERLINK("https://miland.ru/api/getInfo/image/fdf104ad-7680-11f0-a284-00155d82e908")</f>
        <v>https://miland.ru/api/getInfo/image/fdf104ad-7680-11f0-a284-00155d82e908</v>
      </c>
    </row>
    <row r="4004" spans="1:19" s="2" customFormat="1" ht="96.2" customHeight="1" outlineLevel="7">
      <c r="A4004" s="53">
        <v>3162</v>
      </c>
      <c r="B4004" s="10" t="s">
        <v>13306</v>
      </c>
      <c r="C4004" s="65" t="s">
        <v>13307</v>
      </c>
      <c r="D4004" s="65"/>
      <c r="E4004" s="65"/>
      <c r="F4004" s="65"/>
      <c r="G4004" s="11" t="s">
        <v>13308</v>
      </c>
      <c r="H4004" s="21" t="s">
        <v>44</v>
      </c>
      <c r="I4004" s="15"/>
      <c r="J4004" s="9">
        <v>12</v>
      </c>
      <c r="K4004" s="16">
        <v>60.48</v>
      </c>
      <c r="L4004" s="17"/>
      <c r="M4004" s="15">
        <f t="shared" si="190"/>
        <v>0</v>
      </c>
      <c r="N4004" s="18">
        <f>0.044*L4004</f>
        <v>0</v>
      </c>
      <c r="O4004" s="19">
        <f>0.00013*L4004</f>
        <v>0</v>
      </c>
      <c r="P4004" s="24" t="s">
        <v>26</v>
      </c>
      <c r="Q4004" s="15" t="s">
        <v>13309</v>
      </c>
      <c r="R4004" s="15"/>
      <c r="S4004" s="10" t="str">
        <f>HYPERLINK("https://miland.ru/api/getInfo/image/616575e9-7680-11f0-a284-00155d82e908")</f>
        <v>https://miland.ru/api/getInfo/image/616575e9-7680-11f0-a284-00155d82e908</v>
      </c>
    </row>
    <row r="4005" spans="1:19" s="2" customFormat="1" ht="96.2" customHeight="1" outlineLevel="7">
      <c r="A4005" s="53">
        <v>3163</v>
      </c>
      <c r="B4005" s="10" t="s">
        <v>13310</v>
      </c>
      <c r="C4005" s="65" t="s">
        <v>13311</v>
      </c>
      <c r="D4005" s="65"/>
      <c r="E4005" s="65"/>
      <c r="F4005" s="65"/>
      <c r="G4005" s="11" t="s">
        <v>13312</v>
      </c>
      <c r="H4005" s="21" t="s">
        <v>44</v>
      </c>
      <c r="I4005" s="15"/>
      <c r="J4005" s="9">
        <v>12</v>
      </c>
      <c r="K4005" s="16">
        <v>60.48</v>
      </c>
      <c r="L4005" s="17"/>
      <c r="M4005" s="15">
        <f t="shared" si="190"/>
        <v>0</v>
      </c>
      <c r="N4005" s="18">
        <f>0.044*L4005</f>
        <v>0</v>
      </c>
      <c r="O4005" s="19">
        <f>0.00017*L4005</f>
        <v>0</v>
      </c>
      <c r="P4005" s="24" t="s">
        <v>26</v>
      </c>
      <c r="Q4005" s="15" t="s">
        <v>13313</v>
      </c>
      <c r="R4005" s="15"/>
      <c r="S4005" s="10" t="str">
        <f>HYPERLINK("https://miland.ru/api/getInfo/image/2ed19bec-7680-11f0-a284-00155d82e908")</f>
        <v>https://miland.ru/api/getInfo/image/2ed19bec-7680-11f0-a284-00155d82e908</v>
      </c>
    </row>
    <row r="4006" spans="1:19" s="2" customFormat="1" ht="96.2" customHeight="1" outlineLevel="7">
      <c r="A4006" s="53">
        <v>3164</v>
      </c>
      <c r="B4006" s="10" t="s">
        <v>13314</v>
      </c>
      <c r="C4006" s="65" t="s">
        <v>13315</v>
      </c>
      <c r="D4006" s="65"/>
      <c r="E4006" s="65"/>
      <c r="F4006" s="65"/>
      <c r="G4006" s="11" t="s">
        <v>13316</v>
      </c>
      <c r="H4006" s="21" t="s">
        <v>44</v>
      </c>
      <c r="I4006" s="15"/>
      <c r="J4006" s="9">
        <v>12</v>
      </c>
      <c r="K4006" s="16">
        <v>60.48</v>
      </c>
      <c r="L4006" s="17"/>
      <c r="M4006" s="15">
        <f t="shared" si="190"/>
        <v>0</v>
      </c>
      <c r="N4006" s="18">
        <f>0.044*L4006</f>
        <v>0</v>
      </c>
      <c r="O4006" s="19">
        <f>0.00017*L4006</f>
        <v>0</v>
      </c>
      <c r="P4006" s="24" t="s">
        <v>26</v>
      </c>
      <c r="Q4006" s="15" t="s">
        <v>13317</v>
      </c>
      <c r="R4006" s="15"/>
      <c r="S4006" s="10" t="str">
        <f>HYPERLINK("https://miland.ru/api/getInfo/image/b69df04e-767f-11f0-a284-00155d82e908")</f>
        <v>https://miland.ru/api/getInfo/image/b69df04e-767f-11f0-a284-00155d82e908</v>
      </c>
    </row>
    <row r="4007" spans="1:19" s="2" customFormat="1" ht="96.2" customHeight="1" outlineLevel="7">
      <c r="A4007" s="53">
        <v>3165</v>
      </c>
      <c r="B4007" s="10" t="s">
        <v>13318</v>
      </c>
      <c r="C4007" s="65" t="s">
        <v>13319</v>
      </c>
      <c r="D4007" s="65"/>
      <c r="E4007" s="65"/>
      <c r="F4007" s="65"/>
      <c r="G4007" s="11" t="s">
        <v>13320</v>
      </c>
      <c r="H4007" s="21" t="s">
        <v>44</v>
      </c>
      <c r="I4007" s="15"/>
      <c r="J4007" s="9">
        <v>12</v>
      </c>
      <c r="K4007" s="16">
        <v>60.48</v>
      </c>
      <c r="L4007" s="17"/>
      <c r="M4007" s="15">
        <f t="shared" si="190"/>
        <v>0</v>
      </c>
      <c r="N4007" s="18">
        <f>0.043*L4007</f>
        <v>0</v>
      </c>
      <c r="O4007" s="19">
        <f>0.00074*L4007</f>
        <v>0</v>
      </c>
      <c r="P4007" s="24" t="s">
        <v>26</v>
      </c>
      <c r="Q4007" s="15" t="s">
        <v>13321</v>
      </c>
      <c r="R4007" s="15"/>
      <c r="S4007" s="10" t="str">
        <f>HYPERLINK("https://miland.ru/api/getInfo/image/f4ac7840-067e-11f1-a28f-00155d82e908")</f>
        <v>https://miland.ru/api/getInfo/image/f4ac7840-067e-11f1-a28f-00155d82e908</v>
      </c>
    </row>
    <row r="4008" spans="1:19" s="2" customFormat="1" ht="96.2" customHeight="1" outlineLevel="7">
      <c r="A4008" s="53">
        <v>3166</v>
      </c>
      <c r="B4008" s="10" t="s">
        <v>13322</v>
      </c>
      <c r="C4008" s="65" t="s">
        <v>13323</v>
      </c>
      <c r="D4008" s="65"/>
      <c r="E4008" s="65"/>
      <c r="F4008" s="65"/>
      <c r="G4008" s="11" t="s">
        <v>13324</v>
      </c>
      <c r="H4008" s="21" t="s">
        <v>44</v>
      </c>
      <c r="I4008" s="15"/>
      <c r="J4008" s="9">
        <v>12</v>
      </c>
      <c r="K4008" s="16">
        <v>60.48</v>
      </c>
      <c r="L4008" s="17"/>
      <c r="M4008" s="15">
        <f t="shared" si="190"/>
        <v>0</v>
      </c>
      <c r="N4008" s="23">
        <f>0.04*L4008</f>
        <v>0</v>
      </c>
      <c r="O4008" s="19">
        <f>0.00044*L4008</f>
        <v>0</v>
      </c>
      <c r="P4008" s="24" t="s">
        <v>26</v>
      </c>
      <c r="Q4008" s="15" t="s">
        <v>13325</v>
      </c>
      <c r="R4008" s="15"/>
      <c r="S4008" s="10" t="str">
        <f>HYPERLINK("https://miland.ru/api/getInfo/image/96e4e6a1-067e-11f1-a28f-00155d82e908")</f>
        <v>https://miland.ru/api/getInfo/image/96e4e6a1-067e-11f1-a28f-00155d82e908</v>
      </c>
    </row>
    <row r="4009" spans="1:19" s="1" customFormat="1" ht="12" customHeight="1" outlineLevel="5">
      <c r="A4009" s="64" t="s">
        <v>13326</v>
      </c>
      <c r="B4009" s="64"/>
      <c r="C4009" s="64"/>
      <c r="D4009" s="64"/>
      <c r="E4009" s="64"/>
      <c r="F4009" s="64"/>
      <c r="G4009" s="8"/>
      <c r="H4009" s="12"/>
      <c r="I4009" s="2"/>
      <c r="J4009" s="2"/>
      <c r="K4009" s="13"/>
      <c r="L4009" s="2"/>
      <c r="M4009" s="2"/>
      <c r="N4009" s="2"/>
      <c r="O4009" s="2"/>
      <c r="P4009" s="2"/>
      <c r="Q4009" s="2"/>
      <c r="R4009" s="2"/>
      <c r="S4009" s="2"/>
    </row>
    <row r="4010" spans="1:19" s="1" customFormat="1" ht="12" customHeight="1" outlineLevel="6">
      <c r="A4010" s="64" t="s">
        <v>13327</v>
      </c>
      <c r="B4010" s="64"/>
      <c r="C4010" s="64"/>
      <c r="D4010" s="64"/>
      <c r="E4010" s="64"/>
      <c r="F4010" s="64"/>
      <c r="G4010" s="8"/>
      <c r="H4010" s="12"/>
      <c r="I4010" s="2"/>
      <c r="J4010" s="2"/>
      <c r="K4010" s="13"/>
      <c r="L4010" s="2"/>
      <c r="M4010" s="2"/>
      <c r="N4010" s="2"/>
      <c r="O4010" s="2"/>
      <c r="P4010" s="2"/>
      <c r="Q4010" s="2"/>
      <c r="R4010" s="2"/>
      <c r="S4010" s="2"/>
    </row>
    <row r="4011" spans="1:19" s="2" customFormat="1" ht="96.2" customHeight="1" outlineLevel="7">
      <c r="A4011" s="53">
        <v>3167</v>
      </c>
      <c r="B4011" s="10" t="s">
        <v>13328</v>
      </c>
      <c r="C4011" s="65" t="s">
        <v>13329</v>
      </c>
      <c r="D4011" s="65"/>
      <c r="E4011" s="65"/>
      <c r="F4011" s="65"/>
      <c r="G4011" s="11" t="s">
        <v>13330</v>
      </c>
      <c r="H4011" s="21" t="s">
        <v>44</v>
      </c>
      <c r="I4011" s="15"/>
      <c r="J4011" s="9">
        <v>12</v>
      </c>
      <c r="K4011" s="16">
        <v>40.46</v>
      </c>
      <c r="L4011" s="17"/>
      <c r="M4011" s="15">
        <f t="shared" ref="M4011:M4029" si="191">K4011*L4011</f>
        <v>0</v>
      </c>
      <c r="N4011" s="18">
        <f>0.031*L4011</f>
        <v>0</v>
      </c>
      <c r="O4011" s="19">
        <f>0.00013*L4011</f>
        <v>0</v>
      </c>
      <c r="P4011" s="24" t="s">
        <v>26</v>
      </c>
      <c r="Q4011" s="15" t="s">
        <v>13331</v>
      </c>
      <c r="R4011" s="15"/>
      <c r="S4011" s="10" t="str">
        <f>HYPERLINK("https://miland.ru/api/getInfo/image/5e270c35-9d34-11f0-a285-00155d82e908")</f>
        <v>https://miland.ru/api/getInfo/image/5e270c35-9d34-11f0-a285-00155d82e908</v>
      </c>
    </row>
    <row r="4012" spans="1:19" s="2" customFormat="1" ht="96.2" customHeight="1" outlineLevel="7">
      <c r="A4012" s="53">
        <v>3168</v>
      </c>
      <c r="B4012" s="10" t="s">
        <v>13332</v>
      </c>
      <c r="C4012" s="65" t="s">
        <v>13333</v>
      </c>
      <c r="D4012" s="65"/>
      <c r="E4012" s="65"/>
      <c r="F4012" s="65"/>
      <c r="G4012" s="11" t="s">
        <v>13334</v>
      </c>
      <c r="H4012" s="21" t="s">
        <v>44</v>
      </c>
      <c r="I4012" s="15"/>
      <c r="J4012" s="9">
        <v>12</v>
      </c>
      <c r="K4012" s="16">
        <v>40.46</v>
      </c>
      <c r="L4012" s="17"/>
      <c r="M4012" s="15">
        <f t="shared" si="191"/>
        <v>0</v>
      </c>
      <c r="N4012" s="23">
        <f>0.03*L4012</f>
        <v>0</v>
      </c>
      <c r="O4012" s="19">
        <f>0.00013*L4012</f>
        <v>0</v>
      </c>
      <c r="P4012" s="24" t="s">
        <v>26</v>
      </c>
      <c r="Q4012" s="15" t="s">
        <v>13335</v>
      </c>
      <c r="R4012" s="15"/>
      <c r="S4012" s="10" t="str">
        <f>HYPERLINK("https://miland.ru/api/getInfo/image/5156b0ea-9d36-11f0-a285-00155d82e908")</f>
        <v>https://miland.ru/api/getInfo/image/5156b0ea-9d36-11f0-a285-00155d82e908</v>
      </c>
    </row>
    <row r="4013" spans="1:19" s="2" customFormat="1" ht="96.2" customHeight="1" outlineLevel="7">
      <c r="A4013" s="53">
        <v>3169</v>
      </c>
      <c r="B4013" s="10" t="s">
        <v>13336</v>
      </c>
      <c r="C4013" s="65" t="s">
        <v>13337</v>
      </c>
      <c r="D4013" s="65"/>
      <c r="E4013" s="65"/>
      <c r="F4013" s="65"/>
      <c r="G4013" s="11" t="s">
        <v>13338</v>
      </c>
      <c r="H4013" s="21" t="s">
        <v>44</v>
      </c>
      <c r="I4013" s="15"/>
      <c r="J4013" s="9">
        <v>12</v>
      </c>
      <c r="K4013" s="16">
        <v>40.46</v>
      </c>
      <c r="L4013" s="17"/>
      <c r="M4013" s="15">
        <f t="shared" si="191"/>
        <v>0</v>
      </c>
      <c r="N4013" s="18">
        <f>0.031*L4013</f>
        <v>0</v>
      </c>
      <c r="O4013" s="19">
        <f>0.00017*L4013</f>
        <v>0</v>
      </c>
      <c r="P4013" s="24" t="s">
        <v>26</v>
      </c>
      <c r="Q4013" s="15" t="s">
        <v>13339</v>
      </c>
      <c r="R4013" s="15"/>
      <c r="S4013" s="10" t="str">
        <f>HYPERLINK("https://miland.ru/api/getInfo/image/0f9a1f7e-9d35-11f0-a285-00155d82e908")</f>
        <v>https://miland.ru/api/getInfo/image/0f9a1f7e-9d35-11f0-a285-00155d82e908</v>
      </c>
    </row>
    <row r="4014" spans="1:19" s="2" customFormat="1" ht="96.2" customHeight="1" outlineLevel="7">
      <c r="A4014" s="53">
        <v>3170</v>
      </c>
      <c r="B4014" s="10" t="s">
        <v>13340</v>
      </c>
      <c r="C4014" s="65" t="s">
        <v>13341</v>
      </c>
      <c r="D4014" s="65"/>
      <c r="E4014" s="65"/>
      <c r="F4014" s="65"/>
      <c r="G4014" s="11" t="s">
        <v>13342</v>
      </c>
      <c r="H4014" s="21" t="s">
        <v>44</v>
      </c>
      <c r="I4014" s="15"/>
      <c r="J4014" s="9">
        <v>12</v>
      </c>
      <c r="K4014" s="16">
        <v>40.46</v>
      </c>
      <c r="L4014" s="17"/>
      <c r="M4014" s="15">
        <f t="shared" si="191"/>
        <v>0</v>
      </c>
      <c r="N4014" s="18">
        <f>0.004*L4014</f>
        <v>0</v>
      </c>
      <c r="O4014" s="19">
        <f>0.00017*L4014</f>
        <v>0</v>
      </c>
      <c r="P4014" s="24" t="s">
        <v>26</v>
      </c>
      <c r="Q4014" s="15" t="s">
        <v>13343</v>
      </c>
      <c r="R4014" s="15"/>
      <c r="S4014" s="10" t="str">
        <f>HYPERLINK("https://miland.ru/api/getInfo/image/3a3b1f23-9d36-11f0-a285-00155d82e908")</f>
        <v>https://miland.ru/api/getInfo/image/3a3b1f23-9d36-11f0-a285-00155d82e908</v>
      </c>
    </row>
    <row r="4015" spans="1:19" s="2" customFormat="1" ht="96.2" customHeight="1" outlineLevel="7">
      <c r="A4015" s="53">
        <v>3171</v>
      </c>
      <c r="B4015" s="10" t="s">
        <v>13344</v>
      </c>
      <c r="C4015" s="65" t="s">
        <v>13345</v>
      </c>
      <c r="D4015" s="65"/>
      <c r="E4015" s="65"/>
      <c r="F4015" s="65"/>
      <c r="G4015" s="11" t="s">
        <v>13346</v>
      </c>
      <c r="H4015" s="21" t="s">
        <v>44</v>
      </c>
      <c r="I4015" s="15"/>
      <c r="J4015" s="9">
        <v>12</v>
      </c>
      <c r="K4015" s="16">
        <v>40.46</v>
      </c>
      <c r="L4015" s="17"/>
      <c r="M4015" s="15">
        <f t="shared" si="191"/>
        <v>0</v>
      </c>
      <c r="N4015" s="18">
        <f>0.031*L4015</f>
        <v>0</v>
      </c>
      <c r="O4015" s="19">
        <f>0.00017*L4015</f>
        <v>0</v>
      </c>
      <c r="P4015" s="24" t="s">
        <v>26</v>
      </c>
      <c r="Q4015" s="15" t="s">
        <v>13347</v>
      </c>
      <c r="R4015" s="15"/>
      <c r="S4015" s="10" t="str">
        <f>HYPERLINK("https://miland.ru/api/getInfo/image/c9d1649d-767e-11f0-a284-00155d82e908")</f>
        <v>https://miland.ru/api/getInfo/image/c9d1649d-767e-11f0-a284-00155d82e908</v>
      </c>
    </row>
    <row r="4016" spans="1:19" s="2" customFormat="1" ht="96.2" customHeight="1" outlineLevel="7">
      <c r="A4016" s="53">
        <v>3172</v>
      </c>
      <c r="B4016" s="10" t="s">
        <v>13348</v>
      </c>
      <c r="C4016" s="65" t="s">
        <v>13349</v>
      </c>
      <c r="D4016" s="65"/>
      <c r="E4016" s="65"/>
      <c r="F4016" s="65"/>
      <c r="G4016" s="11" t="s">
        <v>13350</v>
      </c>
      <c r="H4016" s="21" t="s">
        <v>44</v>
      </c>
      <c r="I4016" s="15"/>
      <c r="J4016" s="9">
        <v>12</v>
      </c>
      <c r="K4016" s="16">
        <v>40.46</v>
      </c>
      <c r="L4016" s="17"/>
      <c r="M4016" s="15">
        <f t="shared" si="191"/>
        <v>0</v>
      </c>
      <c r="N4016" s="23">
        <f>0.03*L4016</f>
        <v>0</v>
      </c>
      <c r="O4016" s="19">
        <f>0.00013*L4016</f>
        <v>0</v>
      </c>
      <c r="P4016" s="24" t="s">
        <v>26</v>
      </c>
      <c r="Q4016" s="15" t="s">
        <v>13351</v>
      </c>
      <c r="R4016" s="15"/>
      <c r="S4016" s="10" t="str">
        <f>HYPERLINK("https://miland.ru/api/getInfo/image/e4eca61d-767e-11f0-a284-00155d82e908")</f>
        <v>https://miland.ru/api/getInfo/image/e4eca61d-767e-11f0-a284-00155d82e908</v>
      </c>
    </row>
    <row r="4017" spans="1:19" s="2" customFormat="1" ht="96.2" customHeight="1" outlineLevel="7">
      <c r="A4017" s="53">
        <v>3173</v>
      </c>
      <c r="B4017" s="10" t="s">
        <v>13352</v>
      </c>
      <c r="C4017" s="65" t="s">
        <v>13353</v>
      </c>
      <c r="D4017" s="65"/>
      <c r="E4017" s="65"/>
      <c r="F4017" s="65"/>
      <c r="G4017" s="11" t="s">
        <v>13354</v>
      </c>
      <c r="H4017" s="21" t="s">
        <v>44</v>
      </c>
      <c r="I4017" s="15"/>
      <c r="J4017" s="9">
        <v>12</v>
      </c>
      <c r="K4017" s="16">
        <v>40.46</v>
      </c>
      <c r="L4017" s="17"/>
      <c r="M4017" s="15">
        <f t="shared" si="191"/>
        <v>0</v>
      </c>
      <c r="N4017" s="23">
        <f>0.03*L4017</f>
        <v>0</v>
      </c>
      <c r="O4017" s="19">
        <f>0.00017*L4017</f>
        <v>0</v>
      </c>
      <c r="P4017" s="24" t="s">
        <v>26</v>
      </c>
      <c r="Q4017" s="15" t="s">
        <v>13355</v>
      </c>
      <c r="R4017" s="15"/>
      <c r="S4017" s="10" t="str">
        <f>HYPERLINK("https://miland.ru/api/getInfo/image/4913f885-767e-11f0-a284-00155d82e908")</f>
        <v>https://miland.ru/api/getInfo/image/4913f885-767e-11f0-a284-00155d82e908</v>
      </c>
    </row>
    <row r="4018" spans="1:19" s="2" customFormat="1" ht="96.2" customHeight="1" outlineLevel="7">
      <c r="A4018" s="53">
        <v>3174</v>
      </c>
      <c r="B4018" s="10" t="s">
        <v>13356</v>
      </c>
      <c r="C4018" s="65" t="s">
        <v>13357</v>
      </c>
      <c r="D4018" s="65"/>
      <c r="E4018" s="65"/>
      <c r="F4018" s="65"/>
      <c r="G4018" s="11" t="s">
        <v>13358</v>
      </c>
      <c r="H4018" s="21" t="s">
        <v>44</v>
      </c>
      <c r="I4018" s="15"/>
      <c r="J4018" s="9">
        <v>12</v>
      </c>
      <c r="K4018" s="16">
        <v>40.46</v>
      </c>
      <c r="L4018" s="17"/>
      <c r="M4018" s="15">
        <f t="shared" si="191"/>
        <v>0</v>
      </c>
      <c r="N4018" s="23">
        <f>0.03*L4018</f>
        <v>0</v>
      </c>
      <c r="O4018" s="19">
        <f>0.00013*L4018</f>
        <v>0</v>
      </c>
      <c r="P4018" s="24" t="s">
        <v>26</v>
      </c>
      <c r="Q4018" s="15" t="s">
        <v>13359</v>
      </c>
      <c r="R4018" s="15"/>
      <c r="S4018" s="10" t="str">
        <f>HYPERLINK("https://miland.ru/api/getInfo/image/2e26f29c-767c-11f0-a284-00155d82e908")</f>
        <v>https://miland.ru/api/getInfo/image/2e26f29c-767c-11f0-a284-00155d82e908</v>
      </c>
    </row>
    <row r="4019" spans="1:19" s="2" customFormat="1" ht="96.2" customHeight="1" outlineLevel="7">
      <c r="A4019" s="53">
        <v>3175</v>
      </c>
      <c r="B4019" s="10" t="s">
        <v>13360</v>
      </c>
      <c r="C4019" s="65" t="s">
        <v>13361</v>
      </c>
      <c r="D4019" s="65"/>
      <c r="E4019" s="65"/>
      <c r="F4019" s="65"/>
      <c r="G4019" s="11" t="s">
        <v>13362</v>
      </c>
      <c r="H4019" s="21" t="s">
        <v>44</v>
      </c>
      <c r="I4019" s="15"/>
      <c r="J4019" s="9">
        <v>12</v>
      </c>
      <c r="K4019" s="16">
        <v>40.46</v>
      </c>
      <c r="L4019" s="17"/>
      <c r="M4019" s="15">
        <f t="shared" si="191"/>
        <v>0</v>
      </c>
      <c r="N4019" s="18">
        <f>0.031*L4019</f>
        <v>0</v>
      </c>
      <c r="O4019" s="19">
        <f>0.00017*L4019</f>
        <v>0</v>
      </c>
      <c r="P4019" s="24" t="s">
        <v>26</v>
      </c>
      <c r="Q4019" s="15" t="s">
        <v>13363</v>
      </c>
      <c r="R4019" s="15"/>
      <c r="S4019" s="10" t="str">
        <f>HYPERLINK("https://miland.ru/api/getInfo/image/18b82ba6-767f-11f0-a284-00155d82e908")</f>
        <v>https://miland.ru/api/getInfo/image/18b82ba6-767f-11f0-a284-00155d82e908</v>
      </c>
    </row>
    <row r="4020" spans="1:19" s="2" customFormat="1" ht="96.2" customHeight="1" outlineLevel="7">
      <c r="A4020" s="53">
        <v>3176</v>
      </c>
      <c r="B4020" s="10" t="s">
        <v>13364</v>
      </c>
      <c r="C4020" s="65" t="s">
        <v>13365</v>
      </c>
      <c r="D4020" s="65"/>
      <c r="E4020" s="65"/>
      <c r="F4020" s="65"/>
      <c r="G4020" s="11" t="s">
        <v>13366</v>
      </c>
      <c r="H4020" s="21" t="s">
        <v>44</v>
      </c>
      <c r="I4020" s="15"/>
      <c r="J4020" s="9">
        <v>12</v>
      </c>
      <c r="K4020" s="16">
        <v>40.46</v>
      </c>
      <c r="L4020" s="17"/>
      <c r="M4020" s="15">
        <f t="shared" si="191"/>
        <v>0</v>
      </c>
      <c r="N4020" s="23">
        <f>0.03*L4020</f>
        <v>0</v>
      </c>
      <c r="O4020" s="19">
        <f>0.00017*L4020</f>
        <v>0</v>
      </c>
      <c r="P4020" s="24" t="s">
        <v>26</v>
      </c>
      <c r="Q4020" s="15" t="s">
        <v>13367</v>
      </c>
      <c r="R4020" s="15"/>
      <c r="S4020" s="10" t="str">
        <f>HYPERLINK("https://miland.ru/api/getInfo/image/60a04297-767f-11f0-a284-00155d82e908")</f>
        <v>https://miland.ru/api/getInfo/image/60a04297-767f-11f0-a284-00155d82e908</v>
      </c>
    </row>
    <row r="4021" spans="1:19" s="2" customFormat="1" ht="96.2" customHeight="1" outlineLevel="7">
      <c r="A4021" s="53">
        <v>3177</v>
      </c>
      <c r="B4021" s="10" t="s">
        <v>13368</v>
      </c>
      <c r="C4021" s="65" t="s">
        <v>13369</v>
      </c>
      <c r="D4021" s="65"/>
      <c r="E4021" s="65"/>
      <c r="F4021" s="65"/>
      <c r="G4021" s="11" t="s">
        <v>13370</v>
      </c>
      <c r="H4021" s="21" t="s">
        <v>44</v>
      </c>
      <c r="I4021" s="15"/>
      <c r="J4021" s="9">
        <v>12</v>
      </c>
      <c r="K4021" s="16">
        <v>40.46</v>
      </c>
      <c r="L4021" s="17"/>
      <c r="M4021" s="15">
        <f t="shared" si="191"/>
        <v>0</v>
      </c>
      <c r="N4021" s="23">
        <f>0.03*L4021</f>
        <v>0</v>
      </c>
      <c r="O4021" s="19">
        <f>0.00013*L4021</f>
        <v>0</v>
      </c>
      <c r="P4021" s="24" t="s">
        <v>26</v>
      </c>
      <c r="Q4021" s="15" t="s">
        <v>13371</v>
      </c>
      <c r="R4021" s="15"/>
      <c r="S4021" s="10" t="str">
        <f>HYPERLINK("https://miland.ru/api/getInfo/image/fd71811d-767e-11f0-a284-00155d82e908")</f>
        <v>https://miland.ru/api/getInfo/image/fd71811d-767e-11f0-a284-00155d82e908</v>
      </c>
    </row>
    <row r="4022" spans="1:19" s="2" customFormat="1" ht="96.2" customHeight="1" outlineLevel="7">
      <c r="A4022" s="53">
        <v>3178</v>
      </c>
      <c r="B4022" s="10" t="s">
        <v>13372</v>
      </c>
      <c r="C4022" s="65" t="s">
        <v>13373</v>
      </c>
      <c r="D4022" s="65"/>
      <c r="E4022" s="65"/>
      <c r="F4022" s="65"/>
      <c r="G4022" s="11" t="s">
        <v>13374</v>
      </c>
      <c r="H4022" s="21" t="s">
        <v>44</v>
      </c>
      <c r="I4022" s="15"/>
      <c r="J4022" s="9">
        <v>12</v>
      </c>
      <c r="K4022" s="16">
        <v>40.46</v>
      </c>
      <c r="L4022" s="17"/>
      <c r="M4022" s="15">
        <f t="shared" si="191"/>
        <v>0</v>
      </c>
      <c r="N4022" s="23">
        <f>0.03*L4022</f>
        <v>0</v>
      </c>
      <c r="O4022" s="19">
        <f>0.00017*L4022</f>
        <v>0</v>
      </c>
      <c r="P4022" s="24" t="s">
        <v>26</v>
      </c>
      <c r="Q4022" s="15" t="s">
        <v>13375</v>
      </c>
      <c r="R4022" s="15"/>
      <c r="S4022" s="10" t="str">
        <f>HYPERLINK("https://miland.ru/api/getInfo/image/7040f057-767e-11f0-a284-00155d82e908")</f>
        <v>https://miland.ru/api/getInfo/image/7040f057-767e-11f0-a284-00155d82e908</v>
      </c>
    </row>
    <row r="4023" spans="1:19" s="2" customFormat="1" ht="96.2" customHeight="1" outlineLevel="7">
      <c r="A4023" s="53">
        <v>3179</v>
      </c>
      <c r="B4023" s="10" t="s">
        <v>13376</v>
      </c>
      <c r="C4023" s="65" t="s">
        <v>13377</v>
      </c>
      <c r="D4023" s="65"/>
      <c r="E4023" s="65"/>
      <c r="F4023" s="65"/>
      <c r="G4023" s="11" t="s">
        <v>13378</v>
      </c>
      <c r="H4023" s="21" t="s">
        <v>44</v>
      </c>
      <c r="I4023" s="15"/>
      <c r="J4023" s="9">
        <v>12</v>
      </c>
      <c r="K4023" s="16">
        <v>40.46</v>
      </c>
      <c r="L4023" s="17"/>
      <c r="M4023" s="15">
        <f t="shared" si="191"/>
        <v>0</v>
      </c>
      <c r="N4023" s="18">
        <f>0.036*L4023</f>
        <v>0</v>
      </c>
      <c r="O4023" s="20">
        <f>0.0006*L4023</f>
        <v>0</v>
      </c>
      <c r="P4023" s="24" t="s">
        <v>26</v>
      </c>
      <c r="Q4023" s="15" t="s">
        <v>13379</v>
      </c>
      <c r="R4023" s="15"/>
      <c r="S4023" s="10" t="str">
        <f>HYPERLINK("https://miland.ru/api/getInfo/image/190de74e-0680-11f1-a28f-00155d82e908")</f>
        <v>https://miland.ru/api/getInfo/image/190de74e-0680-11f1-a28f-00155d82e908</v>
      </c>
    </row>
    <row r="4024" spans="1:19" s="2" customFormat="1" ht="96.2" customHeight="1" outlineLevel="7">
      <c r="A4024" s="53">
        <v>3180</v>
      </c>
      <c r="B4024" s="10" t="s">
        <v>13380</v>
      </c>
      <c r="C4024" s="65" t="s">
        <v>13381</v>
      </c>
      <c r="D4024" s="65"/>
      <c r="E4024" s="65"/>
      <c r="F4024" s="65"/>
      <c r="G4024" s="11" t="s">
        <v>13382</v>
      </c>
      <c r="H4024" s="21" t="s">
        <v>44</v>
      </c>
      <c r="I4024" s="15"/>
      <c r="J4024" s="9">
        <v>12</v>
      </c>
      <c r="K4024" s="16">
        <v>40.46</v>
      </c>
      <c r="L4024" s="17"/>
      <c r="M4024" s="15">
        <f t="shared" si="191"/>
        <v>0</v>
      </c>
      <c r="N4024" s="18">
        <f>0.039*L4024</f>
        <v>0</v>
      </c>
      <c r="O4024" s="19">
        <f>0.00068*L4024</f>
        <v>0</v>
      </c>
      <c r="P4024" s="24" t="s">
        <v>26</v>
      </c>
      <c r="Q4024" s="15" t="s">
        <v>13383</v>
      </c>
      <c r="R4024" s="15"/>
      <c r="S4024" s="10" t="str">
        <f>HYPERLINK("https://miland.ru/api/getInfo/image/9959463e-067f-11f1-a28f-00155d82e908")</f>
        <v>https://miland.ru/api/getInfo/image/9959463e-067f-11f1-a28f-00155d82e908</v>
      </c>
    </row>
    <row r="4025" spans="1:19" s="2" customFormat="1" ht="96.2" customHeight="1" outlineLevel="7">
      <c r="A4025" s="53">
        <v>3181</v>
      </c>
      <c r="B4025" s="10" t="s">
        <v>13384</v>
      </c>
      <c r="C4025" s="65" t="s">
        <v>13385</v>
      </c>
      <c r="D4025" s="65"/>
      <c r="E4025" s="65"/>
      <c r="F4025" s="65"/>
      <c r="G4025" s="11" t="s">
        <v>13386</v>
      </c>
      <c r="H4025" s="21" t="s">
        <v>44</v>
      </c>
      <c r="I4025" s="15"/>
      <c r="J4025" s="9">
        <v>12</v>
      </c>
      <c r="K4025" s="16">
        <v>40.46</v>
      </c>
      <c r="L4025" s="17"/>
      <c r="M4025" s="15">
        <f t="shared" si="191"/>
        <v>0</v>
      </c>
      <c r="N4025" s="18">
        <f>0.038*L4025</f>
        <v>0</v>
      </c>
      <c r="O4025" s="20">
        <f>0.0004*L4025</f>
        <v>0</v>
      </c>
      <c r="P4025" s="24" t="s">
        <v>26</v>
      </c>
      <c r="Q4025" s="15" t="s">
        <v>13387</v>
      </c>
      <c r="R4025" s="15"/>
      <c r="S4025" s="10" t="str">
        <f>HYPERLINK("https://miland.ru/api/getInfo/image/f7c7a10a-067f-11f1-a28f-00155d82e908")</f>
        <v>https://miland.ru/api/getInfo/image/f7c7a10a-067f-11f1-a28f-00155d82e908</v>
      </c>
    </row>
    <row r="4026" spans="1:19" s="2" customFormat="1" ht="96.2" customHeight="1" outlineLevel="7">
      <c r="A4026" s="53">
        <v>3182</v>
      </c>
      <c r="B4026" s="10" t="s">
        <v>13388</v>
      </c>
      <c r="C4026" s="65" t="s">
        <v>13389</v>
      </c>
      <c r="D4026" s="65"/>
      <c r="E4026" s="65"/>
      <c r="F4026" s="65"/>
      <c r="G4026" s="11" t="s">
        <v>13390</v>
      </c>
      <c r="H4026" s="21" t="s">
        <v>44</v>
      </c>
      <c r="I4026" s="15"/>
      <c r="J4026" s="9">
        <v>12</v>
      </c>
      <c r="K4026" s="16">
        <v>40.46</v>
      </c>
      <c r="L4026" s="17"/>
      <c r="M4026" s="15">
        <f t="shared" si="191"/>
        <v>0</v>
      </c>
      <c r="N4026" s="18">
        <f>0.037*L4026</f>
        <v>0</v>
      </c>
      <c r="O4026" s="19">
        <f>0.00083*L4026</f>
        <v>0</v>
      </c>
      <c r="P4026" s="24" t="s">
        <v>26</v>
      </c>
      <c r="Q4026" s="15" t="s">
        <v>13391</v>
      </c>
      <c r="R4026" s="15"/>
      <c r="S4026" s="10" t="str">
        <f>HYPERLINK("https://miland.ru/api/getInfo/image/2bc1fe13-0680-11f1-a28f-00155d82e908")</f>
        <v>https://miland.ru/api/getInfo/image/2bc1fe13-0680-11f1-a28f-00155d82e908</v>
      </c>
    </row>
    <row r="4027" spans="1:19" s="2" customFormat="1" ht="96.2" customHeight="1" outlineLevel="7">
      <c r="A4027" s="53">
        <v>3183</v>
      </c>
      <c r="B4027" s="10" t="s">
        <v>13392</v>
      </c>
      <c r="C4027" s="65" t="s">
        <v>13393</v>
      </c>
      <c r="D4027" s="65"/>
      <c r="E4027" s="65"/>
      <c r="F4027" s="65"/>
      <c r="G4027" s="11" t="s">
        <v>13394</v>
      </c>
      <c r="H4027" s="21" t="s">
        <v>44</v>
      </c>
      <c r="I4027" s="15"/>
      <c r="J4027" s="9">
        <v>12</v>
      </c>
      <c r="K4027" s="16">
        <v>40.46</v>
      </c>
      <c r="L4027" s="17"/>
      <c r="M4027" s="15">
        <f t="shared" si="191"/>
        <v>0</v>
      </c>
      <c r="N4027" s="18">
        <f>0.039*L4027</f>
        <v>0</v>
      </c>
      <c r="O4027" s="19">
        <f>0.00061*L4027</f>
        <v>0</v>
      </c>
      <c r="P4027" s="24" t="s">
        <v>26</v>
      </c>
      <c r="Q4027" s="15" t="s">
        <v>13395</v>
      </c>
      <c r="R4027" s="15"/>
      <c r="S4027" s="10" t="str">
        <f>HYPERLINK("https://miland.ru/api/getInfo/image/46a1eace-0680-11f1-a28f-00155d82e908")</f>
        <v>https://miland.ru/api/getInfo/image/46a1eace-0680-11f1-a28f-00155d82e908</v>
      </c>
    </row>
    <row r="4028" spans="1:19" s="2" customFormat="1" ht="96.2" customHeight="1" outlineLevel="7">
      <c r="A4028" s="53">
        <v>3184</v>
      </c>
      <c r="B4028" s="10" t="s">
        <v>13396</v>
      </c>
      <c r="C4028" s="65" t="s">
        <v>13397</v>
      </c>
      <c r="D4028" s="65"/>
      <c r="E4028" s="65"/>
      <c r="F4028" s="65"/>
      <c r="G4028" s="11" t="s">
        <v>13398</v>
      </c>
      <c r="H4028" s="21" t="s">
        <v>44</v>
      </c>
      <c r="I4028" s="15"/>
      <c r="J4028" s="9">
        <v>12</v>
      </c>
      <c r="K4028" s="16">
        <v>40.46</v>
      </c>
      <c r="L4028" s="17"/>
      <c r="M4028" s="15">
        <f t="shared" si="191"/>
        <v>0</v>
      </c>
      <c r="N4028" s="18">
        <f>0.039*L4028</f>
        <v>0</v>
      </c>
      <c r="O4028" s="19">
        <f>0.00025*L4028</f>
        <v>0</v>
      </c>
      <c r="P4028" s="24" t="s">
        <v>26</v>
      </c>
      <c r="Q4028" s="15" t="s">
        <v>13399</v>
      </c>
      <c r="R4028" s="15"/>
      <c r="S4028" s="10" t="str">
        <f>HYPERLINK("https://miland.ru/api/getInfo/image/d927c46b-067f-11f1-a28f-00155d82e908")</f>
        <v>https://miland.ru/api/getInfo/image/d927c46b-067f-11f1-a28f-00155d82e908</v>
      </c>
    </row>
    <row r="4029" spans="1:19" s="2" customFormat="1" ht="96.2" customHeight="1" outlineLevel="7">
      <c r="A4029" s="53">
        <v>3185</v>
      </c>
      <c r="B4029" s="10" t="s">
        <v>13400</v>
      </c>
      <c r="C4029" s="65" t="s">
        <v>13401</v>
      </c>
      <c r="D4029" s="65"/>
      <c r="E4029" s="65"/>
      <c r="F4029" s="65"/>
      <c r="G4029" s="11" t="s">
        <v>13402</v>
      </c>
      <c r="H4029" s="21" t="s">
        <v>44</v>
      </c>
      <c r="I4029" s="15"/>
      <c r="J4029" s="9">
        <v>12</v>
      </c>
      <c r="K4029" s="16">
        <v>40.46</v>
      </c>
      <c r="L4029" s="17"/>
      <c r="M4029" s="15">
        <f t="shared" si="191"/>
        <v>0</v>
      </c>
      <c r="N4029" s="18">
        <f>0.039*L4029</f>
        <v>0</v>
      </c>
      <c r="O4029" s="19">
        <f>0.00089*L4029</f>
        <v>0</v>
      </c>
      <c r="P4029" s="24" t="s">
        <v>26</v>
      </c>
      <c r="Q4029" s="15" t="s">
        <v>13403</v>
      </c>
      <c r="R4029" s="15"/>
      <c r="S4029" s="10" t="str">
        <f>HYPERLINK("https://miland.ru/api/getInfo/image/63f96825-0680-11f1-a28f-00155d82e908")</f>
        <v>https://miland.ru/api/getInfo/image/63f96825-0680-11f1-a28f-00155d82e908</v>
      </c>
    </row>
    <row r="4030" spans="1:19" s="1" customFormat="1" ht="12" customHeight="1" outlineLevel="5">
      <c r="A4030" s="64" t="s">
        <v>13404</v>
      </c>
      <c r="B4030" s="64"/>
      <c r="C4030" s="64"/>
      <c r="D4030" s="64"/>
      <c r="E4030" s="64"/>
      <c r="F4030" s="64"/>
      <c r="G4030" s="8"/>
      <c r="H4030" s="12"/>
      <c r="I4030" s="2"/>
      <c r="J4030" s="2"/>
      <c r="K4030" s="13"/>
      <c r="L4030" s="2"/>
      <c r="M4030" s="2"/>
      <c r="N4030" s="2"/>
      <c r="O4030" s="2"/>
      <c r="P4030" s="2"/>
      <c r="Q4030" s="2"/>
      <c r="R4030" s="2"/>
      <c r="S4030" s="2"/>
    </row>
    <row r="4031" spans="1:19" s="1" customFormat="1" ht="12" customHeight="1" outlineLevel="6">
      <c r="A4031" s="64" t="s">
        <v>13405</v>
      </c>
      <c r="B4031" s="64"/>
      <c r="C4031" s="64"/>
      <c r="D4031" s="64"/>
      <c r="E4031" s="64"/>
      <c r="F4031" s="64"/>
      <c r="G4031" s="8"/>
      <c r="H4031" s="12"/>
      <c r="I4031" s="2"/>
      <c r="J4031" s="2"/>
      <c r="K4031" s="13"/>
      <c r="L4031" s="2"/>
      <c r="M4031" s="2"/>
      <c r="N4031" s="2"/>
      <c r="O4031" s="2"/>
      <c r="P4031" s="2"/>
      <c r="Q4031" s="2"/>
      <c r="R4031" s="2"/>
      <c r="S4031" s="2"/>
    </row>
    <row r="4032" spans="1:19" s="2" customFormat="1" ht="96.2" customHeight="1" outlineLevel="7">
      <c r="A4032" s="53">
        <v>3186</v>
      </c>
      <c r="B4032" s="10" t="s">
        <v>13406</v>
      </c>
      <c r="C4032" s="65" t="s">
        <v>13407</v>
      </c>
      <c r="D4032" s="65"/>
      <c r="E4032" s="65"/>
      <c r="F4032" s="65"/>
      <c r="G4032" s="11" t="s">
        <v>13408</v>
      </c>
      <c r="H4032" s="21" t="s">
        <v>44</v>
      </c>
      <c r="I4032" s="15"/>
      <c r="J4032" s="9">
        <v>12</v>
      </c>
      <c r="K4032" s="16">
        <v>44.73</v>
      </c>
      <c r="L4032" s="17"/>
      <c r="M4032" s="15">
        <f t="shared" ref="M4032:M4055" si="192">K4032*L4032</f>
        <v>0</v>
      </c>
      <c r="N4032" s="18">
        <f>0.035*L4032</f>
        <v>0</v>
      </c>
      <c r="O4032" s="19">
        <f>0.00017*L4032</f>
        <v>0</v>
      </c>
      <c r="P4032" s="24" t="s">
        <v>26</v>
      </c>
      <c r="Q4032" s="15" t="s">
        <v>13409</v>
      </c>
      <c r="R4032" s="15"/>
      <c r="S4032" s="10" t="str">
        <f>HYPERLINK("https://miland.ru/api/getInfo/image/0bef2a87-9dcf-11f0-a285-00155d82e908")</f>
        <v>https://miland.ru/api/getInfo/image/0bef2a87-9dcf-11f0-a285-00155d82e908</v>
      </c>
    </row>
    <row r="4033" spans="1:19" s="2" customFormat="1" ht="96.2" customHeight="1" outlineLevel="7">
      <c r="A4033" s="53">
        <v>3187</v>
      </c>
      <c r="B4033" s="10" t="s">
        <v>13410</v>
      </c>
      <c r="C4033" s="65" t="s">
        <v>13411</v>
      </c>
      <c r="D4033" s="65"/>
      <c r="E4033" s="65"/>
      <c r="F4033" s="65"/>
      <c r="G4033" s="11" t="s">
        <v>13412</v>
      </c>
      <c r="H4033" s="21" t="s">
        <v>44</v>
      </c>
      <c r="I4033" s="15"/>
      <c r="J4033" s="9">
        <v>12</v>
      </c>
      <c r="K4033" s="16">
        <v>44.73</v>
      </c>
      <c r="L4033" s="17"/>
      <c r="M4033" s="15">
        <f t="shared" si="192"/>
        <v>0</v>
      </c>
      <c r="N4033" s="18">
        <f>0.036*L4033</f>
        <v>0</v>
      </c>
      <c r="O4033" s="19">
        <f>0.00024*L4033</f>
        <v>0</v>
      </c>
      <c r="P4033" s="24" t="s">
        <v>26</v>
      </c>
      <c r="Q4033" s="15" t="s">
        <v>13413</v>
      </c>
      <c r="R4033" s="15"/>
      <c r="S4033" s="10" t="str">
        <f>HYPERLINK("https://miland.ru/api/getInfo/image/d6ed75b7-9dce-11f0-a285-00155d82e908")</f>
        <v>https://miland.ru/api/getInfo/image/d6ed75b7-9dce-11f0-a285-00155d82e908</v>
      </c>
    </row>
    <row r="4034" spans="1:19" s="2" customFormat="1" ht="96.2" customHeight="1" outlineLevel="7">
      <c r="A4034" s="53">
        <v>3188</v>
      </c>
      <c r="B4034" s="10" t="s">
        <v>13414</v>
      </c>
      <c r="C4034" s="65" t="s">
        <v>13415</v>
      </c>
      <c r="D4034" s="65"/>
      <c r="E4034" s="65"/>
      <c r="F4034" s="65"/>
      <c r="G4034" s="11" t="s">
        <v>13416</v>
      </c>
      <c r="H4034" s="21" t="s">
        <v>44</v>
      </c>
      <c r="I4034" s="15"/>
      <c r="J4034" s="9">
        <v>12</v>
      </c>
      <c r="K4034" s="16">
        <v>44.73</v>
      </c>
      <c r="L4034" s="17"/>
      <c r="M4034" s="15">
        <f t="shared" si="192"/>
        <v>0</v>
      </c>
      <c r="N4034" s="18">
        <f t="shared" ref="N4034:N4041" si="193">0.035*L4034</f>
        <v>0</v>
      </c>
      <c r="O4034" s="19">
        <f>0.00017*L4034</f>
        <v>0</v>
      </c>
      <c r="P4034" s="24" t="s">
        <v>26</v>
      </c>
      <c r="Q4034" s="15" t="s">
        <v>13417</v>
      </c>
      <c r="R4034" s="15"/>
      <c r="S4034" s="10" t="str">
        <f>HYPERLINK("https://miland.ru/api/getInfo/image/a0550519-9dce-11f0-a285-00155d82e908")</f>
        <v>https://miland.ru/api/getInfo/image/a0550519-9dce-11f0-a285-00155d82e908</v>
      </c>
    </row>
    <row r="4035" spans="1:19" s="2" customFormat="1" ht="96.2" customHeight="1" outlineLevel="7">
      <c r="A4035" s="53">
        <v>3189</v>
      </c>
      <c r="B4035" s="10" t="s">
        <v>13418</v>
      </c>
      <c r="C4035" s="65" t="s">
        <v>13419</v>
      </c>
      <c r="D4035" s="65"/>
      <c r="E4035" s="65"/>
      <c r="F4035" s="65"/>
      <c r="G4035" s="11" t="s">
        <v>13420</v>
      </c>
      <c r="H4035" s="21" t="s">
        <v>44</v>
      </c>
      <c r="I4035" s="15"/>
      <c r="J4035" s="9">
        <v>12</v>
      </c>
      <c r="K4035" s="16">
        <v>44.73</v>
      </c>
      <c r="L4035" s="17"/>
      <c r="M4035" s="15">
        <f t="shared" si="192"/>
        <v>0</v>
      </c>
      <c r="N4035" s="18">
        <f t="shared" si="193"/>
        <v>0</v>
      </c>
      <c r="O4035" s="19">
        <f>0.00013*L4035</f>
        <v>0</v>
      </c>
      <c r="P4035" s="24" t="s">
        <v>26</v>
      </c>
      <c r="Q4035" s="15" t="s">
        <v>13421</v>
      </c>
      <c r="R4035" s="15"/>
      <c r="S4035" s="10" t="str">
        <f>HYPERLINK("https://miland.ru/api/getInfo/image/46e1ba4a-7681-11f0-a284-00155d82e908")</f>
        <v>https://miland.ru/api/getInfo/image/46e1ba4a-7681-11f0-a284-00155d82e908</v>
      </c>
    </row>
    <row r="4036" spans="1:19" s="2" customFormat="1" ht="96.2" customHeight="1" outlineLevel="7">
      <c r="A4036" s="53">
        <v>3190</v>
      </c>
      <c r="B4036" s="10" t="s">
        <v>13422</v>
      </c>
      <c r="C4036" s="65" t="s">
        <v>13423</v>
      </c>
      <c r="D4036" s="65"/>
      <c r="E4036" s="65"/>
      <c r="F4036" s="65"/>
      <c r="G4036" s="11" t="s">
        <v>13424</v>
      </c>
      <c r="H4036" s="21" t="s">
        <v>44</v>
      </c>
      <c r="I4036" s="15"/>
      <c r="J4036" s="9">
        <v>12</v>
      </c>
      <c r="K4036" s="16">
        <v>44.73</v>
      </c>
      <c r="L4036" s="17"/>
      <c r="M4036" s="15">
        <f t="shared" si="192"/>
        <v>0</v>
      </c>
      <c r="N4036" s="18">
        <f t="shared" si="193"/>
        <v>0</v>
      </c>
      <c r="O4036" s="19">
        <f t="shared" ref="O4036:O4041" si="194">0.00017*L4036</f>
        <v>0</v>
      </c>
      <c r="P4036" s="24" t="s">
        <v>26</v>
      </c>
      <c r="Q4036" s="15" t="s">
        <v>13425</v>
      </c>
      <c r="R4036" s="15"/>
      <c r="S4036" s="10" t="str">
        <f>HYPERLINK("https://miland.ru/api/getInfo/image/9532f1de-7681-11f0-a284-00155d82e908")</f>
        <v>https://miland.ru/api/getInfo/image/9532f1de-7681-11f0-a284-00155d82e908</v>
      </c>
    </row>
    <row r="4037" spans="1:19" s="2" customFormat="1" ht="96.2" customHeight="1" outlineLevel="7">
      <c r="A4037" s="53">
        <v>3191</v>
      </c>
      <c r="B4037" s="10" t="s">
        <v>13426</v>
      </c>
      <c r="C4037" s="65" t="s">
        <v>13427</v>
      </c>
      <c r="D4037" s="65"/>
      <c r="E4037" s="65"/>
      <c r="F4037" s="65"/>
      <c r="G4037" s="11" t="s">
        <v>13428</v>
      </c>
      <c r="H4037" s="21" t="s">
        <v>44</v>
      </c>
      <c r="I4037" s="15"/>
      <c r="J4037" s="9">
        <v>12</v>
      </c>
      <c r="K4037" s="16">
        <v>44.73</v>
      </c>
      <c r="L4037" s="17"/>
      <c r="M4037" s="15">
        <f t="shared" si="192"/>
        <v>0</v>
      </c>
      <c r="N4037" s="18">
        <f t="shared" si="193"/>
        <v>0</v>
      </c>
      <c r="O4037" s="19">
        <f t="shared" si="194"/>
        <v>0</v>
      </c>
      <c r="P4037" s="24" t="s">
        <v>26</v>
      </c>
      <c r="Q4037" s="15" t="s">
        <v>13429</v>
      </c>
      <c r="R4037" s="15"/>
      <c r="S4037" s="10" t="str">
        <f>HYPERLINK("https://miland.ru/api/getInfo/image/2dcb1e42-7681-11f0-a284-00155d82e908")</f>
        <v>https://miland.ru/api/getInfo/image/2dcb1e42-7681-11f0-a284-00155d82e908</v>
      </c>
    </row>
    <row r="4038" spans="1:19" s="2" customFormat="1" ht="96.2" customHeight="1" outlineLevel="7">
      <c r="A4038" s="53">
        <v>3192</v>
      </c>
      <c r="B4038" s="10" t="s">
        <v>13430</v>
      </c>
      <c r="C4038" s="65" t="s">
        <v>13431</v>
      </c>
      <c r="D4038" s="65"/>
      <c r="E4038" s="65"/>
      <c r="F4038" s="65"/>
      <c r="G4038" s="11" t="s">
        <v>13432</v>
      </c>
      <c r="H4038" s="21" t="s">
        <v>44</v>
      </c>
      <c r="I4038" s="15"/>
      <c r="J4038" s="9">
        <v>12</v>
      </c>
      <c r="K4038" s="16">
        <v>44.73</v>
      </c>
      <c r="L4038" s="17"/>
      <c r="M4038" s="15">
        <f t="shared" si="192"/>
        <v>0</v>
      </c>
      <c r="N4038" s="18">
        <f t="shared" si="193"/>
        <v>0</v>
      </c>
      <c r="O4038" s="19">
        <f t="shared" si="194"/>
        <v>0</v>
      </c>
      <c r="P4038" s="24" t="s">
        <v>26</v>
      </c>
      <c r="Q4038" s="15" t="s">
        <v>13433</v>
      </c>
      <c r="R4038" s="15"/>
      <c r="S4038" s="10" t="str">
        <f>HYPERLINK("https://miland.ru/api/getInfo/image/b9da18c8-7681-11f0-a284-00155d82e908")</f>
        <v>https://miland.ru/api/getInfo/image/b9da18c8-7681-11f0-a284-00155d82e908</v>
      </c>
    </row>
    <row r="4039" spans="1:19" s="2" customFormat="1" ht="96.2" customHeight="1" outlineLevel="7">
      <c r="A4039" s="53">
        <v>3193</v>
      </c>
      <c r="B4039" s="10" t="s">
        <v>13434</v>
      </c>
      <c r="C4039" s="65" t="s">
        <v>13435</v>
      </c>
      <c r="D4039" s="65"/>
      <c r="E4039" s="65"/>
      <c r="F4039" s="65"/>
      <c r="G4039" s="11" t="s">
        <v>13436</v>
      </c>
      <c r="H4039" s="21" t="s">
        <v>44</v>
      </c>
      <c r="I4039" s="15"/>
      <c r="J4039" s="9">
        <v>12</v>
      </c>
      <c r="K4039" s="16">
        <v>44.73</v>
      </c>
      <c r="L4039" s="17"/>
      <c r="M4039" s="15">
        <f t="shared" si="192"/>
        <v>0</v>
      </c>
      <c r="N4039" s="18">
        <f t="shared" si="193"/>
        <v>0</v>
      </c>
      <c r="O4039" s="19">
        <f t="shared" si="194"/>
        <v>0</v>
      </c>
      <c r="P4039" s="24" t="s">
        <v>26</v>
      </c>
      <c r="Q4039" s="15" t="s">
        <v>13437</v>
      </c>
      <c r="R4039" s="15"/>
      <c r="S4039" s="10" t="str">
        <f>HYPERLINK("https://miland.ru/api/getInfo/image/5ecf8593-7681-11f0-a284-00155d82e908")</f>
        <v>https://miland.ru/api/getInfo/image/5ecf8593-7681-11f0-a284-00155d82e908</v>
      </c>
    </row>
    <row r="4040" spans="1:19" s="2" customFormat="1" ht="96.2" customHeight="1" outlineLevel="7">
      <c r="A4040" s="53">
        <v>3194</v>
      </c>
      <c r="B4040" s="10" t="s">
        <v>13438</v>
      </c>
      <c r="C4040" s="65" t="s">
        <v>13439</v>
      </c>
      <c r="D4040" s="65"/>
      <c r="E4040" s="65"/>
      <c r="F4040" s="65"/>
      <c r="G4040" s="11" t="s">
        <v>13440</v>
      </c>
      <c r="H4040" s="21" t="s">
        <v>44</v>
      </c>
      <c r="I4040" s="15"/>
      <c r="J4040" s="9">
        <v>12</v>
      </c>
      <c r="K4040" s="16">
        <v>44.73</v>
      </c>
      <c r="L4040" s="17"/>
      <c r="M4040" s="15">
        <f t="shared" si="192"/>
        <v>0</v>
      </c>
      <c r="N4040" s="18">
        <f t="shared" si="193"/>
        <v>0</v>
      </c>
      <c r="O4040" s="19">
        <f t="shared" si="194"/>
        <v>0</v>
      </c>
      <c r="P4040" s="24" t="s">
        <v>26</v>
      </c>
      <c r="Q4040" s="15" t="s">
        <v>13441</v>
      </c>
      <c r="R4040" s="15"/>
      <c r="S4040" s="10" t="str">
        <f>HYPERLINK("https://miland.ru/api/getInfo/image/1f8df9fb-9dcf-11f0-a285-00155d82e908")</f>
        <v>https://miland.ru/api/getInfo/image/1f8df9fb-9dcf-11f0-a285-00155d82e908</v>
      </c>
    </row>
    <row r="4041" spans="1:19" s="2" customFormat="1" ht="96.2" customHeight="1" outlineLevel="7">
      <c r="A4041" s="53">
        <v>3195</v>
      </c>
      <c r="B4041" s="10" t="s">
        <v>13442</v>
      </c>
      <c r="C4041" s="65" t="s">
        <v>13443</v>
      </c>
      <c r="D4041" s="65"/>
      <c r="E4041" s="65"/>
      <c r="F4041" s="65"/>
      <c r="G4041" s="11" t="s">
        <v>13444</v>
      </c>
      <c r="H4041" s="21" t="s">
        <v>44</v>
      </c>
      <c r="I4041" s="15"/>
      <c r="J4041" s="9">
        <v>12</v>
      </c>
      <c r="K4041" s="16">
        <v>44.73</v>
      </c>
      <c r="L4041" s="17"/>
      <c r="M4041" s="15">
        <f t="shared" si="192"/>
        <v>0</v>
      </c>
      <c r="N4041" s="18">
        <f t="shared" si="193"/>
        <v>0</v>
      </c>
      <c r="O4041" s="19">
        <f t="shared" si="194"/>
        <v>0</v>
      </c>
      <c r="P4041" s="24" t="s">
        <v>26</v>
      </c>
      <c r="Q4041" s="15" t="s">
        <v>13445</v>
      </c>
      <c r="R4041" s="15"/>
      <c r="S4041" s="10" t="str">
        <f>HYPERLINK("https://miland.ru/api/getInfo/image/7b9fd02c-7681-11f0-a284-00155d82e908")</f>
        <v>https://miland.ru/api/getInfo/image/7b9fd02c-7681-11f0-a284-00155d82e908</v>
      </c>
    </row>
    <row r="4042" spans="1:19" s="2" customFormat="1" ht="96.2" customHeight="1" outlineLevel="7">
      <c r="A4042" s="53">
        <v>3196</v>
      </c>
      <c r="B4042" s="10" t="s">
        <v>13446</v>
      </c>
      <c r="C4042" s="65" t="s">
        <v>13447</v>
      </c>
      <c r="D4042" s="65"/>
      <c r="E4042" s="65"/>
      <c r="F4042" s="65"/>
      <c r="G4042" s="11" t="s">
        <v>13448</v>
      </c>
      <c r="H4042" s="21" t="s">
        <v>44</v>
      </c>
      <c r="I4042" s="15"/>
      <c r="J4042" s="9">
        <v>12</v>
      </c>
      <c r="K4042" s="16">
        <v>44.73</v>
      </c>
      <c r="L4042" s="17"/>
      <c r="M4042" s="15">
        <f t="shared" si="192"/>
        <v>0</v>
      </c>
      <c r="N4042" s="18">
        <f>0.032*L4042</f>
        <v>0</v>
      </c>
      <c r="O4042" s="19">
        <f>0.00013*L4042</f>
        <v>0</v>
      </c>
      <c r="P4042" s="24" t="s">
        <v>26</v>
      </c>
      <c r="Q4042" s="15" t="s">
        <v>13449</v>
      </c>
      <c r="R4042" s="15"/>
      <c r="S4042" s="10" t="str">
        <f>HYPERLINK("https://miland.ru/api/getInfo/image/f4e1c0ae-9dce-11f0-a285-00155d82e908")</f>
        <v>https://miland.ru/api/getInfo/image/f4e1c0ae-9dce-11f0-a285-00155d82e908</v>
      </c>
    </row>
    <row r="4043" spans="1:19" s="2" customFormat="1" ht="96.2" customHeight="1" outlineLevel="7">
      <c r="A4043" s="53">
        <v>3197</v>
      </c>
      <c r="B4043" s="10" t="s">
        <v>13450</v>
      </c>
      <c r="C4043" s="65" t="s">
        <v>13451</v>
      </c>
      <c r="D4043" s="65"/>
      <c r="E4043" s="65"/>
      <c r="F4043" s="65"/>
      <c r="G4043" s="11" t="s">
        <v>13452</v>
      </c>
      <c r="H4043" s="21" t="s">
        <v>44</v>
      </c>
      <c r="I4043" s="15"/>
      <c r="J4043" s="9">
        <v>12</v>
      </c>
      <c r="K4043" s="16">
        <v>44.73</v>
      </c>
      <c r="L4043" s="17"/>
      <c r="M4043" s="15">
        <f t="shared" si="192"/>
        <v>0</v>
      </c>
      <c r="N4043" s="18">
        <f>0.042*L4043</f>
        <v>0</v>
      </c>
      <c r="O4043" s="19">
        <f>0.00074*L4043</f>
        <v>0</v>
      </c>
      <c r="P4043" s="24" t="s">
        <v>26</v>
      </c>
      <c r="Q4043" s="15" t="s">
        <v>13453</v>
      </c>
      <c r="R4043" s="15"/>
      <c r="S4043" s="10" t="str">
        <f>HYPERLINK("https://miland.ru/api/getInfo/image/697fe1b3-067c-11f1-a28f-00155d82e908")</f>
        <v>https://miland.ru/api/getInfo/image/697fe1b3-067c-11f1-a28f-00155d82e908</v>
      </c>
    </row>
    <row r="4044" spans="1:19" s="2" customFormat="1" ht="96.2" customHeight="1" outlineLevel="7">
      <c r="A4044" s="53">
        <v>3198</v>
      </c>
      <c r="B4044" s="10" t="s">
        <v>13454</v>
      </c>
      <c r="C4044" s="65" t="s">
        <v>13455</v>
      </c>
      <c r="D4044" s="65"/>
      <c r="E4044" s="65"/>
      <c r="F4044" s="65"/>
      <c r="G4044" s="11" t="s">
        <v>13456</v>
      </c>
      <c r="H4044" s="21" t="s">
        <v>44</v>
      </c>
      <c r="I4044" s="15"/>
      <c r="J4044" s="9">
        <v>12</v>
      </c>
      <c r="K4044" s="16">
        <v>44.73</v>
      </c>
      <c r="L4044" s="17"/>
      <c r="M4044" s="15">
        <f t="shared" si="192"/>
        <v>0</v>
      </c>
      <c r="N4044" s="18">
        <f>0.038*L4044</f>
        <v>0</v>
      </c>
      <c r="O4044" s="19">
        <f>0.00043*L4044</f>
        <v>0</v>
      </c>
      <c r="P4044" s="24" t="s">
        <v>26</v>
      </c>
      <c r="Q4044" s="15" t="s">
        <v>13457</v>
      </c>
      <c r="R4044" s="15"/>
      <c r="S4044" s="10" t="str">
        <f>HYPERLINK("https://miland.ru/api/getInfo/image/2dde211e-067b-11f1-a28f-00155d82e908")</f>
        <v>https://miland.ru/api/getInfo/image/2dde211e-067b-11f1-a28f-00155d82e908</v>
      </c>
    </row>
    <row r="4045" spans="1:19" s="2" customFormat="1" ht="96.2" customHeight="1" outlineLevel="7">
      <c r="A4045" s="53">
        <v>3199</v>
      </c>
      <c r="B4045" s="10" t="s">
        <v>13458</v>
      </c>
      <c r="C4045" s="65" t="s">
        <v>13459</v>
      </c>
      <c r="D4045" s="65"/>
      <c r="E4045" s="65"/>
      <c r="F4045" s="65"/>
      <c r="G4045" s="11" t="s">
        <v>13460</v>
      </c>
      <c r="H4045" s="21" t="s">
        <v>44</v>
      </c>
      <c r="I4045" s="15"/>
      <c r="J4045" s="9">
        <v>12</v>
      </c>
      <c r="K4045" s="16">
        <v>44.73</v>
      </c>
      <c r="L4045" s="17"/>
      <c r="M4045" s="15">
        <f t="shared" si="192"/>
        <v>0</v>
      </c>
      <c r="N4045" s="18">
        <f>0.039*L4045</f>
        <v>0</v>
      </c>
      <c r="O4045" s="20">
        <f>0.0006*L4045</f>
        <v>0</v>
      </c>
      <c r="P4045" s="24" t="s">
        <v>26</v>
      </c>
      <c r="Q4045" s="15" t="s">
        <v>13461</v>
      </c>
      <c r="R4045" s="15"/>
      <c r="S4045" s="10" t="str">
        <f>HYPERLINK("https://miland.ru/api/getInfo/image/05127d4e-067b-11f1-a28f-00155d82e908")</f>
        <v>https://miland.ru/api/getInfo/image/05127d4e-067b-11f1-a28f-00155d82e908</v>
      </c>
    </row>
    <row r="4046" spans="1:19" s="2" customFormat="1" ht="96.2" customHeight="1" outlineLevel="7">
      <c r="A4046" s="53">
        <v>3200</v>
      </c>
      <c r="B4046" s="10" t="s">
        <v>13462</v>
      </c>
      <c r="C4046" s="65" t="s">
        <v>13463</v>
      </c>
      <c r="D4046" s="65"/>
      <c r="E4046" s="65"/>
      <c r="F4046" s="65"/>
      <c r="G4046" s="11" t="s">
        <v>13464</v>
      </c>
      <c r="H4046" s="21" t="s">
        <v>44</v>
      </c>
      <c r="I4046" s="15"/>
      <c r="J4046" s="9">
        <v>12</v>
      </c>
      <c r="K4046" s="16">
        <v>44.73</v>
      </c>
      <c r="L4046" s="17"/>
      <c r="M4046" s="15">
        <f t="shared" si="192"/>
        <v>0</v>
      </c>
      <c r="N4046" s="23">
        <f>0.04*L4046</f>
        <v>0</v>
      </c>
      <c r="O4046" s="19">
        <f>0.00048*L4046</f>
        <v>0</v>
      </c>
      <c r="P4046" s="24" t="s">
        <v>26</v>
      </c>
      <c r="Q4046" s="15" t="s">
        <v>13465</v>
      </c>
      <c r="R4046" s="15"/>
      <c r="S4046" s="10" t="str">
        <f>HYPERLINK("https://miland.ru/api/getInfo/image/480432f0-067c-11f1-a28f-00155d82e908")</f>
        <v>https://miland.ru/api/getInfo/image/480432f0-067c-11f1-a28f-00155d82e908</v>
      </c>
    </row>
    <row r="4047" spans="1:19" s="2" customFormat="1" ht="96.2" customHeight="1" outlineLevel="7">
      <c r="A4047" s="53">
        <v>3201</v>
      </c>
      <c r="B4047" s="10" t="s">
        <v>13466</v>
      </c>
      <c r="C4047" s="65" t="s">
        <v>13467</v>
      </c>
      <c r="D4047" s="65"/>
      <c r="E4047" s="65"/>
      <c r="F4047" s="65"/>
      <c r="G4047" s="11" t="s">
        <v>13468</v>
      </c>
      <c r="H4047" s="21" t="s">
        <v>44</v>
      </c>
      <c r="I4047" s="15"/>
      <c r="J4047" s="9">
        <v>12</v>
      </c>
      <c r="K4047" s="16">
        <v>44.73</v>
      </c>
      <c r="L4047" s="17"/>
      <c r="M4047" s="15">
        <f t="shared" si="192"/>
        <v>0</v>
      </c>
      <c r="N4047" s="23">
        <f>0.04*L4047</f>
        <v>0</v>
      </c>
      <c r="O4047" s="19">
        <f>0.00015*L4047</f>
        <v>0</v>
      </c>
      <c r="P4047" s="24" t="s">
        <v>26</v>
      </c>
      <c r="Q4047" s="15" t="s">
        <v>13469</v>
      </c>
      <c r="R4047" s="15"/>
      <c r="S4047" s="10" t="str">
        <f>HYPERLINK("https://miland.ru/api/getInfo/image/dfb96cce-067b-11f1-a28f-00155d82e908")</f>
        <v>https://miland.ru/api/getInfo/image/dfb96cce-067b-11f1-a28f-00155d82e908</v>
      </c>
    </row>
    <row r="4048" spans="1:19" s="2" customFormat="1" ht="96.2" customHeight="1" outlineLevel="7">
      <c r="A4048" s="53">
        <v>3202</v>
      </c>
      <c r="B4048" s="10" t="s">
        <v>13470</v>
      </c>
      <c r="C4048" s="65" t="s">
        <v>13471</v>
      </c>
      <c r="D4048" s="65"/>
      <c r="E4048" s="65"/>
      <c r="F4048" s="65"/>
      <c r="G4048" s="11" t="s">
        <v>13472</v>
      </c>
      <c r="H4048" s="21" t="s">
        <v>44</v>
      </c>
      <c r="I4048" s="15"/>
      <c r="J4048" s="9">
        <v>12</v>
      </c>
      <c r="K4048" s="16">
        <v>44.73</v>
      </c>
      <c r="L4048" s="17"/>
      <c r="M4048" s="15">
        <f t="shared" si="192"/>
        <v>0</v>
      </c>
      <c r="N4048" s="18">
        <f>0.032*L4048</f>
        <v>0</v>
      </c>
      <c r="O4048" s="19">
        <f>0.00064*L4048</f>
        <v>0</v>
      </c>
      <c r="P4048" s="24" t="s">
        <v>26</v>
      </c>
      <c r="Q4048" s="15" t="s">
        <v>13473</v>
      </c>
      <c r="R4048" s="15"/>
      <c r="S4048" s="10" t="str">
        <f>HYPERLINK("https://miland.ru/api/getInfo/image/bc79be0f-067c-11f1-a28f-00155d82e908")</f>
        <v>https://miland.ru/api/getInfo/image/bc79be0f-067c-11f1-a28f-00155d82e908</v>
      </c>
    </row>
    <row r="4049" spans="1:19" s="2" customFormat="1" ht="96.2" customHeight="1" outlineLevel="7">
      <c r="A4049" s="53">
        <v>3203</v>
      </c>
      <c r="B4049" s="10" t="s">
        <v>13474</v>
      </c>
      <c r="C4049" s="65" t="s">
        <v>13475</v>
      </c>
      <c r="D4049" s="65"/>
      <c r="E4049" s="65"/>
      <c r="F4049" s="65"/>
      <c r="G4049" s="11" t="s">
        <v>13476</v>
      </c>
      <c r="H4049" s="21" t="s">
        <v>44</v>
      </c>
      <c r="I4049" s="15"/>
      <c r="J4049" s="9">
        <v>12</v>
      </c>
      <c r="K4049" s="16">
        <v>44.73</v>
      </c>
      <c r="L4049" s="17"/>
      <c r="M4049" s="15">
        <f t="shared" si="192"/>
        <v>0</v>
      </c>
      <c r="N4049" s="18">
        <f>0.042*L4049</f>
        <v>0</v>
      </c>
      <c r="O4049" s="19">
        <f>0.00058*L4049</f>
        <v>0</v>
      </c>
      <c r="P4049" s="24" t="s">
        <v>26</v>
      </c>
      <c r="Q4049" s="15" t="s">
        <v>13477</v>
      </c>
      <c r="R4049" s="15"/>
      <c r="S4049" s="10" t="str">
        <f>HYPERLINK("https://miland.ru/api/getInfo/image/b7723b88-067b-11f1-a28f-00155d82e908")</f>
        <v>https://miland.ru/api/getInfo/image/b7723b88-067b-11f1-a28f-00155d82e908</v>
      </c>
    </row>
    <row r="4050" spans="1:19" s="2" customFormat="1" ht="96.2" customHeight="1" outlineLevel="7">
      <c r="A4050" s="53">
        <v>3204</v>
      </c>
      <c r="B4050" s="10" t="s">
        <v>13478</v>
      </c>
      <c r="C4050" s="65" t="s">
        <v>13479</v>
      </c>
      <c r="D4050" s="65"/>
      <c r="E4050" s="65"/>
      <c r="F4050" s="65"/>
      <c r="G4050" s="11" t="s">
        <v>13480</v>
      </c>
      <c r="H4050" s="21" t="s">
        <v>44</v>
      </c>
      <c r="I4050" s="15"/>
      <c r="J4050" s="9">
        <v>12</v>
      </c>
      <c r="K4050" s="16">
        <v>44.73</v>
      </c>
      <c r="L4050" s="17"/>
      <c r="M4050" s="15">
        <f t="shared" si="192"/>
        <v>0</v>
      </c>
      <c r="N4050" s="18">
        <f>0.039*L4050</f>
        <v>0</v>
      </c>
      <c r="O4050" s="19">
        <f>0.00112*L4050</f>
        <v>0</v>
      </c>
      <c r="P4050" s="24" t="s">
        <v>26</v>
      </c>
      <c r="Q4050" s="15" t="s">
        <v>13481</v>
      </c>
      <c r="R4050" s="15"/>
      <c r="S4050" s="10" t="str">
        <f>HYPERLINK("https://miland.ru/api/getInfo/image/51f737b9-067b-11f1-a28f-00155d82e908")</f>
        <v>https://miland.ru/api/getInfo/image/51f737b9-067b-11f1-a28f-00155d82e908</v>
      </c>
    </row>
    <row r="4051" spans="1:19" s="2" customFormat="1" ht="96.2" customHeight="1" outlineLevel="7">
      <c r="A4051" s="53">
        <v>3205</v>
      </c>
      <c r="B4051" s="10" t="s">
        <v>13482</v>
      </c>
      <c r="C4051" s="65" t="s">
        <v>13483</v>
      </c>
      <c r="D4051" s="65"/>
      <c r="E4051" s="65"/>
      <c r="F4051" s="65"/>
      <c r="G4051" s="11" t="s">
        <v>13484</v>
      </c>
      <c r="H4051" s="21" t="s">
        <v>44</v>
      </c>
      <c r="I4051" s="15"/>
      <c r="J4051" s="9">
        <v>12</v>
      </c>
      <c r="K4051" s="16">
        <v>44.73</v>
      </c>
      <c r="L4051" s="17"/>
      <c r="M4051" s="15">
        <f t="shared" si="192"/>
        <v>0</v>
      </c>
      <c r="N4051" s="18">
        <f>0.039*L4051</f>
        <v>0</v>
      </c>
      <c r="O4051" s="19">
        <f>0.00105*L4051</f>
        <v>0</v>
      </c>
      <c r="P4051" s="24" t="s">
        <v>26</v>
      </c>
      <c r="Q4051" s="15" t="s">
        <v>13485</v>
      </c>
      <c r="R4051" s="15"/>
      <c r="S4051" s="10" t="str">
        <f>HYPERLINK("https://miland.ru/api/getInfo/image/135e06b7-067c-11f1-a28f-00155d82e908")</f>
        <v>https://miland.ru/api/getInfo/image/135e06b7-067c-11f1-a28f-00155d82e908</v>
      </c>
    </row>
    <row r="4052" spans="1:19" s="2" customFormat="1" ht="96.2" customHeight="1" outlineLevel="7">
      <c r="A4052" s="53">
        <v>3206</v>
      </c>
      <c r="B4052" s="10" t="s">
        <v>13486</v>
      </c>
      <c r="C4052" s="65" t="s">
        <v>13487</v>
      </c>
      <c r="D4052" s="65"/>
      <c r="E4052" s="65"/>
      <c r="F4052" s="65"/>
      <c r="G4052" s="11" t="s">
        <v>13488</v>
      </c>
      <c r="H4052" s="21" t="s">
        <v>44</v>
      </c>
      <c r="I4052" s="15"/>
      <c r="J4052" s="9">
        <v>12</v>
      </c>
      <c r="K4052" s="16">
        <v>44.73</v>
      </c>
      <c r="L4052" s="17"/>
      <c r="M4052" s="15">
        <f t="shared" si="192"/>
        <v>0</v>
      </c>
      <c r="N4052" s="18">
        <f>0.037*L4052</f>
        <v>0</v>
      </c>
      <c r="O4052" s="19">
        <f>0.00057*L4052</f>
        <v>0</v>
      </c>
      <c r="P4052" s="24" t="s">
        <v>26</v>
      </c>
      <c r="Q4052" s="15" t="s">
        <v>13489</v>
      </c>
      <c r="R4052" s="15"/>
      <c r="S4052" s="10" t="str">
        <f>HYPERLINK("https://miland.ru/api/getInfo/image/224b4be0-067a-11f1-a28f-00155d82e908")</f>
        <v>https://miland.ru/api/getInfo/image/224b4be0-067a-11f1-a28f-00155d82e908</v>
      </c>
    </row>
    <row r="4053" spans="1:19" s="2" customFormat="1" ht="96.2" customHeight="1" outlineLevel="7">
      <c r="A4053" s="53">
        <v>3207</v>
      </c>
      <c r="B4053" s="10" t="s">
        <v>13490</v>
      </c>
      <c r="C4053" s="65" t="s">
        <v>13491</v>
      </c>
      <c r="D4053" s="65"/>
      <c r="E4053" s="65"/>
      <c r="F4053" s="65"/>
      <c r="G4053" s="11" t="s">
        <v>13492</v>
      </c>
      <c r="H4053" s="21" t="s">
        <v>44</v>
      </c>
      <c r="I4053" s="15"/>
      <c r="J4053" s="9">
        <v>12</v>
      </c>
      <c r="K4053" s="16">
        <v>44.73</v>
      </c>
      <c r="L4053" s="17"/>
      <c r="M4053" s="15">
        <f t="shared" si="192"/>
        <v>0</v>
      </c>
      <c r="N4053" s="18">
        <f>0.039*L4053</f>
        <v>0</v>
      </c>
      <c r="O4053" s="19">
        <f>0.00033*L4053</f>
        <v>0</v>
      </c>
      <c r="P4053" s="24" t="s">
        <v>26</v>
      </c>
      <c r="Q4053" s="15" t="s">
        <v>13493</v>
      </c>
      <c r="R4053" s="15"/>
      <c r="S4053" s="10" t="str">
        <f>HYPERLINK("https://miland.ru/api/getInfo/image/76059fa0-067b-11f1-a28f-00155d82e908")</f>
        <v>https://miland.ru/api/getInfo/image/76059fa0-067b-11f1-a28f-00155d82e908</v>
      </c>
    </row>
    <row r="4054" spans="1:19" s="2" customFormat="1" ht="96.2" customHeight="1" outlineLevel="7">
      <c r="A4054" s="53">
        <v>3208</v>
      </c>
      <c r="B4054" s="10" t="s">
        <v>13494</v>
      </c>
      <c r="C4054" s="65" t="s">
        <v>13495</v>
      </c>
      <c r="D4054" s="65"/>
      <c r="E4054" s="65"/>
      <c r="F4054" s="65"/>
      <c r="G4054" s="11" t="s">
        <v>13496</v>
      </c>
      <c r="H4054" s="21" t="s">
        <v>44</v>
      </c>
      <c r="I4054" s="15"/>
      <c r="J4054" s="9">
        <v>12</v>
      </c>
      <c r="K4054" s="16">
        <v>44.73</v>
      </c>
      <c r="L4054" s="17"/>
      <c r="M4054" s="15">
        <f t="shared" si="192"/>
        <v>0</v>
      </c>
      <c r="N4054" s="18">
        <f>0.041*L4054</f>
        <v>0</v>
      </c>
      <c r="O4054" s="19">
        <f>0.00048*L4054</f>
        <v>0</v>
      </c>
      <c r="P4054" s="24" t="s">
        <v>26</v>
      </c>
      <c r="Q4054" s="15" t="s">
        <v>13497</v>
      </c>
      <c r="R4054" s="15"/>
      <c r="S4054" s="10" t="str">
        <f>HYPERLINK("https://miland.ru/api/getInfo/image/93474a59-067c-11f1-a28f-00155d82e908")</f>
        <v>https://miland.ru/api/getInfo/image/93474a59-067c-11f1-a28f-00155d82e908</v>
      </c>
    </row>
    <row r="4055" spans="1:19" s="2" customFormat="1" ht="96.2" customHeight="1" outlineLevel="7">
      <c r="A4055" s="52">
        <v>3209</v>
      </c>
      <c r="B4055" s="26" t="s">
        <v>13498</v>
      </c>
      <c r="C4055" s="66" t="s">
        <v>13499</v>
      </c>
      <c r="D4055" s="66"/>
      <c r="E4055" s="66"/>
      <c r="F4055" s="66"/>
      <c r="G4055" s="27" t="s">
        <v>13500</v>
      </c>
      <c r="H4055" s="33">
        <v>60</v>
      </c>
      <c r="I4055" s="29"/>
      <c r="J4055" s="25">
        <v>12</v>
      </c>
      <c r="K4055" s="30">
        <v>44.73</v>
      </c>
      <c r="L4055" s="17"/>
      <c r="M4055" s="29">
        <f t="shared" si="192"/>
        <v>0</v>
      </c>
      <c r="N4055" s="34">
        <f>0.04*L4055</f>
        <v>0</v>
      </c>
      <c r="O4055" s="32">
        <f>0.00027*L4055</f>
        <v>0</v>
      </c>
      <c r="P4055" s="36"/>
      <c r="Q4055" s="29" t="s">
        <v>13501</v>
      </c>
      <c r="R4055" s="29" t="s">
        <v>611</v>
      </c>
      <c r="S4055" s="26" t="str">
        <f>HYPERLINK("https://miland.ru/api/getInfo/image/0f630472-5ebf-11ef-a262-00155d82e908")</f>
        <v>https://miland.ru/api/getInfo/image/0f630472-5ebf-11ef-a262-00155d82e908</v>
      </c>
    </row>
    <row r="4056" spans="1:19" s="1" customFormat="1" ht="12" customHeight="1" outlineLevel="4">
      <c r="A4056" s="64" t="s">
        <v>7735</v>
      </c>
      <c r="B4056" s="64"/>
      <c r="C4056" s="64"/>
      <c r="D4056" s="64"/>
      <c r="E4056" s="64"/>
      <c r="F4056" s="64"/>
      <c r="G4056" s="8"/>
      <c r="H4056" s="12"/>
      <c r="I4056" s="2"/>
      <c r="J4056" s="2"/>
      <c r="K4056" s="13"/>
      <c r="L4056" s="2"/>
      <c r="M4056" s="2"/>
      <c r="N4056" s="2"/>
      <c r="O4056" s="2"/>
      <c r="P4056" s="2"/>
      <c r="Q4056" s="2"/>
      <c r="R4056" s="2"/>
      <c r="S4056" s="2"/>
    </row>
    <row r="4057" spans="1:19" s="1" customFormat="1" ht="12" customHeight="1" outlineLevel="5">
      <c r="A4057" s="64" t="s">
        <v>13502</v>
      </c>
      <c r="B4057" s="64"/>
      <c r="C4057" s="64"/>
      <c r="D4057" s="64"/>
      <c r="E4057" s="64"/>
      <c r="F4057" s="64"/>
      <c r="G4057" s="8"/>
      <c r="H4057" s="12"/>
      <c r="I4057" s="2"/>
      <c r="J4057" s="2"/>
      <c r="K4057" s="13"/>
      <c r="L4057" s="2"/>
      <c r="M4057" s="2"/>
      <c r="N4057" s="2"/>
      <c r="O4057" s="2"/>
      <c r="P4057" s="2"/>
      <c r="Q4057" s="2"/>
      <c r="R4057" s="2"/>
      <c r="S4057" s="2"/>
    </row>
    <row r="4058" spans="1:19" s="2" customFormat="1" ht="96.2" customHeight="1" outlineLevel="6">
      <c r="A4058" s="53">
        <v>3210</v>
      </c>
      <c r="B4058" s="10" t="s">
        <v>13503</v>
      </c>
      <c r="C4058" s="65" t="s">
        <v>13504</v>
      </c>
      <c r="D4058" s="65"/>
      <c r="E4058" s="65"/>
      <c r="F4058" s="65"/>
      <c r="G4058" s="11" t="s">
        <v>13505</v>
      </c>
      <c r="H4058" s="21" t="s">
        <v>44</v>
      </c>
      <c r="I4058" s="15"/>
      <c r="J4058" s="9">
        <v>12</v>
      </c>
      <c r="K4058" s="16">
        <v>23.54</v>
      </c>
      <c r="L4058" s="17"/>
      <c r="M4058" s="15">
        <f>K4058*L4058</f>
        <v>0</v>
      </c>
      <c r="N4058" s="18">
        <f>0.043*L4058</f>
        <v>0</v>
      </c>
      <c r="O4058" s="19">
        <f>0.00021*L4058</f>
        <v>0</v>
      </c>
      <c r="P4058" s="24" t="s">
        <v>26</v>
      </c>
      <c r="Q4058" s="15" t="s">
        <v>13506</v>
      </c>
      <c r="R4058" s="15"/>
      <c r="S4058" s="10" t="str">
        <f>HYPERLINK("https://miland.ru/api/getInfo/image/1d7019b5-58ac-11f0-a27f-00155d82e908")</f>
        <v>https://miland.ru/api/getInfo/image/1d7019b5-58ac-11f0-a27f-00155d82e908</v>
      </c>
    </row>
    <row r="4059" spans="1:19" s="2" customFormat="1" ht="96.2" customHeight="1" outlineLevel="6">
      <c r="A4059" s="53">
        <v>3211</v>
      </c>
      <c r="B4059" s="10" t="s">
        <v>13507</v>
      </c>
      <c r="C4059" s="65" t="s">
        <v>13508</v>
      </c>
      <c r="D4059" s="65"/>
      <c r="E4059" s="65"/>
      <c r="F4059" s="65"/>
      <c r="G4059" s="11" t="s">
        <v>13509</v>
      </c>
      <c r="H4059" s="14">
        <v>156</v>
      </c>
      <c r="I4059" s="15"/>
      <c r="J4059" s="9">
        <v>12</v>
      </c>
      <c r="K4059" s="16">
        <v>23.54</v>
      </c>
      <c r="L4059" s="17"/>
      <c r="M4059" s="15">
        <f>K4059*L4059</f>
        <v>0</v>
      </c>
      <c r="N4059" s="18">
        <f>0.274*L4059</f>
        <v>0</v>
      </c>
      <c r="O4059" s="19">
        <f>0.00149*L4059</f>
        <v>0</v>
      </c>
      <c r="P4059" s="24" t="s">
        <v>26</v>
      </c>
      <c r="Q4059" s="15" t="s">
        <v>13510</v>
      </c>
      <c r="R4059" s="15"/>
      <c r="S4059" s="10" t="str">
        <f>HYPERLINK("https://miland.ru/api/getInfo/image/7149146e-58ac-11f0-a27f-00155d82e908")</f>
        <v>https://miland.ru/api/getInfo/image/7149146e-58ac-11f0-a27f-00155d82e908</v>
      </c>
    </row>
    <row r="4060" spans="1:19" s="2" customFormat="1" ht="96.2" customHeight="1" outlineLevel="6">
      <c r="A4060" s="53">
        <v>3212</v>
      </c>
      <c r="B4060" s="10" t="s">
        <v>13511</v>
      </c>
      <c r="C4060" s="65" t="s">
        <v>13512</v>
      </c>
      <c r="D4060" s="65"/>
      <c r="E4060" s="65"/>
      <c r="F4060" s="65"/>
      <c r="G4060" s="11" t="s">
        <v>13513</v>
      </c>
      <c r="H4060" s="14">
        <v>480</v>
      </c>
      <c r="I4060" s="15"/>
      <c r="J4060" s="9">
        <v>12</v>
      </c>
      <c r="K4060" s="16">
        <v>23.54</v>
      </c>
      <c r="L4060" s="17"/>
      <c r="M4060" s="15">
        <f>K4060*L4060</f>
        <v>0</v>
      </c>
      <c r="N4060" s="18">
        <f>0.043*L4060</f>
        <v>0</v>
      </c>
      <c r="O4060" s="19">
        <f>0.00021*L4060</f>
        <v>0</v>
      </c>
      <c r="P4060" s="24" t="s">
        <v>26</v>
      </c>
      <c r="Q4060" s="15" t="s">
        <v>13514</v>
      </c>
      <c r="R4060" s="15"/>
      <c r="S4060" s="10" t="str">
        <f>HYPERLINK("https://miland.ru/api/getInfo/image/bb332a18-58ac-11f0-a27f-00155d82e908")</f>
        <v>https://miland.ru/api/getInfo/image/bb332a18-58ac-11f0-a27f-00155d82e908</v>
      </c>
    </row>
    <row r="4061" spans="1:19" s="1" customFormat="1" ht="12" customHeight="1" outlineLevel="5">
      <c r="A4061" s="64" t="s">
        <v>13515</v>
      </c>
      <c r="B4061" s="64"/>
      <c r="C4061" s="64"/>
      <c r="D4061" s="64"/>
      <c r="E4061" s="64"/>
      <c r="F4061" s="64"/>
      <c r="G4061" s="8"/>
      <c r="H4061" s="12"/>
      <c r="I4061" s="2"/>
      <c r="J4061" s="2"/>
      <c r="K4061" s="13"/>
      <c r="L4061" s="2"/>
      <c r="M4061" s="2"/>
      <c r="N4061" s="2"/>
      <c r="O4061" s="2"/>
      <c r="P4061" s="2"/>
      <c r="Q4061" s="2"/>
      <c r="R4061" s="2"/>
      <c r="S4061" s="2"/>
    </row>
    <row r="4062" spans="1:19" s="1" customFormat="1" ht="12" customHeight="1" outlineLevel="6">
      <c r="A4062" s="64" t="s">
        <v>7736</v>
      </c>
      <c r="B4062" s="64"/>
      <c r="C4062" s="64"/>
      <c r="D4062" s="64"/>
      <c r="E4062" s="64"/>
      <c r="F4062" s="64"/>
      <c r="G4062" s="8"/>
      <c r="H4062" s="12"/>
      <c r="I4062" s="2"/>
      <c r="J4062" s="2"/>
      <c r="K4062" s="13"/>
      <c r="L4062" s="2"/>
      <c r="M4062" s="2"/>
      <c r="N4062" s="2"/>
      <c r="O4062" s="2"/>
      <c r="P4062" s="2"/>
      <c r="Q4062" s="2"/>
      <c r="R4062" s="2"/>
      <c r="S4062" s="2"/>
    </row>
    <row r="4063" spans="1:19" s="1" customFormat="1" ht="12" customHeight="1" outlineLevel="7">
      <c r="A4063" s="64" t="s">
        <v>13516</v>
      </c>
      <c r="B4063" s="64"/>
      <c r="C4063" s="64"/>
      <c r="D4063" s="64"/>
      <c r="E4063" s="64"/>
      <c r="F4063" s="64"/>
      <c r="G4063" s="8"/>
      <c r="H4063" s="12"/>
      <c r="I4063" s="2"/>
      <c r="J4063" s="2"/>
      <c r="K4063" s="13"/>
      <c r="L4063" s="2"/>
      <c r="M4063" s="2"/>
      <c r="N4063" s="2"/>
      <c r="O4063" s="2"/>
      <c r="P4063" s="2"/>
      <c r="Q4063" s="2"/>
      <c r="R4063" s="2"/>
      <c r="S4063" s="2"/>
    </row>
    <row r="4064" spans="1:19" s="2" customFormat="1" ht="96.2" customHeight="1" outlineLevel="7">
      <c r="A4064" s="52">
        <v>3213</v>
      </c>
      <c r="B4064" s="26" t="s">
        <v>13517</v>
      </c>
      <c r="C4064" s="66" t="s">
        <v>13518</v>
      </c>
      <c r="D4064" s="66"/>
      <c r="E4064" s="66"/>
      <c r="F4064" s="66"/>
      <c r="G4064" s="27" t="s">
        <v>13519</v>
      </c>
      <c r="H4064" s="33">
        <v>72</v>
      </c>
      <c r="I4064" s="29"/>
      <c r="J4064" s="25">
        <v>24</v>
      </c>
      <c r="K4064" s="30">
        <v>28.7</v>
      </c>
      <c r="L4064" s="17"/>
      <c r="M4064" s="29">
        <f>K4064*L4064</f>
        <v>0</v>
      </c>
      <c r="N4064" s="34">
        <f>0.02*L4064</f>
        <v>0</v>
      </c>
      <c r="O4064" s="32">
        <f>0.00008*L4064</f>
        <v>0</v>
      </c>
      <c r="P4064" s="36"/>
      <c r="Q4064" s="29" t="s">
        <v>13520</v>
      </c>
      <c r="R4064" s="29" t="s">
        <v>611</v>
      </c>
      <c r="S4064" s="26" t="str">
        <f>HYPERLINK("https://miland.ru/api/getInfo/image/ce9438fe-cf00-11ee-a25a-00155d82e908")</f>
        <v>https://miland.ru/api/getInfo/image/ce9438fe-cf00-11ee-a25a-00155d82e908</v>
      </c>
    </row>
    <row r="4065" spans="1:19" s="1" customFormat="1" ht="12" customHeight="1" outlineLevel="4">
      <c r="A4065" s="64" t="s">
        <v>13521</v>
      </c>
      <c r="B4065" s="64"/>
      <c r="C4065" s="64"/>
      <c r="D4065" s="64"/>
      <c r="E4065" s="64"/>
      <c r="F4065" s="64"/>
      <c r="G4065" s="8"/>
      <c r="H4065" s="12"/>
      <c r="I4065" s="2"/>
      <c r="J4065" s="2"/>
      <c r="K4065" s="13"/>
      <c r="L4065" s="2"/>
      <c r="M4065" s="2"/>
      <c r="N4065" s="2"/>
      <c r="O4065" s="2"/>
      <c r="P4065" s="2"/>
      <c r="Q4065" s="2"/>
      <c r="R4065" s="2"/>
      <c r="S4065" s="2"/>
    </row>
    <row r="4066" spans="1:19" s="1" customFormat="1" ht="12" customHeight="1" outlineLevel="5">
      <c r="A4066" s="64" t="s">
        <v>13522</v>
      </c>
      <c r="B4066" s="64"/>
      <c r="C4066" s="64"/>
      <c r="D4066" s="64"/>
      <c r="E4066" s="64"/>
      <c r="F4066" s="64"/>
      <c r="G4066" s="8"/>
      <c r="H4066" s="12"/>
      <c r="I4066" s="2"/>
      <c r="J4066" s="2"/>
      <c r="K4066" s="13"/>
      <c r="L4066" s="2"/>
      <c r="M4066" s="2"/>
      <c r="N4066" s="2"/>
      <c r="O4066" s="2"/>
      <c r="P4066" s="2"/>
      <c r="Q4066" s="2"/>
      <c r="R4066" s="2"/>
      <c r="S4066" s="2"/>
    </row>
    <row r="4067" spans="1:19" s="1" customFormat="1" ht="12" customHeight="1" outlineLevel="6">
      <c r="A4067" s="64" t="s">
        <v>7821</v>
      </c>
      <c r="B4067" s="64"/>
      <c r="C4067" s="64"/>
      <c r="D4067" s="64"/>
      <c r="E4067" s="64"/>
      <c r="F4067" s="64"/>
      <c r="G4067" s="8"/>
      <c r="H4067" s="12"/>
      <c r="I4067" s="2"/>
      <c r="J4067" s="2"/>
      <c r="K4067" s="13"/>
      <c r="L4067" s="2"/>
      <c r="M4067" s="2"/>
      <c r="N4067" s="2"/>
      <c r="O4067" s="2"/>
      <c r="P4067" s="2"/>
      <c r="Q4067" s="2"/>
      <c r="R4067" s="2"/>
      <c r="S4067" s="2"/>
    </row>
    <row r="4068" spans="1:19" s="2" customFormat="1" ht="96.2" customHeight="1" outlineLevel="7">
      <c r="A4068" s="53">
        <v>3214</v>
      </c>
      <c r="B4068" s="10" t="s">
        <v>13523</v>
      </c>
      <c r="C4068" s="65" t="s">
        <v>13524</v>
      </c>
      <c r="D4068" s="65"/>
      <c r="E4068" s="65"/>
      <c r="F4068" s="65"/>
      <c r="G4068" s="11" t="s">
        <v>13525</v>
      </c>
      <c r="H4068" s="14">
        <v>96</v>
      </c>
      <c r="I4068" s="15"/>
      <c r="J4068" s="9">
        <v>12</v>
      </c>
      <c r="K4068" s="16">
        <v>31.54</v>
      </c>
      <c r="L4068" s="17"/>
      <c r="M4068" s="15">
        <f>K4068*L4068</f>
        <v>0</v>
      </c>
      <c r="N4068" s="18">
        <f>0.043*L4068</f>
        <v>0</v>
      </c>
      <c r="O4068" s="19">
        <f>0.00021*L4068</f>
        <v>0</v>
      </c>
      <c r="P4068" s="24" t="s">
        <v>26</v>
      </c>
      <c r="Q4068" s="15" t="s">
        <v>13526</v>
      </c>
      <c r="R4068" s="15"/>
      <c r="S4068" s="10" t="str">
        <f>HYPERLINK("https://miland.ru/api/getInfo/image/628edfaf-58a7-11f0-a27f-00155d82e908")</f>
        <v>https://miland.ru/api/getInfo/image/628edfaf-58a7-11f0-a27f-00155d82e908</v>
      </c>
    </row>
    <row r="4069" spans="1:19" s="2" customFormat="1" ht="96.2" customHeight="1" outlineLevel="7">
      <c r="A4069" s="53">
        <v>3215</v>
      </c>
      <c r="B4069" s="10" t="s">
        <v>13527</v>
      </c>
      <c r="C4069" s="65" t="s">
        <v>13528</v>
      </c>
      <c r="D4069" s="65"/>
      <c r="E4069" s="65"/>
      <c r="F4069" s="65"/>
      <c r="G4069" s="11" t="s">
        <v>13529</v>
      </c>
      <c r="H4069" s="14">
        <v>120</v>
      </c>
      <c r="I4069" s="15"/>
      <c r="J4069" s="9">
        <v>12</v>
      </c>
      <c r="K4069" s="16">
        <v>31.54</v>
      </c>
      <c r="L4069" s="17"/>
      <c r="M4069" s="15">
        <f>K4069*L4069</f>
        <v>0</v>
      </c>
      <c r="N4069" s="18">
        <f>0.043*L4069</f>
        <v>0</v>
      </c>
      <c r="O4069" s="19">
        <f>0.00021*L4069</f>
        <v>0</v>
      </c>
      <c r="P4069" s="24" t="s">
        <v>26</v>
      </c>
      <c r="Q4069" s="15" t="s">
        <v>13530</v>
      </c>
      <c r="R4069" s="15"/>
      <c r="S4069" s="10" t="str">
        <f>HYPERLINK("https://miland.ru/api/getInfo/image/a032637c-58a7-11f0-a27f-00155d82e908")</f>
        <v>https://miland.ru/api/getInfo/image/a032637c-58a7-11f0-a27f-00155d82e908</v>
      </c>
    </row>
    <row r="4070" spans="1:19" s="2" customFormat="1" ht="96.2" customHeight="1" outlineLevel="7">
      <c r="A4070" s="53">
        <v>3216</v>
      </c>
      <c r="B4070" s="10" t="s">
        <v>13531</v>
      </c>
      <c r="C4070" s="65" t="s">
        <v>13532</v>
      </c>
      <c r="D4070" s="65"/>
      <c r="E4070" s="65"/>
      <c r="F4070" s="65"/>
      <c r="G4070" s="11" t="s">
        <v>13533</v>
      </c>
      <c r="H4070" s="14">
        <v>132</v>
      </c>
      <c r="I4070" s="15"/>
      <c r="J4070" s="9">
        <v>12</v>
      </c>
      <c r="K4070" s="16">
        <v>31.54</v>
      </c>
      <c r="L4070" s="17"/>
      <c r="M4070" s="15">
        <f>K4070*L4070</f>
        <v>0</v>
      </c>
      <c r="N4070" s="18">
        <f>0.043*L4070</f>
        <v>0</v>
      </c>
      <c r="O4070" s="19">
        <f>0.00021*L4070</f>
        <v>0</v>
      </c>
      <c r="P4070" s="24" t="s">
        <v>26</v>
      </c>
      <c r="Q4070" s="15" t="s">
        <v>13534</v>
      </c>
      <c r="R4070" s="15"/>
      <c r="S4070" s="10" t="str">
        <f>HYPERLINK("https://miland.ru/api/getInfo/image/e9ba8319-58a7-11f0-a27f-00155d82e908")</f>
        <v>https://miland.ru/api/getInfo/image/e9ba8319-58a7-11f0-a27f-00155d82e908</v>
      </c>
    </row>
    <row r="4071" spans="1:19" s="1" customFormat="1" ht="12" customHeight="1" outlineLevel="5">
      <c r="A4071" s="64" t="s">
        <v>13535</v>
      </c>
      <c r="B4071" s="64"/>
      <c r="C4071" s="64"/>
      <c r="D4071" s="64"/>
      <c r="E4071" s="64"/>
      <c r="F4071" s="64"/>
      <c r="G4071" s="8"/>
      <c r="H4071" s="12"/>
      <c r="I4071" s="2"/>
      <c r="J4071" s="2"/>
      <c r="K4071" s="13"/>
      <c r="L4071" s="2"/>
      <c r="M4071" s="2"/>
      <c r="N4071" s="2"/>
      <c r="O4071" s="2"/>
      <c r="P4071" s="2"/>
      <c r="Q4071" s="2"/>
      <c r="R4071" s="2"/>
      <c r="S4071" s="2"/>
    </row>
    <row r="4072" spans="1:19" s="2" customFormat="1" ht="96.2" customHeight="1" outlineLevel="6">
      <c r="A4072" s="53">
        <v>3217</v>
      </c>
      <c r="B4072" s="10" t="s">
        <v>13536</v>
      </c>
      <c r="C4072" s="65" t="s">
        <v>13537</v>
      </c>
      <c r="D4072" s="65"/>
      <c r="E4072" s="65"/>
      <c r="F4072" s="65"/>
      <c r="G4072" s="11" t="s">
        <v>13538</v>
      </c>
      <c r="H4072" s="21" t="s">
        <v>44</v>
      </c>
      <c r="I4072" s="15"/>
      <c r="J4072" s="9">
        <v>24</v>
      </c>
      <c r="K4072" s="16">
        <v>31.76</v>
      </c>
      <c r="L4072" s="17"/>
      <c r="M4072" s="15">
        <f>K4072*L4072</f>
        <v>0</v>
      </c>
      <c r="N4072" s="18">
        <f>0.026*L4072</f>
        <v>0</v>
      </c>
      <c r="O4072" s="19">
        <f>0.00019*L4072</f>
        <v>0</v>
      </c>
      <c r="P4072" s="24" t="s">
        <v>26</v>
      </c>
      <c r="Q4072" s="15" t="s">
        <v>13539</v>
      </c>
      <c r="R4072" s="15"/>
      <c r="S4072" s="10" t="str">
        <f>HYPERLINK("https://miland.ru/api/getInfo/image/7b008d01-5902-11f1-a295-00155d82e908")</f>
        <v>https://miland.ru/api/getInfo/image/7b008d01-5902-11f1-a295-00155d82e908</v>
      </c>
    </row>
    <row r="4073" spans="1:19" s="1" customFormat="1" ht="12" customHeight="1" outlineLevel="4">
      <c r="A4073" s="64" t="s">
        <v>7867</v>
      </c>
      <c r="B4073" s="64"/>
      <c r="C4073" s="64"/>
      <c r="D4073" s="64"/>
      <c r="E4073" s="64"/>
      <c r="F4073" s="64"/>
      <c r="G4073" s="8"/>
      <c r="H4073" s="12"/>
      <c r="I4073" s="2"/>
      <c r="J4073" s="2"/>
      <c r="K4073" s="13"/>
      <c r="L4073" s="2"/>
      <c r="M4073" s="2"/>
      <c r="N4073" s="2"/>
      <c r="O4073" s="2"/>
      <c r="P4073" s="2"/>
      <c r="Q4073" s="2"/>
      <c r="R4073" s="2"/>
      <c r="S4073" s="2"/>
    </row>
    <row r="4074" spans="1:19" s="1" customFormat="1" ht="12" customHeight="1" outlineLevel="5">
      <c r="A4074" s="64" t="s">
        <v>13540</v>
      </c>
      <c r="B4074" s="64"/>
      <c r="C4074" s="64"/>
      <c r="D4074" s="64"/>
      <c r="E4074" s="64"/>
      <c r="F4074" s="64"/>
      <c r="G4074" s="8"/>
      <c r="H4074" s="12"/>
      <c r="I4074" s="2"/>
      <c r="J4074" s="2"/>
      <c r="K4074" s="13"/>
      <c r="L4074" s="2"/>
      <c r="M4074" s="2"/>
      <c r="N4074" s="2"/>
      <c r="O4074" s="2"/>
      <c r="P4074" s="2"/>
      <c r="Q4074" s="2"/>
      <c r="R4074" s="2"/>
      <c r="S4074" s="2"/>
    </row>
    <row r="4075" spans="1:19" s="1" customFormat="1" ht="12" customHeight="1" outlineLevel="6">
      <c r="A4075" s="64" t="s">
        <v>13541</v>
      </c>
      <c r="B4075" s="64"/>
      <c r="C4075" s="64"/>
      <c r="D4075" s="64"/>
      <c r="E4075" s="64"/>
      <c r="F4075" s="64"/>
      <c r="G4075" s="8"/>
      <c r="H4075" s="12"/>
      <c r="I4075" s="2"/>
      <c r="J4075" s="2"/>
      <c r="K4075" s="13"/>
      <c r="L4075" s="2"/>
      <c r="M4075" s="2"/>
      <c r="N4075" s="2"/>
      <c r="O4075" s="2"/>
      <c r="P4075" s="2"/>
      <c r="Q4075" s="2"/>
      <c r="R4075" s="2"/>
      <c r="S4075" s="2"/>
    </row>
    <row r="4076" spans="1:19" s="2" customFormat="1" ht="96.2" customHeight="1" outlineLevel="7">
      <c r="A4076" s="53">
        <v>3218</v>
      </c>
      <c r="B4076" s="10" t="s">
        <v>13542</v>
      </c>
      <c r="C4076" s="65" t="s">
        <v>13543</v>
      </c>
      <c r="D4076" s="65"/>
      <c r="E4076" s="65"/>
      <c r="F4076" s="65"/>
      <c r="G4076" s="11" t="s">
        <v>13544</v>
      </c>
      <c r="H4076" s="21" t="s">
        <v>44</v>
      </c>
      <c r="I4076" s="15"/>
      <c r="J4076" s="9">
        <v>12</v>
      </c>
      <c r="K4076" s="16">
        <v>48.33</v>
      </c>
      <c r="L4076" s="17"/>
      <c r="M4076" s="15">
        <f>K4076*L4076</f>
        <v>0</v>
      </c>
      <c r="N4076" s="18">
        <f>0.049*L4076</f>
        <v>0</v>
      </c>
      <c r="O4076" s="19">
        <f>0.00021*L4076</f>
        <v>0</v>
      </c>
      <c r="P4076" s="24" t="s">
        <v>26</v>
      </c>
      <c r="Q4076" s="15" t="s">
        <v>13545</v>
      </c>
      <c r="R4076" s="15"/>
      <c r="S4076" s="10" t="str">
        <f>HYPERLINK("https://miland.ru/api/getInfo/image/02555c80-05b1-11f1-a28f-00155d82e908")</f>
        <v>https://miland.ru/api/getInfo/image/02555c80-05b1-11f1-a28f-00155d82e908</v>
      </c>
    </row>
    <row r="4077" spans="1:19" s="2" customFormat="1" ht="96.2" customHeight="1" outlineLevel="7">
      <c r="A4077" s="53">
        <v>3219</v>
      </c>
      <c r="B4077" s="10" t="s">
        <v>13546</v>
      </c>
      <c r="C4077" s="65" t="s">
        <v>13547</v>
      </c>
      <c r="D4077" s="65"/>
      <c r="E4077" s="65"/>
      <c r="F4077" s="65"/>
      <c r="G4077" s="11" t="s">
        <v>13548</v>
      </c>
      <c r="H4077" s="21" t="s">
        <v>44</v>
      </c>
      <c r="I4077" s="15"/>
      <c r="J4077" s="9">
        <v>12</v>
      </c>
      <c r="K4077" s="16">
        <v>48.33</v>
      </c>
      <c r="L4077" s="17"/>
      <c r="M4077" s="15">
        <f>K4077*L4077</f>
        <v>0</v>
      </c>
      <c r="N4077" s="18">
        <f>0.049*L4077</f>
        <v>0</v>
      </c>
      <c r="O4077" s="19">
        <f>0.00021*L4077</f>
        <v>0</v>
      </c>
      <c r="P4077" s="24" t="s">
        <v>26</v>
      </c>
      <c r="Q4077" s="15" t="s">
        <v>13549</v>
      </c>
      <c r="R4077" s="15"/>
      <c r="S4077" s="10" t="str">
        <f>HYPERLINK("https://miland.ru/api/getInfo/image/f0fedaf4-05af-11f1-a28f-00155d82e908")</f>
        <v>https://miland.ru/api/getInfo/image/f0fedaf4-05af-11f1-a28f-00155d82e908</v>
      </c>
    </row>
    <row r="4078" spans="1:19" s="2" customFormat="1" ht="96.2" customHeight="1" outlineLevel="7">
      <c r="A4078" s="53">
        <v>3220</v>
      </c>
      <c r="B4078" s="10" t="s">
        <v>13550</v>
      </c>
      <c r="C4078" s="65" t="s">
        <v>13551</v>
      </c>
      <c r="D4078" s="65"/>
      <c r="E4078" s="65"/>
      <c r="F4078" s="65"/>
      <c r="G4078" s="11" t="s">
        <v>13552</v>
      </c>
      <c r="H4078" s="21" t="s">
        <v>44</v>
      </c>
      <c r="I4078" s="15"/>
      <c r="J4078" s="9">
        <v>12</v>
      </c>
      <c r="K4078" s="16">
        <v>48.33</v>
      </c>
      <c r="L4078" s="17"/>
      <c r="M4078" s="15">
        <f>K4078*L4078</f>
        <v>0</v>
      </c>
      <c r="N4078" s="18">
        <f>0.049*L4078</f>
        <v>0</v>
      </c>
      <c r="O4078" s="19">
        <f>0.00021*L4078</f>
        <v>0</v>
      </c>
      <c r="P4078" s="24" t="s">
        <v>26</v>
      </c>
      <c r="Q4078" s="15" t="s">
        <v>13553</v>
      </c>
      <c r="R4078" s="15"/>
      <c r="S4078" s="10" t="str">
        <f>HYPERLINK("https://miland.ru/api/getInfo/image/3ff2d582-05b1-11f1-a28f-00155d82e908")</f>
        <v>https://miland.ru/api/getInfo/image/3ff2d582-05b1-11f1-a28f-00155d82e908</v>
      </c>
    </row>
    <row r="4079" spans="1:19" s="2" customFormat="1" ht="96.2" customHeight="1" outlineLevel="7">
      <c r="A4079" s="53">
        <v>3221</v>
      </c>
      <c r="B4079" s="10" t="s">
        <v>13554</v>
      </c>
      <c r="C4079" s="65" t="s">
        <v>13555</v>
      </c>
      <c r="D4079" s="65"/>
      <c r="E4079" s="65"/>
      <c r="F4079" s="65"/>
      <c r="G4079" s="11" t="s">
        <v>13556</v>
      </c>
      <c r="H4079" s="21" t="s">
        <v>44</v>
      </c>
      <c r="I4079" s="15"/>
      <c r="J4079" s="9">
        <v>12</v>
      </c>
      <c r="K4079" s="16">
        <v>48.33</v>
      </c>
      <c r="L4079" s="17"/>
      <c r="M4079" s="15">
        <f>K4079*L4079</f>
        <v>0</v>
      </c>
      <c r="N4079" s="18">
        <f>0.049*L4079</f>
        <v>0</v>
      </c>
      <c r="O4079" s="19">
        <f>0.00021*L4079</f>
        <v>0</v>
      </c>
      <c r="P4079" s="24" t="s">
        <v>26</v>
      </c>
      <c r="Q4079" s="15" t="s">
        <v>13557</v>
      </c>
      <c r="R4079" s="15"/>
      <c r="S4079" s="10" t="str">
        <f>HYPERLINK("https://miland.ru/api/getInfo/image/19d469f2-05b1-11f1-a28f-00155d82e908")</f>
        <v>https://miland.ru/api/getInfo/image/19d469f2-05b1-11f1-a28f-00155d82e908</v>
      </c>
    </row>
    <row r="4080" spans="1:19" s="1" customFormat="1" ht="12" customHeight="1" outlineLevel="6">
      <c r="A4080" s="64" t="s">
        <v>7878</v>
      </c>
      <c r="B4080" s="64"/>
      <c r="C4080" s="64"/>
      <c r="D4080" s="64"/>
      <c r="E4080" s="64"/>
      <c r="F4080" s="64"/>
      <c r="G4080" s="8"/>
      <c r="H4080" s="12"/>
      <c r="I4080" s="2"/>
      <c r="J4080" s="2"/>
      <c r="K4080" s="13"/>
      <c r="L4080" s="2"/>
      <c r="M4080" s="2"/>
      <c r="N4080" s="2"/>
      <c r="O4080" s="2"/>
      <c r="P4080" s="2"/>
      <c r="Q4080" s="2"/>
      <c r="R4080" s="2"/>
      <c r="S4080" s="2"/>
    </row>
    <row r="4081" spans="1:19" s="2" customFormat="1" ht="96.2" customHeight="1" outlineLevel="7">
      <c r="A4081" s="52">
        <v>3222</v>
      </c>
      <c r="B4081" s="26" t="s">
        <v>13558</v>
      </c>
      <c r="C4081" s="66" t="s">
        <v>13559</v>
      </c>
      <c r="D4081" s="66"/>
      <c r="E4081" s="66"/>
      <c r="F4081" s="66"/>
      <c r="G4081" s="27" t="s">
        <v>13560</v>
      </c>
      <c r="H4081" s="33">
        <v>96</v>
      </c>
      <c r="I4081" s="29"/>
      <c r="J4081" s="25">
        <v>12</v>
      </c>
      <c r="K4081" s="30">
        <v>62.39</v>
      </c>
      <c r="L4081" s="17"/>
      <c r="M4081" s="29">
        <f>K4081*L4081</f>
        <v>0</v>
      </c>
      <c r="N4081" s="31">
        <f>0.051*L4081</f>
        <v>0</v>
      </c>
      <c r="O4081" s="32">
        <f>0.00005*L4081</f>
        <v>0</v>
      </c>
      <c r="P4081" s="36"/>
      <c r="Q4081" s="29" t="s">
        <v>13561</v>
      </c>
      <c r="R4081" s="29"/>
      <c r="S4081" s="26" t="str">
        <f>HYPERLINK("https://miland.ru/api/getInfo/image/c9056121-24c2-11f0-a279-00155d82e908")</f>
        <v>https://miland.ru/api/getInfo/image/c9056121-24c2-11f0-a279-00155d82e908</v>
      </c>
    </row>
    <row r="4082" spans="1:19" s="2" customFormat="1" ht="96.2" customHeight="1" outlineLevel="7">
      <c r="A4082" s="52">
        <v>3223</v>
      </c>
      <c r="B4082" s="26" t="s">
        <v>13562</v>
      </c>
      <c r="C4082" s="66" t="s">
        <v>13563</v>
      </c>
      <c r="D4082" s="66"/>
      <c r="E4082" s="66"/>
      <c r="F4082" s="66"/>
      <c r="G4082" s="27" t="s">
        <v>13564</v>
      </c>
      <c r="H4082" s="28" t="s">
        <v>44</v>
      </c>
      <c r="I4082" s="29"/>
      <c r="J4082" s="25">
        <v>12</v>
      </c>
      <c r="K4082" s="30">
        <v>62.39</v>
      </c>
      <c r="L4082" s="17"/>
      <c r="M4082" s="29">
        <f>K4082*L4082</f>
        <v>0</v>
      </c>
      <c r="N4082" s="31">
        <f>0.056*L4082</f>
        <v>0</v>
      </c>
      <c r="O4082" s="32">
        <f>0.00035*L4082</f>
        <v>0</v>
      </c>
      <c r="P4082" s="36"/>
      <c r="Q4082" s="29" t="s">
        <v>13565</v>
      </c>
      <c r="R4082" s="29"/>
      <c r="S4082" s="26" t="str">
        <f>HYPERLINK("https://miland.ru/api/getInfo/image/b35c5ff9-edd3-11ef-a274-00155d82e908")</f>
        <v>https://miland.ru/api/getInfo/image/b35c5ff9-edd3-11ef-a274-00155d82e908</v>
      </c>
    </row>
    <row r="4083" spans="1:19" s="1" customFormat="1" ht="12" customHeight="1" outlineLevel="6">
      <c r="A4083" s="64" t="s">
        <v>13566</v>
      </c>
      <c r="B4083" s="64"/>
      <c r="C4083" s="64"/>
      <c r="D4083" s="64"/>
      <c r="E4083" s="64"/>
      <c r="F4083" s="64"/>
      <c r="G4083" s="8"/>
      <c r="H4083" s="12"/>
      <c r="I4083" s="2"/>
      <c r="J4083" s="2"/>
      <c r="K4083" s="13"/>
      <c r="L4083" s="2"/>
      <c r="M4083" s="2"/>
      <c r="N4083" s="2"/>
      <c r="O4083" s="2"/>
      <c r="P4083" s="2"/>
      <c r="Q4083" s="2"/>
      <c r="R4083" s="2"/>
      <c r="S4083" s="2"/>
    </row>
    <row r="4084" spans="1:19" s="2" customFormat="1" ht="96.2" customHeight="1" outlineLevel="7">
      <c r="A4084" s="52">
        <v>3224</v>
      </c>
      <c r="B4084" s="26" t="s">
        <v>13567</v>
      </c>
      <c r="C4084" s="66" t="s">
        <v>13568</v>
      </c>
      <c r="D4084" s="66"/>
      <c r="E4084" s="66"/>
      <c r="F4084" s="66"/>
      <c r="G4084" s="27" t="s">
        <v>13569</v>
      </c>
      <c r="H4084" s="33">
        <v>144</v>
      </c>
      <c r="I4084" s="29"/>
      <c r="J4084" s="25">
        <v>12</v>
      </c>
      <c r="K4084" s="30">
        <v>51.17</v>
      </c>
      <c r="L4084" s="17"/>
      <c r="M4084" s="29">
        <f>K4084*L4084</f>
        <v>0</v>
      </c>
      <c r="N4084" s="31">
        <f>0.046*L4084</f>
        <v>0</v>
      </c>
      <c r="O4084" s="32">
        <f>0.00013*L4084</f>
        <v>0</v>
      </c>
      <c r="P4084" s="36"/>
      <c r="Q4084" s="29" t="s">
        <v>13570</v>
      </c>
      <c r="R4084" s="29" t="s">
        <v>611</v>
      </c>
      <c r="S4084" s="26" t="str">
        <f>HYPERLINK("https://miland.ru/api/getInfo/image/1599f653-f57d-11ee-a25b-00155d82e908")</f>
        <v>https://miland.ru/api/getInfo/image/1599f653-f57d-11ee-a25b-00155d82e908</v>
      </c>
    </row>
    <row r="4085" spans="1:19" s="2" customFormat="1" ht="96.2" customHeight="1" outlineLevel="7">
      <c r="A4085" s="53">
        <v>3225</v>
      </c>
      <c r="B4085" s="10" t="s">
        <v>13571</v>
      </c>
      <c r="C4085" s="65" t="s">
        <v>13572</v>
      </c>
      <c r="D4085" s="65"/>
      <c r="E4085" s="65"/>
      <c r="F4085" s="65"/>
      <c r="G4085" s="11" t="s">
        <v>13573</v>
      </c>
      <c r="H4085" s="21" t="s">
        <v>44</v>
      </c>
      <c r="I4085" s="15"/>
      <c r="J4085" s="9">
        <v>12</v>
      </c>
      <c r="K4085" s="16">
        <v>38.94</v>
      </c>
      <c r="L4085" s="17"/>
      <c r="M4085" s="15">
        <f>K4085*L4085</f>
        <v>0</v>
      </c>
      <c r="N4085" s="18">
        <f>0.028*L4085</f>
        <v>0</v>
      </c>
      <c r="O4085" s="19">
        <f>0.00023*L4085</f>
        <v>0</v>
      </c>
      <c r="P4085" s="24" t="s">
        <v>26</v>
      </c>
      <c r="Q4085" s="15" t="s">
        <v>13574</v>
      </c>
      <c r="R4085" s="15"/>
      <c r="S4085" s="10" t="str">
        <f>HYPERLINK("https://miland.ru/api/getInfo/image/d3fcaee9-58a8-11f0-a27f-00155d82e908")</f>
        <v>https://miland.ru/api/getInfo/image/d3fcaee9-58a8-11f0-a27f-00155d82e908</v>
      </c>
    </row>
    <row r="4086" spans="1:19" s="2" customFormat="1" ht="96.2" customHeight="1" outlineLevel="7">
      <c r="A4086" s="53">
        <v>3226</v>
      </c>
      <c r="B4086" s="10" t="s">
        <v>13575</v>
      </c>
      <c r="C4086" s="65" t="s">
        <v>13576</v>
      </c>
      <c r="D4086" s="65"/>
      <c r="E4086" s="65"/>
      <c r="F4086" s="65"/>
      <c r="G4086" s="11" t="s">
        <v>13577</v>
      </c>
      <c r="H4086" s="14">
        <v>312</v>
      </c>
      <c r="I4086" s="15"/>
      <c r="J4086" s="9">
        <v>12</v>
      </c>
      <c r="K4086" s="16">
        <v>38.94</v>
      </c>
      <c r="L4086" s="17"/>
      <c r="M4086" s="15">
        <f>K4086*L4086</f>
        <v>0</v>
      </c>
      <c r="N4086" s="18">
        <f>0.028*L4086</f>
        <v>0</v>
      </c>
      <c r="O4086" s="19">
        <f>0.00023*L4086</f>
        <v>0</v>
      </c>
      <c r="P4086" s="24" t="s">
        <v>26</v>
      </c>
      <c r="Q4086" s="15" t="s">
        <v>13578</v>
      </c>
      <c r="R4086" s="15"/>
      <c r="S4086" s="10" t="str">
        <f>HYPERLINK("https://miland.ru/api/getInfo/image/2923fc91-58a9-11f0-a27f-00155d82e908")</f>
        <v>https://miland.ru/api/getInfo/image/2923fc91-58a9-11f0-a27f-00155d82e908</v>
      </c>
    </row>
    <row r="4087" spans="1:19" s="2" customFormat="1" ht="96.2" customHeight="1" outlineLevel="7">
      <c r="A4087" s="53">
        <v>3227</v>
      </c>
      <c r="B4087" s="10" t="s">
        <v>13579</v>
      </c>
      <c r="C4087" s="65" t="s">
        <v>13580</v>
      </c>
      <c r="D4087" s="65"/>
      <c r="E4087" s="65"/>
      <c r="F4087" s="65"/>
      <c r="G4087" s="11" t="s">
        <v>13581</v>
      </c>
      <c r="H4087" s="21" t="s">
        <v>44</v>
      </c>
      <c r="I4087" s="15"/>
      <c r="J4087" s="9">
        <v>12</v>
      </c>
      <c r="K4087" s="16">
        <v>38.96</v>
      </c>
      <c r="L4087" s="17"/>
      <c r="M4087" s="15">
        <f>K4087*L4087</f>
        <v>0</v>
      </c>
      <c r="N4087" s="18">
        <f>0.028*L4087</f>
        <v>0</v>
      </c>
      <c r="O4087" s="19">
        <f>0.00023*L4087</f>
        <v>0</v>
      </c>
      <c r="P4087" s="24" t="s">
        <v>26</v>
      </c>
      <c r="Q4087" s="15" t="s">
        <v>13582</v>
      </c>
      <c r="R4087" s="15"/>
      <c r="S4087" s="10" t="str">
        <f>HYPERLINK("https://miland.ru/api/getInfo/image/a41f309d-58a9-11f0-a27f-00155d82e908")</f>
        <v>https://miland.ru/api/getInfo/image/a41f309d-58a9-11f0-a27f-00155d82e908</v>
      </c>
    </row>
    <row r="4088" spans="1:19" s="2" customFormat="1" ht="96.2" customHeight="1" outlineLevel="7">
      <c r="A4088" s="53">
        <v>3228</v>
      </c>
      <c r="B4088" s="10" t="s">
        <v>13583</v>
      </c>
      <c r="C4088" s="65" t="s">
        <v>13584</v>
      </c>
      <c r="D4088" s="65"/>
      <c r="E4088" s="65"/>
      <c r="F4088" s="65"/>
      <c r="G4088" s="11" t="s">
        <v>13585</v>
      </c>
      <c r="H4088" s="14">
        <v>444</v>
      </c>
      <c r="I4088" s="15"/>
      <c r="J4088" s="9">
        <v>12</v>
      </c>
      <c r="K4088" s="16">
        <v>38.94</v>
      </c>
      <c r="L4088" s="17"/>
      <c r="M4088" s="15">
        <f>K4088*L4088</f>
        <v>0</v>
      </c>
      <c r="N4088" s="18">
        <f>0.028*L4088</f>
        <v>0</v>
      </c>
      <c r="O4088" s="19">
        <f>0.00023*L4088</f>
        <v>0</v>
      </c>
      <c r="P4088" s="24" t="s">
        <v>26</v>
      </c>
      <c r="Q4088" s="15" t="s">
        <v>13586</v>
      </c>
      <c r="R4088" s="15"/>
      <c r="S4088" s="10" t="str">
        <f>HYPERLINK("https://miland.ru/api/getInfo/image/6640ec30-58a9-11f0-a27f-00155d82e908")</f>
        <v>https://miland.ru/api/getInfo/image/6640ec30-58a9-11f0-a27f-00155d82e908</v>
      </c>
    </row>
    <row r="4089" spans="1:19" s="1" customFormat="1" ht="12" customHeight="1" outlineLevel="5">
      <c r="A4089" s="64" t="s">
        <v>13535</v>
      </c>
      <c r="B4089" s="64"/>
      <c r="C4089" s="64"/>
      <c r="D4089" s="64"/>
      <c r="E4089" s="64"/>
      <c r="F4089" s="64"/>
      <c r="G4089" s="8"/>
      <c r="H4089" s="12"/>
      <c r="I4089" s="2"/>
      <c r="J4089" s="2"/>
      <c r="K4089" s="13"/>
      <c r="L4089" s="2"/>
      <c r="M4089" s="2"/>
      <c r="N4089" s="2"/>
      <c r="O4089" s="2"/>
      <c r="P4089" s="2"/>
      <c r="Q4089" s="2"/>
      <c r="R4089" s="2"/>
      <c r="S4089" s="2"/>
    </row>
    <row r="4090" spans="1:19" s="1" customFormat="1" ht="12" customHeight="1" outlineLevel="6">
      <c r="A4090" s="64" t="s">
        <v>13587</v>
      </c>
      <c r="B4090" s="64"/>
      <c r="C4090" s="64"/>
      <c r="D4090" s="64"/>
      <c r="E4090" s="64"/>
      <c r="F4090" s="64"/>
      <c r="G4090" s="8"/>
      <c r="H4090" s="12"/>
      <c r="I4090" s="2"/>
      <c r="J4090" s="2"/>
      <c r="K4090" s="13"/>
      <c r="L4090" s="2"/>
      <c r="M4090" s="2"/>
      <c r="N4090" s="2"/>
      <c r="O4090" s="2"/>
      <c r="P4090" s="2"/>
      <c r="Q4090" s="2"/>
      <c r="R4090" s="2"/>
      <c r="S4090" s="2"/>
    </row>
    <row r="4091" spans="1:19" s="2" customFormat="1" ht="96.2" customHeight="1" outlineLevel="7">
      <c r="A4091" s="53">
        <v>3229</v>
      </c>
      <c r="B4091" s="10" t="s">
        <v>13588</v>
      </c>
      <c r="C4091" s="65" t="s">
        <v>13589</v>
      </c>
      <c r="D4091" s="65"/>
      <c r="E4091" s="65"/>
      <c r="F4091" s="65"/>
      <c r="G4091" s="11" t="s">
        <v>13590</v>
      </c>
      <c r="H4091" s="21" t="s">
        <v>44</v>
      </c>
      <c r="I4091" s="15"/>
      <c r="J4091" s="9">
        <v>24</v>
      </c>
      <c r="K4091" s="16">
        <v>29.08</v>
      </c>
      <c r="L4091" s="17"/>
      <c r="M4091" s="15">
        <f>K4091*L4091</f>
        <v>0</v>
      </c>
      <c r="N4091" s="18">
        <f>0.036*L4091</f>
        <v>0</v>
      </c>
      <c r="O4091" s="19">
        <f>0.00071*L4091</f>
        <v>0</v>
      </c>
      <c r="P4091" s="24" t="s">
        <v>26</v>
      </c>
      <c r="Q4091" s="15" t="s">
        <v>13591</v>
      </c>
      <c r="R4091" s="15"/>
      <c r="S4091" s="10" t="str">
        <f>HYPERLINK("https://miland.ru/api/getInfo/image/7c83965c-05b5-11f1-a28f-00155d82e908")</f>
        <v>https://miland.ru/api/getInfo/image/7c83965c-05b5-11f1-a28f-00155d82e908</v>
      </c>
    </row>
    <row r="4092" spans="1:19" s="2" customFormat="1" ht="96.2" customHeight="1" outlineLevel="7">
      <c r="A4092" s="53">
        <v>3230</v>
      </c>
      <c r="B4092" s="10" t="s">
        <v>13592</v>
      </c>
      <c r="C4092" s="65" t="s">
        <v>13593</v>
      </c>
      <c r="D4092" s="65"/>
      <c r="E4092" s="65"/>
      <c r="F4092" s="65"/>
      <c r="G4092" s="11" t="s">
        <v>13594</v>
      </c>
      <c r="H4092" s="21" t="s">
        <v>44</v>
      </c>
      <c r="I4092" s="15"/>
      <c r="J4092" s="9">
        <v>24</v>
      </c>
      <c r="K4092" s="16">
        <v>29.08</v>
      </c>
      <c r="L4092" s="17"/>
      <c r="M4092" s="15">
        <f>K4092*L4092</f>
        <v>0</v>
      </c>
      <c r="N4092" s="18">
        <f>0.051*L4092</f>
        <v>0</v>
      </c>
      <c r="O4092" s="19">
        <f>0.00016*L4092</f>
        <v>0</v>
      </c>
      <c r="P4092" s="24" t="s">
        <v>26</v>
      </c>
      <c r="Q4092" s="15" t="s">
        <v>13595</v>
      </c>
      <c r="R4092" s="15"/>
      <c r="S4092" s="10" t="str">
        <f>HYPERLINK("https://miland.ru/api/getInfo/image/6810890d-05b5-11f1-a28f-00155d82e908")</f>
        <v>https://miland.ru/api/getInfo/image/6810890d-05b5-11f1-a28f-00155d82e908</v>
      </c>
    </row>
    <row r="4093" spans="1:19" s="1" customFormat="1" ht="12" customHeight="1" outlineLevel="5">
      <c r="A4093" s="64" t="s">
        <v>13596</v>
      </c>
      <c r="B4093" s="64"/>
      <c r="C4093" s="64"/>
      <c r="D4093" s="64"/>
      <c r="E4093" s="64"/>
      <c r="F4093" s="64"/>
      <c r="G4093" s="8"/>
      <c r="H4093" s="12"/>
      <c r="I4093" s="2"/>
      <c r="J4093" s="2"/>
      <c r="K4093" s="13"/>
      <c r="L4093" s="2"/>
      <c r="M4093" s="2"/>
      <c r="N4093" s="2"/>
      <c r="O4093" s="2"/>
      <c r="P4093" s="2"/>
      <c r="Q4093" s="2"/>
      <c r="R4093" s="2"/>
      <c r="S4093" s="2"/>
    </row>
    <row r="4094" spans="1:19" s="1" customFormat="1" ht="12" customHeight="1" outlineLevel="6">
      <c r="A4094" s="64" t="s">
        <v>8093</v>
      </c>
      <c r="B4094" s="64"/>
      <c r="C4094" s="64"/>
      <c r="D4094" s="64"/>
      <c r="E4094" s="64"/>
      <c r="F4094" s="64"/>
      <c r="G4094" s="8"/>
      <c r="H4094" s="12"/>
      <c r="I4094" s="2"/>
      <c r="J4094" s="2"/>
      <c r="K4094" s="13"/>
      <c r="L4094" s="2"/>
      <c r="M4094" s="2"/>
      <c r="N4094" s="2"/>
      <c r="O4094" s="2"/>
      <c r="P4094" s="2"/>
      <c r="Q4094" s="2"/>
      <c r="R4094" s="2"/>
      <c r="S4094" s="2"/>
    </row>
    <row r="4095" spans="1:19" s="2" customFormat="1" ht="96.2" customHeight="1" outlineLevel="7">
      <c r="A4095" s="53">
        <v>3231</v>
      </c>
      <c r="B4095" s="10" t="s">
        <v>13597</v>
      </c>
      <c r="C4095" s="65" t="s">
        <v>13598</v>
      </c>
      <c r="D4095" s="65"/>
      <c r="E4095" s="65"/>
      <c r="F4095" s="65"/>
      <c r="G4095" s="11" t="s">
        <v>13599</v>
      </c>
      <c r="H4095" s="21" t="s">
        <v>44</v>
      </c>
      <c r="I4095" s="15"/>
      <c r="J4095" s="9">
        <v>12</v>
      </c>
      <c r="K4095" s="16">
        <v>30.3</v>
      </c>
      <c r="L4095" s="17"/>
      <c r="M4095" s="15">
        <f t="shared" ref="M4095:M4103" si="195">K4095*L4095</f>
        <v>0</v>
      </c>
      <c r="N4095" s="18">
        <f>0.028*L4095</f>
        <v>0</v>
      </c>
      <c r="O4095" s="19">
        <f>0.00023*L4095</f>
        <v>0</v>
      </c>
      <c r="P4095" s="24" t="s">
        <v>26</v>
      </c>
      <c r="Q4095" s="15" t="s">
        <v>13600</v>
      </c>
      <c r="R4095" s="15"/>
      <c r="S4095" s="10" t="str">
        <f>HYPERLINK("https://miland.ru/api/getInfo/image/00aaf03f-58ad-11f0-a27f-00155d82e908")</f>
        <v>https://miland.ru/api/getInfo/image/00aaf03f-58ad-11f0-a27f-00155d82e908</v>
      </c>
    </row>
    <row r="4096" spans="1:19" s="2" customFormat="1" ht="96.2" customHeight="1" outlineLevel="7">
      <c r="A4096" s="53">
        <v>3232</v>
      </c>
      <c r="B4096" s="10" t="s">
        <v>13601</v>
      </c>
      <c r="C4096" s="65" t="s">
        <v>13602</v>
      </c>
      <c r="D4096" s="65"/>
      <c r="E4096" s="65"/>
      <c r="F4096" s="65"/>
      <c r="G4096" s="11" t="s">
        <v>13603</v>
      </c>
      <c r="H4096" s="21" t="s">
        <v>44</v>
      </c>
      <c r="I4096" s="15"/>
      <c r="J4096" s="9">
        <v>12</v>
      </c>
      <c r="K4096" s="16">
        <v>30.3</v>
      </c>
      <c r="L4096" s="17"/>
      <c r="M4096" s="15">
        <f t="shared" si="195"/>
        <v>0</v>
      </c>
      <c r="N4096" s="18">
        <f>0.028*L4096</f>
        <v>0</v>
      </c>
      <c r="O4096" s="19">
        <f>0.00023*L4096</f>
        <v>0</v>
      </c>
      <c r="P4096" s="24" t="s">
        <v>26</v>
      </c>
      <c r="Q4096" s="15" t="s">
        <v>13604</v>
      </c>
      <c r="R4096" s="15"/>
      <c r="S4096" s="10" t="str">
        <f>HYPERLINK("https://miland.ru/api/getInfo/image/5d25c741-58ad-11f0-a27f-00155d82e908")</f>
        <v>https://miland.ru/api/getInfo/image/5d25c741-58ad-11f0-a27f-00155d82e908</v>
      </c>
    </row>
    <row r="4097" spans="1:19" s="2" customFormat="1" ht="96.2" customHeight="1" outlineLevel="7">
      <c r="A4097" s="53">
        <v>3233</v>
      </c>
      <c r="B4097" s="10" t="s">
        <v>13605</v>
      </c>
      <c r="C4097" s="65" t="s">
        <v>13606</v>
      </c>
      <c r="D4097" s="65"/>
      <c r="E4097" s="65"/>
      <c r="F4097" s="65"/>
      <c r="G4097" s="11" t="s">
        <v>13607</v>
      </c>
      <c r="H4097" s="21" t="s">
        <v>44</v>
      </c>
      <c r="I4097" s="15"/>
      <c r="J4097" s="9">
        <v>12</v>
      </c>
      <c r="K4097" s="16">
        <v>30.3</v>
      </c>
      <c r="L4097" s="17"/>
      <c r="M4097" s="15">
        <f t="shared" si="195"/>
        <v>0</v>
      </c>
      <c r="N4097" s="18">
        <f>0.028*L4097</f>
        <v>0</v>
      </c>
      <c r="O4097" s="19">
        <f>0.00023*L4097</f>
        <v>0</v>
      </c>
      <c r="P4097" s="24" t="s">
        <v>26</v>
      </c>
      <c r="Q4097" s="15" t="s">
        <v>13608</v>
      </c>
      <c r="R4097" s="15"/>
      <c r="S4097" s="10" t="str">
        <f>HYPERLINK("https://miland.ru/api/getInfo/image/c0a301aa-58ad-11f0-a27f-00155d82e908")</f>
        <v>https://miland.ru/api/getInfo/image/c0a301aa-58ad-11f0-a27f-00155d82e908</v>
      </c>
    </row>
    <row r="4098" spans="1:19" s="2" customFormat="1" ht="96.2" customHeight="1" outlineLevel="7">
      <c r="A4098" s="53">
        <v>3234</v>
      </c>
      <c r="B4098" s="10" t="s">
        <v>13609</v>
      </c>
      <c r="C4098" s="65" t="s">
        <v>13610</v>
      </c>
      <c r="D4098" s="65"/>
      <c r="E4098" s="65"/>
      <c r="F4098" s="65"/>
      <c r="G4098" s="11" t="s">
        <v>13611</v>
      </c>
      <c r="H4098" s="21" t="s">
        <v>44</v>
      </c>
      <c r="I4098" s="15"/>
      <c r="J4098" s="9">
        <v>12</v>
      </c>
      <c r="K4098" s="16">
        <v>38.46</v>
      </c>
      <c r="L4098" s="17"/>
      <c r="M4098" s="15">
        <f t="shared" si="195"/>
        <v>0</v>
      </c>
      <c r="N4098" s="18">
        <f>0.031*L4098</f>
        <v>0</v>
      </c>
      <c r="O4098" s="19">
        <f>0.00012*L4098</f>
        <v>0</v>
      </c>
      <c r="P4098" s="24" t="s">
        <v>26</v>
      </c>
      <c r="Q4098" s="15" t="s">
        <v>13612</v>
      </c>
      <c r="R4098" s="15"/>
      <c r="S4098" s="10" t="str">
        <f>HYPERLINK("https://miland.ru/api/getInfo/image/7af49dcc-728e-11f0-a284-00155d82e908")</f>
        <v>https://miland.ru/api/getInfo/image/7af49dcc-728e-11f0-a284-00155d82e908</v>
      </c>
    </row>
    <row r="4099" spans="1:19" s="2" customFormat="1" ht="96.2" customHeight="1" outlineLevel="7">
      <c r="A4099" s="53">
        <v>3235</v>
      </c>
      <c r="B4099" s="10" t="s">
        <v>13613</v>
      </c>
      <c r="C4099" s="65" t="s">
        <v>13614</v>
      </c>
      <c r="D4099" s="65"/>
      <c r="E4099" s="65"/>
      <c r="F4099" s="65"/>
      <c r="G4099" s="11" t="s">
        <v>13615</v>
      </c>
      <c r="H4099" s="21" t="s">
        <v>44</v>
      </c>
      <c r="I4099" s="15"/>
      <c r="J4099" s="9">
        <v>12</v>
      </c>
      <c r="K4099" s="16">
        <v>38.46</v>
      </c>
      <c r="L4099" s="17"/>
      <c r="M4099" s="15">
        <f t="shared" si="195"/>
        <v>0</v>
      </c>
      <c r="N4099" s="18">
        <f>0.031*L4099</f>
        <v>0</v>
      </c>
      <c r="O4099" s="19">
        <f>0.00017*L4099</f>
        <v>0</v>
      </c>
      <c r="P4099" s="24" t="s">
        <v>26</v>
      </c>
      <c r="Q4099" s="15" t="s">
        <v>13616</v>
      </c>
      <c r="R4099" s="15"/>
      <c r="S4099" s="10" t="str">
        <f>HYPERLINK("https://miland.ru/api/getInfo/image/c1f0e095-728e-11f0-a284-00155d82e908")</f>
        <v>https://miland.ru/api/getInfo/image/c1f0e095-728e-11f0-a284-00155d82e908</v>
      </c>
    </row>
    <row r="4100" spans="1:19" s="2" customFormat="1" ht="96.2" customHeight="1" outlineLevel="7">
      <c r="A4100" s="53">
        <v>3236</v>
      </c>
      <c r="B4100" s="10" t="s">
        <v>13617</v>
      </c>
      <c r="C4100" s="65" t="s">
        <v>13618</v>
      </c>
      <c r="D4100" s="65"/>
      <c r="E4100" s="65"/>
      <c r="F4100" s="65"/>
      <c r="G4100" s="11" t="s">
        <v>13619</v>
      </c>
      <c r="H4100" s="21" t="s">
        <v>44</v>
      </c>
      <c r="I4100" s="15"/>
      <c r="J4100" s="9">
        <v>12</v>
      </c>
      <c r="K4100" s="16">
        <v>38.46</v>
      </c>
      <c r="L4100" s="17"/>
      <c r="M4100" s="15">
        <f t="shared" si="195"/>
        <v>0</v>
      </c>
      <c r="N4100" s="18">
        <f>0.031*L4100</f>
        <v>0</v>
      </c>
      <c r="O4100" s="19">
        <f>0.00017*L4100</f>
        <v>0</v>
      </c>
      <c r="P4100" s="24" t="s">
        <v>26</v>
      </c>
      <c r="Q4100" s="15" t="s">
        <v>13620</v>
      </c>
      <c r="R4100" s="15"/>
      <c r="S4100" s="10" t="str">
        <f>HYPERLINK("https://miland.ru/api/getInfo/image/3a9cce73-728e-11f0-a284-00155d82e908")</f>
        <v>https://miland.ru/api/getInfo/image/3a9cce73-728e-11f0-a284-00155d82e908</v>
      </c>
    </row>
    <row r="4101" spans="1:19" s="2" customFormat="1" ht="96.2" customHeight="1" outlineLevel="7">
      <c r="A4101" s="53">
        <v>3237</v>
      </c>
      <c r="B4101" s="10" t="s">
        <v>13621</v>
      </c>
      <c r="C4101" s="65" t="s">
        <v>13622</v>
      </c>
      <c r="D4101" s="65"/>
      <c r="E4101" s="65"/>
      <c r="F4101" s="65"/>
      <c r="G4101" s="11" t="s">
        <v>13623</v>
      </c>
      <c r="H4101" s="21" t="s">
        <v>44</v>
      </c>
      <c r="I4101" s="15"/>
      <c r="J4101" s="9">
        <v>12</v>
      </c>
      <c r="K4101" s="16">
        <v>38.46</v>
      </c>
      <c r="L4101" s="17"/>
      <c r="M4101" s="15">
        <f t="shared" si="195"/>
        <v>0</v>
      </c>
      <c r="N4101" s="18">
        <f>0.031*L4101</f>
        <v>0</v>
      </c>
      <c r="O4101" s="19">
        <f>0.00012*L4101</f>
        <v>0</v>
      </c>
      <c r="P4101" s="24" t="s">
        <v>26</v>
      </c>
      <c r="Q4101" s="15" t="s">
        <v>13624</v>
      </c>
      <c r="R4101" s="15"/>
      <c r="S4101" s="10" t="str">
        <f>HYPERLINK("https://miland.ru/api/getInfo/image/54cfd91d-728e-11f0-a284-00155d82e908")</f>
        <v>https://miland.ru/api/getInfo/image/54cfd91d-728e-11f0-a284-00155d82e908</v>
      </c>
    </row>
    <row r="4102" spans="1:19" s="2" customFormat="1" ht="96.2" customHeight="1" outlineLevel="7">
      <c r="A4102" s="53">
        <v>3238</v>
      </c>
      <c r="B4102" s="10" t="s">
        <v>13625</v>
      </c>
      <c r="C4102" s="65" t="s">
        <v>13626</v>
      </c>
      <c r="D4102" s="65"/>
      <c r="E4102" s="65"/>
      <c r="F4102" s="65"/>
      <c r="G4102" s="11" t="s">
        <v>13627</v>
      </c>
      <c r="H4102" s="21" t="s">
        <v>44</v>
      </c>
      <c r="I4102" s="15"/>
      <c r="J4102" s="9">
        <v>12</v>
      </c>
      <c r="K4102" s="16">
        <v>38.46</v>
      </c>
      <c r="L4102" s="17"/>
      <c r="M4102" s="15">
        <f t="shared" si="195"/>
        <v>0</v>
      </c>
      <c r="N4102" s="18">
        <f>0.031*L4102</f>
        <v>0</v>
      </c>
      <c r="O4102" s="19">
        <f>0.00017*L4102</f>
        <v>0</v>
      </c>
      <c r="P4102" s="24" t="s">
        <v>26</v>
      </c>
      <c r="Q4102" s="15" t="s">
        <v>13628</v>
      </c>
      <c r="R4102" s="15"/>
      <c r="S4102" s="10" t="str">
        <f>HYPERLINK("https://miland.ru/api/getInfo/image/66c53205-728e-11f0-a284-00155d82e908")</f>
        <v>https://miland.ru/api/getInfo/image/66c53205-728e-11f0-a284-00155d82e908</v>
      </c>
    </row>
    <row r="4103" spans="1:19" s="2" customFormat="1" ht="96.2" customHeight="1" outlineLevel="7">
      <c r="A4103" s="53">
        <v>3239</v>
      </c>
      <c r="B4103" s="10" t="s">
        <v>13629</v>
      </c>
      <c r="C4103" s="65" t="s">
        <v>13630</v>
      </c>
      <c r="D4103" s="65"/>
      <c r="E4103" s="65"/>
      <c r="F4103" s="65"/>
      <c r="G4103" s="11" t="s">
        <v>13631</v>
      </c>
      <c r="H4103" s="21" t="s">
        <v>44</v>
      </c>
      <c r="I4103" s="15"/>
      <c r="J4103" s="9">
        <v>12</v>
      </c>
      <c r="K4103" s="16">
        <v>38.46</v>
      </c>
      <c r="L4103" s="17"/>
      <c r="M4103" s="15">
        <f t="shared" si="195"/>
        <v>0</v>
      </c>
      <c r="N4103" s="18">
        <f>0.032*L4103</f>
        <v>0</v>
      </c>
      <c r="O4103" s="19">
        <f>0.00012*L4103</f>
        <v>0</v>
      </c>
      <c r="P4103" s="24" t="s">
        <v>26</v>
      </c>
      <c r="Q4103" s="15" t="s">
        <v>13632</v>
      </c>
      <c r="R4103" s="15"/>
      <c r="S4103" s="10" t="str">
        <f>HYPERLINK("https://miland.ru/api/getInfo/image/946b35b5-728e-11f0-a284-00155d82e908")</f>
        <v>https://miland.ru/api/getInfo/image/946b35b5-728e-11f0-a284-00155d82e908</v>
      </c>
    </row>
    <row r="4104" spans="1:19" s="1" customFormat="1" ht="12" customHeight="1" outlineLevel="6">
      <c r="A4104" s="64" t="s">
        <v>13633</v>
      </c>
      <c r="B4104" s="64"/>
      <c r="C4104" s="64"/>
      <c r="D4104" s="64"/>
      <c r="E4104" s="64"/>
      <c r="F4104" s="64"/>
      <c r="G4104" s="8"/>
      <c r="H4104" s="12"/>
      <c r="I4104" s="2"/>
      <c r="J4104" s="2"/>
      <c r="K4104" s="13"/>
      <c r="L4104" s="2"/>
      <c r="M4104" s="2"/>
      <c r="N4104" s="2"/>
      <c r="O4104" s="2"/>
      <c r="P4104" s="2"/>
      <c r="Q4104" s="2"/>
      <c r="R4104" s="2"/>
      <c r="S4104" s="2"/>
    </row>
    <row r="4105" spans="1:19" s="2" customFormat="1" ht="96.2" customHeight="1" outlineLevel="7">
      <c r="A4105" s="53">
        <v>3240</v>
      </c>
      <c r="B4105" s="10" t="s">
        <v>13634</v>
      </c>
      <c r="C4105" s="65" t="s">
        <v>13635</v>
      </c>
      <c r="D4105" s="65"/>
      <c r="E4105" s="65"/>
      <c r="F4105" s="65"/>
      <c r="G4105" s="11" t="s">
        <v>13636</v>
      </c>
      <c r="H4105" s="21" t="s">
        <v>44</v>
      </c>
      <c r="I4105" s="15"/>
      <c r="J4105" s="9">
        <v>24</v>
      </c>
      <c r="K4105" s="16">
        <v>30.31</v>
      </c>
      <c r="L4105" s="17"/>
      <c r="M4105" s="15">
        <f>K4105*L4105</f>
        <v>0</v>
      </c>
      <c r="N4105" s="18">
        <f>0.032*L4105</f>
        <v>0</v>
      </c>
      <c r="O4105" s="19">
        <f>0.00036*L4105</f>
        <v>0</v>
      </c>
      <c r="P4105" s="24" t="s">
        <v>26</v>
      </c>
      <c r="Q4105" s="15" t="s">
        <v>13637</v>
      </c>
      <c r="R4105" s="15"/>
      <c r="S4105" s="10" t="str">
        <f>HYPERLINK("https://miland.ru/api/getInfo/image/2f09b11b-05b6-11f1-a28f-00155d82e908")</f>
        <v>https://miland.ru/api/getInfo/image/2f09b11b-05b6-11f1-a28f-00155d82e908</v>
      </c>
    </row>
    <row r="4106" spans="1:19" s="2" customFormat="1" ht="96.2" customHeight="1" outlineLevel="7">
      <c r="A4106" s="53">
        <v>3241</v>
      </c>
      <c r="B4106" s="10" t="s">
        <v>13638</v>
      </c>
      <c r="C4106" s="65" t="s">
        <v>13639</v>
      </c>
      <c r="D4106" s="65"/>
      <c r="E4106" s="65"/>
      <c r="F4106" s="65"/>
      <c r="G4106" s="11" t="s">
        <v>13640</v>
      </c>
      <c r="H4106" s="21" t="s">
        <v>44</v>
      </c>
      <c r="I4106" s="15"/>
      <c r="J4106" s="9">
        <v>24</v>
      </c>
      <c r="K4106" s="16">
        <v>30.88</v>
      </c>
      <c r="L4106" s="17"/>
      <c r="M4106" s="15">
        <f>K4106*L4106</f>
        <v>0</v>
      </c>
      <c r="N4106" s="18">
        <f>0.033*L4106</f>
        <v>0</v>
      </c>
      <c r="O4106" s="19">
        <f>0.00046*L4106</f>
        <v>0</v>
      </c>
      <c r="P4106" s="24" t="s">
        <v>26</v>
      </c>
      <c r="Q4106" s="15" t="s">
        <v>13641</v>
      </c>
      <c r="R4106" s="15"/>
      <c r="S4106" s="10" t="str">
        <f>HYPERLINK("https://miland.ru/api/getInfo/image/ccf30ee3-05b5-11f1-a28f-00155d82e908")</f>
        <v>https://miland.ru/api/getInfo/image/ccf30ee3-05b5-11f1-a28f-00155d82e908</v>
      </c>
    </row>
    <row r="4107" spans="1:19" s="2" customFormat="1" ht="96.2" customHeight="1" outlineLevel="7">
      <c r="A4107" s="53">
        <v>3242</v>
      </c>
      <c r="B4107" s="10" t="s">
        <v>13642</v>
      </c>
      <c r="C4107" s="65" t="s">
        <v>13643</v>
      </c>
      <c r="D4107" s="65"/>
      <c r="E4107" s="65"/>
      <c r="F4107" s="65"/>
      <c r="G4107" s="11" t="s">
        <v>13644</v>
      </c>
      <c r="H4107" s="21" t="s">
        <v>44</v>
      </c>
      <c r="I4107" s="15"/>
      <c r="J4107" s="9">
        <v>24</v>
      </c>
      <c r="K4107" s="16">
        <v>30.88</v>
      </c>
      <c r="L4107" s="17"/>
      <c r="M4107" s="15">
        <f>K4107*L4107</f>
        <v>0</v>
      </c>
      <c r="N4107" s="18">
        <f>0.035*L4107</f>
        <v>0</v>
      </c>
      <c r="O4107" s="19">
        <f>0.00021*L4107</f>
        <v>0</v>
      </c>
      <c r="P4107" s="24" t="s">
        <v>26</v>
      </c>
      <c r="Q4107" s="15" t="s">
        <v>13645</v>
      </c>
      <c r="R4107" s="15"/>
      <c r="S4107" s="10" t="str">
        <f>HYPERLINK("https://miland.ru/api/getInfo/image/48920ada-05b6-11f1-a28f-00155d82e908")</f>
        <v>https://miland.ru/api/getInfo/image/48920ada-05b6-11f1-a28f-00155d82e908</v>
      </c>
    </row>
    <row r="4108" spans="1:19" s="1" customFormat="1" ht="12" customHeight="1" outlineLevel="5">
      <c r="A4108" s="64" t="s">
        <v>13404</v>
      </c>
      <c r="B4108" s="64"/>
      <c r="C4108" s="64"/>
      <c r="D4108" s="64"/>
      <c r="E4108" s="64"/>
      <c r="F4108" s="64"/>
      <c r="G4108" s="8"/>
      <c r="H4108" s="12"/>
      <c r="I4108" s="2"/>
      <c r="J4108" s="2"/>
      <c r="K4108" s="13"/>
      <c r="L4108" s="2"/>
      <c r="M4108" s="2"/>
      <c r="N4108" s="2"/>
      <c r="O4108" s="2"/>
      <c r="P4108" s="2"/>
      <c r="Q4108" s="2"/>
      <c r="R4108" s="2"/>
      <c r="S4108" s="2"/>
    </row>
    <row r="4109" spans="1:19" s="1" customFormat="1" ht="12" customHeight="1" outlineLevel="6">
      <c r="A4109" s="64" t="s">
        <v>13646</v>
      </c>
      <c r="B4109" s="64"/>
      <c r="C4109" s="64"/>
      <c r="D4109" s="64"/>
      <c r="E4109" s="64"/>
      <c r="F4109" s="64"/>
      <c r="G4109" s="8"/>
      <c r="H4109" s="12"/>
      <c r="I4109" s="2"/>
      <c r="J4109" s="2"/>
      <c r="K4109" s="13"/>
      <c r="L4109" s="2"/>
      <c r="M4109" s="2"/>
      <c r="N4109" s="2"/>
      <c r="O4109" s="2"/>
      <c r="P4109" s="2"/>
      <c r="Q4109" s="2"/>
      <c r="R4109" s="2"/>
      <c r="S4109" s="2"/>
    </row>
    <row r="4110" spans="1:19" s="1" customFormat="1" ht="12" customHeight="1" outlineLevel="7">
      <c r="A4110" s="64" t="s">
        <v>13516</v>
      </c>
      <c r="B4110" s="64"/>
      <c r="C4110" s="64"/>
      <c r="D4110" s="64"/>
      <c r="E4110" s="64"/>
      <c r="F4110" s="64"/>
      <c r="G4110" s="8"/>
      <c r="H4110" s="12"/>
      <c r="I4110" s="2"/>
      <c r="J4110" s="2"/>
      <c r="K4110" s="13"/>
      <c r="L4110" s="2"/>
      <c r="M4110" s="2"/>
      <c r="N4110" s="2"/>
      <c r="O4110" s="2"/>
      <c r="P4110" s="2"/>
      <c r="Q4110" s="2"/>
      <c r="R4110" s="2"/>
      <c r="S4110" s="2"/>
    </row>
    <row r="4111" spans="1:19" s="2" customFormat="1" ht="96.2" customHeight="1" outlineLevel="7">
      <c r="A4111" s="53">
        <v>3243</v>
      </c>
      <c r="B4111" s="10" t="s">
        <v>13647</v>
      </c>
      <c r="C4111" s="65" t="s">
        <v>13648</v>
      </c>
      <c r="D4111" s="65"/>
      <c r="E4111" s="65"/>
      <c r="F4111" s="65"/>
      <c r="G4111" s="11" t="s">
        <v>13649</v>
      </c>
      <c r="H4111" s="21" t="s">
        <v>44</v>
      </c>
      <c r="I4111" s="15"/>
      <c r="J4111" s="9">
        <v>12</v>
      </c>
      <c r="K4111" s="16">
        <v>41.34</v>
      </c>
      <c r="L4111" s="17"/>
      <c r="M4111" s="15">
        <f t="shared" ref="M4111:M4120" si="196">K4111*L4111</f>
        <v>0</v>
      </c>
      <c r="N4111" s="18">
        <f>0.035*L4111</f>
        <v>0</v>
      </c>
      <c r="O4111" s="19">
        <f t="shared" ref="O4111:O4120" si="197">0.00012*L4111</f>
        <v>0</v>
      </c>
      <c r="P4111" s="24" t="s">
        <v>26</v>
      </c>
      <c r="Q4111" s="15" t="s">
        <v>13650</v>
      </c>
      <c r="R4111" s="15"/>
      <c r="S4111" s="10" t="str">
        <f>HYPERLINK("https://miland.ru/api/getInfo/image/8550086b-7293-11f0-a284-00155d82e908")</f>
        <v>https://miland.ru/api/getInfo/image/8550086b-7293-11f0-a284-00155d82e908</v>
      </c>
    </row>
    <row r="4112" spans="1:19" s="2" customFormat="1" ht="96.2" customHeight="1" outlineLevel="7">
      <c r="A4112" s="53">
        <v>3244</v>
      </c>
      <c r="B4112" s="10" t="s">
        <v>13651</v>
      </c>
      <c r="C4112" s="65" t="s">
        <v>13652</v>
      </c>
      <c r="D4112" s="65"/>
      <c r="E4112" s="65"/>
      <c r="F4112" s="65"/>
      <c r="G4112" s="11" t="s">
        <v>13653</v>
      </c>
      <c r="H4112" s="21" t="s">
        <v>44</v>
      </c>
      <c r="I4112" s="15"/>
      <c r="J4112" s="9">
        <v>12</v>
      </c>
      <c r="K4112" s="16">
        <v>41.34</v>
      </c>
      <c r="L4112" s="17"/>
      <c r="M4112" s="15">
        <f t="shared" si="196"/>
        <v>0</v>
      </c>
      <c r="N4112" s="18">
        <f>0.036*L4112</f>
        <v>0</v>
      </c>
      <c r="O4112" s="19">
        <f t="shared" si="197"/>
        <v>0</v>
      </c>
      <c r="P4112" s="24" t="s">
        <v>26</v>
      </c>
      <c r="Q4112" s="15" t="s">
        <v>13654</v>
      </c>
      <c r="R4112" s="15"/>
      <c r="S4112" s="10" t="str">
        <f>HYPERLINK("https://miland.ru/api/getInfo/image/5720fd6a-7293-11f0-a284-00155d82e908")</f>
        <v>https://miland.ru/api/getInfo/image/5720fd6a-7293-11f0-a284-00155d82e908</v>
      </c>
    </row>
    <row r="4113" spans="1:19" s="2" customFormat="1" ht="96.2" customHeight="1" outlineLevel="7">
      <c r="A4113" s="53">
        <v>3245</v>
      </c>
      <c r="B4113" s="10" t="s">
        <v>13655</v>
      </c>
      <c r="C4113" s="65" t="s">
        <v>13656</v>
      </c>
      <c r="D4113" s="65"/>
      <c r="E4113" s="65"/>
      <c r="F4113" s="65"/>
      <c r="G4113" s="11" t="s">
        <v>13657</v>
      </c>
      <c r="H4113" s="21" t="s">
        <v>44</v>
      </c>
      <c r="I4113" s="15"/>
      <c r="J4113" s="9">
        <v>12</v>
      </c>
      <c r="K4113" s="16">
        <v>41.34</v>
      </c>
      <c r="L4113" s="17"/>
      <c r="M4113" s="15">
        <f t="shared" si="196"/>
        <v>0</v>
      </c>
      <c r="N4113" s="18">
        <f>0.037*L4113</f>
        <v>0</v>
      </c>
      <c r="O4113" s="19">
        <f t="shared" si="197"/>
        <v>0</v>
      </c>
      <c r="P4113" s="24" t="s">
        <v>26</v>
      </c>
      <c r="Q4113" s="15" t="s">
        <v>13658</v>
      </c>
      <c r="R4113" s="15"/>
      <c r="S4113" s="10" t="str">
        <f>HYPERLINK("https://miland.ru/api/getInfo/image/a1d62b96-7292-11f0-a284-00155d82e908")</f>
        <v>https://miland.ru/api/getInfo/image/a1d62b96-7292-11f0-a284-00155d82e908</v>
      </c>
    </row>
    <row r="4114" spans="1:19" s="2" customFormat="1" ht="96.2" customHeight="1" outlineLevel="7">
      <c r="A4114" s="53">
        <v>3246</v>
      </c>
      <c r="B4114" s="10" t="s">
        <v>13659</v>
      </c>
      <c r="C4114" s="65" t="s">
        <v>13660</v>
      </c>
      <c r="D4114" s="65"/>
      <c r="E4114" s="65"/>
      <c r="F4114" s="65"/>
      <c r="G4114" s="11" t="s">
        <v>13661</v>
      </c>
      <c r="H4114" s="21" t="s">
        <v>44</v>
      </c>
      <c r="I4114" s="15"/>
      <c r="J4114" s="9">
        <v>12</v>
      </c>
      <c r="K4114" s="16">
        <v>41.34</v>
      </c>
      <c r="L4114" s="17"/>
      <c r="M4114" s="15">
        <f t="shared" si="196"/>
        <v>0</v>
      </c>
      <c r="N4114" s="18">
        <f t="shared" ref="N4114:N4120" si="198">0.036*L4114</f>
        <v>0</v>
      </c>
      <c r="O4114" s="19">
        <f t="shared" si="197"/>
        <v>0</v>
      </c>
      <c r="P4114" s="24" t="s">
        <v>26</v>
      </c>
      <c r="Q4114" s="15" t="s">
        <v>13662</v>
      </c>
      <c r="R4114" s="15"/>
      <c r="S4114" s="10" t="str">
        <f>HYPERLINK("https://miland.ru/api/getInfo/image/bf248318-7293-11f0-a284-00155d82e908")</f>
        <v>https://miland.ru/api/getInfo/image/bf248318-7293-11f0-a284-00155d82e908</v>
      </c>
    </row>
    <row r="4115" spans="1:19" s="2" customFormat="1" ht="96.2" customHeight="1" outlineLevel="7">
      <c r="A4115" s="53">
        <v>3247</v>
      </c>
      <c r="B4115" s="10" t="s">
        <v>13663</v>
      </c>
      <c r="C4115" s="65" t="s">
        <v>13664</v>
      </c>
      <c r="D4115" s="65"/>
      <c r="E4115" s="65"/>
      <c r="F4115" s="65"/>
      <c r="G4115" s="11" t="s">
        <v>13665</v>
      </c>
      <c r="H4115" s="21" t="s">
        <v>44</v>
      </c>
      <c r="I4115" s="15"/>
      <c r="J4115" s="9">
        <v>12</v>
      </c>
      <c r="K4115" s="16">
        <v>41.34</v>
      </c>
      <c r="L4115" s="17"/>
      <c r="M4115" s="15">
        <f t="shared" si="196"/>
        <v>0</v>
      </c>
      <c r="N4115" s="18">
        <f t="shared" si="198"/>
        <v>0</v>
      </c>
      <c r="O4115" s="19">
        <f t="shared" si="197"/>
        <v>0</v>
      </c>
      <c r="P4115" s="24" t="s">
        <v>26</v>
      </c>
      <c r="Q4115" s="15" t="s">
        <v>13666</v>
      </c>
      <c r="R4115" s="15"/>
      <c r="S4115" s="10" t="str">
        <f>HYPERLINK("https://miland.ru/api/getInfo/image/18d6b0ca-7293-11f0-a284-00155d82e908")</f>
        <v>https://miland.ru/api/getInfo/image/18d6b0ca-7293-11f0-a284-00155d82e908</v>
      </c>
    </row>
    <row r="4116" spans="1:19" s="2" customFormat="1" ht="96.2" customHeight="1" outlineLevel="7">
      <c r="A4116" s="53">
        <v>3248</v>
      </c>
      <c r="B4116" s="10" t="s">
        <v>13667</v>
      </c>
      <c r="C4116" s="65" t="s">
        <v>13668</v>
      </c>
      <c r="D4116" s="65"/>
      <c r="E4116" s="65"/>
      <c r="F4116" s="65"/>
      <c r="G4116" s="11" t="s">
        <v>13669</v>
      </c>
      <c r="H4116" s="21" t="s">
        <v>44</v>
      </c>
      <c r="I4116" s="15"/>
      <c r="J4116" s="9">
        <v>12</v>
      </c>
      <c r="K4116" s="16">
        <v>41.34</v>
      </c>
      <c r="L4116" s="17"/>
      <c r="M4116" s="15">
        <f t="shared" si="196"/>
        <v>0</v>
      </c>
      <c r="N4116" s="18">
        <f t="shared" si="198"/>
        <v>0</v>
      </c>
      <c r="O4116" s="19">
        <f t="shared" si="197"/>
        <v>0</v>
      </c>
      <c r="P4116" s="24" t="s">
        <v>26</v>
      </c>
      <c r="Q4116" s="15" t="s">
        <v>13670</v>
      </c>
      <c r="R4116" s="15"/>
      <c r="S4116" s="10" t="str">
        <f>HYPERLINK("https://miland.ru/api/getInfo/image/839cffeb-7292-11f0-a284-00155d82e908")</f>
        <v>https://miland.ru/api/getInfo/image/839cffeb-7292-11f0-a284-00155d82e908</v>
      </c>
    </row>
    <row r="4117" spans="1:19" s="2" customFormat="1" ht="96.2" customHeight="1" outlineLevel="7">
      <c r="A4117" s="53">
        <v>3249</v>
      </c>
      <c r="B4117" s="10" t="s">
        <v>13671</v>
      </c>
      <c r="C4117" s="65" t="s">
        <v>13672</v>
      </c>
      <c r="D4117" s="65"/>
      <c r="E4117" s="65"/>
      <c r="F4117" s="65"/>
      <c r="G4117" s="11" t="s">
        <v>13673</v>
      </c>
      <c r="H4117" s="21" t="s">
        <v>44</v>
      </c>
      <c r="I4117" s="15"/>
      <c r="J4117" s="9">
        <v>12</v>
      </c>
      <c r="K4117" s="16">
        <v>41.34</v>
      </c>
      <c r="L4117" s="17"/>
      <c r="M4117" s="15">
        <f t="shared" si="196"/>
        <v>0</v>
      </c>
      <c r="N4117" s="18">
        <f t="shared" si="198"/>
        <v>0</v>
      </c>
      <c r="O4117" s="19">
        <f t="shared" si="197"/>
        <v>0</v>
      </c>
      <c r="P4117" s="24" t="s">
        <v>26</v>
      </c>
      <c r="Q4117" s="15" t="s">
        <v>13674</v>
      </c>
      <c r="R4117" s="15"/>
      <c r="S4117" s="10" t="str">
        <f>HYPERLINK("https://miland.ru/api/getInfo/image/fa276a48-7292-11f0-a284-00155d82e908")</f>
        <v>https://miland.ru/api/getInfo/image/fa276a48-7292-11f0-a284-00155d82e908</v>
      </c>
    </row>
    <row r="4118" spans="1:19" s="2" customFormat="1" ht="96.2" customHeight="1" outlineLevel="7">
      <c r="A4118" s="53">
        <v>3250</v>
      </c>
      <c r="B4118" s="10" t="s">
        <v>13675</v>
      </c>
      <c r="C4118" s="65" t="s">
        <v>13676</v>
      </c>
      <c r="D4118" s="65"/>
      <c r="E4118" s="65"/>
      <c r="F4118" s="65"/>
      <c r="G4118" s="11" t="s">
        <v>13677</v>
      </c>
      <c r="H4118" s="21" t="s">
        <v>44</v>
      </c>
      <c r="I4118" s="15"/>
      <c r="J4118" s="9">
        <v>12</v>
      </c>
      <c r="K4118" s="16">
        <v>41.34</v>
      </c>
      <c r="L4118" s="17"/>
      <c r="M4118" s="15">
        <f t="shared" si="196"/>
        <v>0</v>
      </c>
      <c r="N4118" s="18">
        <f t="shared" si="198"/>
        <v>0</v>
      </c>
      <c r="O4118" s="19">
        <f t="shared" si="197"/>
        <v>0</v>
      </c>
      <c r="P4118" s="24" t="s">
        <v>26</v>
      </c>
      <c r="Q4118" s="15" t="s">
        <v>13678</v>
      </c>
      <c r="R4118" s="15"/>
      <c r="S4118" s="10" t="str">
        <f>HYPERLINK("https://miland.ru/api/getInfo/image/3f2f57a5-7293-11f0-a284-00155d82e908")</f>
        <v>https://miland.ru/api/getInfo/image/3f2f57a5-7293-11f0-a284-00155d82e908</v>
      </c>
    </row>
    <row r="4119" spans="1:19" s="2" customFormat="1" ht="96.2" customHeight="1" outlineLevel="7">
      <c r="A4119" s="53">
        <v>3251</v>
      </c>
      <c r="B4119" s="10" t="s">
        <v>13679</v>
      </c>
      <c r="C4119" s="65" t="s">
        <v>13680</v>
      </c>
      <c r="D4119" s="65"/>
      <c r="E4119" s="65"/>
      <c r="F4119" s="65"/>
      <c r="G4119" s="11" t="s">
        <v>13681</v>
      </c>
      <c r="H4119" s="21" t="s">
        <v>44</v>
      </c>
      <c r="I4119" s="15"/>
      <c r="J4119" s="9">
        <v>12</v>
      </c>
      <c r="K4119" s="16">
        <v>41.34</v>
      </c>
      <c r="L4119" s="17"/>
      <c r="M4119" s="15">
        <f t="shared" si="196"/>
        <v>0</v>
      </c>
      <c r="N4119" s="18">
        <f t="shared" si="198"/>
        <v>0</v>
      </c>
      <c r="O4119" s="19">
        <f t="shared" si="197"/>
        <v>0</v>
      </c>
      <c r="P4119" s="24" t="s">
        <v>26</v>
      </c>
      <c r="Q4119" s="15" t="s">
        <v>13682</v>
      </c>
      <c r="R4119" s="15"/>
      <c r="S4119" s="10" t="str">
        <f>HYPERLINK("https://miland.ru/api/getInfo/image/e8f6c0be-7292-11f0-a284-00155d82e908")</f>
        <v>https://miland.ru/api/getInfo/image/e8f6c0be-7292-11f0-a284-00155d82e908</v>
      </c>
    </row>
    <row r="4120" spans="1:19" s="2" customFormat="1" ht="96.2" customHeight="1" outlineLevel="7">
      <c r="A4120" s="53">
        <v>3252</v>
      </c>
      <c r="B4120" s="10" t="s">
        <v>13683</v>
      </c>
      <c r="C4120" s="65" t="s">
        <v>13684</v>
      </c>
      <c r="D4120" s="65"/>
      <c r="E4120" s="65"/>
      <c r="F4120" s="65"/>
      <c r="G4120" s="11" t="s">
        <v>13685</v>
      </c>
      <c r="H4120" s="21" t="s">
        <v>44</v>
      </c>
      <c r="I4120" s="15"/>
      <c r="J4120" s="9">
        <v>12</v>
      </c>
      <c r="K4120" s="16">
        <v>41.34</v>
      </c>
      <c r="L4120" s="17"/>
      <c r="M4120" s="15">
        <f t="shared" si="196"/>
        <v>0</v>
      </c>
      <c r="N4120" s="18">
        <f t="shared" si="198"/>
        <v>0</v>
      </c>
      <c r="O4120" s="19">
        <f t="shared" si="197"/>
        <v>0</v>
      </c>
      <c r="P4120" s="24" t="s">
        <v>26</v>
      </c>
      <c r="Q4120" s="15" t="s">
        <v>13686</v>
      </c>
      <c r="R4120" s="15"/>
      <c r="S4120" s="10" t="str">
        <f>HYPERLINK("https://miland.ru/api/getInfo/image/6eea5a95-7293-11f0-a284-00155d82e908")</f>
        <v>https://miland.ru/api/getInfo/image/6eea5a95-7293-11f0-a284-00155d82e908</v>
      </c>
    </row>
    <row r="4121" spans="1:19" s="1" customFormat="1" ht="12" customHeight="1" outlineLevel="4">
      <c r="A4121" s="64" t="s">
        <v>8135</v>
      </c>
      <c r="B4121" s="64"/>
      <c r="C4121" s="64"/>
      <c r="D4121" s="64"/>
      <c r="E4121" s="64"/>
      <c r="F4121" s="64"/>
      <c r="G4121" s="8"/>
      <c r="H4121" s="12"/>
      <c r="I4121" s="2"/>
      <c r="J4121" s="2"/>
      <c r="K4121" s="13"/>
      <c r="L4121" s="2"/>
      <c r="M4121" s="2"/>
      <c r="N4121" s="2"/>
      <c r="O4121" s="2"/>
      <c r="P4121" s="2"/>
      <c r="Q4121" s="2"/>
      <c r="R4121" s="2"/>
      <c r="S4121" s="2"/>
    </row>
    <row r="4122" spans="1:19" s="1" customFormat="1" ht="12" customHeight="1" outlineLevel="5">
      <c r="A4122" s="64" t="s">
        <v>13687</v>
      </c>
      <c r="B4122" s="64"/>
      <c r="C4122" s="64"/>
      <c r="D4122" s="64"/>
      <c r="E4122" s="64"/>
      <c r="F4122" s="64"/>
      <c r="G4122" s="8"/>
      <c r="H4122" s="12"/>
      <c r="I4122" s="2"/>
      <c r="J4122" s="2"/>
      <c r="K4122" s="13"/>
      <c r="L4122" s="2"/>
      <c r="M4122" s="2"/>
      <c r="N4122" s="2"/>
      <c r="O4122" s="2"/>
      <c r="P4122" s="2"/>
      <c r="Q4122" s="2"/>
      <c r="R4122" s="2"/>
      <c r="S4122" s="2"/>
    </row>
    <row r="4123" spans="1:19" s="2" customFormat="1" ht="96.2" customHeight="1" outlineLevel="6">
      <c r="A4123" s="53">
        <v>3253</v>
      </c>
      <c r="B4123" s="10" t="s">
        <v>13688</v>
      </c>
      <c r="C4123" s="65" t="s">
        <v>13689</v>
      </c>
      <c r="D4123" s="65"/>
      <c r="E4123" s="65"/>
      <c r="F4123" s="65"/>
      <c r="G4123" s="11" t="s">
        <v>13690</v>
      </c>
      <c r="H4123" s="21" t="s">
        <v>44</v>
      </c>
      <c r="I4123" s="15"/>
      <c r="J4123" s="9">
        <v>12</v>
      </c>
      <c r="K4123" s="16">
        <v>44.68</v>
      </c>
      <c r="L4123" s="17"/>
      <c r="M4123" s="15">
        <f>K4123*L4123</f>
        <v>0</v>
      </c>
      <c r="N4123" s="18">
        <f>0.039*L4123</f>
        <v>0</v>
      </c>
      <c r="O4123" s="19">
        <f>0.00112*L4123</f>
        <v>0</v>
      </c>
      <c r="P4123" s="24" t="s">
        <v>26</v>
      </c>
      <c r="Q4123" s="15" t="s">
        <v>13691</v>
      </c>
      <c r="R4123" s="15"/>
      <c r="S4123" s="10" t="str">
        <f>HYPERLINK("https://miland.ru/api/getInfo/image/bc7970fe-5904-11f1-a295-00155d82e908")</f>
        <v>https://miland.ru/api/getInfo/image/bc7970fe-5904-11f1-a295-00155d82e908</v>
      </c>
    </row>
    <row r="4124" spans="1:19" s="2" customFormat="1" ht="96.2" customHeight="1" outlineLevel="6">
      <c r="A4124" s="53">
        <v>3254</v>
      </c>
      <c r="B4124" s="10" t="s">
        <v>13692</v>
      </c>
      <c r="C4124" s="65" t="s">
        <v>13693</v>
      </c>
      <c r="D4124" s="65"/>
      <c r="E4124" s="65"/>
      <c r="F4124" s="65"/>
      <c r="G4124" s="11" t="s">
        <v>13694</v>
      </c>
      <c r="H4124" s="21" t="s">
        <v>44</v>
      </c>
      <c r="I4124" s="15"/>
      <c r="J4124" s="9">
        <v>12</v>
      </c>
      <c r="K4124" s="16">
        <v>44.68</v>
      </c>
      <c r="L4124" s="17"/>
      <c r="M4124" s="15">
        <f>K4124*L4124</f>
        <v>0</v>
      </c>
      <c r="N4124" s="18">
        <f>0.035*L4124</f>
        <v>0</v>
      </c>
      <c r="O4124" s="19">
        <f>0.00027*L4124</f>
        <v>0</v>
      </c>
      <c r="P4124" s="24" t="s">
        <v>26</v>
      </c>
      <c r="Q4124" s="15" t="s">
        <v>13695</v>
      </c>
      <c r="R4124" s="15"/>
      <c r="S4124" s="10" t="str">
        <f>HYPERLINK("https://miland.ru/api/getInfo/image/dd116dbd-5904-11f1-a295-00155d82e908")</f>
        <v>https://miland.ru/api/getInfo/image/dd116dbd-5904-11f1-a295-00155d82e908</v>
      </c>
    </row>
    <row r="4125" spans="1:19" s="1" customFormat="1" ht="12" customHeight="1" outlineLevel="5">
      <c r="A4125" s="64" t="s">
        <v>8757</v>
      </c>
      <c r="B4125" s="64"/>
      <c r="C4125" s="64"/>
      <c r="D4125" s="64"/>
      <c r="E4125" s="64"/>
      <c r="F4125" s="64"/>
      <c r="G4125" s="8"/>
      <c r="H4125" s="12"/>
      <c r="I4125" s="2"/>
      <c r="J4125" s="2"/>
      <c r="K4125" s="13"/>
      <c r="L4125" s="2"/>
      <c r="M4125" s="2"/>
      <c r="N4125" s="2"/>
      <c r="O4125" s="2"/>
      <c r="P4125" s="2"/>
      <c r="Q4125" s="2"/>
      <c r="R4125" s="2"/>
      <c r="S4125" s="2"/>
    </row>
    <row r="4126" spans="1:19" s="1" customFormat="1" ht="12" customHeight="1" outlineLevel="6">
      <c r="A4126" s="64" t="s">
        <v>549</v>
      </c>
      <c r="B4126" s="64"/>
      <c r="C4126" s="64"/>
      <c r="D4126" s="64"/>
      <c r="E4126" s="64"/>
      <c r="F4126" s="64"/>
      <c r="G4126" s="8"/>
      <c r="H4126" s="12"/>
      <c r="I4126" s="2"/>
      <c r="J4126" s="2"/>
      <c r="K4126" s="13"/>
      <c r="L4126" s="2"/>
      <c r="M4126" s="2"/>
      <c r="N4126" s="2"/>
      <c r="O4126" s="2"/>
      <c r="P4126" s="2"/>
      <c r="Q4126" s="2"/>
      <c r="R4126" s="2"/>
      <c r="S4126" s="2"/>
    </row>
    <row r="4127" spans="1:19" s="2" customFormat="1" ht="96.2" customHeight="1" outlineLevel="7">
      <c r="A4127" s="53">
        <v>3255</v>
      </c>
      <c r="B4127" s="10" t="s">
        <v>13696</v>
      </c>
      <c r="C4127" s="65" t="s">
        <v>13697</v>
      </c>
      <c r="D4127" s="65"/>
      <c r="E4127" s="65"/>
      <c r="F4127" s="65"/>
      <c r="G4127" s="11" t="s">
        <v>13698</v>
      </c>
      <c r="H4127" s="21" t="s">
        <v>44</v>
      </c>
      <c r="I4127" s="15"/>
      <c r="J4127" s="9">
        <v>12</v>
      </c>
      <c r="K4127" s="16">
        <v>51.64</v>
      </c>
      <c r="L4127" s="17"/>
      <c r="M4127" s="15">
        <f>K4127*L4127</f>
        <v>0</v>
      </c>
      <c r="N4127" s="18">
        <f>0.065*L4127</f>
        <v>0</v>
      </c>
      <c r="O4127" s="19">
        <f>0.00034*L4127</f>
        <v>0</v>
      </c>
      <c r="P4127" s="24" t="s">
        <v>26</v>
      </c>
      <c r="Q4127" s="15" t="s">
        <v>13699</v>
      </c>
      <c r="R4127" s="15"/>
      <c r="S4127" s="10" t="str">
        <f>HYPERLINK("https://miland.ru/api/getInfo/image/007ddf52-6933-11f0-a283-00155d82e908")</f>
        <v>https://miland.ru/api/getInfo/image/007ddf52-6933-11f0-a283-00155d82e908</v>
      </c>
    </row>
    <row r="4128" spans="1:19" s="2" customFormat="1" ht="96.2" customHeight="1" outlineLevel="7">
      <c r="A4128" s="53">
        <v>3256</v>
      </c>
      <c r="B4128" s="10" t="s">
        <v>13700</v>
      </c>
      <c r="C4128" s="65" t="s">
        <v>13701</v>
      </c>
      <c r="D4128" s="65"/>
      <c r="E4128" s="65"/>
      <c r="F4128" s="65"/>
      <c r="G4128" s="11" t="s">
        <v>13702</v>
      </c>
      <c r="H4128" s="21" t="s">
        <v>44</v>
      </c>
      <c r="I4128" s="15"/>
      <c r="J4128" s="9">
        <v>12</v>
      </c>
      <c r="K4128" s="16">
        <v>51.64</v>
      </c>
      <c r="L4128" s="17"/>
      <c r="M4128" s="15">
        <f>K4128*L4128</f>
        <v>0</v>
      </c>
      <c r="N4128" s="18">
        <f>0.065*L4128</f>
        <v>0</v>
      </c>
      <c r="O4128" s="19">
        <f>0.00041*L4128</f>
        <v>0</v>
      </c>
      <c r="P4128" s="24" t="s">
        <v>26</v>
      </c>
      <c r="Q4128" s="15" t="s">
        <v>13703</v>
      </c>
      <c r="R4128" s="15"/>
      <c r="S4128" s="10" t="str">
        <f>HYPERLINK("https://miland.ru/api/getInfo/image/8d0b1678-6932-11f0-a283-00155d82e908")</f>
        <v>https://miland.ru/api/getInfo/image/8d0b1678-6932-11f0-a283-00155d82e908</v>
      </c>
    </row>
    <row r="4129" spans="1:19" s="2" customFormat="1" ht="96.2" customHeight="1" outlineLevel="7">
      <c r="A4129" s="53">
        <v>3257</v>
      </c>
      <c r="B4129" s="10" t="s">
        <v>13704</v>
      </c>
      <c r="C4129" s="65" t="s">
        <v>13705</v>
      </c>
      <c r="D4129" s="65"/>
      <c r="E4129" s="65"/>
      <c r="F4129" s="65"/>
      <c r="G4129" s="11" t="s">
        <v>13706</v>
      </c>
      <c r="H4129" s="21" t="s">
        <v>44</v>
      </c>
      <c r="I4129" s="15"/>
      <c r="J4129" s="9">
        <v>12</v>
      </c>
      <c r="K4129" s="16">
        <v>51.64</v>
      </c>
      <c r="L4129" s="17"/>
      <c r="M4129" s="15">
        <f>K4129*L4129</f>
        <v>0</v>
      </c>
      <c r="N4129" s="18">
        <f>0.065*L4129</f>
        <v>0</v>
      </c>
      <c r="O4129" s="19">
        <f>0.00041*L4129</f>
        <v>0</v>
      </c>
      <c r="P4129" s="24" t="s">
        <v>26</v>
      </c>
      <c r="Q4129" s="15" t="s">
        <v>13707</v>
      </c>
      <c r="R4129" s="15"/>
      <c r="S4129" s="10" t="str">
        <f>HYPERLINK("https://miland.ru/api/getInfo/image/5b038a6d-6932-11f0-a283-00155d82e908")</f>
        <v>https://miland.ru/api/getInfo/image/5b038a6d-6932-11f0-a283-00155d82e908</v>
      </c>
    </row>
    <row r="4130" spans="1:19" s="2" customFormat="1" ht="96.2" customHeight="1" outlineLevel="7">
      <c r="A4130" s="53">
        <v>3258</v>
      </c>
      <c r="B4130" s="10" t="s">
        <v>13708</v>
      </c>
      <c r="C4130" s="65" t="s">
        <v>13709</v>
      </c>
      <c r="D4130" s="65"/>
      <c r="E4130" s="65"/>
      <c r="F4130" s="65"/>
      <c r="G4130" s="11" t="s">
        <v>13710</v>
      </c>
      <c r="H4130" s="21" t="s">
        <v>44</v>
      </c>
      <c r="I4130" s="15"/>
      <c r="J4130" s="9">
        <v>12</v>
      </c>
      <c r="K4130" s="16">
        <v>51.64</v>
      </c>
      <c r="L4130" s="17"/>
      <c r="M4130" s="15">
        <f>K4130*L4130</f>
        <v>0</v>
      </c>
      <c r="N4130" s="18">
        <f>0.067*L4130</f>
        <v>0</v>
      </c>
      <c r="O4130" s="19">
        <f>0.00041*L4130</f>
        <v>0</v>
      </c>
      <c r="P4130" s="24" t="s">
        <v>26</v>
      </c>
      <c r="Q4130" s="15" t="s">
        <v>13711</v>
      </c>
      <c r="R4130" s="15"/>
      <c r="S4130" s="10" t="str">
        <f>HYPERLINK("https://miland.ru/api/getInfo/image/42c41418-6932-11f0-a283-00155d82e908")</f>
        <v>https://miland.ru/api/getInfo/image/42c41418-6932-11f0-a283-00155d82e908</v>
      </c>
    </row>
    <row r="4131" spans="1:19" s="2" customFormat="1" ht="96.2" customHeight="1" outlineLevel="7">
      <c r="A4131" s="52">
        <v>3259</v>
      </c>
      <c r="B4131" s="26" t="s">
        <v>13712</v>
      </c>
      <c r="C4131" s="66" t="s">
        <v>13713</v>
      </c>
      <c r="D4131" s="66"/>
      <c r="E4131" s="66"/>
      <c r="F4131" s="66"/>
      <c r="G4131" s="27" t="s">
        <v>13714</v>
      </c>
      <c r="H4131" s="33">
        <v>456</v>
      </c>
      <c r="I4131" s="29"/>
      <c r="J4131" s="25">
        <v>12</v>
      </c>
      <c r="K4131" s="30">
        <v>51.64</v>
      </c>
      <c r="L4131" s="17"/>
      <c r="M4131" s="29">
        <f>K4131*L4131</f>
        <v>0</v>
      </c>
      <c r="N4131" s="31">
        <f>0.056*L4131</f>
        <v>0</v>
      </c>
      <c r="O4131" s="31">
        <f>0.001*L4131</f>
        <v>0</v>
      </c>
      <c r="P4131" s="36"/>
      <c r="Q4131" s="29" t="s">
        <v>13715</v>
      </c>
      <c r="R4131" s="29" t="s">
        <v>611</v>
      </c>
      <c r="S4131" s="26" t="str">
        <f>HYPERLINK("https://miland.ru/api/getInfo/image/3eae2cbe-5ec4-11ef-a262-00155d82e908")</f>
        <v>https://miland.ru/api/getInfo/image/3eae2cbe-5ec4-11ef-a262-00155d82e908</v>
      </c>
    </row>
    <row r="4132" spans="1:19" s="1" customFormat="1" ht="12" customHeight="1" outlineLevel="6">
      <c r="A4132" s="64" t="s">
        <v>13716</v>
      </c>
      <c r="B4132" s="64"/>
      <c r="C4132" s="64"/>
      <c r="D4132" s="64"/>
      <c r="E4132" s="64"/>
      <c r="F4132" s="64"/>
      <c r="G4132" s="8"/>
      <c r="H4132" s="12"/>
      <c r="I4132" s="2"/>
      <c r="J4132" s="2"/>
      <c r="K4132" s="13"/>
      <c r="L4132" s="2"/>
      <c r="M4132" s="2"/>
      <c r="N4132" s="2"/>
      <c r="O4132" s="2"/>
      <c r="P4132" s="2"/>
      <c r="Q4132" s="2"/>
      <c r="R4132" s="2"/>
      <c r="S4132" s="2"/>
    </row>
    <row r="4133" spans="1:19" s="2" customFormat="1" ht="96.2" customHeight="1" outlineLevel="7">
      <c r="A4133" s="53">
        <v>3260</v>
      </c>
      <c r="B4133" s="10" t="s">
        <v>13717</v>
      </c>
      <c r="C4133" s="65" t="s">
        <v>13718</v>
      </c>
      <c r="D4133" s="65"/>
      <c r="E4133" s="65"/>
      <c r="F4133" s="65"/>
      <c r="G4133" s="11" t="s">
        <v>13719</v>
      </c>
      <c r="H4133" s="21" t="s">
        <v>44</v>
      </c>
      <c r="I4133" s="15"/>
      <c r="J4133" s="9">
        <v>12</v>
      </c>
      <c r="K4133" s="16">
        <v>51.64</v>
      </c>
      <c r="L4133" s="17"/>
      <c r="M4133" s="15">
        <f>K4133*L4133</f>
        <v>0</v>
      </c>
      <c r="N4133" s="18">
        <f>0.051*L4133</f>
        <v>0</v>
      </c>
      <c r="O4133" s="20">
        <f>0.0002*L4133</f>
        <v>0</v>
      </c>
      <c r="P4133" s="24" t="s">
        <v>26</v>
      </c>
      <c r="Q4133" s="15" t="s">
        <v>13720</v>
      </c>
      <c r="R4133" s="15"/>
      <c r="S4133" s="10" t="str">
        <f>HYPERLINK("https://miland.ru/api/getInfo/image/e9423f34-728e-11f0-a284-00155d82e908")</f>
        <v>https://miland.ru/api/getInfo/image/e9423f34-728e-11f0-a284-00155d82e908</v>
      </c>
    </row>
    <row r="4134" spans="1:19" s="2" customFormat="1" ht="96.2" customHeight="1" outlineLevel="7">
      <c r="A4134" s="53">
        <v>3261</v>
      </c>
      <c r="B4134" s="10" t="s">
        <v>13721</v>
      </c>
      <c r="C4134" s="65" t="s">
        <v>13722</v>
      </c>
      <c r="D4134" s="65"/>
      <c r="E4134" s="65"/>
      <c r="F4134" s="65"/>
      <c r="G4134" s="11" t="s">
        <v>13723</v>
      </c>
      <c r="H4134" s="21" t="s">
        <v>44</v>
      </c>
      <c r="I4134" s="15"/>
      <c r="J4134" s="9">
        <v>12</v>
      </c>
      <c r="K4134" s="16">
        <v>51.64</v>
      </c>
      <c r="L4134" s="17"/>
      <c r="M4134" s="15">
        <f>K4134*L4134</f>
        <v>0</v>
      </c>
      <c r="N4134" s="23">
        <f>0.05*L4134</f>
        <v>0</v>
      </c>
      <c r="O4134" s="20">
        <f>0.0002*L4134</f>
        <v>0</v>
      </c>
      <c r="P4134" s="24" t="s">
        <v>26</v>
      </c>
      <c r="Q4134" s="15" t="s">
        <v>13724</v>
      </c>
      <c r="R4134" s="15"/>
      <c r="S4134" s="10" t="str">
        <f>HYPERLINK("https://miland.ru/api/getInfo/image/22a77c76-728f-11f0-a284-00155d82e908")</f>
        <v>https://miland.ru/api/getInfo/image/22a77c76-728f-11f0-a284-00155d82e908</v>
      </c>
    </row>
    <row r="4135" spans="1:19" s="2" customFormat="1" ht="96.2" customHeight="1" outlineLevel="7">
      <c r="A4135" s="53">
        <v>3262</v>
      </c>
      <c r="B4135" s="10" t="s">
        <v>13725</v>
      </c>
      <c r="C4135" s="65" t="s">
        <v>13726</v>
      </c>
      <c r="D4135" s="65"/>
      <c r="E4135" s="65"/>
      <c r="F4135" s="65"/>
      <c r="G4135" s="11" t="s">
        <v>13727</v>
      </c>
      <c r="H4135" s="21" t="s">
        <v>44</v>
      </c>
      <c r="I4135" s="15"/>
      <c r="J4135" s="9">
        <v>12</v>
      </c>
      <c r="K4135" s="16">
        <v>51.64</v>
      </c>
      <c r="L4135" s="17"/>
      <c r="M4135" s="15">
        <f>K4135*L4135</f>
        <v>0</v>
      </c>
      <c r="N4135" s="18">
        <f>0.051*L4135</f>
        <v>0</v>
      </c>
      <c r="O4135" s="20">
        <f>0.0002*L4135</f>
        <v>0</v>
      </c>
      <c r="P4135" s="24" t="s">
        <v>26</v>
      </c>
      <c r="Q4135" s="15" t="s">
        <v>13728</v>
      </c>
      <c r="R4135" s="15"/>
      <c r="S4135" s="10" t="str">
        <f>HYPERLINK("https://miland.ru/api/getInfo/image/0b7cf7cd-728f-11f0-a284-00155d82e908")</f>
        <v>https://miland.ru/api/getInfo/image/0b7cf7cd-728f-11f0-a284-00155d82e908</v>
      </c>
    </row>
    <row r="4136" spans="1:19" s="2" customFormat="1" ht="96.2" customHeight="1" outlineLevel="7">
      <c r="A4136" s="53">
        <v>3263</v>
      </c>
      <c r="B4136" s="10" t="s">
        <v>13729</v>
      </c>
      <c r="C4136" s="65" t="s">
        <v>13730</v>
      </c>
      <c r="D4136" s="65"/>
      <c r="E4136" s="65"/>
      <c r="F4136" s="65"/>
      <c r="G4136" s="11" t="s">
        <v>13731</v>
      </c>
      <c r="H4136" s="21" t="s">
        <v>44</v>
      </c>
      <c r="I4136" s="15"/>
      <c r="J4136" s="9">
        <v>12</v>
      </c>
      <c r="K4136" s="16">
        <v>51.64</v>
      </c>
      <c r="L4136" s="17"/>
      <c r="M4136" s="15">
        <f>K4136*L4136</f>
        <v>0</v>
      </c>
      <c r="N4136" s="23">
        <f>0.05*L4136</f>
        <v>0</v>
      </c>
      <c r="O4136" s="20">
        <f>0.0002*L4136</f>
        <v>0</v>
      </c>
      <c r="P4136" s="24" t="s">
        <v>26</v>
      </c>
      <c r="Q4136" s="15" t="s">
        <v>13732</v>
      </c>
      <c r="R4136" s="15"/>
      <c r="S4136" s="10" t="str">
        <f>HYPERLINK("https://miland.ru/api/getInfo/image/d237c64c-728e-11f0-a284-00155d82e908")</f>
        <v>https://miland.ru/api/getInfo/image/d237c64c-728e-11f0-a284-00155d82e908</v>
      </c>
    </row>
    <row r="4137" spans="1:19" s="1" customFormat="1" ht="12" customHeight="1" outlineLevel="4">
      <c r="A4137" s="64" t="s">
        <v>8152</v>
      </c>
      <c r="B4137" s="64"/>
      <c r="C4137" s="64"/>
      <c r="D4137" s="64"/>
      <c r="E4137" s="64"/>
      <c r="F4137" s="64"/>
      <c r="G4137" s="8"/>
      <c r="H4137" s="12"/>
      <c r="I4137" s="2"/>
      <c r="J4137" s="2"/>
      <c r="K4137" s="13"/>
      <c r="L4137" s="2"/>
      <c r="M4137" s="2"/>
      <c r="N4137" s="2"/>
      <c r="O4137" s="2"/>
      <c r="P4137" s="2"/>
      <c r="Q4137" s="2"/>
      <c r="R4137" s="2"/>
      <c r="S4137" s="2"/>
    </row>
    <row r="4138" spans="1:19" s="1" customFormat="1" ht="12" customHeight="1" outlineLevel="5">
      <c r="A4138" s="64" t="s">
        <v>13733</v>
      </c>
      <c r="B4138" s="64"/>
      <c r="C4138" s="64"/>
      <c r="D4138" s="64"/>
      <c r="E4138" s="64"/>
      <c r="F4138" s="64"/>
      <c r="G4138" s="8"/>
      <c r="H4138" s="12"/>
      <c r="I4138" s="2"/>
      <c r="J4138" s="2"/>
      <c r="K4138" s="13"/>
      <c r="L4138" s="2"/>
      <c r="M4138" s="2"/>
      <c r="N4138" s="2"/>
      <c r="O4138" s="2"/>
      <c r="P4138" s="2"/>
      <c r="Q4138" s="2"/>
      <c r="R4138" s="2"/>
      <c r="S4138" s="2"/>
    </row>
    <row r="4139" spans="1:19" s="1" customFormat="1" ht="12" customHeight="1" outlineLevel="6">
      <c r="A4139" s="64" t="s">
        <v>13734</v>
      </c>
      <c r="B4139" s="64"/>
      <c r="C4139" s="64"/>
      <c r="D4139" s="64"/>
      <c r="E4139" s="64"/>
      <c r="F4139" s="64"/>
      <c r="G4139" s="8"/>
      <c r="H4139" s="12"/>
      <c r="I4139" s="2"/>
      <c r="J4139" s="2"/>
      <c r="K4139" s="13"/>
      <c r="L4139" s="2"/>
      <c r="M4139" s="2"/>
      <c r="N4139" s="2"/>
      <c r="O4139" s="2"/>
      <c r="P4139" s="2"/>
      <c r="Q4139" s="2"/>
      <c r="R4139" s="2"/>
      <c r="S4139" s="2"/>
    </row>
    <row r="4140" spans="1:19" s="2" customFormat="1" ht="96.2" customHeight="1" outlineLevel="7">
      <c r="A4140" s="53">
        <v>3264</v>
      </c>
      <c r="B4140" s="10" t="s">
        <v>13735</v>
      </c>
      <c r="C4140" s="65" t="s">
        <v>13736</v>
      </c>
      <c r="D4140" s="65"/>
      <c r="E4140" s="65"/>
      <c r="F4140" s="65"/>
      <c r="G4140" s="11" t="s">
        <v>13737</v>
      </c>
      <c r="H4140" s="21" t="s">
        <v>44</v>
      </c>
      <c r="I4140" s="15"/>
      <c r="J4140" s="9">
        <v>12</v>
      </c>
      <c r="K4140" s="16">
        <v>79.87</v>
      </c>
      <c r="L4140" s="17"/>
      <c r="M4140" s="15">
        <f>K4140*L4140</f>
        <v>0</v>
      </c>
      <c r="N4140" s="18">
        <f>0.093*L4140</f>
        <v>0</v>
      </c>
      <c r="O4140" s="20">
        <f>0.0005*L4140</f>
        <v>0</v>
      </c>
      <c r="P4140" s="24" t="s">
        <v>26</v>
      </c>
      <c r="Q4140" s="15" t="s">
        <v>13738</v>
      </c>
      <c r="R4140" s="15"/>
      <c r="S4140" s="10" t="str">
        <f>HYPERLINK("https://miland.ru/api/getInfo/image/666a16ac-05b1-11f1-a28f-00155d82e908")</f>
        <v>https://miland.ru/api/getInfo/image/666a16ac-05b1-11f1-a28f-00155d82e908</v>
      </c>
    </row>
    <row r="4141" spans="1:19" s="2" customFormat="1" ht="96.2" customHeight="1" outlineLevel="7">
      <c r="A4141" s="53">
        <v>3265</v>
      </c>
      <c r="B4141" s="10" t="s">
        <v>13739</v>
      </c>
      <c r="C4141" s="65" t="s">
        <v>13740</v>
      </c>
      <c r="D4141" s="65"/>
      <c r="E4141" s="65"/>
      <c r="F4141" s="65"/>
      <c r="G4141" s="11" t="s">
        <v>13741</v>
      </c>
      <c r="H4141" s="21" t="s">
        <v>44</v>
      </c>
      <c r="I4141" s="15"/>
      <c r="J4141" s="9">
        <v>12</v>
      </c>
      <c r="K4141" s="16">
        <v>79.87</v>
      </c>
      <c r="L4141" s="17"/>
      <c r="M4141" s="15">
        <f>K4141*L4141</f>
        <v>0</v>
      </c>
      <c r="N4141" s="18">
        <f>0.092*L4141</f>
        <v>0</v>
      </c>
      <c r="O4141" s="20">
        <f>0.0005*L4141</f>
        <v>0</v>
      </c>
      <c r="P4141" s="24" t="s">
        <v>26</v>
      </c>
      <c r="Q4141" s="15" t="s">
        <v>13742</v>
      </c>
      <c r="R4141" s="15"/>
      <c r="S4141" s="10" t="str">
        <f>HYPERLINK("https://miland.ru/api/getInfo/image/c82724f6-05b1-11f1-a28f-00155d82e908")</f>
        <v>https://miland.ru/api/getInfo/image/c82724f6-05b1-11f1-a28f-00155d82e908</v>
      </c>
    </row>
    <row r="4142" spans="1:19" s="2" customFormat="1" ht="96.2" customHeight="1" outlineLevel="7">
      <c r="A4142" s="53">
        <v>3266</v>
      </c>
      <c r="B4142" s="10" t="s">
        <v>13743</v>
      </c>
      <c r="C4142" s="65" t="s">
        <v>13744</v>
      </c>
      <c r="D4142" s="65"/>
      <c r="E4142" s="65"/>
      <c r="F4142" s="65"/>
      <c r="G4142" s="11" t="s">
        <v>13745</v>
      </c>
      <c r="H4142" s="21" t="s">
        <v>44</v>
      </c>
      <c r="I4142" s="15"/>
      <c r="J4142" s="9">
        <v>12</v>
      </c>
      <c r="K4142" s="16">
        <v>79.87</v>
      </c>
      <c r="L4142" s="17"/>
      <c r="M4142" s="15">
        <f>K4142*L4142</f>
        <v>0</v>
      </c>
      <c r="N4142" s="18">
        <f>0.092*L4142</f>
        <v>0</v>
      </c>
      <c r="O4142" s="20">
        <f>0.0005*L4142</f>
        <v>0</v>
      </c>
      <c r="P4142" s="24" t="s">
        <v>26</v>
      </c>
      <c r="Q4142" s="15" t="s">
        <v>13746</v>
      </c>
      <c r="R4142" s="15"/>
      <c r="S4142" s="10" t="str">
        <f>HYPERLINK("https://miland.ru/api/getInfo/image/31300757-05b2-11f1-a28f-00155d82e908")</f>
        <v>https://miland.ru/api/getInfo/image/31300757-05b2-11f1-a28f-00155d82e908</v>
      </c>
    </row>
    <row r="4143" spans="1:19" s="2" customFormat="1" ht="96.2" customHeight="1" outlineLevel="7">
      <c r="A4143" s="53">
        <v>3267</v>
      </c>
      <c r="B4143" s="10" t="s">
        <v>13747</v>
      </c>
      <c r="C4143" s="65" t="s">
        <v>13748</v>
      </c>
      <c r="D4143" s="65"/>
      <c r="E4143" s="65"/>
      <c r="F4143" s="65"/>
      <c r="G4143" s="11" t="s">
        <v>13749</v>
      </c>
      <c r="H4143" s="21" t="s">
        <v>44</v>
      </c>
      <c r="I4143" s="15"/>
      <c r="J4143" s="9">
        <v>12</v>
      </c>
      <c r="K4143" s="16">
        <v>79.87</v>
      </c>
      <c r="L4143" s="17"/>
      <c r="M4143" s="15">
        <f>K4143*L4143</f>
        <v>0</v>
      </c>
      <c r="N4143" s="18">
        <f>9.375*L4143</f>
        <v>0</v>
      </c>
      <c r="O4143" s="20">
        <f>0.0005*L4143</f>
        <v>0</v>
      </c>
      <c r="P4143" s="24" t="s">
        <v>26</v>
      </c>
      <c r="Q4143" s="15" t="s">
        <v>13750</v>
      </c>
      <c r="R4143" s="15"/>
      <c r="S4143" s="10" t="str">
        <f>HYPERLINK("https://miland.ru/api/getInfo/image/dd5e341e-05b1-11f1-a28f-00155d82e908")</f>
        <v>https://miland.ru/api/getInfo/image/dd5e341e-05b1-11f1-a28f-00155d82e908</v>
      </c>
    </row>
    <row r="4144" spans="1:19" s="1" customFormat="1" ht="12" customHeight="1" outlineLevel="6">
      <c r="A4144" s="64" t="s">
        <v>13751</v>
      </c>
      <c r="B4144" s="64"/>
      <c r="C4144" s="64"/>
      <c r="D4144" s="64"/>
      <c r="E4144" s="64"/>
      <c r="F4144" s="64"/>
      <c r="G4144" s="8"/>
      <c r="H4144" s="12"/>
      <c r="I4144" s="2"/>
      <c r="J4144" s="2"/>
      <c r="K4144" s="13"/>
      <c r="L4144" s="2"/>
      <c r="M4144" s="2"/>
      <c r="N4144" s="2"/>
      <c r="O4144" s="2"/>
      <c r="P4144" s="2"/>
      <c r="Q4144" s="2"/>
      <c r="R4144" s="2"/>
      <c r="S4144" s="2"/>
    </row>
    <row r="4145" spans="1:19" s="2" customFormat="1" ht="96.2" customHeight="1" outlineLevel="7">
      <c r="A4145" s="52">
        <v>3268</v>
      </c>
      <c r="B4145" s="26" t="s">
        <v>13752</v>
      </c>
      <c r="C4145" s="66" t="s">
        <v>13753</v>
      </c>
      <c r="D4145" s="66"/>
      <c r="E4145" s="66"/>
      <c r="F4145" s="66"/>
      <c r="G4145" s="27" t="s">
        <v>13754</v>
      </c>
      <c r="H4145" s="33">
        <v>36</v>
      </c>
      <c r="I4145" s="29"/>
      <c r="J4145" s="25">
        <v>12</v>
      </c>
      <c r="K4145" s="30">
        <v>86.31</v>
      </c>
      <c r="L4145" s="17"/>
      <c r="M4145" s="29">
        <f>K4145*L4145</f>
        <v>0</v>
      </c>
      <c r="N4145" s="31">
        <f>0.095*L4145</f>
        <v>0</v>
      </c>
      <c r="O4145" s="32">
        <f>0.00017*L4145</f>
        <v>0</v>
      </c>
      <c r="P4145" s="36"/>
      <c r="Q4145" s="29" t="s">
        <v>13755</v>
      </c>
      <c r="R4145" s="29"/>
      <c r="S4145" s="26" t="str">
        <f>HYPERLINK("https://miland.ru/api/getInfo/image/720842be-24c3-11f0-a279-00155d82e908")</f>
        <v>https://miland.ru/api/getInfo/image/720842be-24c3-11f0-a279-00155d82e908</v>
      </c>
    </row>
    <row r="4146" spans="1:19" s="2" customFormat="1" ht="96.2" customHeight="1" outlineLevel="7">
      <c r="A4146" s="52">
        <v>3269</v>
      </c>
      <c r="B4146" s="26" t="s">
        <v>13756</v>
      </c>
      <c r="C4146" s="66" t="s">
        <v>13757</v>
      </c>
      <c r="D4146" s="66"/>
      <c r="E4146" s="66"/>
      <c r="F4146" s="66"/>
      <c r="G4146" s="27" t="s">
        <v>13758</v>
      </c>
      <c r="H4146" s="33">
        <v>48</v>
      </c>
      <c r="I4146" s="29"/>
      <c r="J4146" s="25">
        <v>12</v>
      </c>
      <c r="K4146" s="30">
        <v>86.31</v>
      </c>
      <c r="L4146" s="17"/>
      <c r="M4146" s="29">
        <f>K4146*L4146</f>
        <v>0</v>
      </c>
      <c r="N4146" s="31">
        <f>0.085*L4146</f>
        <v>0</v>
      </c>
      <c r="O4146" s="32">
        <f>0.00053*L4146</f>
        <v>0</v>
      </c>
      <c r="P4146" s="36"/>
      <c r="Q4146" s="29" t="s">
        <v>13759</v>
      </c>
      <c r="R4146" s="29"/>
      <c r="S4146" s="26" t="str">
        <f>HYPERLINK("https://miland.ru/api/getInfo/image/58b2f66a-24c4-11f0-a279-00155d82e908")</f>
        <v>https://miland.ru/api/getInfo/image/58b2f66a-24c4-11f0-a279-00155d82e908</v>
      </c>
    </row>
    <row r="4147" spans="1:19" s="1" customFormat="1" ht="12" customHeight="1" outlineLevel="6">
      <c r="A4147" s="64" t="s">
        <v>8188</v>
      </c>
      <c r="B4147" s="64"/>
      <c r="C4147" s="64"/>
      <c r="D4147" s="64"/>
      <c r="E4147" s="64"/>
      <c r="F4147" s="64"/>
      <c r="G4147" s="8"/>
      <c r="H4147" s="12"/>
      <c r="I4147" s="2"/>
      <c r="J4147" s="2"/>
      <c r="K4147" s="13"/>
      <c r="L4147" s="2"/>
      <c r="M4147" s="2"/>
      <c r="N4147" s="2"/>
      <c r="O4147" s="2"/>
      <c r="P4147" s="2"/>
      <c r="Q4147" s="2"/>
      <c r="R4147" s="2"/>
      <c r="S4147" s="2"/>
    </row>
    <row r="4148" spans="1:19" s="2" customFormat="1" ht="96.2" customHeight="1" outlineLevel="7">
      <c r="A4148" s="52">
        <v>3270</v>
      </c>
      <c r="B4148" s="26" t="s">
        <v>13760</v>
      </c>
      <c r="C4148" s="66" t="s">
        <v>13761</v>
      </c>
      <c r="D4148" s="66"/>
      <c r="E4148" s="66"/>
      <c r="F4148" s="66"/>
      <c r="G4148" s="27" t="s">
        <v>13762</v>
      </c>
      <c r="H4148" s="28" t="s">
        <v>44</v>
      </c>
      <c r="I4148" s="29"/>
      <c r="J4148" s="25">
        <v>12</v>
      </c>
      <c r="K4148" s="30">
        <v>59.62</v>
      </c>
      <c r="L4148" s="17"/>
      <c r="M4148" s="29">
        <f>K4148*L4148</f>
        <v>0</v>
      </c>
      <c r="N4148" s="31">
        <f>0.071*L4148</f>
        <v>0</v>
      </c>
      <c r="O4148" s="32">
        <f>0.00083*L4148</f>
        <v>0</v>
      </c>
      <c r="P4148" s="36"/>
      <c r="Q4148" s="29" t="s">
        <v>13763</v>
      </c>
      <c r="R4148" s="29"/>
      <c r="S4148" s="26" t="str">
        <f>HYPERLINK("https://miland.ru/api/getInfo/image/70aaf569-58aa-11f0-a27f-00155d82e908")</f>
        <v>https://miland.ru/api/getInfo/image/70aaf569-58aa-11f0-a27f-00155d82e908</v>
      </c>
    </row>
    <row r="4149" spans="1:19" s="2" customFormat="1" ht="96.2" customHeight="1" outlineLevel="7">
      <c r="A4149" s="52">
        <v>3271</v>
      </c>
      <c r="B4149" s="26" t="s">
        <v>13764</v>
      </c>
      <c r="C4149" s="66" t="s">
        <v>13765</v>
      </c>
      <c r="D4149" s="66"/>
      <c r="E4149" s="66"/>
      <c r="F4149" s="66"/>
      <c r="G4149" s="27" t="s">
        <v>13766</v>
      </c>
      <c r="H4149" s="33">
        <v>276</v>
      </c>
      <c r="I4149" s="29"/>
      <c r="J4149" s="25">
        <v>12</v>
      </c>
      <c r="K4149" s="30">
        <v>59.62</v>
      </c>
      <c r="L4149" s="17"/>
      <c r="M4149" s="29">
        <f>K4149*L4149</f>
        <v>0</v>
      </c>
      <c r="N4149" s="31">
        <f>0.071*L4149</f>
        <v>0</v>
      </c>
      <c r="O4149" s="32">
        <f>0.00083*L4149</f>
        <v>0</v>
      </c>
      <c r="P4149" s="36"/>
      <c r="Q4149" s="29" t="s">
        <v>13767</v>
      </c>
      <c r="R4149" s="29"/>
      <c r="S4149" s="26" t="str">
        <f>HYPERLINK("https://miland.ru/api/getInfo/image/ae5a887d-58aa-11f0-a27f-00155d82e908")</f>
        <v>https://miland.ru/api/getInfo/image/ae5a887d-58aa-11f0-a27f-00155d82e908</v>
      </c>
    </row>
    <row r="4150" spans="1:19" s="2" customFormat="1" ht="96.2" customHeight="1" outlineLevel="7">
      <c r="A4150" s="52">
        <v>3272</v>
      </c>
      <c r="B4150" s="26" t="s">
        <v>13768</v>
      </c>
      <c r="C4150" s="66" t="s">
        <v>13769</v>
      </c>
      <c r="D4150" s="66"/>
      <c r="E4150" s="66"/>
      <c r="F4150" s="66"/>
      <c r="G4150" s="27" t="s">
        <v>13770</v>
      </c>
      <c r="H4150" s="33">
        <v>108</v>
      </c>
      <c r="I4150" s="29"/>
      <c r="J4150" s="25">
        <v>12</v>
      </c>
      <c r="K4150" s="30">
        <v>59.62</v>
      </c>
      <c r="L4150" s="17"/>
      <c r="M4150" s="29">
        <f>K4150*L4150</f>
        <v>0</v>
      </c>
      <c r="N4150" s="31">
        <f>0.071*L4150</f>
        <v>0</v>
      </c>
      <c r="O4150" s="32">
        <f>0.00083*L4150</f>
        <v>0</v>
      </c>
      <c r="P4150" s="36"/>
      <c r="Q4150" s="29" t="s">
        <v>13771</v>
      </c>
      <c r="R4150" s="29"/>
      <c r="S4150" s="26" t="str">
        <f>HYPERLINK("https://miland.ru/api/getInfo/image/2dd7aa87-58ab-11f0-a27f-00155d82e908")</f>
        <v>https://miland.ru/api/getInfo/image/2dd7aa87-58ab-11f0-a27f-00155d82e908</v>
      </c>
    </row>
    <row r="4151" spans="1:19" s="2" customFormat="1" ht="96.2" customHeight="1" outlineLevel="7">
      <c r="A4151" s="52">
        <v>3273</v>
      </c>
      <c r="B4151" s="26" t="s">
        <v>13772</v>
      </c>
      <c r="C4151" s="66" t="s">
        <v>13773</v>
      </c>
      <c r="D4151" s="66"/>
      <c r="E4151" s="66"/>
      <c r="F4151" s="66"/>
      <c r="G4151" s="27" t="s">
        <v>13774</v>
      </c>
      <c r="H4151" s="28" t="s">
        <v>44</v>
      </c>
      <c r="I4151" s="29"/>
      <c r="J4151" s="25">
        <v>12</v>
      </c>
      <c r="K4151" s="30">
        <v>59.62</v>
      </c>
      <c r="L4151" s="17"/>
      <c r="M4151" s="29">
        <f>K4151*L4151</f>
        <v>0</v>
      </c>
      <c r="N4151" s="31">
        <f>0.071*L4151</f>
        <v>0</v>
      </c>
      <c r="O4151" s="32">
        <f>0.00083*L4151</f>
        <v>0</v>
      </c>
      <c r="P4151" s="36"/>
      <c r="Q4151" s="29" t="s">
        <v>13775</v>
      </c>
      <c r="R4151" s="29"/>
      <c r="S4151" s="26" t="str">
        <f>HYPERLINK("https://miland.ru/api/getInfo/image/e776ca2e-58aa-11f0-a27f-00155d82e908")</f>
        <v>https://miland.ru/api/getInfo/image/e776ca2e-58aa-11f0-a27f-00155d82e908</v>
      </c>
    </row>
    <row r="4152" spans="1:19" s="1" customFormat="1" ht="12" customHeight="1" outlineLevel="5">
      <c r="A4152" s="64" t="s">
        <v>13535</v>
      </c>
      <c r="B4152" s="64"/>
      <c r="C4152" s="64"/>
      <c r="D4152" s="64"/>
      <c r="E4152" s="64"/>
      <c r="F4152" s="64"/>
      <c r="G4152" s="8"/>
      <c r="H4152" s="12"/>
      <c r="I4152" s="2"/>
      <c r="J4152" s="2"/>
      <c r="K4152" s="13"/>
      <c r="L4152" s="2"/>
      <c r="M4152" s="2"/>
      <c r="N4152" s="2"/>
      <c r="O4152" s="2"/>
      <c r="P4152" s="2"/>
      <c r="Q4152" s="2"/>
      <c r="R4152" s="2"/>
      <c r="S4152" s="2"/>
    </row>
    <row r="4153" spans="1:19" s="1" customFormat="1" ht="12" customHeight="1" outlineLevel="6">
      <c r="A4153" s="64" t="s">
        <v>549</v>
      </c>
      <c r="B4153" s="64"/>
      <c r="C4153" s="64"/>
      <c r="D4153" s="64"/>
      <c r="E4153" s="64"/>
      <c r="F4153" s="64"/>
      <c r="G4153" s="8"/>
      <c r="H4153" s="12"/>
      <c r="I4153" s="2"/>
      <c r="J4153" s="2"/>
      <c r="K4153" s="13"/>
      <c r="L4153" s="2"/>
      <c r="M4153" s="2"/>
      <c r="N4153" s="2"/>
      <c r="O4153" s="2"/>
      <c r="P4153" s="2"/>
      <c r="Q4153" s="2"/>
      <c r="R4153" s="2"/>
      <c r="S4153" s="2"/>
    </row>
    <row r="4154" spans="1:19" s="2" customFormat="1" ht="96.2" customHeight="1" outlineLevel="7">
      <c r="A4154" s="52">
        <v>3274</v>
      </c>
      <c r="B4154" s="26" t="s">
        <v>13776</v>
      </c>
      <c r="C4154" s="66" t="s">
        <v>13777</v>
      </c>
      <c r="D4154" s="66"/>
      <c r="E4154" s="66"/>
      <c r="F4154" s="66"/>
      <c r="G4154" s="27" t="s">
        <v>13778</v>
      </c>
      <c r="H4154" s="28" t="s">
        <v>44</v>
      </c>
      <c r="I4154" s="29"/>
      <c r="J4154" s="25">
        <v>12</v>
      </c>
      <c r="K4154" s="30">
        <v>52.8</v>
      </c>
      <c r="L4154" s="17"/>
      <c r="M4154" s="29">
        <f>K4154*L4154</f>
        <v>0</v>
      </c>
      <c r="N4154" s="31">
        <f>0.023*L4154</f>
        <v>0</v>
      </c>
      <c r="O4154" s="32">
        <f>0.00011*L4154</f>
        <v>0</v>
      </c>
      <c r="P4154" s="36"/>
      <c r="Q4154" s="29" t="s">
        <v>13779</v>
      </c>
      <c r="R4154" s="29"/>
      <c r="S4154" s="26" t="str">
        <f>HYPERLINK("https://miland.ru/api/getInfo/image/fd3270ee-58a5-11f0-a27f-00155d82e908")</f>
        <v>https://miland.ru/api/getInfo/image/fd3270ee-58a5-11f0-a27f-00155d82e908</v>
      </c>
    </row>
    <row r="4155" spans="1:19" s="2" customFormat="1" ht="96.2" customHeight="1" outlineLevel="7">
      <c r="A4155" s="52">
        <v>3275</v>
      </c>
      <c r="B4155" s="26" t="s">
        <v>13780</v>
      </c>
      <c r="C4155" s="66" t="s">
        <v>13781</v>
      </c>
      <c r="D4155" s="66"/>
      <c r="E4155" s="66"/>
      <c r="F4155" s="66"/>
      <c r="G4155" s="27" t="s">
        <v>13782</v>
      </c>
      <c r="H4155" s="28" t="s">
        <v>44</v>
      </c>
      <c r="I4155" s="29"/>
      <c r="J4155" s="25">
        <v>12</v>
      </c>
      <c r="K4155" s="30">
        <v>52.8</v>
      </c>
      <c r="L4155" s="17"/>
      <c r="M4155" s="29">
        <f>K4155*L4155</f>
        <v>0</v>
      </c>
      <c r="N4155" s="31">
        <f>0.023*L4155</f>
        <v>0</v>
      </c>
      <c r="O4155" s="32">
        <f>0.00026*L4155</f>
        <v>0</v>
      </c>
      <c r="P4155" s="36"/>
      <c r="Q4155" s="29" t="s">
        <v>13783</v>
      </c>
      <c r="R4155" s="29"/>
      <c r="S4155" s="26" t="str">
        <f>HYPERLINK("https://miland.ru/api/getInfo/image/7d31e13e-58a6-11f0-a27f-00155d82e908")</f>
        <v>https://miland.ru/api/getInfo/image/7d31e13e-58a6-11f0-a27f-00155d82e908</v>
      </c>
    </row>
    <row r="4156" spans="1:19" s="2" customFormat="1" ht="96.2" customHeight="1" outlineLevel="7">
      <c r="A4156" s="52">
        <v>3276</v>
      </c>
      <c r="B4156" s="26" t="s">
        <v>13784</v>
      </c>
      <c r="C4156" s="66" t="s">
        <v>13785</v>
      </c>
      <c r="D4156" s="66"/>
      <c r="E4156" s="66"/>
      <c r="F4156" s="66"/>
      <c r="G4156" s="27" t="s">
        <v>13786</v>
      </c>
      <c r="H4156" s="28" t="s">
        <v>44</v>
      </c>
      <c r="I4156" s="29"/>
      <c r="J4156" s="25">
        <v>12</v>
      </c>
      <c r="K4156" s="30">
        <v>52.8</v>
      </c>
      <c r="L4156" s="17"/>
      <c r="M4156" s="29">
        <f>K4156*L4156</f>
        <v>0</v>
      </c>
      <c r="N4156" s="31">
        <f>0.023*L4156</f>
        <v>0</v>
      </c>
      <c r="O4156" s="32">
        <f>0.00023*L4156</f>
        <v>0</v>
      </c>
      <c r="P4156" s="36"/>
      <c r="Q4156" s="29" t="s">
        <v>13787</v>
      </c>
      <c r="R4156" s="29"/>
      <c r="S4156" s="26" t="str">
        <f>HYPERLINK("https://miland.ru/api/getInfo/image/42eaa408-58a6-11f0-a27f-00155d82e908")</f>
        <v>https://miland.ru/api/getInfo/image/42eaa408-58a6-11f0-a27f-00155d82e908</v>
      </c>
    </row>
    <row r="4157" spans="1:19" s="1" customFormat="1" ht="12" customHeight="1" outlineLevel="6">
      <c r="A4157" s="64" t="s">
        <v>13587</v>
      </c>
      <c r="B4157" s="64"/>
      <c r="C4157" s="64"/>
      <c r="D4157" s="64"/>
      <c r="E4157" s="64"/>
      <c r="F4157" s="64"/>
      <c r="G4157" s="8"/>
      <c r="H4157" s="12"/>
      <c r="I4157" s="2"/>
      <c r="J4157" s="2"/>
      <c r="K4157" s="13"/>
      <c r="L4157" s="2"/>
      <c r="M4157" s="2"/>
      <c r="N4157" s="2"/>
      <c r="O4157" s="2"/>
      <c r="P4157" s="2"/>
      <c r="Q4157" s="2"/>
      <c r="R4157" s="2"/>
      <c r="S4157" s="2"/>
    </row>
    <row r="4158" spans="1:19" s="2" customFormat="1" ht="96.2" customHeight="1" outlineLevel="7">
      <c r="A4158" s="53">
        <v>3277</v>
      </c>
      <c r="B4158" s="10" t="s">
        <v>13788</v>
      </c>
      <c r="C4158" s="65" t="s">
        <v>13789</v>
      </c>
      <c r="D4158" s="65"/>
      <c r="E4158" s="65"/>
      <c r="F4158" s="65"/>
      <c r="G4158" s="11" t="s">
        <v>13790</v>
      </c>
      <c r="H4158" s="21" t="s">
        <v>44</v>
      </c>
      <c r="I4158" s="15"/>
      <c r="J4158" s="9">
        <v>12</v>
      </c>
      <c r="K4158" s="16">
        <v>43.42</v>
      </c>
      <c r="L4158" s="17"/>
      <c r="M4158" s="15">
        <f>K4158*L4158</f>
        <v>0</v>
      </c>
      <c r="N4158" s="18">
        <f>0.053*L4158</f>
        <v>0</v>
      </c>
      <c r="O4158" s="19">
        <f>0.00033*L4158</f>
        <v>0</v>
      </c>
      <c r="P4158" s="24" t="s">
        <v>26</v>
      </c>
      <c r="Q4158" s="15" t="s">
        <v>13791</v>
      </c>
      <c r="R4158" s="15"/>
      <c r="S4158" s="10" t="str">
        <f>HYPERLINK("https://miland.ru/api/getInfo/image/804fc145-05b6-11f1-a28f-00155d82e908")</f>
        <v>https://miland.ru/api/getInfo/image/804fc145-05b6-11f1-a28f-00155d82e908</v>
      </c>
    </row>
    <row r="4159" spans="1:19" s="2" customFormat="1" ht="96.2" customHeight="1" outlineLevel="7">
      <c r="A4159" s="53">
        <v>3278</v>
      </c>
      <c r="B4159" s="10" t="s">
        <v>13792</v>
      </c>
      <c r="C4159" s="65" t="s">
        <v>13793</v>
      </c>
      <c r="D4159" s="65"/>
      <c r="E4159" s="65"/>
      <c r="F4159" s="65"/>
      <c r="G4159" s="11" t="s">
        <v>13794</v>
      </c>
      <c r="H4159" s="21" t="s">
        <v>44</v>
      </c>
      <c r="I4159" s="15"/>
      <c r="J4159" s="9">
        <v>12</v>
      </c>
      <c r="K4159" s="16">
        <v>43.42</v>
      </c>
      <c r="L4159" s="17"/>
      <c r="M4159" s="15">
        <f>K4159*L4159</f>
        <v>0</v>
      </c>
      <c r="N4159" s="18">
        <f>0.053*L4159</f>
        <v>0</v>
      </c>
      <c r="O4159" s="19">
        <f>0.00033*L4159</f>
        <v>0</v>
      </c>
      <c r="P4159" s="24" t="s">
        <v>26</v>
      </c>
      <c r="Q4159" s="15" t="s">
        <v>13795</v>
      </c>
      <c r="R4159" s="15"/>
      <c r="S4159" s="10" t="str">
        <f>HYPERLINK("https://miland.ru/api/getInfo/image/93663a93-05b6-11f1-a28f-00155d82e908")</f>
        <v>https://miland.ru/api/getInfo/image/93663a93-05b6-11f1-a28f-00155d82e908</v>
      </c>
    </row>
    <row r="4160" spans="1:19" s="2" customFormat="1" ht="96.2" customHeight="1" outlineLevel="7">
      <c r="A4160" s="53">
        <v>3279</v>
      </c>
      <c r="B4160" s="10" t="s">
        <v>13796</v>
      </c>
      <c r="C4160" s="65" t="s">
        <v>13797</v>
      </c>
      <c r="D4160" s="65"/>
      <c r="E4160" s="65"/>
      <c r="F4160" s="65"/>
      <c r="G4160" s="11" t="s">
        <v>13798</v>
      </c>
      <c r="H4160" s="21" t="s">
        <v>44</v>
      </c>
      <c r="I4160" s="15"/>
      <c r="J4160" s="9">
        <v>12</v>
      </c>
      <c r="K4160" s="16">
        <v>43.42</v>
      </c>
      <c r="L4160" s="17"/>
      <c r="M4160" s="15">
        <f>K4160*L4160</f>
        <v>0</v>
      </c>
      <c r="N4160" s="18">
        <f>0.053*L4160</f>
        <v>0</v>
      </c>
      <c r="O4160" s="19">
        <f>0.00052*L4160</f>
        <v>0</v>
      </c>
      <c r="P4160" s="24" t="s">
        <v>26</v>
      </c>
      <c r="Q4160" s="15" t="s">
        <v>13799</v>
      </c>
      <c r="R4160" s="15"/>
      <c r="S4160" s="10" t="str">
        <f>HYPERLINK("https://miland.ru/api/getInfo/image/acd1575a-05b6-11f1-a28f-00155d82e908")</f>
        <v>https://miland.ru/api/getInfo/image/acd1575a-05b6-11f1-a28f-00155d82e908</v>
      </c>
    </row>
    <row r="4161" spans="1:19" s="2" customFormat="1" ht="96.2" customHeight="1" outlineLevel="7">
      <c r="A4161" s="53">
        <v>3280</v>
      </c>
      <c r="B4161" s="10" t="s">
        <v>13800</v>
      </c>
      <c r="C4161" s="65" t="s">
        <v>13801</v>
      </c>
      <c r="D4161" s="65"/>
      <c r="E4161" s="65"/>
      <c r="F4161" s="65"/>
      <c r="G4161" s="11" t="s">
        <v>13802</v>
      </c>
      <c r="H4161" s="14">
        <v>372</v>
      </c>
      <c r="I4161" s="15"/>
      <c r="J4161" s="9">
        <v>12</v>
      </c>
      <c r="K4161" s="16">
        <v>43.42</v>
      </c>
      <c r="L4161" s="17"/>
      <c r="M4161" s="15">
        <f>K4161*L4161</f>
        <v>0</v>
      </c>
      <c r="N4161" s="18">
        <f>0.067*L4161</f>
        <v>0</v>
      </c>
      <c r="O4161" s="19">
        <f>0.00045*L4161</f>
        <v>0</v>
      </c>
      <c r="P4161" s="24" t="s">
        <v>26</v>
      </c>
      <c r="Q4161" s="15" t="s">
        <v>13803</v>
      </c>
      <c r="R4161" s="15"/>
      <c r="S4161" s="10" t="str">
        <f>HYPERLINK("https://miland.ru/api/getInfo/image/60bd545e-05b6-11f1-a28f-00155d82e908")</f>
        <v>https://miland.ru/api/getInfo/image/60bd545e-05b6-11f1-a28f-00155d82e908</v>
      </c>
    </row>
    <row r="4162" spans="1:19" s="1" customFormat="1" ht="12" customHeight="1" outlineLevel="5">
      <c r="A4162" s="64" t="s">
        <v>13804</v>
      </c>
      <c r="B4162" s="64"/>
      <c r="C4162" s="64"/>
      <c r="D4162" s="64"/>
      <c r="E4162" s="64"/>
      <c r="F4162" s="64"/>
      <c r="G4162" s="8"/>
      <c r="H4162" s="12"/>
      <c r="I4162" s="2"/>
      <c r="J4162" s="2"/>
      <c r="K4162" s="13"/>
      <c r="L4162" s="2"/>
      <c r="M4162" s="2"/>
      <c r="N4162" s="2"/>
      <c r="O4162" s="2"/>
      <c r="P4162" s="2"/>
      <c r="Q4162" s="2"/>
      <c r="R4162" s="2"/>
      <c r="S4162" s="2"/>
    </row>
    <row r="4163" spans="1:19" s="1" customFormat="1" ht="12" customHeight="1" outlineLevel="6">
      <c r="A4163" s="64" t="s">
        <v>13805</v>
      </c>
      <c r="B4163" s="64"/>
      <c r="C4163" s="64"/>
      <c r="D4163" s="64"/>
      <c r="E4163" s="64"/>
      <c r="F4163" s="64"/>
      <c r="G4163" s="8"/>
      <c r="H4163" s="12"/>
      <c r="I4163" s="2"/>
      <c r="J4163" s="2"/>
      <c r="K4163" s="13"/>
      <c r="L4163" s="2"/>
      <c r="M4163" s="2"/>
      <c r="N4163" s="2"/>
      <c r="O4163" s="2"/>
      <c r="P4163" s="2"/>
      <c r="Q4163" s="2"/>
      <c r="R4163" s="2"/>
      <c r="S4163" s="2"/>
    </row>
    <row r="4164" spans="1:19" s="2" customFormat="1" ht="96.2" customHeight="1" outlineLevel="7">
      <c r="A4164" s="52">
        <v>3281</v>
      </c>
      <c r="B4164" s="26" t="s">
        <v>13806</v>
      </c>
      <c r="C4164" s="66" t="s">
        <v>13807</v>
      </c>
      <c r="D4164" s="66"/>
      <c r="E4164" s="66"/>
      <c r="F4164" s="66"/>
      <c r="G4164" s="27" t="s">
        <v>13808</v>
      </c>
      <c r="H4164" s="28" t="s">
        <v>44</v>
      </c>
      <c r="I4164" s="29"/>
      <c r="J4164" s="25">
        <v>12</v>
      </c>
      <c r="K4164" s="30">
        <v>62.36</v>
      </c>
      <c r="L4164" s="17"/>
      <c r="M4164" s="29">
        <f>K4164*L4164</f>
        <v>0</v>
      </c>
      <c r="N4164" s="31">
        <f>0.069*L4164</f>
        <v>0</v>
      </c>
      <c r="O4164" s="32">
        <f>0.00154*L4164</f>
        <v>0</v>
      </c>
      <c r="P4164" s="36"/>
      <c r="Q4164" s="29" t="s">
        <v>13809</v>
      </c>
      <c r="R4164" s="29"/>
      <c r="S4164" s="26" t="str">
        <f>HYPERLINK("https://miland.ru/api/getInfo/image/bb7a8f56-edc8-11ef-a274-00155d82e908")</f>
        <v>https://miland.ru/api/getInfo/image/bb7a8f56-edc8-11ef-a274-00155d82e908</v>
      </c>
    </row>
    <row r="4165" spans="1:19" s="2" customFormat="1" ht="96.2" customHeight="1" outlineLevel="7">
      <c r="A4165" s="53">
        <v>3282</v>
      </c>
      <c r="B4165" s="10" t="s">
        <v>13810</v>
      </c>
      <c r="C4165" s="65" t="s">
        <v>13811</v>
      </c>
      <c r="D4165" s="65"/>
      <c r="E4165" s="65"/>
      <c r="F4165" s="65"/>
      <c r="G4165" s="11" t="s">
        <v>13812</v>
      </c>
      <c r="H4165" s="21" t="s">
        <v>44</v>
      </c>
      <c r="I4165" s="15"/>
      <c r="J4165" s="9">
        <v>12</v>
      </c>
      <c r="K4165" s="16">
        <v>62.36</v>
      </c>
      <c r="L4165" s="17"/>
      <c r="M4165" s="15">
        <f>K4165*L4165</f>
        <v>0</v>
      </c>
      <c r="N4165" s="18">
        <f>0.059*L4165</f>
        <v>0</v>
      </c>
      <c r="O4165" s="19">
        <f>0.00026*L4165</f>
        <v>0</v>
      </c>
      <c r="P4165" s="24" t="s">
        <v>26</v>
      </c>
      <c r="Q4165" s="15" t="s">
        <v>13813</v>
      </c>
      <c r="R4165" s="15"/>
      <c r="S4165" s="10" t="str">
        <f>HYPERLINK("https://miland.ru/api/getInfo/image/57fbcb48-9dee-11f0-a285-00155d82e908")</f>
        <v>https://miland.ru/api/getInfo/image/57fbcb48-9dee-11f0-a285-00155d82e908</v>
      </c>
    </row>
    <row r="4166" spans="1:19" s="2" customFormat="1" ht="96.2" customHeight="1" outlineLevel="7">
      <c r="A4166" s="53">
        <v>3283</v>
      </c>
      <c r="B4166" s="10" t="s">
        <v>13814</v>
      </c>
      <c r="C4166" s="65" t="s">
        <v>13815</v>
      </c>
      <c r="D4166" s="65"/>
      <c r="E4166" s="65"/>
      <c r="F4166" s="65"/>
      <c r="G4166" s="11" t="s">
        <v>13816</v>
      </c>
      <c r="H4166" s="21" t="s">
        <v>44</v>
      </c>
      <c r="I4166" s="15"/>
      <c r="J4166" s="9">
        <v>12</v>
      </c>
      <c r="K4166" s="16">
        <v>62.36</v>
      </c>
      <c r="L4166" s="17"/>
      <c r="M4166" s="15">
        <f>K4166*L4166</f>
        <v>0</v>
      </c>
      <c r="N4166" s="18">
        <f>0.065*L4166</f>
        <v>0</v>
      </c>
      <c r="O4166" s="19">
        <f>0.00035*L4166</f>
        <v>0</v>
      </c>
      <c r="P4166" s="24" t="s">
        <v>26</v>
      </c>
      <c r="Q4166" s="15" t="s">
        <v>13817</v>
      </c>
      <c r="R4166" s="15"/>
      <c r="S4166" s="10" t="str">
        <f>HYPERLINK("https://miland.ru/api/getInfo/image/f235deb6-9ded-11f0-a285-00155d82e908")</f>
        <v>https://miland.ru/api/getInfo/image/f235deb6-9ded-11f0-a285-00155d82e908</v>
      </c>
    </row>
    <row r="4167" spans="1:19" s="2" customFormat="1" ht="96.2" customHeight="1" outlineLevel="7">
      <c r="A4167" s="53">
        <v>3284</v>
      </c>
      <c r="B4167" s="10" t="s">
        <v>13818</v>
      </c>
      <c r="C4167" s="65" t="s">
        <v>13819</v>
      </c>
      <c r="D4167" s="65"/>
      <c r="E4167" s="65"/>
      <c r="F4167" s="65"/>
      <c r="G4167" s="11" t="s">
        <v>13820</v>
      </c>
      <c r="H4167" s="21" t="s">
        <v>44</v>
      </c>
      <c r="I4167" s="15"/>
      <c r="J4167" s="9">
        <v>12</v>
      </c>
      <c r="K4167" s="16">
        <v>62.36</v>
      </c>
      <c r="L4167" s="17"/>
      <c r="M4167" s="15">
        <f>K4167*L4167</f>
        <v>0</v>
      </c>
      <c r="N4167" s="18">
        <f>0.065*L4167</f>
        <v>0</v>
      </c>
      <c r="O4167" s="19">
        <f>0.00035*L4167</f>
        <v>0</v>
      </c>
      <c r="P4167" s="24" t="s">
        <v>26</v>
      </c>
      <c r="Q4167" s="15" t="s">
        <v>13821</v>
      </c>
      <c r="R4167" s="15"/>
      <c r="S4167" s="10" t="str">
        <f>HYPERLINK("https://miland.ru/api/getInfo/image/1819ba9c-9dee-11f0-a285-00155d82e908")</f>
        <v>https://miland.ru/api/getInfo/image/1819ba9c-9dee-11f0-a285-00155d82e908</v>
      </c>
    </row>
    <row r="4168" spans="1:19" s="2" customFormat="1" ht="96.2" customHeight="1" outlineLevel="7">
      <c r="A4168" s="52">
        <v>3285</v>
      </c>
      <c r="B4168" s="26" t="s">
        <v>13822</v>
      </c>
      <c r="C4168" s="66" t="s">
        <v>13823</v>
      </c>
      <c r="D4168" s="66"/>
      <c r="E4168" s="66"/>
      <c r="F4168" s="66"/>
      <c r="G4168" s="27" t="s">
        <v>13824</v>
      </c>
      <c r="H4168" s="33">
        <v>24</v>
      </c>
      <c r="I4168" s="29"/>
      <c r="J4168" s="25">
        <v>12</v>
      </c>
      <c r="K4168" s="30">
        <v>62.36</v>
      </c>
      <c r="L4168" s="17"/>
      <c r="M4168" s="29">
        <f>K4168*L4168</f>
        <v>0</v>
      </c>
      <c r="N4168" s="31">
        <f>0.065*L4168</f>
        <v>0</v>
      </c>
      <c r="O4168" s="32">
        <f>0.00019*L4168</f>
        <v>0</v>
      </c>
      <c r="P4168" s="36"/>
      <c r="Q4168" s="29" t="s">
        <v>13825</v>
      </c>
      <c r="R4168" s="29" t="s">
        <v>611</v>
      </c>
      <c r="S4168" s="26" t="str">
        <f>HYPERLINK("https://miland.ru/api/getInfo/image/551b6dba-cf25-11ee-a25a-00155d82e908")</f>
        <v>https://miland.ru/api/getInfo/image/551b6dba-cf25-11ee-a25a-00155d82e908</v>
      </c>
    </row>
    <row r="4169" spans="1:19" s="1" customFormat="1" ht="12" customHeight="1" outlineLevel="6">
      <c r="A4169" s="64" t="s">
        <v>13633</v>
      </c>
      <c r="B4169" s="64"/>
      <c r="C4169" s="64"/>
      <c r="D4169" s="64"/>
      <c r="E4169" s="64"/>
      <c r="F4169" s="64"/>
      <c r="G4169" s="8"/>
      <c r="H4169" s="12"/>
      <c r="I4169" s="2"/>
      <c r="J4169" s="2"/>
      <c r="K4169" s="13"/>
      <c r="L4169" s="2"/>
      <c r="M4169" s="2"/>
      <c r="N4169" s="2"/>
      <c r="O4169" s="2"/>
      <c r="P4169" s="2"/>
      <c r="Q4169" s="2"/>
      <c r="R4169" s="2"/>
      <c r="S4169" s="2"/>
    </row>
    <row r="4170" spans="1:19" s="2" customFormat="1" ht="96.2" customHeight="1" outlineLevel="7">
      <c r="A4170" s="53">
        <v>3286</v>
      </c>
      <c r="B4170" s="10" t="s">
        <v>13826</v>
      </c>
      <c r="C4170" s="65" t="s">
        <v>13827</v>
      </c>
      <c r="D4170" s="65"/>
      <c r="E4170" s="65"/>
      <c r="F4170" s="65"/>
      <c r="G4170" s="11" t="s">
        <v>13828</v>
      </c>
      <c r="H4170" s="21" t="s">
        <v>44</v>
      </c>
      <c r="I4170" s="15"/>
      <c r="J4170" s="9">
        <v>12</v>
      </c>
      <c r="K4170" s="16">
        <v>43.42</v>
      </c>
      <c r="L4170" s="17"/>
      <c r="M4170" s="15">
        <f>K4170*L4170</f>
        <v>0</v>
      </c>
      <c r="N4170" s="18">
        <f>0.071*L4170</f>
        <v>0</v>
      </c>
      <c r="O4170" s="19">
        <f>0.00121*L4170</f>
        <v>0</v>
      </c>
      <c r="P4170" s="24" t="s">
        <v>26</v>
      </c>
      <c r="Q4170" s="15" t="s">
        <v>13829</v>
      </c>
      <c r="R4170" s="15"/>
      <c r="S4170" s="10" t="str">
        <f>HYPERLINK("https://miland.ru/api/getInfo/image/feb10167-05b6-11f1-a28f-00155d82e908")</f>
        <v>https://miland.ru/api/getInfo/image/feb10167-05b6-11f1-a28f-00155d82e908</v>
      </c>
    </row>
    <row r="4171" spans="1:19" s="2" customFormat="1" ht="96.2" customHeight="1" outlineLevel="7">
      <c r="A4171" s="53">
        <v>3287</v>
      </c>
      <c r="B4171" s="10" t="s">
        <v>13830</v>
      </c>
      <c r="C4171" s="65" t="s">
        <v>13831</v>
      </c>
      <c r="D4171" s="65"/>
      <c r="E4171" s="65"/>
      <c r="F4171" s="65"/>
      <c r="G4171" s="11" t="s">
        <v>13832</v>
      </c>
      <c r="H4171" s="21" t="s">
        <v>44</v>
      </c>
      <c r="I4171" s="15"/>
      <c r="J4171" s="9">
        <v>12</v>
      </c>
      <c r="K4171" s="16">
        <v>44.24</v>
      </c>
      <c r="L4171" s="17"/>
      <c r="M4171" s="15">
        <f>K4171*L4171</f>
        <v>0</v>
      </c>
      <c r="N4171" s="23">
        <f>0.07*L4171</f>
        <v>0</v>
      </c>
      <c r="O4171" s="19">
        <f>0.00142*L4171</f>
        <v>0</v>
      </c>
      <c r="P4171" s="24" t="s">
        <v>26</v>
      </c>
      <c r="Q4171" s="15" t="s">
        <v>13833</v>
      </c>
      <c r="R4171" s="15"/>
      <c r="S4171" s="10" t="str">
        <f>HYPERLINK("https://miland.ru/api/getInfo/image/2293b4ff-05b7-11f1-a28f-00155d82e908")</f>
        <v>https://miland.ru/api/getInfo/image/2293b4ff-05b7-11f1-a28f-00155d82e908</v>
      </c>
    </row>
    <row r="4172" spans="1:19" s="2" customFormat="1" ht="96.2" customHeight="1" outlineLevel="7">
      <c r="A4172" s="53">
        <v>3288</v>
      </c>
      <c r="B4172" s="10" t="s">
        <v>13834</v>
      </c>
      <c r="C4172" s="65" t="s">
        <v>13835</v>
      </c>
      <c r="D4172" s="65"/>
      <c r="E4172" s="65"/>
      <c r="F4172" s="65"/>
      <c r="G4172" s="11" t="s">
        <v>13836</v>
      </c>
      <c r="H4172" s="21" t="s">
        <v>44</v>
      </c>
      <c r="I4172" s="15"/>
      <c r="J4172" s="9">
        <v>12</v>
      </c>
      <c r="K4172" s="16">
        <v>44.24</v>
      </c>
      <c r="L4172" s="17"/>
      <c r="M4172" s="15">
        <f>K4172*L4172</f>
        <v>0</v>
      </c>
      <c r="N4172" s="18">
        <f>0.072*L4172</f>
        <v>0</v>
      </c>
      <c r="O4172" s="19">
        <f>0.00158*L4172</f>
        <v>0</v>
      </c>
      <c r="P4172" s="24" t="s">
        <v>26</v>
      </c>
      <c r="Q4172" s="15" t="s">
        <v>13837</v>
      </c>
      <c r="R4172" s="15"/>
      <c r="S4172" s="10" t="str">
        <f>HYPERLINK("https://miland.ru/api/getInfo/image/e2d68847-05b6-11f1-a28f-00155d82e908")</f>
        <v>https://miland.ru/api/getInfo/image/e2d68847-05b6-11f1-a28f-00155d82e908</v>
      </c>
    </row>
    <row r="4173" spans="1:19" s="1" customFormat="1" ht="12" customHeight="1" outlineLevel="5">
      <c r="A4173" s="64" t="s">
        <v>7805</v>
      </c>
      <c r="B4173" s="64"/>
      <c r="C4173" s="64"/>
      <c r="D4173" s="64"/>
      <c r="E4173" s="64"/>
      <c r="F4173" s="64"/>
      <c r="G4173" s="8"/>
      <c r="H4173" s="12"/>
      <c r="I4173" s="2"/>
      <c r="J4173" s="2"/>
      <c r="K4173" s="13"/>
      <c r="L4173" s="2"/>
      <c r="M4173" s="2"/>
      <c r="N4173" s="2"/>
      <c r="O4173" s="2"/>
      <c r="P4173" s="2"/>
      <c r="Q4173" s="2"/>
      <c r="R4173" s="2"/>
      <c r="S4173" s="2"/>
    </row>
    <row r="4174" spans="1:19" s="1" customFormat="1" ht="12" customHeight="1" outlineLevel="6">
      <c r="A4174" s="64" t="s">
        <v>7806</v>
      </c>
      <c r="B4174" s="64"/>
      <c r="C4174" s="64"/>
      <c r="D4174" s="64"/>
      <c r="E4174" s="64"/>
      <c r="F4174" s="64"/>
      <c r="G4174" s="8"/>
      <c r="H4174" s="12"/>
      <c r="I4174" s="2"/>
      <c r="J4174" s="2"/>
      <c r="K4174" s="13"/>
      <c r="L4174" s="2"/>
      <c r="M4174" s="2"/>
      <c r="N4174" s="2"/>
      <c r="O4174" s="2"/>
      <c r="P4174" s="2"/>
      <c r="Q4174" s="2"/>
      <c r="R4174" s="2"/>
      <c r="S4174" s="2"/>
    </row>
    <row r="4175" spans="1:19" s="2" customFormat="1" ht="96.2" customHeight="1" outlineLevel="7">
      <c r="A4175" s="52">
        <v>3289</v>
      </c>
      <c r="B4175" s="26" t="s">
        <v>13838</v>
      </c>
      <c r="C4175" s="66" t="s">
        <v>13839</v>
      </c>
      <c r="D4175" s="66"/>
      <c r="E4175" s="66"/>
      <c r="F4175" s="66"/>
      <c r="G4175" s="27" t="s">
        <v>13840</v>
      </c>
      <c r="H4175" s="28" t="s">
        <v>44</v>
      </c>
      <c r="I4175" s="29"/>
      <c r="J4175" s="25">
        <v>12</v>
      </c>
      <c r="K4175" s="30">
        <v>60.48</v>
      </c>
      <c r="L4175" s="17"/>
      <c r="M4175" s="29">
        <f>K4175*L4175</f>
        <v>0</v>
      </c>
      <c r="N4175" s="34">
        <f>0.65*L4175</f>
        <v>0</v>
      </c>
      <c r="O4175" s="32">
        <f>0.00313*L4175</f>
        <v>0</v>
      </c>
      <c r="P4175" s="36"/>
      <c r="Q4175" s="29" t="s">
        <v>13841</v>
      </c>
      <c r="R4175" s="29" t="s">
        <v>611</v>
      </c>
      <c r="S4175" s="26" t="str">
        <f>HYPERLINK("https://miland.ru/api/getInfo/image/0a808c61-03a6-11ef-a25d-00155d82e908")</f>
        <v>https://miland.ru/api/getInfo/image/0a808c61-03a6-11ef-a25d-00155d82e908</v>
      </c>
    </row>
    <row r="4176" spans="1:19" s="2" customFormat="1" ht="96.2" customHeight="1" outlineLevel="7">
      <c r="A4176" s="52">
        <v>3290</v>
      </c>
      <c r="B4176" s="26" t="s">
        <v>13842</v>
      </c>
      <c r="C4176" s="66" t="s">
        <v>13843</v>
      </c>
      <c r="D4176" s="66"/>
      <c r="E4176" s="66"/>
      <c r="F4176" s="66"/>
      <c r="G4176" s="27" t="s">
        <v>13844</v>
      </c>
      <c r="H4176" s="28" t="s">
        <v>44</v>
      </c>
      <c r="I4176" s="29"/>
      <c r="J4176" s="25">
        <v>12</v>
      </c>
      <c r="K4176" s="30">
        <v>60.48</v>
      </c>
      <c r="L4176" s="17"/>
      <c r="M4176" s="29">
        <f>K4176*L4176</f>
        <v>0</v>
      </c>
      <c r="N4176" s="34">
        <f>0.65*L4176</f>
        <v>0</v>
      </c>
      <c r="O4176" s="32">
        <f>0.00313*L4176</f>
        <v>0</v>
      </c>
      <c r="P4176" s="36"/>
      <c r="Q4176" s="29" t="s">
        <v>13845</v>
      </c>
      <c r="R4176" s="29" t="s">
        <v>611</v>
      </c>
      <c r="S4176" s="26" t="str">
        <f>HYPERLINK("https://miland.ru/api/getInfo/image/26226ddb-03a6-11ef-a25d-00155d82e908")</f>
        <v>https://miland.ru/api/getInfo/image/26226ddb-03a6-11ef-a25d-00155d82e908</v>
      </c>
    </row>
    <row r="4177" spans="1:19" s="2" customFormat="1" ht="96.2" customHeight="1" outlineLevel="7">
      <c r="A4177" s="52">
        <v>3291</v>
      </c>
      <c r="B4177" s="26" t="s">
        <v>13846</v>
      </c>
      <c r="C4177" s="66" t="s">
        <v>13847</v>
      </c>
      <c r="D4177" s="66"/>
      <c r="E4177" s="66"/>
      <c r="F4177" s="66"/>
      <c r="G4177" s="27" t="s">
        <v>13848</v>
      </c>
      <c r="H4177" s="28" t="s">
        <v>44</v>
      </c>
      <c r="I4177" s="29"/>
      <c r="J4177" s="25">
        <v>12</v>
      </c>
      <c r="K4177" s="30">
        <v>60.48</v>
      </c>
      <c r="L4177" s="17"/>
      <c r="M4177" s="29">
        <f>K4177*L4177</f>
        <v>0</v>
      </c>
      <c r="N4177" s="34">
        <f>0.65*L4177</f>
        <v>0</v>
      </c>
      <c r="O4177" s="32">
        <f>0.00313*L4177</f>
        <v>0</v>
      </c>
      <c r="P4177" s="36"/>
      <c r="Q4177" s="29" t="s">
        <v>13849</v>
      </c>
      <c r="R4177" s="29" t="s">
        <v>611</v>
      </c>
      <c r="S4177" s="26" t="str">
        <f>HYPERLINK("https://miland.ru/api/getInfo/image/f469428a-03a5-11ef-a25d-00155d82e908")</f>
        <v>https://miland.ru/api/getInfo/image/f469428a-03a5-11ef-a25d-00155d82e908</v>
      </c>
    </row>
    <row r="4178" spans="1:19" s="1" customFormat="1" ht="12" customHeight="1" outlineLevel="5">
      <c r="A4178" s="64" t="s">
        <v>13404</v>
      </c>
      <c r="B4178" s="64"/>
      <c r="C4178" s="64"/>
      <c r="D4178" s="64"/>
      <c r="E4178" s="64"/>
      <c r="F4178" s="64"/>
      <c r="G4178" s="8"/>
      <c r="H4178" s="12"/>
      <c r="I4178" s="2"/>
      <c r="J4178" s="2"/>
      <c r="K4178" s="13"/>
      <c r="L4178" s="2"/>
      <c r="M4178" s="2"/>
      <c r="N4178" s="2"/>
      <c r="O4178" s="2"/>
      <c r="P4178" s="2"/>
      <c r="Q4178" s="2"/>
      <c r="R4178" s="2"/>
      <c r="S4178" s="2"/>
    </row>
    <row r="4179" spans="1:19" s="1" customFormat="1" ht="12" customHeight="1" outlineLevel="6">
      <c r="A4179" s="64" t="s">
        <v>8369</v>
      </c>
      <c r="B4179" s="64"/>
      <c r="C4179" s="64"/>
      <c r="D4179" s="64"/>
      <c r="E4179" s="64"/>
      <c r="F4179" s="64"/>
      <c r="G4179" s="8"/>
      <c r="H4179" s="12"/>
      <c r="I4179" s="2"/>
      <c r="J4179" s="2"/>
      <c r="K4179" s="13"/>
      <c r="L4179" s="2"/>
      <c r="M4179" s="2"/>
      <c r="N4179" s="2"/>
      <c r="O4179" s="2"/>
      <c r="P4179" s="2"/>
      <c r="Q4179" s="2"/>
      <c r="R4179" s="2"/>
      <c r="S4179" s="2"/>
    </row>
    <row r="4180" spans="1:19" s="1" customFormat="1" ht="12" customHeight="1" outlineLevel="7">
      <c r="A4180" s="64" t="s">
        <v>13516</v>
      </c>
      <c r="B4180" s="64"/>
      <c r="C4180" s="64"/>
      <c r="D4180" s="64"/>
      <c r="E4180" s="64"/>
      <c r="F4180" s="64"/>
      <c r="G4180" s="8"/>
      <c r="H4180" s="12"/>
      <c r="I4180" s="2"/>
      <c r="J4180" s="2"/>
      <c r="K4180" s="13"/>
      <c r="L4180" s="2"/>
      <c r="M4180" s="2"/>
      <c r="N4180" s="2"/>
      <c r="O4180" s="2"/>
      <c r="P4180" s="2"/>
      <c r="Q4180" s="2"/>
      <c r="R4180" s="2"/>
      <c r="S4180" s="2"/>
    </row>
    <row r="4181" spans="1:19" s="2" customFormat="1" ht="96.2" customHeight="1" outlineLevel="7">
      <c r="A4181" s="53">
        <v>3292</v>
      </c>
      <c r="B4181" s="10" t="s">
        <v>13850</v>
      </c>
      <c r="C4181" s="65" t="s">
        <v>13851</v>
      </c>
      <c r="D4181" s="65"/>
      <c r="E4181" s="65"/>
      <c r="F4181" s="65"/>
      <c r="G4181" s="11" t="s">
        <v>13852</v>
      </c>
      <c r="H4181" s="21" t="s">
        <v>44</v>
      </c>
      <c r="I4181" s="15"/>
      <c r="J4181" s="9">
        <v>12</v>
      </c>
      <c r="K4181" s="16">
        <v>70.73</v>
      </c>
      <c r="L4181" s="17"/>
      <c r="M4181" s="15">
        <f>K4181*L4181</f>
        <v>0</v>
      </c>
      <c r="N4181" s="23">
        <f>0.07*L4181</f>
        <v>0</v>
      </c>
      <c r="O4181" s="19">
        <f>0.00034*L4181</f>
        <v>0</v>
      </c>
      <c r="P4181" s="24" t="s">
        <v>26</v>
      </c>
      <c r="Q4181" s="15" t="s">
        <v>13853</v>
      </c>
      <c r="R4181" s="15"/>
      <c r="S4181" s="10" t="str">
        <f>HYPERLINK("https://miland.ru/api/getInfo/image/79fd9a3e-7290-11f0-a284-00155d82e908")</f>
        <v>https://miland.ru/api/getInfo/image/79fd9a3e-7290-11f0-a284-00155d82e908</v>
      </c>
    </row>
    <row r="4182" spans="1:19" s="2" customFormat="1" ht="96.2" customHeight="1" outlineLevel="7">
      <c r="A4182" s="53">
        <v>3293</v>
      </c>
      <c r="B4182" s="10" t="s">
        <v>13854</v>
      </c>
      <c r="C4182" s="65" t="s">
        <v>13855</v>
      </c>
      <c r="D4182" s="65"/>
      <c r="E4182" s="65"/>
      <c r="F4182" s="65"/>
      <c r="G4182" s="11" t="s">
        <v>13856</v>
      </c>
      <c r="H4182" s="21" t="s">
        <v>44</v>
      </c>
      <c r="I4182" s="15"/>
      <c r="J4182" s="9">
        <v>12</v>
      </c>
      <c r="K4182" s="16">
        <v>70.73</v>
      </c>
      <c r="L4182" s="17"/>
      <c r="M4182" s="15">
        <f>K4182*L4182</f>
        <v>0</v>
      </c>
      <c r="N4182" s="23">
        <f>0.07*L4182</f>
        <v>0</v>
      </c>
      <c r="O4182" s="19">
        <f>0.00034*L4182</f>
        <v>0</v>
      </c>
      <c r="P4182" s="24" t="s">
        <v>26</v>
      </c>
      <c r="Q4182" s="15" t="s">
        <v>13857</v>
      </c>
      <c r="R4182" s="15"/>
      <c r="S4182" s="10" t="str">
        <f>HYPERLINK("https://miland.ru/api/getInfo/image/a663f2ca-7290-11f0-a284-00155d82e908")</f>
        <v>https://miland.ru/api/getInfo/image/a663f2ca-7290-11f0-a284-00155d82e908</v>
      </c>
    </row>
    <row r="4183" spans="1:19" s="2" customFormat="1" ht="96.2" customHeight="1" outlineLevel="7">
      <c r="A4183" s="53">
        <v>3294</v>
      </c>
      <c r="B4183" s="10" t="s">
        <v>13858</v>
      </c>
      <c r="C4183" s="65" t="s">
        <v>13859</v>
      </c>
      <c r="D4183" s="65"/>
      <c r="E4183" s="65"/>
      <c r="F4183" s="65"/>
      <c r="G4183" s="11" t="s">
        <v>13860</v>
      </c>
      <c r="H4183" s="21" t="s">
        <v>44</v>
      </c>
      <c r="I4183" s="15"/>
      <c r="J4183" s="9">
        <v>12</v>
      </c>
      <c r="K4183" s="16">
        <v>70.73</v>
      </c>
      <c r="L4183" s="17"/>
      <c r="M4183" s="15">
        <f>K4183*L4183</f>
        <v>0</v>
      </c>
      <c r="N4183" s="23">
        <f>0.07*L4183</f>
        <v>0</v>
      </c>
      <c r="O4183" s="19">
        <f>0.00034*L4183</f>
        <v>0</v>
      </c>
      <c r="P4183" s="24" t="s">
        <v>26</v>
      </c>
      <c r="Q4183" s="15" t="s">
        <v>13861</v>
      </c>
      <c r="R4183" s="15"/>
      <c r="S4183" s="10" t="str">
        <f>HYPERLINK("https://miland.ru/api/getInfo/image/b9b53323-7290-11f0-a284-00155d82e908")</f>
        <v>https://miland.ru/api/getInfo/image/b9b53323-7290-11f0-a284-00155d82e908</v>
      </c>
    </row>
    <row r="4184" spans="1:19" s="2" customFormat="1" ht="96.2" customHeight="1" outlineLevel="7">
      <c r="A4184" s="53">
        <v>3295</v>
      </c>
      <c r="B4184" s="10" t="s">
        <v>13862</v>
      </c>
      <c r="C4184" s="65" t="s">
        <v>13863</v>
      </c>
      <c r="D4184" s="65"/>
      <c r="E4184" s="65"/>
      <c r="F4184" s="65"/>
      <c r="G4184" s="11" t="s">
        <v>13864</v>
      </c>
      <c r="H4184" s="21" t="s">
        <v>44</v>
      </c>
      <c r="I4184" s="15"/>
      <c r="J4184" s="9">
        <v>12</v>
      </c>
      <c r="K4184" s="16">
        <v>70.73</v>
      </c>
      <c r="L4184" s="17"/>
      <c r="M4184" s="15">
        <f>K4184*L4184</f>
        <v>0</v>
      </c>
      <c r="N4184" s="18">
        <f>0.071*L4184</f>
        <v>0</v>
      </c>
      <c r="O4184" s="19">
        <f>0.00034*L4184</f>
        <v>0</v>
      </c>
      <c r="P4184" s="24" t="s">
        <v>26</v>
      </c>
      <c r="Q4184" s="15" t="s">
        <v>13865</v>
      </c>
      <c r="R4184" s="15"/>
      <c r="S4184" s="10" t="str">
        <f>HYPERLINK("https://miland.ru/api/getInfo/image/65156531-7290-11f0-a284-00155d82e908")</f>
        <v>https://miland.ru/api/getInfo/image/65156531-7290-11f0-a284-00155d82e908</v>
      </c>
    </row>
    <row r="4185" spans="1:19" s="2" customFormat="1" ht="96.2" customHeight="1" outlineLevel="7">
      <c r="A4185" s="52">
        <v>3296</v>
      </c>
      <c r="B4185" s="26" t="s">
        <v>13866</v>
      </c>
      <c r="C4185" s="66" t="s">
        <v>13867</v>
      </c>
      <c r="D4185" s="66"/>
      <c r="E4185" s="66"/>
      <c r="F4185" s="66"/>
      <c r="G4185" s="27" t="s">
        <v>13868</v>
      </c>
      <c r="H4185" s="33">
        <v>420</v>
      </c>
      <c r="I4185" s="29"/>
      <c r="J4185" s="25">
        <v>12</v>
      </c>
      <c r="K4185" s="30">
        <v>70.73</v>
      </c>
      <c r="L4185" s="17"/>
      <c r="M4185" s="29">
        <f>K4185*L4185</f>
        <v>0</v>
      </c>
      <c r="N4185" s="31">
        <f>0.077*L4185</f>
        <v>0</v>
      </c>
      <c r="O4185" s="32">
        <f>0.00046*L4185</f>
        <v>0</v>
      </c>
      <c r="P4185" s="36"/>
      <c r="Q4185" s="29" t="s">
        <v>13869</v>
      </c>
      <c r="R4185" s="29" t="s">
        <v>611</v>
      </c>
      <c r="S4185" s="26" t="str">
        <f>HYPERLINK("https://miland.ru/api/getInfo/image/c0bb84d5-19c0-11ef-a25d-00155d82e908")</f>
        <v>https://miland.ru/api/getInfo/image/c0bb84d5-19c0-11ef-a25d-00155d82e908</v>
      </c>
    </row>
    <row r="4186" spans="1:19" s="1" customFormat="1" ht="12" customHeight="1" outlineLevel="4">
      <c r="A4186" s="64" t="s">
        <v>8443</v>
      </c>
      <c r="B4186" s="64"/>
      <c r="C4186" s="64"/>
      <c r="D4186" s="64"/>
      <c r="E4186" s="64"/>
      <c r="F4186" s="64"/>
      <c r="G4186" s="8"/>
      <c r="H4186" s="12"/>
      <c r="I4186" s="2"/>
      <c r="J4186" s="2"/>
      <c r="K4186" s="13"/>
      <c r="L4186" s="2"/>
      <c r="M4186" s="2"/>
      <c r="N4186" s="2"/>
      <c r="O4186" s="2"/>
      <c r="P4186" s="2"/>
      <c r="Q4186" s="2"/>
      <c r="R4186" s="2"/>
      <c r="S4186" s="2"/>
    </row>
    <row r="4187" spans="1:19" s="1" customFormat="1" ht="12" customHeight="1" outlineLevel="5">
      <c r="A4187" s="64" t="s">
        <v>13870</v>
      </c>
      <c r="B4187" s="64"/>
      <c r="C4187" s="64"/>
      <c r="D4187" s="64"/>
      <c r="E4187" s="64"/>
      <c r="F4187" s="64"/>
      <c r="G4187" s="8"/>
      <c r="H4187" s="12"/>
      <c r="I4187" s="2"/>
      <c r="J4187" s="2"/>
      <c r="K4187" s="13"/>
      <c r="L4187" s="2"/>
      <c r="M4187" s="2"/>
      <c r="N4187" s="2"/>
      <c r="O4187" s="2"/>
      <c r="P4187" s="2"/>
      <c r="Q4187" s="2"/>
      <c r="R4187" s="2"/>
      <c r="S4187" s="2"/>
    </row>
    <row r="4188" spans="1:19" s="1" customFormat="1" ht="12" customHeight="1" outlineLevel="6">
      <c r="A4188" s="64" t="s">
        <v>13871</v>
      </c>
      <c r="B4188" s="64"/>
      <c r="C4188" s="64"/>
      <c r="D4188" s="64"/>
      <c r="E4188" s="64"/>
      <c r="F4188" s="64"/>
      <c r="G4188" s="8"/>
      <c r="H4188" s="12"/>
      <c r="I4188" s="2"/>
      <c r="J4188" s="2"/>
      <c r="K4188" s="13"/>
      <c r="L4188" s="2"/>
      <c r="M4188" s="2"/>
      <c r="N4188" s="2"/>
      <c r="O4188" s="2"/>
      <c r="P4188" s="2"/>
      <c r="Q4188" s="2"/>
      <c r="R4188" s="2"/>
      <c r="S4188" s="2"/>
    </row>
    <row r="4189" spans="1:19" s="2" customFormat="1" ht="96.2" customHeight="1" outlineLevel="7">
      <c r="A4189" s="52">
        <v>3297</v>
      </c>
      <c r="B4189" s="26" t="s">
        <v>13872</v>
      </c>
      <c r="C4189" s="66" t="s">
        <v>13873</v>
      </c>
      <c r="D4189" s="66"/>
      <c r="E4189" s="66"/>
      <c r="F4189" s="66"/>
      <c r="G4189" s="27" t="s">
        <v>13874</v>
      </c>
      <c r="H4189" s="33">
        <v>60</v>
      </c>
      <c r="I4189" s="29"/>
      <c r="J4189" s="25">
        <v>12</v>
      </c>
      <c r="K4189" s="30">
        <v>133.08000000000001</v>
      </c>
      <c r="L4189" s="17"/>
      <c r="M4189" s="29">
        <f>K4189*L4189</f>
        <v>0</v>
      </c>
      <c r="N4189" s="31">
        <f>0.104*L4189</f>
        <v>0</v>
      </c>
      <c r="O4189" s="32">
        <f>0.00025*L4189</f>
        <v>0</v>
      </c>
      <c r="P4189" s="36"/>
      <c r="Q4189" s="29" t="s">
        <v>13875</v>
      </c>
      <c r="R4189" s="29" t="s">
        <v>611</v>
      </c>
      <c r="S4189" s="26" t="str">
        <f>HYPERLINK("https://miland.ru/api/getInfo/image/e2ca68e1-f598-11ee-a25b-00155d82e908")</f>
        <v>https://miland.ru/api/getInfo/image/e2ca68e1-f598-11ee-a25b-00155d82e908</v>
      </c>
    </row>
    <row r="4190" spans="1:19" s="1" customFormat="1" ht="12" customHeight="1" outlineLevel="6">
      <c r="A4190" s="64" t="s">
        <v>13876</v>
      </c>
      <c r="B4190" s="64"/>
      <c r="C4190" s="64"/>
      <c r="D4190" s="64"/>
      <c r="E4190" s="64"/>
      <c r="F4190" s="64"/>
      <c r="G4190" s="8"/>
      <c r="H4190" s="12"/>
      <c r="I4190" s="2"/>
      <c r="J4190" s="2"/>
      <c r="K4190" s="13"/>
      <c r="L4190" s="2"/>
      <c r="M4190" s="2"/>
      <c r="N4190" s="2"/>
      <c r="O4190" s="2"/>
      <c r="P4190" s="2"/>
      <c r="Q4190" s="2"/>
      <c r="R4190" s="2"/>
      <c r="S4190" s="2"/>
    </row>
    <row r="4191" spans="1:19" s="2" customFormat="1" ht="96.2" customHeight="1" outlineLevel="7">
      <c r="A4191" s="52">
        <v>3298</v>
      </c>
      <c r="B4191" s="26" t="s">
        <v>13877</v>
      </c>
      <c r="C4191" s="66" t="s">
        <v>13878</v>
      </c>
      <c r="D4191" s="66"/>
      <c r="E4191" s="66"/>
      <c r="F4191" s="66"/>
      <c r="G4191" s="27" t="s">
        <v>13879</v>
      </c>
      <c r="H4191" s="33">
        <v>12</v>
      </c>
      <c r="I4191" s="29"/>
      <c r="J4191" s="25">
        <v>12</v>
      </c>
      <c r="K4191" s="30">
        <v>111.34</v>
      </c>
      <c r="L4191" s="17"/>
      <c r="M4191" s="29">
        <f>K4191*L4191</f>
        <v>0</v>
      </c>
      <c r="N4191" s="31">
        <f>0.113*L4191</f>
        <v>0</v>
      </c>
      <c r="O4191" s="32">
        <f>0.00136*L4191</f>
        <v>0</v>
      </c>
      <c r="P4191" s="36"/>
      <c r="Q4191" s="29" t="s">
        <v>13880</v>
      </c>
      <c r="R4191" s="29"/>
      <c r="S4191" s="26" t="str">
        <f>HYPERLINK("https://miland.ru/api/getInfo/image/74cf832a-96bc-11ef-a267-00155d82e908")</f>
        <v>https://miland.ru/api/getInfo/image/74cf832a-96bc-11ef-a267-00155d82e908</v>
      </c>
    </row>
    <row r="4192" spans="1:19" s="1" customFormat="1" ht="12" customHeight="1" outlineLevel="6">
      <c r="A4192" s="64" t="s">
        <v>13881</v>
      </c>
      <c r="B4192" s="64"/>
      <c r="C4192" s="64"/>
      <c r="D4192" s="64"/>
      <c r="E4192" s="64"/>
      <c r="F4192" s="64"/>
      <c r="G4192" s="8"/>
      <c r="H4192" s="12"/>
      <c r="I4192" s="2"/>
      <c r="J4192" s="2"/>
      <c r="K4192" s="13"/>
      <c r="L4192" s="2"/>
      <c r="M4192" s="2"/>
      <c r="N4192" s="2"/>
      <c r="O4192" s="2"/>
      <c r="P4192" s="2"/>
      <c r="Q4192" s="2"/>
      <c r="R4192" s="2"/>
      <c r="S4192" s="2"/>
    </row>
    <row r="4193" spans="1:19" s="2" customFormat="1" ht="96.2" customHeight="1" outlineLevel="7">
      <c r="A4193" s="52">
        <v>3299</v>
      </c>
      <c r="B4193" s="26" t="s">
        <v>13882</v>
      </c>
      <c r="C4193" s="66" t="s">
        <v>13883</v>
      </c>
      <c r="D4193" s="66"/>
      <c r="E4193" s="66"/>
      <c r="F4193" s="66"/>
      <c r="G4193" s="27" t="s">
        <v>13884</v>
      </c>
      <c r="H4193" s="33">
        <v>480</v>
      </c>
      <c r="I4193" s="29"/>
      <c r="J4193" s="25">
        <v>12</v>
      </c>
      <c r="K4193" s="30">
        <v>133.08000000000001</v>
      </c>
      <c r="L4193" s="17"/>
      <c r="M4193" s="29">
        <f>K4193*L4193</f>
        <v>0</v>
      </c>
      <c r="N4193" s="29">
        <v>0</v>
      </c>
      <c r="O4193" s="29">
        <v>0</v>
      </c>
      <c r="P4193" s="36"/>
      <c r="Q4193" s="29" t="s">
        <v>13885</v>
      </c>
      <c r="R4193" s="29"/>
      <c r="S4193" s="26" t="str">
        <f>HYPERLINK("https://miland.ru/api/getInfo/image/cd240feb-96bc-11ef-a267-00155d82e908")</f>
        <v>https://miland.ru/api/getInfo/image/cd240feb-96bc-11ef-a267-00155d82e908</v>
      </c>
    </row>
    <row r="4194" spans="1:19" s="1" customFormat="1" ht="12" customHeight="1" outlineLevel="6">
      <c r="A4194" s="64" t="s">
        <v>13886</v>
      </c>
      <c r="B4194" s="64"/>
      <c r="C4194" s="64"/>
      <c r="D4194" s="64"/>
      <c r="E4194" s="64"/>
      <c r="F4194" s="64"/>
      <c r="G4194" s="8"/>
      <c r="H4194" s="12"/>
      <c r="I4194" s="2"/>
      <c r="J4194" s="2"/>
      <c r="K4194" s="13"/>
      <c r="L4194" s="2"/>
      <c r="M4194" s="2"/>
      <c r="N4194" s="2"/>
      <c r="O4194" s="2"/>
      <c r="P4194" s="2"/>
      <c r="Q4194" s="2"/>
      <c r="R4194" s="2"/>
      <c r="S4194" s="2"/>
    </row>
    <row r="4195" spans="1:19" s="2" customFormat="1" ht="96.2" customHeight="1" outlineLevel="7">
      <c r="A4195" s="52">
        <v>3300</v>
      </c>
      <c r="B4195" s="26" t="s">
        <v>13887</v>
      </c>
      <c r="C4195" s="66" t="s">
        <v>13888</v>
      </c>
      <c r="D4195" s="66"/>
      <c r="E4195" s="66"/>
      <c r="F4195" s="66"/>
      <c r="G4195" s="27" t="s">
        <v>13889</v>
      </c>
      <c r="H4195" s="28" t="s">
        <v>44</v>
      </c>
      <c r="I4195" s="29"/>
      <c r="J4195" s="25">
        <v>12</v>
      </c>
      <c r="K4195" s="30">
        <v>74.760000000000005</v>
      </c>
      <c r="L4195" s="17"/>
      <c r="M4195" s="29">
        <f>K4195*L4195</f>
        <v>0</v>
      </c>
      <c r="N4195" s="31">
        <f>0.125*L4195</f>
        <v>0</v>
      </c>
      <c r="O4195" s="32">
        <f>0.00043*L4195</f>
        <v>0</v>
      </c>
      <c r="P4195" s="36"/>
      <c r="Q4195" s="29" t="s">
        <v>13890</v>
      </c>
      <c r="R4195" s="29"/>
      <c r="S4195" s="26" t="str">
        <f>HYPERLINK("https://miland.ru/api/getInfo/image/acc4cd4c-58ab-11f0-a27f-00155d82e908")</f>
        <v>https://miland.ru/api/getInfo/image/acc4cd4c-58ab-11f0-a27f-00155d82e908</v>
      </c>
    </row>
    <row r="4196" spans="1:19" s="2" customFormat="1" ht="96.2" customHeight="1" outlineLevel="7">
      <c r="A4196" s="52">
        <v>3301</v>
      </c>
      <c r="B4196" s="26" t="s">
        <v>13891</v>
      </c>
      <c r="C4196" s="66" t="s">
        <v>13892</v>
      </c>
      <c r="D4196" s="66"/>
      <c r="E4196" s="66"/>
      <c r="F4196" s="66"/>
      <c r="G4196" s="27" t="s">
        <v>13893</v>
      </c>
      <c r="H4196" s="28" t="s">
        <v>44</v>
      </c>
      <c r="I4196" s="29"/>
      <c r="J4196" s="25">
        <v>12</v>
      </c>
      <c r="K4196" s="30">
        <v>107.63</v>
      </c>
      <c r="L4196" s="17"/>
      <c r="M4196" s="29">
        <f>K4196*L4196</f>
        <v>0</v>
      </c>
      <c r="N4196" s="31">
        <f>0.118*L4196</f>
        <v>0</v>
      </c>
      <c r="O4196" s="32">
        <f>0.00075*L4196</f>
        <v>0</v>
      </c>
      <c r="P4196" s="36"/>
      <c r="Q4196" s="29" t="s">
        <v>13894</v>
      </c>
      <c r="R4196" s="29"/>
      <c r="S4196" s="26" t="str">
        <f>HYPERLINK("https://miland.ru/api/getInfo/image/7269505d-edcb-11ef-a274-00155d82e908")</f>
        <v>https://miland.ru/api/getInfo/image/7269505d-edcb-11ef-a274-00155d82e908</v>
      </c>
    </row>
    <row r="4197" spans="1:19" s="2" customFormat="1" ht="96.2" customHeight="1" outlineLevel="7">
      <c r="A4197" s="52">
        <v>3302</v>
      </c>
      <c r="B4197" s="26" t="s">
        <v>13895</v>
      </c>
      <c r="C4197" s="66" t="s">
        <v>13896</v>
      </c>
      <c r="D4197" s="66"/>
      <c r="E4197" s="66"/>
      <c r="F4197" s="66"/>
      <c r="G4197" s="27" t="s">
        <v>13897</v>
      </c>
      <c r="H4197" s="28" t="s">
        <v>44</v>
      </c>
      <c r="I4197" s="29"/>
      <c r="J4197" s="25">
        <v>12</v>
      </c>
      <c r="K4197" s="30">
        <v>74.760000000000005</v>
      </c>
      <c r="L4197" s="17"/>
      <c r="M4197" s="29">
        <f>K4197*L4197</f>
        <v>0</v>
      </c>
      <c r="N4197" s="31">
        <f>0.125*L4197</f>
        <v>0</v>
      </c>
      <c r="O4197" s="32">
        <f>0.00043*L4197</f>
        <v>0</v>
      </c>
      <c r="P4197" s="36"/>
      <c r="Q4197" s="29" t="s">
        <v>13898</v>
      </c>
      <c r="R4197" s="29"/>
      <c r="S4197" s="26" t="str">
        <f>HYPERLINK("https://miland.ru/api/getInfo/image/e4f85887-58ab-11f0-a27f-00155d82e908")</f>
        <v>https://miland.ru/api/getInfo/image/e4f85887-58ab-11f0-a27f-00155d82e908</v>
      </c>
    </row>
    <row r="4198" spans="1:19" s="1" customFormat="1" ht="12" customHeight="1" outlineLevel="5">
      <c r="A4198" s="64" t="s">
        <v>13899</v>
      </c>
      <c r="B4198" s="64"/>
      <c r="C4198" s="64"/>
      <c r="D4198" s="64"/>
      <c r="E4198" s="64"/>
      <c r="F4198" s="64"/>
      <c r="G4198" s="8"/>
      <c r="H4198" s="12"/>
      <c r="I4198" s="2"/>
      <c r="J4198" s="2"/>
      <c r="K4198" s="13"/>
      <c r="L4198" s="2"/>
      <c r="M4198" s="2"/>
      <c r="N4198" s="2"/>
      <c r="O4198" s="2"/>
      <c r="P4198" s="2"/>
      <c r="Q4198" s="2"/>
      <c r="R4198" s="2"/>
      <c r="S4198" s="2"/>
    </row>
    <row r="4199" spans="1:19" s="2" customFormat="1" ht="96.2" customHeight="1" outlineLevel="6">
      <c r="A4199" s="53">
        <v>3303</v>
      </c>
      <c r="B4199" s="10" t="s">
        <v>13900</v>
      </c>
      <c r="C4199" s="65" t="s">
        <v>13901</v>
      </c>
      <c r="D4199" s="65"/>
      <c r="E4199" s="65"/>
      <c r="F4199" s="65"/>
      <c r="G4199" s="11" t="s">
        <v>13902</v>
      </c>
      <c r="H4199" s="21" t="s">
        <v>44</v>
      </c>
      <c r="I4199" s="15"/>
      <c r="J4199" s="9">
        <v>12</v>
      </c>
      <c r="K4199" s="16">
        <v>72.319999999999993</v>
      </c>
      <c r="L4199" s="17"/>
      <c r="M4199" s="15">
        <f>K4199*L4199</f>
        <v>0</v>
      </c>
      <c r="N4199" s="18">
        <f>0.085*L4199</f>
        <v>0</v>
      </c>
      <c r="O4199" s="19">
        <f>0.00086*L4199</f>
        <v>0</v>
      </c>
      <c r="P4199" s="24" t="s">
        <v>26</v>
      </c>
      <c r="Q4199" s="15" t="s">
        <v>13903</v>
      </c>
      <c r="R4199" s="15"/>
      <c r="S4199" s="10" t="str">
        <f>HYPERLINK("https://miland.ru/api/getInfo/image/ba37e007-6930-11f0-a283-00155d82e908")</f>
        <v>https://miland.ru/api/getInfo/image/ba37e007-6930-11f0-a283-00155d82e908</v>
      </c>
    </row>
    <row r="4200" spans="1:19" s="2" customFormat="1" ht="96.2" customHeight="1" outlineLevel="6">
      <c r="A4200" s="53">
        <v>3304</v>
      </c>
      <c r="B4200" s="10" t="s">
        <v>13904</v>
      </c>
      <c r="C4200" s="65" t="s">
        <v>13905</v>
      </c>
      <c r="D4200" s="65"/>
      <c r="E4200" s="65"/>
      <c r="F4200" s="65"/>
      <c r="G4200" s="11" t="s">
        <v>13906</v>
      </c>
      <c r="H4200" s="21" t="s">
        <v>44</v>
      </c>
      <c r="I4200" s="15"/>
      <c r="J4200" s="9">
        <v>12</v>
      </c>
      <c r="K4200" s="16">
        <v>72.319999999999993</v>
      </c>
      <c r="L4200" s="17"/>
      <c r="M4200" s="15">
        <f>K4200*L4200</f>
        <v>0</v>
      </c>
      <c r="N4200" s="23">
        <f>0.09*L4200</f>
        <v>0</v>
      </c>
      <c r="O4200" s="19">
        <f>0.00072*L4200</f>
        <v>0</v>
      </c>
      <c r="P4200" s="24" t="s">
        <v>26</v>
      </c>
      <c r="Q4200" s="15" t="s">
        <v>13907</v>
      </c>
      <c r="R4200" s="15"/>
      <c r="S4200" s="10" t="str">
        <f>HYPERLINK("https://miland.ru/api/getInfo/image/0b7542ac-6931-11f0-a283-00155d82e908")</f>
        <v>https://miland.ru/api/getInfo/image/0b7542ac-6931-11f0-a283-00155d82e908</v>
      </c>
    </row>
    <row r="4201" spans="1:19" s="2" customFormat="1" ht="96.2" customHeight="1" outlineLevel="6">
      <c r="A4201" s="53">
        <v>3305</v>
      </c>
      <c r="B4201" s="10" t="s">
        <v>13908</v>
      </c>
      <c r="C4201" s="65" t="s">
        <v>13909</v>
      </c>
      <c r="D4201" s="65"/>
      <c r="E4201" s="65"/>
      <c r="F4201" s="65"/>
      <c r="G4201" s="11" t="s">
        <v>13910</v>
      </c>
      <c r="H4201" s="21" t="s">
        <v>44</v>
      </c>
      <c r="I4201" s="15"/>
      <c r="J4201" s="9">
        <v>12</v>
      </c>
      <c r="K4201" s="16">
        <v>72.319999999999993</v>
      </c>
      <c r="L4201" s="17"/>
      <c r="M4201" s="15">
        <f>K4201*L4201</f>
        <v>0</v>
      </c>
      <c r="N4201" s="23">
        <f>0.09*L4201</f>
        <v>0</v>
      </c>
      <c r="O4201" s="19">
        <f>0.00072*L4201</f>
        <v>0</v>
      </c>
      <c r="P4201" s="24" t="s">
        <v>26</v>
      </c>
      <c r="Q4201" s="15" t="s">
        <v>13911</v>
      </c>
      <c r="R4201" s="15"/>
      <c r="S4201" s="10" t="str">
        <f>HYPERLINK("https://miland.ru/api/getInfo/image/246ca38f-6931-11f0-a283-00155d82e908")</f>
        <v>https://miland.ru/api/getInfo/image/246ca38f-6931-11f0-a283-00155d82e908</v>
      </c>
    </row>
    <row r="4202" spans="1:19" s="2" customFormat="1" ht="96.2" customHeight="1" outlineLevel="6">
      <c r="A4202" s="53">
        <v>3306</v>
      </c>
      <c r="B4202" s="10" t="s">
        <v>13912</v>
      </c>
      <c r="C4202" s="65" t="s">
        <v>13913</v>
      </c>
      <c r="D4202" s="65"/>
      <c r="E4202" s="65"/>
      <c r="F4202" s="65"/>
      <c r="G4202" s="11" t="s">
        <v>13914</v>
      </c>
      <c r="H4202" s="21" t="s">
        <v>44</v>
      </c>
      <c r="I4202" s="15"/>
      <c r="J4202" s="9">
        <v>12</v>
      </c>
      <c r="K4202" s="16">
        <v>72.319999999999993</v>
      </c>
      <c r="L4202" s="17"/>
      <c r="M4202" s="15">
        <f>K4202*L4202</f>
        <v>0</v>
      </c>
      <c r="N4202" s="23">
        <f>0.08*L4202</f>
        <v>0</v>
      </c>
      <c r="O4202" s="19">
        <f>0.01152*L4202</f>
        <v>0</v>
      </c>
      <c r="P4202" s="24" t="s">
        <v>26</v>
      </c>
      <c r="Q4202" s="15" t="s">
        <v>13915</v>
      </c>
      <c r="R4202" s="15"/>
      <c r="S4202" s="10" t="str">
        <f>HYPERLINK("https://miland.ru/api/getInfo/image/65ef2da9-6931-11f0-a283-00155d82e908")</f>
        <v>https://miland.ru/api/getInfo/image/65ef2da9-6931-11f0-a283-00155d82e908</v>
      </c>
    </row>
    <row r="4203" spans="1:19" s="1" customFormat="1" ht="12" customHeight="1" outlineLevel="5">
      <c r="A4203" s="64" t="s">
        <v>13404</v>
      </c>
      <c r="B4203" s="64"/>
      <c r="C4203" s="64"/>
      <c r="D4203" s="64"/>
      <c r="E4203" s="64"/>
      <c r="F4203" s="64"/>
      <c r="G4203" s="8"/>
      <c r="H4203" s="12"/>
      <c r="I4203" s="2"/>
      <c r="J4203" s="2"/>
      <c r="K4203" s="13"/>
      <c r="L4203" s="2"/>
      <c r="M4203" s="2"/>
      <c r="N4203" s="2"/>
      <c r="O4203" s="2"/>
      <c r="P4203" s="2"/>
      <c r="Q4203" s="2"/>
      <c r="R4203" s="2"/>
      <c r="S4203" s="2"/>
    </row>
    <row r="4204" spans="1:19" s="1" customFormat="1" ht="12" customHeight="1" outlineLevel="6">
      <c r="A4204" s="64" t="s">
        <v>8555</v>
      </c>
      <c r="B4204" s="64"/>
      <c r="C4204" s="64"/>
      <c r="D4204" s="64"/>
      <c r="E4204" s="64"/>
      <c r="F4204" s="64"/>
      <c r="G4204" s="8"/>
      <c r="H4204" s="12"/>
      <c r="I4204" s="2"/>
      <c r="J4204" s="2"/>
      <c r="K4204" s="13"/>
      <c r="L4204" s="2"/>
      <c r="M4204" s="2"/>
      <c r="N4204" s="2"/>
      <c r="O4204" s="2"/>
      <c r="P4204" s="2"/>
      <c r="Q4204" s="2"/>
      <c r="R4204" s="2"/>
      <c r="S4204" s="2"/>
    </row>
    <row r="4205" spans="1:19" s="2" customFormat="1" ht="96.2" customHeight="1" outlineLevel="7">
      <c r="A4205" s="53">
        <v>3307</v>
      </c>
      <c r="B4205" s="10" t="s">
        <v>13916</v>
      </c>
      <c r="C4205" s="65" t="s">
        <v>13917</v>
      </c>
      <c r="D4205" s="65"/>
      <c r="E4205" s="65"/>
      <c r="F4205" s="65"/>
      <c r="G4205" s="11" t="s">
        <v>13918</v>
      </c>
      <c r="H4205" s="21" t="s">
        <v>44</v>
      </c>
      <c r="I4205" s="15"/>
      <c r="J4205" s="9">
        <v>12</v>
      </c>
      <c r="K4205" s="16">
        <v>51.64</v>
      </c>
      <c r="L4205" s="17"/>
      <c r="M4205" s="15">
        <f>K4205*L4205</f>
        <v>0</v>
      </c>
      <c r="N4205" s="18">
        <f>0.065*L4205</f>
        <v>0</v>
      </c>
      <c r="O4205" s="19">
        <f>0.00034*L4205</f>
        <v>0</v>
      </c>
      <c r="P4205" s="24" t="s">
        <v>26</v>
      </c>
      <c r="Q4205" s="15" t="s">
        <v>13919</v>
      </c>
      <c r="R4205" s="15"/>
      <c r="S4205" s="10" t="str">
        <f>HYPERLINK("https://miland.ru/api/getInfo/image/bd7a4ed9-6932-11f0-a283-00155d82e908")</f>
        <v>https://miland.ru/api/getInfo/image/bd7a4ed9-6932-11f0-a283-00155d82e908</v>
      </c>
    </row>
    <row r="4206" spans="1:19" s="1" customFormat="1" ht="12" customHeight="1" outlineLevel="7">
      <c r="A4206" s="64" t="s">
        <v>13516</v>
      </c>
      <c r="B4206" s="64"/>
      <c r="C4206" s="64"/>
      <c r="D4206" s="64"/>
      <c r="E4206" s="64"/>
      <c r="F4206" s="64"/>
      <c r="G4206" s="8"/>
      <c r="H4206" s="12"/>
      <c r="I4206" s="2"/>
      <c r="J4206" s="2"/>
      <c r="K4206" s="13"/>
      <c r="L4206" s="2"/>
      <c r="M4206" s="2"/>
      <c r="N4206" s="2"/>
      <c r="O4206" s="2"/>
      <c r="P4206" s="2"/>
      <c r="Q4206" s="2"/>
      <c r="R4206" s="2"/>
      <c r="S4206" s="2"/>
    </row>
    <row r="4207" spans="1:19" s="2" customFormat="1" ht="96.2" customHeight="1" outlineLevel="7">
      <c r="A4207" s="53">
        <v>3308</v>
      </c>
      <c r="B4207" s="10" t="s">
        <v>13920</v>
      </c>
      <c r="C4207" s="65" t="s">
        <v>13921</v>
      </c>
      <c r="D4207" s="65"/>
      <c r="E4207" s="65"/>
      <c r="F4207" s="65"/>
      <c r="G4207" s="11" t="s">
        <v>13922</v>
      </c>
      <c r="H4207" s="14">
        <v>276</v>
      </c>
      <c r="I4207" s="15"/>
      <c r="J4207" s="9">
        <v>12</v>
      </c>
      <c r="K4207" s="16">
        <v>66.64</v>
      </c>
      <c r="L4207" s="17"/>
      <c r="M4207" s="15">
        <f t="shared" ref="M4207:M4229" si="199">K4207*L4207</f>
        <v>0</v>
      </c>
      <c r="N4207" s="18">
        <f>0.125*L4207</f>
        <v>0</v>
      </c>
      <c r="O4207" s="19">
        <f>0.00043*L4207</f>
        <v>0</v>
      </c>
      <c r="P4207" s="24" t="s">
        <v>26</v>
      </c>
      <c r="Q4207" s="15" t="s">
        <v>13923</v>
      </c>
      <c r="R4207" s="15"/>
      <c r="S4207" s="10" t="str">
        <f>HYPERLINK("https://miland.ru/api/getInfo/image/c39d7461-58a6-11f0-a27f-00155d82e908")</f>
        <v>https://miland.ru/api/getInfo/image/c39d7461-58a6-11f0-a27f-00155d82e908</v>
      </c>
    </row>
    <row r="4208" spans="1:19" s="2" customFormat="1" ht="96.2" customHeight="1" outlineLevel="7">
      <c r="A4208" s="53">
        <v>3309</v>
      </c>
      <c r="B4208" s="10" t="s">
        <v>13924</v>
      </c>
      <c r="C4208" s="65" t="s">
        <v>13925</v>
      </c>
      <c r="D4208" s="65"/>
      <c r="E4208" s="65"/>
      <c r="F4208" s="65"/>
      <c r="G4208" s="11" t="s">
        <v>13926</v>
      </c>
      <c r="H4208" s="21" t="s">
        <v>44</v>
      </c>
      <c r="I4208" s="15"/>
      <c r="J4208" s="9">
        <v>12</v>
      </c>
      <c r="K4208" s="16">
        <v>66.64</v>
      </c>
      <c r="L4208" s="17"/>
      <c r="M4208" s="15">
        <f t="shared" si="199"/>
        <v>0</v>
      </c>
      <c r="N4208" s="18">
        <f>0.125*L4208</f>
        <v>0</v>
      </c>
      <c r="O4208" s="19">
        <f>0.00043*L4208</f>
        <v>0</v>
      </c>
      <c r="P4208" s="24" t="s">
        <v>26</v>
      </c>
      <c r="Q4208" s="15" t="s">
        <v>13927</v>
      </c>
      <c r="R4208" s="15"/>
      <c r="S4208" s="10" t="str">
        <f>HYPERLINK("https://miland.ru/api/getInfo/image/28d0d533-58a7-11f0-a27f-00155d82e908")</f>
        <v>https://miland.ru/api/getInfo/image/28d0d533-58a7-11f0-a27f-00155d82e908</v>
      </c>
    </row>
    <row r="4209" spans="1:19" s="2" customFormat="1" ht="96.2" customHeight="1" outlineLevel="7">
      <c r="A4209" s="53">
        <v>3310</v>
      </c>
      <c r="B4209" s="10" t="s">
        <v>13928</v>
      </c>
      <c r="C4209" s="65" t="s">
        <v>13929</v>
      </c>
      <c r="D4209" s="65"/>
      <c r="E4209" s="65"/>
      <c r="F4209" s="65"/>
      <c r="G4209" s="11" t="s">
        <v>13930</v>
      </c>
      <c r="H4209" s="14">
        <v>300</v>
      </c>
      <c r="I4209" s="15"/>
      <c r="J4209" s="9">
        <v>12</v>
      </c>
      <c r="K4209" s="16">
        <v>66.64</v>
      </c>
      <c r="L4209" s="17"/>
      <c r="M4209" s="15">
        <f t="shared" si="199"/>
        <v>0</v>
      </c>
      <c r="N4209" s="18">
        <f>0.096*L4209</f>
        <v>0</v>
      </c>
      <c r="O4209" s="19">
        <f>0.00015*L4209</f>
        <v>0</v>
      </c>
      <c r="P4209" s="24" t="s">
        <v>26</v>
      </c>
      <c r="Q4209" s="15" t="s">
        <v>13931</v>
      </c>
      <c r="R4209" s="15"/>
      <c r="S4209" s="10" t="str">
        <f>HYPERLINK("https://miland.ru/api/getInfo/image/f7b24bfd-58a6-11f0-a27f-00155d82e908")</f>
        <v>https://miland.ru/api/getInfo/image/f7b24bfd-58a6-11f0-a27f-00155d82e908</v>
      </c>
    </row>
    <row r="4210" spans="1:19" s="2" customFormat="1" ht="96.2" customHeight="1" outlineLevel="7">
      <c r="A4210" s="53">
        <v>3311</v>
      </c>
      <c r="B4210" s="10" t="s">
        <v>13932</v>
      </c>
      <c r="C4210" s="65" t="s">
        <v>13933</v>
      </c>
      <c r="D4210" s="65"/>
      <c r="E4210" s="65"/>
      <c r="F4210" s="65"/>
      <c r="G4210" s="11" t="s">
        <v>13934</v>
      </c>
      <c r="H4210" s="21" t="s">
        <v>44</v>
      </c>
      <c r="I4210" s="15"/>
      <c r="J4210" s="9">
        <v>12</v>
      </c>
      <c r="K4210" s="16">
        <v>90.46</v>
      </c>
      <c r="L4210" s="17"/>
      <c r="M4210" s="15">
        <f t="shared" si="199"/>
        <v>0</v>
      </c>
      <c r="N4210" s="18">
        <f>0.088*L4210</f>
        <v>0</v>
      </c>
      <c r="O4210" s="19">
        <f t="shared" ref="O4210:O4215" si="200">0.00058*L4210</f>
        <v>0</v>
      </c>
      <c r="P4210" s="24" t="s">
        <v>26</v>
      </c>
      <c r="Q4210" s="15" t="s">
        <v>13935</v>
      </c>
      <c r="R4210" s="15"/>
      <c r="S4210" s="10" t="str">
        <f>HYPERLINK("https://miland.ru/api/getInfo/image/d72befe3-9def-11f0-a285-00155d82e908")</f>
        <v>https://miland.ru/api/getInfo/image/d72befe3-9def-11f0-a285-00155d82e908</v>
      </c>
    </row>
    <row r="4211" spans="1:19" s="2" customFormat="1" ht="96.2" customHeight="1" outlineLevel="7">
      <c r="A4211" s="53">
        <v>3312</v>
      </c>
      <c r="B4211" s="10" t="s">
        <v>13936</v>
      </c>
      <c r="C4211" s="65" t="s">
        <v>13937</v>
      </c>
      <c r="D4211" s="65"/>
      <c r="E4211" s="65"/>
      <c r="F4211" s="65"/>
      <c r="G4211" s="11" t="s">
        <v>13938</v>
      </c>
      <c r="H4211" s="21" t="s">
        <v>44</v>
      </c>
      <c r="I4211" s="15"/>
      <c r="J4211" s="9">
        <v>12</v>
      </c>
      <c r="K4211" s="16">
        <v>90.46</v>
      </c>
      <c r="L4211" s="17"/>
      <c r="M4211" s="15">
        <f t="shared" si="199"/>
        <v>0</v>
      </c>
      <c r="N4211" s="18">
        <f>0.087*L4211</f>
        <v>0</v>
      </c>
      <c r="O4211" s="19">
        <f t="shared" si="200"/>
        <v>0</v>
      </c>
      <c r="P4211" s="24" t="s">
        <v>26</v>
      </c>
      <c r="Q4211" s="15" t="s">
        <v>13939</v>
      </c>
      <c r="R4211" s="15"/>
      <c r="S4211" s="10" t="str">
        <f>HYPERLINK("https://miland.ru/api/getInfo/image/ed553fc7-9def-11f0-a285-00155d82e908")</f>
        <v>https://miland.ru/api/getInfo/image/ed553fc7-9def-11f0-a285-00155d82e908</v>
      </c>
    </row>
    <row r="4212" spans="1:19" s="2" customFormat="1" ht="96.2" customHeight="1" outlineLevel="7">
      <c r="A4212" s="53">
        <v>3313</v>
      </c>
      <c r="B4212" s="10" t="s">
        <v>13940</v>
      </c>
      <c r="C4212" s="65" t="s">
        <v>13941</v>
      </c>
      <c r="D4212" s="65"/>
      <c r="E4212" s="65"/>
      <c r="F4212" s="65"/>
      <c r="G4212" s="11" t="s">
        <v>13942</v>
      </c>
      <c r="H4212" s="21" t="s">
        <v>44</v>
      </c>
      <c r="I4212" s="15"/>
      <c r="J4212" s="9">
        <v>12</v>
      </c>
      <c r="K4212" s="16">
        <v>90.46</v>
      </c>
      <c r="L4212" s="17"/>
      <c r="M4212" s="15">
        <f t="shared" si="199"/>
        <v>0</v>
      </c>
      <c r="N4212" s="18">
        <f>0.087*L4212</f>
        <v>0</v>
      </c>
      <c r="O4212" s="19">
        <f t="shared" si="200"/>
        <v>0</v>
      </c>
      <c r="P4212" s="24" t="s">
        <v>26</v>
      </c>
      <c r="Q4212" s="15" t="s">
        <v>13943</v>
      </c>
      <c r="R4212" s="15"/>
      <c r="S4212" s="10" t="str">
        <f>HYPERLINK("https://miland.ru/api/getInfo/image/b7ff3090-9def-11f0-a285-00155d82e908")</f>
        <v>https://miland.ru/api/getInfo/image/b7ff3090-9def-11f0-a285-00155d82e908</v>
      </c>
    </row>
    <row r="4213" spans="1:19" s="2" customFormat="1" ht="96.2" customHeight="1" outlineLevel="7">
      <c r="A4213" s="53">
        <v>3314</v>
      </c>
      <c r="B4213" s="10" t="s">
        <v>13944</v>
      </c>
      <c r="C4213" s="65" t="s">
        <v>13945</v>
      </c>
      <c r="D4213" s="65"/>
      <c r="E4213" s="65"/>
      <c r="F4213" s="65"/>
      <c r="G4213" s="11" t="s">
        <v>13946</v>
      </c>
      <c r="H4213" s="21" t="s">
        <v>44</v>
      </c>
      <c r="I4213" s="15"/>
      <c r="J4213" s="9">
        <v>12</v>
      </c>
      <c r="K4213" s="16">
        <v>90.46</v>
      </c>
      <c r="L4213" s="17"/>
      <c r="M4213" s="15">
        <f t="shared" si="199"/>
        <v>0</v>
      </c>
      <c r="N4213" s="18">
        <f>0.087*L4213</f>
        <v>0</v>
      </c>
      <c r="O4213" s="19">
        <f t="shared" si="200"/>
        <v>0</v>
      </c>
      <c r="P4213" s="24" t="s">
        <v>26</v>
      </c>
      <c r="Q4213" s="15" t="s">
        <v>13947</v>
      </c>
      <c r="R4213" s="15"/>
      <c r="S4213" s="10" t="str">
        <f>HYPERLINK("https://miland.ru/api/getInfo/image/4cc2ab62-728f-11f0-a284-00155d82e908")</f>
        <v>https://miland.ru/api/getInfo/image/4cc2ab62-728f-11f0-a284-00155d82e908</v>
      </c>
    </row>
    <row r="4214" spans="1:19" s="2" customFormat="1" ht="96.2" customHeight="1" outlineLevel="7">
      <c r="A4214" s="53">
        <v>3315</v>
      </c>
      <c r="B4214" s="10" t="s">
        <v>13948</v>
      </c>
      <c r="C4214" s="65" t="s">
        <v>13949</v>
      </c>
      <c r="D4214" s="65"/>
      <c r="E4214" s="65"/>
      <c r="F4214" s="65"/>
      <c r="G4214" s="11" t="s">
        <v>13950</v>
      </c>
      <c r="H4214" s="21" t="s">
        <v>44</v>
      </c>
      <c r="I4214" s="15"/>
      <c r="J4214" s="9">
        <v>12</v>
      </c>
      <c r="K4214" s="16">
        <v>90.46</v>
      </c>
      <c r="L4214" s="17"/>
      <c r="M4214" s="15">
        <f t="shared" si="199"/>
        <v>0</v>
      </c>
      <c r="N4214" s="18">
        <f>0.088*L4214</f>
        <v>0</v>
      </c>
      <c r="O4214" s="19">
        <f t="shared" si="200"/>
        <v>0</v>
      </c>
      <c r="P4214" s="24" t="s">
        <v>26</v>
      </c>
      <c r="Q4214" s="15" t="s">
        <v>13951</v>
      </c>
      <c r="R4214" s="15"/>
      <c r="S4214" s="10" t="str">
        <f>HYPERLINK("https://miland.ru/api/getInfo/image/f5b342ee-728f-11f0-a284-00155d82e908")</f>
        <v>https://miland.ru/api/getInfo/image/f5b342ee-728f-11f0-a284-00155d82e908</v>
      </c>
    </row>
    <row r="4215" spans="1:19" s="2" customFormat="1" ht="96.2" customHeight="1" outlineLevel="7">
      <c r="A4215" s="53">
        <v>3316</v>
      </c>
      <c r="B4215" s="10" t="s">
        <v>13952</v>
      </c>
      <c r="C4215" s="65" t="s">
        <v>13953</v>
      </c>
      <c r="D4215" s="65"/>
      <c r="E4215" s="65"/>
      <c r="F4215" s="65"/>
      <c r="G4215" s="11" t="s">
        <v>13954</v>
      </c>
      <c r="H4215" s="21" t="s">
        <v>44</v>
      </c>
      <c r="I4215" s="15"/>
      <c r="J4215" s="9">
        <v>12</v>
      </c>
      <c r="K4215" s="16">
        <v>90.46</v>
      </c>
      <c r="L4215" s="17"/>
      <c r="M4215" s="15">
        <f t="shared" si="199"/>
        <v>0</v>
      </c>
      <c r="N4215" s="18">
        <f>0.085*L4215</f>
        <v>0</v>
      </c>
      <c r="O4215" s="19">
        <f t="shared" si="200"/>
        <v>0</v>
      </c>
      <c r="P4215" s="24" t="s">
        <v>26</v>
      </c>
      <c r="Q4215" s="15" t="s">
        <v>13955</v>
      </c>
      <c r="R4215" s="15"/>
      <c r="S4215" s="10" t="str">
        <f>HYPERLINK("https://miland.ru/api/getInfo/image/b9f126df-728f-11f0-a284-00155d82e908")</f>
        <v>https://miland.ru/api/getInfo/image/b9f126df-728f-11f0-a284-00155d82e908</v>
      </c>
    </row>
    <row r="4216" spans="1:19" s="2" customFormat="1" ht="96.2" customHeight="1" outlineLevel="7">
      <c r="A4216" s="53">
        <v>3317</v>
      </c>
      <c r="B4216" s="10" t="s">
        <v>13956</v>
      </c>
      <c r="C4216" s="65" t="s">
        <v>13957</v>
      </c>
      <c r="D4216" s="65"/>
      <c r="E4216" s="65"/>
      <c r="F4216" s="65"/>
      <c r="G4216" s="11" t="s">
        <v>13958</v>
      </c>
      <c r="H4216" s="21" t="s">
        <v>44</v>
      </c>
      <c r="I4216" s="15"/>
      <c r="J4216" s="9">
        <v>12</v>
      </c>
      <c r="K4216" s="16">
        <v>90.46</v>
      </c>
      <c r="L4216" s="17"/>
      <c r="M4216" s="15">
        <f t="shared" si="199"/>
        <v>0</v>
      </c>
      <c r="N4216" s="18">
        <f t="shared" ref="N4216:N4222" si="201">0.087*L4216</f>
        <v>0</v>
      </c>
      <c r="O4216" s="19">
        <f>0.01253*L4216</f>
        <v>0</v>
      </c>
      <c r="P4216" s="24" t="s">
        <v>26</v>
      </c>
      <c r="Q4216" s="15" t="s">
        <v>13959</v>
      </c>
      <c r="R4216" s="15"/>
      <c r="S4216" s="10" t="str">
        <f>HYPERLINK("https://miland.ru/api/getInfo/image/3d63e438-7290-11f0-a284-00155d82e908")</f>
        <v>https://miland.ru/api/getInfo/image/3d63e438-7290-11f0-a284-00155d82e908</v>
      </c>
    </row>
    <row r="4217" spans="1:19" s="2" customFormat="1" ht="96.2" customHeight="1" outlineLevel="7">
      <c r="A4217" s="53">
        <v>3318</v>
      </c>
      <c r="B4217" s="10" t="s">
        <v>13960</v>
      </c>
      <c r="C4217" s="65" t="s">
        <v>13961</v>
      </c>
      <c r="D4217" s="65"/>
      <c r="E4217" s="65"/>
      <c r="F4217" s="65"/>
      <c r="G4217" s="11" t="s">
        <v>13962</v>
      </c>
      <c r="H4217" s="21" t="s">
        <v>44</v>
      </c>
      <c r="I4217" s="15"/>
      <c r="J4217" s="9">
        <v>12</v>
      </c>
      <c r="K4217" s="16">
        <v>90.46</v>
      </c>
      <c r="L4217" s="17"/>
      <c r="M4217" s="15">
        <f t="shared" si="199"/>
        <v>0</v>
      </c>
      <c r="N4217" s="18">
        <f t="shared" si="201"/>
        <v>0</v>
      </c>
      <c r="O4217" s="19">
        <f t="shared" ref="O4217:O4229" si="202">0.00058*L4217</f>
        <v>0</v>
      </c>
      <c r="P4217" s="24" t="s">
        <v>26</v>
      </c>
      <c r="Q4217" s="15" t="s">
        <v>13963</v>
      </c>
      <c r="R4217" s="15"/>
      <c r="S4217" s="10" t="str">
        <f>HYPERLINK("https://miland.ru/api/getInfo/image/3581df39-728f-11f0-a284-00155d82e908")</f>
        <v>https://miland.ru/api/getInfo/image/3581df39-728f-11f0-a284-00155d82e908</v>
      </c>
    </row>
    <row r="4218" spans="1:19" s="2" customFormat="1" ht="96.2" customHeight="1" outlineLevel="7">
      <c r="A4218" s="53">
        <v>3319</v>
      </c>
      <c r="B4218" s="10" t="s">
        <v>13964</v>
      </c>
      <c r="C4218" s="65" t="s">
        <v>13965</v>
      </c>
      <c r="D4218" s="65"/>
      <c r="E4218" s="65"/>
      <c r="F4218" s="65"/>
      <c r="G4218" s="11" t="s">
        <v>13966</v>
      </c>
      <c r="H4218" s="21" t="s">
        <v>44</v>
      </c>
      <c r="I4218" s="15"/>
      <c r="J4218" s="9">
        <v>12</v>
      </c>
      <c r="K4218" s="16">
        <v>90.46</v>
      </c>
      <c r="L4218" s="17"/>
      <c r="M4218" s="15">
        <f t="shared" si="199"/>
        <v>0</v>
      </c>
      <c r="N4218" s="18">
        <f t="shared" si="201"/>
        <v>0</v>
      </c>
      <c r="O4218" s="19">
        <f t="shared" si="202"/>
        <v>0</v>
      </c>
      <c r="P4218" s="24" t="s">
        <v>26</v>
      </c>
      <c r="Q4218" s="15" t="s">
        <v>13967</v>
      </c>
      <c r="R4218" s="15"/>
      <c r="S4218" s="10" t="str">
        <f>HYPERLINK("https://miland.ru/api/getInfo/image/2874aacb-7290-11f0-a284-00155d82e908")</f>
        <v>https://miland.ru/api/getInfo/image/2874aacb-7290-11f0-a284-00155d82e908</v>
      </c>
    </row>
    <row r="4219" spans="1:19" s="2" customFormat="1" ht="96.2" customHeight="1" outlineLevel="7">
      <c r="A4219" s="53">
        <v>3320</v>
      </c>
      <c r="B4219" s="10" t="s">
        <v>13968</v>
      </c>
      <c r="C4219" s="65" t="s">
        <v>13969</v>
      </c>
      <c r="D4219" s="65"/>
      <c r="E4219" s="65"/>
      <c r="F4219" s="65"/>
      <c r="G4219" s="11" t="s">
        <v>13970</v>
      </c>
      <c r="H4219" s="21" t="s">
        <v>44</v>
      </c>
      <c r="I4219" s="15"/>
      <c r="J4219" s="9">
        <v>12</v>
      </c>
      <c r="K4219" s="16">
        <v>90.46</v>
      </c>
      <c r="L4219" s="17"/>
      <c r="M4219" s="15">
        <f t="shared" si="199"/>
        <v>0</v>
      </c>
      <c r="N4219" s="18">
        <f t="shared" si="201"/>
        <v>0</v>
      </c>
      <c r="O4219" s="19">
        <f t="shared" si="202"/>
        <v>0</v>
      </c>
      <c r="P4219" s="24" t="s">
        <v>26</v>
      </c>
      <c r="Q4219" s="15" t="s">
        <v>13971</v>
      </c>
      <c r="R4219" s="15"/>
      <c r="S4219" s="10" t="str">
        <f>HYPERLINK("https://miland.ru/api/getInfo/image/de09f0d1-728f-11f0-a284-00155d82e908")</f>
        <v>https://miland.ru/api/getInfo/image/de09f0d1-728f-11f0-a284-00155d82e908</v>
      </c>
    </row>
    <row r="4220" spans="1:19" s="2" customFormat="1" ht="96.2" customHeight="1" outlineLevel="7">
      <c r="A4220" s="53">
        <v>3321</v>
      </c>
      <c r="B4220" s="10" t="s">
        <v>13972</v>
      </c>
      <c r="C4220" s="65" t="s">
        <v>13973</v>
      </c>
      <c r="D4220" s="65"/>
      <c r="E4220" s="65"/>
      <c r="F4220" s="65"/>
      <c r="G4220" s="11" t="s">
        <v>13974</v>
      </c>
      <c r="H4220" s="21" t="s">
        <v>44</v>
      </c>
      <c r="I4220" s="15"/>
      <c r="J4220" s="9">
        <v>12</v>
      </c>
      <c r="K4220" s="16">
        <v>90.46</v>
      </c>
      <c r="L4220" s="17"/>
      <c r="M4220" s="15">
        <f t="shared" si="199"/>
        <v>0</v>
      </c>
      <c r="N4220" s="18">
        <f t="shared" si="201"/>
        <v>0</v>
      </c>
      <c r="O4220" s="19">
        <f t="shared" si="202"/>
        <v>0</v>
      </c>
      <c r="P4220" s="24" t="s">
        <v>26</v>
      </c>
      <c r="Q4220" s="15" t="s">
        <v>13975</v>
      </c>
      <c r="R4220" s="15"/>
      <c r="S4220" s="10" t="str">
        <f>HYPERLINK("https://miland.ru/api/getInfo/image/cd951c59-728f-11f0-a284-00155d82e908")</f>
        <v>https://miland.ru/api/getInfo/image/cd951c59-728f-11f0-a284-00155d82e908</v>
      </c>
    </row>
    <row r="4221" spans="1:19" s="2" customFormat="1" ht="96.2" customHeight="1" outlineLevel="7">
      <c r="A4221" s="53">
        <v>3322</v>
      </c>
      <c r="B4221" s="10" t="s">
        <v>13976</v>
      </c>
      <c r="C4221" s="65" t="s">
        <v>13977</v>
      </c>
      <c r="D4221" s="65"/>
      <c r="E4221" s="65"/>
      <c r="F4221" s="65"/>
      <c r="G4221" s="11" t="s">
        <v>13978</v>
      </c>
      <c r="H4221" s="21" t="s">
        <v>44</v>
      </c>
      <c r="I4221" s="15"/>
      <c r="J4221" s="9">
        <v>12</v>
      </c>
      <c r="K4221" s="16">
        <v>90.46</v>
      </c>
      <c r="L4221" s="17"/>
      <c r="M4221" s="15">
        <f t="shared" si="199"/>
        <v>0</v>
      </c>
      <c r="N4221" s="18">
        <f t="shared" si="201"/>
        <v>0</v>
      </c>
      <c r="O4221" s="19">
        <f t="shared" si="202"/>
        <v>0</v>
      </c>
      <c r="P4221" s="24" t="s">
        <v>26</v>
      </c>
      <c r="Q4221" s="15" t="s">
        <v>13979</v>
      </c>
      <c r="R4221" s="15"/>
      <c r="S4221" s="10" t="str">
        <f>HYPERLINK("https://miland.ru/api/getInfo/image/8a07955f-728f-11f0-a284-00155d82e908")</f>
        <v>https://miland.ru/api/getInfo/image/8a07955f-728f-11f0-a284-00155d82e908</v>
      </c>
    </row>
    <row r="4222" spans="1:19" s="2" customFormat="1" ht="96.2" customHeight="1" outlineLevel="7">
      <c r="A4222" s="53">
        <v>3323</v>
      </c>
      <c r="B4222" s="10" t="s">
        <v>13980</v>
      </c>
      <c r="C4222" s="65" t="s">
        <v>13981</v>
      </c>
      <c r="D4222" s="65"/>
      <c r="E4222" s="65"/>
      <c r="F4222" s="65"/>
      <c r="G4222" s="11" t="s">
        <v>13982</v>
      </c>
      <c r="H4222" s="21" t="s">
        <v>44</v>
      </c>
      <c r="I4222" s="15"/>
      <c r="J4222" s="9">
        <v>12</v>
      </c>
      <c r="K4222" s="16">
        <v>90.46</v>
      </c>
      <c r="L4222" s="17"/>
      <c r="M4222" s="15">
        <f t="shared" si="199"/>
        <v>0</v>
      </c>
      <c r="N4222" s="18">
        <f t="shared" si="201"/>
        <v>0</v>
      </c>
      <c r="O4222" s="19">
        <f t="shared" si="202"/>
        <v>0</v>
      </c>
      <c r="P4222" s="24" t="s">
        <v>26</v>
      </c>
      <c r="Q4222" s="15" t="s">
        <v>13983</v>
      </c>
      <c r="R4222" s="15"/>
      <c r="S4222" s="10" t="str">
        <f>HYPERLINK("https://miland.ru/api/getInfo/image/630c93a3-728f-11f0-a284-00155d82e908")</f>
        <v>https://miland.ru/api/getInfo/image/630c93a3-728f-11f0-a284-00155d82e908</v>
      </c>
    </row>
    <row r="4223" spans="1:19" s="2" customFormat="1" ht="96.2" customHeight="1" outlineLevel="7">
      <c r="A4223" s="53">
        <v>3324</v>
      </c>
      <c r="B4223" s="10" t="s">
        <v>13984</v>
      </c>
      <c r="C4223" s="65" t="s">
        <v>13985</v>
      </c>
      <c r="D4223" s="65"/>
      <c r="E4223" s="65"/>
      <c r="F4223" s="65"/>
      <c r="G4223" s="11" t="s">
        <v>13986</v>
      </c>
      <c r="H4223" s="21" t="s">
        <v>44</v>
      </c>
      <c r="I4223" s="15"/>
      <c r="J4223" s="9">
        <v>12</v>
      </c>
      <c r="K4223" s="16">
        <v>90.46</v>
      </c>
      <c r="L4223" s="17"/>
      <c r="M4223" s="15">
        <f t="shared" si="199"/>
        <v>0</v>
      </c>
      <c r="N4223" s="18">
        <f>0.088*L4223</f>
        <v>0</v>
      </c>
      <c r="O4223" s="19">
        <f t="shared" si="202"/>
        <v>0</v>
      </c>
      <c r="P4223" s="24" t="s">
        <v>26</v>
      </c>
      <c r="Q4223" s="15" t="s">
        <v>13987</v>
      </c>
      <c r="R4223" s="15"/>
      <c r="S4223" s="10" t="str">
        <f>HYPERLINK("https://miland.ru/api/getInfo/image/07c880e9-7290-11f0-a284-00155d82e908")</f>
        <v>https://miland.ru/api/getInfo/image/07c880e9-7290-11f0-a284-00155d82e908</v>
      </c>
    </row>
    <row r="4224" spans="1:19" s="2" customFormat="1" ht="96.2" customHeight="1" outlineLevel="7">
      <c r="A4224" s="53">
        <v>3325</v>
      </c>
      <c r="B4224" s="10" t="s">
        <v>13988</v>
      </c>
      <c r="C4224" s="65" t="s">
        <v>13989</v>
      </c>
      <c r="D4224" s="65"/>
      <c r="E4224" s="65"/>
      <c r="F4224" s="65"/>
      <c r="G4224" s="11" t="s">
        <v>13990</v>
      </c>
      <c r="H4224" s="21" t="s">
        <v>44</v>
      </c>
      <c r="I4224" s="15"/>
      <c r="J4224" s="9">
        <v>12</v>
      </c>
      <c r="K4224" s="16">
        <v>90.46</v>
      </c>
      <c r="L4224" s="17"/>
      <c r="M4224" s="15">
        <f t="shared" si="199"/>
        <v>0</v>
      </c>
      <c r="N4224" s="18">
        <f>0.087*L4224</f>
        <v>0</v>
      </c>
      <c r="O4224" s="19">
        <f t="shared" si="202"/>
        <v>0</v>
      </c>
      <c r="P4224" s="24" t="s">
        <v>26</v>
      </c>
      <c r="Q4224" s="15" t="s">
        <v>13991</v>
      </c>
      <c r="R4224" s="15"/>
      <c r="S4224" s="10" t="str">
        <f>HYPERLINK("https://miland.ru/api/getInfo/image/7fe80508-9def-11f0-a285-00155d82e908")</f>
        <v>https://miland.ru/api/getInfo/image/7fe80508-9def-11f0-a285-00155d82e908</v>
      </c>
    </row>
    <row r="4225" spans="1:19" s="2" customFormat="1" ht="96.2" customHeight="1" outlineLevel="7">
      <c r="A4225" s="53">
        <v>3326</v>
      </c>
      <c r="B4225" s="10" t="s">
        <v>13992</v>
      </c>
      <c r="C4225" s="65" t="s">
        <v>13993</v>
      </c>
      <c r="D4225" s="65"/>
      <c r="E4225" s="65"/>
      <c r="F4225" s="65"/>
      <c r="G4225" s="11" t="s">
        <v>13994</v>
      </c>
      <c r="H4225" s="21" t="s">
        <v>44</v>
      </c>
      <c r="I4225" s="15"/>
      <c r="J4225" s="9">
        <v>12</v>
      </c>
      <c r="K4225" s="16">
        <v>90.46</v>
      </c>
      <c r="L4225" s="17"/>
      <c r="M4225" s="15">
        <f t="shared" si="199"/>
        <v>0</v>
      </c>
      <c r="N4225" s="18">
        <f>0.087*L4225</f>
        <v>0</v>
      </c>
      <c r="O4225" s="19">
        <f t="shared" si="202"/>
        <v>0</v>
      </c>
      <c r="P4225" s="24" t="s">
        <v>26</v>
      </c>
      <c r="Q4225" s="15" t="s">
        <v>13995</v>
      </c>
      <c r="R4225" s="15"/>
      <c r="S4225" s="10" t="str">
        <f>HYPERLINK("https://miland.ru/api/getInfo/image/21cbe3d9-9df0-11f0-a285-00155d82e908")</f>
        <v>https://miland.ru/api/getInfo/image/21cbe3d9-9df0-11f0-a285-00155d82e908</v>
      </c>
    </row>
    <row r="4226" spans="1:19" s="2" customFormat="1" ht="96.2" customHeight="1" outlineLevel="7">
      <c r="A4226" s="53">
        <v>3327</v>
      </c>
      <c r="B4226" s="10" t="s">
        <v>13996</v>
      </c>
      <c r="C4226" s="65" t="s">
        <v>13997</v>
      </c>
      <c r="D4226" s="65"/>
      <c r="E4226" s="65"/>
      <c r="F4226" s="65"/>
      <c r="G4226" s="11" t="s">
        <v>13998</v>
      </c>
      <c r="H4226" s="21" t="s">
        <v>44</v>
      </c>
      <c r="I4226" s="15"/>
      <c r="J4226" s="9">
        <v>12</v>
      </c>
      <c r="K4226" s="16">
        <v>90.46</v>
      </c>
      <c r="L4226" s="17"/>
      <c r="M4226" s="15">
        <f t="shared" si="199"/>
        <v>0</v>
      </c>
      <c r="N4226" s="18">
        <f>0.087*L4226</f>
        <v>0</v>
      </c>
      <c r="O4226" s="19">
        <f t="shared" si="202"/>
        <v>0</v>
      </c>
      <c r="P4226" s="24" t="s">
        <v>26</v>
      </c>
      <c r="Q4226" s="15" t="s">
        <v>13999</v>
      </c>
      <c r="R4226" s="15"/>
      <c r="S4226" s="10" t="str">
        <f>HYPERLINK("https://miland.ru/api/getInfo/image/49e645c6-9df0-11f0-a285-00155d82e908")</f>
        <v>https://miland.ru/api/getInfo/image/49e645c6-9df0-11f0-a285-00155d82e908</v>
      </c>
    </row>
    <row r="4227" spans="1:19" s="2" customFormat="1" ht="96.2" customHeight="1" outlineLevel="7">
      <c r="A4227" s="53">
        <v>3328</v>
      </c>
      <c r="B4227" s="10" t="s">
        <v>14000</v>
      </c>
      <c r="C4227" s="65" t="s">
        <v>14001</v>
      </c>
      <c r="D4227" s="65"/>
      <c r="E4227" s="65"/>
      <c r="F4227" s="65"/>
      <c r="G4227" s="11" t="s">
        <v>14002</v>
      </c>
      <c r="H4227" s="21" t="s">
        <v>44</v>
      </c>
      <c r="I4227" s="15"/>
      <c r="J4227" s="9">
        <v>12</v>
      </c>
      <c r="K4227" s="16">
        <v>90.46</v>
      </c>
      <c r="L4227" s="17"/>
      <c r="M4227" s="15">
        <f t="shared" si="199"/>
        <v>0</v>
      </c>
      <c r="N4227" s="18">
        <f>0.087*L4227</f>
        <v>0</v>
      </c>
      <c r="O4227" s="19">
        <f t="shared" si="202"/>
        <v>0</v>
      </c>
      <c r="P4227" s="24" t="s">
        <v>26</v>
      </c>
      <c r="Q4227" s="15" t="s">
        <v>14003</v>
      </c>
      <c r="R4227" s="15"/>
      <c r="S4227" s="10" t="str">
        <f>HYPERLINK("https://miland.ru/api/getInfo/image/61549f41-9df0-11f0-a285-00155d82e908")</f>
        <v>https://miland.ru/api/getInfo/image/61549f41-9df0-11f0-a285-00155d82e908</v>
      </c>
    </row>
    <row r="4228" spans="1:19" s="2" customFormat="1" ht="96.2" customHeight="1" outlineLevel="7">
      <c r="A4228" s="53">
        <v>3329</v>
      </c>
      <c r="B4228" s="10" t="s">
        <v>14004</v>
      </c>
      <c r="C4228" s="65" t="s">
        <v>14005</v>
      </c>
      <c r="D4228" s="65"/>
      <c r="E4228" s="65"/>
      <c r="F4228" s="65"/>
      <c r="G4228" s="11" t="s">
        <v>14006</v>
      </c>
      <c r="H4228" s="21" t="s">
        <v>44</v>
      </c>
      <c r="I4228" s="15"/>
      <c r="J4228" s="9">
        <v>12</v>
      </c>
      <c r="K4228" s="16">
        <v>90.46</v>
      </c>
      <c r="L4228" s="17"/>
      <c r="M4228" s="15">
        <f t="shared" si="199"/>
        <v>0</v>
      </c>
      <c r="N4228" s="18">
        <f>0.087*L4228</f>
        <v>0</v>
      </c>
      <c r="O4228" s="19">
        <f t="shared" si="202"/>
        <v>0</v>
      </c>
      <c r="P4228" s="24" t="s">
        <v>26</v>
      </c>
      <c r="Q4228" s="15" t="s">
        <v>14007</v>
      </c>
      <c r="R4228" s="15"/>
      <c r="S4228" s="10" t="str">
        <f>HYPERLINK("https://miland.ru/api/getInfo/image/286cb236-9def-11f0-a285-00155d82e908")</f>
        <v>https://miland.ru/api/getInfo/image/286cb236-9def-11f0-a285-00155d82e908</v>
      </c>
    </row>
    <row r="4229" spans="1:19" s="2" customFormat="1" ht="96.2" customHeight="1" outlineLevel="7">
      <c r="A4229" s="53">
        <v>3330</v>
      </c>
      <c r="B4229" s="10" t="s">
        <v>14008</v>
      </c>
      <c r="C4229" s="65" t="s">
        <v>14009</v>
      </c>
      <c r="D4229" s="65"/>
      <c r="E4229" s="65"/>
      <c r="F4229" s="65"/>
      <c r="G4229" s="11" t="s">
        <v>14010</v>
      </c>
      <c r="H4229" s="21" t="s">
        <v>44</v>
      </c>
      <c r="I4229" s="15"/>
      <c r="J4229" s="9">
        <v>12</v>
      </c>
      <c r="K4229" s="16">
        <v>90.46</v>
      </c>
      <c r="L4229" s="17"/>
      <c r="M4229" s="15">
        <f t="shared" si="199"/>
        <v>0</v>
      </c>
      <c r="N4229" s="18">
        <f>0.088*L4229</f>
        <v>0</v>
      </c>
      <c r="O4229" s="19">
        <f t="shared" si="202"/>
        <v>0</v>
      </c>
      <c r="P4229" s="24" t="s">
        <v>26</v>
      </c>
      <c r="Q4229" s="15" t="s">
        <v>14011</v>
      </c>
      <c r="R4229" s="15"/>
      <c r="S4229" s="10" t="str">
        <f>HYPERLINK("https://miland.ru/api/getInfo/image/0bc2afd2-9df0-11f0-a285-00155d82e908")</f>
        <v>https://miland.ru/api/getInfo/image/0bc2afd2-9df0-11f0-a285-00155d82e908</v>
      </c>
    </row>
    <row r="4230" spans="1:19" s="1" customFormat="1" ht="12" customHeight="1" outlineLevel="4">
      <c r="A4230" s="64" t="s">
        <v>14012</v>
      </c>
      <c r="B4230" s="64"/>
      <c r="C4230" s="64"/>
      <c r="D4230" s="64"/>
      <c r="E4230" s="64"/>
      <c r="F4230" s="64"/>
      <c r="G4230" s="8"/>
      <c r="H4230" s="12"/>
      <c r="I4230" s="2"/>
      <c r="J4230" s="2"/>
      <c r="K4230" s="13"/>
      <c r="L4230" s="2"/>
      <c r="M4230" s="2"/>
      <c r="N4230" s="2"/>
      <c r="O4230" s="2"/>
      <c r="P4230" s="2"/>
      <c r="Q4230" s="2"/>
      <c r="R4230" s="2"/>
      <c r="S4230" s="2"/>
    </row>
    <row r="4231" spans="1:19" s="1" customFormat="1" ht="12" customHeight="1" outlineLevel="5">
      <c r="A4231" s="64" t="s">
        <v>14013</v>
      </c>
      <c r="B4231" s="64"/>
      <c r="C4231" s="64"/>
      <c r="D4231" s="64"/>
      <c r="E4231" s="64"/>
      <c r="F4231" s="64"/>
      <c r="G4231" s="8"/>
      <c r="H4231" s="12"/>
      <c r="I4231" s="2"/>
      <c r="J4231" s="2"/>
      <c r="K4231" s="13"/>
      <c r="L4231" s="2"/>
      <c r="M4231" s="2"/>
      <c r="N4231" s="2"/>
      <c r="O4231" s="2"/>
      <c r="P4231" s="2"/>
      <c r="Q4231" s="2"/>
      <c r="R4231" s="2"/>
      <c r="S4231" s="2"/>
    </row>
    <row r="4232" spans="1:19" s="1" customFormat="1" ht="12" customHeight="1" outlineLevel="6">
      <c r="A4232" s="64" t="s">
        <v>13516</v>
      </c>
      <c r="B4232" s="64"/>
      <c r="C4232" s="64"/>
      <c r="D4232" s="64"/>
      <c r="E4232" s="64"/>
      <c r="F4232" s="64"/>
      <c r="G4232" s="8"/>
      <c r="H4232" s="12"/>
      <c r="I4232" s="2"/>
      <c r="J4232" s="2"/>
      <c r="K4232" s="13"/>
      <c r="L4232" s="2"/>
      <c r="M4232" s="2"/>
      <c r="N4232" s="2"/>
      <c r="O4232" s="2"/>
      <c r="P4232" s="2"/>
      <c r="Q4232" s="2"/>
      <c r="R4232" s="2"/>
      <c r="S4232" s="2"/>
    </row>
    <row r="4233" spans="1:19" s="2" customFormat="1" ht="96.2" customHeight="1" outlineLevel="7">
      <c r="A4233" s="53">
        <v>3331</v>
      </c>
      <c r="B4233" s="10" t="s">
        <v>14014</v>
      </c>
      <c r="C4233" s="65" t="s">
        <v>14015</v>
      </c>
      <c r="D4233" s="65"/>
      <c r="E4233" s="65"/>
      <c r="F4233" s="65"/>
      <c r="G4233" s="11" t="s">
        <v>14016</v>
      </c>
      <c r="H4233" s="21" t="s">
        <v>44</v>
      </c>
      <c r="I4233" s="15"/>
      <c r="J4233" s="9">
        <v>12</v>
      </c>
      <c r="K4233" s="16">
        <v>98.32</v>
      </c>
      <c r="L4233" s="17"/>
      <c r="M4233" s="15">
        <f>K4233*L4233</f>
        <v>0</v>
      </c>
      <c r="N4233" s="18">
        <f>0.125*L4233</f>
        <v>0</v>
      </c>
      <c r="O4233" s="19">
        <f>0.00075*L4233</f>
        <v>0</v>
      </c>
      <c r="P4233" s="24" t="s">
        <v>26</v>
      </c>
      <c r="Q4233" s="15" t="s">
        <v>14017</v>
      </c>
      <c r="R4233" s="15"/>
      <c r="S4233" s="10" t="str">
        <f>HYPERLINK("https://miland.ru/api/getInfo/image/d41c48da-7293-11f0-a284-00155d82e908")</f>
        <v>https://miland.ru/api/getInfo/image/d41c48da-7293-11f0-a284-00155d82e908</v>
      </c>
    </row>
    <row r="4234" spans="1:19" s="2" customFormat="1" ht="96.2" customHeight="1" outlineLevel="7">
      <c r="A4234" s="53">
        <v>3332</v>
      </c>
      <c r="B4234" s="10" t="s">
        <v>14018</v>
      </c>
      <c r="C4234" s="65" t="s">
        <v>14019</v>
      </c>
      <c r="D4234" s="65"/>
      <c r="E4234" s="65"/>
      <c r="F4234" s="65"/>
      <c r="G4234" s="11" t="s">
        <v>14020</v>
      </c>
      <c r="H4234" s="21" t="s">
        <v>44</v>
      </c>
      <c r="I4234" s="15"/>
      <c r="J4234" s="9">
        <v>12</v>
      </c>
      <c r="K4234" s="16">
        <v>98.32</v>
      </c>
      <c r="L4234" s="17"/>
      <c r="M4234" s="15">
        <f>K4234*L4234</f>
        <v>0</v>
      </c>
      <c r="N4234" s="18">
        <f>0.126*L4234</f>
        <v>0</v>
      </c>
      <c r="O4234" s="19">
        <f>0.00075*L4234</f>
        <v>0</v>
      </c>
      <c r="P4234" s="24" t="s">
        <v>26</v>
      </c>
      <c r="Q4234" s="15" t="s">
        <v>14021</v>
      </c>
      <c r="R4234" s="15"/>
      <c r="S4234" s="10" t="str">
        <f>HYPERLINK("https://miland.ru/api/getInfo/image/fa79a9fd-7293-11f0-a284-00155d82e908")</f>
        <v>https://miland.ru/api/getInfo/image/fa79a9fd-7293-11f0-a284-00155d82e908</v>
      </c>
    </row>
    <row r="4235" spans="1:19" s="1" customFormat="1" ht="12" customHeight="1" outlineLevel="4">
      <c r="A4235" s="64" t="s">
        <v>14022</v>
      </c>
      <c r="B4235" s="64"/>
      <c r="C4235" s="64"/>
      <c r="D4235" s="64"/>
      <c r="E4235" s="64"/>
      <c r="F4235" s="64"/>
      <c r="G4235" s="8"/>
      <c r="H4235" s="12"/>
      <c r="I4235" s="2"/>
      <c r="J4235" s="2"/>
      <c r="K4235" s="13"/>
      <c r="L4235" s="2"/>
      <c r="M4235" s="2"/>
      <c r="N4235" s="2"/>
      <c r="O4235" s="2"/>
      <c r="P4235" s="2"/>
      <c r="Q4235" s="2"/>
      <c r="R4235" s="2"/>
      <c r="S4235" s="2"/>
    </row>
    <row r="4236" spans="1:19" s="1" customFormat="1" ht="12" customHeight="1" outlineLevel="5">
      <c r="A4236" s="64" t="s">
        <v>14023</v>
      </c>
      <c r="B4236" s="64"/>
      <c r="C4236" s="64"/>
      <c r="D4236" s="64"/>
      <c r="E4236" s="64"/>
      <c r="F4236" s="64"/>
      <c r="G4236" s="8"/>
      <c r="H4236" s="12"/>
      <c r="I4236" s="2"/>
      <c r="J4236" s="2"/>
      <c r="K4236" s="13"/>
      <c r="L4236" s="2"/>
      <c r="M4236" s="2"/>
      <c r="N4236" s="2"/>
      <c r="O4236" s="2"/>
      <c r="P4236" s="2"/>
      <c r="Q4236" s="2"/>
      <c r="R4236" s="2"/>
      <c r="S4236" s="2"/>
    </row>
    <row r="4237" spans="1:19" s="2" customFormat="1" ht="96.2" customHeight="1" outlineLevel="6">
      <c r="A4237" s="53">
        <v>3333</v>
      </c>
      <c r="B4237" s="10" t="s">
        <v>14024</v>
      </c>
      <c r="C4237" s="65" t="s">
        <v>14025</v>
      </c>
      <c r="D4237" s="65"/>
      <c r="E4237" s="65"/>
      <c r="F4237" s="65"/>
      <c r="G4237" s="11" t="s">
        <v>14026</v>
      </c>
      <c r="H4237" s="21" t="s">
        <v>44</v>
      </c>
      <c r="I4237" s="15"/>
      <c r="J4237" s="9">
        <v>12</v>
      </c>
      <c r="K4237" s="16">
        <v>135.9</v>
      </c>
      <c r="L4237" s="17"/>
      <c r="M4237" s="15">
        <f>K4237*L4237</f>
        <v>0</v>
      </c>
      <c r="N4237" s="18">
        <f>0.164*L4237</f>
        <v>0</v>
      </c>
      <c r="O4237" s="19">
        <f>0.04253*L4237</f>
        <v>0</v>
      </c>
      <c r="P4237" s="24" t="s">
        <v>26</v>
      </c>
      <c r="Q4237" s="15" t="s">
        <v>14027</v>
      </c>
      <c r="R4237" s="15"/>
      <c r="S4237" s="10" t="str">
        <f>HYPERLINK("https://miland.ru/api/getInfo/image/4742c5fa-7294-11f0-a284-00155d82e908")</f>
        <v>https://miland.ru/api/getInfo/image/4742c5fa-7294-11f0-a284-00155d82e908</v>
      </c>
    </row>
    <row r="4238" spans="1:19" s="2" customFormat="1" ht="96.2" customHeight="1" outlineLevel="6">
      <c r="A4238" s="53">
        <v>3334</v>
      </c>
      <c r="B4238" s="10" t="s">
        <v>14028</v>
      </c>
      <c r="C4238" s="65" t="s">
        <v>14029</v>
      </c>
      <c r="D4238" s="65"/>
      <c r="E4238" s="65"/>
      <c r="F4238" s="65"/>
      <c r="G4238" s="11" t="s">
        <v>14030</v>
      </c>
      <c r="H4238" s="21" t="s">
        <v>44</v>
      </c>
      <c r="I4238" s="15"/>
      <c r="J4238" s="9">
        <v>12</v>
      </c>
      <c r="K4238" s="16">
        <v>135.9</v>
      </c>
      <c r="L4238" s="17"/>
      <c r="M4238" s="15">
        <f>K4238*L4238</f>
        <v>0</v>
      </c>
      <c r="N4238" s="18">
        <f>0.161*L4238</f>
        <v>0</v>
      </c>
      <c r="O4238" s="19">
        <f>0.04253*L4238</f>
        <v>0</v>
      </c>
      <c r="P4238" s="24" t="s">
        <v>26</v>
      </c>
      <c r="Q4238" s="15" t="s">
        <v>14031</v>
      </c>
      <c r="R4238" s="15"/>
      <c r="S4238" s="10" t="str">
        <f>HYPERLINK("https://miland.ru/api/getInfo/image/30dcf16f-7294-11f0-a284-00155d82e908")</f>
        <v>https://miland.ru/api/getInfo/image/30dcf16f-7294-11f0-a284-00155d82e908</v>
      </c>
    </row>
    <row r="4239" spans="1:19" s="2" customFormat="1" ht="96.2" customHeight="1" outlineLevel="6">
      <c r="A4239" s="52">
        <v>3335</v>
      </c>
      <c r="B4239" s="26" t="s">
        <v>14032</v>
      </c>
      <c r="C4239" s="66" t="s">
        <v>14033</v>
      </c>
      <c r="D4239" s="66"/>
      <c r="E4239" s="66"/>
      <c r="F4239" s="66"/>
      <c r="G4239" s="27" t="s">
        <v>14034</v>
      </c>
      <c r="H4239" s="33">
        <v>228</v>
      </c>
      <c r="I4239" s="29"/>
      <c r="J4239" s="25">
        <v>12</v>
      </c>
      <c r="K4239" s="30">
        <v>135.9</v>
      </c>
      <c r="L4239" s="17"/>
      <c r="M4239" s="29">
        <f>K4239*L4239</f>
        <v>0</v>
      </c>
      <c r="N4239" s="31">
        <f>0.173*L4239</f>
        <v>0</v>
      </c>
      <c r="O4239" s="32">
        <f>0.00105*L4239</f>
        <v>0</v>
      </c>
      <c r="P4239" s="36"/>
      <c r="Q4239" s="29" t="s">
        <v>14035</v>
      </c>
      <c r="R4239" s="29" t="s">
        <v>611</v>
      </c>
      <c r="S4239" s="26" t="str">
        <f>HYPERLINK("https://miland.ru/api/getInfo/image/4972176d-5ec9-11ef-a262-00155d82e908")</f>
        <v>https://miland.ru/api/getInfo/image/4972176d-5ec9-11ef-a262-00155d82e908</v>
      </c>
    </row>
    <row r="4240" spans="1:19" s="1" customFormat="1" ht="12" customHeight="1" outlineLevel="5">
      <c r="A4240" s="64" t="s">
        <v>14036</v>
      </c>
      <c r="B4240" s="64"/>
      <c r="C4240" s="64"/>
      <c r="D4240" s="64"/>
      <c r="E4240" s="64"/>
      <c r="F4240" s="64"/>
      <c r="G4240" s="8"/>
      <c r="H4240" s="12"/>
      <c r="I4240" s="2"/>
      <c r="J4240" s="2"/>
      <c r="K4240" s="13"/>
      <c r="L4240" s="2"/>
      <c r="M4240" s="2"/>
      <c r="N4240" s="2"/>
      <c r="O4240" s="2"/>
      <c r="P4240" s="2"/>
      <c r="Q4240" s="2"/>
      <c r="R4240" s="2"/>
      <c r="S4240" s="2"/>
    </row>
    <row r="4241" spans="1:19" s="2" customFormat="1" ht="96.2" customHeight="1" outlineLevel="6">
      <c r="A4241" s="53">
        <v>3336</v>
      </c>
      <c r="B4241" s="10" t="s">
        <v>14037</v>
      </c>
      <c r="C4241" s="65" t="s">
        <v>14038</v>
      </c>
      <c r="D4241" s="65"/>
      <c r="E4241" s="65"/>
      <c r="F4241" s="65"/>
      <c r="G4241" s="11" t="s">
        <v>14039</v>
      </c>
      <c r="H4241" s="21" t="s">
        <v>44</v>
      </c>
      <c r="I4241" s="15"/>
      <c r="J4241" s="9">
        <v>12</v>
      </c>
      <c r="K4241" s="16">
        <v>182.75</v>
      </c>
      <c r="L4241" s="17"/>
      <c r="M4241" s="15">
        <f>K4241*L4241</f>
        <v>0</v>
      </c>
      <c r="N4241" s="18">
        <f>0.267*L4241</f>
        <v>0</v>
      </c>
      <c r="O4241" s="19">
        <f>0.00144*L4241</f>
        <v>0</v>
      </c>
      <c r="P4241" s="24" t="s">
        <v>26</v>
      </c>
      <c r="Q4241" s="15" t="s">
        <v>14040</v>
      </c>
      <c r="R4241" s="15"/>
      <c r="S4241" s="10" t="str">
        <f>HYPERLINK("https://miland.ru/api/getInfo/image/9982619f-7294-11f0-a284-00155d82e908")</f>
        <v>https://miland.ru/api/getInfo/image/9982619f-7294-11f0-a284-00155d82e908</v>
      </c>
    </row>
    <row r="4242" spans="1:19" s="2" customFormat="1" ht="96.2" customHeight="1" outlineLevel="6">
      <c r="A4242" s="53">
        <v>3337</v>
      </c>
      <c r="B4242" s="10" t="s">
        <v>14041</v>
      </c>
      <c r="C4242" s="65" t="s">
        <v>14042</v>
      </c>
      <c r="D4242" s="65"/>
      <c r="E4242" s="65"/>
      <c r="F4242" s="65"/>
      <c r="G4242" s="11" t="s">
        <v>14043</v>
      </c>
      <c r="H4242" s="21" t="s">
        <v>44</v>
      </c>
      <c r="I4242" s="15"/>
      <c r="J4242" s="9">
        <v>12</v>
      </c>
      <c r="K4242" s="16">
        <v>182.75</v>
      </c>
      <c r="L4242" s="17"/>
      <c r="M4242" s="15">
        <f>K4242*L4242</f>
        <v>0</v>
      </c>
      <c r="N4242" s="23">
        <f>0.26*L4242</f>
        <v>0</v>
      </c>
      <c r="O4242" s="19">
        <f>0.00144*L4242</f>
        <v>0</v>
      </c>
      <c r="P4242" s="24" t="s">
        <v>26</v>
      </c>
      <c r="Q4242" s="15" t="s">
        <v>14044</v>
      </c>
      <c r="R4242" s="15"/>
      <c r="S4242" s="10" t="str">
        <f>HYPERLINK("https://miland.ru/api/getInfo/image/be97aab7-7294-11f0-a284-00155d82e908")</f>
        <v>https://miland.ru/api/getInfo/image/be97aab7-7294-11f0-a284-00155d82e908</v>
      </c>
    </row>
    <row r="4243" spans="1:19" s="1" customFormat="1" ht="12" customHeight="1" outlineLevel="5">
      <c r="A4243" s="64" t="s">
        <v>14045</v>
      </c>
      <c r="B4243" s="64"/>
      <c r="C4243" s="64"/>
      <c r="D4243" s="64"/>
      <c r="E4243" s="64"/>
      <c r="F4243" s="64"/>
      <c r="G4243" s="8"/>
      <c r="H4243" s="12"/>
      <c r="I4243" s="2"/>
      <c r="J4243" s="2"/>
      <c r="K4243" s="13"/>
      <c r="L4243" s="2"/>
      <c r="M4243" s="2"/>
      <c r="N4243" s="2"/>
      <c r="O4243" s="2"/>
      <c r="P4243" s="2"/>
      <c r="Q4243" s="2"/>
      <c r="R4243" s="2"/>
      <c r="S4243" s="2"/>
    </row>
    <row r="4244" spans="1:19" s="2" customFormat="1" ht="96.2" customHeight="1" outlineLevel="6">
      <c r="A4244" s="53">
        <v>3338</v>
      </c>
      <c r="B4244" s="10" t="s">
        <v>14046</v>
      </c>
      <c r="C4244" s="65" t="s">
        <v>14047</v>
      </c>
      <c r="D4244" s="65"/>
      <c r="E4244" s="65"/>
      <c r="F4244" s="65"/>
      <c r="G4244" s="11" t="s">
        <v>14048</v>
      </c>
      <c r="H4244" s="21" t="s">
        <v>44</v>
      </c>
      <c r="I4244" s="15"/>
      <c r="J4244" s="9">
        <v>12</v>
      </c>
      <c r="K4244" s="16">
        <v>136.44</v>
      </c>
      <c r="L4244" s="17"/>
      <c r="M4244" s="15">
        <f>K4244*L4244</f>
        <v>0</v>
      </c>
      <c r="N4244" s="18">
        <f>0.198*L4244</f>
        <v>0</v>
      </c>
      <c r="O4244" s="19">
        <f>0.00095*L4244</f>
        <v>0</v>
      </c>
      <c r="P4244" s="24" t="s">
        <v>26</v>
      </c>
      <c r="Q4244" s="15" t="s">
        <v>14049</v>
      </c>
      <c r="R4244" s="15"/>
      <c r="S4244" s="10" t="str">
        <f>HYPERLINK("https://miland.ru/api/getInfo/image/875233d2-7294-11f0-a284-00155d82e908")</f>
        <v>https://miland.ru/api/getInfo/image/875233d2-7294-11f0-a284-00155d82e908</v>
      </c>
    </row>
    <row r="4245" spans="1:19" s="2" customFormat="1" ht="96.2" customHeight="1" outlineLevel="6">
      <c r="A4245" s="53">
        <v>3339</v>
      </c>
      <c r="B4245" s="10" t="s">
        <v>14050</v>
      </c>
      <c r="C4245" s="65" t="s">
        <v>14051</v>
      </c>
      <c r="D4245" s="65"/>
      <c r="E4245" s="65"/>
      <c r="F4245" s="65"/>
      <c r="G4245" s="11" t="s">
        <v>14052</v>
      </c>
      <c r="H4245" s="21" t="s">
        <v>44</v>
      </c>
      <c r="I4245" s="15"/>
      <c r="J4245" s="9">
        <v>12</v>
      </c>
      <c r="K4245" s="16">
        <v>136.44</v>
      </c>
      <c r="L4245" s="17"/>
      <c r="M4245" s="15">
        <f>K4245*L4245</f>
        <v>0</v>
      </c>
      <c r="N4245" s="18">
        <f>0.197*L4245</f>
        <v>0</v>
      </c>
      <c r="O4245" s="19">
        <f>0.00119*L4245</f>
        <v>0</v>
      </c>
      <c r="P4245" s="24" t="s">
        <v>26</v>
      </c>
      <c r="Q4245" s="15" t="s">
        <v>14053</v>
      </c>
      <c r="R4245" s="15"/>
      <c r="S4245" s="10" t="str">
        <f>HYPERLINK("https://miland.ru/api/getInfo/image/6dcf9457-7294-11f0-a284-00155d82e908")</f>
        <v>https://miland.ru/api/getInfo/image/6dcf9457-7294-11f0-a284-00155d82e908</v>
      </c>
    </row>
    <row r="4246" spans="1:19" s="1" customFormat="1" ht="12" customHeight="1" outlineLevel="4">
      <c r="A4246" s="64" t="s">
        <v>14054</v>
      </c>
      <c r="B4246" s="64"/>
      <c r="C4246" s="64"/>
      <c r="D4246" s="64"/>
      <c r="E4246" s="64"/>
      <c r="F4246" s="64"/>
      <c r="G4246" s="8"/>
      <c r="H4246" s="12"/>
      <c r="I4246" s="2"/>
      <c r="J4246" s="2"/>
      <c r="K4246" s="13"/>
      <c r="L4246" s="2"/>
      <c r="M4246" s="2"/>
      <c r="N4246" s="2"/>
      <c r="O4246" s="2"/>
      <c r="P4246" s="2"/>
      <c r="Q4246" s="2"/>
      <c r="R4246" s="2"/>
      <c r="S4246" s="2"/>
    </row>
    <row r="4247" spans="1:19" s="2" customFormat="1" ht="33" customHeight="1" outlineLevel="5">
      <c r="A4247" s="52">
        <v>3340</v>
      </c>
      <c r="B4247" s="26" t="s">
        <v>14055</v>
      </c>
      <c r="C4247" s="66" t="s">
        <v>14056</v>
      </c>
      <c r="D4247" s="66"/>
      <c r="E4247" s="66"/>
      <c r="F4247" s="66"/>
      <c r="G4247" s="57"/>
      <c r="H4247" s="33">
        <v>360</v>
      </c>
      <c r="I4247" s="29"/>
      <c r="J4247" s="25">
        <v>120</v>
      </c>
      <c r="K4247" s="30">
        <v>28.19</v>
      </c>
      <c r="L4247" s="17"/>
      <c r="M4247" s="29">
        <f>K4247*L4247</f>
        <v>0</v>
      </c>
      <c r="N4247" s="31">
        <f>0.023*L4247</f>
        <v>0</v>
      </c>
      <c r="O4247" s="32">
        <f>0.00009*L4247</f>
        <v>0</v>
      </c>
      <c r="P4247" s="36"/>
      <c r="Q4247" s="29"/>
      <c r="R4247" s="29"/>
      <c r="S4247" s="26"/>
    </row>
    <row r="4248" spans="1:19" s="2" customFormat="1" ht="33" customHeight="1" outlineLevel="5">
      <c r="A4248" s="52">
        <v>3341</v>
      </c>
      <c r="B4248" s="26" t="s">
        <v>14057</v>
      </c>
      <c r="C4248" s="66" t="s">
        <v>14058</v>
      </c>
      <c r="D4248" s="66"/>
      <c r="E4248" s="66"/>
      <c r="F4248" s="66"/>
      <c r="G4248" s="57"/>
      <c r="H4248" s="33">
        <v>120</v>
      </c>
      <c r="I4248" s="29"/>
      <c r="J4248" s="25">
        <v>120</v>
      </c>
      <c r="K4248" s="30">
        <v>57.42</v>
      </c>
      <c r="L4248" s="17"/>
      <c r="M4248" s="29">
        <f>K4248*L4248</f>
        <v>0</v>
      </c>
      <c r="N4248" s="31">
        <f>0.058*L4248</f>
        <v>0</v>
      </c>
      <c r="O4248" s="32">
        <f>0.00069*L4248</f>
        <v>0</v>
      </c>
      <c r="P4248" s="36"/>
      <c r="Q4248" s="29"/>
      <c r="R4248" s="29"/>
      <c r="S4248" s="26"/>
    </row>
    <row r="4249" spans="1:19" s="2" customFormat="1" ht="33" customHeight="1" outlineLevel="5">
      <c r="A4249" s="52">
        <v>3342</v>
      </c>
      <c r="B4249" s="26" t="s">
        <v>14059</v>
      </c>
      <c r="C4249" s="66" t="s">
        <v>14060</v>
      </c>
      <c r="D4249" s="66"/>
      <c r="E4249" s="66"/>
      <c r="F4249" s="66"/>
      <c r="G4249" s="57"/>
      <c r="H4249" s="33">
        <v>120</v>
      </c>
      <c r="I4249" s="29"/>
      <c r="J4249" s="25">
        <v>120</v>
      </c>
      <c r="K4249" s="30">
        <v>57.42</v>
      </c>
      <c r="L4249" s="17"/>
      <c r="M4249" s="29">
        <f>K4249*L4249</f>
        <v>0</v>
      </c>
      <c r="N4249" s="31">
        <f>0.055*L4249</f>
        <v>0</v>
      </c>
      <c r="O4249" s="32">
        <f>0.00069*L4249</f>
        <v>0</v>
      </c>
      <c r="P4249" s="36"/>
      <c r="Q4249" s="29"/>
      <c r="R4249" s="29"/>
      <c r="S4249" s="26"/>
    </row>
    <row r="4250" spans="1:19" s="2" customFormat="1" ht="33" customHeight="1" outlineLevel="5">
      <c r="A4250" s="52">
        <v>3343</v>
      </c>
      <c r="B4250" s="26" t="s">
        <v>14061</v>
      </c>
      <c r="C4250" s="66" t="s">
        <v>14062</v>
      </c>
      <c r="D4250" s="66"/>
      <c r="E4250" s="66"/>
      <c r="F4250" s="66"/>
      <c r="G4250" s="57"/>
      <c r="H4250" s="33">
        <v>240</v>
      </c>
      <c r="I4250" s="29"/>
      <c r="J4250" s="25">
        <v>24</v>
      </c>
      <c r="K4250" s="30">
        <v>27.16</v>
      </c>
      <c r="L4250" s="17"/>
      <c r="M4250" s="29">
        <f>K4250*L4250</f>
        <v>0</v>
      </c>
      <c r="N4250" s="31">
        <f>0.017*L4250</f>
        <v>0</v>
      </c>
      <c r="O4250" s="35">
        <f>0.0001*L4250</f>
        <v>0</v>
      </c>
      <c r="P4250" s="36"/>
      <c r="Q4250" s="29"/>
      <c r="R4250" s="29"/>
      <c r="S4250" s="26"/>
    </row>
    <row r="4251" spans="1:19" s="1" customFormat="1" ht="12" customHeight="1" outlineLevel="3">
      <c r="A4251" s="64" t="s">
        <v>8624</v>
      </c>
      <c r="B4251" s="64"/>
      <c r="C4251" s="64"/>
      <c r="D4251" s="64"/>
      <c r="E4251" s="64"/>
      <c r="F4251" s="64"/>
      <c r="G4251" s="8"/>
      <c r="H4251" s="12"/>
      <c r="I4251" s="2"/>
      <c r="J4251" s="2"/>
      <c r="K4251" s="13"/>
      <c r="L4251" s="2"/>
      <c r="M4251" s="2"/>
      <c r="N4251" s="2"/>
      <c r="O4251" s="2"/>
      <c r="P4251" s="2"/>
      <c r="Q4251" s="2"/>
      <c r="R4251" s="2"/>
      <c r="S4251" s="2"/>
    </row>
    <row r="4252" spans="1:19" s="1" customFormat="1" ht="12" customHeight="1" outlineLevel="4">
      <c r="A4252" s="64" t="s">
        <v>14063</v>
      </c>
      <c r="B4252" s="64"/>
      <c r="C4252" s="64"/>
      <c r="D4252" s="64"/>
      <c r="E4252" s="64"/>
      <c r="F4252" s="64"/>
      <c r="G4252" s="8"/>
      <c r="H4252" s="12"/>
      <c r="I4252" s="2"/>
      <c r="J4252" s="2"/>
      <c r="K4252" s="13"/>
      <c r="L4252" s="2"/>
      <c r="M4252" s="2"/>
      <c r="N4252" s="2"/>
      <c r="O4252" s="2"/>
      <c r="P4252" s="2"/>
      <c r="Q4252" s="2"/>
      <c r="R4252" s="2"/>
      <c r="S4252" s="2"/>
    </row>
    <row r="4253" spans="1:19" s="1" customFormat="1" ht="12" customHeight="1" outlineLevel="5">
      <c r="A4253" s="64" t="s">
        <v>14064</v>
      </c>
      <c r="B4253" s="64"/>
      <c r="C4253" s="64"/>
      <c r="D4253" s="64"/>
      <c r="E4253" s="64"/>
      <c r="F4253" s="64"/>
      <c r="G4253" s="8"/>
      <c r="H4253" s="12"/>
      <c r="I4253" s="2"/>
      <c r="J4253" s="2"/>
      <c r="K4253" s="13"/>
      <c r="L4253" s="2"/>
      <c r="M4253" s="2"/>
      <c r="N4253" s="2"/>
      <c r="O4253" s="2"/>
      <c r="P4253" s="2"/>
      <c r="Q4253" s="2"/>
      <c r="R4253" s="2"/>
      <c r="S4253" s="2"/>
    </row>
    <row r="4254" spans="1:19" s="2" customFormat="1" ht="96.2" customHeight="1" outlineLevel="6">
      <c r="A4254" s="52">
        <v>3344</v>
      </c>
      <c r="B4254" s="26" t="s">
        <v>14065</v>
      </c>
      <c r="C4254" s="66" t="s">
        <v>14066</v>
      </c>
      <c r="D4254" s="66"/>
      <c r="E4254" s="66"/>
      <c r="F4254" s="66"/>
      <c r="G4254" s="27" t="s">
        <v>14067</v>
      </c>
      <c r="H4254" s="28" t="s">
        <v>44</v>
      </c>
      <c r="I4254" s="29"/>
      <c r="J4254" s="25">
        <v>100</v>
      </c>
      <c r="K4254" s="30">
        <v>4.5599999999999996</v>
      </c>
      <c r="L4254" s="17"/>
      <c r="M4254" s="29">
        <f>K4254*L4254</f>
        <v>0</v>
      </c>
      <c r="N4254" s="31">
        <f>0.018*L4254</f>
        <v>0</v>
      </c>
      <c r="O4254" s="32">
        <f>0.00018*L4254</f>
        <v>0</v>
      </c>
      <c r="P4254" s="36"/>
      <c r="Q4254" s="29" t="s">
        <v>14068</v>
      </c>
      <c r="R4254" s="29"/>
      <c r="S4254" s="26" t="str">
        <f>HYPERLINK("https://miland.ru/api/getInfo/image/37f54502-a06c-11ed-a22f-00155d82e902")</f>
        <v>https://miland.ru/api/getInfo/image/37f54502-a06c-11ed-a22f-00155d82e902</v>
      </c>
    </row>
    <row r="4255" spans="1:19" s="2" customFormat="1" ht="96.2" customHeight="1" outlineLevel="6">
      <c r="A4255" s="52">
        <v>3345</v>
      </c>
      <c r="B4255" s="26" t="s">
        <v>14069</v>
      </c>
      <c r="C4255" s="66" t="s">
        <v>14070</v>
      </c>
      <c r="D4255" s="66"/>
      <c r="E4255" s="66"/>
      <c r="F4255" s="66"/>
      <c r="G4255" s="27" t="s">
        <v>14071</v>
      </c>
      <c r="H4255" s="28" t="s">
        <v>44</v>
      </c>
      <c r="I4255" s="29"/>
      <c r="J4255" s="25">
        <v>100</v>
      </c>
      <c r="K4255" s="30">
        <v>4.5599999999999996</v>
      </c>
      <c r="L4255" s="17"/>
      <c r="M4255" s="29">
        <f>K4255*L4255</f>
        <v>0</v>
      </c>
      <c r="N4255" s="31">
        <f>0.027*L4255</f>
        <v>0</v>
      </c>
      <c r="O4255" s="32">
        <f>0.00005*L4255</f>
        <v>0</v>
      </c>
      <c r="P4255" s="36"/>
      <c r="Q4255" s="29" t="s">
        <v>14072</v>
      </c>
      <c r="R4255" s="29"/>
      <c r="S4255" s="26" t="str">
        <f>HYPERLINK("https://miland.ru/api/getInfo/image/2296d31c-a026-11ef-a267-00155d82e908")</f>
        <v>https://miland.ru/api/getInfo/image/2296d31c-a026-11ef-a267-00155d82e908</v>
      </c>
    </row>
    <row r="4256" spans="1:19" s="1" customFormat="1" ht="12" customHeight="1" outlineLevel="5">
      <c r="A4256" s="64" t="s">
        <v>14073</v>
      </c>
      <c r="B4256" s="64"/>
      <c r="C4256" s="64"/>
      <c r="D4256" s="64"/>
      <c r="E4256" s="64"/>
      <c r="F4256" s="64"/>
      <c r="G4256" s="8"/>
      <c r="H4256" s="12"/>
      <c r="I4256" s="2"/>
      <c r="J4256" s="2"/>
      <c r="K4256" s="13"/>
      <c r="L4256" s="2"/>
      <c r="M4256" s="2"/>
      <c r="N4256" s="2"/>
      <c r="O4256" s="2"/>
      <c r="P4256" s="2"/>
      <c r="Q4256" s="2"/>
      <c r="R4256" s="2"/>
      <c r="S4256" s="2"/>
    </row>
    <row r="4257" spans="1:19" s="2" customFormat="1" ht="96.2" customHeight="1" outlineLevel="6">
      <c r="A4257" s="52">
        <v>3346</v>
      </c>
      <c r="B4257" s="26" t="s">
        <v>14074</v>
      </c>
      <c r="C4257" s="66" t="s">
        <v>14075</v>
      </c>
      <c r="D4257" s="66"/>
      <c r="E4257" s="66"/>
      <c r="F4257" s="66"/>
      <c r="G4257" s="27" t="s">
        <v>14076</v>
      </c>
      <c r="H4257" s="28" t="s">
        <v>44</v>
      </c>
      <c r="I4257" s="29"/>
      <c r="J4257" s="25">
        <v>100</v>
      </c>
      <c r="K4257" s="30">
        <v>5.37</v>
      </c>
      <c r="L4257" s="17"/>
      <c r="M4257" s="29">
        <f t="shared" ref="M4257:M4277" si="203">K4257*L4257</f>
        <v>0</v>
      </c>
      <c r="N4257" s="31">
        <f>0.003*L4257</f>
        <v>0</v>
      </c>
      <c r="O4257" s="32">
        <f>0.00012*L4257</f>
        <v>0</v>
      </c>
      <c r="P4257" s="36"/>
      <c r="Q4257" s="29" t="s">
        <v>14077</v>
      </c>
      <c r="R4257" s="29"/>
      <c r="S4257" s="26" t="str">
        <f>HYPERLINK("https://miland.ru/api/getInfo/image/a9a2c35b-1460-11f0-a279-00155d82e908")</f>
        <v>https://miland.ru/api/getInfo/image/a9a2c35b-1460-11f0-a279-00155d82e908</v>
      </c>
    </row>
    <row r="4258" spans="1:19" s="2" customFormat="1" ht="96.2" customHeight="1" outlineLevel="6">
      <c r="A4258" s="52">
        <v>3347</v>
      </c>
      <c r="B4258" s="26" t="s">
        <v>14078</v>
      </c>
      <c r="C4258" s="66" t="s">
        <v>14079</v>
      </c>
      <c r="D4258" s="66"/>
      <c r="E4258" s="66"/>
      <c r="F4258" s="66"/>
      <c r="G4258" s="27" t="s">
        <v>14080</v>
      </c>
      <c r="H4258" s="28" t="s">
        <v>44</v>
      </c>
      <c r="I4258" s="29"/>
      <c r="J4258" s="25">
        <v>100</v>
      </c>
      <c r="K4258" s="30">
        <v>5.25</v>
      </c>
      <c r="L4258" s="17"/>
      <c r="M4258" s="29">
        <f t="shared" si="203"/>
        <v>0</v>
      </c>
      <c r="N4258" s="31">
        <f>0.003*L4258</f>
        <v>0</v>
      </c>
      <c r="O4258" s="32">
        <f>0.00006*L4258</f>
        <v>0</v>
      </c>
      <c r="P4258" s="36"/>
      <c r="Q4258" s="29" t="s">
        <v>14081</v>
      </c>
      <c r="R4258" s="29" t="s">
        <v>611</v>
      </c>
      <c r="S4258" s="26" t="str">
        <f>HYPERLINK("https://miland.ru/api/getInfo/image/95a28021-01b9-11ec-a20e-ac1f6b442185")</f>
        <v>https://miland.ru/api/getInfo/image/95a28021-01b9-11ec-a20e-ac1f6b442185</v>
      </c>
    </row>
    <row r="4259" spans="1:19" s="2" customFormat="1" ht="96.2" customHeight="1" outlineLevel="6">
      <c r="A4259" s="53">
        <v>3348</v>
      </c>
      <c r="B4259" s="10" t="s">
        <v>14082</v>
      </c>
      <c r="C4259" s="65" t="s">
        <v>14083</v>
      </c>
      <c r="D4259" s="65"/>
      <c r="E4259" s="65"/>
      <c r="F4259" s="65"/>
      <c r="G4259" s="11" t="s">
        <v>14084</v>
      </c>
      <c r="H4259" s="21" t="s">
        <v>44</v>
      </c>
      <c r="I4259" s="15"/>
      <c r="J4259" s="9">
        <v>100</v>
      </c>
      <c r="K4259" s="16">
        <v>4.88</v>
      </c>
      <c r="L4259" s="17"/>
      <c r="M4259" s="15">
        <f t="shared" si="203"/>
        <v>0</v>
      </c>
      <c r="N4259" s="18">
        <f>0.004*L4259</f>
        <v>0</v>
      </c>
      <c r="O4259" s="19">
        <f>0.00006*L4259</f>
        <v>0</v>
      </c>
      <c r="P4259" s="24" t="s">
        <v>26</v>
      </c>
      <c r="Q4259" s="15" t="s">
        <v>14085</v>
      </c>
      <c r="R4259" s="15"/>
      <c r="S4259" s="10" t="str">
        <f>HYPERLINK("https://miland.ru/api/getInfo/image/901cad08-715a-11f1-a29a-00155d82e908")</f>
        <v>https://miland.ru/api/getInfo/image/901cad08-715a-11f1-a29a-00155d82e908</v>
      </c>
    </row>
    <row r="4260" spans="1:19" s="2" customFormat="1" ht="96.2" customHeight="1" outlineLevel="6">
      <c r="A4260" s="52">
        <v>3349</v>
      </c>
      <c r="B4260" s="26" t="s">
        <v>14086</v>
      </c>
      <c r="C4260" s="66" t="s">
        <v>14087</v>
      </c>
      <c r="D4260" s="66"/>
      <c r="E4260" s="66"/>
      <c r="F4260" s="66"/>
      <c r="G4260" s="27" t="s">
        <v>14088</v>
      </c>
      <c r="H4260" s="28" t="s">
        <v>44</v>
      </c>
      <c r="I4260" s="29"/>
      <c r="J4260" s="25">
        <v>100</v>
      </c>
      <c r="K4260" s="30">
        <v>5.25</v>
      </c>
      <c r="L4260" s="17"/>
      <c r="M4260" s="29">
        <f t="shared" si="203"/>
        <v>0</v>
      </c>
      <c r="N4260" s="31">
        <f>0.003*L4260</f>
        <v>0</v>
      </c>
      <c r="O4260" s="32">
        <f>0.00012*L4260</f>
        <v>0</v>
      </c>
      <c r="P4260" s="36"/>
      <c r="Q4260" s="29" t="s">
        <v>14089</v>
      </c>
      <c r="R4260" s="29"/>
      <c r="S4260" s="26" t="str">
        <f>HYPERLINK("https://miland.ru/api/getInfo/image/4b100eff-cc3e-11f0-a28a-00155d82e908")</f>
        <v>https://miland.ru/api/getInfo/image/4b100eff-cc3e-11f0-a28a-00155d82e908</v>
      </c>
    </row>
    <row r="4261" spans="1:19" s="2" customFormat="1" ht="96.2" customHeight="1" outlineLevel="6">
      <c r="A4261" s="52">
        <v>3350</v>
      </c>
      <c r="B4261" s="26" t="s">
        <v>14090</v>
      </c>
      <c r="C4261" s="66" t="s">
        <v>14091</v>
      </c>
      <c r="D4261" s="66"/>
      <c r="E4261" s="66"/>
      <c r="F4261" s="66"/>
      <c r="G4261" s="27" t="s">
        <v>14092</v>
      </c>
      <c r="H4261" s="28" t="s">
        <v>44</v>
      </c>
      <c r="I4261" s="29"/>
      <c r="J4261" s="25">
        <v>100</v>
      </c>
      <c r="K4261" s="30">
        <v>5.37</v>
      </c>
      <c r="L4261" s="17"/>
      <c r="M4261" s="29">
        <f t="shared" si="203"/>
        <v>0</v>
      </c>
      <c r="N4261" s="31">
        <f>0.003*L4261</f>
        <v>0</v>
      </c>
      <c r="O4261" s="32">
        <f>0.00012*L4261</f>
        <v>0</v>
      </c>
      <c r="P4261" s="36"/>
      <c r="Q4261" s="29" t="s">
        <v>14093</v>
      </c>
      <c r="R4261" s="29"/>
      <c r="S4261" s="26" t="str">
        <f>HYPERLINK("https://miland.ru/api/getInfo/image/b465add9-1461-11f0-a279-00155d82e908")</f>
        <v>https://miland.ru/api/getInfo/image/b465add9-1461-11f0-a279-00155d82e908</v>
      </c>
    </row>
    <row r="4262" spans="1:19" s="2" customFormat="1" ht="96.2" customHeight="1" outlineLevel="6">
      <c r="A4262" s="52">
        <v>3351</v>
      </c>
      <c r="B4262" s="26" t="s">
        <v>14094</v>
      </c>
      <c r="C4262" s="66" t="s">
        <v>14095</v>
      </c>
      <c r="D4262" s="66"/>
      <c r="E4262" s="66"/>
      <c r="F4262" s="66"/>
      <c r="G4262" s="27" t="s">
        <v>14096</v>
      </c>
      <c r="H4262" s="28" t="s">
        <v>44</v>
      </c>
      <c r="I4262" s="29"/>
      <c r="J4262" s="25">
        <v>100</v>
      </c>
      <c r="K4262" s="30">
        <v>5.25</v>
      </c>
      <c r="L4262" s="17"/>
      <c r="M4262" s="29">
        <f t="shared" si="203"/>
        <v>0</v>
      </c>
      <c r="N4262" s="31">
        <f>0.003*L4262</f>
        <v>0</v>
      </c>
      <c r="O4262" s="32">
        <f>0.00018*L4262</f>
        <v>0</v>
      </c>
      <c r="P4262" s="36"/>
      <c r="Q4262" s="29" t="s">
        <v>14097</v>
      </c>
      <c r="R4262" s="29"/>
      <c r="S4262" s="26" t="str">
        <f>HYPERLINK("https://miland.ru/api/getInfo/image/ad98b844-2e77-11ed-a216-ac1f6b442185")</f>
        <v>https://miland.ru/api/getInfo/image/ad98b844-2e77-11ed-a216-ac1f6b442185</v>
      </c>
    </row>
    <row r="4263" spans="1:19" s="2" customFormat="1" ht="96.2" customHeight="1" outlineLevel="6">
      <c r="A4263" s="53">
        <v>3352</v>
      </c>
      <c r="B4263" s="10" t="s">
        <v>14098</v>
      </c>
      <c r="C4263" s="65" t="s">
        <v>14099</v>
      </c>
      <c r="D4263" s="65"/>
      <c r="E4263" s="65"/>
      <c r="F4263" s="65"/>
      <c r="G4263" s="11" t="s">
        <v>14100</v>
      </c>
      <c r="H4263" s="21" t="s">
        <v>44</v>
      </c>
      <c r="I4263" s="15"/>
      <c r="J4263" s="9">
        <v>100</v>
      </c>
      <c r="K4263" s="16">
        <v>5.35</v>
      </c>
      <c r="L4263" s="17"/>
      <c r="M4263" s="15">
        <f t="shared" si="203"/>
        <v>0</v>
      </c>
      <c r="N4263" s="18">
        <f>0.003*L4263</f>
        <v>0</v>
      </c>
      <c r="O4263" s="15">
        <v>0</v>
      </c>
      <c r="P4263" s="24" t="s">
        <v>26</v>
      </c>
      <c r="Q4263" s="15" t="s">
        <v>14101</v>
      </c>
      <c r="R4263" s="15"/>
      <c r="S4263" s="10" t="str">
        <f>HYPERLINK("https://miland.ru/api/getInfo/image/913fbf54-c184-11f1-a2a0-00155d82e908")</f>
        <v>https://miland.ru/api/getInfo/image/913fbf54-c184-11f1-a2a0-00155d82e908</v>
      </c>
    </row>
    <row r="4264" spans="1:19" s="2" customFormat="1" ht="96.2" customHeight="1" outlineLevel="6">
      <c r="A4264" s="53">
        <v>3353</v>
      </c>
      <c r="B4264" s="10" t="s">
        <v>14102</v>
      </c>
      <c r="C4264" s="65" t="s">
        <v>14103</v>
      </c>
      <c r="D4264" s="65"/>
      <c r="E4264" s="65"/>
      <c r="F4264" s="65"/>
      <c r="G4264" s="11" t="s">
        <v>14104</v>
      </c>
      <c r="H4264" s="21" t="s">
        <v>44</v>
      </c>
      <c r="I4264" s="15"/>
      <c r="J4264" s="9">
        <v>150</v>
      </c>
      <c r="K4264" s="16">
        <v>4.88</v>
      </c>
      <c r="L4264" s="17"/>
      <c r="M4264" s="15">
        <f t="shared" si="203"/>
        <v>0</v>
      </c>
      <c r="N4264" s="15">
        <v>0</v>
      </c>
      <c r="O4264" s="15">
        <v>0</v>
      </c>
      <c r="P4264" s="24" t="s">
        <v>26</v>
      </c>
      <c r="Q4264" s="15" t="s">
        <v>14105</v>
      </c>
      <c r="R4264" s="15"/>
      <c r="S4264" s="10" t="str">
        <f>HYPERLINK("https://miland.ru/api/getInfo/image/0787312d-139f-11f1-a28f-00155d82e908")</f>
        <v>https://miland.ru/api/getInfo/image/0787312d-139f-11f1-a28f-00155d82e908</v>
      </c>
    </row>
    <row r="4265" spans="1:19" s="2" customFormat="1" ht="96.2" customHeight="1" outlineLevel="6">
      <c r="A4265" s="52">
        <v>3354</v>
      </c>
      <c r="B4265" s="26" t="s">
        <v>14106</v>
      </c>
      <c r="C4265" s="66" t="s">
        <v>14107</v>
      </c>
      <c r="D4265" s="66"/>
      <c r="E4265" s="66"/>
      <c r="F4265" s="66"/>
      <c r="G4265" s="27" t="s">
        <v>14108</v>
      </c>
      <c r="H4265" s="28" t="s">
        <v>44</v>
      </c>
      <c r="I4265" s="29"/>
      <c r="J4265" s="25">
        <v>100</v>
      </c>
      <c r="K4265" s="30">
        <v>5.25</v>
      </c>
      <c r="L4265" s="17"/>
      <c r="M4265" s="29">
        <f t="shared" si="203"/>
        <v>0</v>
      </c>
      <c r="N4265" s="31">
        <f>0.003*L4265</f>
        <v>0</v>
      </c>
      <c r="O4265" s="32">
        <f>0.00006*L4265</f>
        <v>0</v>
      </c>
      <c r="P4265" s="36"/>
      <c r="Q4265" s="29" t="s">
        <v>14109</v>
      </c>
      <c r="R4265" s="29"/>
      <c r="S4265" s="26" t="str">
        <f>HYPERLINK("https://miland.ru/api/getInfo/image/f39bef15-cc3c-11f0-a28a-00155d82e908")</f>
        <v>https://miland.ru/api/getInfo/image/f39bef15-cc3c-11f0-a28a-00155d82e908</v>
      </c>
    </row>
    <row r="4266" spans="1:19" s="2" customFormat="1" ht="96.2" customHeight="1" outlineLevel="6">
      <c r="A4266" s="52">
        <v>3355</v>
      </c>
      <c r="B4266" s="26" t="s">
        <v>14110</v>
      </c>
      <c r="C4266" s="66" t="s">
        <v>14111</v>
      </c>
      <c r="D4266" s="66"/>
      <c r="E4266" s="66"/>
      <c r="F4266" s="66"/>
      <c r="G4266" s="27" t="s">
        <v>14112</v>
      </c>
      <c r="H4266" s="28" t="s">
        <v>44</v>
      </c>
      <c r="I4266" s="29"/>
      <c r="J4266" s="25">
        <v>100</v>
      </c>
      <c r="K4266" s="30">
        <v>5.35</v>
      </c>
      <c r="L4266" s="17"/>
      <c r="M4266" s="29">
        <f t="shared" si="203"/>
        <v>0</v>
      </c>
      <c r="N4266" s="31">
        <f>0.003*L4266</f>
        <v>0</v>
      </c>
      <c r="O4266" s="32">
        <f>0.00006*L4266</f>
        <v>0</v>
      </c>
      <c r="P4266" s="36"/>
      <c r="Q4266" s="29" t="s">
        <v>14113</v>
      </c>
      <c r="R4266" s="29"/>
      <c r="S4266" s="26" t="str">
        <f>HYPERLINK("https://miland.ru/api/getInfo/image/4ac667bc-1477-11f0-a279-00155d82e908")</f>
        <v>https://miland.ru/api/getInfo/image/4ac667bc-1477-11f0-a279-00155d82e908</v>
      </c>
    </row>
    <row r="4267" spans="1:19" s="2" customFormat="1" ht="96.2" customHeight="1" outlineLevel="6">
      <c r="A4267" s="52">
        <v>3356</v>
      </c>
      <c r="B4267" s="26" t="s">
        <v>14114</v>
      </c>
      <c r="C4267" s="66" t="s">
        <v>14115</v>
      </c>
      <c r="D4267" s="66"/>
      <c r="E4267" s="66"/>
      <c r="F4267" s="66"/>
      <c r="G4267" s="27" t="s">
        <v>14116</v>
      </c>
      <c r="H4267" s="28" t="s">
        <v>44</v>
      </c>
      <c r="I4267" s="29"/>
      <c r="J4267" s="25">
        <v>100</v>
      </c>
      <c r="K4267" s="30">
        <v>5.25</v>
      </c>
      <c r="L4267" s="17"/>
      <c r="M4267" s="29">
        <f t="shared" si="203"/>
        <v>0</v>
      </c>
      <c r="N4267" s="31">
        <f>0.018*L4267</f>
        <v>0</v>
      </c>
      <c r="O4267" s="32">
        <f>0.00018*L4267</f>
        <v>0</v>
      </c>
      <c r="P4267" s="36"/>
      <c r="Q4267" s="29" t="s">
        <v>14117</v>
      </c>
      <c r="R4267" s="29" t="s">
        <v>611</v>
      </c>
      <c r="S4267" s="26" t="str">
        <f>HYPERLINK("https://miland.ru/api/getInfo/image/68f1a61c-1463-11f0-a279-00155d82e908")</f>
        <v>https://miland.ru/api/getInfo/image/68f1a61c-1463-11f0-a279-00155d82e908</v>
      </c>
    </row>
    <row r="4268" spans="1:19" s="2" customFormat="1" ht="96.2" customHeight="1" outlineLevel="6">
      <c r="A4268" s="52">
        <v>3357</v>
      </c>
      <c r="B4268" s="26" t="s">
        <v>14118</v>
      </c>
      <c r="C4268" s="66" t="s">
        <v>14119</v>
      </c>
      <c r="D4268" s="66"/>
      <c r="E4268" s="66"/>
      <c r="F4268" s="66"/>
      <c r="G4268" s="27" t="s">
        <v>14120</v>
      </c>
      <c r="H4268" s="28" t="s">
        <v>44</v>
      </c>
      <c r="I4268" s="29"/>
      <c r="J4268" s="25">
        <v>100</v>
      </c>
      <c r="K4268" s="30">
        <v>5.37</v>
      </c>
      <c r="L4268" s="17"/>
      <c r="M4268" s="29">
        <f t="shared" si="203"/>
        <v>0</v>
      </c>
      <c r="N4268" s="31">
        <f>0.003*L4268</f>
        <v>0</v>
      </c>
      <c r="O4268" s="32">
        <f>0.00012*L4268</f>
        <v>0</v>
      </c>
      <c r="P4268" s="36"/>
      <c r="Q4268" s="29" t="s">
        <v>14121</v>
      </c>
      <c r="R4268" s="29"/>
      <c r="S4268" s="26" t="str">
        <f>HYPERLINK("https://miland.ru/api/getInfo/image/3678325e-c3dc-11ed-a230-00155d82e902")</f>
        <v>https://miland.ru/api/getInfo/image/3678325e-c3dc-11ed-a230-00155d82e902</v>
      </c>
    </row>
    <row r="4269" spans="1:19" s="2" customFormat="1" ht="96.2" customHeight="1" outlineLevel="6">
      <c r="A4269" s="52">
        <v>3358</v>
      </c>
      <c r="B4269" s="26" t="s">
        <v>14122</v>
      </c>
      <c r="C4269" s="66" t="s">
        <v>14123</v>
      </c>
      <c r="D4269" s="66"/>
      <c r="E4269" s="66"/>
      <c r="F4269" s="66"/>
      <c r="G4269" s="27" t="s">
        <v>14124</v>
      </c>
      <c r="H4269" s="28" t="s">
        <v>44</v>
      </c>
      <c r="I4269" s="29"/>
      <c r="J4269" s="25">
        <v>100</v>
      </c>
      <c r="K4269" s="30">
        <v>5.35</v>
      </c>
      <c r="L4269" s="17"/>
      <c r="M4269" s="29">
        <f t="shared" si="203"/>
        <v>0</v>
      </c>
      <c r="N4269" s="31">
        <f>0.003*L4269</f>
        <v>0</v>
      </c>
      <c r="O4269" s="32">
        <f>0.00006*L4269</f>
        <v>0</v>
      </c>
      <c r="P4269" s="36"/>
      <c r="Q4269" s="29" t="s">
        <v>14125</v>
      </c>
      <c r="R4269" s="29"/>
      <c r="S4269" s="26" t="str">
        <f>HYPERLINK("https://miland.ru/api/getInfo/image/cbb65720-b98e-11ed-a230-00155d82e902")</f>
        <v>https://miland.ru/api/getInfo/image/cbb65720-b98e-11ed-a230-00155d82e902</v>
      </c>
    </row>
    <row r="4270" spans="1:19" s="2" customFormat="1" ht="96.2" customHeight="1" outlineLevel="6">
      <c r="A4270" s="53">
        <v>3359</v>
      </c>
      <c r="B4270" s="10" t="s">
        <v>14126</v>
      </c>
      <c r="C4270" s="65" t="s">
        <v>14127</v>
      </c>
      <c r="D4270" s="65"/>
      <c r="E4270" s="65"/>
      <c r="F4270" s="65"/>
      <c r="G4270" s="11" t="s">
        <v>14128</v>
      </c>
      <c r="H4270" s="21" t="s">
        <v>44</v>
      </c>
      <c r="I4270" s="15"/>
      <c r="J4270" s="9">
        <v>150</v>
      </c>
      <c r="K4270" s="16">
        <v>4.88</v>
      </c>
      <c r="L4270" s="17"/>
      <c r="M4270" s="15">
        <f t="shared" si="203"/>
        <v>0</v>
      </c>
      <c r="N4270" s="15">
        <v>0</v>
      </c>
      <c r="O4270" s="15">
        <v>0</v>
      </c>
      <c r="P4270" s="24" t="s">
        <v>26</v>
      </c>
      <c r="Q4270" s="15" t="s">
        <v>14129</v>
      </c>
      <c r="R4270" s="15"/>
      <c r="S4270" s="10" t="str">
        <f>HYPERLINK("https://miland.ru/api/getInfo/image/e178c4d0-139e-11f1-a28f-00155d82e908")</f>
        <v>https://miland.ru/api/getInfo/image/e178c4d0-139e-11f1-a28f-00155d82e908</v>
      </c>
    </row>
    <row r="4271" spans="1:19" s="2" customFormat="1" ht="96.2" customHeight="1" outlineLevel="6">
      <c r="A4271" s="53">
        <v>3360</v>
      </c>
      <c r="B4271" s="10" t="s">
        <v>14130</v>
      </c>
      <c r="C4271" s="65" t="s">
        <v>14131</v>
      </c>
      <c r="D4271" s="65"/>
      <c r="E4271" s="65"/>
      <c r="F4271" s="65"/>
      <c r="G4271" s="11" t="s">
        <v>14132</v>
      </c>
      <c r="H4271" s="21" t="s">
        <v>44</v>
      </c>
      <c r="I4271" s="15"/>
      <c r="J4271" s="9">
        <v>100</v>
      </c>
      <c r="K4271" s="16">
        <v>5.35</v>
      </c>
      <c r="L4271" s="17"/>
      <c r="M4271" s="15">
        <f t="shared" si="203"/>
        <v>0</v>
      </c>
      <c r="N4271" s="18">
        <f>0.003*L4271</f>
        <v>0</v>
      </c>
      <c r="O4271" s="18">
        <f>0.018*L4271</f>
        <v>0</v>
      </c>
      <c r="P4271" s="24" t="s">
        <v>26</v>
      </c>
      <c r="Q4271" s="15" t="s">
        <v>14133</v>
      </c>
      <c r="R4271" s="15"/>
      <c r="S4271" s="10" t="str">
        <f>HYPERLINK("https://miland.ru/api/getInfo/image/20b67422-c184-11f1-a2a0-00155d82e908")</f>
        <v>https://miland.ru/api/getInfo/image/20b67422-c184-11f1-a2a0-00155d82e908</v>
      </c>
    </row>
    <row r="4272" spans="1:19" s="2" customFormat="1" ht="96.2" customHeight="1" outlineLevel="6">
      <c r="A4272" s="52">
        <v>3361</v>
      </c>
      <c r="B4272" s="26" t="s">
        <v>14134</v>
      </c>
      <c r="C4272" s="66" t="s">
        <v>14135</v>
      </c>
      <c r="D4272" s="66"/>
      <c r="E4272" s="66"/>
      <c r="F4272" s="66"/>
      <c r="G4272" s="27" t="s">
        <v>14136</v>
      </c>
      <c r="H4272" s="28" t="s">
        <v>44</v>
      </c>
      <c r="I4272" s="29"/>
      <c r="J4272" s="25">
        <v>100</v>
      </c>
      <c r="K4272" s="30">
        <v>5.25</v>
      </c>
      <c r="L4272" s="17"/>
      <c r="M4272" s="29">
        <f t="shared" si="203"/>
        <v>0</v>
      </c>
      <c r="N4272" s="31">
        <f>0.004*L4272</f>
        <v>0</v>
      </c>
      <c r="O4272" s="32">
        <f>0.00006*L4272</f>
        <v>0</v>
      </c>
      <c r="P4272" s="36"/>
      <c r="Q4272" s="29" t="s">
        <v>14137</v>
      </c>
      <c r="R4272" s="29"/>
      <c r="S4272" s="26" t="str">
        <f>HYPERLINK("https://miland.ru/api/getInfo/image/37175c45-2e78-11ed-a216-ac1f6b442185")</f>
        <v>https://miland.ru/api/getInfo/image/37175c45-2e78-11ed-a216-ac1f6b442185</v>
      </c>
    </row>
    <row r="4273" spans="1:19" s="2" customFormat="1" ht="96.2" customHeight="1" outlineLevel="6">
      <c r="A4273" s="53">
        <v>3362</v>
      </c>
      <c r="B4273" s="10" t="s">
        <v>14138</v>
      </c>
      <c r="C4273" s="65" t="s">
        <v>14139</v>
      </c>
      <c r="D4273" s="65"/>
      <c r="E4273" s="65"/>
      <c r="F4273" s="65"/>
      <c r="G4273" s="11" t="s">
        <v>14140</v>
      </c>
      <c r="H4273" s="21" t="s">
        <v>44</v>
      </c>
      <c r="I4273" s="15"/>
      <c r="J4273" s="9">
        <v>100</v>
      </c>
      <c r="K4273" s="16">
        <v>5.35</v>
      </c>
      <c r="L4273" s="17"/>
      <c r="M4273" s="15">
        <f t="shared" si="203"/>
        <v>0</v>
      </c>
      <c r="N4273" s="18">
        <f>0.316*L4273</f>
        <v>0</v>
      </c>
      <c r="O4273" s="20">
        <f>0.0018*L4273</f>
        <v>0</v>
      </c>
      <c r="P4273" s="24" t="s">
        <v>26</v>
      </c>
      <c r="Q4273" s="15" t="s">
        <v>14141</v>
      </c>
      <c r="R4273" s="15"/>
      <c r="S4273" s="10" t="str">
        <f>HYPERLINK("https://miland.ru/api/getInfo/image/e0c141f1-c183-11f1-a2a0-00155d82e908")</f>
        <v>https://miland.ru/api/getInfo/image/e0c141f1-c183-11f1-a2a0-00155d82e908</v>
      </c>
    </row>
    <row r="4274" spans="1:19" s="2" customFormat="1" ht="96.2" customHeight="1" outlineLevel="6">
      <c r="A4274" s="53">
        <v>3363</v>
      </c>
      <c r="B4274" s="10" t="s">
        <v>14142</v>
      </c>
      <c r="C4274" s="65" t="s">
        <v>14143</v>
      </c>
      <c r="D4274" s="65"/>
      <c r="E4274" s="65"/>
      <c r="F4274" s="65"/>
      <c r="G4274" s="11" t="s">
        <v>14144</v>
      </c>
      <c r="H4274" s="21" t="s">
        <v>44</v>
      </c>
      <c r="I4274" s="15"/>
      <c r="J4274" s="9">
        <v>150</v>
      </c>
      <c r="K4274" s="16">
        <v>4.88</v>
      </c>
      <c r="L4274" s="17"/>
      <c r="M4274" s="15">
        <f t="shared" si="203"/>
        <v>0</v>
      </c>
      <c r="N4274" s="15">
        <v>0</v>
      </c>
      <c r="O4274" s="15">
        <v>0</v>
      </c>
      <c r="P4274" s="24" t="s">
        <v>26</v>
      </c>
      <c r="Q4274" s="15" t="s">
        <v>14145</v>
      </c>
      <c r="R4274" s="15"/>
      <c r="S4274" s="10" t="str">
        <f>HYPERLINK("https://miland.ru/api/getInfo/image/94b9511c-139e-11f1-a28f-00155d82e908")</f>
        <v>https://miland.ru/api/getInfo/image/94b9511c-139e-11f1-a28f-00155d82e908</v>
      </c>
    </row>
    <row r="4275" spans="1:19" s="2" customFormat="1" ht="96.2" customHeight="1" outlineLevel="6">
      <c r="A4275" s="52">
        <v>3364</v>
      </c>
      <c r="B4275" s="26" t="s">
        <v>14146</v>
      </c>
      <c r="C4275" s="66" t="s">
        <v>14147</v>
      </c>
      <c r="D4275" s="66"/>
      <c r="E4275" s="66"/>
      <c r="F4275" s="66"/>
      <c r="G4275" s="27" t="s">
        <v>14148</v>
      </c>
      <c r="H4275" s="28" t="s">
        <v>44</v>
      </c>
      <c r="I4275" s="29"/>
      <c r="J4275" s="25">
        <v>100</v>
      </c>
      <c r="K4275" s="30">
        <v>5.35</v>
      </c>
      <c r="L4275" s="17"/>
      <c r="M4275" s="29">
        <f t="shared" si="203"/>
        <v>0</v>
      </c>
      <c r="N4275" s="34">
        <f>0.33*L4275</f>
        <v>0</v>
      </c>
      <c r="O4275" s="32">
        <f>0.00116*L4275</f>
        <v>0</v>
      </c>
      <c r="P4275" s="36"/>
      <c r="Q4275" s="29" t="s">
        <v>14149</v>
      </c>
      <c r="R4275" s="29"/>
      <c r="S4275" s="26" t="str">
        <f>HYPERLINK("https://miland.ru/api/getInfo/image/12db3ef0-b98f-11ed-a230-00155d82e902")</f>
        <v>https://miland.ru/api/getInfo/image/12db3ef0-b98f-11ed-a230-00155d82e902</v>
      </c>
    </row>
    <row r="4276" spans="1:19" s="2" customFormat="1" ht="96.2" customHeight="1" outlineLevel="6">
      <c r="A4276" s="52">
        <v>3365</v>
      </c>
      <c r="B4276" s="26" t="s">
        <v>14150</v>
      </c>
      <c r="C4276" s="66" t="s">
        <v>14151</v>
      </c>
      <c r="D4276" s="66"/>
      <c r="E4276" s="66"/>
      <c r="F4276" s="66"/>
      <c r="G4276" s="27" t="s">
        <v>14152</v>
      </c>
      <c r="H4276" s="28" t="s">
        <v>44</v>
      </c>
      <c r="I4276" s="29"/>
      <c r="J4276" s="25">
        <v>100</v>
      </c>
      <c r="K4276" s="30">
        <v>5.37</v>
      </c>
      <c r="L4276" s="17"/>
      <c r="M4276" s="29">
        <f t="shared" si="203"/>
        <v>0</v>
      </c>
      <c r="N4276" s="31">
        <f>0.003*L4276</f>
        <v>0</v>
      </c>
      <c r="O4276" s="32">
        <f>0.00012*L4276</f>
        <v>0</v>
      </c>
      <c r="P4276" s="36"/>
      <c r="Q4276" s="29" t="s">
        <v>14153</v>
      </c>
      <c r="R4276" s="29"/>
      <c r="S4276" s="26" t="str">
        <f>HYPERLINK("https://miland.ru/api/getInfo/image/889c3db5-63c5-11ec-a20f-ac1f6b442185")</f>
        <v>https://miland.ru/api/getInfo/image/889c3db5-63c5-11ec-a20f-ac1f6b442185</v>
      </c>
    </row>
    <row r="4277" spans="1:19" s="2" customFormat="1" ht="96.2" customHeight="1" outlineLevel="6">
      <c r="A4277" s="52">
        <v>3366</v>
      </c>
      <c r="B4277" s="26" t="s">
        <v>14154</v>
      </c>
      <c r="C4277" s="66" t="s">
        <v>14155</v>
      </c>
      <c r="D4277" s="66"/>
      <c r="E4277" s="66"/>
      <c r="F4277" s="66"/>
      <c r="G4277" s="27" t="s">
        <v>14156</v>
      </c>
      <c r="H4277" s="28" t="s">
        <v>44</v>
      </c>
      <c r="I4277" s="29"/>
      <c r="J4277" s="25">
        <v>100</v>
      </c>
      <c r="K4277" s="30">
        <v>5.25</v>
      </c>
      <c r="L4277" s="17"/>
      <c r="M4277" s="29">
        <f t="shared" si="203"/>
        <v>0</v>
      </c>
      <c r="N4277" s="31">
        <f>0.003*L4277</f>
        <v>0</v>
      </c>
      <c r="O4277" s="32">
        <f>0.00012*L4277</f>
        <v>0</v>
      </c>
      <c r="P4277" s="36"/>
      <c r="Q4277" s="29" t="s">
        <v>14157</v>
      </c>
      <c r="R4277" s="29"/>
      <c r="S4277" s="26" t="str">
        <f>HYPERLINK("https://miland.ru/api/getInfo/image/fcc0f445-4737-11ee-a243-00155d82e902")</f>
        <v>https://miland.ru/api/getInfo/image/fcc0f445-4737-11ee-a243-00155d82e902</v>
      </c>
    </row>
    <row r="4278" spans="1:19" s="1" customFormat="1" ht="12" customHeight="1" outlineLevel="6">
      <c r="A4278" s="64" t="s">
        <v>7805</v>
      </c>
      <c r="B4278" s="64"/>
      <c r="C4278" s="64"/>
      <c r="D4278" s="64"/>
      <c r="E4278" s="64"/>
      <c r="F4278" s="64"/>
      <c r="G4278" s="8"/>
      <c r="H4278" s="12"/>
      <c r="I4278" s="2"/>
      <c r="J4278" s="2"/>
      <c r="K4278" s="13"/>
      <c r="L4278" s="2"/>
      <c r="M4278" s="2"/>
      <c r="N4278" s="2"/>
      <c r="O4278" s="2"/>
      <c r="P4278" s="2"/>
      <c r="Q4278" s="2"/>
      <c r="R4278" s="2"/>
      <c r="S4278" s="2"/>
    </row>
    <row r="4279" spans="1:19" s="1" customFormat="1" ht="12" customHeight="1" outlineLevel="7">
      <c r="A4279" s="64" t="s">
        <v>7806</v>
      </c>
      <c r="B4279" s="64"/>
      <c r="C4279" s="64"/>
      <c r="D4279" s="64"/>
      <c r="E4279" s="64"/>
      <c r="F4279" s="64"/>
      <c r="G4279" s="8"/>
      <c r="H4279" s="12"/>
      <c r="I4279" s="2"/>
      <c r="J4279" s="2"/>
      <c r="K4279" s="13"/>
      <c r="L4279" s="2"/>
      <c r="M4279" s="2"/>
      <c r="N4279" s="2"/>
      <c r="O4279" s="2"/>
      <c r="P4279" s="2"/>
      <c r="Q4279" s="2"/>
      <c r="R4279" s="2"/>
      <c r="S4279" s="2"/>
    </row>
    <row r="4280" spans="1:19" s="2" customFormat="1" ht="96.2" customHeight="1" outlineLevel="7">
      <c r="A4280" s="52">
        <v>3367</v>
      </c>
      <c r="B4280" s="26" t="s">
        <v>14158</v>
      </c>
      <c r="C4280" s="66" t="s">
        <v>14159</v>
      </c>
      <c r="D4280" s="66"/>
      <c r="E4280" s="66"/>
      <c r="F4280" s="66"/>
      <c r="G4280" s="27" t="s">
        <v>14160</v>
      </c>
      <c r="H4280" s="28" t="s">
        <v>44</v>
      </c>
      <c r="I4280" s="29"/>
      <c r="J4280" s="25">
        <v>100</v>
      </c>
      <c r="K4280" s="30">
        <v>6.75</v>
      </c>
      <c r="L4280" s="17"/>
      <c r="M4280" s="29">
        <f>K4280*L4280</f>
        <v>0</v>
      </c>
      <c r="N4280" s="31">
        <f>0.003*L4280</f>
        <v>0</v>
      </c>
      <c r="O4280" s="32">
        <f>0.00006*L4280</f>
        <v>0</v>
      </c>
      <c r="P4280" s="36"/>
      <c r="Q4280" s="29" t="s">
        <v>14161</v>
      </c>
      <c r="R4280" s="29"/>
      <c r="S4280" s="26" t="str">
        <f>HYPERLINK("https://miland.ru/api/getInfo/image/f47202c0-4b7e-11f0-a27c-00155d82e908")</f>
        <v>https://miland.ru/api/getInfo/image/f47202c0-4b7e-11f0-a27c-00155d82e908</v>
      </c>
    </row>
    <row r="4281" spans="1:19" s="1" customFormat="1" ht="12" customHeight="1" outlineLevel="5">
      <c r="A4281" s="64" t="s">
        <v>14162</v>
      </c>
      <c r="B4281" s="64"/>
      <c r="C4281" s="64"/>
      <c r="D4281" s="64"/>
      <c r="E4281" s="64"/>
      <c r="F4281" s="64"/>
      <c r="G4281" s="8"/>
      <c r="H4281" s="12"/>
      <c r="I4281" s="2"/>
      <c r="J4281" s="2"/>
      <c r="K4281" s="13"/>
      <c r="L4281" s="2"/>
      <c r="M4281" s="2"/>
      <c r="N4281" s="2"/>
      <c r="O4281" s="2"/>
      <c r="P4281" s="2"/>
      <c r="Q4281" s="2"/>
      <c r="R4281" s="2"/>
      <c r="S4281" s="2"/>
    </row>
    <row r="4282" spans="1:19" s="2" customFormat="1" ht="96.2" customHeight="1" outlineLevel="6">
      <c r="A4282" s="52">
        <v>3368</v>
      </c>
      <c r="B4282" s="26" t="s">
        <v>14163</v>
      </c>
      <c r="C4282" s="66" t="s">
        <v>14164</v>
      </c>
      <c r="D4282" s="66"/>
      <c r="E4282" s="66"/>
      <c r="F4282" s="66"/>
      <c r="G4282" s="27" t="s">
        <v>14165</v>
      </c>
      <c r="H4282" s="28" t="s">
        <v>44</v>
      </c>
      <c r="I4282" s="29"/>
      <c r="J4282" s="25">
        <v>25</v>
      </c>
      <c r="K4282" s="30">
        <v>35.270000000000003</v>
      </c>
      <c r="L4282" s="17"/>
      <c r="M4282" s="29">
        <f>K4282*L4282</f>
        <v>0</v>
      </c>
      <c r="N4282" s="34">
        <f>0.02*L4282</f>
        <v>0</v>
      </c>
      <c r="O4282" s="32">
        <f>0.00033*L4282</f>
        <v>0</v>
      </c>
      <c r="P4282" s="36"/>
      <c r="Q4282" s="29" t="s">
        <v>14166</v>
      </c>
      <c r="R4282" s="29"/>
      <c r="S4282" s="26" t="str">
        <f>HYPERLINK("https://miland.ru/api/getInfo/image/d6c9d611-6041-11e9-a224-ac1f6b442184")</f>
        <v>https://miland.ru/api/getInfo/image/d6c9d611-6041-11e9-a224-ac1f6b442184</v>
      </c>
    </row>
    <row r="4283" spans="1:19" s="2" customFormat="1" ht="96.2" customHeight="1" outlineLevel="6">
      <c r="A4283" s="52">
        <v>3369</v>
      </c>
      <c r="B4283" s="26" t="s">
        <v>14167</v>
      </c>
      <c r="C4283" s="66" t="s">
        <v>14168</v>
      </c>
      <c r="D4283" s="66"/>
      <c r="E4283" s="66"/>
      <c r="F4283" s="66"/>
      <c r="G4283" s="27" t="s">
        <v>14169</v>
      </c>
      <c r="H4283" s="33">
        <v>475</v>
      </c>
      <c r="I4283" s="29"/>
      <c r="J4283" s="25">
        <v>25</v>
      </c>
      <c r="K4283" s="30">
        <v>35.270000000000003</v>
      </c>
      <c r="L4283" s="17"/>
      <c r="M4283" s="29">
        <f>K4283*L4283</f>
        <v>0</v>
      </c>
      <c r="N4283" s="31">
        <f>0.022*L4283</f>
        <v>0</v>
      </c>
      <c r="O4283" s="32">
        <f>0.00033*L4283</f>
        <v>0</v>
      </c>
      <c r="P4283" s="36"/>
      <c r="Q4283" s="29" t="s">
        <v>14170</v>
      </c>
      <c r="R4283" s="29" t="s">
        <v>611</v>
      </c>
      <c r="S4283" s="26" t="str">
        <f>HYPERLINK("https://miland.ru/api/getInfo/image/31053403-2f02-11eb-a25d-ac1f6b442184")</f>
        <v>https://miland.ru/api/getInfo/image/31053403-2f02-11eb-a25d-ac1f6b442184</v>
      </c>
    </row>
    <row r="4284" spans="1:19" s="2" customFormat="1" ht="96.2" customHeight="1" outlineLevel="6">
      <c r="A4284" s="52">
        <v>3370</v>
      </c>
      <c r="B4284" s="26" t="s">
        <v>14171</v>
      </c>
      <c r="C4284" s="66" t="s">
        <v>14172</v>
      </c>
      <c r="D4284" s="66"/>
      <c r="E4284" s="66"/>
      <c r="F4284" s="66"/>
      <c r="G4284" s="27" t="s">
        <v>14173</v>
      </c>
      <c r="H4284" s="28" t="s">
        <v>44</v>
      </c>
      <c r="I4284" s="29"/>
      <c r="J4284" s="25">
        <v>25</v>
      </c>
      <c r="K4284" s="30">
        <v>35.270000000000003</v>
      </c>
      <c r="L4284" s="17"/>
      <c r="M4284" s="29">
        <f>K4284*L4284</f>
        <v>0</v>
      </c>
      <c r="N4284" s="31">
        <f>0.022*L4284</f>
        <v>0</v>
      </c>
      <c r="O4284" s="32">
        <f>0.00011*L4284</f>
        <v>0</v>
      </c>
      <c r="P4284" s="36"/>
      <c r="Q4284" s="29" t="s">
        <v>14174</v>
      </c>
      <c r="R4284" s="29"/>
      <c r="S4284" s="26" t="str">
        <f>HYPERLINK("https://miland.ru/api/getInfo/image/602e0c6c-cc4b-11f0-a28a-00155d82e908")</f>
        <v>https://miland.ru/api/getInfo/image/602e0c6c-cc4b-11f0-a28a-00155d82e908</v>
      </c>
    </row>
    <row r="4285" spans="1:19" s="2" customFormat="1" ht="96.2" customHeight="1" outlineLevel="6">
      <c r="A4285" s="52">
        <v>3371</v>
      </c>
      <c r="B4285" s="26" t="s">
        <v>14175</v>
      </c>
      <c r="C4285" s="66" t="s">
        <v>14176</v>
      </c>
      <c r="D4285" s="66"/>
      <c r="E4285" s="66"/>
      <c r="F4285" s="66"/>
      <c r="G4285" s="27" t="s">
        <v>14177</v>
      </c>
      <c r="H4285" s="33">
        <v>25</v>
      </c>
      <c r="I4285" s="29"/>
      <c r="J4285" s="25">
        <v>25</v>
      </c>
      <c r="K4285" s="30">
        <v>35.270000000000003</v>
      </c>
      <c r="L4285" s="17"/>
      <c r="M4285" s="29">
        <f>K4285*L4285</f>
        <v>0</v>
      </c>
      <c r="N4285" s="31">
        <f>0.021*L4285</f>
        <v>0</v>
      </c>
      <c r="O4285" s="32">
        <f>0.00011*L4285</f>
        <v>0</v>
      </c>
      <c r="P4285" s="36"/>
      <c r="Q4285" s="29" t="s">
        <v>14178</v>
      </c>
      <c r="R4285" s="29"/>
      <c r="S4285" s="26" t="str">
        <f>HYPERLINK("https://miland.ru/api/getInfo/image/53336e98-2e79-11ed-a216-ac1f6b442185")</f>
        <v>https://miland.ru/api/getInfo/image/53336e98-2e79-11ed-a216-ac1f6b442185</v>
      </c>
    </row>
    <row r="4286" spans="1:19" s="2" customFormat="1" ht="96.2" customHeight="1" outlineLevel="6">
      <c r="A4286" s="52">
        <v>3372</v>
      </c>
      <c r="B4286" s="26" t="s">
        <v>14179</v>
      </c>
      <c r="C4286" s="66" t="s">
        <v>14180</v>
      </c>
      <c r="D4286" s="66"/>
      <c r="E4286" s="66"/>
      <c r="F4286" s="66"/>
      <c r="G4286" s="27" t="s">
        <v>14181</v>
      </c>
      <c r="H4286" s="33">
        <v>275</v>
      </c>
      <c r="I4286" s="29"/>
      <c r="J4286" s="25">
        <v>25</v>
      </c>
      <c r="K4286" s="30">
        <v>35.270000000000003</v>
      </c>
      <c r="L4286" s="17"/>
      <c r="M4286" s="29">
        <f>K4286*L4286</f>
        <v>0</v>
      </c>
      <c r="N4286" s="31">
        <f>0.021*L4286</f>
        <v>0</v>
      </c>
      <c r="O4286" s="32">
        <f>0.00033*L4286</f>
        <v>0</v>
      </c>
      <c r="P4286" s="36"/>
      <c r="Q4286" s="29" t="s">
        <v>14182</v>
      </c>
      <c r="R4286" s="29"/>
      <c r="S4286" s="26" t="str">
        <f>HYPERLINK("https://miland.ru/api/getInfo/image/a9ff695e-4730-11ee-a243-00155d82e902")</f>
        <v>https://miland.ru/api/getInfo/image/a9ff695e-4730-11ee-a243-00155d82e902</v>
      </c>
    </row>
    <row r="4287" spans="1:19" s="1" customFormat="1" ht="12" customHeight="1" outlineLevel="5">
      <c r="A4287" s="64" t="s">
        <v>8695</v>
      </c>
      <c r="B4287" s="64"/>
      <c r="C4287" s="64"/>
      <c r="D4287" s="64"/>
      <c r="E4287" s="64"/>
      <c r="F4287" s="64"/>
      <c r="G4287" s="8"/>
      <c r="H4287" s="12"/>
      <c r="I4287" s="2"/>
      <c r="J4287" s="2"/>
      <c r="K4287" s="13"/>
      <c r="L4287" s="2"/>
      <c r="M4287" s="2"/>
      <c r="N4287" s="2"/>
      <c r="O4287" s="2"/>
      <c r="P4287" s="2"/>
      <c r="Q4287" s="2"/>
      <c r="R4287" s="2"/>
      <c r="S4287" s="2"/>
    </row>
    <row r="4288" spans="1:19" s="2" customFormat="1" ht="96.2" customHeight="1" outlineLevel="6">
      <c r="A4288" s="52">
        <v>3373</v>
      </c>
      <c r="B4288" s="26" t="s">
        <v>14183</v>
      </c>
      <c r="C4288" s="66" t="s">
        <v>14184</v>
      </c>
      <c r="D4288" s="66"/>
      <c r="E4288" s="66"/>
      <c r="F4288" s="66"/>
      <c r="G4288" s="27" t="s">
        <v>14185</v>
      </c>
      <c r="H4288" s="28" t="s">
        <v>44</v>
      </c>
      <c r="I4288" s="29"/>
      <c r="J4288" s="25">
        <v>25</v>
      </c>
      <c r="K4288" s="30">
        <v>27.61</v>
      </c>
      <c r="L4288" s="17"/>
      <c r="M4288" s="29">
        <f t="shared" ref="M4288:M4299" si="204">K4288*L4288</f>
        <v>0</v>
      </c>
      <c r="N4288" s="34">
        <f>0.02*L4288</f>
        <v>0</v>
      </c>
      <c r="O4288" s="32">
        <f>0.00036*L4288</f>
        <v>0</v>
      </c>
      <c r="P4288" s="36"/>
      <c r="Q4288" s="29" t="s">
        <v>14186</v>
      </c>
      <c r="R4288" s="29"/>
      <c r="S4288" s="26" t="str">
        <f>HYPERLINK("https://miland.ru/api/getInfo/image/d529c1a1-2e97-11ed-a216-ac1f6b442185")</f>
        <v>https://miland.ru/api/getInfo/image/d529c1a1-2e97-11ed-a216-ac1f6b442185</v>
      </c>
    </row>
    <row r="4289" spans="1:19" s="2" customFormat="1" ht="96.2" customHeight="1" outlineLevel="6">
      <c r="A4289" s="52">
        <v>3374</v>
      </c>
      <c r="B4289" s="26" t="s">
        <v>14187</v>
      </c>
      <c r="C4289" s="66" t="s">
        <v>14188</v>
      </c>
      <c r="D4289" s="66"/>
      <c r="E4289" s="66"/>
      <c r="F4289" s="66"/>
      <c r="G4289" s="27" t="s">
        <v>14189</v>
      </c>
      <c r="H4289" s="28" t="s">
        <v>44</v>
      </c>
      <c r="I4289" s="29"/>
      <c r="J4289" s="25">
        <v>25</v>
      </c>
      <c r="K4289" s="30">
        <v>27.61</v>
      </c>
      <c r="L4289" s="17"/>
      <c r="M4289" s="29">
        <f t="shared" si="204"/>
        <v>0</v>
      </c>
      <c r="N4289" s="31">
        <f>0.021*L4289</f>
        <v>0</v>
      </c>
      <c r="O4289" s="32">
        <f>0.00036*L4289</f>
        <v>0</v>
      </c>
      <c r="P4289" s="36"/>
      <c r="Q4289" s="29" t="s">
        <v>14190</v>
      </c>
      <c r="R4289" s="29"/>
      <c r="S4289" s="26" t="str">
        <f>HYPERLINK("https://miland.ru/api/getInfo/image/e5ff0d52-2e99-11ed-a216-ac1f6b442185")</f>
        <v>https://miland.ru/api/getInfo/image/e5ff0d52-2e99-11ed-a216-ac1f6b442185</v>
      </c>
    </row>
    <row r="4290" spans="1:19" s="2" customFormat="1" ht="96.2" customHeight="1" outlineLevel="6">
      <c r="A4290" s="52">
        <v>3375</v>
      </c>
      <c r="B4290" s="26" t="s">
        <v>14191</v>
      </c>
      <c r="C4290" s="66" t="s">
        <v>14192</v>
      </c>
      <c r="D4290" s="66"/>
      <c r="E4290" s="66"/>
      <c r="F4290" s="66"/>
      <c r="G4290" s="27" t="s">
        <v>14193</v>
      </c>
      <c r="H4290" s="28" t="s">
        <v>44</v>
      </c>
      <c r="I4290" s="29"/>
      <c r="J4290" s="25">
        <v>50</v>
      </c>
      <c r="K4290" s="30">
        <v>24.45</v>
      </c>
      <c r="L4290" s="17"/>
      <c r="M4290" s="29">
        <f t="shared" si="204"/>
        <v>0</v>
      </c>
      <c r="N4290" s="31">
        <f>0.018*L4290</f>
        <v>0</v>
      </c>
      <c r="O4290" s="32">
        <f>0.00056*L4290</f>
        <v>0</v>
      </c>
      <c r="P4290" s="36"/>
      <c r="Q4290" s="29" t="s">
        <v>14194</v>
      </c>
      <c r="R4290" s="29" t="s">
        <v>611</v>
      </c>
      <c r="S4290" s="26" t="str">
        <f>HYPERLINK("https://miland.ru/api/getInfo/image/023934f0-7504-11ec-a210-ac1f6b442185")</f>
        <v>https://miland.ru/api/getInfo/image/023934f0-7504-11ec-a210-ac1f6b442185</v>
      </c>
    </row>
    <row r="4291" spans="1:19" s="2" customFormat="1" ht="96.2" customHeight="1" outlineLevel="6">
      <c r="A4291" s="52">
        <v>3376</v>
      </c>
      <c r="B4291" s="26" t="s">
        <v>14195</v>
      </c>
      <c r="C4291" s="66" t="s">
        <v>14196</v>
      </c>
      <c r="D4291" s="66"/>
      <c r="E4291" s="66"/>
      <c r="F4291" s="66"/>
      <c r="G4291" s="27" t="s">
        <v>14197</v>
      </c>
      <c r="H4291" s="33">
        <v>100</v>
      </c>
      <c r="I4291" s="29"/>
      <c r="J4291" s="25">
        <v>50</v>
      </c>
      <c r="K4291" s="30">
        <v>24.45</v>
      </c>
      <c r="L4291" s="17"/>
      <c r="M4291" s="29">
        <f t="shared" si="204"/>
        <v>0</v>
      </c>
      <c r="N4291" s="31">
        <f>0.018*L4291</f>
        <v>0</v>
      </c>
      <c r="O4291" s="32">
        <f>0.00056*L4291</f>
        <v>0</v>
      </c>
      <c r="P4291" s="36"/>
      <c r="Q4291" s="29" t="s">
        <v>14198</v>
      </c>
      <c r="R4291" s="29" t="s">
        <v>611</v>
      </c>
      <c r="S4291" s="26" t="str">
        <f>HYPERLINK("https://miland.ru/api/getInfo/image/8d89630c-2e7c-11ed-a216-ac1f6b442185")</f>
        <v>https://miland.ru/api/getInfo/image/8d89630c-2e7c-11ed-a216-ac1f6b442185</v>
      </c>
    </row>
    <row r="4292" spans="1:19" s="2" customFormat="1" ht="96.2" customHeight="1" outlineLevel="6">
      <c r="A4292" s="52">
        <v>3377</v>
      </c>
      <c r="B4292" s="26" t="s">
        <v>14199</v>
      </c>
      <c r="C4292" s="66" t="s">
        <v>14200</v>
      </c>
      <c r="D4292" s="66"/>
      <c r="E4292" s="66"/>
      <c r="F4292" s="66"/>
      <c r="G4292" s="27" t="s">
        <v>14201</v>
      </c>
      <c r="H4292" s="28" t="s">
        <v>44</v>
      </c>
      <c r="I4292" s="29"/>
      <c r="J4292" s="25">
        <v>25</v>
      </c>
      <c r="K4292" s="30">
        <v>27.61</v>
      </c>
      <c r="L4292" s="17"/>
      <c r="M4292" s="29">
        <f t="shared" si="204"/>
        <v>0</v>
      </c>
      <c r="N4292" s="34">
        <f>0.02*L4292</f>
        <v>0</v>
      </c>
      <c r="O4292" s="32">
        <f>0.00036*L4292</f>
        <v>0</v>
      </c>
      <c r="P4292" s="36"/>
      <c r="Q4292" s="29" t="s">
        <v>14202</v>
      </c>
      <c r="R4292" s="29"/>
      <c r="S4292" s="26" t="str">
        <f>HYPERLINK("https://miland.ru/api/getInfo/image/3ff74db0-2e98-11ed-a216-ac1f6b442185")</f>
        <v>https://miland.ru/api/getInfo/image/3ff74db0-2e98-11ed-a216-ac1f6b442185</v>
      </c>
    </row>
    <row r="4293" spans="1:19" s="2" customFormat="1" ht="96.2" customHeight="1" outlineLevel="6">
      <c r="A4293" s="52">
        <v>3378</v>
      </c>
      <c r="B4293" s="26" t="s">
        <v>14203</v>
      </c>
      <c r="C4293" s="66" t="s">
        <v>14204</v>
      </c>
      <c r="D4293" s="66"/>
      <c r="E4293" s="66"/>
      <c r="F4293" s="66"/>
      <c r="G4293" s="27" t="s">
        <v>14205</v>
      </c>
      <c r="H4293" s="28" t="s">
        <v>44</v>
      </c>
      <c r="I4293" s="29"/>
      <c r="J4293" s="25">
        <v>25</v>
      </c>
      <c r="K4293" s="30">
        <v>13.37</v>
      </c>
      <c r="L4293" s="17"/>
      <c r="M4293" s="29">
        <f t="shared" si="204"/>
        <v>0</v>
      </c>
      <c r="N4293" s="31">
        <f>0.014*L4293</f>
        <v>0</v>
      </c>
      <c r="O4293" s="32">
        <f>0.00052*L4293</f>
        <v>0</v>
      </c>
      <c r="P4293" s="36"/>
      <c r="Q4293" s="29" t="s">
        <v>14206</v>
      </c>
      <c r="R4293" s="29"/>
      <c r="S4293" s="26" t="str">
        <f>HYPERLINK("https://miland.ru/api/getInfo/image/58dfa048-1466-11f0-a279-00155d82e908")</f>
        <v>https://miland.ru/api/getInfo/image/58dfa048-1466-11f0-a279-00155d82e908</v>
      </c>
    </row>
    <row r="4294" spans="1:19" s="2" customFormat="1" ht="96.2" customHeight="1" outlineLevel="6">
      <c r="A4294" s="52">
        <v>3379</v>
      </c>
      <c r="B4294" s="26" t="s">
        <v>14207</v>
      </c>
      <c r="C4294" s="66" t="s">
        <v>14208</v>
      </c>
      <c r="D4294" s="66"/>
      <c r="E4294" s="66"/>
      <c r="F4294" s="66"/>
      <c r="G4294" s="27" t="s">
        <v>14209</v>
      </c>
      <c r="H4294" s="28" t="s">
        <v>44</v>
      </c>
      <c r="I4294" s="29"/>
      <c r="J4294" s="25">
        <v>25</v>
      </c>
      <c r="K4294" s="30">
        <v>27.61</v>
      </c>
      <c r="L4294" s="17"/>
      <c r="M4294" s="29">
        <f t="shared" si="204"/>
        <v>0</v>
      </c>
      <c r="N4294" s="31">
        <f>0.021*L4294</f>
        <v>0</v>
      </c>
      <c r="O4294" s="32">
        <f>0.00018*L4294</f>
        <v>0</v>
      </c>
      <c r="P4294" s="36"/>
      <c r="Q4294" s="29" t="s">
        <v>14210</v>
      </c>
      <c r="R4294" s="29"/>
      <c r="S4294" s="26" t="str">
        <f>HYPERLINK("https://miland.ru/api/getInfo/image/18ac6850-2e99-11ed-a216-ac1f6b442185")</f>
        <v>https://miland.ru/api/getInfo/image/18ac6850-2e99-11ed-a216-ac1f6b442185</v>
      </c>
    </row>
    <row r="4295" spans="1:19" s="2" customFormat="1" ht="96.2" customHeight="1" outlineLevel="6">
      <c r="A4295" s="52">
        <v>3380</v>
      </c>
      <c r="B4295" s="26" t="s">
        <v>14211</v>
      </c>
      <c r="C4295" s="66" t="s">
        <v>14212</v>
      </c>
      <c r="D4295" s="66"/>
      <c r="E4295" s="66"/>
      <c r="F4295" s="66"/>
      <c r="G4295" s="27" t="s">
        <v>14213</v>
      </c>
      <c r="H4295" s="28" t="s">
        <v>44</v>
      </c>
      <c r="I4295" s="29"/>
      <c r="J4295" s="25">
        <v>50</v>
      </c>
      <c r="K4295" s="30">
        <v>13.37</v>
      </c>
      <c r="L4295" s="17"/>
      <c r="M4295" s="29">
        <f t="shared" si="204"/>
        <v>0</v>
      </c>
      <c r="N4295" s="31">
        <f>0.015*L4295</f>
        <v>0</v>
      </c>
      <c r="O4295" s="32">
        <f>0.00034*L4295</f>
        <v>0</v>
      </c>
      <c r="P4295" s="36"/>
      <c r="Q4295" s="29" t="s">
        <v>14214</v>
      </c>
      <c r="R4295" s="29"/>
      <c r="S4295" s="26" t="str">
        <f>HYPERLINK("https://miland.ru/api/getInfo/image/78fe3681-3cea-11ee-a241-00155d82e902")</f>
        <v>https://miland.ru/api/getInfo/image/78fe3681-3cea-11ee-a241-00155d82e902</v>
      </c>
    </row>
    <row r="4296" spans="1:19" s="2" customFormat="1" ht="96.2" customHeight="1" outlineLevel="6">
      <c r="A4296" s="52">
        <v>3381</v>
      </c>
      <c r="B4296" s="26" t="s">
        <v>14215</v>
      </c>
      <c r="C4296" s="66" t="s">
        <v>14216</v>
      </c>
      <c r="D4296" s="66"/>
      <c r="E4296" s="66"/>
      <c r="F4296" s="66"/>
      <c r="G4296" s="27" t="s">
        <v>14217</v>
      </c>
      <c r="H4296" s="28" t="s">
        <v>44</v>
      </c>
      <c r="I4296" s="29"/>
      <c r="J4296" s="25">
        <v>50</v>
      </c>
      <c r="K4296" s="30">
        <v>13.37</v>
      </c>
      <c r="L4296" s="17"/>
      <c r="M4296" s="29">
        <f t="shared" si="204"/>
        <v>0</v>
      </c>
      <c r="N4296" s="31">
        <f>0.011*L4296</f>
        <v>0</v>
      </c>
      <c r="O4296" s="32">
        <f>0.00034*L4296</f>
        <v>0</v>
      </c>
      <c r="P4296" s="36"/>
      <c r="Q4296" s="29" t="s">
        <v>14218</v>
      </c>
      <c r="R4296" s="29"/>
      <c r="S4296" s="26" t="str">
        <f>HYPERLINK("https://miland.ru/api/getInfo/image/6c9bd95c-63ce-11ec-a20f-ac1f6b442185")</f>
        <v>https://miland.ru/api/getInfo/image/6c9bd95c-63ce-11ec-a20f-ac1f6b442185</v>
      </c>
    </row>
    <row r="4297" spans="1:19" s="2" customFormat="1" ht="96.2" customHeight="1" outlineLevel="6">
      <c r="A4297" s="52">
        <v>3382</v>
      </c>
      <c r="B4297" s="26" t="s">
        <v>14219</v>
      </c>
      <c r="C4297" s="66" t="s">
        <v>14220</v>
      </c>
      <c r="D4297" s="66"/>
      <c r="E4297" s="66"/>
      <c r="F4297" s="66"/>
      <c r="G4297" s="27" t="s">
        <v>14221</v>
      </c>
      <c r="H4297" s="28" t="s">
        <v>44</v>
      </c>
      <c r="I4297" s="29"/>
      <c r="J4297" s="25">
        <v>25</v>
      </c>
      <c r="K4297" s="30">
        <v>27.61</v>
      </c>
      <c r="L4297" s="17"/>
      <c r="M4297" s="29">
        <f t="shared" si="204"/>
        <v>0</v>
      </c>
      <c r="N4297" s="31">
        <f>0.021*L4297</f>
        <v>0</v>
      </c>
      <c r="O4297" s="32">
        <f>0.00036*L4297</f>
        <v>0</v>
      </c>
      <c r="P4297" s="36"/>
      <c r="Q4297" s="29" t="s">
        <v>14222</v>
      </c>
      <c r="R4297" s="29"/>
      <c r="S4297" s="26" t="str">
        <f>HYPERLINK("https://miland.ru/api/getInfo/image/04edb82d-63cf-11ec-a20f-ac1f6b442185")</f>
        <v>https://miland.ru/api/getInfo/image/04edb82d-63cf-11ec-a20f-ac1f6b442185</v>
      </c>
    </row>
    <row r="4298" spans="1:19" s="2" customFormat="1" ht="96.2" customHeight="1" outlineLevel="6">
      <c r="A4298" s="52">
        <v>3383</v>
      </c>
      <c r="B4298" s="26" t="s">
        <v>14223</v>
      </c>
      <c r="C4298" s="66" t="s">
        <v>14224</v>
      </c>
      <c r="D4298" s="66"/>
      <c r="E4298" s="66"/>
      <c r="F4298" s="66"/>
      <c r="G4298" s="27" t="s">
        <v>14225</v>
      </c>
      <c r="H4298" s="28" t="s">
        <v>44</v>
      </c>
      <c r="I4298" s="29"/>
      <c r="J4298" s="25">
        <v>25</v>
      </c>
      <c r="K4298" s="30">
        <v>27.61</v>
      </c>
      <c r="L4298" s="17"/>
      <c r="M4298" s="29">
        <f t="shared" si="204"/>
        <v>0</v>
      </c>
      <c r="N4298" s="34">
        <f>0.02*L4298</f>
        <v>0</v>
      </c>
      <c r="O4298" s="32">
        <f>0.00054*L4298</f>
        <v>0</v>
      </c>
      <c r="P4298" s="36"/>
      <c r="Q4298" s="29" t="s">
        <v>14226</v>
      </c>
      <c r="R4298" s="29"/>
      <c r="S4298" s="26" t="str">
        <f>HYPERLINK("https://miland.ru/api/getInfo/image/3516f5e8-63cf-11ec-a20f-ac1f6b442185")</f>
        <v>https://miland.ru/api/getInfo/image/3516f5e8-63cf-11ec-a20f-ac1f6b442185</v>
      </c>
    </row>
    <row r="4299" spans="1:19" s="2" customFormat="1" ht="96.2" customHeight="1" outlineLevel="6">
      <c r="A4299" s="52">
        <v>3384</v>
      </c>
      <c r="B4299" s="26" t="s">
        <v>14227</v>
      </c>
      <c r="C4299" s="66" t="s">
        <v>14228</v>
      </c>
      <c r="D4299" s="66"/>
      <c r="E4299" s="66"/>
      <c r="F4299" s="66"/>
      <c r="G4299" s="27" t="s">
        <v>14229</v>
      </c>
      <c r="H4299" s="33">
        <v>125</v>
      </c>
      <c r="I4299" s="29"/>
      <c r="J4299" s="25">
        <v>50</v>
      </c>
      <c r="K4299" s="30">
        <v>13.37</v>
      </c>
      <c r="L4299" s="17"/>
      <c r="M4299" s="29">
        <f t="shared" si="204"/>
        <v>0</v>
      </c>
      <c r="N4299" s="31">
        <f>0.011*L4299</f>
        <v>0</v>
      </c>
      <c r="O4299" s="32">
        <f>0.00034*L4299</f>
        <v>0</v>
      </c>
      <c r="P4299" s="36"/>
      <c r="Q4299" s="29" t="s">
        <v>14230</v>
      </c>
      <c r="R4299" s="29"/>
      <c r="S4299" s="26" t="str">
        <f>HYPERLINK("https://miland.ru/api/getInfo/image/9ec799c2-63ce-11ec-a20f-ac1f6b442185")</f>
        <v>https://miland.ru/api/getInfo/image/9ec799c2-63ce-11ec-a20f-ac1f6b442185</v>
      </c>
    </row>
    <row r="4300" spans="1:19" s="1" customFormat="1" ht="12" customHeight="1" outlineLevel="5">
      <c r="A4300" s="64" t="s">
        <v>14231</v>
      </c>
      <c r="B4300" s="64"/>
      <c r="C4300" s="64"/>
      <c r="D4300" s="64"/>
      <c r="E4300" s="64"/>
      <c r="F4300" s="64"/>
      <c r="G4300" s="8"/>
      <c r="H4300" s="12"/>
      <c r="I4300" s="2"/>
      <c r="J4300" s="2"/>
      <c r="K4300" s="13"/>
      <c r="L4300" s="2"/>
      <c r="M4300" s="2"/>
      <c r="N4300" s="2"/>
      <c r="O4300" s="2"/>
      <c r="P4300" s="2"/>
      <c r="Q4300" s="2"/>
      <c r="R4300" s="2"/>
      <c r="S4300" s="2"/>
    </row>
    <row r="4301" spans="1:19" s="2" customFormat="1" ht="96.2" customHeight="1" outlineLevel="6">
      <c r="A4301" s="53">
        <v>3385</v>
      </c>
      <c r="B4301" s="10" t="s">
        <v>14232</v>
      </c>
      <c r="C4301" s="65" t="s">
        <v>14233</v>
      </c>
      <c r="D4301" s="65"/>
      <c r="E4301" s="65"/>
      <c r="F4301" s="65"/>
      <c r="G4301" s="11" t="s">
        <v>14234</v>
      </c>
      <c r="H4301" s="21" t="s">
        <v>44</v>
      </c>
      <c r="I4301" s="15"/>
      <c r="J4301" s="9">
        <v>25</v>
      </c>
      <c r="K4301" s="16">
        <v>18.59</v>
      </c>
      <c r="L4301" s="17"/>
      <c r="M4301" s="15">
        <f t="shared" ref="M4301:M4325" si="205">K4301*L4301</f>
        <v>0</v>
      </c>
      <c r="N4301" s="18">
        <f>0.013*L4301</f>
        <v>0</v>
      </c>
      <c r="O4301" s="19">
        <f>0.00024*L4301</f>
        <v>0</v>
      </c>
      <c r="P4301" s="24" t="s">
        <v>26</v>
      </c>
      <c r="Q4301" s="15" t="s">
        <v>14235</v>
      </c>
      <c r="R4301" s="15"/>
      <c r="S4301" s="10" t="str">
        <f>HYPERLINK("https://miland.ru/api/getInfo/image/8502599f-715b-11f1-a29a-00155d82e908")</f>
        <v>https://miland.ru/api/getInfo/image/8502599f-715b-11f1-a29a-00155d82e908</v>
      </c>
    </row>
    <row r="4302" spans="1:19" s="2" customFormat="1" ht="96.2" customHeight="1" outlineLevel="6">
      <c r="A4302" s="53">
        <v>3386</v>
      </c>
      <c r="B4302" s="10" t="s">
        <v>14236</v>
      </c>
      <c r="C4302" s="65" t="s">
        <v>14237</v>
      </c>
      <c r="D4302" s="65"/>
      <c r="E4302" s="65"/>
      <c r="F4302" s="65"/>
      <c r="G4302" s="11" t="s">
        <v>14238</v>
      </c>
      <c r="H4302" s="21" t="s">
        <v>44</v>
      </c>
      <c r="I4302" s="15"/>
      <c r="J4302" s="9">
        <v>25</v>
      </c>
      <c r="K4302" s="16">
        <v>18.59</v>
      </c>
      <c r="L4302" s="17"/>
      <c r="M4302" s="15">
        <f t="shared" si="205"/>
        <v>0</v>
      </c>
      <c r="N4302" s="18">
        <f>0.013*L4302</f>
        <v>0</v>
      </c>
      <c r="O4302" s="19">
        <f>0.00012*L4302</f>
        <v>0</v>
      </c>
      <c r="P4302" s="24" t="s">
        <v>26</v>
      </c>
      <c r="Q4302" s="15" t="s">
        <v>14239</v>
      </c>
      <c r="R4302" s="15"/>
      <c r="S4302" s="10" t="str">
        <f>HYPERLINK("https://miland.ru/api/getInfo/image/f5d0db98-715c-11f1-a29a-00155d82e908")</f>
        <v>https://miland.ru/api/getInfo/image/f5d0db98-715c-11f1-a29a-00155d82e908</v>
      </c>
    </row>
    <row r="4303" spans="1:19" s="2" customFormat="1" ht="96.2" customHeight="1" outlineLevel="6">
      <c r="A4303" s="53">
        <v>3387</v>
      </c>
      <c r="B4303" s="10" t="s">
        <v>14240</v>
      </c>
      <c r="C4303" s="65" t="s">
        <v>14241</v>
      </c>
      <c r="D4303" s="65"/>
      <c r="E4303" s="65"/>
      <c r="F4303" s="65"/>
      <c r="G4303" s="11" t="s">
        <v>14242</v>
      </c>
      <c r="H4303" s="14">
        <v>450</v>
      </c>
      <c r="I4303" s="15"/>
      <c r="J4303" s="9">
        <v>50</v>
      </c>
      <c r="K4303" s="16">
        <v>20.329999999999998</v>
      </c>
      <c r="L4303" s="17"/>
      <c r="M4303" s="15">
        <f t="shared" si="205"/>
        <v>0</v>
      </c>
      <c r="N4303" s="18">
        <f>0.014*L4303</f>
        <v>0</v>
      </c>
      <c r="O4303" s="19">
        <f>0.00074*L4303</f>
        <v>0</v>
      </c>
      <c r="P4303" s="24" t="s">
        <v>26</v>
      </c>
      <c r="Q4303" s="15" t="s">
        <v>14243</v>
      </c>
      <c r="R4303" s="15"/>
      <c r="S4303" s="10" t="str">
        <f>HYPERLINK("https://miland.ru/api/getInfo/image/ad5b1dce-c185-11f1-a2a0-00155d82e908")</f>
        <v>https://miland.ru/api/getInfo/image/ad5b1dce-c185-11f1-a2a0-00155d82e908</v>
      </c>
    </row>
    <row r="4304" spans="1:19" s="2" customFormat="1" ht="96.2" customHeight="1" outlineLevel="6">
      <c r="A4304" s="53">
        <v>3388</v>
      </c>
      <c r="B4304" s="10" t="s">
        <v>14244</v>
      </c>
      <c r="C4304" s="65" t="s">
        <v>14245</v>
      </c>
      <c r="D4304" s="65"/>
      <c r="E4304" s="65"/>
      <c r="F4304" s="65"/>
      <c r="G4304" s="11" t="s">
        <v>14246</v>
      </c>
      <c r="H4304" s="21" t="s">
        <v>44</v>
      </c>
      <c r="I4304" s="15"/>
      <c r="J4304" s="9">
        <v>50</v>
      </c>
      <c r="K4304" s="16">
        <v>20.68</v>
      </c>
      <c r="L4304" s="17"/>
      <c r="M4304" s="15">
        <f t="shared" si="205"/>
        <v>0</v>
      </c>
      <c r="N4304" s="18">
        <f>0.015*L4304</f>
        <v>0</v>
      </c>
      <c r="O4304" s="19">
        <f>0.00074*L4304</f>
        <v>0</v>
      </c>
      <c r="P4304" s="24" t="s">
        <v>26</v>
      </c>
      <c r="Q4304" s="15" t="s">
        <v>14247</v>
      </c>
      <c r="R4304" s="15"/>
      <c r="S4304" s="10" t="str">
        <f>HYPERLINK("https://miland.ru/api/getInfo/image/efcd6a57-c184-11f1-a2a0-00155d82e908")</f>
        <v>https://miland.ru/api/getInfo/image/efcd6a57-c184-11f1-a2a0-00155d82e908</v>
      </c>
    </row>
    <row r="4305" spans="1:19" s="2" customFormat="1" ht="96.2" customHeight="1" outlineLevel="6">
      <c r="A4305" s="53">
        <v>3389</v>
      </c>
      <c r="B4305" s="10" t="s">
        <v>14248</v>
      </c>
      <c r="C4305" s="65" t="s">
        <v>14249</v>
      </c>
      <c r="D4305" s="65"/>
      <c r="E4305" s="65"/>
      <c r="F4305" s="65"/>
      <c r="G4305" s="11" t="s">
        <v>14250</v>
      </c>
      <c r="H4305" s="14">
        <v>150</v>
      </c>
      <c r="I4305" s="15"/>
      <c r="J4305" s="9">
        <v>50</v>
      </c>
      <c r="K4305" s="16">
        <v>11.35</v>
      </c>
      <c r="L4305" s="17"/>
      <c r="M4305" s="15">
        <f t="shared" si="205"/>
        <v>0</v>
      </c>
      <c r="N4305" s="18">
        <f>0.014*L4305</f>
        <v>0</v>
      </c>
      <c r="O4305" s="19">
        <f>0.00406*L4305</f>
        <v>0</v>
      </c>
      <c r="P4305" s="24" t="s">
        <v>26</v>
      </c>
      <c r="Q4305" s="15" t="s">
        <v>14251</v>
      </c>
      <c r="R4305" s="15"/>
      <c r="S4305" s="10" t="str">
        <f>HYPERLINK("https://miland.ru/api/getInfo/image/9114c278-c185-11f1-a2a0-00155d82e908")</f>
        <v>https://miland.ru/api/getInfo/image/9114c278-c185-11f1-a2a0-00155d82e908</v>
      </c>
    </row>
    <row r="4306" spans="1:19" s="2" customFormat="1" ht="96.2" customHeight="1" outlineLevel="6">
      <c r="A4306" s="52">
        <v>3390</v>
      </c>
      <c r="B4306" s="26" t="s">
        <v>14252</v>
      </c>
      <c r="C4306" s="66" t="s">
        <v>14253</v>
      </c>
      <c r="D4306" s="66"/>
      <c r="E4306" s="66"/>
      <c r="F4306" s="66"/>
      <c r="G4306" s="27" t="s">
        <v>14254</v>
      </c>
      <c r="H4306" s="28" t="s">
        <v>44</v>
      </c>
      <c r="I4306" s="29"/>
      <c r="J4306" s="25">
        <v>50</v>
      </c>
      <c r="K4306" s="30">
        <v>20.55</v>
      </c>
      <c r="L4306" s="17"/>
      <c r="M4306" s="29">
        <f t="shared" si="205"/>
        <v>0</v>
      </c>
      <c r="N4306" s="31">
        <f>0.015*L4306</f>
        <v>0</v>
      </c>
      <c r="O4306" s="32">
        <f>0.00037*L4306</f>
        <v>0</v>
      </c>
      <c r="P4306" s="36"/>
      <c r="Q4306" s="29" t="s">
        <v>14255</v>
      </c>
      <c r="R4306" s="29"/>
      <c r="S4306" s="26" t="str">
        <f>HYPERLINK("https://miland.ru/api/getInfo/image/b4bc530f-604f-11e9-a224-ac1f6b442184")</f>
        <v>https://miland.ru/api/getInfo/image/b4bc530f-604f-11e9-a224-ac1f6b442184</v>
      </c>
    </row>
    <row r="4307" spans="1:19" s="2" customFormat="1" ht="96.2" customHeight="1" outlineLevel="6">
      <c r="A4307" s="52">
        <v>3391</v>
      </c>
      <c r="B4307" s="26" t="s">
        <v>14256</v>
      </c>
      <c r="C4307" s="66" t="s">
        <v>14257</v>
      </c>
      <c r="D4307" s="66"/>
      <c r="E4307" s="66"/>
      <c r="F4307" s="66"/>
      <c r="G4307" s="27" t="s">
        <v>14258</v>
      </c>
      <c r="H4307" s="28" t="s">
        <v>44</v>
      </c>
      <c r="I4307" s="29"/>
      <c r="J4307" s="25">
        <v>50</v>
      </c>
      <c r="K4307" s="30">
        <v>24.21</v>
      </c>
      <c r="L4307" s="17"/>
      <c r="M4307" s="29">
        <f t="shared" si="205"/>
        <v>0</v>
      </c>
      <c r="N4307" s="31">
        <f>0.014*L4307</f>
        <v>0</v>
      </c>
      <c r="O4307" s="32">
        <f>0.00037*L4307</f>
        <v>0</v>
      </c>
      <c r="P4307" s="36"/>
      <c r="Q4307" s="29" t="s">
        <v>14259</v>
      </c>
      <c r="R4307" s="29" t="s">
        <v>611</v>
      </c>
      <c r="S4307" s="26" t="str">
        <f>HYPERLINK("https://miland.ru/api/getInfo/image/abbba88b-cc4f-11f0-a28a-00155d82e908")</f>
        <v>https://miland.ru/api/getInfo/image/abbba88b-cc4f-11f0-a28a-00155d82e908</v>
      </c>
    </row>
    <row r="4308" spans="1:19" s="2" customFormat="1" ht="96.2" customHeight="1" outlineLevel="6">
      <c r="A4308" s="53">
        <v>3392</v>
      </c>
      <c r="B4308" s="10" t="s">
        <v>14260</v>
      </c>
      <c r="C4308" s="65" t="s">
        <v>14261</v>
      </c>
      <c r="D4308" s="65"/>
      <c r="E4308" s="65"/>
      <c r="F4308" s="65"/>
      <c r="G4308" s="11" t="s">
        <v>14262</v>
      </c>
      <c r="H4308" s="21" t="s">
        <v>44</v>
      </c>
      <c r="I4308" s="15"/>
      <c r="J4308" s="9">
        <v>50</v>
      </c>
      <c r="K4308" s="16">
        <v>15.84</v>
      </c>
      <c r="L4308" s="17"/>
      <c r="M4308" s="15">
        <f t="shared" si="205"/>
        <v>0</v>
      </c>
      <c r="N4308" s="15">
        <v>0</v>
      </c>
      <c r="O4308" s="15">
        <v>0</v>
      </c>
      <c r="P4308" s="24" t="s">
        <v>26</v>
      </c>
      <c r="Q4308" s="15" t="s">
        <v>14263</v>
      </c>
      <c r="R4308" s="15"/>
      <c r="S4308" s="10" t="str">
        <f>HYPERLINK("https://miland.ru/api/getInfo/image/39f96706-139f-11f1-a28f-00155d82e908")</f>
        <v>https://miland.ru/api/getInfo/image/39f96706-139f-11f1-a28f-00155d82e908</v>
      </c>
    </row>
    <row r="4309" spans="1:19" s="2" customFormat="1" ht="96.2" customHeight="1" outlineLevel="6">
      <c r="A4309" s="52">
        <v>3393</v>
      </c>
      <c r="B4309" s="26" t="s">
        <v>14264</v>
      </c>
      <c r="C4309" s="66" t="s">
        <v>14265</v>
      </c>
      <c r="D4309" s="66"/>
      <c r="E4309" s="66"/>
      <c r="F4309" s="66"/>
      <c r="G4309" s="27" t="s">
        <v>14266</v>
      </c>
      <c r="H4309" s="28" t="s">
        <v>44</v>
      </c>
      <c r="I4309" s="29"/>
      <c r="J4309" s="25">
        <v>50</v>
      </c>
      <c r="K4309" s="30">
        <v>24.21</v>
      </c>
      <c r="L4309" s="17"/>
      <c r="M4309" s="29">
        <f t="shared" si="205"/>
        <v>0</v>
      </c>
      <c r="N4309" s="31">
        <f>0.016*L4309</f>
        <v>0</v>
      </c>
      <c r="O4309" s="35">
        <f>0.0005*L4309</f>
        <v>0</v>
      </c>
      <c r="P4309" s="36"/>
      <c r="Q4309" s="29" t="s">
        <v>14267</v>
      </c>
      <c r="R4309" s="29" t="s">
        <v>611</v>
      </c>
      <c r="S4309" s="26" t="str">
        <f>HYPERLINK("https://miland.ru/api/getInfo/image/d634a816-cc4f-11f0-a28a-00155d82e908")</f>
        <v>https://miland.ru/api/getInfo/image/d634a816-cc4f-11f0-a28a-00155d82e908</v>
      </c>
    </row>
    <row r="4310" spans="1:19" s="2" customFormat="1" ht="96.2" customHeight="1" outlineLevel="6">
      <c r="A4310" s="53">
        <v>3394</v>
      </c>
      <c r="B4310" s="10" t="s">
        <v>14268</v>
      </c>
      <c r="C4310" s="65" t="s">
        <v>14269</v>
      </c>
      <c r="D4310" s="65"/>
      <c r="E4310" s="65"/>
      <c r="F4310" s="65"/>
      <c r="G4310" s="11" t="s">
        <v>14270</v>
      </c>
      <c r="H4310" s="21" t="s">
        <v>44</v>
      </c>
      <c r="I4310" s="15"/>
      <c r="J4310" s="9">
        <v>50</v>
      </c>
      <c r="K4310" s="16">
        <v>15.84</v>
      </c>
      <c r="L4310" s="17"/>
      <c r="M4310" s="15">
        <f t="shared" si="205"/>
        <v>0</v>
      </c>
      <c r="N4310" s="18">
        <f>0.014*L4310</f>
        <v>0</v>
      </c>
      <c r="O4310" s="19">
        <f>0.00035*L4310</f>
        <v>0</v>
      </c>
      <c r="P4310" s="24" t="s">
        <v>26</v>
      </c>
      <c r="Q4310" s="15" t="s">
        <v>14271</v>
      </c>
      <c r="R4310" s="15"/>
      <c r="S4310" s="10" t="str">
        <f>HYPERLINK("https://miland.ru/api/getInfo/image/8b6ecf6b-139f-11f1-a28f-00155d82e908")</f>
        <v>https://miland.ru/api/getInfo/image/8b6ecf6b-139f-11f1-a28f-00155d82e908</v>
      </c>
    </row>
    <row r="4311" spans="1:19" s="2" customFormat="1" ht="96.2" customHeight="1" outlineLevel="6">
      <c r="A4311" s="52">
        <v>3395</v>
      </c>
      <c r="B4311" s="26" t="s">
        <v>14272</v>
      </c>
      <c r="C4311" s="66" t="s">
        <v>14273</v>
      </c>
      <c r="D4311" s="66"/>
      <c r="E4311" s="66"/>
      <c r="F4311" s="66"/>
      <c r="G4311" s="27" t="s">
        <v>14274</v>
      </c>
      <c r="H4311" s="28" t="s">
        <v>44</v>
      </c>
      <c r="I4311" s="29"/>
      <c r="J4311" s="25">
        <v>50</v>
      </c>
      <c r="K4311" s="30">
        <v>20.55</v>
      </c>
      <c r="L4311" s="17"/>
      <c r="M4311" s="29">
        <f t="shared" si="205"/>
        <v>0</v>
      </c>
      <c r="N4311" s="31">
        <f>0.016*L4311</f>
        <v>0</v>
      </c>
      <c r="O4311" s="32">
        <f>0.00037*L4311</f>
        <v>0</v>
      </c>
      <c r="P4311" s="36"/>
      <c r="Q4311" s="29" t="s">
        <v>14275</v>
      </c>
      <c r="R4311" s="29"/>
      <c r="S4311" s="26" t="str">
        <f>HYPERLINK("https://miland.ru/api/getInfo/image/f6ea12ea-01b5-11ec-a20e-ac1f6b442185")</f>
        <v>https://miland.ru/api/getInfo/image/f6ea12ea-01b5-11ec-a20e-ac1f6b442185</v>
      </c>
    </row>
    <row r="4312" spans="1:19" s="2" customFormat="1" ht="96.2" customHeight="1" outlineLevel="6">
      <c r="A4312" s="52">
        <v>3396</v>
      </c>
      <c r="B4312" s="26" t="s">
        <v>14276</v>
      </c>
      <c r="C4312" s="66" t="s">
        <v>14277</v>
      </c>
      <c r="D4312" s="66"/>
      <c r="E4312" s="66"/>
      <c r="F4312" s="66"/>
      <c r="G4312" s="27" t="s">
        <v>14278</v>
      </c>
      <c r="H4312" s="28" t="s">
        <v>44</v>
      </c>
      <c r="I4312" s="29"/>
      <c r="J4312" s="25">
        <v>50</v>
      </c>
      <c r="K4312" s="30">
        <v>20.329999999999998</v>
      </c>
      <c r="L4312" s="17"/>
      <c r="M4312" s="29">
        <f t="shared" si="205"/>
        <v>0</v>
      </c>
      <c r="N4312" s="31">
        <f>0.014*L4312</f>
        <v>0</v>
      </c>
      <c r="O4312" s="32">
        <f>0.00037*L4312</f>
        <v>0</v>
      </c>
      <c r="P4312" s="36"/>
      <c r="Q4312" s="29" t="s">
        <v>14279</v>
      </c>
      <c r="R4312" s="29"/>
      <c r="S4312" s="26" t="str">
        <f>HYPERLINK("https://miland.ru/api/getInfo/image/76fd9e40-1478-11f0-a279-00155d82e908")</f>
        <v>https://miland.ru/api/getInfo/image/76fd9e40-1478-11f0-a279-00155d82e908</v>
      </c>
    </row>
    <row r="4313" spans="1:19" s="2" customFormat="1" ht="96.2" customHeight="1" outlineLevel="6">
      <c r="A4313" s="52">
        <v>3397</v>
      </c>
      <c r="B4313" s="26" t="s">
        <v>14280</v>
      </c>
      <c r="C4313" s="66" t="s">
        <v>14281</v>
      </c>
      <c r="D4313" s="66"/>
      <c r="E4313" s="66"/>
      <c r="F4313" s="66"/>
      <c r="G4313" s="27" t="s">
        <v>14282</v>
      </c>
      <c r="H4313" s="28" t="s">
        <v>44</v>
      </c>
      <c r="I4313" s="29"/>
      <c r="J4313" s="25">
        <v>50</v>
      </c>
      <c r="K4313" s="30">
        <v>11.35</v>
      </c>
      <c r="L4313" s="17"/>
      <c r="M4313" s="29">
        <f t="shared" si="205"/>
        <v>0</v>
      </c>
      <c r="N4313" s="31">
        <f>0.008*L4313</f>
        <v>0</v>
      </c>
      <c r="O4313" s="32">
        <f>0.00012*L4313</f>
        <v>0</v>
      </c>
      <c r="P4313" s="36"/>
      <c r="Q4313" s="29" t="s">
        <v>14283</v>
      </c>
      <c r="R4313" s="29"/>
      <c r="S4313" s="26" t="str">
        <f>HYPERLINK("https://miland.ru/api/getInfo/image/084e066f-2dd1-11ed-a216-ac1f6b442185")</f>
        <v>https://miland.ru/api/getInfo/image/084e066f-2dd1-11ed-a216-ac1f6b442185</v>
      </c>
    </row>
    <row r="4314" spans="1:19" s="2" customFormat="1" ht="96.2" customHeight="1" outlineLevel="6">
      <c r="A4314" s="52">
        <v>3398</v>
      </c>
      <c r="B4314" s="26" t="s">
        <v>14284</v>
      </c>
      <c r="C4314" s="66" t="s">
        <v>14285</v>
      </c>
      <c r="D4314" s="66"/>
      <c r="E4314" s="66"/>
      <c r="F4314" s="66"/>
      <c r="G4314" s="27" t="s">
        <v>14286</v>
      </c>
      <c r="H4314" s="28" t="s">
        <v>44</v>
      </c>
      <c r="I4314" s="29"/>
      <c r="J4314" s="25">
        <v>50</v>
      </c>
      <c r="K4314" s="30">
        <v>20.55</v>
      </c>
      <c r="L4314" s="17"/>
      <c r="M4314" s="29">
        <f t="shared" si="205"/>
        <v>0</v>
      </c>
      <c r="N4314" s="31">
        <f>0.032*L4314</f>
        <v>0</v>
      </c>
      <c r="O4314" s="32">
        <f>0.00038*L4314</f>
        <v>0</v>
      </c>
      <c r="P4314" s="36"/>
      <c r="Q4314" s="29" t="s">
        <v>14287</v>
      </c>
      <c r="R4314" s="29"/>
      <c r="S4314" s="26" t="str">
        <f>HYPERLINK("https://miland.ru/api/getInfo/image/2ea1481a-a028-11ef-a267-00155d82e908")</f>
        <v>https://miland.ru/api/getInfo/image/2ea1481a-a028-11ef-a267-00155d82e908</v>
      </c>
    </row>
    <row r="4315" spans="1:19" s="2" customFormat="1" ht="96.2" customHeight="1" outlineLevel="6">
      <c r="A4315" s="53">
        <v>3399</v>
      </c>
      <c r="B4315" s="10" t="s">
        <v>14288</v>
      </c>
      <c r="C4315" s="65" t="s">
        <v>14289</v>
      </c>
      <c r="D4315" s="65"/>
      <c r="E4315" s="65"/>
      <c r="F4315" s="65"/>
      <c r="G4315" s="11" t="s">
        <v>14290</v>
      </c>
      <c r="H4315" s="14">
        <v>300</v>
      </c>
      <c r="I4315" s="15"/>
      <c r="J4315" s="9">
        <v>50</v>
      </c>
      <c r="K4315" s="16">
        <v>20.329999999999998</v>
      </c>
      <c r="L4315" s="17"/>
      <c r="M4315" s="15">
        <f t="shared" si="205"/>
        <v>0</v>
      </c>
      <c r="N4315" s="18">
        <f>0.015*L4315</f>
        <v>0</v>
      </c>
      <c r="O4315" s="19">
        <f>0.00012*L4315</f>
        <v>0</v>
      </c>
      <c r="P4315" s="24" t="s">
        <v>26</v>
      </c>
      <c r="Q4315" s="15" t="s">
        <v>14291</v>
      </c>
      <c r="R4315" s="15"/>
      <c r="S4315" s="10" t="str">
        <f>HYPERLINK("https://miland.ru/api/getInfo/image/d1b4e5d0-c185-11f1-a2a0-00155d82e908")</f>
        <v>https://miland.ru/api/getInfo/image/d1b4e5d0-c185-11f1-a2a0-00155d82e908</v>
      </c>
    </row>
    <row r="4316" spans="1:19" s="2" customFormat="1" ht="96.2" customHeight="1" outlineLevel="6">
      <c r="A4316" s="52">
        <v>3400</v>
      </c>
      <c r="B4316" s="26" t="s">
        <v>14292</v>
      </c>
      <c r="C4316" s="66" t="s">
        <v>14293</v>
      </c>
      <c r="D4316" s="66"/>
      <c r="E4316" s="66"/>
      <c r="F4316" s="66"/>
      <c r="G4316" s="27" t="s">
        <v>14294</v>
      </c>
      <c r="H4316" s="33">
        <v>300</v>
      </c>
      <c r="I4316" s="29"/>
      <c r="J4316" s="25">
        <v>50</v>
      </c>
      <c r="K4316" s="30">
        <v>20.55</v>
      </c>
      <c r="L4316" s="17"/>
      <c r="M4316" s="29">
        <f t="shared" si="205"/>
        <v>0</v>
      </c>
      <c r="N4316" s="31">
        <f>0.016*L4316</f>
        <v>0</v>
      </c>
      <c r="O4316" s="32">
        <f>0.00037*L4316</f>
        <v>0</v>
      </c>
      <c r="P4316" s="36"/>
      <c r="Q4316" s="29" t="s">
        <v>14295</v>
      </c>
      <c r="R4316" s="29"/>
      <c r="S4316" s="26" t="str">
        <f>HYPERLINK("https://miland.ru/api/getInfo/image/a98fc6e7-a027-11ef-a267-00155d82e908")</f>
        <v>https://miland.ru/api/getInfo/image/a98fc6e7-a027-11ef-a267-00155d82e908</v>
      </c>
    </row>
    <row r="4317" spans="1:19" s="2" customFormat="1" ht="96.2" customHeight="1" outlineLevel="6">
      <c r="A4317" s="53">
        <v>3401</v>
      </c>
      <c r="B4317" s="10" t="s">
        <v>14296</v>
      </c>
      <c r="C4317" s="65" t="s">
        <v>14297</v>
      </c>
      <c r="D4317" s="65"/>
      <c r="E4317" s="65"/>
      <c r="F4317" s="65"/>
      <c r="G4317" s="11" t="s">
        <v>14298</v>
      </c>
      <c r="H4317" s="21" t="s">
        <v>44</v>
      </c>
      <c r="I4317" s="15"/>
      <c r="J4317" s="9">
        <v>50</v>
      </c>
      <c r="K4317" s="16">
        <v>15.84</v>
      </c>
      <c r="L4317" s="17"/>
      <c r="M4317" s="15">
        <f t="shared" si="205"/>
        <v>0</v>
      </c>
      <c r="N4317" s="15">
        <v>0</v>
      </c>
      <c r="O4317" s="15">
        <v>0</v>
      </c>
      <c r="P4317" s="24" t="s">
        <v>26</v>
      </c>
      <c r="Q4317" s="15" t="s">
        <v>14299</v>
      </c>
      <c r="R4317" s="15"/>
      <c r="S4317" s="10" t="str">
        <f>HYPERLINK("https://miland.ru/api/getInfo/image/79ce99f1-139f-11f1-a28f-00155d82e908")</f>
        <v>https://miland.ru/api/getInfo/image/79ce99f1-139f-11f1-a28f-00155d82e908</v>
      </c>
    </row>
    <row r="4318" spans="1:19" s="2" customFormat="1" ht="96.2" customHeight="1" outlineLevel="6">
      <c r="A4318" s="52">
        <v>3402</v>
      </c>
      <c r="B4318" s="26" t="s">
        <v>14300</v>
      </c>
      <c r="C4318" s="66" t="s">
        <v>14301</v>
      </c>
      <c r="D4318" s="66"/>
      <c r="E4318" s="66"/>
      <c r="F4318" s="66"/>
      <c r="G4318" s="27" t="s">
        <v>14302</v>
      </c>
      <c r="H4318" s="28" t="s">
        <v>44</v>
      </c>
      <c r="I4318" s="29"/>
      <c r="J4318" s="25">
        <v>50</v>
      </c>
      <c r="K4318" s="30">
        <v>11.53</v>
      </c>
      <c r="L4318" s="17"/>
      <c r="M4318" s="29">
        <f t="shared" si="205"/>
        <v>0</v>
      </c>
      <c r="N4318" s="31">
        <f>0.009*L4318</f>
        <v>0</v>
      </c>
      <c r="O4318" s="32">
        <f>0.00037*L4318</f>
        <v>0</v>
      </c>
      <c r="P4318" s="36"/>
      <c r="Q4318" s="29" t="s">
        <v>14303</v>
      </c>
      <c r="R4318" s="29"/>
      <c r="S4318" s="26" t="str">
        <f>HYPERLINK("https://miland.ru/api/getInfo/image/a15fca07-2e7f-11ed-a216-ac1f6b442185")</f>
        <v>https://miland.ru/api/getInfo/image/a15fca07-2e7f-11ed-a216-ac1f6b442185</v>
      </c>
    </row>
    <row r="4319" spans="1:19" s="2" customFormat="1" ht="96.2" customHeight="1" outlineLevel="6">
      <c r="A4319" s="53">
        <v>3403</v>
      </c>
      <c r="B4319" s="10" t="s">
        <v>14304</v>
      </c>
      <c r="C4319" s="65" t="s">
        <v>14305</v>
      </c>
      <c r="D4319" s="65"/>
      <c r="E4319" s="65"/>
      <c r="F4319" s="65"/>
      <c r="G4319" s="11" t="s">
        <v>14306</v>
      </c>
      <c r="H4319" s="14">
        <v>450</v>
      </c>
      <c r="I4319" s="15"/>
      <c r="J4319" s="9">
        <v>50</v>
      </c>
      <c r="K4319" s="16">
        <v>20.329999999999998</v>
      </c>
      <c r="L4319" s="17"/>
      <c r="M4319" s="15">
        <f t="shared" si="205"/>
        <v>0</v>
      </c>
      <c r="N4319" s="18">
        <f>0.015*L4319</f>
        <v>0</v>
      </c>
      <c r="O4319" s="19">
        <f>0.00001*L4319</f>
        <v>0</v>
      </c>
      <c r="P4319" s="24" t="s">
        <v>26</v>
      </c>
      <c r="Q4319" s="15" t="s">
        <v>14307</v>
      </c>
      <c r="R4319" s="15"/>
      <c r="S4319" s="10" t="str">
        <f>HYPERLINK("https://miland.ru/api/getInfo/image/ebd77a33-c185-11f1-a2a0-00155d82e908")</f>
        <v>https://miland.ru/api/getInfo/image/ebd77a33-c185-11f1-a2a0-00155d82e908</v>
      </c>
    </row>
    <row r="4320" spans="1:19" s="2" customFormat="1" ht="96.2" customHeight="1" outlineLevel="6">
      <c r="A4320" s="52">
        <v>3404</v>
      </c>
      <c r="B4320" s="26" t="s">
        <v>14308</v>
      </c>
      <c r="C4320" s="66" t="s">
        <v>14309</v>
      </c>
      <c r="D4320" s="66"/>
      <c r="E4320" s="66"/>
      <c r="F4320" s="66"/>
      <c r="G4320" s="27" t="s">
        <v>14310</v>
      </c>
      <c r="H4320" s="28" t="s">
        <v>44</v>
      </c>
      <c r="I4320" s="29"/>
      <c r="J4320" s="25">
        <v>50</v>
      </c>
      <c r="K4320" s="30">
        <v>11.35</v>
      </c>
      <c r="L4320" s="17"/>
      <c r="M4320" s="29">
        <f t="shared" si="205"/>
        <v>0</v>
      </c>
      <c r="N4320" s="31">
        <f>0.008*L4320</f>
        <v>0</v>
      </c>
      <c r="O4320" s="32">
        <f>0.00035*L4320</f>
        <v>0</v>
      </c>
      <c r="P4320" s="36"/>
      <c r="Q4320" s="29" t="s">
        <v>14311</v>
      </c>
      <c r="R4320" s="29"/>
      <c r="S4320" s="26" t="str">
        <f>HYPERLINK("https://miland.ru/api/getInfo/image/16cd4c64-92a2-11ef-a265-00155d82e908")</f>
        <v>https://miland.ru/api/getInfo/image/16cd4c64-92a2-11ef-a265-00155d82e908</v>
      </c>
    </row>
    <row r="4321" spans="1:19" s="2" customFormat="1" ht="96.2" customHeight="1" outlineLevel="6">
      <c r="A4321" s="52">
        <v>3405</v>
      </c>
      <c r="B4321" s="26" t="s">
        <v>14312</v>
      </c>
      <c r="C4321" s="66" t="s">
        <v>14313</v>
      </c>
      <c r="D4321" s="66"/>
      <c r="E4321" s="66"/>
      <c r="F4321" s="66"/>
      <c r="G4321" s="27" t="s">
        <v>14314</v>
      </c>
      <c r="H4321" s="28" t="s">
        <v>44</v>
      </c>
      <c r="I4321" s="29"/>
      <c r="J4321" s="25">
        <v>50</v>
      </c>
      <c r="K4321" s="30">
        <v>11.35</v>
      </c>
      <c r="L4321" s="17"/>
      <c r="M4321" s="29">
        <f t="shared" si="205"/>
        <v>0</v>
      </c>
      <c r="N4321" s="31">
        <f>0.007*L4321</f>
        <v>0</v>
      </c>
      <c r="O4321" s="32">
        <f>0.00012*L4321</f>
        <v>0</v>
      </c>
      <c r="P4321" s="36"/>
      <c r="Q4321" s="29" t="s">
        <v>14315</v>
      </c>
      <c r="R4321" s="29"/>
      <c r="S4321" s="26" t="str">
        <f>HYPERLINK("https://miland.ru/api/getInfo/image/9fe98d7d-2dd0-11ed-a216-ac1f6b442185")</f>
        <v>https://miland.ru/api/getInfo/image/9fe98d7d-2dd0-11ed-a216-ac1f6b442185</v>
      </c>
    </row>
    <row r="4322" spans="1:19" s="2" customFormat="1" ht="96.2" customHeight="1" outlineLevel="6">
      <c r="A4322" s="52">
        <v>3406</v>
      </c>
      <c r="B4322" s="26" t="s">
        <v>14316</v>
      </c>
      <c r="C4322" s="66" t="s">
        <v>14317</v>
      </c>
      <c r="D4322" s="66"/>
      <c r="E4322" s="66"/>
      <c r="F4322" s="66"/>
      <c r="G4322" s="27" t="s">
        <v>14318</v>
      </c>
      <c r="H4322" s="28" t="s">
        <v>44</v>
      </c>
      <c r="I4322" s="29"/>
      <c r="J4322" s="25">
        <v>50</v>
      </c>
      <c r="K4322" s="30">
        <v>20.55</v>
      </c>
      <c r="L4322" s="17"/>
      <c r="M4322" s="29">
        <f t="shared" si="205"/>
        <v>0</v>
      </c>
      <c r="N4322" s="31">
        <f>0.015*L4322</f>
        <v>0</v>
      </c>
      <c r="O4322" s="32">
        <f>0.00037*L4322</f>
        <v>0</v>
      </c>
      <c r="P4322" s="36"/>
      <c r="Q4322" s="29" t="s">
        <v>14319</v>
      </c>
      <c r="R4322" s="29"/>
      <c r="S4322" s="26" t="str">
        <f>HYPERLINK("https://miland.ru/api/getInfo/image/1c7f2f85-cc4e-11f0-a28a-00155d82e908")</f>
        <v>https://miland.ru/api/getInfo/image/1c7f2f85-cc4e-11f0-a28a-00155d82e908</v>
      </c>
    </row>
    <row r="4323" spans="1:19" s="2" customFormat="1" ht="96.2" customHeight="1" outlineLevel="6">
      <c r="A4323" s="52">
        <v>3407</v>
      </c>
      <c r="B4323" s="26" t="s">
        <v>14320</v>
      </c>
      <c r="C4323" s="66" t="s">
        <v>14321</v>
      </c>
      <c r="D4323" s="66"/>
      <c r="E4323" s="66"/>
      <c r="F4323" s="66"/>
      <c r="G4323" s="27" t="s">
        <v>14322</v>
      </c>
      <c r="H4323" s="33">
        <v>50</v>
      </c>
      <c r="I4323" s="29"/>
      <c r="J4323" s="25">
        <v>50</v>
      </c>
      <c r="K4323" s="30">
        <v>11.35</v>
      </c>
      <c r="L4323" s="17"/>
      <c r="M4323" s="29">
        <f t="shared" si="205"/>
        <v>0</v>
      </c>
      <c r="N4323" s="31">
        <f>0.008*L4323</f>
        <v>0</v>
      </c>
      <c r="O4323" s="32">
        <f>0.00012*L4323</f>
        <v>0</v>
      </c>
      <c r="P4323" s="36"/>
      <c r="Q4323" s="29" t="s">
        <v>14323</v>
      </c>
      <c r="R4323" s="29"/>
      <c r="S4323" s="26" t="str">
        <f>HYPERLINK("https://miland.ru/api/getInfo/image/39cbb600-58c0-11ec-a20f-ac1f6b442185")</f>
        <v>https://miland.ru/api/getInfo/image/39cbb600-58c0-11ec-a20f-ac1f6b442185</v>
      </c>
    </row>
    <row r="4324" spans="1:19" s="2" customFormat="1" ht="96.2" customHeight="1" outlineLevel="6">
      <c r="A4324" s="52">
        <v>3408</v>
      </c>
      <c r="B4324" s="26" t="s">
        <v>14324</v>
      </c>
      <c r="C4324" s="66" t="s">
        <v>14325</v>
      </c>
      <c r="D4324" s="66"/>
      <c r="E4324" s="66"/>
      <c r="F4324" s="66"/>
      <c r="G4324" s="27" t="s">
        <v>14326</v>
      </c>
      <c r="H4324" s="28" t="s">
        <v>44</v>
      </c>
      <c r="I4324" s="29"/>
      <c r="J4324" s="25">
        <v>25</v>
      </c>
      <c r="K4324" s="30">
        <v>19.13</v>
      </c>
      <c r="L4324" s="17"/>
      <c r="M4324" s="29">
        <f t="shared" si="205"/>
        <v>0</v>
      </c>
      <c r="N4324" s="31">
        <f>0.016*L4324</f>
        <v>0</v>
      </c>
      <c r="O4324" s="32">
        <f>0.00024*L4324</f>
        <v>0</v>
      </c>
      <c r="P4324" s="36"/>
      <c r="Q4324" s="29" t="s">
        <v>14327</v>
      </c>
      <c r="R4324" s="29"/>
      <c r="S4324" s="26" t="str">
        <f>HYPERLINK("https://miland.ru/api/getInfo/image/096aabba-3cec-11ee-a241-00155d82e902")</f>
        <v>https://miland.ru/api/getInfo/image/096aabba-3cec-11ee-a241-00155d82e902</v>
      </c>
    </row>
    <row r="4325" spans="1:19" s="2" customFormat="1" ht="96.2" customHeight="1" outlineLevel="6">
      <c r="A4325" s="52">
        <v>3409</v>
      </c>
      <c r="B4325" s="26" t="s">
        <v>14328</v>
      </c>
      <c r="C4325" s="66" t="s">
        <v>14329</v>
      </c>
      <c r="D4325" s="66"/>
      <c r="E4325" s="66"/>
      <c r="F4325" s="66"/>
      <c r="G4325" s="27" t="s">
        <v>14330</v>
      </c>
      <c r="H4325" s="33">
        <v>400</v>
      </c>
      <c r="I4325" s="29"/>
      <c r="J4325" s="25">
        <v>50</v>
      </c>
      <c r="K4325" s="30">
        <v>20.55</v>
      </c>
      <c r="L4325" s="17"/>
      <c r="M4325" s="29">
        <f t="shared" si="205"/>
        <v>0</v>
      </c>
      <c r="N4325" s="31">
        <f>0.016*L4325</f>
        <v>0</v>
      </c>
      <c r="O4325" s="32">
        <f>0.00037*L4325</f>
        <v>0</v>
      </c>
      <c r="P4325" s="36"/>
      <c r="Q4325" s="29" t="s">
        <v>14331</v>
      </c>
      <c r="R4325" s="29"/>
      <c r="S4325" s="26" t="str">
        <f>HYPERLINK("https://miland.ru/api/getInfo/image/b0196fcb-4733-11ee-a243-00155d82e902")</f>
        <v>https://miland.ru/api/getInfo/image/b0196fcb-4733-11ee-a243-00155d82e902</v>
      </c>
    </row>
    <row r="4326" spans="1:19" s="1" customFormat="1" ht="12" customHeight="1" outlineLevel="6">
      <c r="A4326" s="64" t="s">
        <v>7805</v>
      </c>
      <c r="B4326" s="64"/>
      <c r="C4326" s="64"/>
      <c r="D4326" s="64"/>
      <c r="E4326" s="64"/>
      <c r="F4326" s="64"/>
      <c r="G4326" s="8"/>
      <c r="H4326" s="12"/>
      <c r="I4326" s="2"/>
      <c r="J4326" s="2"/>
      <c r="K4326" s="13"/>
      <c r="L4326" s="2"/>
      <c r="M4326" s="2"/>
      <c r="N4326" s="2"/>
      <c r="O4326" s="2"/>
      <c r="P4326" s="2"/>
      <c r="Q4326" s="2"/>
      <c r="R4326" s="2"/>
      <c r="S4326" s="2"/>
    </row>
    <row r="4327" spans="1:19" s="1" customFormat="1" ht="12" customHeight="1" outlineLevel="7">
      <c r="A4327" s="64" t="s">
        <v>7806</v>
      </c>
      <c r="B4327" s="64"/>
      <c r="C4327" s="64"/>
      <c r="D4327" s="64"/>
      <c r="E4327" s="64"/>
      <c r="F4327" s="64"/>
      <c r="G4327" s="8"/>
      <c r="H4327" s="12"/>
      <c r="I4327" s="2"/>
      <c r="J4327" s="2"/>
      <c r="K4327" s="13"/>
      <c r="L4327" s="2"/>
      <c r="M4327" s="2"/>
      <c r="N4327" s="2"/>
      <c r="O4327" s="2"/>
      <c r="P4327" s="2"/>
      <c r="Q4327" s="2"/>
      <c r="R4327" s="2"/>
      <c r="S4327" s="2"/>
    </row>
    <row r="4328" spans="1:19" s="2" customFormat="1" ht="96.2" customHeight="1" outlineLevel="7">
      <c r="A4328" s="52">
        <v>3410</v>
      </c>
      <c r="B4328" s="26" t="s">
        <v>14332</v>
      </c>
      <c r="C4328" s="66" t="s">
        <v>14333</v>
      </c>
      <c r="D4328" s="66"/>
      <c r="E4328" s="66"/>
      <c r="F4328" s="66"/>
      <c r="G4328" s="27" t="s">
        <v>14334</v>
      </c>
      <c r="H4328" s="28" t="s">
        <v>44</v>
      </c>
      <c r="I4328" s="29"/>
      <c r="J4328" s="25">
        <v>50</v>
      </c>
      <c r="K4328" s="30">
        <v>21.98</v>
      </c>
      <c r="L4328" s="17"/>
      <c r="M4328" s="29">
        <f>K4328*L4328</f>
        <v>0</v>
      </c>
      <c r="N4328" s="31">
        <f>0.013*L4328</f>
        <v>0</v>
      </c>
      <c r="O4328" s="32">
        <f>0.00024*L4328</f>
        <v>0</v>
      </c>
      <c r="P4328" s="36"/>
      <c r="Q4328" s="29" t="s">
        <v>14335</v>
      </c>
      <c r="R4328" s="29"/>
      <c r="S4328" s="26" t="str">
        <f>HYPERLINK("https://miland.ru/api/getInfo/image/b4aab847-4b80-11f0-a27c-00155d82e908")</f>
        <v>https://miland.ru/api/getInfo/image/b4aab847-4b80-11f0-a27c-00155d82e908</v>
      </c>
    </row>
    <row r="4329" spans="1:19" s="1" customFormat="1" ht="12" customHeight="1" outlineLevel="5">
      <c r="A4329" s="64" t="s">
        <v>14336</v>
      </c>
      <c r="B4329" s="64"/>
      <c r="C4329" s="64"/>
      <c r="D4329" s="64"/>
      <c r="E4329" s="64"/>
      <c r="F4329" s="64"/>
      <c r="G4329" s="8"/>
      <c r="H4329" s="12"/>
      <c r="I4329" s="2"/>
      <c r="J4329" s="2"/>
      <c r="K4329" s="13"/>
      <c r="L4329" s="2"/>
      <c r="M4329" s="2"/>
      <c r="N4329" s="2"/>
      <c r="O4329" s="2"/>
      <c r="P4329" s="2"/>
      <c r="Q4329" s="2"/>
      <c r="R4329" s="2"/>
      <c r="S4329" s="2"/>
    </row>
    <row r="4330" spans="1:19" s="2" customFormat="1" ht="96.2" customHeight="1" outlineLevel="6">
      <c r="A4330" s="52">
        <v>3411</v>
      </c>
      <c r="B4330" s="26" t="s">
        <v>14337</v>
      </c>
      <c r="C4330" s="66" t="s">
        <v>14338</v>
      </c>
      <c r="D4330" s="66"/>
      <c r="E4330" s="66"/>
      <c r="F4330" s="66"/>
      <c r="G4330" s="27" t="s">
        <v>14339</v>
      </c>
      <c r="H4330" s="28" t="s">
        <v>44</v>
      </c>
      <c r="I4330" s="29"/>
      <c r="J4330" s="25">
        <v>25</v>
      </c>
      <c r="K4330" s="30">
        <v>37.35</v>
      </c>
      <c r="L4330" s="17"/>
      <c r="M4330" s="29">
        <f>K4330*L4330</f>
        <v>0</v>
      </c>
      <c r="N4330" s="34">
        <f>0.03*L4330</f>
        <v>0</v>
      </c>
      <c r="O4330" s="32">
        <f>0.00042*L4330</f>
        <v>0</v>
      </c>
      <c r="P4330" s="36"/>
      <c r="Q4330" s="29" t="s">
        <v>14340</v>
      </c>
      <c r="R4330" s="29"/>
      <c r="S4330" s="26" t="str">
        <f>HYPERLINK("https://miland.ru/api/getInfo/image/82e2098d-2e9d-11ed-a216-ac1f6b442185")</f>
        <v>https://miland.ru/api/getInfo/image/82e2098d-2e9d-11ed-a216-ac1f6b442185</v>
      </c>
    </row>
    <row r="4331" spans="1:19" s="2" customFormat="1" ht="96.2" customHeight="1" outlineLevel="6">
      <c r="A4331" s="52">
        <v>3412</v>
      </c>
      <c r="B4331" s="26" t="s">
        <v>14341</v>
      </c>
      <c r="C4331" s="66" t="s">
        <v>14342</v>
      </c>
      <c r="D4331" s="66"/>
      <c r="E4331" s="66"/>
      <c r="F4331" s="66"/>
      <c r="G4331" s="27" t="s">
        <v>14343</v>
      </c>
      <c r="H4331" s="28" t="s">
        <v>44</v>
      </c>
      <c r="I4331" s="29"/>
      <c r="J4331" s="25">
        <v>25</v>
      </c>
      <c r="K4331" s="30">
        <v>37.35</v>
      </c>
      <c r="L4331" s="17"/>
      <c r="M4331" s="29">
        <f>K4331*L4331</f>
        <v>0</v>
      </c>
      <c r="N4331" s="31">
        <f>0.026*L4331</f>
        <v>0</v>
      </c>
      <c r="O4331" s="32">
        <f>0.00084*L4331</f>
        <v>0</v>
      </c>
      <c r="P4331" s="36"/>
      <c r="Q4331" s="29" t="s">
        <v>14344</v>
      </c>
      <c r="R4331" s="29"/>
      <c r="S4331" s="26" t="str">
        <f>HYPERLINK("https://miland.ru/api/getInfo/image/b6cd76e3-3ce9-11ee-a241-00155d82e902")</f>
        <v>https://miland.ru/api/getInfo/image/b6cd76e3-3ce9-11ee-a241-00155d82e902</v>
      </c>
    </row>
    <row r="4332" spans="1:19" s="1" customFormat="1" ht="12" customHeight="1" outlineLevel="5">
      <c r="A4332" s="64" t="s">
        <v>14345</v>
      </c>
      <c r="B4332" s="64"/>
      <c r="C4332" s="64"/>
      <c r="D4332" s="64"/>
      <c r="E4332" s="64"/>
      <c r="F4332" s="64"/>
      <c r="G4332" s="8"/>
      <c r="H4332" s="12"/>
      <c r="I4332" s="2"/>
      <c r="J4332" s="2"/>
      <c r="K4332" s="13"/>
      <c r="L4332" s="2"/>
      <c r="M4332" s="2"/>
      <c r="N4332" s="2"/>
      <c r="O4332" s="2"/>
      <c r="P4332" s="2"/>
      <c r="Q4332" s="2"/>
      <c r="R4332" s="2"/>
      <c r="S4332" s="2"/>
    </row>
    <row r="4333" spans="1:19" s="2" customFormat="1" ht="96.2" customHeight="1" outlineLevel="6">
      <c r="A4333" s="52">
        <v>3413</v>
      </c>
      <c r="B4333" s="26" t="s">
        <v>14346</v>
      </c>
      <c r="C4333" s="66" t="s">
        <v>14347</v>
      </c>
      <c r="D4333" s="66"/>
      <c r="E4333" s="66"/>
      <c r="F4333" s="66"/>
      <c r="G4333" s="27" t="s">
        <v>14348</v>
      </c>
      <c r="H4333" s="28" t="s">
        <v>44</v>
      </c>
      <c r="I4333" s="29"/>
      <c r="J4333" s="25">
        <v>25</v>
      </c>
      <c r="K4333" s="30">
        <v>28.22</v>
      </c>
      <c r="L4333" s="17"/>
      <c r="M4333" s="29">
        <f t="shared" ref="M4333:M4345" si="206">K4333*L4333</f>
        <v>0</v>
      </c>
      <c r="N4333" s="34">
        <f>0.02*L4333</f>
        <v>0</v>
      </c>
      <c r="O4333" s="32">
        <f>0.00051*L4333</f>
        <v>0</v>
      </c>
      <c r="P4333" s="36"/>
      <c r="Q4333" s="29" t="s">
        <v>14349</v>
      </c>
      <c r="R4333" s="29"/>
      <c r="S4333" s="26" t="str">
        <f>HYPERLINK("https://miland.ru/api/getInfo/image/04213a8b-92a4-11ef-a265-00155d82e908")</f>
        <v>https://miland.ru/api/getInfo/image/04213a8b-92a4-11ef-a265-00155d82e908</v>
      </c>
    </row>
    <row r="4334" spans="1:19" s="2" customFormat="1" ht="96.2" customHeight="1" outlineLevel="6">
      <c r="A4334" s="52">
        <v>3414</v>
      </c>
      <c r="B4334" s="26" t="s">
        <v>14350</v>
      </c>
      <c r="C4334" s="66" t="s">
        <v>14351</v>
      </c>
      <c r="D4334" s="66"/>
      <c r="E4334" s="66"/>
      <c r="F4334" s="66"/>
      <c r="G4334" s="27" t="s">
        <v>14352</v>
      </c>
      <c r="H4334" s="28" t="s">
        <v>44</v>
      </c>
      <c r="I4334" s="29"/>
      <c r="J4334" s="25">
        <v>50</v>
      </c>
      <c r="K4334" s="30">
        <v>27.43</v>
      </c>
      <c r="L4334" s="17"/>
      <c r="M4334" s="29">
        <f t="shared" si="206"/>
        <v>0</v>
      </c>
      <c r="N4334" s="31">
        <f>0.019*L4334</f>
        <v>0</v>
      </c>
      <c r="O4334" s="32">
        <f>0.00051*L4334</f>
        <v>0</v>
      </c>
      <c r="P4334" s="36"/>
      <c r="Q4334" s="29" t="s">
        <v>14353</v>
      </c>
      <c r="R4334" s="29"/>
      <c r="S4334" s="26" t="str">
        <f>HYPERLINK("https://miland.ru/api/getInfo/image/144a4879-cc52-11f0-a28a-00155d82e908")</f>
        <v>https://miland.ru/api/getInfo/image/144a4879-cc52-11f0-a28a-00155d82e908</v>
      </c>
    </row>
    <row r="4335" spans="1:19" s="2" customFormat="1" ht="96.2" customHeight="1" outlineLevel="6">
      <c r="A4335" s="52">
        <v>3415</v>
      </c>
      <c r="B4335" s="26" t="s">
        <v>14354</v>
      </c>
      <c r="C4335" s="66" t="s">
        <v>14355</v>
      </c>
      <c r="D4335" s="66"/>
      <c r="E4335" s="66"/>
      <c r="F4335" s="66"/>
      <c r="G4335" s="27" t="s">
        <v>14356</v>
      </c>
      <c r="H4335" s="28" t="s">
        <v>44</v>
      </c>
      <c r="I4335" s="29"/>
      <c r="J4335" s="25">
        <v>50</v>
      </c>
      <c r="K4335" s="30">
        <v>15.75</v>
      </c>
      <c r="L4335" s="17"/>
      <c r="M4335" s="29">
        <f t="shared" si="206"/>
        <v>0</v>
      </c>
      <c r="N4335" s="34">
        <f>0.01*L4335</f>
        <v>0</v>
      </c>
      <c r="O4335" s="32">
        <f>0.00046*L4335</f>
        <v>0</v>
      </c>
      <c r="P4335" s="36"/>
      <c r="Q4335" s="29" t="s">
        <v>14357</v>
      </c>
      <c r="R4335" s="29"/>
      <c r="S4335" s="26" t="str">
        <f>HYPERLINK("https://miland.ru/api/getInfo/image/d1181a56-2e84-11ed-a216-ac1f6b442185")</f>
        <v>https://miland.ru/api/getInfo/image/d1181a56-2e84-11ed-a216-ac1f6b442185</v>
      </c>
    </row>
    <row r="4336" spans="1:19" s="2" customFormat="1" ht="96.2" customHeight="1" outlineLevel="6">
      <c r="A4336" s="53">
        <v>3416</v>
      </c>
      <c r="B4336" s="10" t="s">
        <v>14358</v>
      </c>
      <c r="C4336" s="65" t="s">
        <v>14359</v>
      </c>
      <c r="D4336" s="65"/>
      <c r="E4336" s="65"/>
      <c r="F4336" s="65"/>
      <c r="G4336" s="11" t="s">
        <v>14360</v>
      </c>
      <c r="H4336" s="21" t="s">
        <v>44</v>
      </c>
      <c r="I4336" s="15"/>
      <c r="J4336" s="9">
        <v>50</v>
      </c>
      <c r="K4336" s="16">
        <v>11.88</v>
      </c>
      <c r="L4336" s="17"/>
      <c r="M4336" s="15">
        <f t="shared" si="206"/>
        <v>0</v>
      </c>
      <c r="N4336" s="18">
        <f>0.008*L4336</f>
        <v>0</v>
      </c>
      <c r="O4336" s="19">
        <f>0.00046*L4336</f>
        <v>0</v>
      </c>
      <c r="P4336" s="24" t="s">
        <v>26</v>
      </c>
      <c r="Q4336" s="15" t="s">
        <v>14361</v>
      </c>
      <c r="R4336" s="15"/>
      <c r="S4336" s="10" t="str">
        <f>HYPERLINK("https://miland.ru/api/getInfo/image/29e7f10f-c187-11f1-a2a0-00155d82e908")</f>
        <v>https://miland.ru/api/getInfo/image/29e7f10f-c187-11f1-a2a0-00155d82e908</v>
      </c>
    </row>
    <row r="4337" spans="1:19" s="2" customFormat="1" ht="96.2" customHeight="1" outlineLevel="6">
      <c r="A4337" s="52">
        <v>3417</v>
      </c>
      <c r="B4337" s="26" t="s">
        <v>14362</v>
      </c>
      <c r="C4337" s="66" t="s">
        <v>14363</v>
      </c>
      <c r="D4337" s="66"/>
      <c r="E4337" s="66"/>
      <c r="F4337" s="66"/>
      <c r="G4337" s="27" t="s">
        <v>14364</v>
      </c>
      <c r="H4337" s="33">
        <v>450</v>
      </c>
      <c r="I4337" s="29"/>
      <c r="J4337" s="25">
        <v>50</v>
      </c>
      <c r="K4337" s="30">
        <v>32.76</v>
      </c>
      <c r="L4337" s="17"/>
      <c r="M4337" s="29">
        <f t="shared" si="206"/>
        <v>0</v>
      </c>
      <c r="N4337" s="31">
        <f>0.022*L4337</f>
        <v>0</v>
      </c>
      <c r="O4337" s="32">
        <f>0.00051*L4337</f>
        <v>0</v>
      </c>
      <c r="P4337" s="36"/>
      <c r="Q4337" s="29" t="s">
        <v>14365</v>
      </c>
      <c r="R4337" s="29" t="s">
        <v>611</v>
      </c>
      <c r="S4337" s="26" t="str">
        <f>HYPERLINK("https://miland.ru/api/getInfo/image/d081cab1-cc52-11f0-a28a-00155d82e908")</f>
        <v>https://miland.ru/api/getInfo/image/d081cab1-cc52-11f0-a28a-00155d82e908</v>
      </c>
    </row>
    <row r="4338" spans="1:19" s="2" customFormat="1" ht="96.2" customHeight="1" outlineLevel="6">
      <c r="A4338" s="52">
        <v>3418</v>
      </c>
      <c r="B4338" s="26" t="s">
        <v>14366</v>
      </c>
      <c r="C4338" s="66" t="s">
        <v>14367</v>
      </c>
      <c r="D4338" s="66"/>
      <c r="E4338" s="66"/>
      <c r="F4338" s="66"/>
      <c r="G4338" s="27" t="s">
        <v>14368</v>
      </c>
      <c r="H4338" s="33">
        <v>400</v>
      </c>
      <c r="I4338" s="29"/>
      <c r="J4338" s="25">
        <v>50</v>
      </c>
      <c r="K4338" s="30">
        <v>11.88</v>
      </c>
      <c r="L4338" s="17"/>
      <c r="M4338" s="29">
        <f t="shared" si="206"/>
        <v>0</v>
      </c>
      <c r="N4338" s="31">
        <f>0.009*L4338</f>
        <v>0</v>
      </c>
      <c r="O4338" s="32">
        <f>0.00046*L4338</f>
        <v>0</v>
      </c>
      <c r="P4338" s="36"/>
      <c r="Q4338" s="29" t="s">
        <v>14369</v>
      </c>
      <c r="R4338" s="29"/>
      <c r="S4338" s="26" t="str">
        <f>HYPERLINK("https://miland.ru/api/getInfo/image/efec0c6e-2dce-11ed-a216-ac1f6b442185")</f>
        <v>https://miland.ru/api/getInfo/image/efec0c6e-2dce-11ed-a216-ac1f6b442185</v>
      </c>
    </row>
    <row r="4339" spans="1:19" s="2" customFormat="1" ht="96.2" customHeight="1" outlineLevel="6">
      <c r="A4339" s="53">
        <v>3419</v>
      </c>
      <c r="B4339" s="10" t="s">
        <v>14370</v>
      </c>
      <c r="C4339" s="65" t="s">
        <v>14371</v>
      </c>
      <c r="D4339" s="65"/>
      <c r="E4339" s="65"/>
      <c r="F4339" s="65"/>
      <c r="G4339" s="11" t="s">
        <v>14372</v>
      </c>
      <c r="H4339" s="21" t="s">
        <v>44</v>
      </c>
      <c r="I4339" s="15"/>
      <c r="J4339" s="9">
        <v>50</v>
      </c>
      <c r="K4339" s="16">
        <v>20.23</v>
      </c>
      <c r="L4339" s="17"/>
      <c r="M4339" s="15">
        <f t="shared" si="206"/>
        <v>0</v>
      </c>
      <c r="N4339" s="18">
        <f>0.016*L4339</f>
        <v>0</v>
      </c>
      <c r="O4339" s="19">
        <f>0.00513*L4339</f>
        <v>0</v>
      </c>
      <c r="P4339" s="24" t="s">
        <v>26</v>
      </c>
      <c r="Q4339" s="15" t="s">
        <v>14373</v>
      </c>
      <c r="R4339" s="15"/>
      <c r="S4339" s="10" t="str">
        <f>HYPERLINK("https://miland.ru/api/getInfo/image/0a888751-c187-11f1-a2a0-00155d82e908")</f>
        <v>https://miland.ru/api/getInfo/image/0a888751-c187-11f1-a2a0-00155d82e908</v>
      </c>
    </row>
    <row r="4340" spans="1:19" s="2" customFormat="1" ht="96.2" customHeight="1" outlineLevel="6">
      <c r="A4340" s="52">
        <v>3420</v>
      </c>
      <c r="B4340" s="26" t="s">
        <v>14374</v>
      </c>
      <c r="C4340" s="66" t="s">
        <v>14375</v>
      </c>
      <c r="D4340" s="66"/>
      <c r="E4340" s="66"/>
      <c r="F4340" s="66"/>
      <c r="G4340" s="27" t="s">
        <v>14376</v>
      </c>
      <c r="H4340" s="33">
        <v>375</v>
      </c>
      <c r="I4340" s="29"/>
      <c r="J4340" s="25">
        <v>25</v>
      </c>
      <c r="K4340" s="30">
        <v>28.22</v>
      </c>
      <c r="L4340" s="17"/>
      <c r="M4340" s="29">
        <f t="shared" si="206"/>
        <v>0</v>
      </c>
      <c r="N4340" s="34">
        <f>0.02*L4340</f>
        <v>0</v>
      </c>
      <c r="O4340" s="32">
        <f>0.00005*L4340</f>
        <v>0</v>
      </c>
      <c r="P4340" s="36"/>
      <c r="Q4340" s="29" t="s">
        <v>14377</v>
      </c>
      <c r="R4340" s="29"/>
      <c r="S4340" s="26" t="str">
        <f>HYPERLINK("https://miland.ru/api/getInfo/image/f56f9894-92a4-11ef-a265-00155d82e908")</f>
        <v>https://miland.ru/api/getInfo/image/f56f9894-92a4-11ef-a265-00155d82e908</v>
      </c>
    </row>
    <row r="4341" spans="1:19" s="2" customFormat="1" ht="96.2" customHeight="1" outlineLevel="6">
      <c r="A4341" s="53">
        <v>3421</v>
      </c>
      <c r="B4341" s="10" t="s">
        <v>14378</v>
      </c>
      <c r="C4341" s="65" t="s">
        <v>14379</v>
      </c>
      <c r="D4341" s="65"/>
      <c r="E4341" s="65"/>
      <c r="F4341" s="65"/>
      <c r="G4341" s="11" t="s">
        <v>14380</v>
      </c>
      <c r="H4341" s="21" t="s">
        <v>44</v>
      </c>
      <c r="I4341" s="15"/>
      <c r="J4341" s="9">
        <v>50</v>
      </c>
      <c r="K4341" s="16">
        <v>20.23</v>
      </c>
      <c r="L4341" s="17"/>
      <c r="M4341" s="15">
        <f t="shared" si="206"/>
        <v>0</v>
      </c>
      <c r="N4341" s="23">
        <f>0.05*L4341</f>
        <v>0</v>
      </c>
      <c r="O4341" s="19">
        <f>0.00513*L4341</f>
        <v>0</v>
      </c>
      <c r="P4341" s="24" t="s">
        <v>26</v>
      </c>
      <c r="Q4341" s="15" t="s">
        <v>14381</v>
      </c>
      <c r="R4341" s="15"/>
      <c r="S4341" s="10" t="str">
        <f>HYPERLINK("https://miland.ru/api/getInfo/image/4b4a318a-c187-11f1-a2a0-00155d82e908")</f>
        <v>https://miland.ru/api/getInfo/image/4b4a318a-c187-11f1-a2a0-00155d82e908</v>
      </c>
    </row>
    <row r="4342" spans="1:19" s="2" customFormat="1" ht="96.2" customHeight="1" outlineLevel="6">
      <c r="A4342" s="52">
        <v>3422</v>
      </c>
      <c r="B4342" s="26" t="s">
        <v>14382</v>
      </c>
      <c r="C4342" s="66" t="s">
        <v>14383</v>
      </c>
      <c r="D4342" s="66"/>
      <c r="E4342" s="66"/>
      <c r="F4342" s="66"/>
      <c r="G4342" s="27" t="s">
        <v>14384</v>
      </c>
      <c r="H4342" s="33">
        <v>300</v>
      </c>
      <c r="I4342" s="29"/>
      <c r="J4342" s="25">
        <v>50</v>
      </c>
      <c r="K4342" s="30">
        <v>20.23</v>
      </c>
      <c r="L4342" s="17"/>
      <c r="M4342" s="29">
        <f t="shared" si="206"/>
        <v>0</v>
      </c>
      <c r="N4342" s="31">
        <f>0.015*L4342</f>
        <v>0</v>
      </c>
      <c r="O4342" s="32">
        <f>0.00051*L4342</f>
        <v>0</v>
      </c>
      <c r="P4342" s="36"/>
      <c r="Q4342" s="29" t="s">
        <v>14385</v>
      </c>
      <c r="R4342" s="29"/>
      <c r="S4342" s="26" t="str">
        <f>HYPERLINK("https://miland.ru/api/getInfo/image/ac64a46c-4574-11ee-a243-00155d82e902")</f>
        <v>https://miland.ru/api/getInfo/image/ac64a46c-4574-11ee-a243-00155d82e902</v>
      </c>
    </row>
    <row r="4343" spans="1:19" s="2" customFormat="1" ht="96.2" customHeight="1" outlineLevel="6">
      <c r="A4343" s="52">
        <v>3423</v>
      </c>
      <c r="B4343" s="26" t="s">
        <v>14386</v>
      </c>
      <c r="C4343" s="66" t="s">
        <v>14387</v>
      </c>
      <c r="D4343" s="66"/>
      <c r="E4343" s="66"/>
      <c r="F4343" s="66"/>
      <c r="G4343" s="27" t="s">
        <v>14388</v>
      </c>
      <c r="H4343" s="28" t="s">
        <v>44</v>
      </c>
      <c r="I4343" s="29"/>
      <c r="J4343" s="25">
        <v>50</v>
      </c>
      <c r="K4343" s="30">
        <v>20.23</v>
      </c>
      <c r="L4343" s="17"/>
      <c r="M4343" s="29">
        <f t="shared" si="206"/>
        <v>0</v>
      </c>
      <c r="N4343" s="31">
        <f>0.016*L4343</f>
        <v>0</v>
      </c>
      <c r="O4343" s="32">
        <f>0.00051*L4343</f>
        <v>0</v>
      </c>
      <c r="P4343" s="36"/>
      <c r="Q4343" s="29" t="s">
        <v>14389</v>
      </c>
      <c r="R4343" s="29"/>
      <c r="S4343" s="26" t="str">
        <f>HYPERLINK("https://miland.ru/api/getInfo/image/185a4cbd-4575-11ee-a243-00155d82e902")</f>
        <v>https://miland.ru/api/getInfo/image/185a4cbd-4575-11ee-a243-00155d82e902</v>
      </c>
    </row>
    <row r="4344" spans="1:19" s="2" customFormat="1" ht="96.2" customHeight="1" outlineLevel="6">
      <c r="A4344" s="52">
        <v>3424</v>
      </c>
      <c r="B4344" s="26" t="s">
        <v>14390</v>
      </c>
      <c r="C4344" s="66" t="s">
        <v>14391</v>
      </c>
      <c r="D4344" s="66"/>
      <c r="E4344" s="66"/>
      <c r="F4344" s="66"/>
      <c r="G4344" s="27" t="s">
        <v>14392</v>
      </c>
      <c r="H4344" s="28" t="s">
        <v>44</v>
      </c>
      <c r="I4344" s="29"/>
      <c r="J4344" s="25">
        <v>50</v>
      </c>
      <c r="K4344" s="30">
        <v>27.43</v>
      </c>
      <c r="L4344" s="17"/>
      <c r="M4344" s="29">
        <f t="shared" si="206"/>
        <v>0</v>
      </c>
      <c r="N4344" s="31">
        <f>0.021*L4344</f>
        <v>0</v>
      </c>
      <c r="O4344" s="32">
        <f>0.00051*L4344</f>
        <v>0</v>
      </c>
      <c r="P4344" s="36"/>
      <c r="Q4344" s="29" t="s">
        <v>14393</v>
      </c>
      <c r="R4344" s="29"/>
      <c r="S4344" s="26" t="str">
        <f>HYPERLINK("https://miland.ru/api/getInfo/image/729d7c53-4731-11ee-a243-00155d82e902")</f>
        <v>https://miland.ru/api/getInfo/image/729d7c53-4731-11ee-a243-00155d82e902</v>
      </c>
    </row>
    <row r="4345" spans="1:19" s="2" customFormat="1" ht="96.2" customHeight="1" outlineLevel="6">
      <c r="A4345" s="52">
        <v>3425</v>
      </c>
      <c r="B4345" s="26" t="s">
        <v>14394</v>
      </c>
      <c r="C4345" s="66" t="s">
        <v>14395</v>
      </c>
      <c r="D4345" s="66"/>
      <c r="E4345" s="66"/>
      <c r="F4345" s="66"/>
      <c r="G4345" s="27" t="s">
        <v>14396</v>
      </c>
      <c r="H4345" s="28" t="s">
        <v>44</v>
      </c>
      <c r="I4345" s="29"/>
      <c r="J4345" s="25">
        <v>50</v>
      </c>
      <c r="K4345" s="30">
        <v>33.43</v>
      </c>
      <c r="L4345" s="17"/>
      <c r="M4345" s="29">
        <f t="shared" si="206"/>
        <v>0</v>
      </c>
      <c r="N4345" s="31">
        <f>0.022*L4345</f>
        <v>0</v>
      </c>
      <c r="O4345" s="32">
        <f>0.00051*L4345</f>
        <v>0</v>
      </c>
      <c r="P4345" s="36"/>
      <c r="Q4345" s="29" t="s">
        <v>14397</v>
      </c>
      <c r="R4345" s="29"/>
      <c r="S4345" s="26" t="str">
        <f>HYPERLINK("https://miland.ru/api/getInfo/image/cf97e219-4732-11ee-a243-00155d82e902")</f>
        <v>https://miland.ru/api/getInfo/image/cf97e219-4732-11ee-a243-00155d82e902</v>
      </c>
    </row>
    <row r="4346" spans="1:19" s="1" customFormat="1" ht="12" customHeight="1" outlineLevel="5">
      <c r="A4346" s="64" t="s">
        <v>14398</v>
      </c>
      <c r="B4346" s="64"/>
      <c r="C4346" s="64"/>
      <c r="D4346" s="64"/>
      <c r="E4346" s="64"/>
      <c r="F4346" s="64"/>
      <c r="G4346" s="8"/>
      <c r="H4346" s="12"/>
      <c r="I4346" s="2"/>
      <c r="J4346" s="2"/>
      <c r="K4346" s="13"/>
      <c r="L4346" s="2"/>
      <c r="M4346" s="2"/>
      <c r="N4346" s="2"/>
      <c r="O4346" s="2"/>
      <c r="P4346" s="2"/>
      <c r="Q4346" s="2"/>
      <c r="R4346" s="2"/>
      <c r="S4346" s="2"/>
    </row>
    <row r="4347" spans="1:19" s="2" customFormat="1" ht="96.2" customHeight="1" outlineLevel="6">
      <c r="A4347" s="53">
        <v>3426</v>
      </c>
      <c r="B4347" s="10" t="s">
        <v>14399</v>
      </c>
      <c r="C4347" s="65" t="s">
        <v>14400</v>
      </c>
      <c r="D4347" s="65"/>
      <c r="E4347" s="65"/>
      <c r="F4347" s="65"/>
      <c r="G4347" s="11" t="s">
        <v>14401</v>
      </c>
      <c r="H4347" s="21" t="s">
        <v>44</v>
      </c>
      <c r="I4347" s="15"/>
      <c r="J4347" s="9">
        <v>50</v>
      </c>
      <c r="K4347" s="16">
        <v>30.43</v>
      </c>
      <c r="L4347" s="17"/>
      <c r="M4347" s="15">
        <f>K4347*L4347</f>
        <v>0</v>
      </c>
      <c r="N4347" s="18">
        <f>0.026*L4347</f>
        <v>0</v>
      </c>
      <c r="O4347" s="19">
        <f>0.00061*L4347</f>
        <v>0</v>
      </c>
      <c r="P4347" s="24" t="s">
        <v>26</v>
      </c>
      <c r="Q4347" s="15" t="s">
        <v>14402</v>
      </c>
      <c r="R4347" s="15"/>
      <c r="S4347" s="10" t="str">
        <f>HYPERLINK("https://miland.ru/api/getInfo/image/64a843ee-c187-11f1-a2a0-00155d82e908")</f>
        <v>https://miland.ru/api/getInfo/image/64a843ee-c187-11f1-a2a0-00155d82e908</v>
      </c>
    </row>
    <row r="4348" spans="1:19" s="1" customFormat="1" ht="12" customHeight="1" outlineLevel="4">
      <c r="A4348" s="64" t="s">
        <v>14403</v>
      </c>
      <c r="B4348" s="64"/>
      <c r="C4348" s="64"/>
      <c r="D4348" s="64"/>
      <c r="E4348" s="64"/>
      <c r="F4348" s="64"/>
      <c r="G4348" s="8"/>
      <c r="H4348" s="12"/>
      <c r="I4348" s="2"/>
      <c r="J4348" s="2"/>
      <c r="K4348" s="13"/>
      <c r="L4348" s="2"/>
      <c r="M4348" s="2"/>
      <c r="N4348" s="2"/>
      <c r="O4348" s="2"/>
      <c r="P4348" s="2"/>
      <c r="Q4348" s="2"/>
      <c r="R4348" s="2"/>
      <c r="S4348" s="2"/>
    </row>
    <row r="4349" spans="1:19" s="1" customFormat="1" ht="12" customHeight="1" outlineLevel="5">
      <c r="A4349" s="64" t="s">
        <v>8726</v>
      </c>
      <c r="B4349" s="64"/>
      <c r="C4349" s="64"/>
      <c r="D4349" s="64"/>
      <c r="E4349" s="64"/>
      <c r="F4349" s="64"/>
      <c r="G4349" s="8"/>
      <c r="H4349" s="12"/>
      <c r="I4349" s="2"/>
      <c r="J4349" s="2"/>
      <c r="K4349" s="13"/>
      <c r="L4349" s="2"/>
      <c r="M4349" s="2"/>
      <c r="N4349" s="2"/>
      <c r="O4349" s="2"/>
      <c r="P4349" s="2"/>
      <c r="Q4349" s="2"/>
      <c r="R4349" s="2"/>
      <c r="S4349" s="2"/>
    </row>
    <row r="4350" spans="1:19" s="2" customFormat="1" ht="96.2" customHeight="1" outlineLevel="6">
      <c r="A4350" s="52">
        <v>3427</v>
      </c>
      <c r="B4350" s="26" t="s">
        <v>14404</v>
      </c>
      <c r="C4350" s="66" t="s">
        <v>14405</v>
      </c>
      <c r="D4350" s="66"/>
      <c r="E4350" s="66"/>
      <c r="F4350" s="66"/>
      <c r="G4350" s="27" t="s">
        <v>14406</v>
      </c>
      <c r="H4350" s="33">
        <v>50</v>
      </c>
      <c r="I4350" s="29"/>
      <c r="J4350" s="25">
        <v>50</v>
      </c>
      <c r="K4350" s="30">
        <v>18.96</v>
      </c>
      <c r="L4350" s="17"/>
      <c r="M4350" s="29">
        <f>K4350*L4350</f>
        <v>0</v>
      </c>
      <c r="N4350" s="31">
        <f>0.014*L4350</f>
        <v>0</v>
      </c>
      <c r="O4350" s="32">
        <f>0.00029*L4350</f>
        <v>0</v>
      </c>
      <c r="P4350" s="36"/>
      <c r="Q4350" s="29" t="s">
        <v>14407</v>
      </c>
      <c r="R4350" s="29" t="s">
        <v>611</v>
      </c>
      <c r="S4350" s="26" t="str">
        <f>HYPERLINK("https://miland.ru/api/getInfo/image/444d7329-a02a-11ef-a267-00155d82e908")</f>
        <v>https://miland.ru/api/getInfo/image/444d7329-a02a-11ef-a267-00155d82e908</v>
      </c>
    </row>
    <row r="4351" spans="1:19" s="2" customFormat="1" ht="96.2" customHeight="1" outlineLevel="6">
      <c r="A4351" s="52">
        <v>3428</v>
      </c>
      <c r="B4351" s="26" t="s">
        <v>14408</v>
      </c>
      <c r="C4351" s="66" t="s">
        <v>14409</v>
      </c>
      <c r="D4351" s="66"/>
      <c r="E4351" s="66"/>
      <c r="F4351" s="66"/>
      <c r="G4351" s="27" t="s">
        <v>14410</v>
      </c>
      <c r="H4351" s="28" t="s">
        <v>44</v>
      </c>
      <c r="I4351" s="29"/>
      <c r="J4351" s="25">
        <v>50</v>
      </c>
      <c r="K4351" s="30">
        <v>15.41</v>
      </c>
      <c r="L4351" s="17"/>
      <c r="M4351" s="29">
        <f>K4351*L4351</f>
        <v>0</v>
      </c>
      <c r="N4351" s="31">
        <f>0.011*L4351</f>
        <v>0</v>
      </c>
      <c r="O4351" s="32">
        <f>0.00029*L4351</f>
        <v>0</v>
      </c>
      <c r="P4351" s="36"/>
      <c r="Q4351" s="29" t="s">
        <v>14411</v>
      </c>
      <c r="R4351" s="29"/>
      <c r="S4351" s="26" t="str">
        <f>HYPERLINK("https://miland.ru/api/getInfo/image/cefc6941-3ced-11ee-a241-00155d82e902")</f>
        <v>https://miland.ru/api/getInfo/image/cefc6941-3ced-11ee-a241-00155d82e902</v>
      </c>
    </row>
    <row r="4352" spans="1:19" s="2" customFormat="1" ht="96.2" customHeight="1" outlineLevel="6">
      <c r="A4352" s="52">
        <v>3429</v>
      </c>
      <c r="B4352" s="26" t="s">
        <v>14412</v>
      </c>
      <c r="C4352" s="66" t="s">
        <v>14413</v>
      </c>
      <c r="D4352" s="66"/>
      <c r="E4352" s="66"/>
      <c r="F4352" s="66"/>
      <c r="G4352" s="27" t="s">
        <v>14414</v>
      </c>
      <c r="H4352" s="33">
        <v>200</v>
      </c>
      <c r="I4352" s="29"/>
      <c r="J4352" s="25">
        <v>50</v>
      </c>
      <c r="K4352" s="30">
        <v>19.350000000000001</v>
      </c>
      <c r="L4352" s="17"/>
      <c r="M4352" s="29">
        <f>K4352*L4352</f>
        <v>0</v>
      </c>
      <c r="N4352" s="31">
        <f>0.014*L4352</f>
        <v>0</v>
      </c>
      <c r="O4352" s="32">
        <f>0.00029*L4352</f>
        <v>0</v>
      </c>
      <c r="P4352" s="36"/>
      <c r="Q4352" s="29" t="s">
        <v>14415</v>
      </c>
      <c r="R4352" s="29"/>
      <c r="S4352" s="26" t="str">
        <f>HYPERLINK("https://miland.ru/api/getInfo/image/4c74e353-6047-11e9-a224-ac1f6b442184")</f>
        <v>https://miland.ru/api/getInfo/image/4c74e353-6047-11e9-a224-ac1f6b442184</v>
      </c>
    </row>
    <row r="4353" spans="1:19" s="2" customFormat="1" ht="96.2" customHeight="1" outlineLevel="6">
      <c r="A4353" s="52">
        <v>3430</v>
      </c>
      <c r="B4353" s="26" t="s">
        <v>14416</v>
      </c>
      <c r="C4353" s="66" t="s">
        <v>14417</v>
      </c>
      <c r="D4353" s="66"/>
      <c r="E4353" s="66"/>
      <c r="F4353" s="66"/>
      <c r="G4353" s="27" t="s">
        <v>14418</v>
      </c>
      <c r="H4353" s="28" t="s">
        <v>44</v>
      </c>
      <c r="I4353" s="29"/>
      <c r="J4353" s="25">
        <v>50</v>
      </c>
      <c r="K4353" s="30">
        <v>15.41</v>
      </c>
      <c r="L4353" s="17"/>
      <c r="M4353" s="29">
        <f>K4353*L4353</f>
        <v>0</v>
      </c>
      <c r="N4353" s="31">
        <f>0.012*L4353</f>
        <v>0</v>
      </c>
      <c r="O4353" s="32">
        <f>0.00029*L4353</f>
        <v>0</v>
      </c>
      <c r="P4353" s="36"/>
      <c r="Q4353" s="29" t="s">
        <v>14419</v>
      </c>
      <c r="R4353" s="29"/>
      <c r="S4353" s="26" t="str">
        <f>HYPERLINK("https://miland.ru/api/getInfo/image/7dae5708-3ced-11ee-a241-00155d82e902")</f>
        <v>https://miland.ru/api/getInfo/image/7dae5708-3ced-11ee-a241-00155d82e902</v>
      </c>
    </row>
    <row r="4354" spans="1:19" s="1" customFormat="1" ht="12" customHeight="1" outlineLevel="5">
      <c r="A4354" s="64" t="s">
        <v>14420</v>
      </c>
      <c r="B4354" s="64"/>
      <c r="C4354" s="64"/>
      <c r="D4354" s="64"/>
      <c r="E4354" s="64"/>
      <c r="F4354" s="64"/>
      <c r="G4354" s="8"/>
      <c r="H4354" s="12"/>
      <c r="I4354" s="2"/>
      <c r="J4354" s="2"/>
      <c r="K4354" s="13"/>
      <c r="L4354" s="2"/>
      <c r="M4354" s="2"/>
      <c r="N4354" s="2"/>
      <c r="O4354" s="2"/>
      <c r="P4354" s="2"/>
      <c r="Q4354" s="2"/>
      <c r="R4354" s="2"/>
      <c r="S4354" s="2"/>
    </row>
    <row r="4355" spans="1:19" s="2" customFormat="1" ht="96.2" customHeight="1" outlineLevel="6">
      <c r="A4355" s="52">
        <v>3431</v>
      </c>
      <c r="B4355" s="26" t="s">
        <v>14421</v>
      </c>
      <c r="C4355" s="66" t="s">
        <v>14422</v>
      </c>
      <c r="D4355" s="66"/>
      <c r="E4355" s="66"/>
      <c r="F4355" s="66"/>
      <c r="G4355" s="27" t="s">
        <v>14423</v>
      </c>
      <c r="H4355" s="33">
        <v>350</v>
      </c>
      <c r="I4355" s="29"/>
      <c r="J4355" s="25">
        <v>50</v>
      </c>
      <c r="K4355" s="30">
        <v>29.57</v>
      </c>
      <c r="L4355" s="17"/>
      <c r="M4355" s="29">
        <f>K4355*L4355</f>
        <v>0</v>
      </c>
      <c r="N4355" s="31">
        <f>0.003*L4355</f>
        <v>0</v>
      </c>
      <c r="O4355" s="32">
        <f>0.00013*L4355</f>
        <v>0</v>
      </c>
      <c r="P4355" s="36"/>
      <c r="Q4355" s="29" t="s">
        <v>14424</v>
      </c>
      <c r="R4355" s="29"/>
      <c r="S4355" s="26" t="str">
        <f>HYPERLINK("https://miland.ru/api/getInfo/image/0d043e2b-4577-11ee-a243-00155d82e902")</f>
        <v>https://miland.ru/api/getInfo/image/0d043e2b-4577-11ee-a243-00155d82e902</v>
      </c>
    </row>
    <row r="4356" spans="1:19" s="2" customFormat="1" ht="96.2" customHeight="1" outlineLevel="6">
      <c r="A4356" s="53">
        <v>3432</v>
      </c>
      <c r="B4356" s="10" t="s">
        <v>14425</v>
      </c>
      <c r="C4356" s="65" t="s">
        <v>14426</v>
      </c>
      <c r="D4356" s="65"/>
      <c r="E4356" s="65"/>
      <c r="F4356" s="65"/>
      <c r="G4356" s="11" t="s">
        <v>14427</v>
      </c>
      <c r="H4356" s="14">
        <v>400</v>
      </c>
      <c r="I4356" s="15"/>
      <c r="J4356" s="9">
        <v>50</v>
      </c>
      <c r="K4356" s="16">
        <v>29.57</v>
      </c>
      <c r="L4356" s="17"/>
      <c r="M4356" s="15">
        <f>K4356*L4356</f>
        <v>0</v>
      </c>
      <c r="N4356" s="18">
        <f>0.021*L4356</f>
        <v>0</v>
      </c>
      <c r="O4356" s="19">
        <f>0.00388*L4356</f>
        <v>0</v>
      </c>
      <c r="P4356" s="24" t="s">
        <v>26</v>
      </c>
      <c r="Q4356" s="15" t="s">
        <v>14428</v>
      </c>
      <c r="R4356" s="15"/>
      <c r="S4356" s="10" t="str">
        <f>HYPERLINK("https://miland.ru/api/getInfo/image/fff11f94-c187-11f1-a2a0-00155d82e908")</f>
        <v>https://miland.ru/api/getInfo/image/fff11f94-c187-11f1-a2a0-00155d82e908</v>
      </c>
    </row>
    <row r="4357" spans="1:19" s="2" customFormat="1" ht="96.2" customHeight="1" outlineLevel="6">
      <c r="A4357" s="53">
        <v>3433</v>
      </c>
      <c r="B4357" s="10" t="s">
        <v>14429</v>
      </c>
      <c r="C4357" s="65" t="s">
        <v>14430</v>
      </c>
      <c r="D4357" s="65"/>
      <c r="E4357" s="65"/>
      <c r="F4357" s="65"/>
      <c r="G4357" s="11" t="s">
        <v>14431</v>
      </c>
      <c r="H4357" s="21" t="s">
        <v>44</v>
      </c>
      <c r="I4357" s="15"/>
      <c r="J4357" s="9">
        <v>50</v>
      </c>
      <c r="K4357" s="16">
        <v>29.57</v>
      </c>
      <c r="L4357" s="17"/>
      <c r="M4357" s="15">
        <f>K4357*L4357</f>
        <v>0</v>
      </c>
      <c r="N4357" s="23">
        <f>0.02*L4357</f>
        <v>0</v>
      </c>
      <c r="O4357" s="15">
        <v>0</v>
      </c>
      <c r="P4357" s="24" t="s">
        <v>26</v>
      </c>
      <c r="Q4357" s="15" t="s">
        <v>14432</v>
      </c>
      <c r="R4357" s="15"/>
      <c r="S4357" s="10" t="str">
        <f>HYPERLINK("https://miland.ru/api/getInfo/image/bde87526-c187-11f1-a2a0-00155d82e908")</f>
        <v>https://miland.ru/api/getInfo/image/bde87526-c187-11f1-a2a0-00155d82e908</v>
      </c>
    </row>
    <row r="4358" spans="1:19" s="2" customFormat="1" ht="96.2" customHeight="1" outlineLevel="6">
      <c r="A4358" s="53">
        <v>3434</v>
      </c>
      <c r="B4358" s="10" t="s">
        <v>14433</v>
      </c>
      <c r="C4358" s="65" t="s">
        <v>14434</v>
      </c>
      <c r="D4358" s="65"/>
      <c r="E4358" s="65"/>
      <c r="F4358" s="65"/>
      <c r="G4358" s="11" t="s">
        <v>14435</v>
      </c>
      <c r="H4358" s="14">
        <v>400</v>
      </c>
      <c r="I4358" s="15"/>
      <c r="J4358" s="9">
        <v>50</v>
      </c>
      <c r="K4358" s="16">
        <v>29.57</v>
      </c>
      <c r="L4358" s="17"/>
      <c r="M4358" s="15">
        <f>K4358*L4358</f>
        <v>0</v>
      </c>
      <c r="N4358" s="18">
        <f>0.021*L4358</f>
        <v>0</v>
      </c>
      <c r="O4358" s="19">
        <f>0.00039*L4358</f>
        <v>0</v>
      </c>
      <c r="P4358" s="24" t="s">
        <v>26</v>
      </c>
      <c r="Q4358" s="15" t="s">
        <v>14436</v>
      </c>
      <c r="R4358" s="15"/>
      <c r="S4358" s="10" t="str">
        <f>HYPERLINK("https://miland.ru/api/getInfo/image/d94a9684-c187-11f1-a2a0-00155d82e908")</f>
        <v>https://miland.ru/api/getInfo/image/d94a9684-c187-11f1-a2a0-00155d82e908</v>
      </c>
    </row>
    <row r="4359" spans="1:19" s="2" customFormat="1" ht="96.2" customHeight="1" outlineLevel="6">
      <c r="A4359" s="52">
        <v>3435</v>
      </c>
      <c r="B4359" s="26" t="s">
        <v>14437</v>
      </c>
      <c r="C4359" s="66" t="s">
        <v>14438</v>
      </c>
      <c r="D4359" s="66"/>
      <c r="E4359" s="66"/>
      <c r="F4359" s="66"/>
      <c r="G4359" s="27" t="s">
        <v>14439</v>
      </c>
      <c r="H4359" s="28" t="s">
        <v>44</v>
      </c>
      <c r="I4359" s="29"/>
      <c r="J4359" s="25">
        <v>50</v>
      </c>
      <c r="K4359" s="30">
        <v>29.57</v>
      </c>
      <c r="L4359" s="17"/>
      <c r="M4359" s="29">
        <f>K4359*L4359</f>
        <v>0</v>
      </c>
      <c r="N4359" s="31">
        <f>0.022*L4359</f>
        <v>0</v>
      </c>
      <c r="O4359" s="35">
        <f>0.0004*L4359</f>
        <v>0</v>
      </c>
      <c r="P4359" s="36"/>
      <c r="Q4359" s="29" t="s">
        <v>14440</v>
      </c>
      <c r="R4359" s="29"/>
      <c r="S4359" s="26" t="str">
        <f>HYPERLINK("https://miland.ru/api/getInfo/image/aa743f7c-4576-11ee-a243-00155d82e902")</f>
        <v>https://miland.ru/api/getInfo/image/aa743f7c-4576-11ee-a243-00155d82e902</v>
      </c>
    </row>
    <row r="4360" spans="1:19" s="1" customFormat="1" ht="12" customHeight="1" outlineLevel="5">
      <c r="A4360" s="64" t="s">
        <v>14441</v>
      </c>
      <c r="B4360" s="64"/>
      <c r="C4360" s="64"/>
      <c r="D4360" s="64"/>
      <c r="E4360" s="64"/>
      <c r="F4360" s="64"/>
      <c r="G4360" s="8"/>
      <c r="H4360" s="12"/>
      <c r="I4360" s="2"/>
      <c r="J4360" s="2"/>
      <c r="K4360" s="13"/>
      <c r="L4360" s="2"/>
      <c r="M4360" s="2"/>
      <c r="N4360" s="2"/>
      <c r="O4360" s="2"/>
      <c r="P4360" s="2"/>
      <c r="Q4360" s="2"/>
      <c r="R4360" s="2"/>
      <c r="S4360" s="2"/>
    </row>
    <row r="4361" spans="1:19" s="2" customFormat="1" ht="96.2" customHeight="1" outlineLevel="6">
      <c r="A4361" s="52">
        <v>3436</v>
      </c>
      <c r="B4361" s="26" t="s">
        <v>14442</v>
      </c>
      <c r="C4361" s="66" t="s">
        <v>14443</v>
      </c>
      <c r="D4361" s="66"/>
      <c r="E4361" s="66"/>
      <c r="F4361" s="66"/>
      <c r="G4361" s="27" t="s">
        <v>14444</v>
      </c>
      <c r="H4361" s="28" t="s">
        <v>44</v>
      </c>
      <c r="I4361" s="29"/>
      <c r="J4361" s="25">
        <v>50</v>
      </c>
      <c r="K4361" s="30">
        <v>17.87</v>
      </c>
      <c r="L4361" s="17"/>
      <c r="M4361" s="29">
        <f>K4361*L4361</f>
        <v>0</v>
      </c>
      <c r="N4361" s="31">
        <f>0.014*L4361</f>
        <v>0</v>
      </c>
      <c r="O4361" s="32">
        <f>0.00048*L4361</f>
        <v>0</v>
      </c>
      <c r="P4361" s="36"/>
      <c r="Q4361" s="29" t="s">
        <v>14445</v>
      </c>
      <c r="R4361" s="29"/>
      <c r="S4361" s="26" t="str">
        <f>HYPERLINK("https://miland.ru/api/getInfo/image/cf916239-a02a-11ef-a267-00155d82e908")</f>
        <v>https://miland.ru/api/getInfo/image/cf916239-a02a-11ef-a267-00155d82e908</v>
      </c>
    </row>
    <row r="4362" spans="1:19" s="2" customFormat="1" ht="96.2" customHeight="1" outlineLevel="6">
      <c r="A4362" s="52">
        <v>3437</v>
      </c>
      <c r="B4362" s="26" t="s">
        <v>14446</v>
      </c>
      <c r="C4362" s="66" t="s">
        <v>14447</v>
      </c>
      <c r="D4362" s="66"/>
      <c r="E4362" s="66"/>
      <c r="F4362" s="66"/>
      <c r="G4362" s="27" t="s">
        <v>14448</v>
      </c>
      <c r="H4362" s="33">
        <v>350</v>
      </c>
      <c r="I4362" s="29"/>
      <c r="J4362" s="25">
        <v>50</v>
      </c>
      <c r="K4362" s="30">
        <v>17.53</v>
      </c>
      <c r="L4362" s="17"/>
      <c r="M4362" s="29">
        <f>K4362*L4362</f>
        <v>0</v>
      </c>
      <c r="N4362" s="31">
        <f>0.014*L4362</f>
        <v>0</v>
      </c>
      <c r="O4362" s="32">
        <f>0.00048*L4362</f>
        <v>0</v>
      </c>
      <c r="P4362" s="36"/>
      <c r="Q4362" s="29" t="s">
        <v>14449</v>
      </c>
      <c r="R4362" s="29" t="s">
        <v>611</v>
      </c>
      <c r="S4362" s="26" t="str">
        <f>HYPERLINK("https://miland.ru/api/getInfo/image/8560d810-2e86-11ed-a216-ac1f6b442185")</f>
        <v>https://miland.ru/api/getInfo/image/8560d810-2e86-11ed-a216-ac1f6b442185</v>
      </c>
    </row>
    <row r="4363" spans="1:19" s="2" customFormat="1" ht="96.2" customHeight="1" outlineLevel="6">
      <c r="A4363" s="52">
        <v>3438</v>
      </c>
      <c r="B4363" s="26" t="s">
        <v>14450</v>
      </c>
      <c r="C4363" s="66" t="s">
        <v>14451</v>
      </c>
      <c r="D4363" s="66"/>
      <c r="E4363" s="66"/>
      <c r="F4363" s="66"/>
      <c r="G4363" s="27" t="s">
        <v>14452</v>
      </c>
      <c r="H4363" s="33">
        <v>100</v>
      </c>
      <c r="I4363" s="29"/>
      <c r="J4363" s="25">
        <v>50</v>
      </c>
      <c r="K4363" s="30">
        <v>17.87</v>
      </c>
      <c r="L4363" s="17"/>
      <c r="M4363" s="29">
        <f>K4363*L4363</f>
        <v>0</v>
      </c>
      <c r="N4363" s="31">
        <f>0.014*L4363</f>
        <v>0</v>
      </c>
      <c r="O4363" s="32">
        <f>0.00048*L4363</f>
        <v>0</v>
      </c>
      <c r="P4363" s="36"/>
      <c r="Q4363" s="29" t="s">
        <v>14453</v>
      </c>
      <c r="R4363" s="29"/>
      <c r="S4363" s="26" t="str">
        <f>HYPERLINK("https://miland.ru/api/getInfo/image/9e676688-cc54-11f0-a28a-00155d82e908")</f>
        <v>https://miland.ru/api/getInfo/image/9e676688-cc54-11f0-a28a-00155d82e908</v>
      </c>
    </row>
    <row r="4364" spans="1:19" s="1" customFormat="1" ht="12" customHeight="1" outlineLevel="5">
      <c r="A4364" s="64" t="s">
        <v>14454</v>
      </c>
      <c r="B4364" s="64"/>
      <c r="C4364" s="64"/>
      <c r="D4364" s="64"/>
      <c r="E4364" s="64"/>
      <c r="F4364" s="64"/>
      <c r="G4364" s="8"/>
      <c r="H4364" s="12"/>
      <c r="I4364" s="2"/>
      <c r="J4364" s="2"/>
      <c r="K4364" s="13"/>
      <c r="L4364" s="2"/>
      <c r="M4364" s="2"/>
      <c r="N4364" s="2"/>
      <c r="O4364" s="2"/>
      <c r="P4364" s="2"/>
      <c r="Q4364" s="2"/>
      <c r="R4364" s="2"/>
      <c r="S4364" s="2"/>
    </row>
    <row r="4365" spans="1:19" s="2" customFormat="1" ht="96.2" customHeight="1" outlineLevel="6">
      <c r="A4365" s="52">
        <v>3439</v>
      </c>
      <c r="B4365" s="26" t="s">
        <v>14455</v>
      </c>
      <c r="C4365" s="66" t="s">
        <v>14456</v>
      </c>
      <c r="D4365" s="66"/>
      <c r="E4365" s="66"/>
      <c r="F4365" s="66"/>
      <c r="G4365" s="27" t="s">
        <v>14457</v>
      </c>
      <c r="H4365" s="33">
        <v>25</v>
      </c>
      <c r="I4365" s="29"/>
      <c r="J4365" s="25">
        <v>25</v>
      </c>
      <c r="K4365" s="30">
        <v>17.190000000000001</v>
      </c>
      <c r="L4365" s="17"/>
      <c r="M4365" s="29">
        <f>K4365*L4365</f>
        <v>0</v>
      </c>
      <c r="N4365" s="31">
        <f>0.013*L4365</f>
        <v>0</v>
      </c>
      <c r="O4365" s="32">
        <f>0.00046*L4365</f>
        <v>0</v>
      </c>
      <c r="P4365" s="36"/>
      <c r="Q4365" s="29" t="s">
        <v>14458</v>
      </c>
      <c r="R4365" s="29"/>
      <c r="S4365" s="26" t="str">
        <f>HYPERLINK("https://miland.ru/api/getInfo/image/bfa3340b-2e9e-11ed-a216-ac1f6b442185")</f>
        <v>https://miland.ru/api/getInfo/image/bfa3340b-2e9e-11ed-a216-ac1f6b442185</v>
      </c>
    </row>
    <row r="4366" spans="1:19" s="2" customFormat="1" ht="96.2" customHeight="1" outlineLevel="6">
      <c r="A4366" s="53">
        <v>3440</v>
      </c>
      <c r="B4366" s="10" t="s">
        <v>14459</v>
      </c>
      <c r="C4366" s="65" t="s">
        <v>14460</v>
      </c>
      <c r="D4366" s="65"/>
      <c r="E4366" s="65"/>
      <c r="F4366" s="65"/>
      <c r="G4366" s="11" t="s">
        <v>14461</v>
      </c>
      <c r="H4366" s="21" t="s">
        <v>44</v>
      </c>
      <c r="I4366" s="15"/>
      <c r="J4366" s="9">
        <v>25</v>
      </c>
      <c r="K4366" s="16">
        <v>17.190000000000001</v>
      </c>
      <c r="L4366" s="17"/>
      <c r="M4366" s="15">
        <f>K4366*L4366</f>
        <v>0</v>
      </c>
      <c r="N4366" s="18">
        <f>0.014*L4366</f>
        <v>0</v>
      </c>
      <c r="O4366" s="20">
        <f>0.0003*L4366</f>
        <v>0</v>
      </c>
      <c r="P4366" s="24" t="s">
        <v>26</v>
      </c>
      <c r="Q4366" s="15" t="s">
        <v>14462</v>
      </c>
      <c r="R4366" s="15"/>
      <c r="S4366" s="10" t="str">
        <f>HYPERLINK("https://miland.ru/api/getInfo/image/56242977-21d6-11f1-a290-00155d82e908")</f>
        <v>https://miland.ru/api/getInfo/image/56242977-21d6-11f1-a290-00155d82e908</v>
      </c>
    </row>
    <row r="4367" spans="1:19" s="2" customFormat="1" ht="96.2" customHeight="1" outlineLevel="6">
      <c r="A4367" s="52">
        <v>3441</v>
      </c>
      <c r="B4367" s="26" t="s">
        <v>14463</v>
      </c>
      <c r="C4367" s="66" t="s">
        <v>14464</v>
      </c>
      <c r="D4367" s="66"/>
      <c r="E4367" s="66"/>
      <c r="F4367" s="66"/>
      <c r="G4367" s="27" t="s">
        <v>14465</v>
      </c>
      <c r="H4367" s="28" t="s">
        <v>44</v>
      </c>
      <c r="I4367" s="29"/>
      <c r="J4367" s="25">
        <v>25</v>
      </c>
      <c r="K4367" s="30">
        <v>17.190000000000001</v>
      </c>
      <c r="L4367" s="17"/>
      <c r="M4367" s="29">
        <f>K4367*L4367</f>
        <v>0</v>
      </c>
      <c r="N4367" s="31">
        <f>0.017*L4367</f>
        <v>0</v>
      </c>
      <c r="O4367" s="32">
        <f>0.00065*L4367</f>
        <v>0</v>
      </c>
      <c r="P4367" s="36"/>
      <c r="Q4367" s="29" t="s">
        <v>14466</v>
      </c>
      <c r="R4367" s="29"/>
      <c r="S4367" s="26" t="str">
        <f>HYPERLINK("https://miland.ru/api/getInfo/image/3c6dcf7d-2e9e-11ed-a216-ac1f6b442185")</f>
        <v>https://miland.ru/api/getInfo/image/3c6dcf7d-2e9e-11ed-a216-ac1f6b442185</v>
      </c>
    </row>
    <row r="4368" spans="1:19" s="1" customFormat="1" ht="12" customHeight="1" outlineLevel="5">
      <c r="A4368" s="64" t="s">
        <v>14467</v>
      </c>
      <c r="B4368" s="64"/>
      <c r="C4368" s="64"/>
      <c r="D4368" s="64"/>
      <c r="E4368" s="64"/>
      <c r="F4368" s="64"/>
      <c r="G4368" s="8"/>
      <c r="H4368" s="12"/>
      <c r="I4368" s="2"/>
      <c r="J4368" s="2"/>
      <c r="K4368" s="13"/>
      <c r="L4368" s="2"/>
      <c r="M4368" s="2"/>
      <c r="N4368" s="2"/>
      <c r="O4368" s="2"/>
      <c r="P4368" s="2"/>
      <c r="Q4368" s="2"/>
      <c r="R4368" s="2"/>
      <c r="S4368" s="2"/>
    </row>
    <row r="4369" spans="1:19" s="2" customFormat="1" ht="96.2" customHeight="1" outlineLevel="6">
      <c r="A4369" s="52">
        <v>3442</v>
      </c>
      <c r="B4369" s="26" t="s">
        <v>14468</v>
      </c>
      <c r="C4369" s="66" t="s">
        <v>14469</v>
      </c>
      <c r="D4369" s="66"/>
      <c r="E4369" s="66"/>
      <c r="F4369" s="66"/>
      <c r="G4369" s="27" t="s">
        <v>14470</v>
      </c>
      <c r="H4369" s="33">
        <v>300</v>
      </c>
      <c r="I4369" s="29"/>
      <c r="J4369" s="25">
        <v>50</v>
      </c>
      <c r="K4369" s="30">
        <v>11.31</v>
      </c>
      <c r="L4369" s="17"/>
      <c r="M4369" s="29">
        <f>K4369*L4369</f>
        <v>0</v>
      </c>
      <c r="N4369" s="31">
        <f>0.016*L4369</f>
        <v>0</v>
      </c>
      <c r="O4369" s="32">
        <f>0.00053*L4369</f>
        <v>0</v>
      </c>
      <c r="P4369" s="36"/>
      <c r="Q4369" s="29" t="s">
        <v>14471</v>
      </c>
      <c r="R4369" s="29"/>
      <c r="S4369" s="26" t="str">
        <f>HYPERLINK("https://miland.ru/api/getInfo/image/d98a9565-1ef2-11e9-a21c-ac1f6b442184")</f>
        <v>https://miland.ru/api/getInfo/image/d98a9565-1ef2-11e9-a21c-ac1f6b442184</v>
      </c>
    </row>
    <row r="4370" spans="1:19" s="1" customFormat="1" ht="12" customHeight="1" outlineLevel="5">
      <c r="A4370" s="64" t="s">
        <v>14472</v>
      </c>
      <c r="B4370" s="64"/>
      <c r="C4370" s="64"/>
      <c r="D4370" s="64"/>
      <c r="E4370" s="64"/>
      <c r="F4370" s="64"/>
      <c r="G4370" s="8"/>
      <c r="H4370" s="12"/>
      <c r="I4370" s="2"/>
      <c r="J4370" s="2"/>
      <c r="K4370" s="13"/>
      <c r="L4370" s="2"/>
      <c r="M4370" s="2"/>
      <c r="N4370" s="2"/>
      <c r="O4370" s="2"/>
      <c r="P4370" s="2"/>
      <c r="Q4370" s="2"/>
      <c r="R4370" s="2"/>
      <c r="S4370" s="2"/>
    </row>
    <row r="4371" spans="1:19" s="2" customFormat="1" ht="96.2" customHeight="1" outlineLevel="6">
      <c r="A4371" s="52">
        <v>3443</v>
      </c>
      <c r="B4371" s="26" t="s">
        <v>14473</v>
      </c>
      <c r="C4371" s="66" t="s">
        <v>14474</v>
      </c>
      <c r="D4371" s="66"/>
      <c r="E4371" s="66"/>
      <c r="F4371" s="66"/>
      <c r="G4371" s="27" t="s">
        <v>14475</v>
      </c>
      <c r="H4371" s="28" t="s">
        <v>44</v>
      </c>
      <c r="I4371" s="29"/>
      <c r="J4371" s="25">
        <v>50</v>
      </c>
      <c r="K4371" s="30">
        <v>36.64</v>
      </c>
      <c r="L4371" s="17"/>
      <c r="M4371" s="29">
        <f>K4371*L4371</f>
        <v>0</v>
      </c>
      <c r="N4371" s="34">
        <f>0.03*L4371</f>
        <v>0</v>
      </c>
      <c r="O4371" s="32">
        <f>0.00074*L4371</f>
        <v>0</v>
      </c>
      <c r="P4371" s="36"/>
      <c r="Q4371" s="29" t="s">
        <v>14476</v>
      </c>
      <c r="R4371" s="29"/>
      <c r="S4371" s="26" t="str">
        <f>HYPERLINK("https://miland.ru/api/getInfo/image/67a006d2-a02b-11ef-a267-00155d82e908")</f>
        <v>https://miland.ru/api/getInfo/image/67a006d2-a02b-11ef-a267-00155d82e908</v>
      </c>
    </row>
    <row r="4372" spans="1:19" s="1" customFormat="1" ht="12" customHeight="1" outlineLevel="5">
      <c r="A4372" s="64" t="s">
        <v>14398</v>
      </c>
      <c r="B4372" s="64"/>
      <c r="C4372" s="64"/>
      <c r="D4372" s="64"/>
      <c r="E4372" s="64"/>
      <c r="F4372" s="64"/>
      <c r="G4372" s="8"/>
      <c r="H4372" s="12"/>
      <c r="I4372" s="2"/>
      <c r="J4372" s="2"/>
      <c r="K4372" s="13"/>
      <c r="L4372" s="2"/>
      <c r="M4372" s="2"/>
      <c r="N4372" s="2"/>
      <c r="O4372" s="2"/>
      <c r="P4372" s="2"/>
      <c r="Q4372" s="2"/>
      <c r="R4372" s="2"/>
      <c r="S4372" s="2"/>
    </row>
    <row r="4373" spans="1:19" s="2" customFormat="1" ht="96.2" customHeight="1" outlineLevel="6">
      <c r="A4373" s="52">
        <v>3444</v>
      </c>
      <c r="B4373" s="26" t="s">
        <v>14477</v>
      </c>
      <c r="C4373" s="66" t="s">
        <v>14478</v>
      </c>
      <c r="D4373" s="66"/>
      <c r="E4373" s="66"/>
      <c r="F4373" s="66"/>
      <c r="G4373" s="27" t="s">
        <v>14479</v>
      </c>
      <c r="H4373" s="33">
        <v>475</v>
      </c>
      <c r="I4373" s="29"/>
      <c r="J4373" s="25">
        <v>50</v>
      </c>
      <c r="K4373" s="30">
        <v>35.64</v>
      </c>
      <c r="L4373" s="17"/>
      <c r="M4373" s="29">
        <f>K4373*L4373</f>
        <v>0</v>
      </c>
      <c r="N4373" s="31">
        <f>0.029*L4373</f>
        <v>0</v>
      </c>
      <c r="O4373" s="32">
        <f>0.01397*L4373</f>
        <v>0</v>
      </c>
      <c r="P4373" s="36"/>
      <c r="Q4373" s="29" t="s">
        <v>14480</v>
      </c>
      <c r="R4373" s="29"/>
      <c r="S4373" s="26" t="str">
        <f>HYPERLINK("https://miland.ru/api/getInfo/image/3c2c152c-1474-11f0-a279-00155d82e908")</f>
        <v>https://miland.ru/api/getInfo/image/3c2c152c-1474-11f0-a279-00155d82e908</v>
      </c>
    </row>
    <row r="4374" spans="1:19" s="2" customFormat="1" ht="96.2" customHeight="1" outlineLevel="6">
      <c r="A4374" s="53">
        <v>3445</v>
      </c>
      <c r="B4374" s="10" t="s">
        <v>14481</v>
      </c>
      <c r="C4374" s="65" t="s">
        <v>14482</v>
      </c>
      <c r="D4374" s="65"/>
      <c r="E4374" s="65"/>
      <c r="F4374" s="65"/>
      <c r="G4374" s="11" t="s">
        <v>14483</v>
      </c>
      <c r="H4374" s="21" t="s">
        <v>44</v>
      </c>
      <c r="I4374" s="15"/>
      <c r="J4374" s="9">
        <v>25</v>
      </c>
      <c r="K4374" s="16">
        <v>35.64</v>
      </c>
      <c r="L4374" s="17"/>
      <c r="M4374" s="15">
        <f>K4374*L4374</f>
        <v>0</v>
      </c>
      <c r="N4374" s="18">
        <f>0.006*L4374</f>
        <v>0</v>
      </c>
      <c r="O4374" s="19">
        <f>0.00122*L4374</f>
        <v>0</v>
      </c>
      <c r="P4374" s="24" t="s">
        <v>26</v>
      </c>
      <c r="Q4374" s="15" t="s">
        <v>14484</v>
      </c>
      <c r="R4374" s="15"/>
      <c r="S4374" s="10" t="str">
        <f>HYPERLINK("https://miland.ru/api/getInfo/image/784e38d7-c188-11f1-a2a0-00155d82e908")</f>
        <v>https://miland.ru/api/getInfo/image/784e38d7-c188-11f1-a2a0-00155d82e908</v>
      </c>
    </row>
    <row r="4375" spans="1:19" s="2" customFormat="1" ht="96.2" customHeight="1" outlineLevel="6">
      <c r="A4375" s="53">
        <v>3446</v>
      </c>
      <c r="B4375" s="10" t="s">
        <v>14485</v>
      </c>
      <c r="C4375" s="65" t="s">
        <v>14486</v>
      </c>
      <c r="D4375" s="65"/>
      <c r="E4375" s="65"/>
      <c r="F4375" s="65"/>
      <c r="G4375" s="11" t="s">
        <v>14487</v>
      </c>
      <c r="H4375" s="21" t="s">
        <v>44</v>
      </c>
      <c r="I4375" s="15"/>
      <c r="J4375" s="9">
        <v>50</v>
      </c>
      <c r="K4375" s="16">
        <v>15.68</v>
      </c>
      <c r="L4375" s="17"/>
      <c r="M4375" s="15">
        <f>K4375*L4375</f>
        <v>0</v>
      </c>
      <c r="N4375" s="18">
        <f>0.022*L4375</f>
        <v>0</v>
      </c>
      <c r="O4375" s="20">
        <f>0.0002*L4375</f>
        <v>0</v>
      </c>
      <c r="P4375" s="24" t="s">
        <v>26</v>
      </c>
      <c r="Q4375" s="15" t="s">
        <v>14488</v>
      </c>
      <c r="R4375" s="15"/>
      <c r="S4375" s="10" t="str">
        <f>HYPERLINK("https://miland.ru/api/getInfo/image/45332125-b35d-11f1-a29f-00155d82e908")</f>
        <v>https://miland.ru/api/getInfo/image/45332125-b35d-11f1-a29f-00155d82e908</v>
      </c>
    </row>
    <row r="4376" spans="1:19" s="1" customFormat="1" ht="12" customHeight="1" outlineLevel="4">
      <c r="A4376" s="64" t="s">
        <v>14489</v>
      </c>
      <c r="B4376" s="64"/>
      <c r="C4376" s="64"/>
      <c r="D4376" s="64"/>
      <c r="E4376" s="64"/>
      <c r="F4376" s="64"/>
      <c r="G4376" s="8"/>
      <c r="H4376" s="12"/>
      <c r="I4376" s="2"/>
      <c r="J4376" s="2"/>
      <c r="K4376" s="13"/>
      <c r="L4376" s="2"/>
      <c r="M4376" s="2"/>
      <c r="N4376" s="2"/>
      <c r="O4376" s="2"/>
      <c r="P4376" s="2"/>
      <c r="Q4376" s="2"/>
      <c r="R4376" s="2"/>
      <c r="S4376" s="2"/>
    </row>
    <row r="4377" spans="1:19" s="1" customFormat="1" ht="12" customHeight="1" outlineLevel="5">
      <c r="A4377" s="64" t="s">
        <v>8750</v>
      </c>
      <c r="B4377" s="64"/>
      <c r="C4377" s="64"/>
      <c r="D4377" s="64"/>
      <c r="E4377" s="64"/>
      <c r="F4377" s="64"/>
      <c r="G4377" s="8"/>
      <c r="H4377" s="12"/>
      <c r="I4377" s="2"/>
      <c r="J4377" s="2"/>
      <c r="K4377" s="13"/>
      <c r="L4377" s="2"/>
      <c r="M4377" s="2"/>
      <c r="N4377" s="2"/>
      <c r="O4377" s="2"/>
      <c r="P4377" s="2"/>
      <c r="Q4377" s="2"/>
      <c r="R4377" s="2"/>
      <c r="S4377" s="2"/>
    </row>
    <row r="4378" spans="1:19" s="2" customFormat="1" ht="96.2" customHeight="1" outlineLevel="6">
      <c r="A4378" s="52">
        <v>3447</v>
      </c>
      <c r="B4378" s="26" t="s">
        <v>14490</v>
      </c>
      <c r="C4378" s="66" t="s">
        <v>14491</v>
      </c>
      <c r="D4378" s="66"/>
      <c r="E4378" s="66"/>
      <c r="F4378" s="66"/>
      <c r="G4378" s="27" t="s">
        <v>14492</v>
      </c>
      <c r="H4378" s="33">
        <v>10</v>
      </c>
      <c r="I4378" s="29"/>
      <c r="J4378" s="25">
        <v>10</v>
      </c>
      <c r="K4378" s="30">
        <v>49.8</v>
      </c>
      <c r="L4378" s="17"/>
      <c r="M4378" s="29">
        <f t="shared" ref="M4378:M4384" si="207">K4378*L4378</f>
        <v>0</v>
      </c>
      <c r="N4378" s="31">
        <f>0.035*L4378</f>
        <v>0</v>
      </c>
      <c r="O4378" s="32">
        <f>0.00039*L4378</f>
        <v>0</v>
      </c>
      <c r="P4378" s="36"/>
      <c r="Q4378" s="29" t="s">
        <v>14493</v>
      </c>
      <c r="R4378" s="29"/>
      <c r="S4378" s="26" t="str">
        <f>HYPERLINK("https://miland.ru/api/getInfo/image/618c5827-92a7-11ef-a265-00155d82e908")</f>
        <v>https://miland.ru/api/getInfo/image/618c5827-92a7-11ef-a265-00155d82e908</v>
      </c>
    </row>
    <row r="4379" spans="1:19" s="2" customFormat="1" ht="96.2" customHeight="1" outlineLevel="6">
      <c r="A4379" s="52">
        <v>3448</v>
      </c>
      <c r="B4379" s="26" t="s">
        <v>14494</v>
      </c>
      <c r="C4379" s="66" t="s">
        <v>14495</v>
      </c>
      <c r="D4379" s="66"/>
      <c r="E4379" s="66"/>
      <c r="F4379" s="66"/>
      <c r="G4379" s="27" t="s">
        <v>14496</v>
      </c>
      <c r="H4379" s="33">
        <v>10</v>
      </c>
      <c r="I4379" s="29"/>
      <c r="J4379" s="25">
        <v>10</v>
      </c>
      <c r="K4379" s="30">
        <v>49.8</v>
      </c>
      <c r="L4379" s="17"/>
      <c r="M4379" s="29">
        <f t="shared" si="207"/>
        <v>0</v>
      </c>
      <c r="N4379" s="31">
        <f>0.035*L4379</f>
        <v>0</v>
      </c>
      <c r="O4379" s="32">
        <f>0.00067*L4379</f>
        <v>0</v>
      </c>
      <c r="P4379" s="36"/>
      <c r="Q4379" s="29" t="s">
        <v>14497</v>
      </c>
      <c r="R4379" s="29"/>
      <c r="S4379" s="26" t="str">
        <f>HYPERLINK("https://miland.ru/api/getInfo/image/e63ffc30-92a7-11ef-a265-00155d82e908")</f>
        <v>https://miland.ru/api/getInfo/image/e63ffc30-92a7-11ef-a265-00155d82e908</v>
      </c>
    </row>
    <row r="4380" spans="1:19" s="2" customFormat="1" ht="96.2" customHeight="1" outlineLevel="6">
      <c r="A4380" s="53">
        <v>3449</v>
      </c>
      <c r="B4380" s="10" t="s">
        <v>14498</v>
      </c>
      <c r="C4380" s="65" t="s">
        <v>14499</v>
      </c>
      <c r="D4380" s="65"/>
      <c r="E4380" s="65"/>
      <c r="F4380" s="65"/>
      <c r="G4380" s="11" t="s">
        <v>14500</v>
      </c>
      <c r="H4380" s="14">
        <v>400</v>
      </c>
      <c r="I4380" s="15"/>
      <c r="J4380" s="9">
        <v>10</v>
      </c>
      <c r="K4380" s="16">
        <v>49.8</v>
      </c>
      <c r="L4380" s="17"/>
      <c r="M4380" s="15">
        <f t="shared" si="207"/>
        <v>0</v>
      </c>
      <c r="N4380" s="18">
        <f>0.033*L4380</f>
        <v>0</v>
      </c>
      <c r="O4380" s="15">
        <v>0</v>
      </c>
      <c r="P4380" s="24" t="s">
        <v>26</v>
      </c>
      <c r="Q4380" s="15" t="s">
        <v>14501</v>
      </c>
      <c r="R4380" s="15"/>
      <c r="S4380" s="10" t="str">
        <f>HYPERLINK("https://miland.ru/api/getInfo/image/9eee2d28-c188-11f1-a2a0-00155d82e908")</f>
        <v>https://miland.ru/api/getInfo/image/9eee2d28-c188-11f1-a2a0-00155d82e908</v>
      </c>
    </row>
    <row r="4381" spans="1:19" s="2" customFormat="1" ht="96.2" customHeight="1" outlineLevel="6">
      <c r="A4381" s="52">
        <v>3450</v>
      </c>
      <c r="B4381" s="26" t="s">
        <v>14502</v>
      </c>
      <c r="C4381" s="66" t="s">
        <v>14503</v>
      </c>
      <c r="D4381" s="66"/>
      <c r="E4381" s="66"/>
      <c r="F4381" s="66"/>
      <c r="G4381" s="27" t="s">
        <v>14504</v>
      </c>
      <c r="H4381" s="33">
        <v>280</v>
      </c>
      <c r="I4381" s="29"/>
      <c r="J4381" s="25">
        <v>10</v>
      </c>
      <c r="K4381" s="30">
        <v>45.79</v>
      </c>
      <c r="L4381" s="17"/>
      <c r="M4381" s="29">
        <f t="shared" si="207"/>
        <v>0</v>
      </c>
      <c r="N4381" s="31">
        <f>0.035*L4381</f>
        <v>0</v>
      </c>
      <c r="O4381" s="32">
        <f>0.00039*L4381</f>
        <v>0</v>
      </c>
      <c r="P4381" s="36"/>
      <c r="Q4381" s="29" t="s">
        <v>14505</v>
      </c>
      <c r="R4381" s="29"/>
      <c r="S4381" s="26" t="str">
        <f>HYPERLINK("https://miland.ru/api/getInfo/image/f6cf7d49-b988-11ed-a230-00155d82e902")</f>
        <v>https://miland.ru/api/getInfo/image/f6cf7d49-b988-11ed-a230-00155d82e902</v>
      </c>
    </row>
    <row r="4382" spans="1:19" s="2" customFormat="1" ht="96.2" customHeight="1" outlineLevel="6">
      <c r="A4382" s="52">
        <v>3451</v>
      </c>
      <c r="B4382" s="26" t="s">
        <v>14506</v>
      </c>
      <c r="C4382" s="66" t="s">
        <v>14507</v>
      </c>
      <c r="D4382" s="66"/>
      <c r="E4382" s="66"/>
      <c r="F4382" s="66"/>
      <c r="G4382" s="27" t="s">
        <v>14508</v>
      </c>
      <c r="H4382" s="33">
        <v>180</v>
      </c>
      <c r="I4382" s="29"/>
      <c r="J4382" s="25">
        <v>10</v>
      </c>
      <c r="K4382" s="30">
        <v>49.8</v>
      </c>
      <c r="L4382" s="17"/>
      <c r="M4382" s="29">
        <f t="shared" si="207"/>
        <v>0</v>
      </c>
      <c r="N4382" s="31">
        <f>0.032*L4382</f>
        <v>0</v>
      </c>
      <c r="O4382" s="32">
        <f>0.00066*L4382</f>
        <v>0</v>
      </c>
      <c r="P4382" s="36"/>
      <c r="Q4382" s="29" t="s">
        <v>14509</v>
      </c>
      <c r="R4382" s="29"/>
      <c r="S4382" s="26" t="str">
        <f>HYPERLINK("https://miland.ru/api/getInfo/image/35b155d8-92a8-11ef-a265-00155d82e908")</f>
        <v>https://miland.ru/api/getInfo/image/35b155d8-92a8-11ef-a265-00155d82e908</v>
      </c>
    </row>
    <row r="4383" spans="1:19" s="2" customFormat="1" ht="96.2" customHeight="1" outlineLevel="6">
      <c r="A4383" s="52">
        <v>3452</v>
      </c>
      <c r="B4383" s="26" t="s">
        <v>14510</v>
      </c>
      <c r="C4383" s="66" t="s">
        <v>14511</v>
      </c>
      <c r="D4383" s="66"/>
      <c r="E4383" s="66"/>
      <c r="F4383" s="66"/>
      <c r="G4383" s="27" t="s">
        <v>14512</v>
      </c>
      <c r="H4383" s="28" t="s">
        <v>44</v>
      </c>
      <c r="I4383" s="29"/>
      <c r="J4383" s="25">
        <v>10</v>
      </c>
      <c r="K4383" s="30">
        <v>45.79</v>
      </c>
      <c r="L4383" s="17"/>
      <c r="M4383" s="29">
        <f t="shared" si="207"/>
        <v>0</v>
      </c>
      <c r="N4383" s="31">
        <f>0.036*L4383</f>
        <v>0</v>
      </c>
      <c r="O4383" s="32">
        <f>0.00039*L4383</f>
        <v>0</v>
      </c>
      <c r="P4383" s="36"/>
      <c r="Q4383" s="29" t="s">
        <v>14513</v>
      </c>
      <c r="R4383" s="29"/>
      <c r="S4383" s="26" t="str">
        <f>HYPERLINK("https://miland.ru/api/getInfo/image/71d5a404-1471-11f0-a279-00155d82e908")</f>
        <v>https://miland.ru/api/getInfo/image/71d5a404-1471-11f0-a279-00155d82e908</v>
      </c>
    </row>
    <row r="4384" spans="1:19" s="2" customFormat="1" ht="96.2" customHeight="1" outlineLevel="6">
      <c r="A4384" s="52">
        <v>3453</v>
      </c>
      <c r="B4384" s="26" t="s">
        <v>14514</v>
      </c>
      <c r="C4384" s="66" t="s">
        <v>14515</v>
      </c>
      <c r="D4384" s="66"/>
      <c r="E4384" s="66"/>
      <c r="F4384" s="66"/>
      <c r="G4384" s="27" t="s">
        <v>14516</v>
      </c>
      <c r="H4384" s="33">
        <v>380</v>
      </c>
      <c r="I4384" s="29"/>
      <c r="J4384" s="25">
        <v>10</v>
      </c>
      <c r="K4384" s="30">
        <v>49.8</v>
      </c>
      <c r="L4384" s="17"/>
      <c r="M4384" s="29">
        <f t="shared" si="207"/>
        <v>0</v>
      </c>
      <c r="N4384" s="31">
        <f>0.036*L4384</f>
        <v>0</v>
      </c>
      <c r="O4384" s="32">
        <f>0.00052*L4384</f>
        <v>0</v>
      </c>
      <c r="P4384" s="36"/>
      <c r="Q4384" s="29" t="s">
        <v>14517</v>
      </c>
      <c r="R4384" s="29"/>
      <c r="S4384" s="26" t="str">
        <f>HYPERLINK("https://miland.ru/api/getInfo/image/3b53f268-1aa1-11f0-a279-00155d82e908")</f>
        <v>https://miland.ru/api/getInfo/image/3b53f268-1aa1-11f0-a279-00155d82e908</v>
      </c>
    </row>
    <row r="4385" spans="1:19" s="1" customFormat="1" ht="12" customHeight="1" outlineLevel="5">
      <c r="A4385" s="64" t="s">
        <v>14467</v>
      </c>
      <c r="B4385" s="64"/>
      <c r="C4385" s="64"/>
      <c r="D4385" s="64"/>
      <c r="E4385" s="64"/>
      <c r="F4385" s="64"/>
      <c r="G4385" s="8"/>
      <c r="H4385" s="12"/>
      <c r="I4385" s="2"/>
      <c r="J4385" s="2"/>
      <c r="K4385" s="13"/>
      <c r="L4385" s="2"/>
      <c r="M4385" s="2"/>
      <c r="N4385" s="2"/>
      <c r="O4385" s="2"/>
      <c r="P4385" s="2"/>
      <c r="Q4385" s="2"/>
      <c r="R4385" s="2"/>
      <c r="S4385" s="2"/>
    </row>
    <row r="4386" spans="1:19" s="2" customFormat="1" ht="96.2" customHeight="1" outlineLevel="6">
      <c r="A4386" s="52">
        <v>3454</v>
      </c>
      <c r="B4386" s="26" t="s">
        <v>14518</v>
      </c>
      <c r="C4386" s="66" t="s">
        <v>14519</v>
      </c>
      <c r="D4386" s="66"/>
      <c r="E4386" s="66"/>
      <c r="F4386" s="66"/>
      <c r="G4386" s="27" t="s">
        <v>14520</v>
      </c>
      <c r="H4386" s="33">
        <v>300</v>
      </c>
      <c r="I4386" s="29"/>
      <c r="J4386" s="25">
        <v>10</v>
      </c>
      <c r="K4386" s="30">
        <v>51.53</v>
      </c>
      <c r="L4386" s="17"/>
      <c r="M4386" s="29">
        <f t="shared" ref="M4386:M4391" si="208">K4386*L4386</f>
        <v>0</v>
      </c>
      <c r="N4386" s="34">
        <f>0.04*L4386</f>
        <v>0</v>
      </c>
      <c r="O4386" s="32">
        <f>0.00068*L4386</f>
        <v>0</v>
      </c>
      <c r="P4386" s="36"/>
      <c r="Q4386" s="29" t="s">
        <v>14521</v>
      </c>
      <c r="R4386" s="29"/>
      <c r="S4386" s="26" t="str">
        <f>HYPERLINK("https://miland.ru/api/getInfo/image/6c4717e2-0e79-11ed-a215-ac1f6b442185")</f>
        <v>https://miland.ru/api/getInfo/image/6c4717e2-0e79-11ed-a215-ac1f6b442185</v>
      </c>
    </row>
    <row r="4387" spans="1:19" s="2" customFormat="1" ht="96.2" customHeight="1" outlineLevel="6">
      <c r="A4387" s="53">
        <v>3455</v>
      </c>
      <c r="B4387" s="10" t="s">
        <v>14522</v>
      </c>
      <c r="C4387" s="65" t="s">
        <v>14523</v>
      </c>
      <c r="D4387" s="65"/>
      <c r="E4387" s="65"/>
      <c r="F4387" s="65"/>
      <c r="G4387" s="11" t="s">
        <v>14524</v>
      </c>
      <c r="H4387" s="14">
        <v>110</v>
      </c>
      <c r="I4387" s="15"/>
      <c r="J4387" s="9">
        <v>5</v>
      </c>
      <c r="K4387" s="16">
        <v>52.69</v>
      </c>
      <c r="L4387" s="17"/>
      <c r="M4387" s="15">
        <f t="shared" si="208"/>
        <v>0</v>
      </c>
      <c r="N4387" s="18">
        <f>0.041*L4387</f>
        <v>0</v>
      </c>
      <c r="O4387" s="19">
        <f>0.00051*L4387</f>
        <v>0</v>
      </c>
      <c r="P4387" s="24" t="s">
        <v>26</v>
      </c>
      <c r="Q4387" s="15" t="s">
        <v>14525</v>
      </c>
      <c r="R4387" s="15"/>
      <c r="S4387" s="10" t="str">
        <f>HYPERLINK("https://miland.ru/api/getInfo/image/a6b03bef-c18e-11f1-a2a0-00155d82e908")</f>
        <v>https://miland.ru/api/getInfo/image/a6b03bef-c18e-11f1-a2a0-00155d82e908</v>
      </c>
    </row>
    <row r="4388" spans="1:19" s="2" customFormat="1" ht="96.2" customHeight="1" outlineLevel="6">
      <c r="A4388" s="52">
        <v>3456</v>
      </c>
      <c r="B4388" s="26" t="s">
        <v>14526</v>
      </c>
      <c r="C4388" s="66" t="s">
        <v>14527</v>
      </c>
      <c r="D4388" s="66"/>
      <c r="E4388" s="66"/>
      <c r="F4388" s="66"/>
      <c r="G4388" s="27" t="s">
        <v>14528</v>
      </c>
      <c r="H4388" s="33">
        <v>160</v>
      </c>
      <c r="I4388" s="29"/>
      <c r="J4388" s="25">
        <v>10</v>
      </c>
      <c r="K4388" s="30">
        <v>51.53</v>
      </c>
      <c r="L4388" s="17"/>
      <c r="M4388" s="29">
        <f t="shared" si="208"/>
        <v>0</v>
      </c>
      <c r="N4388" s="31">
        <f>0.038*L4388</f>
        <v>0</v>
      </c>
      <c r="O4388" s="32">
        <f>0.00086*L4388</f>
        <v>0</v>
      </c>
      <c r="P4388" s="36"/>
      <c r="Q4388" s="29" t="s">
        <v>14529</v>
      </c>
      <c r="R4388" s="29"/>
      <c r="S4388" s="26" t="str">
        <f>HYPERLINK("https://miland.ru/api/getInfo/image/e72df725-457c-11ee-a243-00155d82e902")</f>
        <v>https://miland.ru/api/getInfo/image/e72df725-457c-11ee-a243-00155d82e902</v>
      </c>
    </row>
    <row r="4389" spans="1:19" s="2" customFormat="1" ht="96.2" customHeight="1" outlineLevel="6">
      <c r="A4389" s="53">
        <v>3457</v>
      </c>
      <c r="B4389" s="10" t="s">
        <v>14530</v>
      </c>
      <c r="C4389" s="65" t="s">
        <v>14531</v>
      </c>
      <c r="D4389" s="65"/>
      <c r="E4389" s="65"/>
      <c r="F4389" s="65"/>
      <c r="G4389" s="11" t="s">
        <v>14532</v>
      </c>
      <c r="H4389" s="14">
        <v>200</v>
      </c>
      <c r="I4389" s="15"/>
      <c r="J4389" s="9">
        <v>5</v>
      </c>
      <c r="K4389" s="16">
        <v>52.69</v>
      </c>
      <c r="L4389" s="17"/>
      <c r="M4389" s="15">
        <f t="shared" si="208"/>
        <v>0</v>
      </c>
      <c r="N4389" s="18">
        <f>0.038*L4389</f>
        <v>0</v>
      </c>
      <c r="O4389" s="19">
        <f>0.00513*L4389</f>
        <v>0</v>
      </c>
      <c r="P4389" s="24" t="s">
        <v>26</v>
      </c>
      <c r="Q4389" s="15" t="s">
        <v>14533</v>
      </c>
      <c r="R4389" s="15"/>
      <c r="S4389" s="10" t="str">
        <f>HYPERLINK("https://miland.ru/api/getInfo/image/1aad46a6-c20b-11f1-a2a0-00155d82e908")</f>
        <v>https://miland.ru/api/getInfo/image/1aad46a6-c20b-11f1-a2a0-00155d82e908</v>
      </c>
    </row>
    <row r="4390" spans="1:19" s="2" customFormat="1" ht="96.2" customHeight="1" outlineLevel="6">
      <c r="A4390" s="52">
        <v>3458</v>
      </c>
      <c r="B4390" s="26" t="s">
        <v>14534</v>
      </c>
      <c r="C4390" s="66" t="s">
        <v>14535</v>
      </c>
      <c r="D4390" s="66"/>
      <c r="E4390" s="66"/>
      <c r="F4390" s="66"/>
      <c r="G4390" s="27" t="s">
        <v>14536</v>
      </c>
      <c r="H4390" s="33">
        <v>300</v>
      </c>
      <c r="I4390" s="29"/>
      <c r="J4390" s="25">
        <v>5</v>
      </c>
      <c r="K4390" s="30">
        <v>58.08</v>
      </c>
      <c r="L4390" s="17"/>
      <c r="M4390" s="29">
        <f t="shared" si="208"/>
        <v>0</v>
      </c>
      <c r="N4390" s="31">
        <f>0.049*L4390</f>
        <v>0</v>
      </c>
      <c r="O4390" s="32">
        <f>0.00175*L4390</f>
        <v>0</v>
      </c>
      <c r="P4390" s="36"/>
      <c r="Q4390" s="29" t="s">
        <v>14537</v>
      </c>
      <c r="R4390" s="29"/>
      <c r="S4390" s="26" t="str">
        <f>HYPERLINK("https://miland.ru/api/getInfo/image/a87b131d-1aa0-11f0-a279-00155d82e908")</f>
        <v>https://miland.ru/api/getInfo/image/a87b131d-1aa0-11f0-a279-00155d82e908</v>
      </c>
    </row>
    <row r="4391" spans="1:19" s="2" customFormat="1" ht="96.2" customHeight="1" outlineLevel="6">
      <c r="A4391" s="52">
        <v>3459</v>
      </c>
      <c r="B4391" s="26" t="s">
        <v>14538</v>
      </c>
      <c r="C4391" s="66" t="s">
        <v>14539</v>
      </c>
      <c r="D4391" s="66"/>
      <c r="E4391" s="66"/>
      <c r="F4391" s="66"/>
      <c r="G4391" s="27" t="s">
        <v>14540</v>
      </c>
      <c r="H4391" s="33">
        <v>420</v>
      </c>
      <c r="I4391" s="29"/>
      <c r="J4391" s="25">
        <v>5</v>
      </c>
      <c r="K4391" s="30">
        <v>58.08</v>
      </c>
      <c r="L4391" s="17"/>
      <c r="M4391" s="29">
        <f t="shared" si="208"/>
        <v>0</v>
      </c>
      <c r="N4391" s="31">
        <f>0.048*L4391</f>
        <v>0</v>
      </c>
      <c r="O4391" s="32">
        <f>0.00138*L4391</f>
        <v>0</v>
      </c>
      <c r="P4391" s="36"/>
      <c r="Q4391" s="29" t="s">
        <v>14541</v>
      </c>
      <c r="R4391" s="29"/>
      <c r="S4391" s="26" t="str">
        <f>HYPERLINK("https://miland.ru/api/getInfo/image/5ee7b3da-1472-11f0-a279-00155d82e908")</f>
        <v>https://miland.ru/api/getInfo/image/5ee7b3da-1472-11f0-a279-00155d82e908</v>
      </c>
    </row>
    <row r="4392" spans="1:19" s="1" customFormat="1" ht="12" customHeight="1" outlineLevel="4">
      <c r="A4392" s="64" t="s">
        <v>14542</v>
      </c>
      <c r="B4392" s="64"/>
      <c r="C4392" s="64"/>
      <c r="D4392" s="64"/>
      <c r="E4392" s="64"/>
      <c r="F4392" s="64"/>
      <c r="G4392" s="8"/>
      <c r="H4392" s="12"/>
      <c r="I4392" s="2"/>
      <c r="J4392" s="2"/>
      <c r="K4392" s="13"/>
      <c r="L4392" s="2"/>
      <c r="M4392" s="2"/>
      <c r="N4392" s="2"/>
      <c r="O4392" s="2"/>
      <c r="P4392" s="2"/>
      <c r="Q4392" s="2"/>
      <c r="R4392" s="2"/>
      <c r="S4392" s="2"/>
    </row>
    <row r="4393" spans="1:19" s="2" customFormat="1" ht="96.2" customHeight="1" outlineLevel="5">
      <c r="A4393" s="52">
        <v>3460</v>
      </c>
      <c r="B4393" s="26" t="s">
        <v>14543</v>
      </c>
      <c r="C4393" s="66" t="s">
        <v>14544</v>
      </c>
      <c r="D4393" s="66"/>
      <c r="E4393" s="66"/>
      <c r="F4393" s="66"/>
      <c r="G4393" s="27" t="s">
        <v>14545</v>
      </c>
      <c r="H4393" s="33">
        <v>250</v>
      </c>
      <c r="I4393" s="29"/>
      <c r="J4393" s="25">
        <v>50</v>
      </c>
      <c r="K4393" s="30">
        <v>23.59</v>
      </c>
      <c r="L4393" s="17"/>
      <c r="M4393" s="29">
        <f t="shared" ref="M4393:M4399" si="209">K4393*L4393</f>
        <v>0</v>
      </c>
      <c r="N4393" s="31">
        <f>0.038*L4393</f>
        <v>0</v>
      </c>
      <c r="O4393" s="32">
        <f>0.00075*L4393</f>
        <v>0</v>
      </c>
      <c r="P4393" s="36"/>
      <c r="Q4393" s="29" t="s">
        <v>14546</v>
      </c>
      <c r="R4393" s="29"/>
      <c r="S4393" s="26" t="str">
        <f>HYPERLINK("https://miland.ru/api/getInfo/image/2469ceff-1ef3-11e9-a21c-ac1f6b442184")</f>
        <v>https://miland.ru/api/getInfo/image/2469ceff-1ef3-11e9-a21c-ac1f6b442184</v>
      </c>
    </row>
    <row r="4394" spans="1:19" s="2" customFormat="1" ht="96.2" customHeight="1" outlineLevel="5">
      <c r="A4394" s="53">
        <v>3461</v>
      </c>
      <c r="B4394" s="10" t="s">
        <v>14547</v>
      </c>
      <c r="C4394" s="65" t="s">
        <v>14548</v>
      </c>
      <c r="D4394" s="65"/>
      <c r="E4394" s="65"/>
      <c r="F4394" s="65"/>
      <c r="G4394" s="11" t="s">
        <v>14549</v>
      </c>
      <c r="H4394" s="14">
        <v>175</v>
      </c>
      <c r="I4394" s="15"/>
      <c r="J4394" s="9">
        <v>25</v>
      </c>
      <c r="K4394" s="16">
        <v>86.42</v>
      </c>
      <c r="L4394" s="17"/>
      <c r="M4394" s="15">
        <f t="shared" si="209"/>
        <v>0</v>
      </c>
      <c r="N4394" s="18">
        <f>0.072*L4394</f>
        <v>0</v>
      </c>
      <c r="O4394" s="19">
        <f>0.00068*L4394</f>
        <v>0</v>
      </c>
      <c r="P4394" s="24" t="s">
        <v>26</v>
      </c>
      <c r="Q4394" s="15" t="s">
        <v>14550</v>
      </c>
      <c r="R4394" s="15"/>
      <c r="S4394" s="10" t="str">
        <f>HYPERLINK("https://miland.ru/api/getInfo/image/94f313ef-21dc-11f1-a290-00155d82e908")</f>
        <v>https://miland.ru/api/getInfo/image/94f313ef-21dc-11f1-a290-00155d82e908</v>
      </c>
    </row>
    <row r="4395" spans="1:19" s="2" customFormat="1" ht="96.2" customHeight="1" outlineLevel="5">
      <c r="A4395" s="53">
        <v>3462</v>
      </c>
      <c r="B4395" s="10" t="s">
        <v>14551</v>
      </c>
      <c r="C4395" s="65" t="s">
        <v>14552</v>
      </c>
      <c r="D4395" s="65"/>
      <c r="E4395" s="65"/>
      <c r="F4395" s="65"/>
      <c r="G4395" s="11" t="s">
        <v>14553</v>
      </c>
      <c r="H4395" s="14">
        <v>275</v>
      </c>
      <c r="I4395" s="15"/>
      <c r="J4395" s="9">
        <v>25</v>
      </c>
      <c r="K4395" s="16">
        <v>86.42</v>
      </c>
      <c r="L4395" s="17"/>
      <c r="M4395" s="15">
        <f t="shared" si="209"/>
        <v>0</v>
      </c>
      <c r="N4395" s="18">
        <f>0.075*L4395</f>
        <v>0</v>
      </c>
      <c r="O4395" s="19">
        <f>0.00209*L4395</f>
        <v>0</v>
      </c>
      <c r="P4395" s="24" t="s">
        <v>26</v>
      </c>
      <c r="Q4395" s="15" t="s">
        <v>14554</v>
      </c>
      <c r="R4395" s="15"/>
      <c r="S4395" s="10" t="str">
        <f>HYPERLINK("https://miland.ru/api/getInfo/image/53d27d51-21dd-11f1-a290-00155d82e908")</f>
        <v>https://miland.ru/api/getInfo/image/53d27d51-21dd-11f1-a290-00155d82e908</v>
      </c>
    </row>
    <row r="4396" spans="1:19" s="2" customFormat="1" ht="96.2" customHeight="1" outlineLevel="5">
      <c r="A4396" s="53">
        <v>3463</v>
      </c>
      <c r="B4396" s="10" t="s">
        <v>14555</v>
      </c>
      <c r="C4396" s="65" t="s">
        <v>14556</v>
      </c>
      <c r="D4396" s="65"/>
      <c r="E4396" s="65"/>
      <c r="F4396" s="65"/>
      <c r="G4396" s="11" t="s">
        <v>14557</v>
      </c>
      <c r="H4396" s="14">
        <v>250</v>
      </c>
      <c r="I4396" s="15"/>
      <c r="J4396" s="9">
        <v>25</v>
      </c>
      <c r="K4396" s="16">
        <v>51.69</v>
      </c>
      <c r="L4396" s="17"/>
      <c r="M4396" s="15">
        <f t="shared" si="209"/>
        <v>0</v>
      </c>
      <c r="N4396" s="23">
        <f>0.04*L4396</f>
        <v>0</v>
      </c>
      <c r="O4396" s="20">
        <f>0.1815*L4396</f>
        <v>0</v>
      </c>
      <c r="P4396" s="24" t="s">
        <v>26</v>
      </c>
      <c r="Q4396" s="15" t="s">
        <v>14558</v>
      </c>
      <c r="R4396" s="15"/>
      <c r="S4396" s="10" t="str">
        <f>HYPERLINK("https://miland.ru/api/getInfo/image/b6b4f864-c20b-11f1-a2a0-00155d82e908")</f>
        <v>https://miland.ru/api/getInfo/image/b6b4f864-c20b-11f1-a2a0-00155d82e908</v>
      </c>
    </row>
    <row r="4397" spans="1:19" s="2" customFormat="1" ht="96.2" customHeight="1" outlineLevel="5">
      <c r="A4397" s="52">
        <v>3464</v>
      </c>
      <c r="B4397" s="26" t="s">
        <v>14559</v>
      </c>
      <c r="C4397" s="66" t="s">
        <v>14560</v>
      </c>
      <c r="D4397" s="66"/>
      <c r="E4397" s="66"/>
      <c r="F4397" s="66"/>
      <c r="G4397" s="27" t="s">
        <v>14561</v>
      </c>
      <c r="H4397" s="33">
        <v>25</v>
      </c>
      <c r="I4397" s="29"/>
      <c r="J4397" s="25">
        <v>25</v>
      </c>
      <c r="K4397" s="30">
        <v>64.39</v>
      </c>
      <c r="L4397" s="17"/>
      <c r="M4397" s="29">
        <f t="shared" si="209"/>
        <v>0</v>
      </c>
      <c r="N4397" s="31">
        <f>0.069*L4397</f>
        <v>0</v>
      </c>
      <c r="O4397" s="35">
        <f>0.0003*L4397</f>
        <v>0</v>
      </c>
      <c r="P4397" s="36"/>
      <c r="Q4397" s="29" t="s">
        <v>14562</v>
      </c>
      <c r="R4397" s="29"/>
      <c r="S4397" s="26" t="str">
        <f>HYPERLINK("https://miland.ru/api/getInfo/image/73045faf-63d5-11ec-a20f-ac1f6b442185")</f>
        <v>https://miland.ru/api/getInfo/image/73045faf-63d5-11ec-a20f-ac1f6b442185</v>
      </c>
    </row>
    <row r="4398" spans="1:19" s="2" customFormat="1" ht="96.2" customHeight="1" outlineLevel="5">
      <c r="A4398" s="52">
        <v>3465</v>
      </c>
      <c r="B4398" s="26" t="s">
        <v>14563</v>
      </c>
      <c r="C4398" s="66" t="s">
        <v>14564</v>
      </c>
      <c r="D4398" s="66"/>
      <c r="E4398" s="66"/>
      <c r="F4398" s="66"/>
      <c r="G4398" s="27" t="s">
        <v>14565</v>
      </c>
      <c r="H4398" s="33">
        <v>275</v>
      </c>
      <c r="I4398" s="29"/>
      <c r="J4398" s="25">
        <v>25</v>
      </c>
      <c r="K4398" s="30">
        <v>64.39</v>
      </c>
      <c r="L4398" s="17"/>
      <c r="M4398" s="29">
        <f t="shared" si="209"/>
        <v>0</v>
      </c>
      <c r="N4398" s="31">
        <f>0.055*L4398</f>
        <v>0</v>
      </c>
      <c r="O4398" s="35">
        <f>0.0006*L4398</f>
        <v>0</v>
      </c>
      <c r="P4398" s="36"/>
      <c r="Q4398" s="29" t="s">
        <v>14566</v>
      </c>
      <c r="R4398" s="29"/>
      <c r="S4398" s="26" t="str">
        <f>HYPERLINK("https://miland.ru/api/getInfo/image/e81b24aa-63d5-11ec-a20f-ac1f6b442185")</f>
        <v>https://miland.ru/api/getInfo/image/e81b24aa-63d5-11ec-a20f-ac1f6b442185</v>
      </c>
    </row>
    <row r="4399" spans="1:19" s="2" customFormat="1" ht="96.2" customHeight="1" outlineLevel="5">
      <c r="A4399" s="53">
        <v>3466</v>
      </c>
      <c r="B4399" s="10" t="s">
        <v>14567</v>
      </c>
      <c r="C4399" s="65" t="s">
        <v>14568</v>
      </c>
      <c r="D4399" s="65"/>
      <c r="E4399" s="65"/>
      <c r="F4399" s="65"/>
      <c r="G4399" s="11" t="s">
        <v>14569</v>
      </c>
      <c r="H4399" s="14">
        <v>475</v>
      </c>
      <c r="I4399" s="15"/>
      <c r="J4399" s="9">
        <v>25</v>
      </c>
      <c r="K4399" s="16">
        <v>63.66</v>
      </c>
      <c r="L4399" s="17"/>
      <c r="M4399" s="15">
        <f t="shared" si="209"/>
        <v>0</v>
      </c>
      <c r="N4399" s="18">
        <f>0.055*L4399</f>
        <v>0</v>
      </c>
      <c r="O4399" s="20">
        <f>0.0006*L4399</f>
        <v>0</v>
      </c>
      <c r="P4399" s="24" t="s">
        <v>26</v>
      </c>
      <c r="Q4399" s="15" t="s">
        <v>14570</v>
      </c>
      <c r="R4399" s="15"/>
      <c r="S4399" s="10" t="str">
        <f>HYPERLINK("https://miland.ru/api/getInfo/image/727306c2-9198-11f1-a29b-00155d82e908")</f>
        <v>https://miland.ru/api/getInfo/image/727306c2-9198-11f1-a29b-00155d82e908</v>
      </c>
    </row>
    <row r="4400" spans="1:19" s="1" customFormat="1" ht="12" customHeight="1" outlineLevel="3">
      <c r="A4400" s="64" t="s">
        <v>14571</v>
      </c>
      <c r="B4400" s="64"/>
      <c r="C4400" s="64"/>
      <c r="D4400" s="64"/>
      <c r="E4400" s="64"/>
      <c r="F4400" s="64"/>
      <c r="G4400" s="8"/>
      <c r="H4400" s="12"/>
      <c r="I4400" s="2"/>
      <c r="J4400" s="2"/>
      <c r="K4400" s="13"/>
      <c r="L4400" s="2"/>
      <c r="M4400" s="2"/>
      <c r="N4400" s="2"/>
      <c r="O4400" s="2"/>
      <c r="P4400" s="2"/>
      <c r="Q4400" s="2"/>
      <c r="R4400" s="2"/>
      <c r="S4400" s="2"/>
    </row>
    <row r="4401" spans="1:19" s="1" customFormat="1" ht="12" customHeight="1" outlineLevel="4">
      <c r="A4401" s="64" t="s">
        <v>14572</v>
      </c>
      <c r="B4401" s="64"/>
      <c r="C4401" s="64"/>
      <c r="D4401" s="64"/>
      <c r="E4401" s="64"/>
      <c r="F4401" s="64"/>
      <c r="G4401" s="8"/>
      <c r="H4401" s="12"/>
      <c r="I4401" s="2"/>
      <c r="J4401" s="2"/>
      <c r="K4401" s="13"/>
      <c r="L4401" s="2"/>
      <c r="M4401" s="2"/>
      <c r="N4401" s="2"/>
      <c r="O4401" s="2"/>
      <c r="P4401" s="2"/>
      <c r="Q4401" s="2"/>
      <c r="R4401" s="2"/>
      <c r="S4401" s="2"/>
    </row>
    <row r="4402" spans="1:19" s="1" customFormat="1" ht="12" customHeight="1" outlineLevel="5">
      <c r="A4402" s="64" t="s">
        <v>14573</v>
      </c>
      <c r="B4402" s="64"/>
      <c r="C4402" s="64"/>
      <c r="D4402" s="64"/>
      <c r="E4402" s="64"/>
      <c r="F4402" s="64"/>
      <c r="G4402" s="8"/>
      <c r="H4402" s="12"/>
      <c r="I4402" s="2"/>
      <c r="J4402" s="2"/>
      <c r="K4402" s="13"/>
      <c r="L4402" s="2"/>
      <c r="M4402" s="2"/>
      <c r="N4402" s="2"/>
      <c r="O4402" s="2"/>
      <c r="P4402" s="2"/>
      <c r="Q4402" s="2"/>
      <c r="R4402" s="2"/>
      <c r="S4402" s="2"/>
    </row>
    <row r="4403" spans="1:19" s="2" customFormat="1" ht="96.2" customHeight="1" outlineLevel="6">
      <c r="A4403" s="53">
        <v>3467</v>
      </c>
      <c r="B4403" s="10" t="s">
        <v>14574</v>
      </c>
      <c r="C4403" s="65" t="s">
        <v>14575</v>
      </c>
      <c r="D4403" s="65"/>
      <c r="E4403" s="65"/>
      <c r="F4403" s="65"/>
      <c r="G4403" s="11" t="s">
        <v>14576</v>
      </c>
      <c r="H4403" s="21" t="s">
        <v>44</v>
      </c>
      <c r="I4403" s="15"/>
      <c r="J4403" s="9">
        <v>3</v>
      </c>
      <c r="K4403" s="16">
        <v>251.13</v>
      </c>
      <c r="L4403" s="17"/>
      <c r="M4403" s="15">
        <f t="shared" ref="M4403:M4419" si="210">K4403*L4403</f>
        <v>0</v>
      </c>
      <c r="N4403" s="18">
        <f>0.091*L4403</f>
        <v>0</v>
      </c>
      <c r="O4403" s="19">
        <f>0.00062*L4403</f>
        <v>0</v>
      </c>
      <c r="P4403" s="24" t="s">
        <v>26</v>
      </c>
      <c r="Q4403" s="15" t="s">
        <v>14577</v>
      </c>
      <c r="R4403" s="15"/>
      <c r="S4403" s="10" t="str">
        <f>HYPERLINK("https://miland.ru/api/getInfo/image/a2a02a04-afef-11f0-a286-00155d82e908")</f>
        <v>https://miland.ru/api/getInfo/image/a2a02a04-afef-11f0-a286-00155d82e908</v>
      </c>
    </row>
    <row r="4404" spans="1:19" s="2" customFormat="1" ht="96.2" customHeight="1" outlineLevel="6">
      <c r="A4404" s="53">
        <v>3468</v>
      </c>
      <c r="B4404" s="10" t="s">
        <v>14578</v>
      </c>
      <c r="C4404" s="65" t="s">
        <v>14579</v>
      </c>
      <c r="D4404" s="65"/>
      <c r="E4404" s="65"/>
      <c r="F4404" s="65"/>
      <c r="G4404" s="11" t="s">
        <v>14580</v>
      </c>
      <c r="H4404" s="21" t="s">
        <v>44</v>
      </c>
      <c r="I4404" s="15"/>
      <c r="J4404" s="9">
        <v>3</v>
      </c>
      <c r="K4404" s="16">
        <v>251.13</v>
      </c>
      <c r="L4404" s="17"/>
      <c r="M4404" s="15">
        <f t="shared" si="210"/>
        <v>0</v>
      </c>
      <c r="N4404" s="18">
        <f>0.088*L4404</f>
        <v>0</v>
      </c>
      <c r="O4404" s="19">
        <f>0.00039*L4404</f>
        <v>0</v>
      </c>
      <c r="P4404" s="24" t="s">
        <v>26</v>
      </c>
      <c r="Q4404" s="15" t="s">
        <v>14581</v>
      </c>
      <c r="R4404" s="15"/>
      <c r="S4404" s="10" t="str">
        <f>HYPERLINK("https://miland.ru/api/getInfo/image/6b428621-afef-11f0-a286-00155d82e908")</f>
        <v>https://miland.ru/api/getInfo/image/6b428621-afef-11f0-a286-00155d82e908</v>
      </c>
    </row>
    <row r="4405" spans="1:19" s="2" customFormat="1" ht="96.2" customHeight="1" outlineLevel="6">
      <c r="A4405" s="53">
        <v>3469</v>
      </c>
      <c r="B4405" s="10" t="s">
        <v>14582</v>
      </c>
      <c r="C4405" s="65" t="s">
        <v>14583</v>
      </c>
      <c r="D4405" s="65"/>
      <c r="E4405" s="65"/>
      <c r="F4405" s="65"/>
      <c r="G4405" s="11" t="s">
        <v>14584</v>
      </c>
      <c r="H4405" s="21" t="s">
        <v>44</v>
      </c>
      <c r="I4405" s="15"/>
      <c r="J4405" s="9">
        <v>3</v>
      </c>
      <c r="K4405" s="16">
        <v>251.13</v>
      </c>
      <c r="L4405" s="17"/>
      <c r="M4405" s="15">
        <f t="shared" si="210"/>
        <v>0</v>
      </c>
      <c r="N4405" s="18">
        <f>0.083*L4405</f>
        <v>0</v>
      </c>
      <c r="O4405" s="19">
        <f>0.00051*L4405</f>
        <v>0</v>
      </c>
      <c r="P4405" s="24" t="s">
        <v>26</v>
      </c>
      <c r="Q4405" s="15" t="s">
        <v>14585</v>
      </c>
      <c r="R4405" s="15"/>
      <c r="S4405" s="10" t="str">
        <f>HYPERLINK("https://miland.ru/api/getInfo/image/23ffc3a3-aff0-11f0-a286-00155d82e908")</f>
        <v>https://miland.ru/api/getInfo/image/23ffc3a3-aff0-11f0-a286-00155d82e908</v>
      </c>
    </row>
    <row r="4406" spans="1:19" s="2" customFormat="1" ht="96.2" customHeight="1" outlineLevel="6">
      <c r="A4406" s="53">
        <v>3470</v>
      </c>
      <c r="B4406" s="10" t="s">
        <v>14586</v>
      </c>
      <c r="C4406" s="65" t="s">
        <v>14587</v>
      </c>
      <c r="D4406" s="65"/>
      <c r="E4406" s="65"/>
      <c r="F4406" s="65"/>
      <c r="G4406" s="11" t="s">
        <v>14588</v>
      </c>
      <c r="H4406" s="21" t="s">
        <v>44</v>
      </c>
      <c r="I4406" s="15"/>
      <c r="J4406" s="9">
        <v>3</v>
      </c>
      <c r="K4406" s="16">
        <v>251.13</v>
      </c>
      <c r="L4406" s="17"/>
      <c r="M4406" s="15">
        <f t="shared" si="210"/>
        <v>0</v>
      </c>
      <c r="N4406" s="18">
        <f>0.104*L4406</f>
        <v>0</v>
      </c>
      <c r="O4406" s="19">
        <f>0.00027*L4406</f>
        <v>0</v>
      </c>
      <c r="P4406" s="24" t="s">
        <v>26</v>
      </c>
      <c r="Q4406" s="15" t="s">
        <v>14589</v>
      </c>
      <c r="R4406" s="15"/>
      <c r="S4406" s="10" t="str">
        <f>HYPERLINK("https://miland.ru/api/getInfo/image/ef2dcbf2-afef-11f0-a286-00155d82e908")</f>
        <v>https://miland.ru/api/getInfo/image/ef2dcbf2-afef-11f0-a286-00155d82e908</v>
      </c>
    </row>
    <row r="4407" spans="1:19" s="2" customFormat="1" ht="96.2" customHeight="1" outlineLevel="6">
      <c r="A4407" s="53">
        <v>3471</v>
      </c>
      <c r="B4407" s="10" t="s">
        <v>14590</v>
      </c>
      <c r="C4407" s="65" t="s">
        <v>14591</v>
      </c>
      <c r="D4407" s="65"/>
      <c r="E4407" s="65"/>
      <c r="F4407" s="65"/>
      <c r="G4407" s="11" t="s">
        <v>14592</v>
      </c>
      <c r="H4407" s="21" t="s">
        <v>44</v>
      </c>
      <c r="I4407" s="15"/>
      <c r="J4407" s="9">
        <v>3</v>
      </c>
      <c r="K4407" s="16">
        <v>251.13</v>
      </c>
      <c r="L4407" s="17"/>
      <c r="M4407" s="15">
        <f t="shared" si="210"/>
        <v>0</v>
      </c>
      <c r="N4407" s="18">
        <f>0.104*L4407</f>
        <v>0</v>
      </c>
      <c r="O4407" s="19">
        <f>0.00027*L4407</f>
        <v>0</v>
      </c>
      <c r="P4407" s="24" t="s">
        <v>26</v>
      </c>
      <c r="Q4407" s="15" t="s">
        <v>14593</v>
      </c>
      <c r="R4407" s="15"/>
      <c r="S4407" s="10" t="str">
        <f>HYPERLINK("https://miland.ru/api/getInfo/image/81bdb7d7-afef-11f0-a286-00155d82e908")</f>
        <v>https://miland.ru/api/getInfo/image/81bdb7d7-afef-11f0-a286-00155d82e908</v>
      </c>
    </row>
    <row r="4408" spans="1:19" s="2" customFormat="1" ht="96.2" customHeight="1" outlineLevel="6">
      <c r="A4408" s="53">
        <v>3472</v>
      </c>
      <c r="B4408" s="10" t="s">
        <v>14594</v>
      </c>
      <c r="C4408" s="65" t="s">
        <v>14595</v>
      </c>
      <c r="D4408" s="65"/>
      <c r="E4408" s="65"/>
      <c r="F4408" s="65"/>
      <c r="G4408" s="11" t="s">
        <v>14596</v>
      </c>
      <c r="H4408" s="21" t="s">
        <v>44</v>
      </c>
      <c r="I4408" s="15"/>
      <c r="J4408" s="9">
        <v>3</v>
      </c>
      <c r="K4408" s="16">
        <v>251.13</v>
      </c>
      <c r="L4408" s="17"/>
      <c r="M4408" s="15">
        <f t="shared" si="210"/>
        <v>0</v>
      </c>
      <c r="N4408" s="18">
        <f>0.083*L4408</f>
        <v>0</v>
      </c>
      <c r="O4408" s="19">
        <f>0.00051*L4408</f>
        <v>0</v>
      </c>
      <c r="P4408" s="24" t="s">
        <v>26</v>
      </c>
      <c r="Q4408" s="15" t="s">
        <v>14597</v>
      </c>
      <c r="R4408" s="15"/>
      <c r="S4408" s="10" t="str">
        <f>HYPERLINK("https://miland.ru/api/getInfo/image/08203780-aff0-11f0-a286-00155d82e908")</f>
        <v>https://miland.ru/api/getInfo/image/08203780-aff0-11f0-a286-00155d82e908</v>
      </c>
    </row>
    <row r="4409" spans="1:19" s="2" customFormat="1" ht="96.2" customHeight="1" outlineLevel="6">
      <c r="A4409" s="53">
        <v>3473</v>
      </c>
      <c r="B4409" s="10" t="s">
        <v>14598</v>
      </c>
      <c r="C4409" s="65" t="s">
        <v>14599</v>
      </c>
      <c r="D4409" s="65"/>
      <c r="E4409" s="65"/>
      <c r="F4409" s="65"/>
      <c r="G4409" s="11" t="s">
        <v>14600</v>
      </c>
      <c r="H4409" s="21" t="s">
        <v>44</v>
      </c>
      <c r="I4409" s="15"/>
      <c r="J4409" s="9">
        <v>3</v>
      </c>
      <c r="K4409" s="16">
        <v>251.13</v>
      </c>
      <c r="L4409" s="17"/>
      <c r="M4409" s="15">
        <f t="shared" si="210"/>
        <v>0</v>
      </c>
      <c r="N4409" s="18">
        <f>0.104*L4409</f>
        <v>0</v>
      </c>
      <c r="O4409" s="19">
        <f>0.00027*L4409</f>
        <v>0</v>
      </c>
      <c r="P4409" s="24" t="s">
        <v>26</v>
      </c>
      <c r="Q4409" s="15" t="s">
        <v>14601</v>
      </c>
      <c r="R4409" s="15"/>
      <c r="S4409" s="10" t="str">
        <f>HYPERLINK("https://miland.ru/api/getInfo/image/447e9ab0-aff0-11f0-a286-00155d82e908")</f>
        <v>https://miland.ru/api/getInfo/image/447e9ab0-aff0-11f0-a286-00155d82e908</v>
      </c>
    </row>
    <row r="4410" spans="1:19" s="2" customFormat="1" ht="96.2" customHeight="1" outlineLevel="6">
      <c r="A4410" s="53">
        <v>3474</v>
      </c>
      <c r="B4410" s="10" t="s">
        <v>14602</v>
      </c>
      <c r="C4410" s="65" t="s">
        <v>14603</v>
      </c>
      <c r="D4410" s="65"/>
      <c r="E4410" s="65"/>
      <c r="F4410" s="65"/>
      <c r="G4410" s="11" t="s">
        <v>14604</v>
      </c>
      <c r="H4410" s="21" t="s">
        <v>44</v>
      </c>
      <c r="I4410" s="15"/>
      <c r="J4410" s="9">
        <v>3</v>
      </c>
      <c r="K4410" s="16">
        <v>251.13</v>
      </c>
      <c r="L4410" s="17"/>
      <c r="M4410" s="15">
        <f t="shared" si="210"/>
        <v>0</v>
      </c>
      <c r="N4410" s="18">
        <f>0.083*L4410</f>
        <v>0</v>
      </c>
      <c r="O4410" s="19">
        <f>0.00051*L4410</f>
        <v>0</v>
      </c>
      <c r="P4410" s="24" t="s">
        <v>26</v>
      </c>
      <c r="Q4410" s="15" t="s">
        <v>14605</v>
      </c>
      <c r="R4410" s="15"/>
      <c r="S4410" s="10" t="str">
        <f>HYPERLINK("https://miland.ru/api/getInfo/image/cec0fa48-aff0-11f0-a286-00155d82e908")</f>
        <v>https://miland.ru/api/getInfo/image/cec0fa48-aff0-11f0-a286-00155d82e908</v>
      </c>
    </row>
    <row r="4411" spans="1:19" s="2" customFormat="1" ht="96.2" customHeight="1" outlineLevel="6">
      <c r="A4411" s="53">
        <v>3475</v>
      </c>
      <c r="B4411" s="10" t="s">
        <v>14606</v>
      </c>
      <c r="C4411" s="65" t="s">
        <v>14607</v>
      </c>
      <c r="D4411" s="65"/>
      <c r="E4411" s="65"/>
      <c r="F4411" s="65"/>
      <c r="G4411" s="11" t="s">
        <v>14608</v>
      </c>
      <c r="H4411" s="21" t="s">
        <v>44</v>
      </c>
      <c r="I4411" s="15"/>
      <c r="J4411" s="9">
        <v>3</v>
      </c>
      <c r="K4411" s="16">
        <v>251.13</v>
      </c>
      <c r="L4411" s="17"/>
      <c r="M4411" s="15">
        <f t="shared" si="210"/>
        <v>0</v>
      </c>
      <c r="N4411" s="18">
        <f>0.083*L4411</f>
        <v>0</v>
      </c>
      <c r="O4411" s="19">
        <f>0.00051*L4411</f>
        <v>0</v>
      </c>
      <c r="P4411" s="24" t="s">
        <v>26</v>
      </c>
      <c r="Q4411" s="15" t="s">
        <v>14609</v>
      </c>
      <c r="R4411" s="15"/>
      <c r="S4411" s="10" t="str">
        <f>HYPERLINK("https://miland.ru/api/getInfo/image/bd3b0094-afef-11f0-a286-00155d82e908")</f>
        <v>https://miland.ru/api/getInfo/image/bd3b0094-afef-11f0-a286-00155d82e908</v>
      </c>
    </row>
    <row r="4412" spans="1:19" s="2" customFormat="1" ht="96.2" customHeight="1" outlineLevel="6">
      <c r="A4412" s="52">
        <v>3476</v>
      </c>
      <c r="B4412" s="26" t="s">
        <v>14610</v>
      </c>
      <c r="C4412" s="66" t="s">
        <v>14611</v>
      </c>
      <c r="D4412" s="66"/>
      <c r="E4412" s="66"/>
      <c r="F4412" s="66"/>
      <c r="G4412" s="27" t="s">
        <v>14612</v>
      </c>
      <c r="H4412" s="33">
        <v>412</v>
      </c>
      <c r="I4412" s="29"/>
      <c r="J4412" s="25">
        <v>3</v>
      </c>
      <c r="K4412" s="30">
        <v>251.13</v>
      </c>
      <c r="L4412" s="17"/>
      <c r="M4412" s="29">
        <f t="shared" si="210"/>
        <v>0</v>
      </c>
      <c r="N4412" s="31">
        <f>0.095*L4412</f>
        <v>0</v>
      </c>
      <c r="O4412" s="32">
        <f>0.00037*L4412</f>
        <v>0</v>
      </c>
      <c r="P4412" s="36"/>
      <c r="Q4412" s="29" t="s">
        <v>14613</v>
      </c>
      <c r="R4412" s="29"/>
      <c r="S4412" s="26" t="str">
        <f>HYPERLINK("https://miland.ru/api/getInfo/image/3ae4977d-324b-11f0-a27c-00155d82e908")</f>
        <v>https://miland.ru/api/getInfo/image/3ae4977d-324b-11f0-a27c-00155d82e908</v>
      </c>
    </row>
    <row r="4413" spans="1:19" s="2" customFormat="1" ht="96.2" customHeight="1" outlineLevel="6">
      <c r="A4413" s="53">
        <v>3477</v>
      </c>
      <c r="B4413" s="10" t="s">
        <v>14614</v>
      </c>
      <c r="C4413" s="65" t="s">
        <v>14615</v>
      </c>
      <c r="D4413" s="65"/>
      <c r="E4413" s="65"/>
      <c r="F4413" s="65"/>
      <c r="G4413" s="11" t="s">
        <v>14616</v>
      </c>
      <c r="H4413" s="21" t="s">
        <v>44</v>
      </c>
      <c r="I4413" s="15"/>
      <c r="J4413" s="9">
        <v>3</v>
      </c>
      <c r="K4413" s="16">
        <v>251.13</v>
      </c>
      <c r="L4413" s="17"/>
      <c r="M4413" s="15">
        <f t="shared" si="210"/>
        <v>0</v>
      </c>
      <c r="N4413" s="18">
        <f>0.091*L4413</f>
        <v>0</v>
      </c>
      <c r="O4413" s="19">
        <f>0.00044*L4413</f>
        <v>0</v>
      </c>
      <c r="P4413" s="24" t="s">
        <v>26</v>
      </c>
      <c r="Q4413" s="15" t="s">
        <v>14617</v>
      </c>
      <c r="R4413" s="15"/>
      <c r="S4413" s="10" t="str">
        <f>HYPERLINK("https://miland.ru/api/getInfo/image/5782a504-afef-11f0-a286-00155d82e908")</f>
        <v>https://miland.ru/api/getInfo/image/5782a504-afef-11f0-a286-00155d82e908</v>
      </c>
    </row>
    <row r="4414" spans="1:19" s="2" customFormat="1" ht="96.2" customHeight="1" outlineLevel="6">
      <c r="A4414" s="52">
        <v>3478</v>
      </c>
      <c r="B4414" s="26" t="s">
        <v>14618</v>
      </c>
      <c r="C4414" s="66" t="s">
        <v>14619</v>
      </c>
      <c r="D4414" s="66"/>
      <c r="E4414" s="66"/>
      <c r="F4414" s="66"/>
      <c r="G4414" s="27" t="s">
        <v>14620</v>
      </c>
      <c r="H4414" s="33">
        <v>199</v>
      </c>
      <c r="I4414" s="29"/>
      <c r="J4414" s="25">
        <v>3</v>
      </c>
      <c r="K4414" s="30">
        <v>251.13</v>
      </c>
      <c r="L4414" s="17"/>
      <c r="M4414" s="29">
        <f t="shared" si="210"/>
        <v>0</v>
      </c>
      <c r="N4414" s="31">
        <f>0.104*L4414</f>
        <v>0</v>
      </c>
      <c r="O4414" s="32">
        <f>0.00027*L4414</f>
        <v>0</v>
      </c>
      <c r="P4414" s="36"/>
      <c r="Q4414" s="29" t="s">
        <v>14621</v>
      </c>
      <c r="R4414" s="29"/>
      <c r="S4414" s="26" t="str">
        <f>HYPERLINK("https://miland.ru/api/getInfo/image/0e1c5a5f-77b7-11ee-a248-00155d82e902")</f>
        <v>https://miland.ru/api/getInfo/image/0e1c5a5f-77b7-11ee-a248-00155d82e902</v>
      </c>
    </row>
    <row r="4415" spans="1:19" s="2" customFormat="1" ht="96.2" customHeight="1" outlineLevel="6">
      <c r="A4415" s="53">
        <v>3479</v>
      </c>
      <c r="B4415" s="10" t="s">
        <v>14622</v>
      </c>
      <c r="C4415" s="65" t="s">
        <v>14623</v>
      </c>
      <c r="D4415" s="65"/>
      <c r="E4415" s="65"/>
      <c r="F4415" s="65"/>
      <c r="G4415" s="11" t="s">
        <v>14624</v>
      </c>
      <c r="H4415" s="21" t="s">
        <v>44</v>
      </c>
      <c r="I4415" s="15"/>
      <c r="J4415" s="9">
        <v>3</v>
      </c>
      <c r="K4415" s="16">
        <v>251.13</v>
      </c>
      <c r="L4415" s="17"/>
      <c r="M4415" s="15">
        <f t="shared" si="210"/>
        <v>0</v>
      </c>
      <c r="N4415" s="18">
        <f>0.085*L4415</f>
        <v>0</v>
      </c>
      <c r="O4415" s="19">
        <f>0.00037*L4415</f>
        <v>0</v>
      </c>
      <c r="P4415" s="24" t="s">
        <v>26</v>
      </c>
      <c r="Q4415" s="15" t="s">
        <v>14625</v>
      </c>
      <c r="R4415" s="15"/>
      <c r="S4415" s="10" t="str">
        <f>HYPERLINK("https://miland.ru/api/getInfo/image/16753f93-afef-11f0-a286-00155d82e908")</f>
        <v>https://miland.ru/api/getInfo/image/16753f93-afef-11f0-a286-00155d82e908</v>
      </c>
    </row>
    <row r="4416" spans="1:19" s="2" customFormat="1" ht="96.2" customHeight="1" outlineLevel="6">
      <c r="A4416" s="52">
        <v>3480</v>
      </c>
      <c r="B4416" s="26" t="s">
        <v>14626</v>
      </c>
      <c r="C4416" s="66" t="s">
        <v>14627</v>
      </c>
      <c r="D4416" s="66"/>
      <c r="E4416" s="66"/>
      <c r="F4416" s="66"/>
      <c r="G4416" s="27" t="s">
        <v>14628</v>
      </c>
      <c r="H4416" s="28" t="s">
        <v>44</v>
      </c>
      <c r="I4416" s="29"/>
      <c r="J4416" s="25">
        <v>3</v>
      </c>
      <c r="K4416" s="30">
        <v>251.13</v>
      </c>
      <c r="L4416" s="17"/>
      <c r="M4416" s="29">
        <f t="shared" si="210"/>
        <v>0</v>
      </c>
      <c r="N4416" s="31">
        <f>0.088*L4416</f>
        <v>0</v>
      </c>
      <c r="O4416" s="32">
        <f>0.00016*L4416</f>
        <v>0</v>
      </c>
      <c r="P4416" s="36"/>
      <c r="Q4416" s="29" t="s">
        <v>14629</v>
      </c>
      <c r="R4416" s="29"/>
      <c r="S4416" s="26" t="str">
        <f>HYPERLINK("https://miland.ru/api/getInfo/image/b1944095-324b-11f0-a27c-00155d82e908")</f>
        <v>https://miland.ru/api/getInfo/image/b1944095-324b-11f0-a27c-00155d82e908</v>
      </c>
    </row>
    <row r="4417" spans="1:19" s="2" customFormat="1" ht="96.2" customHeight="1" outlineLevel="6">
      <c r="A4417" s="52">
        <v>3481</v>
      </c>
      <c r="B4417" s="26" t="s">
        <v>14630</v>
      </c>
      <c r="C4417" s="66" t="s">
        <v>14631</v>
      </c>
      <c r="D4417" s="66"/>
      <c r="E4417" s="66"/>
      <c r="F4417" s="66"/>
      <c r="G4417" s="27" t="s">
        <v>14632</v>
      </c>
      <c r="H4417" s="28" t="s">
        <v>44</v>
      </c>
      <c r="I4417" s="29"/>
      <c r="J4417" s="25">
        <v>3</v>
      </c>
      <c r="K4417" s="30">
        <v>251.13</v>
      </c>
      <c r="L4417" s="17"/>
      <c r="M4417" s="29">
        <f t="shared" si="210"/>
        <v>0</v>
      </c>
      <c r="N4417" s="31">
        <f>0.104*L4417</f>
        <v>0</v>
      </c>
      <c r="O4417" s="32">
        <f>0.00027*L4417</f>
        <v>0</v>
      </c>
      <c r="P4417" s="36"/>
      <c r="Q4417" s="29" t="s">
        <v>14633</v>
      </c>
      <c r="R4417" s="29"/>
      <c r="S4417" s="26" t="str">
        <f>HYPERLINK("https://miland.ru/api/getInfo/image/d207debd-77b6-11ee-a248-00155d82e902")</f>
        <v>https://miland.ru/api/getInfo/image/d207debd-77b6-11ee-a248-00155d82e902</v>
      </c>
    </row>
    <row r="4418" spans="1:19" s="2" customFormat="1" ht="96.2" customHeight="1" outlineLevel="6">
      <c r="A4418" s="52">
        <v>3482</v>
      </c>
      <c r="B4418" s="26" t="s">
        <v>14634</v>
      </c>
      <c r="C4418" s="66" t="s">
        <v>14635</v>
      </c>
      <c r="D4418" s="66"/>
      <c r="E4418" s="66"/>
      <c r="F4418" s="66"/>
      <c r="G4418" s="27" t="s">
        <v>14636</v>
      </c>
      <c r="H4418" s="28" t="s">
        <v>44</v>
      </c>
      <c r="I4418" s="29"/>
      <c r="J4418" s="25">
        <v>3</v>
      </c>
      <c r="K4418" s="30">
        <v>251.13</v>
      </c>
      <c r="L4418" s="17"/>
      <c r="M4418" s="29">
        <f t="shared" si="210"/>
        <v>0</v>
      </c>
      <c r="N4418" s="31">
        <f>0.083*L4418</f>
        <v>0</v>
      </c>
      <c r="O4418" s="32">
        <f>0.00029*L4418</f>
        <v>0</v>
      </c>
      <c r="P4418" s="36"/>
      <c r="Q4418" s="29" t="s">
        <v>14637</v>
      </c>
      <c r="R4418" s="29"/>
      <c r="S4418" s="26" t="str">
        <f>HYPERLINK("https://miland.ru/api/getInfo/image/f6ee1308-77b6-11ee-a248-00155d82e902")</f>
        <v>https://miland.ru/api/getInfo/image/f6ee1308-77b6-11ee-a248-00155d82e902</v>
      </c>
    </row>
    <row r="4419" spans="1:19" s="2" customFormat="1" ht="96.2" customHeight="1" outlineLevel="6">
      <c r="A4419" s="52">
        <v>3483</v>
      </c>
      <c r="B4419" s="26" t="s">
        <v>14638</v>
      </c>
      <c r="C4419" s="66" t="s">
        <v>14639</v>
      </c>
      <c r="D4419" s="66"/>
      <c r="E4419" s="66"/>
      <c r="F4419" s="66"/>
      <c r="G4419" s="27" t="s">
        <v>14640</v>
      </c>
      <c r="H4419" s="28" t="s">
        <v>44</v>
      </c>
      <c r="I4419" s="29"/>
      <c r="J4419" s="25">
        <v>3</v>
      </c>
      <c r="K4419" s="30">
        <v>251.13</v>
      </c>
      <c r="L4419" s="17"/>
      <c r="M4419" s="29">
        <f t="shared" si="210"/>
        <v>0</v>
      </c>
      <c r="N4419" s="31">
        <f>0.085*L4419</f>
        <v>0</v>
      </c>
      <c r="O4419" s="29">
        <v>0</v>
      </c>
      <c r="P4419" s="36"/>
      <c r="Q4419" s="29" t="s">
        <v>14641</v>
      </c>
      <c r="R4419" s="29"/>
      <c r="S4419" s="26" t="str">
        <f>HYPERLINK("https://miland.ru/api/getInfo/image/7523d958-77b6-11ee-a248-00155d82e902")</f>
        <v>https://miland.ru/api/getInfo/image/7523d958-77b6-11ee-a248-00155d82e902</v>
      </c>
    </row>
    <row r="4420" spans="1:19" s="1" customFormat="1" ht="12" customHeight="1" outlineLevel="2">
      <c r="A4420" s="63" t="s">
        <v>14642</v>
      </c>
      <c r="B4420" s="63"/>
      <c r="C4420" s="63"/>
      <c r="D4420" s="63"/>
      <c r="E4420" s="63"/>
      <c r="F4420" s="63"/>
      <c r="G4420" s="8"/>
      <c r="H4420" s="12"/>
      <c r="I4420" s="2"/>
      <c r="J4420" s="2"/>
      <c r="K4420" s="13"/>
      <c r="L4420" s="2"/>
      <c r="M4420" s="2"/>
      <c r="N4420" s="2"/>
      <c r="O4420" s="2"/>
      <c r="P4420" s="2"/>
      <c r="Q4420" s="2"/>
      <c r="R4420" s="2"/>
      <c r="S4420" s="2"/>
    </row>
    <row r="4421" spans="1:19" s="1" customFormat="1" ht="12" customHeight="1" outlineLevel="3">
      <c r="A4421" s="64" t="s">
        <v>14643</v>
      </c>
      <c r="B4421" s="64"/>
      <c r="C4421" s="64"/>
      <c r="D4421" s="64"/>
      <c r="E4421" s="64"/>
      <c r="F4421" s="64"/>
      <c r="G4421" s="8"/>
      <c r="H4421" s="12"/>
      <c r="I4421" s="2"/>
      <c r="J4421" s="2"/>
      <c r="K4421" s="13"/>
      <c r="L4421" s="2"/>
      <c r="M4421" s="2"/>
      <c r="N4421" s="2"/>
      <c r="O4421" s="2"/>
      <c r="P4421" s="2"/>
      <c r="Q4421" s="2"/>
      <c r="R4421" s="2"/>
      <c r="S4421" s="2"/>
    </row>
    <row r="4422" spans="1:19" s="1" customFormat="1" ht="12" customHeight="1" outlineLevel="4">
      <c r="A4422" s="64" t="s">
        <v>8757</v>
      </c>
      <c r="B4422" s="64"/>
      <c r="C4422" s="64"/>
      <c r="D4422" s="64"/>
      <c r="E4422" s="64"/>
      <c r="F4422" s="64"/>
      <c r="G4422" s="8"/>
      <c r="H4422" s="12"/>
      <c r="I4422" s="2"/>
      <c r="J4422" s="2"/>
      <c r="K4422" s="13"/>
      <c r="L4422" s="2"/>
      <c r="M4422" s="2"/>
      <c r="N4422" s="2"/>
      <c r="O4422" s="2"/>
      <c r="P4422" s="2"/>
      <c r="Q4422" s="2"/>
      <c r="R4422" s="2"/>
      <c r="S4422" s="2"/>
    </row>
    <row r="4423" spans="1:19" s="2" customFormat="1" ht="96.2" customHeight="1" outlineLevel="5">
      <c r="A4423" s="53">
        <v>3484</v>
      </c>
      <c r="B4423" s="10" t="s">
        <v>14644</v>
      </c>
      <c r="C4423" s="65" t="s">
        <v>14645</v>
      </c>
      <c r="D4423" s="65"/>
      <c r="E4423" s="65"/>
      <c r="F4423" s="65"/>
      <c r="G4423" s="11" t="s">
        <v>14646</v>
      </c>
      <c r="H4423" s="14">
        <v>226</v>
      </c>
      <c r="I4423" s="15"/>
      <c r="J4423" s="9">
        <v>2</v>
      </c>
      <c r="K4423" s="16">
        <v>397.72</v>
      </c>
      <c r="L4423" s="17"/>
      <c r="M4423" s="15">
        <f t="shared" ref="M4423:M4430" si="211">K4423*L4423</f>
        <v>0</v>
      </c>
      <c r="N4423" s="23">
        <f>0.02*L4423</f>
        <v>0</v>
      </c>
      <c r="O4423" s="20">
        <f>0.0007*L4423</f>
        <v>0</v>
      </c>
      <c r="P4423" s="24" t="s">
        <v>26</v>
      </c>
      <c r="Q4423" s="15" t="s">
        <v>14647</v>
      </c>
      <c r="R4423" s="15"/>
      <c r="S4423" s="10" t="str">
        <f>HYPERLINK("https://miland.ru/api/getInfo/image/2f65e20c-117e-11f1-a28f-00155d82e908")</f>
        <v>https://miland.ru/api/getInfo/image/2f65e20c-117e-11f1-a28f-00155d82e908</v>
      </c>
    </row>
    <row r="4424" spans="1:19" s="2" customFormat="1" ht="96.2" customHeight="1" outlineLevel="5">
      <c r="A4424" s="53">
        <v>3485</v>
      </c>
      <c r="B4424" s="10" t="s">
        <v>14648</v>
      </c>
      <c r="C4424" s="65" t="s">
        <v>14649</v>
      </c>
      <c r="D4424" s="65"/>
      <c r="E4424" s="65"/>
      <c r="F4424" s="65"/>
      <c r="G4424" s="11" t="s">
        <v>14650</v>
      </c>
      <c r="H4424" s="14">
        <v>284</v>
      </c>
      <c r="I4424" s="15"/>
      <c r="J4424" s="9">
        <v>2</v>
      </c>
      <c r="K4424" s="16">
        <v>397.72</v>
      </c>
      <c r="L4424" s="17"/>
      <c r="M4424" s="15">
        <f t="shared" si="211"/>
        <v>0</v>
      </c>
      <c r="N4424" s="23">
        <f>0.02*L4424</f>
        <v>0</v>
      </c>
      <c r="O4424" s="20">
        <f>0.0007*L4424</f>
        <v>0</v>
      </c>
      <c r="P4424" s="24" t="s">
        <v>26</v>
      </c>
      <c r="Q4424" s="15" t="s">
        <v>14651</v>
      </c>
      <c r="R4424" s="15"/>
      <c r="S4424" s="10" t="str">
        <f>HYPERLINK("https://miland.ru/api/getInfo/image/288bca14-117f-11f1-a28f-00155d82e908")</f>
        <v>https://miland.ru/api/getInfo/image/288bca14-117f-11f1-a28f-00155d82e908</v>
      </c>
    </row>
    <row r="4425" spans="1:19" s="2" customFormat="1" ht="96.2" customHeight="1" outlineLevel="5">
      <c r="A4425" s="53">
        <v>3486</v>
      </c>
      <c r="B4425" s="10" t="s">
        <v>14652</v>
      </c>
      <c r="C4425" s="65" t="s">
        <v>14653</v>
      </c>
      <c r="D4425" s="65"/>
      <c r="E4425" s="65"/>
      <c r="F4425" s="65"/>
      <c r="G4425" s="11" t="s">
        <v>14654</v>
      </c>
      <c r="H4425" s="14">
        <v>292</v>
      </c>
      <c r="I4425" s="15"/>
      <c r="J4425" s="9">
        <v>2</v>
      </c>
      <c r="K4425" s="16">
        <v>397.72</v>
      </c>
      <c r="L4425" s="17"/>
      <c r="M4425" s="15">
        <f t="shared" si="211"/>
        <v>0</v>
      </c>
      <c r="N4425" s="18">
        <f>0.549*L4425</f>
        <v>0</v>
      </c>
      <c r="O4425" s="19">
        <f>0.00247*L4425</f>
        <v>0</v>
      </c>
      <c r="P4425" s="24" t="s">
        <v>26</v>
      </c>
      <c r="Q4425" s="15" t="s">
        <v>14655</v>
      </c>
      <c r="R4425" s="15"/>
      <c r="S4425" s="10" t="str">
        <f>HYPERLINK("https://miland.ru/api/getInfo/image/dd9d9480-117e-11f1-a28f-00155d82e908")</f>
        <v>https://miland.ru/api/getInfo/image/dd9d9480-117e-11f1-a28f-00155d82e908</v>
      </c>
    </row>
    <row r="4426" spans="1:19" s="2" customFormat="1" ht="96.2" customHeight="1" outlineLevel="5">
      <c r="A4426" s="53">
        <v>3487</v>
      </c>
      <c r="B4426" s="10" t="s">
        <v>14656</v>
      </c>
      <c r="C4426" s="65" t="s">
        <v>14657</v>
      </c>
      <c r="D4426" s="65"/>
      <c r="E4426" s="65"/>
      <c r="F4426" s="65"/>
      <c r="G4426" s="11" t="s">
        <v>14658</v>
      </c>
      <c r="H4426" s="14">
        <v>286</v>
      </c>
      <c r="I4426" s="15"/>
      <c r="J4426" s="9">
        <v>2</v>
      </c>
      <c r="K4426" s="16">
        <v>397.72</v>
      </c>
      <c r="L4426" s="17"/>
      <c r="M4426" s="15">
        <f t="shared" si="211"/>
        <v>0</v>
      </c>
      <c r="N4426" s="18">
        <f>0.549*L4426</f>
        <v>0</v>
      </c>
      <c r="O4426" s="19">
        <f>0.00247*L4426</f>
        <v>0</v>
      </c>
      <c r="P4426" s="24" t="s">
        <v>26</v>
      </c>
      <c r="Q4426" s="15" t="s">
        <v>14659</v>
      </c>
      <c r="R4426" s="15"/>
      <c r="S4426" s="10" t="str">
        <f>HYPERLINK("https://miland.ru/api/getInfo/image/bcb95ac0-117e-11f1-a28f-00155d82e908")</f>
        <v>https://miland.ru/api/getInfo/image/bcb95ac0-117e-11f1-a28f-00155d82e908</v>
      </c>
    </row>
    <row r="4427" spans="1:19" s="2" customFormat="1" ht="96.2" customHeight="1" outlineLevel="5">
      <c r="A4427" s="53">
        <v>3488</v>
      </c>
      <c r="B4427" s="10" t="s">
        <v>14660</v>
      </c>
      <c r="C4427" s="65" t="s">
        <v>14661</v>
      </c>
      <c r="D4427" s="65"/>
      <c r="E4427" s="65"/>
      <c r="F4427" s="65"/>
      <c r="G4427" s="11" t="s">
        <v>14662</v>
      </c>
      <c r="H4427" s="14">
        <v>257</v>
      </c>
      <c r="I4427" s="15"/>
      <c r="J4427" s="9">
        <v>2</v>
      </c>
      <c r="K4427" s="16">
        <v>397.72</v>
      </c>
      <c r="L4427" s="17"/>
      <c r="M4427" s="15">
        <f t="shared" si="211"/>
        <v>0</v>
      </c>
      <c r="N4427" s="23">
        <f>0.05*L4427</f>
        <v>0</v>
      </c>
      <c r="O4427" s="20">
        <f>0.0007*L4427</f>
        <v>0</v>
      </c>
      <c r="P4427" s="24" t="s">
        <v>26</v>
      </c>
      <c r="Q4427" s="15" t="s">
        <v>14663</v>
      </c>
      <c r="R4427" s="15"/>
      <c r="S4427" s="10" t="str">
        <f>HYPERLINK("https://miland.ru/api/getInfo/image/94046209-117e-11f1-a28f-00155d82e908")</f>
        <v>https://miland.ru/api/getInfo/image/94046209-117e-11f1-a28f-00155d82e908</v>
      </c>
    </row>
    <row r="4428" spans="1:19" s="2" customFormat="1" ht="96.2" customHeight="1" outlineLevel="5">
      <c r="A4428" s="53">
        <v>3489</v>
      </c>
      <c r="B4428" s="10" t="s">
        <v>14664</v>
      </c>
      <c r="C4428" s="65" t="s">
        <v>14665</v>
      </c>
      <c r="D4428" s="65"/>
      <c r="E4428" s="65"/>
      <c r="F4428" s="65"/>
      <c r="G4428" s="11" t="s">
        <v>14666</v>
      </c>
      <c r="H4428" s="14">
        <v>212</v>
      </c>
      <c r="I4428" s="15"/>
      <c r="J4428" s="9">
        <v>2</v>
      </c>
      <c r="K4428" s="16">
        <v>397.72</v>
      </c>
      <c r="L4428" s="17"/>
      <c r="M4428" s="15">
        <f t="shared" si="211"/>
        <v>0</v>
      </c>
      <c r="N4428" s="18">
        <f>0.054*L4428</f>
        <v>0</v>
      </c>
      <c r="O4428" s="20">
        <f>0.0007*L4428</f>
        <v>0</v>
      </c>
      <c r="P4428" s="24" t="s">
        <v>26</v>
      </c>
      <c r="Q4428" s="15" t="s">
        <v>14667</v>
      </c>
      <c r="R4428" s="15"/>
      <c r="S4428" s="10" t="str">
        <f>HYPERLINK("https://miland.ru/api/getInfo/image/4f7c0f58-117e-11f1-a28f-00155d82e908")</f>
        <v>https://miland.ru/api/getInfo/image/4f7c0f58-117e-11f1-a28f-00155d82e908</v>
      </c>
    </row>
    <row r="4429" spans="1:19" s="2" customFormat="1" ht="96.2" customHeight="1" outlineLevel="5">
      <c r="A4429" s="53">
        <v>3490</v>
      </c>
      <c r="B4429" s="10" t="s">
        <v>14668</v>
      </c>
      <c r="C4429" s="65" t="s">
        <v>14669</v>
      </c>
      <c r="D4429" s="65"/>
      <c r="E4429" s="65"/>
      <c r="F4429" s="65"/>
      <c r="G4429" s="11" t="s">
        <v>14670</v>
      </c>
      <c r="H4429" s="14">
        <v>275</v>
      </c>
      <c r="I4429" s="15"/>
      <c r="J4429" s="9">
        <v>2</v>
      </c>
      <c r="K4429" s="16">
        <v>397.72</v>
      </c>
      <c r="L4429" s="17"/>
      <c r="M4429" s="15">
        <f t="shared" si="211"/>
        <v>0</v>
      </c>
      <c r="N4429" s="18">
        <f>0.549*L4429</f>
        <v>0</v>
      </c>
      <c r="O4429" s="19">
        <f>0.00247*L4429</f>
        <v>0</v>
      </c>
      <c r="P4429" s="24" t="s">
        <v>26</v>
      </c>
      <c r="Q4429" s="15" t="s">
        <v>14671</v>
      </c>
      <c r="R4429" s="15"/>
      <c r="S4429" s="10" t="str">
        <f>HYPERLINK("https://miland.ru/api/getInfo/image/004635e6-117f-11f1-a28f-00155d82e908")</f>
        <v>https://miland.ru/api/getInfo/image/004635e6-117f-11f1-a28f-00155d82e908</v>
      </c>
    </row>
    <row r="4430" spans="1:19" s="2" customFormat="1" ht="96.2" customHeight="1" outlineLevel="5">
      <c r="A4430" s="52">
        <v>3491</v>
      </c>
      <c r="B4430" s="26" t="s">
        <v>14672</v>
      </c>
      <c r="C4430" s="66" t="s">
        <v>14673</v>
      </c>
      <c r="D4430" s="66"/>
      <c r="E4430" s="66"/>
      <c r="F4430" s="66"/>
      <c r="G4430" s="27" t="s">
        <v>14674</v>
      </c>
      <c r="H4430" s="33">
        <v>2</v>
      </c>
      <c r="I4430" s="29"/>
      <c r="J4430" s="25">
        <v>2</v>
      </c>
      <c r="K4430" s="30">
        <v>397.72</v>
      </c>
      <c r="L4430" s="17"/>
      <c r="M4430" s="29">
        <f t="shared" si="211"/>
        <v>0</v>
      </c>
      <c r="N4430" s="31">
        <f>0.552*L4430</f>
        <v>0</v>
      </c>
      <c r="O4430" s="32">
        <f>0.00214*L4430</f>
        <v>0</v>
      </c>
      <c r="P4430" s="36"/>
      <c r="Q4430" s="29" t="s">
        <v>14675</v>
      </c>
      <c r="R4430" s="29" t="s">
        <v>611</v>
      </c>
      <c r="S4430" s="26" t="str">
        <f>HYPERLINK("https://miland.ru/api/getInfo/image/0cf64c74-f98a-11ef-a274-00155d82e908")</f>
        <v>https://miland.ru/api/getInfo/image/0cf64c74-f98a-11ef-a274-00155d82e908</v>
      </c>
    </row>
    <row r="4431" spans="1:19" s="1" customFormat="1" ht="12" customHeight="1" outlineLevel="4">
      <c r="A4431" s="64" t="s">
        <v>14676</v>
      </c>
      <c r="B4431" s="64"/>
      <c r="C4431" s="64"/>
      <c r="D4431" s="64"/>
      <c r="E4431" s="64"/>
      <c r="F4431" s="64"/>
      <c r="G4431" s="8"/>
      <c r="H4431" s="12"/>
      <c r="I4431" s="2"/>
      <c r="J4431" s="2"/>
      <c r="K4431" s="13"/>
      <c r="L4431" s="2"/>
      <c r="M4431" s="2"/>
      <c r="N4431" s="2"/>
      <c r="O4431" s="2"/>
      <c r="P4431" s="2"/>
      <c r="Q4431" s="2"/>
      <c r="R4431" s="2"/>
      <c r="S4431" s="2"/>
    </row>
    <row r="4432" spans="1:19" s="2" customFormat="1" ht="96.2" customHeight="1" outlineLevel="5">
      <c r="A4432" s="53">
        <v>3492</v>
      </c>
      <c r="B4432" s="10" t="s">
        <v>14677</v>
      </c>
      <c r="C4432" s="65" t="s">
        <v>14678</v>
      </c>
      <c r="D4432" s="65"/>
      <c r="E4432" s="65"/>
      <c r="F4432" s="65"/>
      <c r="G4432" s="11" t="s">
        <v>14679</v>
      </c>
      <c r="H4432" s="14">
        <v>370</v>
      </c>
      <c r="I4432" s="15"/>
      <c r="J4432" s="9">
        <v>1</v>
      </c>
      <c r="K4432" s="16">
        <v>444.82</v>
      </c>
      <c r="L4432" s="17"/>
      <c r="M4432" s="15">
        <f>K4432*L4432</f>
        <v>0</v>
      </c>
      <c r="N4432" s="18">
        <f>0.593*L4432</f>
        <v>0</v>
      </c>
      <c r="O4432" s="19">
        <f>0.00076*L4432</f>
        <v>0</v>
      </c>
      <c r="P4432" s="24" t="s">
        <v>26</v>
      </c>
      <c r="Q4432" s="15" t="s">
        <v>14680</v>
      </c>
      <c r="R4432" s="15"/>
      <c r="S4432" s="10" t="str">
        <f>HYPERLINK("https://miland.ru/api/getInfo/image/4df95470-117c-11f1-a28f-00155d82e908")</f>
        <v>https://miland.ru/api/getInfo/image/4df95470-117c-11f1-a28f-00155d82e908</v>
      </c>
    </row>
    <row r="4433" spans="1:19" s="2" customFormat="1" ht="96.2" customHeight="1" outlineLevel="5">
      <c r="A4433" s="53">
        <v>3493</v>
      </c>
      <c r="B4433" s="10" t="s">
        <v>14681</v>
      </c>
      <c r="C4433" s="65" t="s">
        <v>14682</v>
      </c>
      <c r="D4433" s="65"/>
      <c r="E4433" s="65"/>
      <c r="F4433" s="65"/>
      <c r="G4433" s="11" t="s">
        <v>14683</v>
      </c>
      <c r="H4433" s="14">
        <v>304</v>
      </c>
      <c r="I4433" s="15"/>
      <c r="J4433" s="9">
        <v>1</v>
      </c>
      <c r="K4433" s="16">
        <v>444.82</v>
      </c>
      <c r="L4433" s="17"/>
      <c r="M4433" s="15">
        <f>K4433*L4433</f>
        <v>0</v>
      </c>
      <c r="N4433" s="18">
        <f>0.549*L4433</f>
        <v>0</v>
      </c>
      <c r="O4433" s="19">
        <f>0.00247*L4433</f>
        <v>0</v>
      </c>
      <c r="P4433" s="24" t="s">
        <v>26</v>
      </c>
      <c r="Q4433" s="15" t="s">
        <v>14684</v>
      </c>
      <c r="R4433" s="15"/>
      <c r="S4433" s="10" t="str">
        <f>HYPERLINK("https://miland.ru/api/getInfo/image/7290aaf9-117c-11f1-a28f-00155d82e908")</f>
        <v>https://miland.ru/api/getInfo/image/7290aaf9-117c-11f1-a28f-00155d82e908</v>
      </c>
    </row>
    <row r="4434" spans="1:19" s="2" customFormat="1" ht="96.2" customHeight="1" outlineLevel="5">
      <c r="A4434" s="53">
        <v>3494</v>
      </c>
      <c r="B4434" s="10" t="s">
        <v>14685</v>
      </c>
      <c r="C4434" s="65" t="s">
        <v>14686</v>
      </c>
      <c r="D4434" s="65"/>
      <c r="E4434" s="65"/>
      <c r="F4434" s="65"/>
      <c r="G4434" s="11" t="s">
        <v>14687</v>
      </c>
      <c r="H4434" s="14">
        <v>320</v>
      </c>
      <c r="I4434" s="15"/>
      <c r="J4434" s="9">
        <v>1</v>
      </c>
      <c r="K4434" s="16">
        <v>444.82</v>
      </c>
      <c r="L4434" s="17"/>
      <c r="M4434" s="15">
        <f>K4434*L4434</f>
        <v>0</v>
      </c>
      <c r="N4434" s="18">
        <f>0.549*L4434</f>
        <v>0</v>
      </c>
      <c r="O4434" s="19">
        <f>0.00247*L4434</f>
        <v>0</v>
      </c>
      <c r="P4434" s="24" t="s">
        <v>26</v>
      </c>
      <c r="Q4434" s="15" t="s">
        <v>14688</v>
      </c>
      <c r="R4434" s="15"/>
      <c r="S4434" s="10" t="str">
        <f>HYPERLINK("https://miland.ru/api/getInfo/image/a35d06d9-117c-11f1-a28f-00155d82e908")</f>
        <v>https://miland.ru/api/getInfo/image/a35d06d9-117c-11f1-a28f-00155d82e908</v>
      </c>
    </row>
    <row r="4435" spans="1:19" s="1" customFormat="1" ht="12" customHeight="1" outlineLevel="3">
      <c r="A4435" s="64" t="s">
        <v>8867</v>
      </c>
      <c r="B4435" s="64"/>
      <c r="C4435" s="64"/>
      <c r="D4435" s="64"/>
      <c r="E4435" s="64"/>
      <c r="F4435" s="64"/>
      <c r="G4435" s="8"/>
      <c r="H4435" s="12"/>
      <c r="I4435" s="2"/>
      <c r="J4435" s="2"/>
      <c r="K4435" s="13"/>
      <c r="L4435" s="2"/>
      <c r="M4435" s="2"/>
      <c r="N4435" s="2"/>
      <c r="O4435" s="2"/>
      <c r="P4435" s="2"/>
      <c r="Q4435" s="2"/>
      <c r="R4435" s="2"/>
      <c r="S4435" s="2"/>
    </row>
    <row r="4436" spans="1:19" s="1" customFormat="1" ht="12" customHeight="1" outlineLevel="4">
      <c r="A4436" s="64" t="s">
        <v>8757</v>
      </c>
      <c r="B4436" s="64"/>
      <c r="C4436" s="64"/>
      <c r="D4436" s="64"/>
      <c r="E4436" s="64"/>
      <c r="F4436" s="64"/>
      <c r="G4436" s="8"/>
      <c r="H4436" s="12"/>
      <c r="I4436" s="2"/>
      <c r="J4436" s="2"/>
      <c r="K4436" s="13"/>
      <c r="L4436" s="2"/>
      <c r="M4436" s="2"/>
      <c r="N4436" s="2"/>
      <c r="O4436" s="2"/>
      <c r="P4436" s="2"/>
      <c r="Q4436" s="2"/>
      <c r="R4436" s="2"/>
      <c r="S4436" s="2"/>
    </row>
    <row r="4437" spans="1:19" s="2" customFormat="1" ht="96.2" customHeight="1" outlineLevel="5">
      <c r="A4437" s="53">
        <v>3495</v>
      </c>
      <c r="B4437" s="10" t="s">
        <v>14689</v>
      </c>
      <c r="C4437" s="65" t="s">
        <v>14690</v>
      </c>
      <c r="D4437" s="65"/>
      <c r="E4437" s="65"/>
      <c r="F4437" s="65"/>
      <c r="G4437" s="11" t="s">
        <v>14691</v>
      </c>
      <c r="H4437" s="21" t="s">
        <v>44</v>
      </c>
      <c r="I4437" s="15"/>
      <c r="J4437" s="9">
        <v>50</v>
      </c>
      <c r="K4437" s="16">
        <v>58.4</v>
      </c>
      <c r="L4437" s="17"/>
      <c r="M4437" s="15">
        <f>K4437*L4437</f>
        <v>0</v>
      </c>
      <c r="N4437" s="18">
        <f>3.135*L4437</f>
        <v>0</v>
      </c>
      <c r="O4437" s="20">
        <f>0.0002*L4437</f>
        <v>0</v>
      </c>
      <c r="P4437" s="24" t="s">
        <v>26</v>
      </c>
      <c r="Q4437" s="15" t="s">
        <v>14692</v>
      </c>
      <c r="R4437" s="15"/>
      <c r="S4437" s="10" t="str">
        <f>HYPERLINK("https://miland.ru/api/getInfo/image/a09b6180-115c-11f1-a28f-00155d82e908")</f>
        <v>https://miland.ru/api/getInfo/image/a09b6180-115c-11f1-a28f-00155d82e908</v>
      </c>
    </row>
    <row r="4438" spans="1:19" s="2" customFormat="1" ht="96.2" customHeight="1" outlineLevel="5">
      <c r="A4438" s="52">
        <v>3496</v>
      </c>
      <c r="B4438" s="26" t="s">
        <v>14693</v>
      </c>
      <c r="C4438" s="66" t="s">
        <v>14694</v>
      </c>
      <c r="D4438" s="66"/>
      <c r="E4438" s="66"/>
      <c r="F4438" s="66"/>
      <c r="G4438" s="27" t="s">
        <v>14695</v>
      </c>
      <c r="H4438" s="28" t="s">
        <v>44</v>
      </c>
      <c r="I4438" s="29"/>
      <c r="J4438" s="25">
        <v>50</v>
      </c>
      <c r="K4438" s="30">
        <v>58.4</v>
      </c>
      <c r="L4438" s="17"/>
      <c r="M4438" s="29">
        <f>K4438*L4438</f>
        <v>0</v>
      </c>
      <c r="N4438" s="31">
        <f>0.532*L4438</f>
        <v>0</v>
      </c>
      <c r="O4438" s="32">
        <f>0.00214*L4438</f>
        <v>0</v>
      </c>
      <c r="P4438" s="36"/>
      <c r="Q4438" s="29" t="s">
        <v>14696</v>
      </c>
      <c r="R4438" s="29"/>
      <c r="S4438" s="26" t="str">
        <f>HYPERLINK("https://miland.ru/api/getInfo/image/bba4a346-f98c-11ef-a274-00155d82e908")</f>
        <v>https://miland.ru/api/getInfo/image/bba4a346-f98c-11ef-a274-00155d82e908</v>
      </c>
    </row>
    <row r="4439" spans="1:19" s="2" customFormat="1" ht="96.2" customHeight="1" outlineLevel="5">
      <c r="A4439" s="53">
        <v>3497</v>
      </c>
      <c r="B4439" s="10" t="s">
        <v>14697</v>
      </c>
      <c r="C4439" s="65" t="s">
        <v>14698</v>
      </c>
      <c r="D4439" s="65"/>
      <c r="E4439" s="65"/>
      <c r="F4439" s="65"/>
      <c r="G4439" s="11" t="s">
        <v>14699</v>
      </c>
      <c r="H4439" s="21" t="s">
        <v>44</v>
      </c>
      <c r="I4439" s="15"/>
      <c r="J4439" s="9">
        <v>50</v>
      </c>
      <c r="K4439" s="16">
        <v>54.12</v>
      </c>
      <c r="L4439" s="17"/>
      <c r="M4439" s="15">
        <f>K4439*L4439</f>
        <v>0</v>
      </c>
      <c r="N4439" s="23">
        <f>0.06*L4439</f>
        <v>0</v>
      </c>
      <c r="O4439" s="19">
        <f>0.00078*L4439</f>
        <v>0</v>
      </c>
      <c r="P4439" s="24" t="s">
        <v>26</v>
      </c>
      <c r="Q4439" s="15" t="s">
        <v>14700</v>
      </c>
      <c r="R4439" s="15"/>
      <c r="S4439" s="10" t="str">
        <f>HYPERLINK("https://miland.ru/api/getInfo/image/17d6cf3e-115d-11f1-a28f-00155d82e908")</f>
        <v>https://miland.ru/api/getInfo/image/17d6cf3e-115d-11f1-a28f-00155d82e908</v>
      </c>
    </row>
    <row r="4440" spans="1:19" s="1" customFormat="1" ht="12" customHeight="1" outlineLevel="2">
      <c r="A4440" s="63" t="s">
        <v>14701</v>
      </c>
      <c r="B4440" s="63"/>
      <c r="C4440" s="63"/>
      <c r="D4440" s="63"/>
      <c r="E4440" s="63"/>
      <c r="F4440" s="63"/>
      <c r="G4440" s="8"/>
      <c r="H4440" s="12"/>
      <c r="I4440" s="2"/>
      <c r="J4440" s="2"/>
      <c r="K4440" s="13"/>
      <c r="L4440" s="2"/>
      <c r="M4440" s="2"/>
      <c r="N4440" s="2"/>
      <c r="O4440" s="2"/>
      <c r="P4440" s="2"/>
      <c r="Q4440" s="2"/>
      <c r="R4440" s="2"/>
      <c r="S4440" s="2"/>
    </row>
    <row r="4441" spans="1:19" s="1" customFormat="1" ht="12" customHeight="1" outlineLevel="3">
      <c r="A4441" s="64" t="s">
        <v>14702</v>
      </c>
      <c r="B4441" s="64"/>
      <c r="C4441" s="64"/>
      <c r="D4441" s="64"/>
      <c r="E4441" s="64"/>
      <c r="F4441" s="64"/>
      <c r="G4441" s="8"/>
      <c r="H4441" s="12"/>
      <c r="I4441" s="2"/>
      <c r="J4441" s="2"/>
      <c r="K4441" s="13"/>
      <c r="L4441" s="2"/>
      <c r="M4441" s="2"/>
      <c r="N4441" s="2"/>
      <c r="O4441" s="2"/>
      <c r="P4441" s="2"/>
      <c r="Q4441" s="2"/>
      <c r="R4441" s="2"/>
      <c r="S4441" s="2"/>
    </row>
    <row r="4442" spans="1:19" s="1" customFormat="1" ht="12" customHeight="1" outlineLevel="4">
      <c r="A4442" s="64" t="s">
        <v>14703</v>
      </c>
      <c r="B4442" s="64"/>
      <c r="C4442" s="64"/>
      <c r="D4442" s="64"/>
      <c r="E4442" s="64"/>
      <c r="F4442" s="64"/>
      <c r="G4442" s="8"/>
      <c r="H4442" s="12"/>
      <c r="I4442" s="2"/>
      <c r="J4442" s="2"/>
      <c r="K4442" s="13"/>
      <c r="L4442" s="2"/>
      <c r="M4442" s="2"/>
      <c r="N4442" s="2"/>
      <c r="O4442" s="2"/>
      <c r="P4442" s="2"/>
      <c r="Q4442" s="2"/>
      <c r="R4442" s="2"/>
      <c r="S4442" s="2"/>
    </row>
    <row r="4443" spans="1:19" s="1" customFormat="1" ht="12" customHeight="1" outlineLevel="5">
      <c r="A4443" s="64" t="s">
        <v>14704</v>
      </c>
      <c r="B4443" s="64"/>
      <c r="C4443" s="64"/>
      <c r="D4443" s="64"/>
      <c r="E4443" s="64"/>
      <c r="F4443" s="64"/>
      <c r="G4443" s="8"/>
      <c r="H4443" s="12"/>
      <c r="I4443" s="2"/>
      <c r="J4443" s="2"/>
      <c r="K4443" s="13"/>
      <c r="L4443" s="2"/>
      <c r="M4443" s="2"/>
      <c r="N4443" s="2"/>
      <c r="O4443" s="2"/>
      <c r="P4443" s="2"/>
      <c r="Q4443" s="2"/>
      <c r="R4443" s="2"/>
      <c r="S4443" s="2"/>
    </row>
    <row r="4444" spans="1:19" s="2" customFormat="1" ht="96.2" customHeight="1" outlineLevel="6">
      <c r="A4444" s="52">
        <v>3498</v>
      </c>
      <c r="B4444" s="26" t="s">
        <v>14705</v>
      </c>
      <c r="C4444" s="66" t="s">
        <v>14706</v>
      </c>
      <c r="D4444" s="66"/>
      <c r="E4444" s="66"/>
      <c r="F4444" s="66"/>
      <c r="G4444" s="27" t="s">
        <v>14707</v>
      </c>
      <c r="H4444" s="33">
        <v>1</v>
      </c>
      <c r="I4444" s="29"/>
      <c r="J4444" s="25">
        <v>1</v>
      </c>
      <c r="K4444" s="37">
        <v>1481.3</v>
      </c>
      <c r="L4444" s="17"/>
      <c r="M4444" s="29">
        <f>K4444*L4444</f>
        <v>0</v>
      </c>
      <c r="N4444" s="31">
        <f>1.401*L4444</f>
        <v>0</v>
      </c>
      <c r="O4444" s="32">
        <f>0.00932*L4444</f>
        <v>0</v>
      </c>
      <c r="P4444" s="36"/>
      <c r="Q4444" s="29" t="s">
        <v>14708</v>
      </c>
      <c r="R4444" s="29" t="s">
        <v>611</v>
      </c>
      <c r="S4444" s="26" t="str">
        <f>HYPERLINK("https://miland.ru/api/getInfo/image/cd0f7e29-f186-11ee-a25b-00155d82e908")</f>
        <v>https://miland.ru/api/getInfo/image/cd0f7e29-f186-11ee-a25b-00155d82e908</v>
      </c>
    </row>
    <row r="4445" spans="1:19" s="1" customFormat="1" ht="12" customHeight="1" outlineLevel="5">
      <c r="A4445" s="64" t="s">
        <v>14709</v>
      </c>
      <c r="B4445" s="64"/>
      <c r="C4445" s="64"/>
      <c r="D4445" s="64"/>
      <c r="E4445" s="64"/>
      <c r="F4445" s="64"/>
      <c r="G4445" s="8"/>
      <c r="H4445" s="12"/>
      <c r="I4445" s="2"/>
      <c r="J4445" s="2"/>
      <c r="K4445" s="13"/>
      <c r="L4445" s="2"/>
      <c r="M4445" s="2"/>
      <c r="N4445" s="2"/>
      <c r="O4445" s="2"/>
      <c r="P4445" s="2"/>
      <c r="Q4445" s="2"/>
      <c r="R4445" s="2"/>
      <c r="S4445" s="2"/>
    </row>
    <row r="4446" spans="1:19" s="2" customFormat="1" ht="96.2" customHeight="1" outlineLevel="6">
      <c r="A4446" s="52">
        <v>3499</v>
      </c>
      <c r="B4446" s="26" t="s">
        <v>14710</v>
      </c>
      <c r="C4446" s="66" t="s">
        <v>14711</v>
      </c>
      <c r="D4446" s="66"/>
      <c r="E4446" s="66"/>
      <c r="F4446" s="66"/>
      <c r="G4446" s="27" t="s">
        <v>14712</v>
      </c>
      <c r="H4446" s="33">
        <v>5</v>
      </c>
      <c r="I4446" s="29"/>
      <c r="J4446" s="25">
        <v>1</v>
      </c>
      <c r="K4446" s="37">
        <v>2588.85</v>
      </c>
      <c r="L4446" s="17"/>
      <c r="M4446" s="29">
        <f>K4446*L4446</f>
        <v>0</v>
      </c>
      <c r="N4446" s="31">
        <f>3.759*L4446</f>
        <v>0</v>
      </c>
      <c r="O4446" s="32">
        <f>0.01868*L4446</f>
        <v>0</v>
      </c>
      <c r="P4446" s="36"/>
      <c r="Q4446" s="29" t="s">
        <v>14713</v>
      </c>
      <c r="R4446" s="29" t="s">
        <v>611</v>
      </c>
      <c r="S4446" s="26" t="str">
        <f>HYPERLINK("https://miland.ru/api/getInfo/image/54e0be80-21b8-11f0-a279-00155d82e908")</f>
        <v>https://miland.ru/api/getInfo/image/54e0be80-21b8-11f0-a279-00155d82e908</v>
      </c>
    </row>
    <row r="4447" spans="1:19" s="2" customFormat="1" ht="96.2" customHeight="1" outlineLevel="6">
      <c r="A4447" s="52">
        <v>3500</v>
      </c>
      <c r="B4447" s="26" t="s">
        <v>14714</v>
      </c>
      <c r="C4447" s="66" t="s">
        <v>14715</v>
      </c>
      <c r="D4447" s="66"/>
      <c r="E4447" s="66"/>
      <c r="F4447" s="66"/>
      <c r="G4447" s="27" t="s">
        <v>14716</v>
      </c>
      <c r="H4447" s="33">
        <v>5</v>
      </c>
      <c r="I4447" s="29"/>
      <c r="J4447" s="25">
        <v>1</v>
      </c>
      <c r="K4447" s="37">
        <v>2386.25</v>
      </c>
      <c r="L4447" s="17"/>
      <c r="M4447" s="29">
        <f>K4447*L4447</f>
        <v>0</v>
      </c>
      <c r="N4447" s="31">
        <f>3.714*L4447</f>
        <v>0</v>
      </c>
      <c r="O4447" s="32">
        <f>0.01763*L4447</f>
        <v>0</v>
      </c>
      <c r="P4447" s="36"/>
      <c r="Q4447" s="29" t="s">
        <v>14717</v>
      </c>
      <c r="R4447" s="29" t="s">
        <v>611</v>
      </c>
      <c r="S4447" s="26" t="str">
        <f>HYPERLINK("https://miland.ru/api/getInfo/image/5da239dd-21b9-11f0-a279-00155d82e908")</f>
        <v>https://miland.ru/api/getInfo/image/5da239dd-21b9-11f0-a279-00155d82e908</v>
      </c>
    </row>
    <row r="4448" spans="1:19" s="2" customFormat="1" ht="96.2" customHeight="1" outlineLevel="6">
      <c r="A4448" s="52">
        <v>3501</v>
      </c>
      <c r="B4448" s="26" t="s">
        <v>14718</v>
      </c>
      <c r="C4448" s="66" t="s">
        <v>14719</v>
      </c>
      <c r="D4448" s="66"/>
      <c r="E4448" s="66"/>
      <c r="F4448" s="66"/>
      <c r="G4448" s="27" t="s">
        <v>14720</v>
      </c>
      <c r="H4448" s="33">
        <v>6</v>
      </c>
      <c r="I4448" s="29"/>
      <c r="J4448" s="25">
        <v>1</v>
      </c>
      <c r="K4448" s="37">
        <v>2588.85</v>
      </c>
      <c r="L4448" s="17"/>
      <c r="M4448" s="29">
        <f>K4448*L4448</f>
        <v>0</v>
      </c>
      <c r="N4448" s="31">
        <f>3.768*L4448</f>
        <v>0</v>
      </c>
      <c r="O4448" s="32">
        <f>0.01742*L4448</f>
        <v>0</v>
      </c>
      <c r="P4448" s="36"/>
      <c r="Q4448" s="29" t="s">
        <v>14721</v>
      </c>
      <c r="R4448" s="29" t="s">
        <v>611</v>
      </c>
      <c r="S4448" s="26" t="str">
        <f>HYPERLINK("https://miland.ru/api/getInfo/image/fb01e11f-21b9-11f0-a279-00155d82e908")</f>
        <v>https://miland.ru/api/getInfo/image/fb01e11f-21b9-11f0-a279-00155d82e908</v>
      </c>
    </row>
    <row r="4449" spans="1:19" s="1" customFormat="1" ht="12" customHeight="1" outlineLevel="3">
      <c r="A4449" s="64" t="s">
        <v>14722</v>
      </c>
      <c r="B4449" s="64"/>
      <c r="C4449" s="64"/>
      <c r="D4449" s="64"/>
      <c r="E4449" s="64"/>
      <c r="F4449" s="64"/>
      <c r="G4449" s="8"/>
      <c r="H4449" s="12"/>
      <c r="I4449" s="2"/>
      <c r="J4449" s="2"/>
      <c r="K4449" s="13"/>
      <c r="L4449" s="2"/>
      <c r="M4449" s="2"/>
      <c r="N4449" s="2"/>
      <c r="O4449" s="2"/>
      <c r="P4449" s="2"/>
      <c r="Q4449" s="2"/>
      <c r="R4449" s="2"/>
      <c r="S4449" s="2"/>
    </row>
    <row r="4450" spans="1:19" s="1" customFormat="1" ht="12" customHeight="1" outlineLevel="4">
      <c r="A4450" s="64" t="s">
        <v>14723</v>
      </c>
      <c r="B4450" s="64"/>
      <c r="C4450" s="64"/>
      <c r="D4450" s="64"/>
      <c r="E4450" s="64"/>
      <c r="F4450" s="64"/>
      <c r="G4450" s="8"/>
      <c r="H4450" s="12"/>
      <c r="I4450" s="2"/>
      <c r="J4450" s="2"/>
      <c r="K4450" s="13"/>
      <c r="L4450" s="2"/>
      <c r="M4450" s="2"/>
      <c r="N4450" s="2"/>
      <c r="O4450" s="2"/>
      <c r="P4450" s="2"/>
      <c r="Q4450" s="2"/>
      <c r="R4450" s="2"/>
      <c r="S4450" s="2"/>
    </row>
    <row r="4451" spans="1:19" s="1" customFormat="1" ht="12" customHeight="1" outlineLevel="5">
      <c r="A4451" s="64" t="s">
        <v>14724</v>
      </c>
      <c r="B4451" s="64"/>
      <c r="C4451" s="64"/>
      <c r="D4451" s="64"/>
      <c r="E4451" s="64"/>
      <c r="F4451" s="64"/>
      <c r="G4451" s="8"/>
      <c r="H4451" s="12"/>
      <c r="I4451" s="2"/>
      <c r="J4451" s="2"/>
      <c r="K4451" s="13"/>
      <c r="L4451" s="2"/>
      <c r="M4451" s="2"/>
      <c r="N4451" s="2"/>
      <c r="O4451" s="2"/>
      <c r="P4451" s="2"/>
      <c r="Q4451" s="2"/>
      <c r="R4451" s="2"/>
      <c r="S4451" s="2"/>
    </row>
    <row r="4452" spans="1:19" s="2" customFormat="1" ht="96.2" customHeight="1" outlineLevel="6">
      <c r="A4452" s="52">
        <v>3502</v>
      </c>
      <c r="B4452" s="26" t="s">
        <v>14725</v>
      </c>
      <c r="C4452" s="66" t="s">
        <v>14726</v>
      </c>
      <c r="D4452" s="66"/>
      <c r="E4452" s="66"/>
      <c r="F4452" s="66"/>
      <c r="G4452" s="27" t="s">
        <v>14727</v>
      </c>
      <c r="H4452" s="33">
        <v>6</v>
      </c>
      <c r="I4452" s="29"/>
      <c r="J4452" s="25">
        <v>1</v>
      </c>
      <c r="K4452" s="37">
        <v>1801.19</v>
      </c>
      <c r="L4452" s="17"/>
      <c r="M4452" s="29">
        <f>K4452*L4452</f>
        <v>0</v>
      </c>
      <c r="N4452" s="31">
        <f>1.359*L4452</f>
        <v>0</v>
      </c>
      <c r="O4452" s="32">
        <f>0.01017*L4452</f>
        <v>0</v>
      </c>
      <c r="P4452" s="36"/>
      <c r="Q4452" s="29" t="s">
        <v>14728</v>
      </c>
      <c r="R4452" s="29" t="s">
        <v>611</v>
      </c>
      <c r="S4452" s="26" t="str">
        <f>HYPERLINK("https://miland.ru/api/getInfo/image/1cf217dc-f188-11ee-a25b-00155d82e908")</f>
        <v>https://miland.ru/api/getInfo/image/1cf217dc-f188-11ee-a25b-00155d82e908</v>
      </c>
    </row>
    <row r="4453" spans="1:19" s="1" customFormat="1" ht="12" customHeight="1" outlineLevel="4">
      <c r="A4453" s="64" t="s">
        <v>8891</v>
      </c>
      <c r="B4453" s="64"/>
      <c r="C4453" s="64"/>
      <c r="D4453" s="64"/>
      <c r="E4453" s="64"/>
      <c r="F4453" s="64"/>
      <c r="G4453" s="8"/>
      <c r="H4453" s="12"/>
      <c r="I4453" s="2"/>
      <c r="J4453" s="2"/>
      <c r="K4453" s="13"/>
      <c r="L4453" s="2"/>
      <c r="M4453" s="2"/>
      <c r="N4453" s="2"/>
      <c r="O4453" s="2"/>
      <c r="P4453" s="2"/>
      <c r="Q4453" s="2"/>
      <c r="R4453" s="2"/>
      <c r="S4453" s="2"/>
    </row>
    <row r="4454" spans="1:19" s="1" customFormat="1" ht="12" customHeight="1" outlineLevel="5">
      <c r="A4454" s="64" t="s">
        <v>14729</v>
      </c>
      <c r="B4454" s="64"/>
      <c r="C4454" s="64"/>
      <c r="D4454" s="64"/>
      <c r="E4454" s="64"/>
      <c r="F4454" s="64"/>
      <c r="G4454" s="8"/>
      <c r="H4454" s="12"/>
      <c r="I4454" s="2"/>
      <c r="J4454" s="2"/>
      <c r="K4454" s="13"/>
      <c r="L4454" s="2"/>
      <c r="M4454" s="2"/>
      <c r="N4454" s="2"/>
      <c r="O4454" s="2"/>
      <c r="P4454" s="2"/>
      <c r="Q4454" s="2"/>
      <c r="R4454" s="2"/>
      <c r="S4454" s="2"/>
    </row>
    <row r="4455" spans="1:19" s="2" customFormat="1" ht="96.2" customHeight="1" outlineLevel="6">
      <c r="A4455" s="52">
        <v>3503</v>
      </c>
      <c r="B4455" s="26" t="s">
        <v>14730</v>
      </c>
      <c r="C4455" s="66" t="s">
        <v>14731</v>
      </c>
      <c r="D4455" s="66"/>
      <c r="E4455" s="66"/>
      <c r="F4455" s="66"/>
      <c r="G4455" s="27" t="s">
        <v>14732</v>
      </c>
      <c r="H4455" s="33">
        <v>4</v>
      </c>
      <c r="I4455" s="29"/>
      <c r="J4455" s="25">
        <v>1</v>
      </c>
      <c r="K4455" s="30">
        <v>550.71</v>
      </c>
      <c r="L4455" s="17"/>
      <c r="M4455" s="29">
        <f>K4455*L4455</f>
        <v>0</v>
      </c>
      <c r="N4455" s="31">
        <f>0.453*L4455</f>
        <v>0</v>
      </c>
      <c r="O4455" s="32">
        <f>0.00513*L4455</f>
        <v>0</v>
      </c>
      <c r="P4455" s="36"/>
      <c r="Q4455" s="29" t="s">
        <v>14733</v>
      </c>
      <c r="R4455" s="29" t="s">
        <v>611</v>
      </c>
      <c r="S4455" s="26" t="str">
        <f>HYPERLINK("https://miland.ru/api/getInfo/image/42b02a16-f0f6-11ee-a25b-00155d82e908")</f>
        <v>https://miland.ru/api/getInfo/image/42b02a16-f0f6-11ee-a25b-00155d82e908</v>
      </c>
    </row>
    <row r="4456" spans="1:19" s="1" customFormat="1" ht="12" customHeight="1" outlineLevel="3">
      <c r="A4456" s="64" t="s">
        <v>14734</v>
      </c>
      <c r="B4456" s="64"/>
      <c r="C4456" s="64"/>
      <c r="D4456" s="64"/>
      <c r="E4456" s="64"/>
      <c r="F4456" s="64"/>
      <c r="G4456" s="8"/>
      <c r="H4456" s="12"/>
      <c r="I4456" s="2"/>
      <c r="J4456" s="2"/>
      <c r="K4456" s="13"/>
      <c r="L4456" s="2"/>
      <c r="M4456" s="2"/>
      <c r="N4456" s="2"/>
      <c r="O4456" s="2"/>
      <c r="P4456" s="2"/>
      <c r="Q4456" s="2"/>
      <c r="R4456" s="2"/>
      <c r="S4456" s="2"/>
    </row>
    <row r="4457" spans="1:19" s="1" customFormat="1" ht="12" customHeight="1" outlineLevel="4">
      <c r="A4457" s="64" t="s">
        <v>14735</v>
      </c>
      <c r="B4457" s="64"/>
      <c r="C4457" s="64"/>
      <c r="D4457" s="64"/>
      <c r="E4457" s="64"/>
      <c r="F4457" s="64"/>
      <c r="G4457" s="8"/>
      <c r="H4457" s="12"/>
      <c r="I4457" s="2"/>
      <c r="J4457" s="2"/>
      <c r="K4457" s="13"/>
      <c r="L4457" s="2"/>
      <c r="M4457" s="2"/>
      <c r="N4457" s="2"/>
      <c r="O4457" s="2"/>
      <c r="P4457" s="2"/>
      <c r="Q4457" s="2"/>
      <c r="R4457" s="2"/>
      <c r="S4457" s="2"/>
    </row>
    <row r="4458" spans="1:19" s="1" customFormat="1" ht="12" customHeight="1" outlineLevel="5">
      <c r="A4458" s="64" t="s">
        <v>8891</v>
      </c>
      <c r="B4458" s="64"/>
      <c r="C4458" s="64"/>
      <c r="D4458" s="64"/>
      <c r="E4458" s="64"/>
      <c r="F4458" s="64"/>
      <c r="G4458" s="8"/>
      <c r="H4458" s="12"/>
      <c r="I4458" s="2"/>
      <c r="J4458" s="2"/>
      <c r="K4458" s="13"/>
      <c r="L4458" s="2"/>
      <c r="M4458" s="2"/>
      <c r="N4458" s="2"/>
      <c r="O4458" s="2"/>
      <c r="P4458" s="2"/>
      <c r="Q4458" s="2"/>
      <c r="R4458" s="2"/>
      <c r="S4458" s="2"/>
    </row>
    <row r="4459" spans="1:19" s="1" customFormat="1" ht="12" customHeight="1" outlineLevel="6">
      <c r="A4459" s="64" t="s">
        <v>9082</v>
      </c>
      <c r="B4459" s="64"/>
      <c r="C4459" s="64"/>
      <c r="D4459" s="64"/>
      <c r="E4459" s="64"/>
      <c r="F4459" s="64"/>
      <c r="G4459" s="8"/>
      <c r="H4459" s="12"/>
      <c r="I4459" s="2"/>
      <c r="J4459" s="2"/>
      <c r="K4459" s="13"/>
      <c r="L4459" s="2"/>
      <c r="M4459" s="2"/>
      <c r="N4459" s="2"/>
      <c r="O4459" s="2"/>
      <c r="P4459" s="2"/>
      <c r="Q4459" s="2"/>
      <c r="R4459" s="2"/>
      <c r="S4459" s="2"/>
    </row>
    <row r="4460" spans="1:19" s="2" customFormat="1" ht="96.2" customHeight="1" outlineLevel="7">
      <c r="A4460" s="52">
        <v>3504</v>
      </c>
      <c r="B4460" s="26" t="s">
        <v>14736</v>
      </c>
      <c r="C4460" s="66" t="s">
        <v>14737</v>
      </c>
      <c r="D4460" s="66"/>
      <c r="E4460" s="66"/>
      <c r="F4460" s="66"/>
      <c r="G4460" s="27" t="s">
        <v>14738</v>
      </c>
      <c r="H4460" s="33">
        <v>2</v>
      </c>
      <c r="I4460" s="29"/>
      <c r="J4460" s="25">
        <v>1</v>
      </c>
      <c r="K4460" s="30">
        <v>534.9</v>
      </c>
      <c r="L4460" s="17"/>
      <c r="M4460" s="29">
        <f>K4460*L4460</f>
        <v>0</v>
      </c>
      <c r="N4460" s="31">
        <f>0.376*L4460</f>
        <v>0</v>
      </c>
      <c r="O4460" s="32">
        <f>0.00373*L4460</f>
        <v>0</v>
      </c>
      <c r="P4460" s="36"/>
      <c r="Q4460" s="29" t="s">
        <v>14739</v>
      </c>
      <c r="R4460" s="29"/>
      <c r="S4460" s="26" t="str">
        <f>HYPERLINK("https://miland.ru/api/getInfo/image/e4dbccbe-3248-11f0-a27c-00155d82e908")</f>
        <v>https://miland.ru/api/getInfo/image/e4dbccbe-3248-11f0-a27c-00155d82e908</v>
      </c>
    </row>
    <row r="4461" spans="1:19" s="2" customFormat="1" ht="96.2" customHeight="1" outlineLevel="7">
      <c r="A4461" s="52">
        <v>3505</v>
      </c>
      <c r="B4461" s="26" t="s">
        <v>14740</v>
      </c>
      <c r="C4461" s="66" t="s">
        <v>14741</v>
      </c>
      <c r="D4461" s="66"/>
      <c r="E4461" s="66"/>
      <c r="F4461" s="66"/>
      <c r="G4461" s="27" t="s">
        <v>14742</v>
      </c>
      <c r="H4461" s="33">
        <v>103</v>
      </c>
      <c r="I4461" s="29"/>
      <c r="J4461" s="25">
        <v>1</v>
      </c>
      <c r="K4461" s="30">
        <v>510.58</v>
      </c>
      <c r="L4461" s="17"/>
      <c r="M4461" s="29">
        <f>K4461*L4461</f>
        <v>0</v>
      </c>
      <c r="N4461" s="34">
        <f>0.39*L4461</f>
        <v>0</v>
      </c>
      <c r="O4461" s="32">
        <f>0.00418*L4461</f>
        <v>0</v>
      </c>
      <c r="P4461" s="36"/>
      <c r="Q4461" s="29" t="s">
        <v>14743</v>
      </c>
      <c r="R4461" s="29"/>
      <c r="S4461" s="26" t="str">
        <f>HYPERLINK("https://miland.ru/api/getInfo/image/a9498e65-3248-11f0-a27c-00155d82e908")</f>
        <v>https://miland.ru/api/getInfo/image/a9498e65-3248-11f0-a27c-00155d82e908</v>
      </c>
    </row>
    <row r="4462" spans="1:19" s="2" customFormat="1" ht="96.2" customHeight="1" outlineLevel="7">
      <c r="A4462" s="52">
        <v>3506</v>
      </c>
      <c r="B4462" s="26" t="s">
        <v>14744</v>
      </c>
      <c r="C4462" s="66" t="s">
        <v>14745</v>
      </c>
      <c r="D4462" s="66"/>
      <c r="E4462" s="66"/>
      <c r="F4462" s="66"/>
      <c r="G4462" s="27" t="s">
        <v>14746</v>
      </c>
      <c r="H4462" s="33">
        <v>92</v>
      </c>
      <c r="I4462" s="29"/>
      <c r="J4462" s="25">
        <v>1</v>
      </c>
      <c r="K4462" s="30">
        <v>534.9</v>
      </c>
      <c r="L4462" s="17"/>
      <c r="M4462" s="29">
        <f>K4462*L4462</f>
        <v>0</v>
      </c>
      <c r="N4462" s="31">
        <f>0.374*L4462</f>
        <v>0</v>
      </c>
      <c r="O4462" s="32">
        <f>0.00379*L4462</f>
        <v>0</v>
      </c>
      <c r="P4462" s="36"/>
      <c r="Q4462" s="29" t="s">
        <v>14747</v>
      </c>
      <c r="R4462" s="29"/>
      <c r="S4462" s="26" t="str">
        <f>HYPERLINK("https://miland.ru/api/getInfo/image/1d202afb-3249-11f0-a27c-00155d82e908")</f>
        <v>https://miland.ru/api/getInfo/image/1d202afb-3249-11f0-a27c-00155d82e908</v>
      </c>
    </row>
    <row r="4463" spans="1:19" s="1" customFormat="1" ht="12" customHeight="1" outlineLevel="6">
      <c r="A4463" s="64" t="s">
        <v>9125</v>
      </c>
      <c r="B4463" s="64"/>
      <c r="C4463" s="64"/>
      <c r="D4463" s="64"/>
      <c r="E4463" s="64"/>
      <c r="F4463" s="64"/>
      <c r="G4463" s="8"/>
      <c r="H4463" s="12"/>
      <c r="I4463" s="2"/>
      <c r="J4463" s="2"/>
      <c r="K4463" s="13"/>
      <c r="L4463" s="2"/>
      <c r="M4463" s="2"/>
      <c r="N4463" s="2"/>
      <c r="O4463" s="2"/>
      <c r="P4463" s="2"/>
      <c r="Q4463" s="2"/>
      <c r="R4463" s="2"/>
      <c r="S4463" s="2"/>
    </row>
    <row r="4464" spans="1:19" s="2" customFormat="1" ht="96.2" customHeight="1" outlineLevel="7">
      <c r="A4464" s="52">
        <v>3507</v>
      </c>
      <c r="B4464" s="26" t="s">
        <v>14748</v>
      </c>
      <c r="C4464" s="66" t="s">
        <v>14749</v>
      </c>
      <c r="D4464" s="66"/>
      <c r="E4464" s="66"/>
      <c r="F4464" s="66"/>
      <c r="G4464" s="27" t="s">
        <v>14750</v>
      </c>
      <c r="H4464" s="33">
        <v>53</v>
      </c>
      <c r="I4464" s="29"/>
      <c r="J4464" s="25">
        <v>1</v>
      </c>
      <c r="K4464" s="30">
        <v>486.27</v>
      </c>
      <c r="L4464" s="17"/>
      <c r="M4464" s="29">
        <f t="shared" ref="M4464:M4471" si="212">K4464*L4464</f>
        <v>0</v>
      </c>
      <c r="N4464" s="31">
        <f>0.406*L4464</f>
        <v>0</v>
      </c>
      <c r="O4464" s="32">
        <f>0.00343*L4464</f>
        <v>0</v>
      </c>
      <c r="P4464" s="36"/>
      <c r="Q4464" s="29" t="s">
        <v>14751</v>
      </c>
      <c r="R4464" s="29"/>
      <c r="S4464" s="26" t="str">
        <f>HYPERLINK("https://miland.ru/api/getInfo/image/05140cdb-3245-11f0-a27c-00155d82e908")</f>
        <v>https://miland.ru/api/getInfo/image/05140cdb-3245-11f0-a27c-00155d82e908</v>
      </c>
    </row>
    <row r="4465" spans="1:19" s="2" customFormat="1" ht="96.2" customHeight="1" outlineLevel="7">
      <c r="A4465" s="52">
        <v>3508</v>
      </c>
      <c r="B4465" s="26" t="s">
        <v>14752</v>
      </c>
      <c r="C4465" s="66" t="s">
        <v>14753</v>
      </c>
      <c r="D4465" s="66"/>
      <c r="E4465" s="66"/>
      <c r="F4465" s="66"/>
      <c r="G4465" s="27" t="s">
        <v>14754</v>
      </c>
      <c r="H4465" s="33">
        <v>184</v>
      </c>
      <c r="I4465" s="29"/>
      <c r="J4465" s="25">
        <v>1</v>
      </c>
      <c r="K4465" s="30">
        <v>826.65</v>
      </c>
      <c r="L4465" s="17"/>
      <c r="M4465" s="29">
        <f t="shared" si="212"/>
        <v>0</v>
      </c>
      <c r="N4465" s="31">
        <f>0.723*L4465</f>
        <v>0</v>
      </c>
      <c r="O4465" s="32">
        <f>0.00629*L4465</f>
        <v>0</v>
      </c>
      <c r="P4465" s="36"/>
      <c r="Q4465" s="29" t="s">
        <v>14755</v>
      </c>
      <c r="R4465" s="29"/>
      <c r="S4465" s="26" t="str">
        <f>HYPERLINK("https://miland.ru/api/getInfo/image/4dd2cea3-3248-11f0-a27c-00155d82e908")</f>
        <v>https://miland.ru/api/getInfo/image/4dd2cea3-3248-11f0-a27c-00155d82e908</v>
      </c>
    </row>
    <row r="4466" spans="1:19" s="2" customFormat="1" ht="96.2" customHeight="1" outlineLevel="7">
      <c r="A4466" s="52">
        <v>3509</v>
      </c>
      <c r="B4466" s="26" t="s">
        <v>14756</v>
      </c>
      <c r="C4466" s="66" t="s">
        <v>14757</v>
      </c>
      <c r="D4466" s="66"/>
      <c r="E4466" s="66"/>
      <c r="F4466" s="66"/>
      <c r="G4466" s="27" t="s">
        <v>14758</v>
      </c>
      <c r="H4466" s="33">
        <v>5</v>
      </c>
      <c r="I4466" s="29"/>
      <c r="J4466" s="25">
        <v>1</v>
      </c>
      <c r="K4466" s="30">
        <v>923.9</v>
      </c>
      <c r="L4466" s="17"/>
      <c r="M4466" s="29">
        <f t="shared" si="212"/>
        <v>0</v>
      </c>
      <c r="N4466" s="31">
        <f>0.692*L4466</f>
        <v>0</v>
      </c>
      <c r="O4466" s="32">
        <f>0.00664*L4466</f>
        <v>0</v>
      </c>
      <c r="P4466" s="36"/>
      <c r="Q4466" s="29" t="s">
        <v>14759</v>
      </c>
      <c r="R4466" s="29" t="s">
        <v>611</v>
      </c>
      <c r="S4466" s="26" t="str">
        <f>HYPERLINK("https://miland.ru/api/getInfo/image/e28637a0-3247-11f0-a27c-00155d82e908")</f>
        <v>https://miland.ru/api/getInfo/image/e28637a0-3247-11f0-a27c-00155d82e908</v>
      </c>
    </row>
    <row r="4467" spans="1:19" s="2" customFormat="1" ht="96.2" customHeight="1" outlineLevel="7">
      <c r="A4467" s="52">
        <v>3510</v>
      </c>
      <c r="B4467" s="26" t="s">
        <v>14760</v>
      </c>
      <c r="C4467" s="66" t="s">
        <v>14761</v>
      </c>
      <c r="D4467" s="66"/>
      <c r="E4467" s="66"/>
      <c r="F4467" s="66"/>
      <c r="G4467" s="27" t="s">
        <v>14762</v>
      </c>
      <c r="H4467" s="33">
        <v>90</v>
      </c>
      <c r="I4467" s="29"/>
      <c r="J4467" s="25">
        <v>1</v>
      </c>
      <c r="K4467" s="30">
        <v>486.27</v>
      </c>
      <c r="L4467" s="17"/>
      <c r="M4467" s="29">
        <f t="shared" si="212"/>
        <v>0</v>
      </c>
      <c r="N4467" s="34">
        <f>0.41*L4467</f>
        <v>0</v>
      </c>
      <c r="O4467" s="35">
        <f>0.0042*L4467</f>
        <v>0</v>
      </c>
      <c r="P4467" s="36"/>
      <c r="Q4467" s="29" t="s">
        <v>14763</v>
      </c>
      <c r="R4467" s="29"/>
      <c r="S4467" s="26" t="str">
        <f>HYPERLINK("https://miland.ru/api/getInfo/image/f2aee63e-3246-11f0-a27c-00155d82e908")</f>
        <v>https://miland.ru/api/getInfo/image/f2aee63e-3246-11f0-a27c-00155d82e908</v>
      </c>
    </row>
    <row r="4468" spans="1:19" s="2" customFormat="1" ht="96.2" customHeight="1" outlineLevel="7">
      <c r="A4468" s="52">
        <v>3511</v>
      </c>
      <c r="B4468" s="26" t="s">
        <v>14764</v>
      </c>
      <c r="C4468" s="66" t="s">
        <v>14765</v>
      </c>
      <c r="D4468" s="66"/>
      <c r="E4468" s="66"/>
      <c r="F4468" s="66"/>
      <c r="G4468" s="27" t="s">
        <v>14766</v>
      </c>
      <c r="H4468" s="33">
        <v>27</v>
      </c>
      <c r="I4468" s="29"/>
      <c r="J4468" s="25">
        <v>1</v>
      </c>
      <c r="K4468" s="30">
        <v>486.27</v>
      </c>
      <c r="L4468" s="17"/>
      <c r="M4468" s="29">
        <f t="shared" si="212"/>
        <v>0</v>
      </c>
      <c r="N4468" s="31">
        <f>0.413*L4468</f>
        <v>0</v>
      </c>
      <c r="O4468" s="32">
        <f>0.00383*L4468</f>
        <v>0</v>
      </c>
      <c r="P4468" s="36"/>
      <c r="Q4468" s="29" t="s">
        <v>14767</v>
      </c>
      <c r="R4468" s="29"/>
      <c r="S4468" s="26" t="str">
        <f>HYPERLINK("https://miland.ru/api/getInfo/image/9654ee48-3246-11f0-a27c-00155d82e908")</f>
        <v>https://miland.ru/api/getInfo/image/9654ee48-3246-11f0-a27c-00155d82e908</v>
      </c>
    </row>
    <row r="4469" spans="1:19" s="2" customFormat="1" ht="96.2" customHeight="1" outlineLevel="7">
      <c r="A4469" s="52">
        <v>3512</v>
      </c>
      <c r="B4469" s="26" t="s">
        <v>14768</v>
      </c>
      <c r="C4469" s="66" t="s">
        <v>14769</v>
      </c>
      <c r="D4469" s="66"/>
      <c r="E4469" s="66"/>
      <c r="F4469" s="66"/>
      <c r="G4469" s="27" t="s">
        <v>14770</v>
      </c>
      <c r="H4469" s="33">
        <v>75</v>
      </c>
      <c r="I4469" s="29"/>
      <c r="J4469" s="25">
        <v>1</v>
      </c>
      <c r="K4469" s="30">
        <v>486.27</v>
      </c>
      <c r="L4469" s="17"/>
      <c r="M4469" s="29">
        <f t="shared" si="212"/>
        <v>0</v>
      </c>
      <c r="N4469" s="31">
        <f>0.403*L4469</f>
        <v>0</v>
      </c>
      <c r="O4469" s="32">
        <f>0.00369*L4469</f>
        <v>0</v>
      </c>
      <c r="P4469" s="36"/>
      <c r="Q4469" s="29" t="s">
        <v>14771</v>
      </c>
      <c r="R4469" s="29"/>
      <c r="S4469" s="26" t="str">
        <f>HYPERLINK("https://miland.ru/api/getInfo/image/3142e63d-3247-11f0-a27c-00155d82e908")</f>
        <v>https://miland.ru/api/getInfo/image/3142e63d-3247-11f0-a27c-00155d82e908</v>
      </c>
    </row>
    <row r="4470" spans="1:19" s="2" customFormat="1" ht="96.2" customHeight="1" outlineLevel="7">
      <c r="A4470" s="52">
        <v>3513</v>
      </c>
      <c r="B4470" s="26" t="s">
        <v>14772</v>
      </c>
      <c r="C4470" s="66" t="s">
        <v>14773</v>
      </c>
      <c r="D4470" s="66"/>
      <c r="E4470" s="66"/>
      <c r="F4470" s="66"/>
      <c r="G4470" s="27" t="s">
        <v>14774</v>
      </c>
      <c r="H4470" s="33">
        <v>171</v>
      </c>
      <c r="I4470" s="29"/>
      <c r="J4470" s="25">
        <v>1</v>
      </c>
      <c r="K4470" s="30">
        <v>510.58</v>
      </c>
      <c r="L4470" s="17"/>
      <c r="M4470" s="29">
        <f t="shared" si="212"/>
        <v>0</v>
      </c>
      <c r="N4470" s="31">
        <f>0.392*L4470</f>
        <v>0</v>
      </c>
      <c r="O4470" s="32">
        <f>0.00363*L4470</f>
        <v>0</v>
      </c>
      <c r="P4470" s="36"/>
      <c r="Q4470" s="29" t="s">
        <v>14775</v>
      </c>
      <c r="R4470" s="29"/>
      <c r="S4470" s="26" t="str">
        <f>HYPERLINK("https://miland.ru/api/getInfo/image/56a0fe5f-3246-11f0-a27c-00155d82e908")</f>
        <v>https://miland.ru/api/getInfo/image/56a0fe5f-3246-11f0-a27c-00155d82e908</v>
      </c>
    </row>
    <row r="4471" spans="1:19" s="2" customFormat="1" ht="96.2" customHeight="1" outlineLevel="7">
      <c r="A4471" s="52">
        <v>3514</v>
      </c>
      <c r="B4471" s="26" t="s">
        <v>14776</v>
      </c>
      <c r="C4471" s="66" t="s">
        <v>14777</v>
      </c>
      <c r="D4471" s="66"/>
      <c r="E4471" s="66"/>
      <c r="F4471" s="66"/>
      <c r="G4471" s="27" t="s">
        <v>14778</v>
      </c>
      <c r="H4471" s="33">
        <v>168</v>
      </c>
      <c r="I4471" s="29"/>
      <c r="J4471" s="25">
        <v>1</v>
      </c>
      <c r="K4471" s="30">
        <v>486.27</v>
      </c>
      <c r="L4471" s="17"/>
      <c r="M4471" s="29">
        <f t="shared" si="212"/>
        <v>0</v>
      </c>
      <c r="N4471" s="34">
        <f>0.41*L4471</f>
        <v>0</v>
      </c>
      <c r="O4471" s="32">
        <f>0.00391*L4471</f>
        <v>0</v>
      </c>
      <c r="P4471" s="36"/>
      <c r="Q4471" s="29" t="s">
        <v>14779</v>
      </c>
      <c r="R4471" s="29"/>
      <c r="S4471" s="26" t="str">
        <f>HYPERLINK("https://miland.ru/api/getInfo/image/dc26afe3-3245-11f0-a27c-00155d82e908")</f>
        <v>https://miland.ru/api/getInfo/image/dc26afe3-3245-11f0-a27c-00155d82e908</v>
      </c>
    </row>
    <row r="4472" spans="1:19" s="1" customFormat="1" ht="12" customHeight="1" outlineLevel="4">
      <c r="A4472" s="64" t="s">
        <v>14780</v>
      </c>
      <c r="B4472" s="64"/>
      <c r="C4472" s="64"/>
      <c r="D4472" s="64"/>
      <c r="E4472" s="64"/>
      <c r="F4472" s="64"/>
      <c r="G4472" s="8"/>
      <c r="H4472" s="12"/>
      <c r="I4472" s="2"/>
      <c r="J4472" s="2"/>
      <c r="K4472" s="13"/>
      <c r="L4472" s="2"/>
      <c r="M4472" s="2"/>
      <c r="N4472" s="2"/>
      <c r="O4472" s="2"/>
      <c r="P4472" s="2"/>
      <c r="Q4472" s="2"/>
      <c r="R4472" s="2"/>
      <c r="S4472" s="2"/>
    </row>
    <row r="4473" spans="1:19" s="2" customFormat="1" ht="96.2" customHeight="1" outlineLevel="5">
      <c r="A4473" s="53">
        <v>3515</v>
      </c>
      <c r="B4473" s="10" t="s">
        <v>14781</v>
      </c>
      <c r="C4473" s="65" t="s">
        <v>14782</v>
      </c>
      <c r="D4473" s="65"/>
      <c r="E4473" s="65"/>
      <c r="F4473" s="65"/>
      <c r="G4473" s="11" t="s">
        <v>14783</v>
      </c>
      <c r="H4473" s="14">
        <v>136</v>
      </c>
      <c r="I4473" s="15"/>
      <c r="J4473" s="9">
        <v>1</v>
      </c>
      <c r="K4473" s="16">
        <v>507.09</v>
      </c>
      <c r="L4473" s="17"/>
      <c r="M4473" s="15">
        <f>K4473*L4473</f>
        <v>0</v>
      </c>
      <c r="N4473" s="23">
        <f>0.49*L4473</f>
        <v>0</v>
      </c>
      <c r="O4473" s="19">
        <f>0.00436*L4473</f>
        <v>0</v>
      </c>
      <c r="P4473" s="24" t="s">
        <v>26</v>
      </c>
      <c r="Q4473" s="15" t="s">
        <v>14784</v>
      </c>
      <c r="R4473" s="15"/>
      <c r="S4473" s="10" t="str">
        <f>HYPERLINK("https://miland.ru/api/getInfo/image/d71a65fc-2f21-11f1-a292-00155d82e908")</f>
        <v>https://miland.ru/api/getInfo/image/d71a65fc-2f21-11f1-a292-00155d82e908</v>
      </c>
    </row>
    <row r="4474" spans="1:19" s="2" customFormat="1" ht="96.2" customHeight="1" outlineLevel="5">
      <c r="A4474" s="53">
        <v>3516</v>
      </c>
      <c r="B4474" s="10" t="s">
        <v>14785</v>
      </c>
      <c r="C4474" s="65" t="s">
        <v>14786</v>
      </c>
      <c r="D4474" s="65"/>
      <c r="E4474" s="65"/>
      <c r="F4474" s="65"/>
      <c r="G4474" s="11" t="s">
        <v>14787</v>
      </c>
      <c r="H4474" s="14">
        <v>201</v>
      </c>
      <c r="I4474" s="15"/>
      <c r="J4474" s="9">
        <v>1</v>
      </c>
      <c r="K4474" s="16">
        <v>507.09</v>
      </c>
      <c r="L4474" s="17"/>
      <c r="M4474" s="15">
        <f>K4474*L4474</f>
        <v>0</v>
      </c>
      <c r="N4474" s="18">
        <f>0.482*L4474</f>
        <v>0</v>
      </c>
      <c r="O4474" s="19">
        <f>0.00405*L4474</f>
        <v>0</v>
      </c>
      <c r="P4474" s="24" t="s">
        <v>26</v>
      </c>
      <c r="Q4474" s="15" t="s">
        <v>14788</v>
      </c>
      <c r="R4474" s="15"/>
      <c r="S4474" s="10" t="str">
        <f>HYPERLINK("https://miland.ru/api/getInfo/image/ba19b94b-2f21-11f1-a292-00155d82e908")</f>
        <v>https://miland.ru/api/getInfo/image/ba19b94b-2f21-11f1-a292-00155d82e908</v>
      </c>
    </row>
    <row r="4475" spans="1:19" s="2" customFormat="1" ht="96.2" customHeight="1" outlineLevel="5">
      <c r="A4475" s="53">
        <v>3517</v>
      </c>
      <c r="B4475" s="10" t="s">
        <v>14789</v>
      </c>
      <c r="C4475" s="65" t="s">
        <v>14790</v>
      </c>
      <c r="D4475" s="65"/>
      <c r="E4475" s="65"/>
      <c r="F4475" s="65"/>
      <c r="G4475" s="11" t="s">
        <v>14791</v>
      </c>
      <c r="H4475" s="14">
        <v>84</v>
      </c>
      <c r="I4475" s="15"/>
      <c r="J4475" s="9">
        <v>1</v>
      </c>
      <c r="K4475" s="16">
        <v>540.89</v>
      </c>
      <c r="L4475" s="17"/>
      <c r="M4475" s="15">
        <f>K4475*L4475</f>
        <v>0</v>
      </c>
      <c r="N4475" s="18">
        <f>0.462*L4475</f>
        <v>0</v>
      </c>
      <c r="O4475" s="19">
        <f>0.00411*L4475</f>
        <v>0</v>
      </c>
      <c r="P4475" s="24" t="s">
        <v>26</v>
      </c>
      <c r="Q4475" s="15" t="s">
        <v>14792</v>
      </c>
      <c r="R4475" s="15"/>
      <c r="S4475" s="10" t="str">
        <f>HYPERLINK("https://miland.ru/api/getInfo/image/368280e1-2f21-11f1-a292-00155d82e908")</f>
        <v>https://miland.ru/api/getInfo/image/368280e1-2f21-11f1-a292-00155d82e908</v>
      </c>
    </row>
    <row r="4476" spans="1:19" s="2" customFormat="1" ht="96.2" customHeight="1" outlineLevel="5">
      <c r="A4476" s="53">
        <v>3518</v>
      </c>
      <c r="B4476" s="10" t="s">
        <v>14793</v>
      </c>
      <c r="C4476" s="65" t="s">
        <v>14794</v>
      </c>
      <c r="D4476" s="65"/>
      <c r="E4476" s="65"/>
      <c r="F4476" s="65"/>
      <c r="G4476" s="11" t="s">
        <v>14795</v>
      </c>
      <c r="H4476" s="14">
        <v>143</v>
      </c>
      <c r="I4476" s="15"/>
      <c r="J4476" s="9">
        <v>1</v>
      </c>
      <c r="K4476" s="16">
        <v>540.89</v>
      </c>
      <c r="L4476" s="17"/>
      <c r="M4476" s="15">
        <f>K4476*L4476</f>
        <v>0</v>
      </c>
      <c r="N4476" s="18">
        <f>0.452*L4476</f>
        <v>0</v>
      </c>
      <c r="O4476" s="19">
        <f>0.00402*L4476</f>
        <v>0</v>
      </c>
      <c r="P4476" s="24" t="s">
        <v>26</v>
      </c>
      <c r="Q4476" s="15" t="s">
        <v>14796</v>
      </c>
      <c r="R4476" s="15"/>
      <c r="S4476" s="10" t="str">
        <f>HYPERLINK("https://miland.ru/api/getInfo/image/94b7a5c0-2f21-11f1-a292-00155d82e908")</f>
        <v>https://miland.ru/api/getInfo/image/94b7a5c0-2f21-11f1-a292-00155d82e908</v>
      </c>
    </row>
    <row r="4477" spans="1:19" s="1" customFormat="1" ht="12" customHeight="1" outlineLevel="4">
      <c r="A4477" s="64" t="s">
        <v>14797</v>
      </c>
      <c r="B4477" s="64"/>
      <c r="C4477" s="64"/>
      <c r="D4477" s="64"/>
      <c r="E4477" s="64"/>
      <c r="F4477" s="64"/>
      <c r="G4477" s="8"/>
      <c r="H4477" s="12"/>
      <c r="I4477" s="2"/>
      <c r="J4477" s="2"/>
      <c r="K4477" s="13"/>
      <c r="L4477" s="2"/>
      <c r="M4477" s="2"/>
      <c r="N4477" s="2"/>
      <c r="O4477" s="2"/>
      <c r="P4477" s="2"/>
      <c r="Q4477" s="2"/>
      <c r="R4477" s="2"/>
      <c r="S4477" s="2"/>
    </row>
    <row r="4478" spans="1:19" s="2" customFormat="1" ht="96.2" customHeight="1" outlineLevel="5">
      <c r="A4478" s="52">
        <v>3519</v>
      </c>
      <c r="B4478" s="26" t="s">
        <v>14798</v>
      </c>
      <c r="C4478" s="66" t="s">
        <v>14799</v>
      </c>
      <c r="D4478" s="66"/>
      <c r="E4478" s="66"/>
      <c r="F4478" s="66"/>
      <c r="G4478" s="27" t="s">
        <v>14800</v>
      </c>
      <c r="H4478" s="33">
        <v>174</v>
      </c>
      <c r="I4478" s="29"/>
      <c r="J4478" s="25">
        <v>1</v>
      </c>
      <c r="K4478" s="30">
        <v>595.42999999999995</v>
      </c>
      <c r="L4478" s="17"/>
      <c r="M4478" s="29">
        <f t="shared" ref="M4478:M4491" si="213">K4478*L4478</f>
        <v>0</v>
      </c>
      <c r="N4478" s="31">
        <f>0.315*L4478</f>
        <v>0</v>
      </c>
      <c r="O4478" s="32">
        <f>0.00499*L4478</f>
        <v>0</v>
      </c>
      <c r="P4478" s="36"/>
      <c r="Q4478" s="29" t="s">
        <v>14801</v>
      </c>
      <c r="R4478" s="29"/>
      <c r="S4478" s="26" t="str">
        <f>HYPERLINK("https://miland.ru/api/getInfo/image/b62ff64e-f339-11ee-a25b-00155d82e908")</f>
        <v>https://miland.ru/api/getInfo/image/b62ff64e-f339-11ee-a25b-00155d82e908</v>
      </c>
    </row>
    <row r="4479" spans="1:19" s="2" customFormat="1" ht="96.2" customHeight="1" outlineLevel="5">
      <c r="A4479" s="52">
        <v>3520</v>
      </c>
      <c r="B4479" s="26" t="s">
        <v>14802</v>
      </c>
      <c r="C4479" s="66" t="s">
        <v>14803</v>
      </c>
      <c r="D4479" s="66"/>
      <c r="E4479" s="66"/>
      <c r="F4479" s="66"/>
      <c r="G4479" s="27" t="s">
        <v>14804</v>
      </c>
      <c r="H4479" s="33">
        <v>307</v>
      </c>
      <c r="I4479" s="29"/>
      <c r="J4479" s="25">
        <v>1</v>
      </c>
      <c r="K4479" s="30">
        <v>569.54999999999995</v>
      </c>
      <c r="L4479" s="17"/>
      <c r="M4479" s="29">
        <f t="shared" si="213"/>
        <v>0</v>
      </c>
      <c r="N4479" s="31">
        <f>0.323*L4479</f>
        <v>0</v>
      </c>
      <c r="O4479" s="32">
        <f>0.00446*L4479</f>
        <v>0</v>
      </c>
      <c r="P4479" s="36"/>
      <c r="Q4479" s="29" t="s">
        <v>14805</v>
      </c>
      <c r="R4479" s="29"/>
      <c r="S4479" s="26" t="str">
        <f>HYPERLINK("https://miland.ru/api/getInfo/image/5283ef0b-f339-11ee-a25b-00155d82e908")</f>
        <v>https://miland.ru/api/getInfo/image/5283ef0b-f339-11ee-a25b-00155d82e908</v>
      </c>
    </row>
    <row r="4480" spans="1:19" s="2" customFormat="1" ht="96.2" customHeight="1" outlineLevel="5">
      <c r="A4480" s="52">
        <v>3521</v>
      </c>
      <c r="B4480" s="26" t="s">
        <v>14806</v>
      </c>
      <c r="C4480" s="66" t="s">
        <v>14807</v>
      </c>
      <c r="D4480" s="66"/>
      <c r="E4480" s="66"/>
      <c r="F4480" s="66"/>
      <c r="G4480" s="27" t="s">
        <v>14808</v>
      </c>
      <c r="H4480" s="33">
        <v>220</v>
      </c>
      <c r="I4480" s="29"/>
      <c r="J4480" s="25">
        <v>1</v>
      </c>
      <c r="K4480" s="30">
        <v>543.66</v>
      </c>
      <c r="L4480" s="17"/>
      <c r="M4480" s="29">
        <f t="shared" si="213"/>
        <v>0</v>
      </c>
      <c r="N4480" s="31">
        <f>0.331*L4480</f>
        <v>0</v>
      </c>
      <c r="O4480" s="32">
        <f>0.00421*L4480</f>
        <v>0</v>
      </c>
      <c r="P4480" s="36"/>
      <c r="Q4480" s="29" t="s">
        <v>14809</v>
      </c>
      <c r="R4480" s="29"/>
      <c r="S4480" s="26" t="str">
        <f>HYPERLINK("https://miland.ru/api/getInfo/image/c998b35c-f339-11ee-a25b-00155d82e908")</f>
        <v>https://miland.ru/api/getInfo/image/c998b35c-f339-11ee-a25b-00155d82e908</v>
      </c>
    </row>
    <row r="4481" spans="1:19" s="2" customFormat="1" ht="96.2" customHeight="1" outlineLevel="5">
      <c r="A4481" s="52">
        <v>3522</v>
      </c>
      <c r="B4481" s="26" t="s">
        <v>14810</v>
      </c>
      <c r="C4481" s="66" t="s">
        <v>14811</v>
      </c>
      <c r="D4481" s="66"/>
      <c r="E4481" s="66"/>
      <c r="F4481" s="66"/>
      <c r="G4481" s="27" t="s">
        <v>14812</v>
      </c>
      <c r="H4481" s="33">
        <v>314</v>
      </c>
      <c r="I4481" s="29"/>
      <c r="J4481" s="25">
        <v>1</v>
      </c>
      <c r="K4481" s="30">
        <v>896.2</v>
      </c>
      <c r="L4481" s="17"/>
      <c r="M4481" s="29">
        <f t="shared" si="213"/>
        <v>0</v>
      </c>
      <c r="N4481" s="31">
        <f>0.574*L4481</f>
        <v>0</v>
      </c>
      <c r="O4481" s="32">
        <f>0.00913*L4481</f>
        <v>0</v>
      </c>
      <c r="P4481" s="36"/>
      <c r="Q4481" s="29" t="s">
        <v>14813</v>
      </c>
      <c r="R4481" s="29"/>
      <c r="S4481" s="26" t="str">
        <f>HYPERLINK("https://miland.ru/api/getInfo/image/9876e1af-e29c-11ed-a233-00155d82e902")</f>
        <v>https://miland.ru/api/getInfo/image/9876e1af-e29c-11ed-a233-00155d82e902</v>
      </c>
    </row>
    <row r="4482" spans="1:19" s="2" customFormat="1" ht="96.2" customHeight="1" outlineLevel="5">
      <c r="A4482" s="53">
        <v>3523</v>
      </c>
      <c r="B4482" s="10" t="s">
        <v>14814</v>
      </c>
      <c r="C4482" s="65" t="s">
        <v>14815</v>
      </c>
      <c r="D4482" s="65"/>
      <c r="E4482" s="65"/>
      <c r="F4482" s="65"/>
      <c r="G4482" s="11" t="s">
        <v>14816</v>
      </c>
      <c r="H4482" s="14">
        <v>123</v>
      </c>
      <c r="I4482" s="15"/>
      <c r="J4482" s="9">
        <v>1</v>
      </c>
      <c r="K4482" s="16">
        <v>572.54</v>
      </c>
      <c r="L4482" s="17"/>
      <c r="M4482" s="15">
        <f t="shared" si="213"/>
        <v>0</v>
      </c>
      <c r="N4482" s="18">
        <f>0.419*L4482</f>
        <v>0</v>
      </c>
      <c r="O4482" s="19">
        <f>0.01839*L4482</f>
        <v>0</v>
      </c>
      <c r="P4482" s="24" t="s">
        <v>26</v>
      </c>
      <c r="Q4482" s="15" t="s">
        <v>14817</v>
      </c>
      <c r="R4482" s="15"/>
      <c r="S4482" s="10" t="str">
        <f>HYPERLINK("https://miland.ru/api/getInfo/image/d4848060-ae6f-11f0-a286-00155d82e908")</f>
        <v>https://miland.ru/api/getInfo/image/d4848060-ae6f-11f0-a286-00155d82e908</v>
      </c>
    </row>
    <row r="4483" spans="1:19" s="2" customFormat="1" ht="96.2" customHeight="1" outlineLevel="5">
      <c r="A4483" s="52">
        <v>3524</v>
      </c>
      <c r="B4483" s="26" t="s">
        <v>14818</v>
      </c>
      <c r="C4483" s="66" t="s">
        <v>14819</v>
      </c>
      <c r="D4483" s="66"/>
      <c r="E4483" s="66"/>
      <c r="F4483" s="66"/>
      <c r="G4483" s="27" t="s">
        <v>14820</v>
      </c>
      <c r="H4483" s="33">
        <v>430</v>
      </c>
      <c r="I4483" s="29"/>
      <c r="J4483" s="25">
        <v>1</v>
      </c>
      <c r="K4483" s="30">
        <v>672.15</v>
      </c>
      <c r="L4483" s="17"/>
      <c r="M4483" s="29">
        <f t="shared" si="213"/>
        <v>0</v>
      </c>
      <c r="N4483" s="31">
        <f>0.308*L4483</f>
        <v>0</v>
      </c>
      <c r="O4483" s="32">
        <f>0.00425*L4483</f>
        <v>0</v>
      </c>
      <c r="P4483" s="36"/>
      <c r="Q4483" s="29" t="s">
        <v>14821</v>
      </c>
      <c r="R4483" s="29"/>
      <c r="S4483" s="26" t="str">
        <f>HYPERLINK("https://miland.ru/api/getInfo/image/d0fd820d-e29d-11ed-a233-00155d82e902")</f>
        <v>https://miland.ru/api/getInfo/image/d0fd820d-e29d-11ed-a233-00155d82e902</v>
      </c>
    </row>
    <row r="4484" spans="1:19" s="2" customFormat="1" ht="96.2" customHeight="1" outlineLevel="5">
      <c r="A4484" s="53">
        <v>3525</v>
      </c>
      <c r="B4484" s="10" t="s">
        <v>14822</v>
      </c>
      <c r="C4484" s="65" t="s">
        <v>14823</v>
      </c>
      <c r="D4484" s="65"/>
      <c r="E4484" s="65"/>
      <c r="F4484" s="65"/>
      <c r="G4484" s="11" t="s">
        <v>14824</v>
      </c>
      <c r="H4484" s="14">
        <v>84</v>
      </c>
      <c r="I4484" s="15"/>
      <c r="J4484" s="9">
        <v>1</v>
      </c>
      <c r="K4484" s="16">
        <v>572.54</v>
      </c>
      <c r="L4484" s="17"/>
      <c r="M4484" s="15">
        <f t="shared" si="213"/>
        <v>0</v>
      </c>
      <c r="N4484" s="18">
        <f>0.414*L4484</f>
        <v>0</v>
      </c>
      <c r="O4484" s="19">
        <f>0.00416*L4484</f>
        <v>0</v>
      </c>
      <c r="P4484" s="24" t="s">
        <v>26</v>
      </c>
      <c r="Q4484" s="15" t="s">
        <v>14825</v>
      </c>
      <c r="R4484" s="15"/>
      <c r="S4484" s="10" t="str">
        <f>HYPERLINK("https://miland.ru/api/getInfo/image/868ccf74-ae6f-11f0-a286-00155d82e908")</f>
        <v>https://miland.ru/api/getInfo/image/868ccf74-ae6f-11f0-a286-00155d82e908</v>
      </c>
    </row>
    <row r="4485" spans="1:19" s="2" customFormat="1" ht="96.2" customHeight="1" outlineLevel="5">
      <c r="A4485" s="53">
        <v>3526</v>
      </c>
      <c r="B4485" s="10" t="s">
        <v>14826</v>
      </c>
      <c r="C4485" s="65" t="s">
        <v>14827</v>
      </c>
      <c r="D4485" s="65"/>
      <c r="E4485" s="65"/>
      <c r="F4485" s="65"/>
      <c r="G4485" s="11" t="s">
        <v>14828</v>
      </c>
      <c r="H4485" s="14">
        <v>1</v>
      </c>
      <c r="I4485" s="15"/>
      <c r="J4485" s="9">
        <v>1</v>
      </c>
      <c r="K4485" s="16">
        <v>572.54</v>
      </c>
      <c r="L4485" s="17"/>
      <c r="M4485" s="15">
        <f t="shared" si="213"/>
        <v>0</v>
      </c>
      <c r="N4485" s="18">
        <f>0.418*L4485</f>
        <v>0</v>
      </c>
      <c r="O4485" s="19">
        <f>0.00413*L4485</f>
        <v>0</v>
      </c>
      <c r="P4485" s="24" t="s">
        <v>26</v>
      </c>
      <c r="Q4485" s="15" t="s">
        <v>14829</v>
      </c>
      <c r="R4485" s="15"/>
      <c r="S4485" s="10" t="str">
        <f>HYPERLINK("https://miland.ru/api/getInfo/image/f1d8ca34-ae6f-11f0-a286-00155d82e908")</f>
        <v>https://miland.ru/api/getInfo/image/f1d8ca34-ae6f-11f0-a286-00155d82e908</v>
      </c>
    </row>
    <row r="4486" spans="1:19" s="2" customFormat="1" ht="96.2" customHeight="1" outlineLevel="5">
      <c r="A4486" s="53">
        <v>3527</v>
      </c>
      <c r="B4486" s="10" t="s">
        <v>14830</v>
      </c>
      <c r="C4486" s="65" t="s">
        <v>14831</v>
      </c>
      <c r="D4486" s="65"/>
      <c r="E4486" s="65"/>
      <c r="F4486" s="65"/>
      <c r="G4486" s="11" t="s">
        <v>14832</v>
      </c>
      <c r="H4486" s="14">
        <v>164</v>
      </c>
      <c r="I4486" s="15"/>
      <c r="J4486" s="9">
        <v>1</v>
      </c>
      <c r="K4486" s="16">
        <v>572.53</v>
      </c>
      <c r="L4486" s="17"/>
      <c r="M4486" s="15">
        <f t="shared" si="213"/>
        <v>0</v>
      </c>
      <c r="N4486" s="18">
        <f>0.416*L4486</f>
        <v>0</v>
      </c>
      <c r="O4486" s="19">
        <f>0.00429*L4486</f>
        <v>0</v>
      </c>
      <c r="P4486" s="24" t="s">
        <v>26</v>
      </c>
      <c r="Q4486" s="15" t="s">
        <v>14833</v>
      </c>
      <c r="R4486" s="15"/>
      <c r="S4486" s="10" t="str">
        <f>HYPERLINK("https://miland.ru/api/getInfo/image/1ee59bcc-ae70-11f0-a286-00155d82e908")</f>
        <v>https://miland.ru/api/getInfo/image/1ee59bcc-ae70-11f0-a286-00155d82e908</v>
      </c>
    </row>
    <row r="4487" spans="1:19" s="2" customFormat="1" ht="96.2" customHeight="1" outlineLevel="5">
      <c r="A4487" s="52">
        <v>3528</v>
      </c>
      <c r="B4487" s="26" t="s">
        <v>14834</v>
      </c>
      <c r="C4487" s="66" t="s">
        <v>14835</v>
      </c>
      <c r="D4487" s="66"/>
      <c r="E4487" s="66"/>
      <c r="F4487" s="66"/>
      <c r="G4487" s="27" t="s">
        <v>14836</v>
      </c>
      <c r="H4487" s="33">
        <v>312</v>
      </c>
      <c r="I4487" s="29"/>
      <c r="J4487" s="25">
        <v>1</v>
      </c>
      <c r="K4487" s="30">
        <v>672.15</v>
      </c>
      <c r="L4487" s="17"/>
      <c r="M4487" s="29">
        <f t="shared" si="213"/>
        <v>0</v>
      </c>
      <c r="N4487" s="31">
        <f>0.304*L4487</f>
        <v>0</v>
      </c>
      <c r="O4487" s="32">
        <f>0.00449*L4487</f>
        <v>0</v>
      </c>
      <c r="P4487" s="36"/>
      <c r="Q4487" s="29" t="s">
        <v>14837</v>
      </c>
      <c r="R4487" s="29"/>
      <c r="S4487" s="26" t="str">
        <f>HYPERLINK("https://miland.ru/api/getInfo/image/40abf4d4-e29d-11ed-a233-00155d82e902")</f>
        <v>https://miland.ru/api/getInfo/image/40abf4d4-e29d-11ed-a233-00155d82e902</v>
      </c>
    </row>
    <row r="4488" spans="1:19" s="2" customFormat="1" ht="96.2" customHeight="1" outlineLevel="5">
      <c r="A4488" s="52">
        <v>3529</v>
      </c>
      <c r="B4488" s="26" t="s">
        <v>14838</v>
      </c>
      <c r="C4488" s="66" t="s">
        <v>14839</v>
      </c>
      <c r="D4488" s="66"/>
      <c r="E4488" s="66"/>
      <c r="F4488" s="66"/>
      <c r="G4488" s="27" t="s">
        <v>14840</v>
      </c>
      <c r="H4488" s="33">
        <v>291</v>
      </c>
      <c r="I4488" s="29"/>
      <c r="J4488" s="25">
        <v>1</v>
      </c>
      <c r="K4488" s="30">
        <v>491.89</v>
      </c>
      <c r="L4488" s="17"/>
      <c r="M4488" s="29">
        <f t="shared" si="213"/>
        <v>0</v>
      </c>
      <c r="N4488" s="31">
        <f>0.303*L4488</f>
        <v>0</v>
      </c>
      <c r="O4488" s="32">
        <f>0.00447*L4488</f>
        <v>0</v>
      </c>
      <c r="P4488" s="36"/>
      <c r="Q4488" s="29" t="s">
        <v>14841</v>
      </c>
      <c r="R4488" s="29"/>
      <c r="S4488" s="26" t="str">
        <f>HYPERLINK("https://miland.ru/api/getInfo/image/9302b84d-f339-11ee-a25b-00155d82e908")</f>
        <v>https://miland.ru/api/getInfo/image/9302b84d-f339-11ee-a25b-00155d82e908</v>
      </c>
    </row>
    <row r="4489" spans="1:19" s="2" customFormat="1" ht="96.2" customHeight="1" outlineLevel="5">
      <c r="A4489" s="53">
        <v>3530</v>
      </c>
      <c r="B4489" s="10" t="s">
        <v>14842</v>
      </c>
      <c r="C4489" s="65" t="s">
        <v>14843</v>
      </c>
      <c r="D4489" s="65"/>
      <c r="E4489" s="65"/>
      <c r="F4489" s="65"/>
      <c r="G4489" s="11" t="s">
        <v>14844</v>
      </c>
      <c r="H4489" s="14">
        <v>199</v>
      </c>
      <c r="I4489" s="15"/>
      <c r="J4489" s="9">
        <v>1</v>
      </c>
      <c r="K4489" s="16">
        <v>485.96</v>
      </c>
      <c r="L4489" s="17"/>
      <c r="M4489" s="15">
        <f t="shared" si="213"/>
        <v>0</v>
      </c>
      <c r="N4489" s="23">
        <f>0.43*L4489</f>
        <v>0</v>
      </c>
      <c r="O4489" s="20">
        <f>0.0046*L4489</f>
        <v>0</v>
      </c>
      <c r="P4489" s="24" t="s">
        <v>26</v>
      </c>
      <c r="Q4489" s="15" t="s">
        <v>14845</v>
      </c>
      <c r="R4489" s="15"/>
      <c r="S4489" s="10" t="str">
        <f>HYPERLINK("https://miland.ru/api/getInfo/image/82fed1c0-2f20-11f1-a292-00155d82e908")</f>
        <v>https://miland.ru/api/getInfo/image/82fed1c0-2f20-11f1-a292-00155d82e908</v>
      </c>
    </row>
    <row r="4490" spans="1:19" s="2" customFormat="1" ht="96.2" customHeight="1" outlineLevel="5">
      <c r="A4490" s="53">
        <v>3531</v>
      </c>
      <c r="B4490" s="10" t="s">
        <v>14846</v>
      </c>
      <c r="C4490" s="65" t="s">
        <v>14847</v>
      </c>
      <c r="D4490" s="65"/>
      <c r="E4490" s="65"/>
      <c r="F4490" s="65"/>
      <c r="G4490" s="11" t="s">
        <v>14848</v>
      </c>
      <c r="H4490" s="14">
        <v>150</v>
      </c>
      <c r="I4490" s="15"/>
      <c r="J4490" s="9">
        <v>1</v>
      </c>
      <c r="K4490" s="16">
        <v>528.21</v>
      </c>
      <c r="L4490" s="17"/>
      <c r="M4490" s="15">
        <f t="shared" si="213"/>
        <v>0</v>
      </c>
      <c r="N4490" s="18">
        <f>0.421*L4490</f>
        <v>0</v>
      </c>
      <c r="O4490" s="19">
        <f>0.00457*L4490</f>
        <v>0</v>
      </c>
      <c r="P4490" s="24" t="s">
        <v>26</v>
      </c>
      <c r="Q4490" s="15" t="s">
        <v>14849</v>
      </c>
      <c r="R4490" s="15"/>
      <c r="S4490" s="10" t="str">
        <f>HYPERLINK("https://miland.ru/api/getInfo/image/1e6228ac-2f21-11f1-a292-00155d82e908")</f>
        <v>https://miland.ru/api/getInfo/image/1e6228ac-2f21-11f1-a292-00155d82e908</v>
      </c>
    </row>
    <row r="4491" spans="1:19" s="2" customFormat="1" ht="96.2" customHeight="1" outlineLevel="5">
      <c r="A4491" s="53">
        <v>3532</v>
      </c>
      <c r="B4491" s="10" t="s">
        <v>14850</v>
      </c>
      <c r="C4491" s="65" t="s">
        <v>14851</v>
      </c>
      <c r="D4491" s="65"/>
      <c r="E4491" s="65"/>
      <c r="F4491" s="65"/>
      <c r="G4491" s="11" t="s">
        <v>14852</v>
      </c>
      <c r="H4491" s="14">
        <v>189</v>
      </c>
      <c r="I4491" s="15"/>
      <c r="J4491" s="9">
        <v>1</v>
      </c>
      <c r="K4491" s="16">
        <v>528.21</v>
      </c>
      <c r="L4491" s="17"/>
      <c r="M4491" s="15">
        <f t="shared" si="213"/>
        <v>0</v>
      </c>
      <c r="N4491" s="18">
        <f>0.431*L4491</f>
        <v>0</v>
      </c>
      <c r="O4491" s="19">
        <f>0.00506*L4491</f>
        <v>0</v>
      </c>
      <c r="P4491" s="24" t="s">
        <v>26</v>
      </c>
      <c r="Q4491" s="15" t="s">
        <v>14853</v>
      </c>
      <c r="R4491" s="15"/>
      <c r="S4491" s="10" t="str">
        <f>HYPERLINK("https://miland.ru/api/getInfo/image/04693f3f-2f21-11f1-a292-00155d82e908")</f>
        <v>https://miland.ru/api/getInfo/image/04693f3f-2f21-11f1-a292-00155d82e908</v>
      </c>
    </row>
    <row r="4492" spans="1:19" s="1" customFormat="1" ht="12" customHeight="1" outlineLevel="4">
      <c r="A4492" s="64" t="s">
        <v>14854</v>
      </c>
      <c r="B4492" s="64"/>
      <c r="C4492" s="64"/>
      <c r="D4492" s="64"/>
      <c r="E4492" s="64"/>
      <c r="F4492" s="64"/>
      <c r="G4492" s="8"/>
      <c r="H4492" s="12"/>
      <c r="I4492" s="2"/>
      <c r="J4492" s="2"/>
      <c r="K4492" s="13"/>
      <c r="L4492" s="2"/>
      <c r="M4492" s="2"/>
      <c r="N4492" s="2"/>
      <c r="O4492" s="2"/>
      <c r="P4492" s="2"/>
      <c r="Q4492" s="2"/>
      <c r="R4492" s="2"/>
      <c r="S4492" s="2"/>
    </row>
    <row r="4493" spans="1:19" s="2" customFormat="1" ht="96.2" customHeight="1" outlineLevel="5">
      <c r="A4493" s="53">
        <v>3533</v>
      </c>
      <c r="B4493" s="10" t="s">
        <v>14855</v>
      </c>
      <c r="C4493" s="65" t="s">
        <v>14856</v>
      </c>
      <c r="D4493" s="65"/>
      <c r="E4493" s="65"/>
      <c r="F4493" s="65"/>
      <c r="G4493" s="11" t="s">
        <v>14857</v>
      </c>
      <c r="H4493" s="14">
        <v>309</v>
      </c>
      <c r="I4493" s="15"/>
      <c r="J4493" s="9">
        <v>1</v>
      </c>
      <c r="K4493" s="16">
        <v>622.32000000000005</v>
      </c>
      <c r="L4493" s="17"/>
      <c r="M4493" s="15">
        <f>K4493*L4493</f>
        <v>0</v>
      </c>
      <c r="N4493" s="18">
        <f>0.375*L4493</f>
        <v>0</v>
      </c>
      <c r="O4493" s="19">
        <f>0.00352*L4493</f>
        <v>0</v>
      </c>
      <c r="P4493" s="24" t="s">
        <v>26</v>
      </c>
      <c r="Q4493" s="15" t="s">
        <v>14858</v>
      </c>
      <c r="R4493" s="15"/>
      <c r="S4493" s="10" t="str">
        <f>HYPERLINK("https://miland.ru/api/getInfo/image/5552874c-ae70-11f0-a286-00155d82e908")</f>
        <v>https://miland.ru/api/getInfo/image/5552874c-ae70-11f0-a286-00155d82e908</v>
      </c>
    </row>
    <row r="4494" spans="1:19" s="2" customFormat="1" ht="96.2" customHeight="1" outlineLevel="5">
      <c r="A4494" s="53">
        <v>3534</v>
      </c>
      <c r="B4494" s="10" t="s">
        <v>14859</v>
      </c>
      <c r="C4494" s="65" t="s">
        <v>14860</v>
      </c>
      <c r="D4494" s="65"/>
      <c r="E4494" s="65"/>
      <c r="F4494" s="65"/>
      <c r="G4494" s="11" t="s">
        <v>14861</v>
      </c>
      <c r="H4494" s="14">
        <v>310</v>
      </c>
      <c r="I4494" s="15"/>
      <c r="J4494" s="9">
        <v>1</v>
      </c>
      <c r="K4494" s="16">
        <v>622.32000000000005</v>
      </c>
      <c r="L4494" s="17"/>
      <c r="M4494" s="15">
        <f>K4494*L4494</f>
        <v>0</v>
      </c>
      <c r="N4494" s="18">
        <f>0.365*L4494</f>
        <v>0</v>
      </c>
      <c r="O4494" s="19">
        <f>0.00369*L4494</f>
        <v>0</v>
      </c>
      <c r="P4494" s="24" t="s">
        <v>26</v>
      </c>
      <c r="Q4494" s="15" t="s">
        <v>14862</v>
      </c>
      <c r="R4494" s="15"/>
      <c r="S4494" s="10" t="str">
        <f>HYPERLINK("https://miland.ru/api/getInfo/image/73dd3c0d-ae70-11f0-a286-00155d82e908")</f>
        <v>https://miland.ru/api/getInfo/image/73dd3c0d-ae70-11f0-a286-00155d82e908</v>
      </c>
    </row>
    <row r="4495" spans="1:19" s="1" customFormat="1" ht="12" customHeight="1" outlineLevel="2">
      <c r="A4495" s="63" t="s">
        <v>14863</v>
      </c>
      <c r="B4495" s="63"/>
      <c r="C4495" s="63"/>
      <c r="D4495" s="63"/>
      <c r="E4495" s="63"/>
      <c r="F4495" s="63"/>
      <c r="G4495" s="8"/>
      <c r="H4495" s="12"/>
      <c r="I4495" s="2"/>
      <c r="J4495" s="2"/>
      <c r="K4495" s="13"/>
      <c r="L4495" s="2"/>
      <c r="M4495" s="2"/>
      <c r="N4495" s="2"/>
      <c r="O4495" s="2"/>
      <c r="P4495" s="2"/>
      <c r="Q4495" s="2"/>
      <c r="R4495" s="2"/>
      <c r="S4495" s="2"/>
    </row>
    <row r="4496" spans="1:19" s="1" customFormat="1" ht="12" customHeight="1" outlineLevel="3">
      <c r="A4496" s="64" t="s">
        <v>14864</v>
      </c>
      <c r="B4496" s="64"/>
      <c r="C4496" s="64"/>
      <c r="D4496" s="64"/>
      <c r="E4496" s="64"/>
      <c r="F4496" s="64"/>
      <c r="G4496" s="8"/>
      <c r="H4496" s="12"/>
      <c r="I4496" s="2"/>
      <c r="J4496" s="2"/>
      <c r="K4496" s="13"/>
      <c r="L4496" s="2"/>
      <c r="M4496" s="2"/>
      <c r="N4496" s="2"/>
      <c r="O4496" s="2"/>
      <c r="P4496" s="2"/>
      <c r="Q4496" s="2"/>
      <c r="R4496" s="2"/>
      <c r="S4496" s="2"/>
    </row>
    <row r="4497" spans="1:19" s="2" customFormat="1" ht="96.2" customHeight="1" outlineLevel="4">
      <c r="A4497" s="52">
        <v>3535</v>
      </c>
      <c r="B4497" s="26" t="s">
        <v>14865</v>
      </c>
      <c r="C4497" s="66" t="s">
        <v>14866</v>
      </c>
      <c r="D4497" s="66"/>
      <c r="E4497" s="66"/>
      <c r="F4497" s="66"/>
      <c r="G4497" s="27" t="s">
        <v>14867</v>
      </c>
      <c r="H4497" s="28" t="s">
        <v>44</v>
      </c>
      <c r="I4497" s="29"/>
      <c r="J4497" s="25">
        <v>100</v>
      </c>
      <c r="K4497" s="30">
        <v>7.94</v>
      </c>
      <c r="L4497" s="17"/>
      <c r="M4497" s="29">
        <f>K4497*L4497</f>
        <v>0</v>
      </c>
      <c r="N4497" s="31">
        <f>0.002*L4497</f>
        <v>0</v>
      </c>
      <c r="O4497" s="32">
        <f>0.00002*L4497</f>
        <v>0</v>
      </c>
      <c r="P4497" s="36"/>
      <c r="Q4497" s="29" t="s">
        <v>14868</v>
      </c>
      <c r="R4497" s="29"/>
      <c r="S4497" s="26" t="str">
        <f>HYPERLINK("https://miland.ru/api/getInfo/image/39f66d0f-17db-11e9-a21c-ac1f6b442184")</f>
        <v>https://miland.ru/api/getInfo/image/39f66d0f-17db-11e9-a21c-ac1f6b442184</v>
      </c>
    </row>
    <row r="4498" spans="1:19" s="2" customFormat="1" ht="96.2" customHeight="1" outlineLevel="4">
      <c r="A4498" s="52">
        <v>3536</v>
      </c>
      <c r="B4498" s="26" t="s">
        <v>14869</v>
      </c>
      <c r="C4498" s="66" t="s">
        <v>14870</v>
      </c>
      <c r="D4498" s="66"/>
      <c r="E4498" s="66"/>
      <c r="F4498" s="66"/>
      <c r="G4498" s="27" t="s">
        <v>14871</v>
      </c>
      <c r="H4498" s="28" t="s">
        <v>44</v>
      </c>
      <c r="I4498" s="29"/>
      <c r="J4498" s="25">
        <v>100</v>
      </c>
      <c r="K4498" s="30">
        <v>7.94</v>
      </c>
      <c r="L4498" s="17"/>
      <c r="M4498" s="29">
        <f>K4498*L4498</f>
        <v>0</v>
      </c>
      <c r="N4498" s="31">
        <f>0.002*L4498</f>
        <v>0</v>
      </c>
      <c r="O4498" s="32">
        <f>0.00003*L4498</f>
        <v>0</v>
      </c>
      <c r="P4498" s="36"/>
      <c r="Q4498" s="29" t="s">
        <v>14872</v>
      </c>
      <c r="R4498" s="29"/>
      <c r="S4498" s="26" t="str">
        <f>HYPERLINK("https://miland.ru/api/getInfo/image/aced5e03-17db-11e9-a21c-ac1f6b442184")</f>
        <v>https://miland.ru/api/getInfo/image/aced5e03-17db-11e9-a21c-ac1f6b442184</v>
      </c>
    </row>
    <row r="4499" spans="1:19" s="2" customFormat="1" ht="96.2" customHeight="1" outlineLevel="4">
      <c r="A4499" s="52">
        <v>3537</v>
      </c>
      <c r="B4499" s="26" t="s">
        <v>14873</v>
      </c>
      <c r="C4499" s="66" t="s">
        <v>14874</v>
      </c>
      <c r="D4499" s="66"/>
      <c r="E4499" s="66"/>
      <c r="F4499" s="66"/>
      <c r="G4499" s="27" t="s">
        <v>14875</v>
      </c>
      <c r="H4499" s="28" t="s">
        <v>44</v>
      </c>
      <c r="I4499" s="29"/>
      <c r="J4499" s="25">
        <v>120</v>
      </c>
      <c r="K4499" s="30">
        <v>6.9</v>
      </c>
      <c r="L4499" s="17"/>
      <c r="M4499" s="29">
        <f>K4499*L4499</f>
        <v>0</v>
      </c>
      <c r="N4499" s="31">
        <f>0.018*L4499</f>
        <v>0</v>
      </c>
      <c r="O4499" s="32">
        <f>0.00028*L4499</f>
        <v>0</v>
      </c>
      <c r="P4499" s="36"/>
      <c r="Q4499" s="29" t="s">
        <v>14876</v>
      </c>
      <c r="R4499" s="29"/>
      <c r="S4499" s="26" t="str">
        <f>HYPERLINK("https://miland.ru/api/getInfo/image/37702c36-17dc-11e9-a21c-ac1f6b442184")</f>
        <v>https://miland.ru/api/getInfo/image/37702c36-17dc-11e9-a21c-ac1f6b442184</v>
      </c>
    </row>
    <row r="4500" spans="1:19" s="2" customFormat="1" ht="96.2" customHeight="1" outlineLevel="4">
      <c r="A4500" s="52">
        <v>3538</v>
      </c>
      <c r="B4500" s="26" t="s">
        <v>14877</v>
      </c>
      <c r="C4500" s="66" t="s">
        <v>14878</v>
      </c>
      <c r="D4500" s="66"/>
      <c r="E4500" s="66"/>
      <c r="F4500" s="66"/>
      <c r="G4500" s="27" t="s">
        <v>14879</v>
      </c>
      <c r="H4500" s="28" t="s">
        <v>44</v>
      </c>
      <c r="I4500" s="29"/>
      <c r="J4500" s="25">
        <v>120</v>
      </c>
      <c r="K4500" s="30">
        <v>6.9</v>
      </c>
      <c r="L4500" s="17"/>
      <c r="M4500" s="29">
        <f>K4500*L4500</f>
        <v>0</v>
      </c>
      <c r="N4500" s="31">
        <f>0.018*L4500</f>
        <v>0</v>
      </c>
      <c r="O4500" s="32">
        <f>0.00012*L4500</f>
        <v>0</v>
      </c>
      <c r="P4500" s="36"/>
      <c r="Q4500" s="29" t="s">
        <v>14880</v>
      </c>
      <c r="R4500" s="29"/>
      <c r="S4500" s="26" t="str">
        <f>HYPERLINK("https://miland.ru/api/getInfo/image/e1e0beac-17db-11e9-a21c-ac1f6b442184")</f>
        <v>https://miland.ru/api/getInfo/image/e1e0beac-17db-11e9-a21c-ac1f6b442184</v>
      </c>
    </row>
    <row r="4501" spans="1:19" s="2" customFormat="1" ht="96.2" customHeight="1" outlineLevel="4">
      <c r="A4501" s="52">
        <v>3539</v>
      </c>
      <c r="B4501" s="26" t="s">
        <v>14881</v>
      </c>
      <c r="C4501" s="66" t="s">
        <v>14882</v>
      </c>
      <c r="D4501" s="66"/>
      <c r="E4501" s="66"/>
      <c r="F4501" s="66"/>
      <c r="G4501" s="27" t="s">
        <v>14883</v>
      </c>
      <c r="H4501" s="28" t="s">
        <v>44</v>
      </c>
      <c r="I4501" s="29"/>
      <c r="J4501" s="25">
        <v>120</v>
      </c>
      <c r="K4501" s="30">
        <v>6.9</v>
      </c>
      <c r="L4501" s="17"/>
      <c r="M4501" s="29">
        <f>K4501*L4501</f>
        <v>0</v>
      </c>
      <c r="N4501" s="31">
        <f>0.002*L4501</f>
        <v>0</v>
      </c>
      <c r="O4501" s="32">
        <f>0.00002*L4501</f>
        <v>0</v>
      </c>
      <c r="P4501" s="36"/>
      <c r="Q4501" s="29" t="s">
        <v>14884</v>
      </c>
      <c r="R4501" s="29"/>
      <c r="S4501" s="26" t="str">
        <f>HYPERLINK("https://miland.ru/api/getInfo/image/1f58b48b-1b51-11ea-a237-ac1f6b442184")</f>
        <v>https://miland.ru/api/getInfo/image/1f58b48b-1b51-11ea-a237-ac1f6b442184</v>
      </c>
    </row>
    <row r="4502" spans="1:19" s="1" customFormat="1" ht="12" customHeight="1" outlineLevel="3">
      <c r="A4502" s="64" t="s">
        <v>14885</v>
      </c>
      <c r="B4502" s="64"/>
      <c r="C4502" s="64"/>
      <c r="D4502" s="64"/>
      <c r="E4502" s="64"/>
      <c r="F4502" s="64"/>
      <c r="G4502" s="8"/>
      <c r="H4502" s="12"/>
      <c r="I4502" s="2"/>
      <c r="J4502" s="2"/>
      <c r="K4502" s="13"/>
      <c r="L4502" s="2"/>
      <c r="M4502" s="2"/>
      <c r="N4502" s="2"/>
      <c r="O4502" s="2"/>
      <c r="P4502" s="2"/>
      <c r="Q4502" s="2"/>
      <c r="R4502" s="2"/>
      <c r="S4502" s="2"/>
    </row>
    <row r="4503" spans="1:19" s="1" customFormat="1" ht="12" customHeight="1" outlineLevel="4">
      <c r="A4503" s="64" t="s">
        <v>14886</v>
      </c>
      <c r="B4503" s="64"/>
      <c r="C4503" s="64"/>
      <c r="D4503" s="64"/>
      <c r="E4503" s="64"/>
      <c r="F4503" s="64"/>
      <c r="G4503" s="8"/>
      <c r="H4503" s="12"/>
      <c r="I4503" s="2"/>
      <c r="J4503" s="2"/>
      <c r="K4503" s="13"/>
      <c r="L4503" s="2"/>
      <c r="M4503" s="2"/>
      <c r="N4503" s="2"/>
      <c r="O4503" s="2"/>
      <c r="P4503" s="2"/>
      <c r="Q4503" s="2"/>
      <c r="R4503" s="2"/>
      <c r="S4503" s="2"/>
    </row>
    <row r="4504" spans="1:19" s="2" customFormat="1" ht="96.2" customHeight="1" outlineLevel="5">
      <c r="A4504" s="52">
        <v>3540</v>
      </c>
      <c r="B4504" s="26" t="s">
        <v>14887</v>
      </c>
      <c r="C4504" s="66" t="s">
        <v>14888</v>
      </c>
      <c r="D4504" s="66"/>
      <c r="E4504" s="66"/>
      <c r="F4504" s="66"/>
      <c r="G4504" s="27" t="s">
        <v>14889</v>
      </c>
      <c r="H4504" s="33">
        <v>260</v>
      </c>
      <c r="I4504" s="29"/>
      <c r="J4504" s="25">
        <v>10</v>
      </c>
      <c r="K4504" s="30">
        <v>44.6</v>
      </c>
      <c r="L4504" s="17"/>
      <c r="M4504" s="29">
        <f t="shared" ref="M4504:M4509" si="214">K4504*L4504</f>
        <v>0</v>
      </c>
      <c r="N4504" s="31">
        <f>0.026*L4504</f>
        <v>0</v>
      </c>
      <c r="O4504" s="32">
        <f>0.00012*L4504</f>
        <v>0</v>
      </c>
      <c r="P4504" s="36"/>
      <c r="Q4504" s="29" t="s">
        <v>14890</v>
      </c>
      <c r="R4504" s="29" t="s">
        <v>611</v>
      </c>
      <c r="S4504" s="26" t="str">
        <f>HYPERLINK("https://miland.ru/api/getInfo/image/891c216e-1832-11ea-a237-ac1f6b442184")</f>
        <v>https://miland.ru/api/getInfo/image/891c216e-1832-11ea-a237-ac1f6b442184</v>
      </c>
    </row>
    <row r="4505" spans="1:19" s="2" customFormat="1" ht="96.2" customHeight="1" outlineLevel="5">
      <c r="A4505" s="52">
        <v>3541</v>
      </c>
      <c r="B4505" s="26" t="s">
        <v>14891</v>
      </c>
      <c r="C4505" s="66" t="s">
        <v>14892</v>
      </c>
      <c r="D4505" s="66"/>
      <c r="E4505" s="66"/>
      <c r="F4505" s="66"/>
      <c r="G4505" s="27" t="s">
        <v>14893</v>
      </c>
      <c r="H4505" s="33">
        <v>280</v>
      </c>
      <c r="I4505" s="29"/>
      <c r="J4505" s="25">
        <v>10</v>
      </c>
      <c r="K4505" s="30">
        <v>44.6</v>
      </c>
      <c r="L4505" s="17"/>
      <c r="M4505" s="29">
        <f t="shared" si="214"/>
        <v>0</v>
      </c>
      <c r="N4505" s="34">
        <f>0.27*L4505</f>
        <v>0</v>
      </c>
      <c r="O4505" s="32">
        <f>0.00113*L4505</f>
        <v>0</v>
      </c>
      <c r="P4505" s="36"/>
      <c r="Q4505" s="29" t="s">
        <v>14894</v>
      </c>
      <c r="R4505" s="29"/>
      <c r="S4505" s="26" t="str">
        <f>HYPERLINK("https://miland.ru/api/getInfo/image/8d0b4639-1831-11ea-a237-ac1f6b442184")</f>
        <v>https://miland.ru/api/getInfo/image/8d0b4639-1831-11ea-a237-ac1f6b442184</v>
      </c>
    </row>
    <row r="4506" spans="1:19" s="2" customFormat="1" ht="96.2" customHeight="1" outlineLevel="5">
      <c r="A4506" s="52">
        <v>3542</v>
      </c>
      <c r="B4506" s="26" t="s">
        <v>14895</v>
      </c>
      <c r="C4506" s="66" t="s">
        <v>14896</v>
      </c>
      <c r="D4506" s="66"/>
      <c r="E4506" s="66"/>
      <c r="F4506" s="66"/>
      <c r="G4506" s="27" t="s">
        <v>14897</v>
      </c>
      <c r="H4506" s="33">
        <v>350</v>
      </c>
      <c r="I4506" s="29"/>
      <c r="J4506" s="25">
        <v>10</v>
      </c>
      <c r="K4506" s="30">
        <v>44.6</v>
      </c>
      <c r="L4506" s="17"/>
      <c r="M4506" s="29">
        <f t="shared" si="214"/>
        <v>0</v>
      </c>
      <c r="N4506" s="34">
        <f>0.27*L4506</f>
        <v>0</v>
      </c>
      <c r="O4506" s="32">
        <f>0.00113*L4506</f>
        <v>0</v>
      </c>
      <c r="P4506" s="36"/>
      <c r="Q4506" s="29" t="s">
        <v>14898</v>
      </c>
      <c r="R4506" s="29" t="s">
        <v>611</v>
      </c>
      <c r="S4506" s="26" t="str">
        <f>HYPERLINK("https://miland.ru/api/getInfo/image/b72da3a3-1832-11ea-a237-ac1f6b442184")</f>
        <v>https://miland.ru/api/getInfo/image/b72da3a3-1832-11ea-a237-ac1f6b442184</v>
      </c>
    </row>
    <row r="4507" spans="1:19" s="2" customFormat="1" ht="96.2" customHeight="1" outlineLevel="5">
      <c r="A4507" s="52">
        <v>3543</v>
      </c>
      <c r="B4507" s="26" t="s">
        <v>14899</v>
      </c>
      <c r="C4507" s="66" t="s">
        <v>14900</v>
      </c>
      <c r="D4507" s="66"/>
      <c r="E4507" s="66"/>
      <c r="F4507" s="66"/>
      <c r="G4507" s="27" t="s">
        <v>14901</v>
      </c>
      <c r="H4507" s="28" t="s">
        <v>44</v>
      </c>
      <c r="I4507" s="29"/>
      <c r="J4507" s="25">
        <v>10</v>
      </c>
      <c r="K4507" s="30">
        <v>44.6</v>
      </c>
      <c r="L4507" s="17"/>
      <c r="M4507" s="29">
        <f t="shared" si="214"/>
        <v>0</v>
      </c>
      <c r="N4507" s="31">
        <f>0.029*L4507</f>
        <v>0</v>
      </c>
      <c r="O4507" s="32">
        <f>0.00008*L4507</f>
        <v>0</v>
      </c>
      <c r="P4507" s="36"/>
      <c r="Q4507" s="29" t="s">
        <v>14902</v>
      </c>
      <c r="R4507" s="29"/>
      <c r="S4507" s="26" t="str">
        <f>HYPERLINK("https://miland.ru/api/getInfo/image/e6de9a9c-1831-11ea-a237-ac1f6b442184")</f>
        <v>https://miland.ru/api/getInfo/image/e6de9a9c-1831-11ea-a237-ac1f6b442184</v>
      </c>
    </row>
    <row r="4508" spans="1:19" s="2" customFormat="1" ht="96.2" customHeight="1" outlineLevel="5">
      <c r="A4508" s="52">
        <v>3544</v>
      </c>
      <c r="B4508" s="26" t="s">
        <v>14903</v>
      </c>
      <c r="C4508" s="66" t="s">
        <v>14904</v>
      </c>
      <c r="D4508" s="66"/>
      <c r="E4508" s="66"/>
      <c r="F4508" s="66"/>
      <c r="G4508" s="27" t="s">
        <v>14905</v>
      </c>
      <c r="H4508" s="28" t="s">
        <v>44</v>
      </c>
      <c r="I4508" s="29"/>
      <c r="J4508" s="25">
        <v>10</v>
      </c>
      <c r="K4508" s="30">
        <v>44.6</v>
      </c>
      <c r="L4508" s="17"/>
      <c r="M4508" s="29">
        <f t="shared" si="214"/>
        <v>0</v>
      </c>
      <c r="N4508" s="31">
        <f>0.026*L4508</f>
        <v>0</v>
      </c>
      <c r="O4508" s="35">
        <f>0.0001*L4508</f>
        <v>0</v>
      </c>
      <c r="P4508" s="36"/>
      <c r="Q4508" s="29" t="s">
        <v>14906</v>
      </c>
      <c r="R4508" s="29"/>
      <c r="S4508" s="26" t="str">
        <f>HYPERLINK("https://miland.ru/api/getInfo/image/72a31c99-1832-11ea-a237-ac1f6b442184")</f>
        <v>https://miland.ru/api/getInfo/image/72a31c99-1832-11ea-a237-ac1f6b442184</v>
      </c>
    </row>
    <row r="4509" spans="1:19" s="2" customFormat="1" ht="96.2" customHeight="1" outlineLevel="5">
      <c r="A4509" s="52">
        <v>3545</v>
      </c>
      <c r="B4509" s="26" t="s">
        <v>14907</v>
      </c>
      <c r="C4509" s="66" t="s">
        <v>14908</v>
      </c>
      <c r="D4509" s="66"/>
      <c r="E4509" s="66"/>
      <c r="F4509" s="66"/>
      <c r="G4509" s="27" t="s">
        <v>14909</v>
      </c>
      <c r="H4509" s="33">
        <v>295</v>
      </c>
      <c r="I4509" s="29"/>
      <c r="J4509" s="25">
        <v>5</v>
      </c>
      <c r="K4509" s="30">
        <v>98.34</v>
      </c>
      <c r="L4509" s="17"/>
      <c r="M4509" s="29">
        <f t="shared" si="214"/>
        <v>0</v>
      </c>
      <c r="N4509" s="31">
        <f>0.049*L4509</f>
        <v>0</v>
      </c>
      <c r="O4509" s="32">
        <f>0.00022*L4509</f>
        <v>0</v>
      </c>
      <c r="P4509" s="36"/>
      <c r="Q4509" s="29" t="s">
        <v>14910</v>
      </c>
      <c r="R4509" s="29" t="s">
        <v>611</v>
      </c>
      <c r="S4509" s="26" t="str">
        <f>HYPERLINK("https://miland.ru/api/getInfo/image/22542629-1837-11ea-a237-ac1f6b442184")</f>
        <v>https://miland.ru/api/getInfo/image/22542629-1837-11ea-a237-ac1f6b442184</v>
      </c>
    </row>
    <row r="4510" spans="1:19" s="1" customFormat="1" ht="12" customHeight="1" outlineLevel="4">
      <c r="A4510" s="64" t="s">
        <v>14911</v>
      </c>
      <c r="B4510" s="64"/>
      <c r="C4510" s="64"/>
      <c r="D4510" s="64"/>
      <c r="E4510" s="64"/>
      <c r="F4510" s="64"/>
      <c r="G4510" s="8"/>
      <c r="H4510" s="12"/>
      <c r="I4510" s="2"/>
      <c r="J4510" s="2"/>
      <c r="K4510" s="13"/>
      <c r="L4510" s="2"/>
      <c r="M4510" s="2"/>
      <c r="N4510" s="2"/>
      <c r="O4510" s="2"/>
      <c r="P4510" s="2"/>
      <c r="Q4510" s="2"/>
      <c r="R4510" s="2"/>
      <c r="S4510" s="2"/>
    </row>
    <row r="4511" spans="1:19" s="2" customFormat="1" ht="96.2" customHeight="1" outlineLevel="5">
      <c r="A4511" s="52">
        <v>3546</v>
      </c>
      <c r="B4511" s="26" t="s">
        <v>14912</v>
      </c>
      <c r="C4511" s="66" t="s">
        <v>14913</v>
      </c>
      <c r="D4511" s="66"/>
      <c r="E4511" s="66"/>
      <c r="F4511" s="66"/>
      <c r="G4511" s="27" t="s">
        <v>14914</v>
      </c>
      <c r="H4511" s="33">
        <v>2</v>
      </c>
      <c r="I4511" s="29"/>
      <c r="J4511" s="25">
        <v>2</v>
      </c>
      <c r="K4511" s="30">
        <v>203.89</v>
      </c>
      <c r="L4511" s="17"/>
      <c r="M4511" s="29">
        <f t="shared" ref="M4511:M4521" si="215">K4511*L4511</f>
        <v>0</v>
      </c>
      <c r="N4511" s="31">
        <f>0.174*L4511</f>
        <v>0</v>
      </c>
      <c r="O4511" s="32">
        <f>0.00139*L4511</f>
        <v>0</v>
      </c>
      <c r="P4511" s="36"/>
      <c r="Q4511" s="29" t="s">
        <v>14915</v>
      </c>
      <c r="R4511" s="29"/>
      <c r="S4511" s="26" t="str">
        <f>HYPERLINK("https://miland.ru/api/getInfo/image/fd5fa8f0-81db-11e9-a226-ac1f6b442184")</f>
        <v>https://miland.ru/api/getInfo/image/fd5fa8f0-81db-11e9-a226-ac1f6b442184</v>
      </c>
    </row>
    <row r="4512" spans="1:19" s="2" customFormat="1" ht="96.2" customHeight="1" outlineLevel="5">
      <c r="A4512" s="52">
        <v>3547</v>
      </c>
      <c r="B4512" s="26" t="s">
        <v>14916</v>
      </c>
      <c r="C4512" s="66" t="s">
        <v>14917</v>
      </c>
      <c r="D4512" s="66"/>
      <c r="E4512" s="66"/>
      <c r="F4512" s="66"/>
      <c r="G4512" s="27" t="s">
        <v>14918</v>
      </c>
      <c r="H4512" s="33">
        <v>47</v>
      </c>
      <c r="I4512" s="29"/>
      <c r="J4512" s="25">
        <v>3</v>
      </c>
      <c r="K4512" s="30">
        <v>203.89</v>
      </c>
      <c r="L4512" s="17"/>
      <c r="M4512" s="29">
        <f t="shared" si="215"/>
        <v>0</v>
      </c>
      <c r="N4512" s="31">
        <f>1.761*L4512</f>
        <v>0</v>
      </c>
      <c r="O4512" s="35">
        <f>0.0014*L4512</f>
        <v>0</v>
      </c>
      <c r="P4512" s="36"/>
      <c r="Q4512" s="29" t="s">
        <v>14919</v>
      </c>
      <c r="R4512" s="29"/>
      <c r="S4512" s="26" t="str">
        <f>HYPERLINK("https://miland.ru/api/getInfo/image/6c5c8859-81da-11e9-a226-ac1f6b442184")</f>
        <v>https://miland.ru/api/getInfo/image/6c5c8859-81da-11e9-a226-ac1f6b442184</v>
      </c>
    </row>
    <row r="4513" spans="1:19" s="2" customFormat="1" ht="96.2" customHeight="1" outlineLevel="5">
      <c r="A4513" s="52">
        <v>3548</v>
      </c>
      <c r="B4513" s="26" t="s">
        <v>14920</v>
      </c>
      <c r="C4513" s="66" t="s">
        <v>14921</v>
      </c>
      <c r="D4513" s="66"/>
      <c r="E4513" s="66"/>
      <c r="F4513" s="66"/>
      <c r="G4513" s="27" t="s">
        <v>14922</v>
      </c>
      <c r="H4513" s="33">
        <v>1</v>
      </c>
      <c r="I4513" s="29"/>
      <c r="J4513" s="25">
        <v>1</v>
      </c>
      <c r="K4513" s="30">
        <v>203.89</v>
      </c>
      <c r="L4513" s="17"/>
      <c r="M4513" s="29">
        <f t="shared" si="215"/>
        <v>0</v>
      </c>
      <c r="N4513" s="34">
        <f>0.18*L4513</f>
        <v>0</v>
      </c>
      <c r="O4513" s="32">
        <f>0.00115*L4513</f>
        <v>0</v>
      </c>
      <c r="P4513" s="36"/>
      <c r="Q4513" s="29" t="s">
        <v>14923</v>
      </c>
      <c r="R4513" s="29"/>
      <c r="S4513" s="26" t="str">
        <f>HYPERLINK("https://miland.ru/api/getInfo/image/7ac76d6b-81dc-11e9-a226-ac1f6b442184")</f>
        <v>https://miland.ru/api/getInfo/image/7ac76d6b-81dc-11e9-a226-ac1f6b442184</v>
      </c>
    </row>
    <row r="4514" spans="1:19" s="2" customFormat="1" ht="96.2" customHeight="1" outlineLevel="5">
      <c r="A4514" s="52">
        <v>3549</v>
      </c>
      <c r="B4514" s="26" t="s">
        <v>14924</v>
      </c>
      <c r="C4514" s="66" t="s">
        <v>14925</v>
      </c>
      <c r="D4514" s="66"/>
      <c r="E4514" s="66"/>
      <c r="F4514" s="66"/>
      <c r="G4514" s="27" t="s">
        <v>14926</v>
      </c>
      <c r="H4514" s="33">
        <v>133</v>
      </c>
      <c r="I4514" s="29"/>
      <c r="J4514" s="25">
        <v>3</v>
      </c>
      <c r="K4514" s="30">
        <v>203.89</v>
      </c>
      <c r="L4514" s="17"/>
      <c r="M4514" s="29">
        <f t="shared" si="215"/>
        <v>0</v>
      </c>
      <c r="N4514" s="34">
        <f>0.18*L4514</f>
        <v>0</v>
      </c>
      <c r="O4514" s="35">
        <f>0.0014*L4514</f>
        <v>0</v>
      </c>
      <c r="P4514" s="36"/>
      <c r="Q4514" s="29" t="s">
        <v>14927</v>
      </c>
      <c r="R4514" s="29"/>
      <c r="S4514" s="26" t="str">
        <f>HYPERLINK("https://miland.ru/api/getInfo/image/3b76518d-81dc-11e9-a226-ac1f6b442184")</f>
        <v>https://miland.ru/api/getInfo/image/3b76518d-81dc-11e9-a226-ac1f6b442184</v>
      </c>
    </row>
    <row r="4515" spans="1:19" s="2" customFormat="1" ht="96.2" customHeight="1" outlineLevel="5">
      <c r="A4515" s="52">
        <v>3550</v>
      </c>
      <c r="B4515" s="26" t="s">
        <v>14928</v>
      </c>
      <c r="C4515" s="66" t="s">
        <v>14929</v>
      </c>
      <c r="D4515" s="66"/>
      <c r="E4515" s="66"/>
      <c r="F4515" s="66"/>
      <c r="G4515" s="27" t="s">
        <v>14930</v>
      </c>
      <c r="H4515" s="33">
        <v>1</v>
      </c>
      <c r="I4515" s="29"/>
      <c r="J4515" s="25">
        <v>1</v>
      </c>
      <c r="K4515" s="30">
        <v>203.89</v>
      </c>
      <c r="L4515" s="17"/>
      <c r="M4515" s="29">
        <f t="shared" si="215"/>
        <v>0</v>
      </c>
      <c r="N4515" s="31">
        <f>0.184*L4515</f>
        <v>0</v>
      </c>
      <c r="O4515" s="32">
        <f>0.00099*L4515</f>
        <v>0</v>
      </c>
      <c r="P4515" s="36"/>
      <c r="Q4515" s="29" t="s">
        <v>14931</v>
      </c>
      <c r="R4515" s="29"/>
      <c r="S4515" s="26" t="str">
        <f>HYPERLINK("https://miland.ru/api/getInfo/image/890ce8da-81db-11e9-a226-ac1f6b442184")</f>
        <v>https://miland.ru/api/getInfo/image/890ce8da-81db-11e9-a226-ac1f6b442184</v>
      </c>
    </row>
    <row r="4516" spans="1:19" s="2" customFormat="1" ht="96.2" customHeight="1" outlineLevel="5">
      <c r="A4516" s="52">
        <v>3551</v>
      </c>
      <c r="B4516" s="26" t="s">
        <v>14932</v>
      </c>
      <c r="C4516" s="66" t="s">
        <v>14933</v>
      </c>
      <c r="D4516" s="66"/>
      <c r="E4516" s="66"/>
      <c r="F4516" s="66"/>
      <c r="G4516" s="27" t="s">
        <v>14934</v>
      </c>
      <c r="H4516" s="33">
        <v>6</v>
      </c>
      <c r="I4516" s="29"/>
      <c r="J4516" s="25">
        <v>3</v>
      </c>
      <c r="K4516" s="30">
        <v>203.89</v>
      </c>
      <c r="L4516" s="17"/>
      <c r="M4516" s="29">
        <f t="shared" si="215"/>
        <v>0</v>
      </c>
      <c r="N4516" s="31">
        <f>0.183*L4516</f>
        <v>0</v>
      </c>
      <c r="O4516" s="32">
        <f>0.00171*L4516</f>
        <v>0</v>
      </c>
      <c r="P4516" s="36"/>
      <c r="Q4516" s="29" t="s">
        <v>14935</v>
      </c>
      <c r="R4516" s="29"/>
      <c r="S4516" s="26" t="str">
        <f>HYPERLINK("https://miland.ru/api/getInfo/image/a558be8d-81db-11e9-a226-ac1f6b442184")</f>
        <v>https://miland.ru/api/getInfo/image/a558be8d-81db-11e9-a226-ac1f6b442184</v>
      </c>
    </row>
    <row r="4517" spans="1:19" s="2" customFormat="1" ht="96.2" customHeight="1" outlineLevel="5">
      <c r="A4517" s="52">
        <v>3552</v>
      </c>
      <c r="B4517" s="26" t="s">
        <v>14936</v>
      </c>
      <c r="C4517" s="66" t="s">
        <v>14937</v>
      </c>
      <c r="D4517" s="66"/>
      <c r="E4517" s="66"/>
      <c r="F4517" s="66"/>
      <c r="G4517" s="27" t="s">
        <v>14938</v>
      </c>
      <c r="H4517" s="33">
        <v>18</v>
      </c>
      <c r="I4517" s="29"/>
      <c r="J4517" s="25">
        <v>3</v>
      </c>
      <c r="K4517" s="30">
        <v>203.89</v>
      </c>
      <c r="L4517" s="17"/>
      <c r="M4517" s="29">
        <f t="shared" si="215"/>
        <v>0</v>
      </c>
      <c r="N4517" s="31">
        <f>0.182*L4517</f>
        <v>0</v>
      </c>
      <c r="O4517" s="35">
        <f>0.0014*L4517</f>
        <v>0</v>
      </c>
      <c r="P4517" s="36"/>
      <c r="Q4517" s="29" t="s">
        <v>14939</v>
      </c>
      <c r="R4517" s="29"/>
      <c r="S4517" s="26" t="str">
        <f>HYPERLINK("https://miland.ru/api/getInfo/image/0753fd2e-81db-11e9-a226-ac1f6b442184")</f>
        <v>https://miland.ru/api/getInfo/image/0753fd2e-81db-11e9-a226-ac1f6b442184</v>
      </c>
    </row>
    <row r="4518" spans="1:19" s="2" customFormat="1" ht="96.2" customHeight="1" outlineLevel="5">
      <c r="A4518" s="52">
        <v>3553</v>
      </c>
      <c r="B4518" s="26" t="s">
        <v>14940</v>
      </c>
      <c r="C4518" s="66" t="s">
        <v>14941</v>
      </c>
      <c r="D4518" s="66"/>
      <c r="E4518" s="66"/>
      <c r="F4518" s="66"/>
      <c r="G4518" s="27" t="s">
        <v>14942</v>
      </c>
      <c r="H4518" s="33">
        <v>1</v>
      </c>
      <c r="I4518" s="29"/>
      <c r="J4518" s="25">
        <v>1</v>
      </c>
      <c r="K4518" s="30">
        <v>203.89</v>
      </c>
      <c r="L4518" s="17"/>
      <c r="M4518" s="29">
        <f t="shared" si="215"/>
        <v>0</v>
      </c>
      <c r="N4518" s="31">
        <f>0.183*L4518</f>
        <v>0</v>
      </c>
      <c r="O4518" s="32">
        <f>0.00139*L4518</f>
        <v>0</v>
      </c>
      <c r="P4518" s="36"/>
      <c r="Q4518" s="29" t="s">
        <v>14943</v>
      </c>
      <c r="R4518" s="29"/>
      <c r="S4518" s="26" t="str">
        <f>HYPERLINK("https://miland.ru/api/getInfo/image/1e3e38f9-81dc-11e9-a226-ac1f6b442184")</f>
        <v>https://miland.ru/api/getInfo/image/1e3e38f9-81dc-11e9-a226-ac1f6b442184</v>
      </c>
    </row>
    <row r="4519" spans="1:19" s="2" customFormat="1" ht="96.2" customHeight="1" outlineLevel="5">
      <c r="A4519" s="52">
        <v>3554</v>
      </c>
      <c r="B4519" s="26" t="s">
        <v>14944</v>
      </c>
      <c r="C4519" s="66" t="s">
        <v>14945</v>
      </c>
      <c r="D4519" s="66"/>
      <c r="E4519" s="66"/>
      <c r="F4519" s="66"/>
      <c r="G4519" s="27" t="s">
        <v>14946</v>
      </c>
      <c r="H4519" s="33">
        <v>71</v>
      </c>
      <c r="I4519" s="29"/>
      <c r="J4519" s="25">
        <v>3</v>
      </c>
      <c r="K4519" s="30">
        <v>203.89</v>
      </c>
      <c r="L4519" s="17"/>
      <c r="M4519" s="29">
        <f t="shared" si="215"/>
        <v>0</v>
      </c>
      <c r="N4519" s="31">
        <f>0.184*L4519</f>
        <v>0</v>
      </c>
      <c r="O4519" s="35">
        <f>0.0012*L4519</f>
        <v>0</v>
      </c>
      <c r="P4519" s="36"/>
      <c r="Q4519" s="29" t="s">
        <v>14947</v>
      </c>
      <c r="R4519" s="29"/>
      <c r="S4519" s="26" t="str">
        <f>HYPERLINK("https://miland.ru/api/getInfo/image/25d028ba-81db-11e9-a226-ac1f6b442184")</f>
        <v>https://miland.ru/api/getInfo/image/25d028ba-81db-11e9-a226-ac1f6b442184</v>
      </c>
    </row>
    <row r="4520" spans="1:19" s="2" customFormat="1" ht="96.2" customHeight="1" outlineLevel="5">
      <c r="A4520" s="52">
        <v>3555</v>
      </c>
      <c r="B4520" s="26" t="s">
        <v>14948</v>
      </c>
      <c r="C4520" s="66" t="s">
        <v>14949</v>
      </c>
      <c r="D4520" s="66"/>
      <c r="E4520" s="66"/>
      <c r="F4520" s="66"/>
      <c r="G4520" s="27" t="s">
        <v>14950</v>
      </c>
      <c r="H4520" s="28" t="s">
        <v>44</v>
      </c>
      <c r="I4520" s="29"/>
      <c r="J4520" s="25">
        <v>4</v>
      </c>
      <c r="K4520" s="30">
        <v>180.91</v>
      </c>
      <c r="L4520" s="17"/>
      <c r="M4520" s="29">
        <f t="shared" si="215"/>
        <v>0</v>
      </c>
      <c r="N4520" s="34">
        <f>0.11*L4520</f>
        <v>0</v>
      </c>
      <c r="O4520" s="32">
        <f>0.00004*L4520</f>
        <v>0</v>
      </c>
      <c r="P4520" s="36"/>
      <c r="Q4520" s="29" t="s">
        <v>14951</v>
      </c>
      <c r="R4520" s="29"/>
      <c r="S4520" s="26" t="str">
        <f>HYPERLINK("https://miland.ru/api/getInfo/image/e059637d-82db-11ee-a248-00155d82e902")</f>
        <v>https://miland.ru/api/getInfo/image/e059637d-82db-11ee-a248-00155d82e902</v>
      </c>
    </row>
    <row r="4521" spans="1:19" s="2" customFormat="1" ht="96.2" customHeight="1" outlineLevel="5">
      <c r="A4521" s="52">
        <v>3556</v>
      </c>
      <c r="B4521" s="26" t="s">
        <v>14952</v>
      </c>
      <c r="C4521" s="66" t="s">
        <v>14953</v>
      </c>
      <c r="D4521" s="66"/>
      <c r="E4521" s="66"/>
      <c r="F4521" s="66"/>
      <c r="G4521" s="27" t="s">
        <v>14954</v>
      </c>
      <c r="H4521" s="33">
        <v>432</v>
      </c>
      <c r="I4521" s="29"/>
      <c r="J4521" s="25">
        <v>4</v>
      </c>
      <c r="K4521" s="30">
        <v>180.91</v>
      </c>
      <c r="L4521" s="17"/>
      <c r="M4521" s="29">
        <f t="shared" si="215"/>
        <v>0</v>
      </c>
      <c r="N4521" s="31">
        <f>0.115*L4521</f>
        <v>0</v>
      </c>
      <c r="O4521" s="32">
        <f>0.00077*L4521</f>
        <v>0</v>
      </c>
      <c r="P4521" s="36"/>
      <c r="Q4521" s="29" t="s">
        <v>14955</v>
      </c>
      <c r="R4521" s="29"/>
      <c r="S4521" s="26" t="str">
        <f>HYPERLINK("https://miland.ru/api/getInfo/image/56d7a130-82dc-11ee-a248-00155d82e902")</f>
        <v>https://miland.ru/api/getInfo/image/56d7a130-82dc-11ee-a248-00155d82e902</v>
      </c>
    </row>
    <row r="4522" spans="1:19" s="1" customFormat="1" ht="12" customHeight="1" outlineLevel="4">
      <c r="A4522" s="64" t="s">
        <v>14956</v>
      </c>
      <c r="B4522" s="64"/>
      <c r="C4522" s="64"/>
      <c r="D4522" s="64"/>
      <c r="E4522" s="64"/>
      <c r="F4522" s="64"/>
      <c r="G4522" s="8"/>
      <c r="H4522" s="12"/>
      <c r="I4522" s="2"/>
      <c r="J4522" s="2"/>
      <c r="K4522" s="13"/>
      <c r="L4522" s="2"/>
      <c r="M4522" s="2"/>
      <c r="N4522" s="2"/>
      <c r="O4522" s="2"/>
      <c r="P4522" s="2"/>
      <c r="Q4522" s="2"/>
      <c r="R4522" s="2"/>
      <c r="S4522" s="2"/>
    </row>
    <row r="4523" spans="1:19" s="2" customFormat="1" ht="96.2" customHeight="1" outlineLevel="5">
      <c r="A4523" s="52">
        <v>3557</v>
      </c>
      <c r="B4523" s="26" t="s">
        <v>14957</v>
      </c>
      <c r="C4523" s="66" t="s">
        <v>14958</v>
      </c>
      <c r="D4523" s="66"/>
      <c r="E4523" s="66"/>
      <c r="F4523" s="66"/>
      <c r="G4523" s="27" t="s">
        <v>14959</v>
      </c>
      <c r="H4523" s="28" t="s">
        <v>44</v>
      </c>
      <c r="I4523" s="29"/>
      <c r="J4523" s="25">
        <v>5</v>
      </c>
      <c r="K4523" s="30">
        <v>128.41</v>
      </c>
      <c r="L4523" s="17"/>
      <c r="M4523" s="29">
        <f>K4523*L4523</f>
        <v>0</v>
      </c>
      <c r="N4523" s="31">
        <f>0.052*L4523</f>
        <v>0</v>
      </c>
      <c r="O4523" s="32">
        <f>0.00012*L4523</f>
        <v>0</v>
      </c>
      <c r="P4523" s="36"/>
      <c r="Q4523" s="29" t="s">
        <v>14960</v>
      </c>
      <c r="R4523" s="29" t="s">
        <v>611</v>
      </c>
      <c r="S4523" s="26" t="str">
        <f>HYPERLINK("https://miland.ru/api/getInfo/image/5bea8d60-1839-11ea-a237-ac1f6b442184")</f>
        <v>https://miland.ru/api/getInfo/image/5bea8d60-1839-11ea-a237-ac1f6b442184</v>
      </c>
    </row>
    <row r="4524" spans="1:19" s="2" customFormat="1" ht="96.2" customHeight="1" outlineLevel="5">
      <c r="A4524" s="52">
        <v>3558</v>
      </c>
      <c r="B4524" s="26" t="s">
        <v>14961</v>
      </c>
      <c r="C4524" s="66" t="s">
        <v>14962</v>
      </c>
      <c r="D4524" s="66"/>
      <c r="E4524" s="66"/>
      <c r="F4524" s="66"/>
      <c r="G4524" s="27" t="s">
        <v>14963</v>
      </c>
      <c r="H4524" s="28" t="s">
        <v>44</v>
      </c>
      <c r="I4524" s="29"/>
      <c r="J4524" s="25">
        <v>5</v>
      </c>
      <c r="K4524" s="30">
        <v>128.41</v>
      </c>
      <c r="L4524" s="17"/>
      <c r="M4524" s="29">
        <f>K4524*L4524</f>
        <v>0</v>
      </c>
      <c r="N4524" s="31">
        <f>0.537*L4524</f>
        <v>0</v>
      </c>
      <c r="O4524" s="32">
        <f>0.00159*L4524</f>
        <v>0</v>
      </c>
      <c r="P4524" s="36"/>
      <c r="Q4524" s="29" t="s">
        <v>14964</v>
      </c>
      <c r="R4524" s="29" t="s">
        <v>611</v>
      </c>
      <c r="S4524" s="26" t="str">
        <f>HYPERLINK("https://miland.ru/api/getInfo/image/bbbcb46e-1839-11ea-a237-ac1f6b442184")</f>
        <v>https://miland.ru/api/getInfo/image/bbbcb46e-1839-11ea-a237-ac1f6b442184</v>
      </c>
    </row>
    <row r="4525" spans="1:19" s="2" customFormat="1" ht="96.2" customHeight="1" outlineLevel="5">
      <c r="A4525" s="52">
        <v>3559</v>
      </c>
      <c r="B4525" s="26" t="s">
        <v>14965</v>
      </c>
      <c r="C4525" s="66" t="s">
        <v>14966</v>
      </c>
      <c r="D4525" s="66"/>
      <c r="E4525" s="66"/>
      <c r="F4525" s="66"/>
      <c r="G4525" s="27" t="s">
        <v>14967</v>
      </c>
      <c r="H4525" s="28" t="s">
        <v>44</v>
      </c>
      <c r="I4525" s="29"/>
      <c r="J4525" s="25">
        <v>5</v>
      </c>
      <c r="K4525" s="30">
        <v>128.41</v>
      </c>
      <c r="L4525" s="17"/>
      <c r="M4525" s="29">
        <f>K4525*L4525</f>
        <v>0</v>
      </c>
      <c r="N4525" s="31">
        <f>0.529*L4525</f>
        <v>0</v>
      </c>
      <c r="O4525" s="32">
        <f>0.00145*L4525</f>
        <v>0</v>
      </c>
      <c r="P4525" s="36"/>
      <c r="Q4525" s="29" t="s">
        <v>14968</v>
      </c>
      <c r="R4525" s="29" t="s">
        <v>611</v>
      </c>
      <c r="S4525" s="26" t="str">
        <f>HYPERLINK("https://miland.ru/api/getInfo/image/e63f8950-1837-11ea-a237-ac1f6b442184")</f>
        <v>https://miland.ru/api/getInfo/image/e63f8950-1837-11ea-a237-ac1f6b442184</v>
      </c>
    </row>
    <row r="4526" spans="1:19" s="1" customFormat="1" ht="12" customHeight="1" outlineLevel="3">
      <c r="A4526" s="64" t="s">
        <v>14969</v>
      </c>
      <c r="B4526" s="64"/>
      <c r="C4526" s="64"/>
      <c r="D4526" s="64"/>
      <c r="E4526" s="64"/>
      <c r="F4526" s="64"/>
      <c r="G4526" s="8"/>
      <c r="H4526" s="12"/>
      <c r="I4526" s="2"/>
      <c r="J4526" s="2"/>
      <c r="K4526" s="13"/>
      <c r="L4526" s="2"/>
      <c r="M4526" s="2"/>
      <c r="N4526" s="2"/>
      <c r="O4526" s="2"/>
      <c r="P4526" s="2"/>
      <c r="Q4526" s="2"/>
      <c r="R4526" s="2"/>
      <c r="S4526" s="2"/>
    </row>
    <row r="4527" spans="1:19" s="2" customFormat="1" ht="96.2" customHeight="1" outlineLevel="4">
      <c r="A4527" s="52">
        <v>3560</v>
      </c>
      <c r="B4527" s="26" t="s">
        <v>14970</v>
      </c>
      <c r="C4527" s="66" t="s">
        <v>14971</v>
      </c>
      <c r="D4527" s="66"/>
      <c r="E4527" s="66"/>
      <c r="F4527" s="66"/>
      <c r="G4527" s="27" t="s">
        <v>14972</v>
      </c>
      <c r="H4527" s="28" t="s">
        <v>44</v>
      </c>
      <c r="I4527" s="29"/>
      <c r="J4527" s="25">
        <v>12</v>
      </c>
      <c r="K4527" s="30">
        <v>71.709999999999994</v>
      </c>
      <c r="L4527" s="17"/>
      <c r="M4527" s="29">
        <f>K4527*L4527</f>
        <v>0</v>
      </c>
      <c r="N4527" s="31">
        <f>0.012*L4527</f>
        <v>0</v>
      </c>
      <c r="O4527" s="32">
        <f>0.00004*L4527</f>
        <v>0</v>
      </c>
      <c r="P4527" s="36"/>
      <c r="Q4527" s="29" t="s">
        <v>14973</v>
      </c>
      <c r="R4527" s="29" t="s">
        <v>611</v>
      </c>
      <c r="S4527" s="26" t="str">
        <f>HYPERLINK("https://miland.ru/api/getInfo/image/249d62c6-9858-11eb-a201-ac1f6b442185")</f>
        <v>https://miland.ru/api/getInfo/image/249d62c6-9858-11eb-a201-ac1f6b442185</v>
      </c>
    </row>
    <row r="4528" spans="1:19" s="2" customFormat="1" ht="96.2" customHeight="1" outlineLevel="4">
      <c r="A4528" s="52">
        <v>3561</v>
      </c>
      <c r="B4528" s="26" t="s">
        <v>14974</v>
      </c>
      <c r="C4528" s="66" t="s">
        <v>14975</v>
      </c>
      <c r="D4528" s="66"/>
      <c r="E4528" s="66"/>
      <c r="F4528" s="66"/>
      <c r="G4528" s="27" t="s">
        <v>14976</v>
      </c>
      <c r="H4528" s="28" t="s">
        <v>44</v>
      </c>
      <c r="I4528" s="29"/>
      <c r="J4528" s="25">
        <v>12</v>
      </c>
      <c r="K4528" s="30">
        <v>73.760000000000005</v>
      </c>
      <c r="L4528" s="17"/>
      <c r="M4528" s="29">
        <f>K4528*L4528</f>
        <v>0</v>
      </c>
      <c r="N4528" s="34">
        <f>0.01*L4528</f>
        <v>0</v>
      </c>
      <c r="O4528" s="35">
        <f>0.0001*L4528</f>
        <v>0</v>
      </c>
      <c r="P4528" s="36"/>
      <c r="Q4528" s="29" t="s">
        <v>14977</v>
      </c>
      <c r="R4528" s="29" t="s">
        <v>611</v>
      </c>
      <c r="S4528" s="26" t="str">
        <f>HYPERLINK("https://miland.ru/api/getInfo/image/3f575fb2-985b-11eb-a201-ac1f6b442185")</f>
        <v>https://miland.ru/api/getInfo/image/3f575fb2-985b-11eb-a201-ac1f6b442185</v>
      </c>
    </row>
    <row r="4529" spans="1:19" s="2" customFormat="1" ht="96.2" customHeight="1" outlineLevel="4">
      <c r="A4529" s="52">
        <v>3562</v>
      </c>
      <c r="B4529" s="26" t="s">
        <v>14978</v>
      </c>
      <c r="C4529" s="66" t="s">
        <v>14979</v>
      </c>
      <c r="D4529" s="66"/>
      <c r="E4529" s="66"/>
      <c r="F4529" s="66"/>
      <c r="G4529" s="27" t="s">
        <v>14980</v>
      </c>
      <c r="H4529" s="28" t="s">
        <v>44</v>
      </c>
      <c r="I4529" s="29"/>
      <c r="J4529" s="25">
        <v>24</v>
      </c>
      <c r="K4529" s="30">
        <v>100.4</v>
      </c>
      <c r="L4529" s="17"/>
      <c r="M4529" s="29">
        <f>K4529*L4529</f>
        <v>0</v>
      </c>
      <c r="N4529" s="31">
        <f>0.015*L4529</f>
        <v>0</v>
      </c>
      <c r="O4529" s="35">
        <f>0.0002*L4529</f>
        <v>0</v>
      </c>
      <c r="P4529" s="36"/>
      <c r="Q4529" s="29" t="s">
        <v>14981</v>
      </c>
      <c r="R4529" s="29" t="s">
        <v>611</v>
      </c>
      <c r="S4529" s="26" t="str">
        <f>HYPERLINK("https://miland.ru/api/getInfo/image/cb88d2e6-9845-11eb-a201-ac1f6b442185")</f>
        <v>https://miland.ru/api/getInfo/image/cb88d2e6-9845-11eb-a201-ac1f6b442185</v>
      </c>
    </row>
    <row r="4530" spans="1:19" s="2" customFormat="1" ht="96.2" customHeight="1" outlineLevel="4">
      <c r="A4530" s="52">
        <v>3563</v>
      </c>
      <c r="B4530" s="26" t="s">
        <v>14982</v>
      </c>
      <c r="C4530" s="66" t="s">
        <v>14983</v>
      </c>
      <c r="D4530" s="66"/>
      <c r="E4530" s="66"/>
      <c r="F4530" s="66"/>
      <c r="G4530" s="27" t="s">
        <v>14984</v>
      </c>
      <c r="H4530" s="28" t="s">
        <v>44</v>
      </c>
      <c r="I4530" s="29"/>
      <c r="J4530" s="25">
        <v>24</v>
      </c>
      <c r="K4530" s="30">
        <v>102.45</v>
      </c>
      <c r="L4530" s="17"/>
      <c r="M4530" s="29">
        <f>K4530*L4530</f>
        <v>0</v>
      </c>
      <c r="N4530" s="34">
        <f>1.91*L4530</f>
        <v>0</v>
      </c>
      <c r="O4530" s="32">
        <f>0.02782*L4530</f>
        <v>0</v>
      </c>
      <c r="P4530" s="36"/>
      <c r="Q4530" s="29" t="s">
        <v>14985</v>
      </c>
      <c r="R4530" s="29" t="s">
        <v>611</v>
      </c>
      <c r="S4530" s="26" t="str">
        <f>HYPERLINK("https://miland.ru/api/getInfo/image/8e82611b-9843-11eb-a201-ac1f6b442185")</f>
        <v>https://miland.ru/api/getInfo/image/8e82611b-9843-11eb-a201-ac1f6b442185</v>
      </c>
    </row>
    <row r="4531" spans="1:19" s="1" customFormat="1" ht="12" customHeight="1" outlineLevel="3">
      <c r="A4531" s="64" t="s">
        <v>14986</v>
      </c>
      <c r="B4531" s="64"/>
      <c r="C4531" s="64"/>
      <c r="D4531" s="64"/>
      <c r="E4531" s="64"/>
      <c r="F4531" s="64"/>
      <c r="G4531" s="8"/>
      <c r="H4531" s="12"/>
      <c r="I4531" s="2"/>
      <c r="J4531" s="2"/>
      <c r="K4531" s="13"/>
      <c r="L4531" s="2"/>
      <c r="M4531" s="2"/>
      <c r="N4531" s="2"/>
      <c r="O4531" s="2"/>
      <c r="P4531" s="2"/>
      <c r="Q4531" s="2"/>
      <c r="R4531" s="2"/>
      <c r="S4531" s="2"/>
    </row>
    <row r="4532" spans="1:19" s="1" customFormat="1" ht="12" customHeight="1" outlineLevel="4">
      <c r="A4532" s="64" t="s">
        <v>14987</v>
      </c>
      <c r="B4532" s="64"/>
      <c r="C4532" s="64"/>
      <c r="D4532" s="64"/>
      <c r="E4532" s="64"/>
      <c r="F4532" s="64"/>
      <c r="G4532" s="8"/>
      <c r="H4532" s="12"/>
      <c r="I4532" s="2"/>
      <c r="J4532" s="2"/>
      <c r="K4532" s="13"/>
      <c r="L4532" s="2"/>
      <c r="M4532" s="2"/>
      <c r="N4532" s="2"/>
      <c r="O4532" s="2"/>
      <c r="P4532" s="2"/>
      <c r="Q4532" s="2"/>
      <c r="R4532" s="2"/>
      <c r="S4532" s="2"/>
    </row>
    <row r="4533" spans="1:19" s="2" customFormat="1" ht="96.2" customHeight="1" outlineLevel="5">
      <c r="A4533" s="52">
        <v>3564</v>
      </c>
      <c r="B4533" s="26" t="s">
        <v>14988</v>
      </c>
      <c r="C4533" s="66" t="s">
        <v>14989</v>
      </c>
      <c r="D4533" s="66"/>
      <c r="E4533" s="66"/>
      <c r="F4533" s="66"/>
      <c r="G4533" s="27" t="s">
        <v>14990</v>
      </c>
      <c r="H4533" s="28" t="s">
        <v>44</v>
      </c>
      <c r="I4533" s="29"/>
      <c r="J4533" s="25">
        <v>7</v>
      </c>
      <c r="K4533" s="30">
        <v>83.91</v>
      </c>
      <c r="L4533" s="17"/>
      <c r="M4533" s="29">
        <f t="shared" ref="M4533:M4549" si="216">K4533*L4533</f>
        <v>0</v>
      </c>
      <c r="N4533" s="31">
        <f>0.102*L4533</f>
        <v>0</v>
      </c>
      <c r="O4533" s="32">
        <f>0.00269*L4533</f>
        <v>0</v>
      </c>
      <c r="P4533" s="36"/>
      <c r="Q4533" s="29" t="s">
        <v>14991</v>
      </c>
      <c r="R4533" s="29"/>
      <c r="S4533" s="26" t="str">
        <f>HYPERLINK("https://miland.ru/api/getInfo/image/72651ffd-a702-11e9-a22d-ac1f6b442184")</f>
        <v>https://miland.ru/api/getInfo/image/72651ffd-a702-11e9-a22d-ac1f6b442184</v>
      </c>
    </row>
    <row r="4534" spans="1:19" s="2" customFormat="1" ht="96.2" customHeight="1" outlineLevel="5">
      <c r="A4534" s="52">
        <v>3565</v>
      </c>
      <c r="B4534" s="26" t="s">
        <v>14992</v>
      </c>
      <c r="C4534" s="66" t="s">
        <v>14993</v>
      </c>
      <c r="D4534" s="66"/>
      <c r="E4534" s="66"/>
      <c r="F4534" s="66"/>
      <c r="G4534" s="27" t="s">
        <v>14994</v>
      </c>
      <c r="H4534" s="33">
        <v>120</v>
      </c>
      <c r="I4534" s="29"/>
      <c r="J4534" s="25">
        <v>5</v>
      </c>
      <c r="K4534" s="30">
        <v>123.1</v>
      </c>
      <c r="L4534" s="17"/>
      <c r="M4534" s="29">
        <f t="shared" si="216"/>
        <v>0</v>
      </c>
      <c r="N4534" s="31">
        <f>0.102*L4534</f>
        <v>0</v>
      </c>
      <c r="O4534" s="32">
        <f>0.00269*L4534</f>
        <v>0</v>
      </c>
      <c r="P4534" s="36"/>
      <c r="Q4534" s="29" t="s">
        <v>14995</v>
      </c>
      <c r="R4534" s="29"/>
      <c r="S4534" s="26" t="str">
        <f>HYPERLINK("https://miland.ru/api/getInfo/image/f1a889d3-a700-11e9-a22d-ac1f6b442184")</f>
        <v>https://miland.ru/api/getInfo/image/f1a889d3-a700-11e9-a22d-ac1f6b442184</v>
      </c>
    </row>
    <row r="4535" spans="1:19" s="2" customFormat="1" ht="96.2" customHeight="1" outlineLevel="5">
      <c r="A4535" s="52">
        <v>3566</v>
      </c>
      <c r="B4535" s="26" t="s">
        <v>14996</v>
      </c>
      <c r="C4535" s="66" t="s">
        <v>14997</v>
      </c>
      <c r="D4535" s="66"/>
      <c r="E4535" s="66"/>
      <c r="F4535" s="66"/>
      <c r="G4535" s="27" t="s">
        <v>14998</v>
      </c>
      <c r="H4535" s="33">
        <v>180</v>
      </c>
      <c r="I4535" s="29"/>
      <c r="J4535" s="25">
        <v>5</v>
      </c>
      <c r="K4535" s="30">
        <v>123.1</v>
      </c>
      <c r="L4535" s="17"/>
      <c r="M4535" s="29">
        <f t="shared" si="216"/>
        <v>0</v>
      </c>
      <c r="N4535" s="31">
        <f>0.101*L4535</f>
        <v>0</v>
      </c>
      <c r="O4535" s="32">
        <f>0.00206*L4535</f>
        <v>0</v>
      </c>
      <c r="P4535" s="36"/>
      <c r="Q4535" s="29" t="s">
        <v>14999</v>
      </c>
      <c r="R4535" s="29"/>
      <c r="S4535" s="26" t="str">
        <f>HYPERLINK("https://miland.ru/api/getInfo/image/284b34af-a700-11e9-a22d-ac1f6b442184")</f>
        <v>https://miland.ru/api/getInfo/image/284b34af-a700-11e9-a22d-ac1f6b442184</v>
      </c>
    </row>
    <row r="4536" spans="1:19" s="2" customFormat="1" ht="96.2" customHeight="1" outlineLevel="5">
      <c r="A4536" s="52">
        <v>3567</v>
      </c>
      <c r="B4536" s="26" t="s">
        <v>15000</v>
      </c>
      <c r="C4536" s="66" t="s">
        <v>15001</v>
      </c>
      <c r="D4536" s="66"/>
      <c r="E4536" s="66"/>
      <c r="F4536" s="66"/>
      <c r="G4536" s="27" t="s">
        <v>15002</v>
      </c>
      <c r="H4536" s="33">
        <v>350</v>
      </c>
      <c r="I4536" s="29"/>
      <c r="J4536" s="25">
        <v>5</v>
      </c>
      <c r="K4536" s="30">
        <v>123.1</v>
      </c>
      <c r="L4536" s="17"/>
      <c r="M4536" s="29">
        <f t="shared" si="216"/>
        <v>0</v>
      </c>
      <c r="N4536" s="31">
        <f>0.107*L4536</f>
        <v>0</v>
      </c>
      <c r="O4536" s="32">
        <f>0.00316*L4536</f>
        <v>0</v>
      </c>
      <c r="P4536" s="36"/>
      <c r="Q4536" s="29" t="s">
        <v>15003</v>
      </c>
      <c r="R4536" s="29"/>
      <c r="S4536" s="26" t="str">
        <f>HYPERLINK("https://miland.ru/api/getInfo/image/5bc2d2f5-a700-11e9-a22d-ac1f6b442184")</f>
        <v>https://miland.ru/api/getInfo/image/5bc2d2f5-a700-11e9-a22d-ac1f6b442184</v>
      </c>
    </row>
    <row r="4537" spans="1:19" s="2" customFormat="1" ht="96.2" customHeight="1" outlineLevel="5">
      <c r="A4537" s="52">
        <v>3568</v>
      </c>
      <c r="B4537" s="26" t="s">
        <v>15004</v>
      </c>
      <c r="C4537" s="66" t="s">
        <v>15005</v>
      </c>
      <c r="D4537" s="66"/>
      <c r="E4537" s="66"/>
      <c r="F4537" s="66"/>
      <c r="G4537" s="27" t="s">
        <v>15006</v>
      </c>
      <c r="H4537" s="33">
        <v>290</v>
      </c>
      <c r="I4537" s="29"/>
      <c r="J4537" s="25">
        <v>5</v>
      </c>
      <c r="K4537" s="30">
        <v>123.1</v>
      </c>
      <c r="L4537" s="17"/>
      <c r="M4537" s="29">
        <f t="shared" si="216"/>
        <v>0</v>
      </c>
      <c r="N4537" s="31">
        <f>0.104*L4537</f>
        <v>0</v>
      </c>
      <c r="O4537" s="32">
        <f>0.00254*L4537</f>
        <v>0</v>
      </c>
      <c r="P4537" s="36"/>
      <c r="Q4537" s="29" t="s">
        <v>15007</v>
      </c>
      <c r="R4537" s="29"/>
      <c r="S4537" s="26" t="str">
        <f>HYPERLINK("https://miland.ru/api/getInfo/image/bbf9b5fc-a700-11e9-a22d-ac1f6b442184")</f>
        <v>https://miland.ru/api/getInfo/image/bbf9b5fc-a700-11e9-a22d-ac1f6b442184</v>
      </c>
    </row>
    <row r="4538" spans="1:19" s="2" customFormat="1" ht="96.2" customHeight="1" outlineLevel="5">
      <c r="A4538" s="52">
        <v>3569</v>
      </c>
      <c r="B4538" s="26" t="s">
        <v>15008</v>
      </c>
      <c r="C4538" s="66" t="s">
        <v>15009</v>
      </c>
      <c r="D4538" s="66"/>
      <c r="E4538" s="66"/>
      <c r="F4538" s="66"/>
      <c r="G4538" s="27" t="s">
        <v>15010</v>
      </c>
      <c r="H4538" s="33">
        <v>285</v>
      </c>
      <c r="I4538" s="29"/>
      <c r="J4538" s="25">
        <v>5</v>
      </c>
      <c r="K4538" s="30">
        <v>123.1</v>
      </c>
      <c r="L4538" s="17"/>
      <c r="M4538" s="29">
        <f t="shared" si="216"/>
        <v>0</v>
      </c>
      <c r="N4538" s="31">
        <f>0.106*L4538</f>
        <v>0</v>
      </c>
      <c r="O4538" s="35">
        <f>0.0014*L4538</f>
        <v>0</v>
      </c>
      <c r="P4538" s="36"/>
      <c r="Q4538" s="29" t="s">
        <v>15011</v>
      </c>
      <c r="R4538" s="29"/>
      <c r="S4538" s="26" t="str">
        <f>HYPERLINK("https://miland.ru/api/getInfo/image/8bafc321-a700-11e9-a22d-ac1f6b442184")</f>
        <v>https://miland.ru/api/getInfo/image/8bafc321-a700-11e9-a22d-ac1f6b442184</v>
      </c>
    </row>
    <row r="4539" spans="1:19" s="2" customFormat="1" ht="96.2" customHeight="1" outlineLevel="5">
      <c r="A4539" s="52">
        <v>3570</v>
      </c>
      <c r="B4539" s="26" t="s">
        <v>15012</v>
      </c>
      <c r="C4539" s="66" t="s">
        <v>15013</v>
      </c>
      <c r="D4539" s="66"/>
      <c r="E4539" s="66"/>
      <c r="F4539" s="66"/>
      <c r="G4539" s="27" t="s">
        <v>15014</v>
      </c>
      <c r="H4539" s="33">
        <v>350</v>
      </c>
      <c r="I4539" s="29"/>
      <c r="J4539" s="25">
        <v>5</v>
      </c>
      <c r="K4539" s="30">
        <v>123.1</v>
      </c>
      <c r="L4539" s="17"/>
      <c r="M4539" s="29">
        <f t="shared" si="216"/>
        <v>0</v>
      </c>
      <c r="N4539" s="31">
        <f>0.108*L4539</f>
        <v>0</v>
      </c>
      <c r="O4539" s="32">
        <f>0.00024*L4539</f>
        <v>0</v>
      </c>
      <c r="P4539" s="36"/>
      <c r="Q4539" s="29" t="s">
        <v>15015</v>
      </c>
      <c r="R4539" s="29"/>
      <c r="S4539" s="26" t="str">
        <f>HYPERLINK("https://miland.ru/api/getInfo/image/2d9370b4-a701-11e9-a22d-ac1f6b442184")</f>
        <v>https://miland.ru/api/getInfo/image/2d9370b4-a701-11e9-a22d-ac1f6b442184</v>
      </c>
    </row>
    <row r="4540" spans="1:19" s="2" customFormat="1" ht="96.2" customHeight="1" outlineLevel="5">
      <c r="A4540" s="52">
        <v>3571</v>
      </c>
      <c r="B4540" s="26" t="s">
        <v>15016</v>
      </c>
      <c r="C4540" s="66" t="s">
        <v>15017</v>
      </c>
      <c r="D4540" s="66"/>
      <c r="E4540" s="66"/>
      <c r="F4540" s="66"/>
      <c r="G4540" s="27" t="s">
        <v>15018</v>
      </c>
      <c r="H4540" s="33">
        <v>60</v>
      </c>
      <c r="I4540" s="29"/>
      <c r="J4540" s="25">
        <v>5</v>
      </c>
      <c r="K4540" s="30">
        <v>124.19</v>
      </c>
      <c r="L4540" s="17"/>
      <c r="M4540" s="29">
        <f t="shared" si="216"/>
        <v>0</v>
      </c>
      <c r="N4540" s="31">
        <f>0.103*L4540</f>
        <v>0</v>
      </c>
      <c r="O4540" s="32">
        <f>0.00048*L4540</f>
        <v>0</v>
      </c>
      <c r="P4540" s="36"/>
      <c r="Q4540" s="29" t="s">
        <v>15019</v>
      </c>
      <c r="R4540" s="29"/>
      <c r="S4540" s="26" t="str">
        <f>HYPERLINK("https://miland.ru/api/getInfo/image/0ddcacbf-a703-11e9-a22d-ac1f6b442184")</f>
        <v>https://miland.ru/api/getInfo/image/0ddcacbf-a703-11e9-a22d-ac1f6b442184</v>
      </c>
    </row>
    <row r="4541" spans="1:19" s="2" customFormat="1" ht="96.2" customHeight="1" outlineLevel="5">
      <c r="A4541" s="52">
        <v>3572</v>
      </c>
      <c r="B4541" s="26" t="s">
        <v>15020</v>
      </c>
      <c r="C4541" s="66" t="s">
        <v>15021</v>
      </c>
      <c r="D4541" s="66"/>
      <c r="E4541" s="66"/>
      <c r="F4541" s="66"/>
      <c r="G4541" s="27" t="s">
        <v>15022</v>
      </c>
      <c r="H4541" s="33">
        <v>180</v>
      </c>
      <c r="I4541" s="29"/>
      <c r="J4541" s="25">
        <v>5</v>
      </c>
      <c r="K4541" s="30">
        <v>124.19</v>
      </c>
      <c r="L4541" s="17"/>
      <c r="M4541" s="29">
        <f t="shared" si="216"/>
        <v>0</v>
      </c>
      <c r="N4541" s="31">
        <f>0.108*L4541</f>
        <v>0</v>
      </c>
      <c r="O4541" s="32">
        <f>0.00112*L4541</f>
        <v>0</v>
      </c>
      <c r="P4541" s="36"/>
      <c r="Q4541" s="29" t="s">
        <v>15023</v>
      </c>
      <c r="R4541" s="29"/>
      <c r="S4541" s="26" t="str">
        <f>HYPERLINK("https://miland.ru/api/getInfo/image/407e99e7-a703-11e9-a22d-ac1f6b442184")</f>
        <v>https://miland.ru/api/getInfo/image/407e99e7-a703-11e9-a22d-ac1f6b442184</v>
      </c>
    </row>
    <row r="4542" spans="1:19" s="2" customFormat="1" ht="96.2" customHeight="1" outlineLevel="5">
      <c r="A4542" s="52">
        <v>3573</v>
      </c>
      <c r="B4542" s="26" t="s">
        <v>15024</v>
      </c>
      <c r="C4542" s="66" t="s">
        <v>15025</v>
      </c>
      <c r="D4542" s="66"/>
      <c r="E4542" s="66"/>
      <c r="F4542" s="66"/>
      <c r="G4542" s="27" t="s">
        <v>15026</v>
      </c>
      <c r="H4542" s="33">
        <v>120</v>
      </c>
      <c r="I4542" s="29"/>
      <c r="J4542" s="25">
        <v>6</v>
      </c>
      <c r="K4542" s="30">
        <v>103.89</v>
      </c>
      <c r="L4542" s="17"/>
      <c r="M4542" s="29">
        <f t="shared" si="216"/>
        <v>0</v>
      </c>
      <c r="N4542" s="31">
        <f>0.105*L4542</f>
        <v>0</v>
      </c>
      <c r="O4542" s="32">
        <f>0.00077*L4542</f>
        <v>0</v>
      </c>
      <c r="P4542" s="36"/>
      <c r="Q4542" s="29" t="s">
        <v>15027</v>
      </c>
      <c r="R4542" s="29"/>
      <c r="S4542" s="26" t="str">
        <f>HYPERLINK("https://miland.ru/api/getInfo/image/e0c5c3d9-a702-11e9-a22d-ac1f6b442184")</f>
        <v>https://miland.ru/api/getInfo/image/e0c5c3d9-a702-11e9-a22d-ac1f6b442184</v>
      </c>
    </row>
    <row r="4543" spans="1:19" s="2" customFormat="1" ht="96.2" customHeight="1" outlineLevel="5">
      <c r="A4543" s="52">
        <v>3574</v>
      </c>
      <c r="B4543" s="26" t="s">
        <v>15028</v>
      </c>
      <c r="C4543" s="66" t="s">
        <v>15029</v>
      </c>
      <c r="D4543" s="66"/>
      <c r="E4543" s="66"/>
      <c r="F4543" s="66"/>
      <c r="G4543" s="27" t="s">
        <v>15030</v>
      </c>
      <c r="H4543" s="33">
        <v>241</v>
      </c>
      <c r="I4543" s="29"/>
      <c r="J4543" s="25">
        <v>6</v>
      </c>
      <c r="K4543" s="30">
        <v>103.89</v>
      </c>
      <c r="L4543" s="17"/>
      <c r="M4543" s="29">
        <f t="shared" si="216"/>
        <v>0</v>
      </c>
      <c r="N4543" s="31">
        <f>0.103*L4543</f>
        <v>0</v>
      </c>
      <c r="O4543" s="32">
        <f>0.00109*L4543</f>
        <v>0</v>
      </c>
      <c r="P4543" s="36"/>
      <c r="Q4543" s="29" t="s">
        <v>15031</v>
      </c>
      <c r="R4543" s="29"/>
      <c r="S4543" s="26" t="str">
        <f>HYPERLINK("https://miland.ru/api/getInfo/image/9b351e2a-a702-11e9-a22d-ac1f6b442184")</f>
        <v>https://miland.ru/api/getInfo/image/9b351e2a-a702-11e9-a22d-ac1f6b442184</v>
      </c>
    </row>
    <row r="4544" spans="1:19" s="2" customFormat="1" ht="96.2" customHeight="1" outlineLevel="5">
      <c r="A4544" s="52">
        <v>3575</v>
      </c>
      <c r="B4544" s="26" t="s">
        <v>15032</v>
      </c>
      <c r="C4544" s="66" t="s">
        <v>15033</v>
      </c>
      <c r="D4544" s="66"/>
      <c r="E4544" s="66"/>
      <c r="F4544" s="66"/>
      <c r="G4544" s="27" t="s">
        <v>15034</v>
      </c>
      <c r="H4544" s="33">
        <v>420</v>
      </c>
      <c r="I4544" s="29"/>
      <c r="J4544" s="25">
        <v>6</v>
      </c>
      <c r="K4544" s="30">
        <v>101.92</v>
      </c>
      <c r="L4544" s="17"/>
      <c r="M4544" s="29">
        <f t="shared" si="216"/>
        <v>0</v>
      </c>
      <c r="N4544" s="31">
        <f>0.106*L4544</f>
        <v>0</v>
      </c>
      <c r="O4544" s="32">
        <f>0.00019*L4544</f>
        <v>0</v>
      </c>
      <c r="P4544" s="36"/>
      <c r="Q4544" s="29" t="s">
        <v>15035</v>
      </c>
      <c r="R4544" s="29"/>
      <c r="S4544" s="26" t="str">
        <f>HYPERLINK("https://miland.ru/api/getInfo/image/8846f23a-a6ff-11e9-a22d-ac1f6b442184")</f>
        <v>https://miland.ru/api/getInfo/image/8846f23a-a6ff-11e9-a22d-ac1f6b442184</v>
      </c>
    </row>
    <row r="4545" spans="1:19" s="2" customFormat="1" ht="96.2" customHeight="1" outlineLevel="5">
      <c r="A4545" s="52">
        <v>3576</v>
      </c>
      <c r="B4545" s="26" t="s">
        <v>15036</v>
      </c>
      <c r="C4545" s="66" t="s">
        <v>15037</v>
      </c>
      <c r="D4545" s="66"/>
      <c r="E4545" s="66"/>
      <c r="F4545" s="66"/>
      <c r="G4545" s="27" t="s">
        <v>15038</v>
      </c>
      <c r="H4545" s="33">
        <v>243</v>
      </c>
      <c r="I4545" s="29"/>
      <c r="J4545" s="25">
        <v>6</v>
      </c>
      <c r="K4545" s="30">
        <v>101.92</v>
      </c>
      <c r="L4545" s="17"/>
      <c r="M4545" s="29">
        <f t="shared" si="216"/>
        <v>0</v>
      </c>
      <c r="N4545" s="31">
        <f>0.106*L4545</f>
        <v>0</v>
      </c>
      <c r="O4545" s="32">
        <f>0.00018*L4545</f>
        <v>0</v>
      </c>
      <c r="P4545" s="36"/>
      <c r="Q4545" s="29" t="s">
        <v>15039</v>
      </c>
      <c r="R4545" s="29"/>
      <c r="S4545" s="26" t="str">
        <f>HYPERLINK("https://miland.ru/api/getInfo/image/edf326f8-a6ff-11e9-a22d-ac1f6b442184")</f>
        <v>https://miland.ru/api/getInfo/image/edf326f8-a6ff-11e9-a22d-ac1f6b442184</v>
      </c>
    </row>
    <row r="4546" spans="1:19" s="2" customFormat="1" ht="96.2" customHeight="1" outlineLevel="5">
      <c r="A4546" s="52">
        <v>3577</v>
      </c>
      <c r="B4546" s="26" t="s">
        <v>15040</v>
      </c>
      <c r="C4546" s="66" t="s">
        <v>15041</v>
      </c>
      <c r="D4546" s="66"/>
      <c r="E4546" s="66"/>
      <c r="F4546" s="66"/>
      <c r="G4546" s="27" t="s">
        <v>15042</v>
      </c>
      <c r="H4546" s="33">
        <v>410</v>
      </c>
      <c r="I4546" s="29"/>
      <c r="J4546" s="25">
        <v>6</v>
      </c>
      <c r="K4546" s="30">
        <v>101.92</v>
      </c>
      <c r="L4546" s="17"/>
      <c r="M4546" s="29">
        <f t="shared" si="216"/>
        <v>0</v>
      </c>
      <c r="N4546" s="31">
        <f>0.106*L4546</f>
        <v>0</v>
      </c>
      <c r="O4546" s="32">
        <f>0.00091*L4546</f>
        <v>0</v>
      </c>
      <c r="P4546" s="36"/>
      <c r="Q4546" s="29" t="s">
        <v>15043</v>
      </c>
      <c r="R4546" s="29"/>
      <c r="S4546" s="26" t="str">
        <f>HYPERLINK("https://miland.ru/api/getInfo/image/aa3acf36-a6fe-11e9-a22d-ac1f6b442184")</f>
        <v>https://miland.ru/api/getInfo/image/aa3acf36-a6fe-11e9-a22d-ac1f6b442184</v>
      </c>
    </row>
    <row r="4547" spans="1:19" s="2" customFormat="1" ht="96.2" customHeight="1" outlineLevel="5">
      <c r="A4547" s="52">
        <v>3578</v>
      </c>
      <c r="B4547" s="26" t="s">
        <v>15044</v>
      </c>
      <c r="C4547" s="66" t="s">
        <v>15045</v>
      </c>
      <c r="D4547" s="66"/>
      <c r="E4547" s="66"/>
      <c r="F4547" s="66"/>
      <c r="G4547" s="27" t="s">
        <v>15046</v>
      </c>
      <c r="H4547" s="33">
        <v>350</v>
      </c>
      <c r="I4547" s="29"/>
      <c r="J4547" s="25">
        <v>6</v>
      </c>
      <c r="K4547" s="30">
        <v>101.92</v>
      </c>
      <c r="L4547" s="17"/>
      <c r="M4547" s="29">
        <f t="shared" si="216"/>
        <v>0</v>
      </c>
      <c r="N4547" s="31">
        <f>0.104*L4547</f>
        <v>0</v>
      </c>
      <c r="O4547" s="32">
        <f>0.00203*L4547</f>
        <v>0</v>
      </c>
      <c r="P4547" s="36"/>
      <c r="Q4547" s="29" t="s">
        <v>15047</v>
      </c>
      <c r="R4547" s="29"/>
      <c r="S4547" s="26" t="str">
        <f>HYPERLINK("https://miland.ru/api/getInfo/image/bc235629-a6ff-11e9-a22d-ac1f6b442184")</f>
        <v>https://miland.ru/api/getInfo/image/bc235629-a6ff-11e9-a22d-ac1f6b442184</v>
      </c>
    </row>
    <row r="4548" spans="1:19" s="2" customFormat="1" ht="96.2" customHeight="1" outlineLevel="5">
      <c r="A4548" s="52">
        <v>3579</v>
      </c>
      <c r="B4548" s="26" t="s">
        <v>15048</v>
      </c>
      <c r="C4548" s="66" t="s">
        <v>15049</v>
      </c>
      <c r="D4548" s="66"/>
      <c r="E4548" s="66"/>
      <c r="F4548" s="66"/>
      <c r="G4548" s="27" t="s">
        <v>15050</v>
      </c>
      <c r="H4548" s="33">
        <v>410</v>
      </c>
      <c r="I4548" s="29"/>
      <c r="J4548" s="25">
        <v>6</v>
      </c>
      <c r="K4548" s="30">
        <v>101.92</v>
      </c>
      <c r="L4548" s="17"/>
      <c r="M4548" s="29">
        <f t="shared" si="216"/>
        <v>0</v>
      </c>
      <c r="N4548" s="31">
        <f>0.103*L4548</f>
        <v>0</v>
      </c>
      <c r="O4548" s="32">
        <f>0.00053*L4548</f>
        <v>0</v>
      </c>
      <c r="P4548" s="36"/>
      <c r="Q4548" s="29" t="s">
        <v>15051</v>
      </c>
      <c r="R4548" s="29"/>
      <c r="S4548" s="26" t="str">
        <f>HYPERLINK("https://miland.ru/api/getInfo/image/4c66a0fa-a6ff-11e9-a22d-ac1f6b442184")</f>
        <v>https://miland.ru/api/getInfo/image/4c66a0fa-a6ff-11e9-a22d-ac1f6b442184</v>
      </c>
    </row>
    <row r="4549" spans="1:19" s="2" customFormat="1" ht="96.2" customHeight="1" outlineLevel="5">
      <c r="A4549" s="52">
        <v>3580</v>
      </c>
      <c r="B4549" s="26" t="s">
        <v>15052</v>
      </c>
      <c r="C4549" s="66" t="s">
        <v>15053</v>
      </c>
      <c r="D4549" s="66"/>
      <c r="E4549" s="66"/>
      <c r="F4549" s="66"/>
      <c r="G4549" s="27" t="s">
        <v>15054</v>
      </c>
      <c r="H4549" s="28" t="s">
        <v>44</v>
      </c>
      <c r="I4549" s="29"/>
      <c r="J4549" s="25">
        <v>7</v>
      </c>
      <c r="K4549" s="30">
        <v>92.43</v>
      </c>
      <c r="L4549" s="17"/>
      <c r="M4549" s="29">
        <f t="shared" si="216"/>
        <v>0</v>
      </c>
      <c r="N4549" s="34">
        <f>0.09*L4549</f>
        <v>0</v>
      </c>
      <c r="O4549" s="32">
        <f>0.00117*L4549</f>
        <v>0</v>
      </c>
      <c r="P4549" s="36"/>
      <c r="Q4549" s="29" t="s">
        <v>15055</v>
      </c>
      <c r="R4549" s="29"/>
      <c r="S4549" s="26" t="str">
        <f>HYPERLINK("https://miland.ru/api/getInfo/image/5d0a5c07-32fa-11eb-a25e-ac1f6b442184")</f>
        <v>https://miland.ru/api/getInfo/image/5d0a5c07-32fa-11eb-a25e-ac1f6b442184</v>
      </c>
    </row>
    <row r="4550" spans="1:19" s="1" customFormat="1" ht="12" customHeight="1" outlineLevel="4">
      <c r="A4550" s="64" t="s">
        <v>15056</v>
      </c>
      <c r="B4550" s="64"/>
      <c r="C4550" s="64"/>
      <c r="D4550" s="64"/>
      <c r="E4550" s="64"/>
      <c r="F4550" s="64"/>
      <c r="G4550" s="8"/>
      <c r="H4550" s="12"/>
      <c r="I4550" s="2"/>
      <c r="J4550" s="2"/>
      <c r="K4550" s="13"/>
      <c r="L4550" s="2"/>
      <c r="M4550" s="2"/>
      <c r="N4550" s="2"/>
      <c r="O4550" s="2"/>
      <c r="P4550" s="2"/>
      <c r="Q4550" s="2"/>
      <c r="R4550" s="2"/>
      <c r="S4550" s="2"/>
    </row>
    <row r="4551" spans="1:19" s="2" customFormat="1" ht="96.2" customHeight="1" outlineLevel="5">
      <c r="A4551" s="52">
        <v>3581</v>
      </c>
      <c r="B4551" s="26" t="s">
        <v>15057</v>
      </c>
      <c r="C4551" s="66" t="s">
        <v>15058</v>
      </c>
      <c r="D4551" s="66"/>
      <c r="E4551" s="66"/>
      <c r="F4551" s="66"/>
      <c r="G4551" s="27" t="s">
        <v>15059</v>
      </c>
      <c r="H4551" s="33">
        <v>40</v>
      </c>
      <c r="I4551" s="29"/>
      <c r="J4551" s="25">
        <v>2</v>
      </c>
      <c r="K4551" s="30">
        <v>328</v>
      </c>
      <c r="L4551" s="17"/>
      <c r="M4551" s="29">
        <f>K4551*L4551</f>
        <v>0</v>
      </c>
      <c r="N4551" s="31">
        <f>0.504*L4551</f>
        <v>0</v>
      </c>
      <c r="O4551" s="32">
        <f>0.01626*L4551</f>
        <v>0</v>
      </c>
      <c r="P4551" s="36"/>
      <c r="Q4551" s="29" t="s">
        <v>15060</v>
      </c>
      <c r="R4551" s="29"/>
      <c r="S4551" s="26" t="str">
        <f>HYPERLINK("https://miland.ru/api/getInfo/image/5e9fbaeb-3220-11f0-a27c-00155d82e908")</f>
        <v>https://miland.ru/api/getInfo/image/5e9fbaeb-3220-11f0-a27c-00155d82e908</v>
      </c>
    </row>
    <row r="4552" spans="1:19" s="2" customFormat="1" ht="96.2" customHeight="1" outlineLevel="5">
      <c r="A4552" s="52">
        <v>3582</v>
      </c>
      <c r="B4552" s="26" t="s">
        <v>15061</v>
      </c>
      <c r="C4552" s="66" t="s">
        <v>15062</v>
      </c>
      <c r="D4552" s="66"/>
      <c r="E4552" s="66"/>
      <c r="F4552" s="66"/>
      <c r="G4552" s="27" t="s">
        <v>15063</v>
      </c>
      <c r="H4552" s="33">
        <v>16</v>
      </c>
      <c r="I4552" s="29"/>
      <c r="J4552" s="25">
        <v>3</v>
      </c>
      <c r="K4552" s="30">
        <v>246</v>
      </c>
      <c r="L4552" s="17"/>
      <c r="M4552" s="29">
        <f>K4552*L4552</f>
        <v>0</v>
      </c>
      <c r="N4552" s="31">
        <f>0.504*L4552</f>
        <v>0</v>
      </c>
      <c r="O4552" s="32">
        <f>0.01626*L4552</f>
        <v>0</v>
      </c>
      <c r="P4552" s="36"/>
      <c r="Q4552" s="29" t="s">
        <v>15064</v>
      </c>
      <c r="R4552" s="29"/>
      <c r="S4552" s="26" t="str">
        <f>HYPERLINK("https://miland.ru/api/getInfo/image/991b4da8-3220-11f0-a27c-00155d82e908")</f>
        <v>https://miland.ru/api/getInfo/image/991b4da8-3220-11f0-a27c-00155d82e908</v>
      </c>
    </row>
    <row r="4553" spans="1:19" s="1" customFormat="1" ht="12" customHeight="1" outlineLevel="2">
      <c r="A4553" s="63" t="s">
        <v>15065</v>
      </c>
      <c r="B4553" s="63"/>
      <c r="C4553" s="63"/>
      <c r="D4553" s="63"/>
      <c r="E4553" s="63"/>
      <c r="F4553" s="63"/>
      <c r="G4553" s="8"/>
      <c r="H4553" s="12"/>
      <c r="I4553" s="2"/>
      <c r="J4553" s="2"/>
      <c r="K4553" s="13"/>
      <c r="L4553" s="2"/>
      <c r="M4553" s="2"/>
      <c r="N4553" s="2"/>
      <c r="O4553" s="2"/>
      <c r="P4553" s="2"/>
      <c r="Q4553" s="2"/>
      <c r="R4553" s="2"/>
      <c r="S4553" s="2"/>
    </row>
    <row r="4554" spans="1:19" s="2" customFormat="1" ht="96.2" customHeight="1" outlineLevel="3">
      <c r="A4554" s="52">
        <v>3583</v>
      </c>
      <c r="B4554" s="26" t="s">
        <v>15066</v>
      </c>
      <c r="C4554" s="66" t="s">
        <v>15067</v>
      </c>
      <c r="D4554" s="66"/>
      <c r="E4554" s="66"/>
      <c r="F4554" s="66"/>
      <c r="G4554" s="27" t="s">
        <v>15068</v>
      </c>
      <c r="H4554" s="33">
        <v>331</v>
      </c>
      <c r="I4554" s="29"/>
      <c r="J4554" s="25">
        <v>4</v>
      </c>
      <c r="K4554" s="30">
        <v>165.34</v>
      </c>
      <c r="L4554" s="17"/>
      <c r="M4554" s="29">
        <f>K4554*L4554</f>
        <v>0</v>
      </c>
      <c r="N4554" s="31">
        <f>0.199*L4554</f>
        <v>0</v>
      </c>
      <c r="O4554" s="32">
        <f>0.00037*L4554</f>
        <v>0</v>
      </c>
      <c r="P4554" s="36"/>
      <c r="Q4554" s="29" t="s">
        <v>15069</v>
      </c>
      <c r="R4554" s="29"/>
      <c r="S4554" s="26" t="str">
        <f>HYPERLINK("https://miland.ru/api/getInfo/image/18806ac6-ce65-11ef-a268-00155d82e908")</f>
        <v>https://miland.ru/api/getInfo/image/18806ac6-ce65-11ef-a268-00155d82e908</v>
      </c>
    </row>
    <row r="4555" spans="1:19" s="2" customFormat="1" ht="96.2" customHeight="1" outlineLevel="3">
      <c r="A4555" s="52">
        <v>3584</v>
      </c>
      <c r="B4555" s="26" t="s">
        <v>15070</v>
      </c>
      <c r="C4555" s="66" t="s">
        <v>15071</v>
      </c>
      <c r="D4555" s="66"/>
      <c r="E4555" s="66"/>
      <c r="F4555" s="66"/>
      <c r="G4555" s="27" t="s">
        <v>15072</v>
      </c>
      <c r="H4555" s="33">
        <v>90</v>
      </c>
      <c r="I4555" s="29"/>
      <c r="J4555" s="25">
        <v>4</v>
      </c>
      <c r="K4555" s="30">
        <v>165.34</v>
      </c>
      <c r="L4555" s="17"/>
      <c r="M4555" s="29">
        <f>K4555*L4555</f>
        <v>0</v>
      </c>
      <c r="N4555" s="31">
        <f>0.197*L4555</f>
        <v>0</v>
      </c>
      <c r="O4555" s="32">
        <f>0.00638*L4555</f>
        <v>0</v>
      </c>
      <c r="P4555" s="36"/>
      <c r="Q4555" s="29" t="s">
        <v>15073</v>
      </c>
      <c r="R4555" s="29"/>
      <c r="S4555" s="26" t="str">
        <f>HYPERLINK("https://miland.ru/api/getInfo/image/99e71f27-ce65-11ef-a268-00155d82e908")</f>
        <v>https://miland.ru/api/getInfo/image/99e71f27-ce65-11ef-a268-00155d82e908</v>
      </c>
    </row>
    <row r="4556" spans="1:19" s="2" customFormat="1" ht="96.2" customHeight="1" outlineLevel="3">
      <c r="A4556" s="52">
        <v>3585</v>
      </c>
      <c r="B4556" s="26" t="s">
        <v>15074</v>
      </c>
      <c r="C4556" s="66" t="s">
        <v>15075</v>
      </c>
      <c r="D4556" s="66"/>
      <c r="E4556" s="66"/>
      <c r="F4556" s="66"/>
      <c r="G4556" s="27" t="s">
        <v>15076</v>
      </c>
      <c r="H4556" s="33">
        <v>30</v>
      </c>
      <c r="I4556" s="29"/>
      <c r="J4556" s="25">
        <v>4</v>
      </c>
      <c r="K4556" s="30">
        <v>165.34</v>
      </c>
      <c r="L4556" s="17"/>
      <c r="M4556" s="29">
        <f>K4556*L4556</f>
        <v>0</v>
      </c>
      <c r="N4556" s="41">
        <f>0.2*L4556</f>
        <v>0</v>
      </c>
      <c r="O4556" s="32">
        <f>0.00046*L4556</f>
        <v>0</v>
      </c>
      <c r="P4556" s="36"/>
      <c r="Q4556" s="29" t="s">
        <v>15077</v>
      </c>
      <c r="R4556" s="29"/>
      <c r="S4556" s="26" t="str">
        <f>HYPERLINK("https://miland.ru/api/getInfo/image/4a5c7dba-ce63-11ef-a268-00155d82e908")</f>
        <v>https://miland.ru/api/getInfo/image/4a5c7dba-ce63-11ef-a268-00155d82e908</v>
      </c>
    </row>
    <row r="4557" spans="1:19" s="2" customFormat="1" ht="96.2" customHeight="1" outlineLevel="3">
      <c r="A4557" s="52">
        <v>3586</v>
      </c>
      <c r="B4557" s="26" t="s">
        <v>15078</v>
      </c>
      <c r="C4557" s="66" t="s">
        <v>15079</v>
      </c>
      <c r="D4557" s="66"/>
      <c r="E4557" s="66"/>
      <c r="F4557" s="66"/>
      <c r="G4557" s="27" t="s">
        <v>15080</v>
      </c>
      <c r="H4557" s="33">
        <v>66</v>
      </c>
      <c r="I4557" s="29"/>
      <c r="J4557" s="25">
        <v>4</v>
      </c>
      <c r="K4557" s="30">
        <v>165.34</v>
      </c>
      <c r="L4557" s="17"/>
      <c r="M4557" s="29">
        <f>K4557*L4557</f>
        <v>0</v>
      </c>
      <c r="N4557" s="31">
        <f>0.202*L4557</f>
        <v>0</v>
      </c>
      <c r="O4557" s="32">
        <f>0.00556*L4557</f>
        <v>0</v>
      </c>
      <c r="P4557" s="36"/>
      <c r="Q4557" s="29" t="s">
        <v>15081</v>
      </c>
      <c r="R4557" s="29"/>
      <c r="S4557" s="26" t="str">
        <f>HYPERLINK("https://miland.ru/api/getInfo/image/5f982ad8-ce63-11ef-a268-00155d82e908")</f>
        <v>https://miland.ru/api/getInfo/image/5f982ad8-ce63-11ef-a268-00155d82e908</v>
      </c>
    </row>
    <row r="4558" spans="1:19" s="2" customFormat="1" ht="96.2" customHeight="1" outlineLevel="3">
      <c r="A4558" s="52">
        <v>3587</v>
      </c>
      <c r="B4558" s="26" t="s">
        <v>15082</v>
      </c>
      <c r="C4558" s="66" t="s">
        <v>15083</v>
      </c>
      <c r="D4558" s="66"/>
      <c r="E4558" s="66"/>
      <c r="F4558" s="66"/>
      <c r="G4558" s="27" t="s">
        <v>15084</v>
      </c>
      <c r="H4558" s="33">
        <v>342</v>
      </c>
      <c r="I4558" s="29"/>
      <c r="J4558" s="25">
        <v>4</v>
      </c>
      <c r="K4558" s="30">
        <v>165.34</v>
      </c>
      <c r="L4558" s="17"/>
      <c r="M4558" s="29">
        <f>K4558*L4558</f>
        <v>0</v>
      </c>
      <c r="N4558" s="31">
        <f>0.203*L4558</f>
        <v>0</v>
      </c>
      <c r="O4558" s="35">
        <f>0.0064*L4558</f>
        <v>0</v>
      </c>
      <c r="P4558" s="36"/>
      <c r="Q4558" s="29" t="s">
        <v>15085</v>
      </c>
      <c r="R4558" s="29"/>
      <c r="S4558" s="26" t="str">
        <f>HYPERLINK("https://miland.ru/api/getInfo/image/653b55d5-ce65-11ef-a268-00155d82e908")</f>
        <v>https://miland.ru/api/getInfo/image/653b55d5-ce65-11ef-a268-00155d82e908</v>
      </c>
    </row>
    <row r="4559" spans="1:19" s="1" customFormat="1" ht="15.95" customHeight="1" outlineLevel="1">
      <c r="A4559" s="62" t="s">
        <v>15086</v>
      </c>
      <c r="B4559" s="62"/>
      <c r="C4559" s="62"/>
      <c r="D4559" s="62"/>
      <c r="E4559" s="62"/>
      <c r="F4559" s="62"/>
      <c r="G4559" s="8"/>
      <c r="H4559" s="12"/>
      <c r="I4559" s="2"/>
      <c r="J4559" s="2"/>
      <c r="K4559" s="13"/>
      <c r="L4559" s="2"/>
      <c r="M4559" s="2"/>
      <c r="N4559" s="2"/>
      <c r="O4559" s="2"/>
      <c r="P4559" s="2"/>
      <c r="Q4559" s="2"/>
      <c r="R4559" s="2"/>
      <c r="S4559" s="2"/>
    </row>
    <row r="4560" spans="1:19" s="1" customFormat="1" ht="12" customHeight="1" outlineLevel="2">
      <c r="A4560" s="63" t="s">
        <v>15087</v>
      </c>
      <c r="B4560" s="63"/>
      <c r="C4560" s="63"/>
      <c r="D4560" s="63"/>
      <c r="E4560" s="63"/>
      <c r="F4560" s="63"/>
      <c r="G4560" s="8"/>
      <c r="H4560" s="12"/>
      <c r="I4560" s="2"/>
      <c r="J4560" s="2"/>
      <c r="K4560" s="13"/>
      <c r="L4560" s="2"/>
      <c r="M4560" s="2"/>
      <c r="N4560" s="2"/>
      <c r="O4560" s="2"/>
      <c r="P4560" s="2"/>
      <c r="Q4560" s="2"/>
      <c r="R4560" s="2"/>
      <c r="S4560" s="2"/>
    </row>
    <row r="4561" spans="1:19" s="1" customFormat="1" ht="12" customHeight="1" outlineLevel="3">
      <c r="A4561" s="64" t="s">
        <v>15088</v>
      </c>
      <c r="B4561" s="64"/>
      <c r="C4561" s="64"/>
      <c r="D4561" s="64"/>
      <c r="E4561" s="64"/>
      <c r="F4561" s="64"/>
      <c r="G4561" s="8"/>
      <c r="H4561" s="12"/>
      <c r="I4561" s="2"/>
      <c r="J4561" s="2"/>
      <c r="K4561" s="13"/>
      <c r="L4561" s="2"/>
      <c r="M4561" s="2"/>
      <c r="N4561" s="2"/>
      <c r="O4561" s="2"/>
      <c r="P4561" s="2"/>
      <c r="Q4561" s="2"/>
      <c r="R4561" s="2"/>
      <c r="S4561" s="2"/>
    </row>
    <row r="4562" spans="1:19" s="1" customFormat="1" ht="12" customHeight="1" outlineLevel="4">
      <c r="A4562" s="64" t="s">
        <v>15089</v>
      </c>
      <c r="B4562" s="64"/>
      <c r="C4562" s="64"/>
      <c r="D4562" s="64"/>
      <c r="E4562" s="64"/>
      <c r="F4562" s="64"/>
      <c r="G4562" s="8"/>
      <c r="H4562" s="12"/>
      <c r="I4562" s="2"/>
      <c r="J4562" s="2"/>
      <c r="K4562" s="13"/>
      <c r="L4562" s="2"/>
      <c r="M4562" s="2"/>
      <c r="N4562" s="2"/>
      <c r="O4562" s="2"/>
      <c r="P4562" s="2"/>
      <c r="Q4562" s="2"/>
      <c r="R4562" s="2"/>
      <c r="S4562" s="2"/>
    </row>
    <row r="4563" spans="1:19" s="1" customFormat="1" ht="12" customHeight="1" outlineLevel="5">
      <c r="A4563" s="64" t="s">
        <v>15090</v>
      </c>
      <c r="B4563" s="64"/>
      <c r="C4563" s="64"/>
      <c r="D4563" s="64"/>
      <c r="E4563" s="64"/>
      <c r="F4563" s="64"/>
      <c r="G4563" s="8"/>
      <c r="H4563" s="12"/>
      <c r="I4563" s="2"/>
      <c r="J4563" s="2"/>
      <c r="K4563" s="13"/>
      <c r="L4563" s="2"/>
      <c r="M4563" s="2"/>
      <c r="N4563" s="2"/>
      <c r="O4563" s="2"/>
      <c r="P4563" s="2"/>
      <c r="Q4563" s="2"/>
      <c r="R4563" s="2"/>
      <c r="S4563" s="2"/>
    </row>
    <row r="4564" spans="1:19" s="2" customFormat="1" ht="96.2" customHeight="1" outlineLevel="6">
      <c r="A4564" s="52">
        <v>3588</v>
      </c>
      <c r="B4564" s="26" t="s">
        <v>15091</v>
      </c>
      <c r="C4564" s="66" t="s">
        <v>15092</v>
      </c>
      <c r="D4564" s="66"/>
      <c r="E4564" s="66"/>
      <c r="F4564" s="66"/>
      <c r="G4564" s="27" t="s">
        <v>15093</v>
      </c>
      <c r="H4564" s="33">
        <v>1</v>
      </c>
      <c r="I4564" s="29"/>
      <c r="J4564" s="25">
        <v>1</v>
      </c>
      <c r="K4564" s="30">
        <v>42.39</v>
      </c>
      <c r="L4564" s="17"/>
      <c r="M4564" s="29">
        <f>K4564*L4564</f>
        <v>0</v>
      </c>
      <c r="N4564" s="31">
        <f>0.048*L4564</f>
        <v>0</v>
      </c>
      <c r="O4564" s="32">
        <f>0.00011*L4564</f>
        <v>0</v>
      </c>
      <c r="P4564" s="36"/>
      <c r="Q4564" s="29" t="s">
        <v>15094</v>
      </c>
      <c r="R4564" s="29" t="s">
        <v>611</v>
      </c>
      <c r="S4564" s="26" t="str">
        <f>HYPERLINK("https://miland.ru/api/getInfo/image/b7ae9360-8a2a-11ef-a265-00155d82e908")</f>
        <v>https://miland.ru/api/getInfo/image/b7ae9360-8a2a-11ef-a265-00155d82e908</v>
      </c>
    </row>
    <row r="4565" spans="1:19" s="2" customFormat="1" ht="96.2" customHeight="1" outlineLevel="6">
      <c r="A4565" s="52">
        <v>3589</v>
      </c>
      <c r="B4565" s="26" t="s">
        <v>15095</v>
      </c>
      <c r="C4565" s="66" t="s">
        <v>15096</v>
      </c>
      <c r="D4565" s="66"/>
      <c r="E4565" s="66"/>
      <c r="F4565" s="66"/>
      <c r="G4565" s="27" t="s">
        <v>15097</v>
      </c>
      <c r="H4565" s="33">
        <v>24</v>
      </c>
      <c r="I4565" s="29"/>
      <c r="J4565" s="25">
        <v>14</v>
      </c>
      <c r="K4565" s="30">
        <v>42.39</v>
      </c>
      <c r="L4565" s="17"/>
      <c r="M4565" s="29">
        <f>K4565*L4565</f>
        <v>0</v>
      </c>
      <c r="N4565" s="31">
        <f>0.048*L4565</f>
        <v>0</v>
      </c>
      <c r="O4565" s="32">
        <f>0.00008*L4565</f>
        <v>0</v>
      </c>
      <c r="P4565" s="36"/>
      <c r="Q4565" s="29" t="s">
        <v>15098</v>
      </c>
      <c r="R4565" s="29" t="s">
        <v>611</v>
      </c>
      <c r="S4565" s="26" t="str">
        <f>HYPERLINK("https://miland.ru/api/getInfo/image/65547065-8a2b-11ef-a265-00155d82e908")</f>
        <v>https://miland.ru/api/getInfo/image/65547065-8a2b-11ef-a265-00155d82e908</v>
      </c>
    </row>
    <row r="4566" spans="1:19" s="1" customFormat="1" ht="12" customHeight="1" outlineLevel="4">
      <c r="A4566" s="64" t="s">
        <v>15099</v>
      </c>
      <c r="B4566" s="64"/>
      <c r="C4566" s="64"/>
      <c r="D4566" s="64"/>
      <c r="E4566" s="64"/>
      <c r="F4566" s="64"/>
      <c r="G4566" s="8"/>
      <c r="H4566" s="12"/>
      <c r="I4566" s="2"/>
      <c r="J4566" s="2"/>
      <c r="K4566" s="13"/>
      <c r="L4566" s="2"/>
      <c r="M4566" s="2"/>
      <c r="N4566" s="2"/>
      <c r="O4566" s="2"/>
      <c r="P4566" s="2"/>
      <c r="Q4566" s="2"/>
      <c r="R4566" s="2"/>
      <c r="S4566" s="2"/>
    </row>
    <row r="4567" spans="1:19" s="2" customFormat="1" ht="96.2" customHeight="1" outlineLevel="5">
      <c r="A4567" s="53">
        <v>3590</v>
      </c>
      <c r="B4567" s="10" t="s">
        <v>15100</v>
      </c>
      <c r="C4567" s="65" t="s">
        <v>15101</v>
      </c>
      <c r="D4567" s="65"/>
      <c r="E4567" s="65"/>
      <c r="F4567" s="65"/>
      <c r="G4567" s="11" t="s">
        <v>15102</v>
      </c>
      <c r="H4567" s="14">
        <v>439</v>
      </c>
      <c r="I4567" s="15"/>
      <c r="J4567" s="9">
        <v>10</v>
      </c>
      <c r="K4567" s="16">
        <v>76.61</v>
      </c>
      <c r="L4567" s="17"/>
      <c r="M4567" s="15">
        <f t="shared" ref="M4567:M4574" si="217">K4567*L4567</f>
        <v>0</v>
      </c>
      <c r="N4567" s="15">
        <v>0</v>
      </c>
      <c r="O4567" s="15">
        <v>0</v>
      </c>
      <c r="P4567" s="24" t="s">
        <v>26</v>
      </c>
      <c r="Q4567" s="15" t="s">
        <v>15103</v>
      </c>
      <c r="R4567" s="15"/>
      <c r="S4567" s="10" t="str">
        <f>HYPERLINK("https://miland.ru/api/getInfo/image/3cf0c2b0-8735-11f1-a29a-00155d82e908")</f>
        <v>https://miland.ru/api/getInfo/image/3cf0c2b0-8735-11f1-a29a-00155d82e908</v>
      </c>
    </row>
    <row r="4568" spans="1:19" s="2" customFormat="1" ht="96.2" customHeight="1" outlineLevel="5">
      <c r="A4568" s="53">
        <v>3591</v>
      </c>
      <c r="B4568" s="10" t="s">
        <v>15104</v>
      </c>
      <c r="C4568" s="65" t="s">
        <v>15105</v>
      </c>
      <c r="D4568" s="65"/>
      <c r="E4568" s="65"/>
      <c r="F4568" s="65"/>
      <c r="G4568" s="11" t="s">
        <v>15106</v>
      </c>
      <c r="H4568" s="14">
        <v>173</v>
      </c>
      <c r="I4568" s="15"/>
      <c r="J4568" s="9">
        <v>10</v>
      </c>
      <c r="K4568" s="16">
        <v>76.61</v>
      </c>
      <c r="L4568" s="17"/>
      <c r="M4568" s="15">
        <f t="shared" si="217"/>
        <v>0</v>
      </c>
      <c r="N4568" s="15">
        <v>0</v>
      </c>
      <c r="O4568" s="15">
        <v>0</v>
      </c>
      <c r="P4568" s="24" t="s">
        <v>26</v>
      </c>
      <c r="Q4568" s="15" t="s">
        <v>15107</v>
      </c>
      <c r="R4568" s="15"/>
      <c r="S4568" s="10" t="str">
        <f>HYPERLINK("https://miland.ru/api/getInfo/image/ce6d7390-8734-11f1-a29a-00155d82e908")</f>
        <v>https://miland.ru/api/getInfo/image/ce6d7390-8734-11f1-a29a-00155d82e908</v>
      </c>
    </row>
    <row r="4569" spans="1:19" s="2" customFormat="1" ht="96.2" customHeight="1" outlineLevel="5">
      <c r="A4569" s="53">
        <v>3592</v>
      </c>
      <c r="B4569" s="10" t="s">
        <v>15108</v>
      </c>
      <c r="C4569" s="65" t="s">
        <v>15109</v>
      </c>
      <c r="D4569" s="65"/>
      <c r="E4569" s="65"/>
      <c r="F4569" s="65"/>
      <c r="G4569" s="11" t="s">
        <v>15110</v>
      </c>
      <c r="H4569" s="14">
        <v>397</v>
      </c>
      <c r="I4569" s="15"/>
      <c r="J4569" s="9">
        <v>10</v>
      </c>
      <c r="K4569" s="16">
        <v>76.61</v>
      </c>
      <c r="L4569" s="17"/>
      <c r="M4569" s="15">
        <f t="shared" si="217"/>
        <v>0</v>
      </c>
      <c r="N4569" s="15">
        <v>0</v>
      </c>
      <c r="O4569" s="15">
        <v>0</v>
      </c>
      <c r="P4569" s="24" t="s">
        <v>26</v>
      </c>
      <c r="Q4569" s="15" t="s">
        <v>15111</v>
      </c>
      <c r="R4569" s="15"/>
      <c r="S4569" s="10" t="str">
        <f>HYPERLINK("https://miland.ru/api/getInfo/image/e6e8187c-8734-11f1-a29a-00155d82e908")</f>
        <v>https://miland.ru/api/getInfo/image/e6e8187c-8734-11f1-a29a-00155d82e908</v>
      </c>
    </row>
    <row r="4570" spans="1:19" s="2" customFormat="1" ht="96.2" customHeight="1" outlineLevel="5">
      <c r="A4570" s="53">
        <v>3593</v>
      </c>
      <c r="B4570" s="10" t="s">
        <v>15112</v>
      </c>
      <c r="C4570" s="65" t="s">
        <v>15113</v>
      </c>
      <c r="D4570" s="65"/>
      <c r="E4570" s="65"/>
      <c r="F4570" s="65"/>
      <c r="G4570" s="11" t="s">
        <v>15114</v>
      </c>
      <c r="H4570" s="14">
        <v>422</v>
      </c>
      <c r="I4570" s="15"/>
      <c r="J4570" s="9">
        <v>10</v>
      </c>
      <c r="K4570" s="16">
        <v>76.61</v>
      </c>
      <c r="L4570" s="17"/>
      <c r="M4570" s="15">
        <f t="shared" si="217"/>
        <v>0</v>
      </c>
      <c r="N4570" s="15">
        <v>0</v>
      </c>
      <c r="O4570" s="15">
        <v>0</v>
      </c>
      <c r="P4570" s="24" t="s">
        <v>26</v>
      </c>
      <c r="Q4570" s="15" t="s">
        <v>15115</v>
      </c>
      <c r="R4570" s="15"/>
      <c r="S4570" s="10" t="str">
        <f>HYPERLINK("https://miland.ru/api/getInfo/image/1dec648d-8735-11f1-a29a-00155d82e908")</f>
        <v>https://miland.ru/api/getInfo/image/1dec648d-8735-11f1-a29a-00155d82e908</v>
      </c>
    </row>
    <row r="4571" spans="1:19" s="2" customFormat="1" ht="96.2" customHeight="1" outlineLevel="5">
      <c r="A4571" s="53">
        <v>3594</v>
      </c>
      <c r="B4571" s="10" t="s">
        <v>15116</v>
      </c>
      <c r="C4571" s="65" t="s">
        <v>15117</v>
      </c>
      <c r="D4571" s="65"/>
      <c r="E4571" s="65"/>
      <c r="F4571" s="65"/>
      <c r="G4571" s="11" t="s">
        <v>15118</v>
      </c>
      <c r="H4571" s="14">
        <v>309</v>
      </c>
      <c r="I4571" s="15"/>
      <c r="J4571" s="9">
        <v>10</v>
      </c>
      <c r="K4571" s="16">
        <v>76.61</v>
      </c>
      <c r="L4571" s="17"/>
      <c r="M4571" s="15">
        <f t="shared" si="217"/>
        <v>0</v>
      </c>
      <c r="N4571" s="15">
        <v>0</v>
      </c>
      <c r="O4571" s="15">
        <v>0</v>
      </c>
      <c r="P4571" s="24" t="s">
        <v>26</v>
      </c>
      <c r="Q4571" s="15" t="s">
        <v>15119</v>
      </c>
      <c r="R4571" s="15"/>
      <c r="S4571" s="10" t="str">
        <f>HYPERLINK("https://miland.ru/api/getInfo/image/6c5ce325-8735-11f1-a29a-00155d82e908")</f>
        <v>https://miland.ru/api/getInfo/image/6c5ce325-8735-11f1-a29a-00155d82e908</v>
      </c>
    </row>
    <row r="4572" spans="1:19" s="2" customFormat="1" ht="96.2" customHeight="1" outlineLevel="5">
      <c r="A4572" s="53">
        <v>3595</v>
      </c>
      <c r="B4572" s="10" t="s">
        <v>15120</v>
      </c>
      <c r="C4572" s="65" t="s">
        <v>15121</v>
      </c>
      <c r="D4572" s="65"/>
      <c r="E4572" s="65"/>
      <c r="F4572" s="65"/>
      <c r="G4572" s="11" t="s">
        <v>15122</v>
      </c>
      <c r="H4572" s="14">
        <v>412</v>
      </c>
      <c r="I4572" s="15"/>
      <c r="J4572" s="9">
        <v>10</v>
      </c>
      <c r="K4572" s="16">
        <v>76.61</v>
      </c>
      <c r="L4572" s="17"/>
      <c r="M4572" s="15">
        <f t="shared" si="217"/>
        <v>0</v>
      </c>
      <c r="N4572" s="15">
        <v>0</v>
      </c>
      <c r="O4572" s="15">
        <v>0</v>
      </c>
      <c r="P4572" s="24" t="s">
        <v>26</v>
      </c>
      <c r="Q4572" s="15" t="s">
        <v>15123</v>
      </c>
      <c r="R4572" s="15"/>
      <c r="S4572" s="10" t="str">
        <f>HYPERLINK("https://miland.ru/api/getInfo/image/94da27e7-8735-11f1-a29a-00155d82e908")</f>
        <v>https://miland.ru/api/getInfo/image/94da27e7-8735-11f1-a29a-00155d82e908</v>
      </c>
    </row>
    <row r="4573" spans="1:19" s="2" customFormat="1" ht="96.2" customHeight="1" outlineLevel="5">
      <c r="A4573" s="53">
        <v>3596</v>
      </c>
      <c r="B4573" s="10" t="s">
        <v>15124</v>
      </c>
      <c r="C4573" s="65" t="s">
        <v>15125</v>
      </c>
      <c r="D4573" s="65"/>
      <c r="E4573" s="65"/>
      <c r="F4573" s="65"/>
      <c r="G4573" s="11" t="s">
        <v>15126</v>
      </c>
      <c r="H4573" s="14">
        <v>408</v>
      </c>
      <c r="I4573" s="15"/>
      <c r="J4573" s="9">
        <v>10</v>
      </c>
      <c r="K4573" s="16">
        <v>76.61</v>
      </c>
      <c r="L4573" s="17"/>
      <c r="M4573" s="15">
        <f t="shared" si="217"/>
        <v>0</v>
      </c>
      <c r="N4573" s="15">
        <v>0</v>
      </c>
      <c r="O4573" s="15">
        <v>0</v>
      </c>
      <c r="P4573" s="24" t="s">
        <v>26</v>
      </c>
      <c r="Q4573" s="15" t="s">
        <v>15127</v>
      </c>
      <c r="R4573" s="15"/>
      <c r="S4573" s="10" t="str">
        <f>HYPERLINK("https://miland.ru/api/getInfo/image/01f8cc7e-8735-11f1-a29a-00155d82e908")</f>
        <v>https://miland.ru/api/getInfo/image/01f8cc7e-8735-11f1-a29a-00155d82e908</v>
      </c>
    </row>
    <row r="4574" spans="1:19" s="2" customFormat="1" ht="96.2" customHeight="1" outlineLevel="5">
      <c r="A4574" s="53">
        <v>3597</v>
      </c>
      <c r="B4574" s="10" t="s">
        <v>15128</v>
      </c>
      <c r="C4574" s="65" t="s">
        <v>15129</v>
      </c>
      <c r="D4574" s="65"/>
      <c r="E4574" s="65"/>
      <c r="F4574" s="65"/>
      <c r="G4574" s="11" t="s">
        <v>15130</v>
      </c>
      <c r="H4574" s="14">
        <v>415</v>
      </c>
      <c r="I4574" s="15"/>
      <c r="J4574" s="9">
        <v>10</v>
      </c>
      <c r="K4574" s="16">
        <v>76.61</v>
      </c>
      <c r="L4574" s="17"/>
      <c r="M4574" s="15">
        <f t="shared" si="217"/>
        <v>0</v>
      </c>
      <c r="N4574" s="15">
        <v>0</v>
      </c>
      <c r="O4574" s="15">
        <v>0</v>
      </c>
      <c r="P4574" s="24" t="s">
        <v>26</v>
      </c>
      <c r="Q4574" s="15" t="s">
        <v>15131</v>
      </c>
      <c r="R4574" s="15"/>
      <c r="S4574" s="10" t="str">
        <f>HYPERLINK("https://miland.ru/api/getInfo/image/55b229b0-8735-11f1-a29a-00155d82e908")</f>
        <v>https://miland.ru/api/getInfo/image/55b229b0-8735-11f1-a29a-00155d82e908</v>
      </c>
    </row>
    <row r="4575" spans="1:19" s="1" customFormat="1" ht="12" customHeight="1" outlineLevel="4">
      <c r="A4575" s="64" t="s">
        <v>15132</v>
      </c>
      <c r="B4575" s="64"/>
      <c r="C4575" s="64"/>
      <c r="D4575" s="64"/>
      <c r="E4575" s="64"/>
      <c r="F4575" s="64"/>
      <c r="G4575" s="8"/>
      <c r="H4575" s="12"/>
      <c r="I4575" s="2"/>
      <c r="J4575" s="2"/>
      <c r="K4575" s="13"/>
      <c r="L4575" s="2"/>
      <c r="M4575" s="2"/>
      <c r="N4575" s="2"/>
      <c r="O4575" s="2"/>
      <c r="P4575" s="2"/>
      <c r="Q4575" s="2"/>
      <c r="R4575" s="2"/>
      <c r="S4575" s="2"/>
    </row>
    <row r="4576" spans="1:19" s="2" customFormat="1" ht="96.2" customHeight="1" outlineLevel="5">
      <c r="A4576" s="53">
        <v>3598</v>
      </c>
      <c r="B4576" s="10" t="s">
        <v>15133</v>
      </c>
      <c r="C4576" s="65" t="s">
        <v>15134</v>
      </c>
      <c r="D4576" s="65"/>
      <c r="E4576" s="65"/>
      <c r="F4576" s="65"/>
      <c r="G4576" s="11" t="s">
        <v>15135</v>
      </c>
      <c r="H4576" s="14">
        <v>395</v>
      </c>
      <c r="I4576" s="15"/>
      <c r="J4576" s="9">
        <v>5</v>
      </c>
      <c r="K4576" s="16">
        <v>116.12</v>
      </c>
      <c r="L4576" s="17"/>
      <c r="M4576" s="15">
        <f t="shared" ref="M4576:M4584" si="218">K4576*L4576</f>
        <v>0</v>
      </c>
      <c r="N4576" s="15">
        <v>0</v>
      </c>
      <c r="O4576" s="15">
        <v>0</v>
      </c>
      <c r="P4576" s="24" t="s">
        <v>26</v>
      </c>
      <c r="Q4576" s="15" t="s">
        <v>15136</v>
      </c>
      <c r="R4576" s="15"/>
      <c r="S4576" s="10" t="str">
        <f>HYPERLINK("https://miland.ru/api/getInfo/image/2289f86b-8736-11f1-a29a-00155d82e908")</f>
        <v>https://miland.ru/api/getInfo/image/2289f86b-8736-11f1-a29a-00155d82e908</v>
      </c>
    </row>
    <row r="4577" spans="1:19" s="2" customFormat="1" ht="96.2" customHeight="1" outlineLevel="5">
      <c r="A4577" s="53">
        <v>3599</v>
      </c>
      <c r="B4577" s="10" t="s">
        <v>15137</v>
      </c>
      <c r="C4577" s="65" t="s">
        <v>15138</v>
      </c>
      <c r="D4577" s="65"/>
      <c r="E4577" s="65"/>
      <c r="F4577" s="65"/>
      <c r="G4577" s="11" t="s">
        <v>15139</v>
      </c>
      <c r="H4577" s="14">
        <v>443</v>
      </c>
      <c r="I4577" s="15"/>
      <c r="J4577" s="9">
        <v>5</v>
      </c>
      <c r="K4577" s="16">
        <v>116.12</v>
      </c>
      <c r="L4577" s="17"/>
      <c r="M4577" s="15">
        <f t="shared" si="218"/>
        <v>0</v>
      </c>
      <c r="N4577" s="15">
        <v>0</v>
      </c>
      <c r="O4577" s="15">
        <v>0</v>
      </c>
      <c r="P4577" s="24" t="s">
        <v>26</v>
      </c>
      <c r="Q4577" s="15" t="s">
        <v>15140</v>
      </c>
      <c r="R4577" s="15"/>
      <c r="S4577" s="10" t="str">
        <f>HYPERLINK("https://miland.ru/api/getInfo/image/fec20165-8735-11f1-a29a-00155d82e908")</f>
        <v>https://miland.ru/api/getInfo/image/fec20165-8735-11f1-a29a-00155d82e908</v>
      </c>
    </row>
    <row r="4578" spans="1:19" s="2" customFormat="1" ht="96.2" customHeight="1" outlineLevel="5">
      <c r="A4578" s="53">
        <v>3600</v>
      </c>
      <c r="B4578" s="10" t="s">
        <v>15141</v>
      </c>
      <c r="C4578" s="65" t="s">
        <v>15142</v>
      </c>
      <c r="D4578" s="65"/>
      <c r="E4578" s="65"/>
      <c r="F4578" s="65"/>
      <c r="G4578" s="11" t="s">
        <v>15143</v>
      </c>
      <c r="H4578" s="14">
        <v>353</v>
      </c>
      <c r="I4578" s="15"/>
      <c r="J4578" s="9">
        <v>5</v>
      </c>
      <c r="K4578" s="16">
        <v>116.12</v>
      </c>
      <c r="L4578" s="17"/>
      <c r="M4578" s="15">
        <f t="shared" si="218"/>
        <v>0</v>
      </c>
      <c r="N4578" s="15">
        <v>0</v>
      </c>
      <c r="O4578" s="15">
        <v>0</v>
      </c>
      <c r="P4578" s="24" t="s">
        <v>26</v>
      </c>
      <c r="Q4578" s="15" t="s">
        <v>15144</v>
      </c>
      <c r="R4578" s="15"/>
      <c r="S4578" s="10" t="str">
        <f>HYPERLINK("https://miland.ru/api/getInfo/image/a5163e3e-8735-11f1-a29a-00155d82e908")</f>
        <v>https://miland.ru/api/getInfo/image/a5163e3e-8735-11f1-a29a-00155d82e908</v>
      </c>
    </row>
    <row r="4579" spans="1:19" s="2" customFormat="1" ht="96.2" customHeight="1" outlineLevel="5">
      <c r="A4579" s="53">
        <v>3601</v>
      </c>
      <c r="B4579" s="10" t="s">
        <v>15145</v>
      </c>
      <c r="C4579" s="65" t="s">
        <v>15146</v>
      </c>
      <c r="D4579" s="65"/>
      <c r="E4579" s="65"/>
      <c r="F4579" s="65"/>
      <c r="G4579" s="11" t="s">
        <v>15147</v>
      </c>
      <c r="H4579" s="14">
        <v>430</v>
      </c>
      <c r="I4579" s="15"/>
      <c r="J4579" s="9">
        <v>5</v>
      </c>
      <c r="K4579" s="16">
        <v>116.12</v>
      </c>
      <c r="L4579" s="17"/>
      <c r="M4579" s="15">
        <f t="shared" si="218"/>
        <v>0</v>
      </c>
      <c r="N4579" s="15">
        <v>0</v>
      </c>
      <c r="O4579" s="15">
        <v>0</v>
      </c>
      <c r="P4579" s="24" t="s">
        <v>26</v>
      </c>
      <c r="Q4579" s="15" t="s">
        <v>15148</v>
      </c>
      <c r="R4579" s="15"/>
      <c r="S4579" s="10" t="str">
        <f>HYPERLINK("https://miland.ru/api/getInfo/image/131466ca-8736-11f1-a29a-00155d82e908")</f>
        <v>https://miland.ru/api/getInfo/image/131466ca-8736-11f1-a29a-00155d82e908</v>
      </c>
    </row>
    <row r="4580" spans="1:19" s="2" customFormat="1" ht="96.2" customHeight="1" outlineLevel="5">
      <c r="A4580" s="53">
        <v>3602</v>
      </c>
      <c r="B4580" s="10" t="s">
        <v>15149</v>
      </c>
      <c r="C4580" s="65" t="s">
        <v>15150</v>
      </c>
      <c r="D4580" s="65"/>
      <c r="E4580" s="65"/>
      <c r="F4580" s="65"/>
      <c r="G4580" s="11" t="s">
        <v>15151</v>
      </c>
      <c r="H4580" s="14">
        <v>395</v>
      </c>
      <c r="I4580" s="15"/>
      <c r="J4580" s="9">
        <v>5</v>
      </c>
      <c r="K4580" s="16">
        <v>116.12</v>
      </c>
      <c r="L4580" s="17"/>
      <c r="M4580" s="15">
        <f t="shared" si="218"/>
        <v>0</v>
      </c>
      <c r="N4580" s="15">
        <v>0</v>
      </c>
      <c r="O4580" s="15">
        <v>0</v>
      </c>
      <c r="P4580" s="24" t="s">
        <v>26</v>
      </c>
      <c r="Q4580" s="15" t="s">
        <v>15152</v>
      </c>
      <c r="R4580" s="15"/>
      <c r="S4580" s="10" t="str">
        <f>HYPERLINK("https://miland.ru/api/getInfo/image/ee257a75-8735-11f1-a29a-00155d82e908")</f>
        <v>https://miland.ru/api/getInfo/image/ee257a75-8735-11f1-a29a-00155d82e908</v>
      </c>
    </row>
    <row r="4581" spans="1:19" s="2" customFormat="1" ht="96.2" customHeight="1" outlineLevel="5">
      <c r="A4581" s="53">
        <v>3603</v>
      </c>
      <c r="B4581" s="10" t="s">
        <v>15153</v>
      </c>
      <c r="C4581" s="65" t="s">
        <v>15154</v>
      </c>
      <c r="D4581" s="65"/>
      <c r="E4581" s="65"/>
      <c r="F4581" s="65"/>
      <c r="G4581" s="11" t="s">
        <v>15155</v>
      </c>
      <c r="H4581" s="14">
        <v>396</v>
      </c>
      <c r="I4581" s="15"/>
      <c r="J4581" s="9">
        <v>5</v>
      </c>
      <c r="K4581" s="16">
        <v>116.12</v>
      </c>
      <c r="L4581" s="17"/>
      <c r="M4581" s="15">
        <f t="shared" si="218"/>
        <v>0</v>
      </c>
      <c r="N4581" s="15">
        <v>0</v>
      </c>
      <c r="O4581" s="15">
        <v>0</v>
      </c>
      <c r="P4581" s="24" t="s">
        <v>26</v>
      </c>
      <c r="Q4581" s="15" t="s">
        <v>15156</v>
      </c>
      <c r="R4581" s="15"/>
      <c r="S4581" s="10" t="str">
        <f>HYPERLINK("https://miland.ru/api/getInfo/image/c8842dc0-8735-11f1-a29a-00155d82e908")</f>
        <v>https://miland.ru/api/getInfo/image/c8842dc0-8735-11f1-a29a-00155d82e908</v>
      </c>
    </row>
    <row r="4582" spans="1:19" s="2" customFormat="1" ht="96.2" customHeight="1" outlineLevel="5">
      <c r="A4582" s="53">
        <v>3604</v>
      </c>
      <c r="B4582" s="10" t="s">
        <v>15157</v>
      </c>
      <c r="C4582" s="65" t="s">
        <v>15158</v>
      </c>
      <c r="D4582" s="65"/>
      <c r="E4582" s="65"/>
      <c r="F4582" s="65"/>
      <c r="G4582" s="11" t="s">
        <v>15159</v>
      </c>
      <c r="H4582" s="14">
        <v>420</v>
      </c>
      <c r="I4582" s="15"/>
      <c r="J4582" s="9">
        <v>5</v>
      </c>
      <c r="K4582" s="16">
        <v>116.12</v>
      </c>
      <c r="L4582" s="17"/>
      <c r="M4582" s="15">
        <f t="shared" si="218"/>
        <v>0</v>
      </c>
      <c r="N4582" s="15">
        <v>0</v>
      </c>
      <c r="O4582" s="15">
        <v>0</v>
      </c>
      <c r="P4582" s="24" t="s">
        <v>26</v>
      </c>
      <c r="Q4582" s="15" t="s">
        <v>15160</v>
      </c>
      <c r="R4582" s="15"/>
      <c r="S4582" s="10" t="str">
        <f>HYPERLINK("https://miland.ru/api/getInfo/image/e0494eab-8735-11f1-a29a-00155d82e908")</f>
        <v>https://miland.ru/api/getInfo/image/e0494eab-8735-11f1-a29a-00155d82e908</v>
      </c>
    </row>
    <row r="4583" spans="1:19" s="2" customFormat="1" ht="96.2" customHeight="1" outlineLevel="5">
      <c r="A4583" s="53">
        <v>3605</v>
      </c>
      <c r="B4583" s="10" t="s">
        <v>15161</v>
      </c>
      <c r="C4583" s="65" t="s">
        <v>15162</v>
      </c>
      <c r="D4583" s="65"/>
      <c r="E4583" s="65"/>
      <c r="F4583" s="65"/>
      <c r="G4583" s="11" t="s">
        <v>15163</v>
      </c>
      <c r="H4583" s="14">
        <v>450</v>
      </c>
      <c r="I4583" s="15"/>
      <c r="J4583" s="9">
        <v>5</v>
      </c>
      <c r="K4583" s="16">
        <v>116.12</v>
      </c>
      <c r="L4583" s="17"/>
      <c r="M4583" s="15">
        <f t="shared" si="218"/>
        <v>0</v>
      </c>
      <c r="N4583" s="15">
        <v>0</v>
      </c>
      <c r="O4583" s="15">
        <v>0</v>
      </c>
      <c r="P4583" s="24" t="s">
        <v>26</v>
      </c>
      <c r="Q4583" s="15" t="s">
        <v>15164</v>
      </c>
      <c r="R4583" s="15"/>
      <c r="S4583" s="10" t="str">
        <f>HYPERLINK("https://miland.ru/api/getInfo/image/ba8c63eb-8735-11f1-a29a-00155d82e908")</f>
        <v>https://miland.ru/api/getInfo/image/ba8c63eb-8735-11f1-a29a-00155d82e908</v>
      </c>
    </row>
    <row r="4584" spans="1:19" s="2" customFormat="1" ht="96.2" customHeight="1" outlineLevel="5">
      <c r="A4584" s="53">
        <v>3606</v>
      </c>
      <c r="B4584" s="10" t="s">
        <v>15165</v>
      </c>
      <c r="C4584" s="65" t="s">
        <v>15166</v>
      </c>
      <c r="D4584" s="65"/>
      <c r="E4584" s="65"/>
      <c r="F4584" s="65"/>
      <c r="G4584" s="11" t="s">
        <v>15167</v>
      </c>
      <c r="H4584" s="14">
        <v>415</v>
      </c>
      <c r="I4584" s="15"/>
      <c r="J4584" s="9">
        <v>5</v>
      </c>
      <c r="K4584" s="16">
        <v>116.12</v>
      </c>
      <c r="L4584" s="17"/>
      <c r="M4584" s="15">
        <f t="shared" si="218"/>
        <v>0</v>
      </c>
      <c r="N4584" s="15">
        <v>0</v>
      </c>
      <c r="O4584" s="15">
        <v>0</v>
      </c>
      <c r="P4584" s="24" t="s">
        <v>26</v>
      </c>
      <c r="Q4584" s="15" t="s">
        <v>15168</v>
      </c>
      <c r="R4584" s="15"/>
      <c r="S4584" s="10" t="str">
        <f>HYPERLINK("https://miland.ru/api/getInfo/image/3286e32b-8736-11f1-a29a-00155d82e908")</f>
        <v>https://miland.ru/api/getInfo/image/3286e32b-8736-11f1-a29a-00155d82e908</v>
      </c>
    </row>
    <row r="4585" spans="1:19" s="1" customFormat="1" ht="12" customHeight="1" outlineLevel="4">
      <c r="A4585" s="64" t="s">
        <v>15169</v>
      </c>
      <c r="B4585" s="64"/>
      <c r="C4585" s="64"/>
      <c r="D4585" s="64"/>
      <c r="E4585" s="64"/>
      <c r="F4585" s="64"/>
      <c r="G4585" s="8"/>
      <c r="H4585" s="12"/>
      <c r="I4585" s="2"/>
      <c r="J4585" s="2"/>
      <c r="K4585" s="13"/>
      <c r="L4585" s="2"/>
      <c r="M4585" s="2"/>
      <c r="N4585" s="2"/>
      <c r="O4585" s="2"/>
      <c r="P4585" s="2"/>
      <c r="Q4585" s="2"/>
      <c r="R4585" s="2"/>
      <c r="S4585" s="2"/>
    </row>
    <row r="4586" spans="1:19" s="1" customFormat="1" ht="12" customHeight="1" outlineLevel="5">
      <c r="A4586" s="64" t="s">
        <v>15090</v>
      </c>
      <c r="B4586" s="64"/>
      <c r="C4586" s="64"/>
      <c r="D4586" s="64"/>
      <c r="E4586" s="64"/>
      <c r="F4586" s="64"/>
      <c r="G4586" s="8"/>
      <c r="H4586" s="12"/>
      <c r="I4586" s="2"/>
      <c r="J4586" s="2"/>
      <c r="K4586" s="13"/>
      <c r="L4586" s="2"/>
      <c r="M4586" s="2"/>
      <c r="N4586" s="2"/>
      <c r="O4586" s="2"/>
      <c r="P4586" s="2"/>
      <c r="Q4586" s="2"/>
      <c r="R4586" s="2"/>
      <c r="S4586" s="2"/>
    </row>
    <row r="4587" spans="1:19" s="2" customFormat="1" ht="96.2" customHeight="1" outlineLevel="6">
      <c r="A4587" s="52">
        <v>3607</v>
      </c>
      <c r="B4587" s="26" t="s">
        <v>15170</v>
      </c>
      <c r="C4587" s="66" t="s">
        <v>15171</v>
      </c>
      <c r="D4587" s="66"/>
      <c r="E4587" s="66"/>
      <c r="F4587" s="66"/>
      <c r="G4587" s="27" t="s">
        <v>15172</v>
      </c>
      <c r="H4587" s="28" t="s">
        <v>44</v>
      </c>
      <c r="I4587" s="29"/>
      <c r="J4587" s="25">
        <v>10</v>
      </c>
      <c r="K4587" s="30">
        <v>58.98</v>
      </c>
      <c r="L4587" s="17"/>
      <c r="M4587" s="29">
        <f>K4587*L4587</f>
        <v>0</v>
      </c>
      <c r="N4587" s="31">
        <f>0.088*L4587</f>
        <v>0</v>
      </c>
      <c r="O4587" s="32">
        <f>0.00006*L4587</f>
        <v>0</v>
      </c>
      <c r="P4587" s="36"/>
      <c r="Q4587" s="29" t="s">
        <v>15173</v>
      </c>
      <c r="R4587" s="29" t="s">
        <v>611</v>
      </c>
      <c r="S4587" s="26" t="str">
        <f>HYPERLINK("https://miland.ru/api/getInfo/image/ac82b18f-8a2c-11ef-a265-00155d82e908")</f>
        <v>https://miland.ru/api/getInfo/image/ac82b18f-8a2c-11ef-a265-00155d82e908</v>
      </c>
    </row>
    <row r="4588" spans="1:19" s="2" customFormat="1" ht="96.2" customHeight="1" outlineLevel="6">
      <c r="A4588" s="52">
        <v>3608</v>
      </c>
      <c r="B4588" s="26" t="s">
        <v>15174</v>
      </c>
      <c r="C4588" s="66" t="s">
        <v>15175</v>
      </c>
      <c r="D4588" s="66"/>
      <c r="E4588" s="66"/>
      <c r="F4588" s="66"/>
      <c r="G4588" s="27" t="s">
        <v>15176</v>
      </c>
      <c r="H4588" s="33">
        <v>2</v>
      </c>
      <c r="I4588" s="29"/>
      <c r="J4588" s="25">
        <v>2</v>
      </c>
      <c r="K4588" s="30">
        <v>58.98</v>
      </c>
      <c r="L4588" s="17"/>
      <c r="M4588" s="29">
        <f>K4588*L4588</f>
        <v>0</v>
      </c>
      <c r="N4588" s="31">
        <f>0.088*L4588</f>
        <v>0</v>
      </c>
      <c r="O4588" s="32">
        <f>0.00012*L4588</f>
        <v>0</v>
      </c>
      <c r="P4588" s="36"/>
      <c r="Q4588" s="29" t="s">
        <v>15177</v>
      </c>
      <c r="R4588" s="29" t="s">
        <v>611</v>
      </c>
      <c r="S4588" s="26" t="str">
        <f>HYPERLINK("https://miland.ru/api/getInfo/image/ffb69339-8a2c-11ef-a265-00155d82e908")</f>
        <v>https://miland.ru/api/getInfo/image/ffb69339-8a2c-11ef-a265-00155d82e908</v>
      </c>
    </row>
    <row r="4589" spans="1:19" s="2" customFormat="1" ht="96.2" customHeight="1" outlineLevel="6">
      <c r="A4589" s="52">
        <v>3609</v>
      </c>
      <c r="B4589" s="26" t="s">
        <v>15178</v>
      </c>
      <c r="C4589" s="66" t="s">
        <v>15179</v>
      </c>
      <c r="D4589" s="66"/>
      <c r="E4589" s="66"/>
      <c r="F4589" s="66"/>
      <c r="G4589" s="27" t="s">
        <v>15180</v>
      </c>
      <c r="H4589" s="33">
        <v>15</v>
      </c>
      <c r="I4589" s="29"/>
      <c r="J4589" s="25">
        <v>10</v>
      </c>
      <c r="K4589" s="30">
        <v>58.98</v>
      </c>
      <c r="L4589" s="17"/>
      <c r="M4589" s="29">
        <f>K4589*L4589</f>
        <v>0</v>
      </c>
      <c r="N4589" s="31">
        <f>0.088*L4589</f>
        <v>0</v>
      </c>
      <c r="O4589" s="32">
        <f>0.00235*L4589</f>
        <v>0</v>
      </c>
      <c r="P4589" s="36"/>
      <c r="Q4589" s="29" t="s">
        <v>15181</v>
      </c>
      <c r="R4589" s="29" t="s">
        <v>611</v>
      </c>
      <c r="S4589" s="26" t="str">
        <f>HYPERLINK("https://miland.ru/api/getInfo/image/68155731-8a2c-11ef-a265-00155d82e908")</f>
        <v>https://miland.ru/api/getInfo/image/68155731-8a2c-11ef-a265-00155d82e908</v>
      </c>
    </row>
    <row r="4590" spans="1:19" s="1" customFormat="1" ht="12" customHeight="1" outlineLevel="3">
      <c r="A4590" s="64" t="s">
        <v>15182</v>
      </c>
      <c r="B4590" s="64"/>
      <c r="C4590" s="64"/>
      <c r="D4590" s="64"/>
      <c r="E4590" s="64"/>
      <c r="F4590" s="64"/>
      <c r="G4590" s="8"/>
      <c r="H4590" s="12"/>
      <c r="I4590" s="2"/>
      <c r="J4590" s="2"/>
      <c r="K4590" s="13"/>
      <c r="L4590" s="2"/>
      <c r="M4590" s="2"/>
      <c r="N4590" s="2"/>
      <c r="O4590" s="2"/>
      <c r="P4590" s="2"/>
      <c r="Q4590" s="2"/>
      <c r="R4590" s="2"/>
      <c r="S4590" s="2"/>
    </row>
    <row r="4591" spans="1:19" s="1" customFormat="1" ht="12" customHeight="1" outlineLevel="4">
      <c r="A4591" s="64" t="s">
        <v>15090</v>
      </c>
      <c r="B4591" s="64"/>
      <c r="C4591" s="64"/>
      <c r="D4591" s="64"/>
      <c r="E4591" s="64"/>
      <c r="F4591" s="64"/>
      <c r="G4591" s="8"/>
      <c r="H4591" s="12"/>
      <c r="I4591" s="2"/>
      <c r="J4591" s="2"/>
      <c r="K4591" s="13"/>
      <c r="L4591" s="2"/>
      <c r="M4591" s="2"/>
      <c r="N4591" s="2"/>
      <c r="O4591" s="2"/>
      <c r="P4591" s="2"/>
      <c r="Q4591" s="2"/>
      <c r="R4591" s="2"/>
      <c r="S4591" s="2"/>
    </row>
    <row r="4592" spans="1:19" s="1" customFormat="1" ht="12" customHeight="1" outlineLevel="5">
      <c r="A4592" s="64" t="s">
        <v>15183</v>
      </c>
      <c r="B4592" s="64"/>
      <c r="C4592" s="64"/>
      <c r="D4592" s="64"/>
      <c r="E4592" s="64"/>
      <c r="F4592" s="64"/>
      <c r="G4592" s="8"/>
      <c r="H4592" s="12"/>
      <c r="I4592" s="2"/>
      <c r="J4592" s="2"/>
      <c r="K4592" s="13"/>
      <c r="L4592" s="2"/>
      <c r="M4592" s="2"/>
      <c r="N4592" s="2"/>
      <c r="O4592" s="2"/>
      <c r="P4592" s="2"/>
      <c r="Q4592" s="2"/>
      <c r="R4592" s="2"/>
      <c r="S4592" s="2"/>
    </row>
    <row r="4593" spans="1:19" s="2" customFormat="1" ht="96.2" customHeight="1" outlineLevel="6">
      <c r="A4593" s="52">
        <v>3610</v>
      </c>
      <c r="B4593" s="26" t="s">
        <v>15184</v>
      </c>
      <c r="C4593" s="66" t="s">
        <v>15185</v>
      </c>
      <c r="D4593" s="66"/>
      <c r="E4593" s="66"/>
      <c r="F4593" s="66"/>
      <c r="G4593" s="27" t="s">
        <v>15186</v>
      </c>
      <c r="H4593" s="33">
        <v>63</v>
      </c>
      <c r="I4593" s="29"/>
      <c r="J4593" s="25">
        <v>14</v>
      </c>
      <c r="K4593" s="30">
        <v>45.41</v>
      </c>
      <c r="L4593" s="17"/>
      <c r="M4593" s="29">
        <f>K4593*L4593</f>
        <v>0</v>
      </c>
      <c r="N4593" s="31">
        <f>0.045*L4593</f>
        <v>0</v>
      </c>
      <c r="O4593" s="32">
        <f>0.00049*L4593</f>
        <v>0</v>
      </c>
      <c r="P4593" s="36"/>
      <c r="Q4593" s="29" t="s">
        <v>15187</v>
      </c>
      <c r="R4593" s="29" t="s">
        <v>611</v>
      </c>
      <c r="S4593" s="26" t="str">
        <f>HYPERLINK("https://miland.ru/api/getInfo/image/5cf1ebbc-8f87-11ef-a265-00155d82e908")</f>
        <v>https://miland.ru/api/getInfo/image/5cf1ebbc-8f87-11ef-a265-00155d82e908</v>
      </c>
    </row>
    <row r="4594" spans="1:19" s="2" customFormat="1" ht="96.2" customHeight="1" outlineLevel="6">
      <c r="A4594" s="52">
        <v>3611</v>
      </c>
      <c r="B4594" s="26" t="s">
        <v>15188</v>
      </c>
      <c r="C4594" s="66" t="s">
        <v>15189</v>
      </c>
      <c r="D4594" s="66"/>
      <c r="E4594" s="66"/>
      <c r="F4594" s="66"/>
      <c r="G4594" s="27" t="s">
        <v>15190</v>
      </c>
      <c r="H4594" s="33">
        <v>266</v>
      </c>
      <c r="I4594" s="29"/>
      <c r="J4594" s="25">
        <v>14</v>
      </c>
      <c r="K4594" s="30">
        <v>45.41</v>
      </c>
      <c r="L4594" s="17"/>
      <c r="M4594" s="29">
        <f>K4594*L4594</f>
        <v>0</v>
      </c>
      <c r="N4594" s="31">
        <f>0.045*L4594</f>
        <v>0</v>
      </c>
      <c r="O4594" s="32">
        <f>0.00048*L4594</f>
        <v>0</v>
      </c>
      <c r="P4594" s="36"/>
      <c r="Q4594" s="29" t="s">
        <v>15191</v>
      </c>
      <c r="R4594" s="29" t="s">
        <v>611</v>
      </c>
      <c r="S4594" s="26" t="str">
        <f>HYPERLINK("https://miland.ru/api/getInfo/image/39f5c9f1-8a29-11ef-a265-00155d82e908")</f>
        <v>https://miland.ru/api/getInfo/image/39f5c9f1-8a29-11ef-a265-00155d82e908</v>
      </c>
    </row>
    <row r="4595" spans="1:19" s="2" customFormat="1" ht="96.2" customHeight="1" outlineLevel="6">
      <c r="A4595" s="52">
        <v>3612</v>
      </c>
      <c r="B4595" s="26" t="s">
        <v>15192</v>
      </c>
      <c r="C4595" s="66" t="s">
        <v>15193</v>
      </c>
      <c r="D4595" s="66"/>
      <c r="E4595" s="66"/>
      <c r="F4595" s="66"/>
      <c r="G4595" s="27" t="s">
        <v>15194</v>
      </c>
      <c r="H4595" s="33">
        <v>1</v>
      </c>
      <c r="I4595" s="29"/>
      <c r="J4595" s="25">
        <v>1</v>
      </c>
      <c r="K4595" s="30">
        <v>45.41</v>
      </c>
      <c r="L4595" s="17"/>
      <c r="M4595" s="29">
        <f>K4595*L4595</f>
        <v>0</v>
      </c>
      <c r="N4595" s="31">
        <f>0.044*L4595</f>
        <v>0</v>
      </c>
      <c r="O4595" s="32">
        <f>0.00055*L4595</f>
        <v>0</v>
      </c>
      <c r="P4595" s="36"/>
      <c r="Q4595" s="29" t="s">
        <v>15195</v>
      </c>
      <c r="R4595" s="29" t="s">
        <v>611</v>
      </c>
      <c r="S4595" s="26" t="str">
        <f>HYPERLINK("https://miland.ru/api/getInfo/image/57f8cf6a-8a29-11ef-a265-00155d82e908")</f>
        <v>https://miland.ru/api/getInfo/image/57f8cf6a-8a29-11ef-a265-00155d82e908</v>
      </c>
    </row>
    <row r="4596" spans="1:19" s="2" customFormat="1" ht="96.2" customHeight="1" outlineLevel="6">
      <c r="A4596" s="52">
        <v>3613</v>
      </c>
      <c r="B4596" s="26" t="s">
        <v>15196</v>
      </c>
      <c r="C4596" s="66" t="s">
        <v>15197</v>
      </c>
      <c r="D4596" s="66"/>
      <c r="E4596" s="66"/>
      <c r="F4596" s="66"/>
      <c r="G4596" s="27" t="s">
        <v>15198</v>
      </c>
      <c r="H4596" s="28" t="s">
        <v>44</v>
      </c>
      <c r="I4596" s="29"/>
      <c r="J4596" s="25">
        <v>14</v>
      </c>
      <c r="K4596" s="30">
        <v>45.41</v>
      </c>
      <c r="L4596" s="17"/>
      <c r="M4596" s="29">
        <f>K4596*L4596</f>
        <v>0</v>
      </c>
      <c r="N4596" s="31">
        <f>0.044*L4596</f>
        <v>0</v>
      </c>
      <c r="O4596" s="32">
        <f>0.00002*L4596</f>
        <v>0</v>
      </c>
      <c r="P4596" s="36"/>
      <c r="Q4596" s="29" t="s">
        <v>15199</v>
      </c>
      <c r="R4596" s="29" t="s">
        <v>611</v>
      </c>
      <c r="S4596" s="26" t="str">
        <f>HYPERLINK("https://miland.ru/api/getInfo/image/840ec46f-8a29-11ef-a265-00155d82e908")</f>
        <v>https://miland.ru/api/getInfo/image/840ec46f-8a29-11ef-a265-00155d82e908</v>
      </c>
    </row>
    <row r="4597" spans="1:19" s="2" customFormat="1" ht="96.2" customHeight="1" outlineLevel="6">
      <c r="A4597" s="52">
        <v>3614</v>
      </c>
      <c r="B4597" s="26" t="s">
        <v>15200</v>
      </c>
      <c r="C4597" s="66" t="s">
        <v>15201</v>
      </c>
      <c r="D4597" s="66"/>
      <c r="E4597" s="66"/>
      <c r="F4597" s="66"/>
      <c r="G4597" s="27" t="s">
        <v>15202</v>
      </c>
      <c r="H4597" s="28" t="s">
        <v>44</v>
      </c>
      <c r="I4597" s="29"/>
      <c r="J4597" s="25">
        <v>14</v>
      </c>
      <c r="K4597" s="30">
        <v>45.41</v>
      </c>
      <c r="L4597" s="17"/>
      <c r="M4597" s="29">
        <f>K4597*L4597</f>
        <v>0</v>
      </c>
      <c r="N4597" s="31">
        <f>0.043*L4597</f>
        <v>0</v>
      </c>
      <c r="O4597" s="32">
        <f>0.00056*L4597</f>
        <v>0</v>
      </c>
      <c r="P4597" s="36"/>
      <c r="Q4597" s="29" t="s">
        <v>15203</v>
      </c>
      <c r="R4597" s="29" t="s">
        <v>611</v>
      </c>
      <c r="S4597" s="26" t="str">
        <f>HYPERLINK("https://miland.ru/api/getInfo/image/e364852f-8a29-11ef-a265-00155d82e908")</f>
        <v>https://miland.ru/api/getInfo/image/e364852f-8a29-11ef-a265-00155d82e908</v>
      </c>
    </row>
    <row r="4598" spans="1:19" s="1" customFormat="1" ht="12" customHeight="1" outlineLevel="5">
      <c r="A4598" s="64" t="s">
        <v>15204</v>
      </c>
      <c r="B4598" s="64"/>
      <c r="C4598" s="64"/>
      <c r="D4598" s="64"/>
      <c r="E4598" s="64"/>
      <c r="F4598" s="64"/>
      <c r="G4598" s="8"/>
      <c r="H4598" s="12"/>
      <c r="I4598" s="2"/>
      <c r="J4598" s="2"/>
      <c r="K4598" s="13"/>
      <c r="L4598" s="2"/>
      <c r="M4598" s="2"/>
      <c r="N4598" s="2"/>
      <c r="O4598" s="2"/>
      <c r="P4598" s="2"/>
      <c r="Q4598" s="2"/>
      <c r="R4598" s="2"/>
      <c r="S4598" s="2"/>
    </row>
    <row r="4599" spans="1:19" s="2" customFormat="1" ht="96.2" customHeight="1" outlineLevel="6">
      <c r="A4599" s="53">
        <v>3615</v>
      </c>
      <c r="B4599" s="10" t="s">
        <v>15205</v>
      </c>
      <c r="C4599" s="65" t="s">
        <v>15206</v>
      </c>
      <c r="D4599" s="65"/>
      <c r="E4599" s="65"/>
      <c r="F4599" s="65"/>
      <c r="G4599" s="11" t="s">
        <v>15207</v>
      </c>
      <c r="H4599" s="21" t="s">
        <v>44</v>
      </c>
      <c r="I4599" s="15"/>
      <c r="J4599" s="9">
        <v>10</v>
      </c>
      <c r="K4599" s="16">
        <v>76.61</v>
      </c>
      <c r="L4599" s="17"/>
      <c r="M4599" s="15">
        <f t="shared" ref="M4599:M4607" si="219">K4599*L4599</f>
        <v>0</v>
      </c>
      <c r="N4599" s="15">
        <v>0</v>
      </c>
      <c r="O4599" s="15">
        <v>0</v>
      </c>
      <c r="P4599" s="24" t="s">
        <v>26</v>
      </c>
      <c r="Q4599" s="15" t="s">
        <v>15208</v>
      </c>
      <c r="R4599" s="15"/>
      <c r="S4599" s="10" t="str">
        <f>HYPERLINK("https://miland.ru/api/getInfo/image/b5c9009a-8734-11f1-a29a-00155d82e908")</f>
        <v>https://miland.ru/api/getInfo/image/b5c9009a-8734-11f1-a29a-00155d82e908</v>
      </c>
    </row>
    <row r="4600" spans="1:19" s="2" customFormat="1" ht="96.2" customHeight="1" outlineLevel="6">
      <c r="A4600" s="53">
        <v>3616</v>
      </c>
      <c r="B4600" s="10" t="s">
        <v>15209</v>
      </c>
      <c r="C4600" s="65" t="s">
        <v>15210</v>
      </c>
      <c r="D4600" s="65"/>
      <c r="E4600" s="65"/>
      <c r="F4600" s="65"/>
      <c r="G4600" s="11" t="s">
        <v>15211</v>
      </c>
      <c r="H4600" s="14">
        <v>227</v>
      </c>
      <c r="I4600" s="15"/>
      <c r="J4600" s="9">
        <v>10</v>
      </c>
      <c r="K4600" s="16">
        <v>84.67</v>
      </c>
      <c r="L4600" s="17"/>
      <c r="M4600" s="15">
        <f t="shared" si="219"/>
        <v>0</v>
      </c>
      <c r="N4600" s="15">
        <v>0</v>
      </c>
      <c r="O4600" s="15">
        <v>0</v>
      </c>
      <c r="P4600" s="24" t="s">
        <v>26</v>
      </c>
      <c r="Q4600" s="15" t="s">
        <v>15212</v>
      </c>
      <c r="R4600" s="15"/>
      <c r="S4600" s="10" t="str">
        <f>HYPERLINK("https://miland.ru/api/getInfo/image/1d6b2564-8734-11f1-a29a-00155d82e908")</f>
        <v>https://miland.ru/api/getInfo/image/1d6b2564-8734-11f1-a29a-00155d82e908</v>
      </c>
    </row>
    <row r="4601" spans="1:19" s="2" customFormat="1" ht="96.2" customHeight="1" outlineLevel="6">
      <c r="A4601" s="53">
        <v>3617</v>
      </c>
      <c r="B4601" s="10" t="s">
        <v>15213</v>
      </c>
      <c r="C4601" s="65" t="s">
        <v>15214</v>
      </c>
      <c r="D4601" s="65"/>
      <c r="E4601" s="65"/>
      <c r="F4601" s="65"/>
      <c r="G4601" s="11" t="s">
        <v>15215</v>
      </c>
      <c r="H4601" s="21" t="s">
        <v>44</v>
      </c>
      <c r="I4601" s="15"/>
      <c r="J4601" s="9">
        <v>10</v>
      </c>
      <c r="K4601" s="16">
        <v>84.67</v>
      </c>
      <c r="L4601" s="17"/>
      <c r="M4601" s="15">
        <f t="shared" si="219"/>
        <v>0</v>
      </c>
      <c r="N4601" s="15">
        <v>0</v>
      </c>
      <c r="O4601" s="15">
        <v>0</v>
      </c>
      <c r="P4601" s="24" t="s">
        <v>26</v>
      </c>
      <c r="Q4601" s="15" t="s">
        <v>15216</v>
      </c>
      <c r="R4601" s="15"/>
      <c r="S4601" s="10" t="str">
        <f>HYPERLINK("https://miland.ru/api/getInfo/image/faca7edf-8733-11f1-a29a-00155d82e908")</f>
        <v>https://miland.ru/api/getInfo/image/faca7edf-8733-11f1-a29a-00155d82e908</v>
      </c>
    </row>
    <row r="4602" spans="1:19" s="2" customFormat="1" ht="96.2" customHeight="1" outlineLevel="6">
      <c r="A4602" s="53">
        <v>3618</v>
      </c>
      <c r="B4602" s="10" t="s">
        <v>15217</v>
      </c>
      <c r="C4602" s="65" t="s">
        <v>15218</v>
      </c>
      <c r="D4602" s="65"/>
      <c r="E4602" s="65"/>
      <c r="F4602" s="65"/>
      <c r="G4602" s="11" t="s">
        <v>15219</v>
      </c>
      <c r="H4602" s="14">
        <v>448</v>
      </c>
      <c r="I4602" s="15"/>
      <c r="J4602" s="9">
        <v>10</v>
      </c>
      <c r="K4602" s="16">
        <v>84.67</v>
      </c>
      <c r="L4602" s="17"/>
      <c r="M4602" s="15">
        <f t="shared" si="219"/>
        <v>0</v>
      </c>
      <c r="N4602" s="15">
        <v>0</v>
      </c>
      <c r="O4602" s="15">
        <v>0</v>
      </c>
      <c r="P4602" s="24" t="s">
        <v>26</v>
      </c>
      <c r="Q4602" s="15" t="s">
        <v>15220</v>
      </c>
      <c r="R4602" s="15"/>
      <c r="S4602" s="10" t="str">
        <f>HYPERLINK("https://miland.ru/api/getInfo/image/34b8c98c-8734-11f1-a29a-00155d82e908")</f>
        <v>https://miland.ru/api/getInfo/image/34b8c98c-8734-11f1-a29a-00155d82e908</v>
      </c>
    </row>
    <row r="4603" spans="1:19" s="2" customFormat="1" ht="96.2" customHeight="1" outlineLevel="6">
      <c r="A4603" s="53">
        <v>3619</v>
      </c>
      <c r="B4603" s="10" t="s">
        <v>15221</v>
      </c>
      <c r="C4603" s="65" t="s">
        <v>15222</v>
      </c>
      <c r="D4603" s="65"/>
      <c r="E4603" s="65"/>
      <c r="F4603" s="65"/>
      <c r="G4603" s="11" t="s">
        <v>15223</v>
      </c>
      <c r="H4603" s="21" t="s">
        <v>44</v>
      </c>
      <c r="I4603" s="15"/>
      <c r="J4603" s="9">
        <v>10</v>
      </c>
      <c r="K4603" s="16">
        <v>84.67</v>
      </c>
      <c r="L4603" s="17"/>
      <c r="M4603" s="15">
        <f t="shared" si="219"/>
        <v>0</v>
      </c>
      <c r="N4603" s="15">
        <v>0</v>
      </c>
      <c r="O4603" s="15">
        <v>0</v>
      </c>
      <c r="P4603" s="24" t="s">
        <v>26</v>
      </c>
      <c r="Q4603" s="15" t="s">
        <v>15224</v>
      </c>
      <c r="R4603" s="15"/>
      <c r="S4603" s="10" t="str">
        <f>HYPERLINK("https://miland.ru/api/getInfo/image/5bc9fc4f-8734-11f1-a29a-00155d82e908")</f>
        <v>https://miland.ru/api/getInfo/image/5bc9fc4f-8734-11f1-a29a-00155d82e908</v>
      </c>
    </row>
    <row r="4604" spans="1:19" s="2" customFormat="1" ht="96.2" customHeight="1" outlineLevel="6">
      <c r="A4604" s="53">
        <v>3620</v>
      </c>
      <c r="B4604" s="10" t="s">
        <v>15225</v>
      </c>
      <c r="C4604" s="65" t="s">
        <v>15226</v>
      </c>
      <c r="D4604" s="65"/>
      <c r="E4604" s="65"/>
      <c r="F4604" s="65"/>
      <c r="G4604" s="11" t="s">
        <v>15227</v>
      </c>
      <c r="H4604" s="14">
        <v>453</v>
      </c>
      <c r="I4604" s="15"/>
      <c r="J4604" s="9">
        <v>10</v>
      </c>
      <c r="K4604" s="16">
        <v>84.67</v>
      </c>
      <c r="L4604" s="17"/>
      <c r="M4604" s="15">
        <f t="shared" si="219"/>
        <v>0</v>
      </c>
      <c r="N4604" s="15">
        <v>0</v>
      </c>
      <c r="O4604" s="15">
        <v>0</v>
      </c>
      <c r="P4604" s="24" t="s">
        <v>26</v>
      </c>
      <c r="Q4604" s="15" t="s">
        <v>15228</v>
      </c>
      <c r="R4604" s="15"/>
      <c r="S4604" s="10" t="str">
        <f>HYPERLINK("https://miland.ru/api/getInfo/image/8db94af4-8734-11f1-a29a-00155d82e908")</f>
        <v>https://miland.ru/api/getInfo/image/8db94af4-8734-11f1-a29a-00155d82e908</v>
      </c>
    </row>
    <row r="4605" spans="1:19" s="2" customFormat="1" ht="96.2" customHeight="1" outlineLevel="6">
      <c r="A4605" s="53">
        <v>3621</v>
      </c>
      <c r="B4605" s="10" t="s">
        <v>15229</v>
      </c>
      <c r="C4605" s="65" t="s">
        <v>15230</v>
      </c>
      <c r="D4605" s="65"/>
      <c r="E4605" s="65"/>
      <c r="F4605" s="65"/>
      <c r="G4605" s="11" t="s">
        <v>15231</v>
      </c>
      <c r="H4605" s="21" t="s">
        <v>44</v>
      </c>
      <c r="I4605" s="15"/>
      <c r="J4605" s="9">
        <v>10</v>
      </c>
      <c r="K4605" s="16">
        <v>84.67</v>
      </c>
      <c r="L4605" s="17"/>
      <c r="M4605" s="15">
        <f t="shared" si="219"/>
        <v>0</v>
      </c>
      <c r="N4605" s="15">
        <v>0</v>
      </c>
      <c r="O4605" s="15">
        <v>0</v>
      </c>
      <c r="P4605" s="24" t="s">
        <v>26</v>
      </c>
      <c r="Q4605" s="15" t="s">
        <v>15232</v>
      </c>
      <c r="R4605" s="15"/>
      <c r="S4605" s="10" t="str">
        <f>HYPERLINK("https://miland.ru/api/getInfo/image/a1478a25-8734-11f1-a29a-00155d82e908")</f>
        <v>https://miland.ru/api/getInfo/image/a1478a25-8734-11f1-a29a-00155d82e908</v>
      </c>
    </row>
    <row r="4606" spans="1:19" s="2" customFormat="1" ht="96.2" customHeight="1" outlineLevel="6">
      <c r="A4606" s="53">
        <v>3622</v>
      </c>
      <c r="B4606" s="10" t="s">
        <v>15233</v>
      </c>
      <c r="C4606" s="65" t="s">
        <v>15234</v>
      </c>
      <c r="D4606" s="65"/>
      <c r="E4606" s="65"/>
      <c r="F4606" s="65"/>
      <c r="G4606" s="11" t="s">
        <v>15235</v>
      </c>
      <c r="H4606" s="14">
        <v>492</v>
      </c>
      <c r="I4606" s="15"/>
      <c r="J4606" s="9">
        <v>10</v>
      </c>
      <c r="K4606" s="16">
        <v>84.67</v>
      </c>
      <c r="L4606" s="17"/>
      <c r="M4606" s="15">
        <f t="shared" si="219"/>
        <v>0</v>
      </c>
      <c r="N4606" s="15">
        <v>0</v>
      </c>
      <c r="O4606" s="15">
        <v>0</v>
      </c>
      <c r="P4606" s="24" t="s">
        <v>26</v>
      </c>
      <c r="Q4606" s="15" t="s">
        <v>15236</v>
      </c>
      <c r="R4606" s="15"/>
      <c r="S4606" s="10" t="str">
        <f>HYPERLINK("https://miland.ru/api/getInfo/image/496f6f92-8734-11f1-a29a-00155d82e908")</f>
        <v>https://miland.ru/api/getInfo/image/496f6f92-8734-11f1-a29a-00155d82e908</v>
      </c>
    </row>
    <row r="4607" spans="1:19" s="2" customFormat="1" ht="96.2" customHeight="1" outlineLevel="6">
      <c r="A4607" s="53">
        <v>3623</v>
      </c>
      <c r="B4607" s="10" t="s">
        <v>15237</v>
      </c>
      <c r="C4607" s="65" t="s">
        <v>15238</v>
      </c>
      <c r="D4607" s="65"/>
      <c r="E4607" s="65"/>
      <c r="F4607" s="65"/>
      <c r="G4607" s="11" t="s">
        <v>15239</v>
      </c>
      <c r="H4607" s="21" t="s">
        <v>44</v>
      </c>
      <c r="I4607" s="15"/>
      <c r="J4607" s="9">
        <v>10</v>
      </c>
      <c r="K4607" s="16">
        <v>84.67</v>
      </c>
      <c r="L4607" s="17"/>
      <c r="M4607" s="15">
        <f t="shared" si="219"/>
        <v>0</v>
      </c>
      <c r="N4607" s="15">
        <v>0</v>
      </c>
      <c r="O4607" s="15">
        <v>0</v>
      </c>
      <c r="P4607" s="24" t="s">
        <v>26</v>
      </c>
      <c r="Q4607" s="15" t="s">
        <v>15240</v>
      </c>
      <c r="R4607" s="15"/>
      <c r="S4607" s="10" t="str">
        <f>HYPERLINK("https://miland.ru/api/getInfo/image/7163f340-8734-11f1-a29a-00155d82e908")</f>
        <v>https://miland.ru/api/getInfo/image/7163f340-8734-11f1-a29a-00155d82e908</v>
      </c>
    </row>
    <row r="4608" spans="1:19" s="1" customFormat="1" ht="12" customHeight="1" outlineLevel="3">
      <c r="A4608" s="64" t="s">
        <v>15241</v>
      </c>
      <c r="B4608" s="64"/>
      <c r="C4608" s="64"/>
      <c r="D4608" s="64"/>
      <c r="E4608" s="64"/>
      <c r="F4608" s="64"/>
      <c r="G4608" s="8"/>
      <c r="H4608" s="12"/>
      <c r="I4608" s="2"/>
      <c r="J4608" s="2"/>
      <c r="K4608" s="13"/>
      <c r="L4608" s="2"/>
      <c r="M4608" s="2"/>
      <c r="N4608" s="2"/>
      <c r="O4608" s="2"/>
      <c r="P4608" s="2"/>
      <c r="Q4608" s="2"/>
      <c r="R4608" s="2"/>
      <c r="S4608" s="2"/>
    </row>
    <row r="4609" spans="1:19" s="2" customFormat="1" ht="96.2" customHeight="1" outlineLevel="4">
      <c r="A4609" s="53">
        <v>3624</v>
      </c>
      <c r="B4609" s="10" t="s">
        <v>15242</v>
      </c>
      <c r="C4609" s="65" t="s">
        <v>15243</v>
      </c>
      <c r="D4609" s="65"/>
      <c r="E4609" s="65"/>
      <c r="F4609" s="65"/>
      <c r="G4609" s="11" t="s">
        <v>15244</v>
      </c>
      <c r="H4609" s="21" t="s">
        <v>44</v>
      </c>
      <c r="I4609" s="15"/>
      <c r="J4609" s="9">
        <v>2</v>
      </c>
      <c r="K4609" s="16">
        <v>290.17</v>
      </c>
      <c r="L4609" s="17"/>
      <c r="M4609" s="15">
        <f t="shared" ref="M4609:M4616" si="220">K4609*L4609</f>
        <v>0</v>
      </c>
      <c r="N4609" s="15">
        <v>0</v>
      </c>
      <c r="O4609" s="15">
        <v>0</v>
      </c>
      <c r="P4609" s="24" t="s">
        <v>26</v>
      </c>
      <c r="Q4609" s="15" t="s">
        <v>15245</v>
      </c>
      <c r="R4609" s="15"/>
      <c r="S4609" s="10" t="str">
        <f>HYPERLINK("https://miland.ru/api/getInfo/image/c5a6e567-8733-11f1-a29a-00155d82e908")</f>
        <v>https://miland.ru/api/getInfo/image/c5a6e567-8733-11f1-a29a-00155d82e908</v>
      </c>
    </row>
    <row r="4610" spans="1:19" s="2" customFormat="1" ht="96.2" customHeight="1" outlineLevel="4">
      <c r="A4610" s="53">
        <v>3625</v>
      </c>
      <c r="B4610" s="10" t="s">
        <v>15246</v>
      </c>
      <c r="C4610" s="65" t="s">
        <v>15247</v>
      </c>
      <c r="D4610" s="65"/>
      <c r="E4610" s="65"/>
      <c r="F4610" s="65"/>
      <c r="G4610" s="11" t="s">
        <v>15248</v>
      </c>
      <c r="H4610" s="21" t="s">
        <v>44</v>
      </c>
      <c r="I4610" s="15"/>
      <c r="J4610" s="9">
        <v>2</v>
      </c>
      <c r="K4610" s="16">
        <v>290.17</v>
      </c>
      <c r="L4610" s="17"/>
      <c r="M4610" s="15">
        <f t="shared" si="220"/>
        <v>0</v>
      </c>
      <c r="N4610" s="15">
        <v>0</v>
      </c>
      <c r="O4610" s="15">
        <v>0</v>
      </c>
      <c r="P4610" s="24" t="s">
        <v>26</v>
      </c>
      <c r="Q4610" s="15" t="s">
        <v>15249</v>
      </c>
      <c r="R4610" s="15"/>
      <c r="S4610" s="10" t="str">
        <f>HYPERLINK("https://miland.ru/api/getInfo/image/322d0cf6-8733-11f1-a29a-00155d82e908")</f>
        <v>https://miland.ru/api/getInfo/image/322d0cf6-8733-11f1-a29a-00155d82e908</v>
      </c>
    </row>
    <row r="4611" spans="1:19" s="2" customFormat="1" ht="96.2" customHeight="1" outlineLevel="4">
      <c r="A4611" s="53">
        <v>3626</v>
      </c>
      <c r="B4611" s="10" t="s">
        <v>15250</v>
      </c>
      <c r="C4611" s="65" t="s">
        <v>15251</v>
      </c>
      <c r="D4611" s="65"/>
      <c r="E4611" s="65"/>
      <c r="F4611" s="65"/>
      <c r="G4611" s="11" t="s">
        <v>15252</v>
      </c>
      <c r="H4611" s="21" t="s">
        <v>44</v>
      </c>
      <c r="I4611" s="15"/>
      <c r="J4611" s="9">
        <v>2</v>
      </c>
      <c r="K4611" s="16">
        <v>290.17</v>
      </c>
      <c r="L4611" s="17"/>
      <c r="M4611" s="15">
        <f t="shared" si="220"/>
        <v>0</v>
      </c>
      <c r="N4611" s="15">
        <v>0</v>
      </c>
      <c r="O4611" s="15">
        <v>0</v>
      </c>
      <c r="P4611" s="24" t="s">
        <v>26</v>
      </c>
      <c r="Q4611" s="15" t="s">
        <v>15253</v>
      </c>
      <c r="R4611" s="15"/>
      <c r="S4611" s="10" t="str">
        <f>HYPERLINK("https://miland.ru/api/getInfo/image/676ba92a-8733-11f1-a29a-00155d82e908")</f>
        <v>https://miland.ru/api/getInfo/image/676ba92a-8733-11f1-a29a-00155d82e908</v>
      </c>
    </row>
    <row r="4612" spans="1:19" s="2" customFormat="1" ht="96.2" customHeight="1" outlineLevel="4">
      <c r="A4612" s="53">
        <v>3627</v>
      </c>
      <c r="B4612" s="10" t="s">
        <v>15254</v>
      </c>
      <c r="C4612" s="65" t="s">
        <v>15255</v>
      </c>
      <c r="D4612" s="65"/>
      <c r="E4612" s="65"/>
      <c r="F4612" s="65"/>
      <c r="G4612" s="11" t="s">
        <v>15256</v>
      </c>
      <c r="H4612" s="21" t="s">
        <v>44</v>
      </c>
      <c r="I4612" s="15"/>
      <c r="J4612" s="9">
        <v>2</v>
      </c>
      <c r="K4612" s="16">
        <v>290.17</v>
      </c>
      <c r="L4612" s="17"/>
      <c r="M4612" s="15">
        <f t="shared" si="220"/>
        <v>0</v>
      </c>
      <c r="N4612" s="15">
        <v>0</v>
      </c>
      <c r="O4612" s="15">
        <v>0</v>
      </c>
      <c r="P4612" s="24" t="s">
        <v>26</v>
      </c>
      <c r="Q4612" s="15" t="s">
        <v>15257</v>
      </c>
      <c r="R4612" s="15"/>
      <c r="S4612" s="10" t="str">
        <f>HYPERLINK("https://miland.ru/api/getInfo/image/823c547d-8733-11f1-a29a-00155d82e908")</f>
        <v>https://miland.ru/api/getInfo/image/823c547d-8733-11f1-a29a-00155d82e908</v>
      </c>
    </row>
    <row r="4613" spans="1:19" s="2" customFormat="1" ht="96.2" customHeight="1" outlineLevel="4">
      <c r="A4613" s="53">
        <v>3628</v>
      </c>
      <c r="B4613" s="10" t="s">
        <v>15258</v>
      </c>
      <c r="C4613" s="65" t="s">
        <v>15259</v>
      </c>
      <c r="D4613" s="65"/>
      <c r="E4613" s="65"/>
      <c r="F4613" s="65"/>
      <c r="G4613" s="11" t="s">
        <v>15260</v>
      </c>
      <c r="H4613" s="21" t="s">
        <v>44</v>
      </c>
      <c r="I4613" s="15"/>
      <c r="J4613" s="9">
        <v>2</v>
      </c>
      <c r="K4613" s="16">
        <v>290.17</v>
      </c>
      <c r="L4613" s="17"/>
      <c r="M4613" s="15">
        <f t="shared" si="220"/>
        <v>0</v>
      </c>
      <c r="N4613" s="15">
        <v>0</v>
      </c>
      <c r="O4613" s="15">
        <v>0</v>
      </c>
      <c r="P4613" s="24" t="s">
        <v>26</v>
      </c>
      <c r="Q4613" s="15" t="s">
        <v>15261</v>
      </c>
      <c r="R4613" s="15"/>
      <c r="S4613" s="10" t="str">
        <f>HYPERLINK("https://miland.ru/api/getInfo/image/a65a9a9e-8733-11f1-a29a-00155d82e908")</f>
        <v>https://miland.ru/api/getInfo/image/a65a9a9e-8733-11f1-a29a-00155d82e908</v>
      </c>
    </row>
    <row r="4614" spans="1:19" s="2" customFormat="1" ht="96.2" customHeight="1" outlineLevel="4">
      <c r="A4614" s="53">
        <v>3629</v>
      </c>
      <c r="B4614" s="10" t="s">
        <v>15262</v>
      </c>
      <c r="C4614" s="65" t="s">
        <v>15263</v>
      </c>
      <c r="D4614" s="65"/>
      <c r="E4614" s="65"/>
      <c r="F4614" s="65"/>
      <c r="G4614" s="11" t="s">
        <v>15264</v>
      </c>
      <c r="H4614" s="21" t="s">
        <v>44</v>
      </c>
      <c r="I4614" s="15"/>
      <c r="J4614" s="9">
        <v>2</v>
      </c>
      <c r="K4614" s="16">
        <v>290.17</v>
      </c>
      <c r="L4614" s="17"/>
      <c r="M4614" s="15">
        <f t="shared" si="220"/>
        <v>0</v>
      </c>
      <c r="N4614" s="15">
        <v>0</v>
      </c>
      <c r="O4614" s="15">
        <v>0</v>
      </c>
      <c r="P4614" s="24" t="s">
        <v>26</v>
      </c>
      <c r="Q4614" s="15" t="s">
        <v>15265</v>
      </c>
      <c r="R4614" s="15"/>
      <c r="S4614" s="10" t="str">
        <f>HYPERLINK("https://miland.ru/api/getInfo/image/92aae636-8733-11f1-a29a-00155d82e908")</f>
        <v>https://miland.ru/api/getInfo/image/92aae636-8733-11f1-a29a-00155d82e908</v>
      </c>
    </row>
    <row r="4615" spans="1:19" s="2" customFormat="1" ht="96.2" customHeight="1" outlineLevel="4">
      <c r="A4615" s="53">
        <v>3630</v>
      </c>
      <c r="B4615" s="10" t="s">
        <v>15266</v>
      </c>
      <c r="C4615" s="65" t="s">
        <v>15267</v>
      </c>
      <c r="D4615" s="65"/>
      <c r="E4615" s="65"/>
      <c r="F4615" s="65"/>
      <c r="G4615" s="11" t="s">
        <v>15268</v>
      </c>
      <c r="H4615" s="21" t="s">
        <v>44</v>
      </c>
      <c r="I4615" s="15"/>
      <c r="J4615" s="9">
        <v>2</v>
      </c>
      <c r="K4615" s="16">
        <v>290.17</v>
      </c>
      <c r="L4615" s="17"/>
      <c r="M4615" s="15">
        <f t="shared" si="220"/>
        <v>0</v>
      </c>
      <c r="N4615" s="15">
        <v>0</v>
      </c>
      <c r="O4615" s="15">
        <v>0</v>
      </c>
      <c r="P4615" s="24" t="s">
        <v>26</v>
      </c>
      <c r="Q4615" s="15" t="s">
        <v>15269</v>
      </c>
      <c r="R4615" s="15"/>
      <c r="S4615" s="10" t="str">
        <f>HYPERLINK("https://miland.ru/api/getInfo/image/7452e7f8-8733-11f1-a29a-00155d82e908")</f>
        <v>https://miland.ru/api/getInfo/image/7452e7f8-8733-11f1-a29a-00155d82e908</v>
      </c>
    </row>
    <row r="4616" spans="1:19" s="2" customFormat="1" ht="96.2" customHeight="1" outlineLevel="4">
      <c r="A4616" s="53">
        <v>3631</v>
      </c>
      <c r="B4616" s="10" t="s">
        <v>15270</v>
      </c>
      <c r="C4616" s="65" t="s">
        <v>15271</v>
      </c>
      <c r="D4616" s="65"/>
      <c r="E4616" s="65"/>
      <c r="F4616" s="65"/>
      <c r="G4616" s="11" t="s">
        <v>15272</v>
      </c>
      <c r="H4616" s="21" t="s">
        <v>44</v>
      </c>
      <c r="I4616" s="15"/>
      <c r="J4616" s="9">
        <v>2</v>
      </c>
      <c r="K4616" s="16">
        <v>290.17</v>
      </c>
      <c r="L4616" s="17"/>
      <c r="M4616" s="15">
        <f t="shared" si="220"/>
        <v>0</v>
      </c>
      <c r="N4616" s="15">
        <v>0</v>
      </c>
      <c r="O4616" s="15">
        <v>0</v>
      </c>
      <c r="P4616" s="24" t="s">
        <v>26</v>
      </c>
      <c r="Q4616" s="15" t="s">
        <v>15273</v>
      </c>
      <c r="R4616" s="15"/>
      <c r="S4616" s="10" t="str">
        <f>HYPERLINK("https://miland.ru/api/getInfo/image/b6ea491c-8733-11f1-a29a-00155d82e908")</f>
        <v>https://miland.ru/api/getInfo/image/b6ea491c-8733-11f1-a29a-00155d82e908</v>
      </c>
    </row>
    <row r="4617" spans="1:19" s="1" customFormat="1" ht="12" customHeight="1" outlineLevel="2">
      <c r="A4617" s="63" t="s">
        <v>15274</v>
      </c>
      <c r="B4617" s="63"/>
      <c r="C4617" s="63"/>
      <c r="D4617" s="63"/>
      <c r="E4617" s="63"/>
      <c r="F4617" s="63"/>
      <c r="G4617" s="8"/>
      <c r="H4617" s="12"/>
      <c r="I4617" s="2"/>
      <c r="J4617" s="2"/>
      <c r="K4617" s="13"/>
      <c r="L4617" s="2"/>
      <c r="M4617" s="2"/>
      <c r="N4617" s="2"/>
      <c r="O4617" s="2"/>
      <c r="P4617" s="2"/>
      <c r="Q4617" s="2"/>
      <c r="R4617" s="2"/>
      <c r="S4617" s="2"/>
    </row>
    <row r="4618" spans="1:19" s="1" customFormat="1" ht="12" customHeight="1" outlineLevel="3">
      <c r="A4618" s="64" t="s">
        <v>15275</v>
      </c>
      <c r="B4618" s="64"/>
      <c r="C4618" s="64"/>
      <c r="D4618" s="64"/>
      <c r="E4618" s="64"/>
      <c r="F4618" s="64"/>
      <c r="G4618" s="8"/>
      <c r="H4618" s="12"/>
      <c r="I4618" s="2"/>
      <c r="J4618" s="2"/>
      <c r="K4618" s="13"/>
      <c r="L4618" s="2"/>
      <c r="M4618" s="2"/>
      <c r="N4618" s="2"/>
      <c r="O4618" s="2"/>
      <c r="P4618" s="2"/>
      <c r="Q4618" s="2"/>
      <c r="R4618" s="2"/>
      <c r="S4618" s="2"/>
    </row>
    <row r="4619" spans="1:19" s="2" customFormat="1" ht="96.2" customHeight="1" outlineLevel="4">
      <c r="A4619" s="54">
        <v>3632</v>
      </c>
      <c r="B4619" s="39" t="s">
        <v>15276</v>
      </c>
      <c r="C4619" s="67" t="s">
        <v>15277</v>
      </c>
      <c r="D4619" s="67"/>
      <c r="E4619" s="67"/>
      <c r="F4619" s="67"/>
      <c r="G4619" s="40" t="s">
        <v>15278</v>
      </c>
      <c r="H4619" s="42">
        <v>2</v>
      </c>
      <c r="I4619" s="43"/>
      <c r="J4619" s="38">
        <v>2</v>
      </c>
      <c r="K4619" s="44">
        <v>11.85</v>
      </c>
      <c r="L4619" s="17"/>
      <c r="M4619" s="43">
        <f t="shared" ref="M4619:M4653" si="221">K4619*L4619</f>
        <v>0</v>
      </c>
      <c r="N4619" s="45">
        <f>0.02*L4619</f>
        <v>0</v>
      </c>
      <c r="O4619" s="46">
        <f>0.00004*L4619</f>
        <v>0</v>
      </c>
      <c r="P4619" s="49"/>
      <c r="Q4619" s="43" t="s">
        <v>15279</v>
      </c>
      <c r="R4619" s="43" t="s">
        <v>611</v>
      </c>
      <c r="S4619" s="39" t="str">
        <f>HYPERLINK("https://miland.ru/api/getInfo/image/b0c97695-0fd3-11ec-a20f-ac1f6b442185")</f>
        <v>https://miland.ru/api/getInfo/image/b0c97695-0fd3-11ec-a20f-ac1f6b442185</v>
      </c>
    </row>
    <row r="4620" spans="1:19" s="2" customFormat="1" ht="96.2" customHeight="1" outlineLevel="4">
      <c r="A4620" s="52">
        <v>3633</v>
      </c>
      <c r="B4620" s="26" t="s">
        <v>15280</v>
      </c>
      <c r="C4620" s="66" t="s">
        <v>15281</v>
      </c>
      <c r="D4620" s="66"/>
      <c r="E4620" s="66"/>
      <c r="F4620" s="66"/>
      <c r="G4620" s="27" t="s">
        <v>15282</v>
      </c>
      <c r="H4620" s="28" t="s">
        <v>44</v>
      </c>
      <c r="I4620" s="29"/>
      <c r="J4620" s="25">
        <v>12</v>
      </c>
      <c r="K4620" s="30">
        <v>65.099999999999994</v>
      </c>
      <c r="L4620" s="17"/>
      <c r="M4620" s="29">
        <f t="shared" si="221"/>
        <v>0</v>
      </c>
      <c r="N4620" s="31">
        <f>0.015*L4620</f>
        <v>0</v>
      </c>
      <c r="O4620" s="32">
        <f>0.00013*L4620</f>
        <v>0</v>
      </c>
      <c r="P4620" s="36"/>
      <c r="Q4620" s="29" t="s">
        <v>15283</v>
      </c>
      <c r="R4620" s="29"/>
      <c r="S4620" s="26" t="str">
        <f>HYPERLINK("https://miland.ru/api/getInfo/image/54193f7b-c991-11e9-a233-ac1f6b442184")</f>
        <v>https://miland.ru/api/getInfo/image/54193f7b-c991-11e9-a233-ac1f6b442184</v>
      </c>
    </row>
    <row r="4621" spans="1:19" s="2" customFormat="1" ht="96.2" customHeight="1" outlineLevel="4">
      <c r="A4621" s="52">
        <v>3634</v>
      </c>
      <c r="B4621" s="26" t="s">
        <v>15284</v>
      </c>
      <c r="C4621" s="66" t="s">
        <v>15285</v>
      </c>
      <c r="D4621" s="66"/>
      <c r="E4621" s="66"/>
      <c r="F4621" s="66"/>
      <c r="G4621" s="27" t="s">
        <v>15286</v>
      </c>
      <c r="H4621" s="28" t="s">
        <v>44</v>
      </c>
      <c r="I4621" s="29"/>
      <c r="J4621" s="25">
        <v>12</v>
      </c>
      <c r="K4621" s="30">
        <v>65.099999999999994</v>
      </c>
      <c r="L4621" s="17"/>
      <c r="M4621" s="29">
        <f t="shared" si="221"/>
        <v>0</v>
      </c>
      <c r="N4621" s="31">
        <f>0.025*L4621</f>
        <v>0</v>
      </c>
      <c r="O4621" s="32">
        <f>0.00019*L4621</f>
        <v>0</v>
      </c>
      <c r="P4621" s="36"/>
      <c r="Q4621" s="29" t="s">
        <v>15287</v>
      </c>
      <c r="R4621" s="29"/>
      <c r="S4621" s="26" t="str">
        <f>HYPERLINK("https://miland.ru/api/getInfo/image/62433b7c-c992-11e9-a233-ac1f6b442184")</f>
        <v>https://miland.ru/api/getInfo/image/62433b7c-c992-11e9-a233-ac1f6b442184</v>
      </c>
    </row>
    <row r="4622" spans="1:19" s="2" customFormat="1" ht="96.2" customHeight="1" outlineLevel="4">
      <c r="A4622" s="52">
        <v>3635</v>
      </c>
      <c r="B4622" s="26" t="s">
        <v>15288</v>
      </c>
      <c r="C4622" s="66" t="s">
        <v>15289</v>
      </c>
      <c r="D4622" s="66"/>
      <c r="E4622" s="66"/>
      <c r="F4622" s="66"/>
      <c r="G4622" s="27" t="s">
        <v>15290</v>
      </c>
      <c r="H4622" s="28" t="s">
        <v>44</v>
      </c>
      <c r="I4622" s="29"/>
      <c r="J4622" s="25">
        <v>12</v>
      </c>
      <c r="K4622" s="30">
        <v>65.099999999999994</v>
      </c>
      <c r="L4622" s="17"/>
      <c r="M4622" s="29">
        <f t="shared" si="221"/>
        <v>0</v>
      </c>
      <c r="N4622" s="31">
        <f>0.022*L4622</f>
        <v>0</v>
      </c>
      <c r="O4622" s="35">
        <f>0.0002*L4622</f>
        <v>0</v>
      </c>
      <c r="P4622" s="36"/>
      <c r="Q4622" s="29" t="s">
        <v>15291</v>
      </c>
      <c r="R4622" s="29"/>
      <c r="S4622" s="26" t="str">
        <f>HYPERLINK("https://miland.ru/api/getInfo/image/6c1ea414-c991-11e9-a233-ac1f6b442184")</f>
        <v>https://miland.ru/api/getInfo/image/6c1ea414-c991-11e9-a233-ac1f6b442184</v>
      </c>
    </row>
    <row r="4623" spans="1:19" s="2" customFormat="1" ht="96.2" customHeight="1" outlineLevel="4">
      <c r="A4623" s="52">
        <v>3636</v>
      </c>
      <c r="B4623" s="26" t="s">
        <v>15292</v>
      </c>
      <c r="C4623" s="66" t="s">
        <v>15293</v>
      </c>
      <c r="D4623" s="66"/>
      <c r="E4623" s="66"/>
      <c r="F4623" s="66"/>
      <c r="G4623" s="27" t="s">
        <v>15294</v>
      </c>
      <c r="H4623" s="28" t="s">
        <v>44</v>
      </c>
      <c r="I4623" s="29"/>
      <c r="J4623" s="25">
        <v>12</v>
      </c>
      <c r="K4623" s="30">
        <v>65.099999999999994</v>
      </c>
      <c r="L4623" s="17"/>
      <c r="M4623" s="29">
        <f t="shared" si="221"/>
        <v>0</v>
      </c>
      <c r="N4623" s="31">
        <f>0.017*L4623</f>
        <v>0</v>
      </c>
      <c r="O4623" s="32">
        <f>0.00013*L4623</f>
        <v>0</v>
      </c>
      <c r="P4623" s="36"/>
      <c r="Q4623" s="29" t="s">
        <v>15295</v>
      </c>
      <c r="R4623" s="29"/>
      <c r="S4623" s="26" t="str">
        <f>HYPERLINK("https://miland.ru/api/getInfo/image/779eaf41-c992-11e9-a233-ac1f6b442184")</f>
        <v>https://miland.ru/api/getInfo/image/779eaf41-c992-11e9-a233-ac1f6b442184</v>
      </c>
    </row>
    <row r="4624" spans="1:19" s="2" customFormat="1" ht="96.2" customHeight="1" outlineLevel="4">
      <c r="A4624" s="52">
        <v>3637</v>
      </c>
      <c r="B4624" s="26" t="s">
        <v>15296</v>
      </c>
      <c r="C4624" s="66" t="s">
        <v>15297</v>
      </c>
      <c r="D4624" s="66"/>
      <c r="E4624" s="66"/>
      <c r="F4624" s="66"/>
      <c r="G4624" s="27" t="s">
        <v>15298</v>
      </c>
      <c r="H4624" s="28" t="s">
        <v>44</v>
      </c>
      <c r="I4624" s="29"/>
      <c r="J4624" s="25">
        <v>12</v>
      </c>
      <c r="K4624" s="30">
        <v>65.099999999999994</v>
      </c>
      <c r="L4624" s="17"/>
      <c r="M4624" s="29">
        <f t="shared" si="221"/>
        <v>0</v>
      </c>
      <c r="N4624" s="31">
        <f>0.018*L4624</f>
        <v>0</v>
      </c>
      <c r="O4624" s="35">
        <f>0.0001*L4624</f>
        <v>0</v>
      </c>
      <c r="P4624" s="36"/>
      <c r="Q4624" s="29" t="s">
        <v>15299</v>
      </c>
      <c r="R4624" s="29"/>
      <c r="S4624" s="26" t="str">
        <f>HYPERLINK("https://miland.ru/api/getInfo/image/8b60041a-c992-11e9-a233-ac1f6b442184")</f>
        <v>https://miland.ru/api/getInfo/image/8b60041a-c992-11e9-a233-ac1f6b442184</v>
      </c>
    </row>
    <row r="4625" spans="1:19" s="2" customFormat="1" ht="96.2" customHeight="1" outlineLevel="4">
      <c r="A4625" s="52">
        <v>3638</v>
      </c>
      <c r="B4625" s="26" t="s">
        <v>15300</v>
      </c>
      <c r="C4625" s="66" t="s">
        <v>15301</v>
      </c>
      <c r="D4625" s="66"/>
      <c r="E4625" s="66"/>
      <c r="F4625" s="66"/>
      <c r="G4625" s="27" t="s">
        <v>15302</v>
      </c>
      <c r="H4625" s="28" t="s">
        <v>44</v>
      </c>
      <c r="I4625" s="29"/>
      <c r="J4625" s="25">
        <v>12</v>
      </c>
      <c r="K4625" s="30">
        <v>65.099999999999994</v>
      </c>
      <c r="L4625" s="17"/>
      <c r="M4625" s="29">
        <f t="shared" si="221"/>
        <v>0</v>
      </c>
      <c r="N4625" s="31">
        <f>0.014*L4625</f>
        <v>0</v>
      </c>
      <c r="O4625" s="32">
        <f>0.00017*L4625</f>
        <v>0</v>
      </c>
      <c r="P4625" s="36"/>
      <c r="Q4625" s="29" t="s">
        <v>15303</v>
      </c>
      <c r="R4625" s="29"/>
      <c r="S4625" s="26" t="str">
        <f>HYPERLINK("https://miland.ru/api/getInfo/image/1e8ee921-1b5b-11ea-a237-ac1f6b442184")</f>
        <v>https://miland.ru/api/getInfo/image/1e8ee921-1b5b-11ea-a237-ac1f6b442184</v>
      </c>
    </row>
    <row r="4626" spans="1:19" s="2" customFormat="1" ht="96.2" customHeight="1" outlineLevel="4">
      <c r="A4626" s="52">
        <v>3639</v>
      </c>
      <c r="B4626" s="26" t="s">
        <v>15304</v>
      </c>
      <c r="C4626" s="66" t="s">
        <v>15305</v>
      </c>
      <c r="D4626" s="66"/>
      <c r="E4626" s="66"/>
      <c r="F4626" s="66"/>
      <c r="G4626" s="27" t="s">
        <v>15306</v>
      </c>
      <c r="H4626" s="28" t="s">
        <v>44</v>
      </c>
      <c r="I4626" s="29"/>
      <c r="J4626" s="25">
        <v>12</v>
      </c>
      <c r="K4626" s="30">
        <v>65.099999999999994</v>
      </c>
      <c r="L4626" s="17"/>
      <c r="M4626" s="29">
        <f t="shared" si="221"/>
        <v>0</v>
      </c>
      <c r="N4626" s="31">
        <f>0.015*L4626</f>
        <v>0</v>
      </c>
      <c r="O4626" s="35">
        <f>0.0002*L4626</f>
        <v>0</v>
      </c>
      <c r="P4626" s="36"/>
      <c r="Q4626" s="29" t="s">
        <v>15307</v>
      </c>
      <c r="R4626" s="29"/>
      <c r="S4626" s="26" t="str">
        <f>HYPERLINK("https://miland.ru/api/getInfo/image/a7e754f2-1b5b-11ea-a237-ac1f6b442184")</f>
        <v>https://miland.ru/api/getInfo/image/a7e754f2-1b5b-11ea-a237-ac1f6b442184</v>
      </c>
    </row>
    <row r="4627" spans="1:19" s="2" customFormat="1" ht="96.2" customHeight="1" outlineLevel="4">
      <c r="A4627" s="52">
        <v>3640</v>
      </c>
      <c r="B4627" s="26" t="s">
        <v>15308</v>
      </c>
      <c r="C4627" s="66" t="s">
        <v>15309</v>
      </c>
      <c r="D4627" s="66"/>
      <c r="E4627" s="66"/>
      <c r="F4627" s="66"/>
      <c r="G4627" s="27" t="s">
        <v>15310</v>
      </c>
      <c r="H4627" s="28" t="s">
        <v>44</v>
      </c>
      <c r="I4627" s="29"/>
      <c r="J4627" s="25">
        <v>12</v>
      </c>
      <c r="K4627" s="30">
        <v>65.099999999999994</v>
      </c>
      <c r="L4627" s="17"/>
      <c r="M4627" s="29">
        <f t="shared" si="221"/>
        <v>0</v>
      </c>
      <c r="N4627" s="31">
        <f>0.019*L4627</f>
        <v>0</v>
      </c>
      <c r="O4627" s="32">
        <f>0.00002*L4627</f>
        <v>0</v>
      </c>
      <c r="P4627" s="36"/>
      <c r="Q4627" s="29" t="s">
        <v>15311</v>
      </c>
      <c r="R4627" s="29"/>
      <c r="S4627" s="26" t="str">
        <f>HYPERLINK("https://miland.ru/api/getInfo/image/c41ac284-1b5b-11ea-a237-ac1f6b442184")</f>
        <v>https://miland.ru/api/getInfo/image/c41ac284-1b5b-11ea-a237-ac1f6b442184</v>
      </c>
    </row>
    <row r="4628" spans="1:19" s="2" customFormat="1" ht="96.2" customHeight="1" outlineLevel="4">
      <c r="A4628" s="52">
        <v>3641</v>
      </c>
      <c r="B4628" s="26" t="s">
        <v>15312</v>
      </c>
      <c r="C4628" s="66" t="s">
        <v>15313</v>
      </c>
      <c r="D4628" s="66"/>
      <c r="E4628" s="66"/>
      <c r="F4628" s="66"/>
      <c r="G4628" s="27" t="s">
        <v>15314</v>
      </c>
      <c r="H4628" s="28" t="s">
        <v>44</v>
      </c>
      <c r="I4628" s="29"/>
      <c r="J4628" s="25">
        <v>12</v>
      </c>
      <c r="K4628" s="30">
        <v>48.83</v>
      </c>
      <c r="L4628" s="17"/>
      <c r="M4628" s="29">
        <f t="shared" si="221"/>
        <v>0</v>
      </c>
      <c r="N4628" s="31">
        <f>0.016*L4628</f>
        <v>0</v>
      </c>
      <c r="O4628" s="32">
        <f>0.00011*L4628</f>
        <v>0</v>
      </c>
      <c r="P4628" s="36"/>
      <c r="Q4628" s="29" t="s">
        <v>15315</v>
      </c>
      <c r="R4628" s="29"/>
      <c r="S4628" s="26" t="str">
        <f>HYPERLINK("https://miland.ru/api/getInfo/image/c21010b1-19b4-11e9-a21c-ac1f6b442184")</f>
        <v>https://miland.ru/api/getInfo/image/c21010b1-19b4-11e9-a21c-ac1f6b442184</v>
      </c>
    </row>
    <row r="4629" spans="1:19" s="2" customFormat="1" ht="96.2" customHeight="1" outlineLevel="4">
      <c r="A4629" s="52">
        <v>3642</v>
      </c>
      <c r="B4629" s="26" t="s">
        <v>15316</v>
      </c>
      <c r="C4629" s="66" t="s">
        <v>15317</v>
      </c>
      <c r="D4629" s="66"/>
      <c r="E4629" s="66"/>
      <c r="F4629" s="66"/>
      <c r="G4629" s="27" t="s">
        <v>15318</v>
      </c>
      <c r="H4629" s="28" t="s">
        <v>44</v>
      </c>
      <c r="I4629" s="29"/>
      <c r="J4629" s="25">
        <v>12</v>
      </c>
      <c r="K4629" s="30">
        <v>48.83</v>
      </c>
      <c r="L4629" s="17"/>
      <c r="M4629" s="29">
        <f t="shared" si="221"/>
        <v>0</v>
      </c>
      <c r="N4629" s="31">
        <f>0.018*L4629</f>
        <v>0</v>
      </c>
      <c r="O4629" s="32">
        <f>0.00004*L4629</f>
        <v>0</v>
      </c>
      <c r="P4629" s="36"/>
      <c r="Q4629" s="29" t="s">
        <v>15319</v>
      </c>
      <c r="R4629" s="29"/>
      <c r="S4629" s="26" t="str">
        <f>HYPERLINK("https://miland.ru/api/getInfo/image/079d6abf-19b5-11e9-a21c-ac1f6b442184")</f>
        <v>https://miland.ru/api/getInfo/image/079d6abf-19b5-11e9-a21c-ac1f6b442184</v>
      </c>
    </row>
    <row r="4630" spans="1:19" s="2" customFormat="1" ht="96.2" customHeight="1" outlineLevel="4">
      <c r="A4630" s="52">
        <v>3643</v>
      </c>
      <c r="B4630" s="26" t="s">
        <v>15320</v>
      </c>
      <c r="C4630" s="66" t="s">
        <v>15321</v>
      </c>
      <c r="D4630" s="66"/>
      <c r="E4630" s="66"/>
      <c r="F4630" s="66"/>
      <c r="G4630" s="27" t="s">
        <v>15322</v>
      </c>
      <c r="H4630" s="33">
        <v>216</v>
      </c>
      <c r="I4630" s="29"/>
      <c r="J4630" s="25">
        <v>12</v>
      </c>
      <c r="K4630" s="30">
        <v>52.32</v>
      </c>
      <c r="L4630" s="17"/>
      <c r="M4630" s="29">
        <f t="shared" si="221"/>
        <v>0</v>
      </c>
      <c r="N4630" s="31">
        <f>0.021*L4630</f>
        <v>0</v>
      </c>
      <c r="O4630" s="32">
        <f>0.00021*L4630</f>
        <v>0</v>
      </c>
      <c r="P4630" s="36"/>
      <c r="Q4630" s="29" t="s">
        <v>15323</v>
      </c>
      <c r="R4630" s="29"/>
      <c r="S4630" s="26" t="str">
        <f>HYPERLINK("https://miland.ru/api/getInfo/image/6f0bedc9-1b59-11ea-a237-ac1f6b442184")</f>
        <v>https://miland.ru/api/getInfo/image/6f0bedc9-1b59-11ea-a237-ac1f6b442184</v>
      </c>
    </row>
    <row r="4631" spans="1:19" s="2" customFormat="1" ht="96.2" customHeight="1" outlineLevel="4">
      <c r="A4631" s="52">
        <v>3644</v>
      </c>
      <c r="B4631" s="26" t="s">
        <v>15324</v>
      </c>
      <c r="C4631" s="66" t="s">
        <v>15325</v>
      </c>
      <c r="D4631" s="66"/>
      <c r="E4631" s="66"/>
      <c r="F4631" s="66"/>
      <c r="G4631" s="27" t="s">
        <v>15326</v>
      </c>
      <c r="H4631" s="28" t="s">
        <v>44</v>
      </c>
      <c r="I4631" s="29"/>
      <c r="J4631" s="25">
        <v>12</v>
      </c>
      <c r="K4631" s="30">
        <v>52.32</v>
      </c>
      <c r="L4631" s="17"/>
      <c r="M4631" s="29">
        <f t="shared" si="221"/>
        <v>0</v>
      </c>
      <c r="N4631" s="31">
        <f>0.025*L4631</f>
        <v>0</v>
      </c>
      <c r="O4631" s="32">
        <f>0.00017*L4631</f>
        <v>0</v>
      </c>
      <c r="P4631" s="36"/>
      <c r="Q4631" s="29" t="s">
        <v>15327</v>
      </c>
      <c r="R4631" s="29"/>
      <c r="S4631" s="26" t="str">
        <f>HYPERLINK("https://miland.ru/api/getInfo/image/f266fdb8-1b59-11ea-a237-ac1f6b442184")</f>
        <v>https://miland.ru/api/getInfo/image/f266fdb8-1b59-11ea-a237-ac1f6b442184</v>
      </c>
    </row>
    <row r="4632" spans="1:19" s="2" customFormat="1" ht="96.2" customHeight="1" outlineLevel="4">
      <c r="A4632" s="52">
        <v>3645</v>
      </c>
      <c r="B4632" s="26" t="s">
        <v>15328</v>
      </c>
      <c r="C4632" s="66" t="s">
        <v>15329</v>
      </c>
      <c r="D4632" s="66"/>
      <c r="E4632" s="66"/>
      <c r="F4632" s="66"/>
      <c r="G4632" s="27" t="s">
        <v>15330</v>
      </c>
      <c r="H4632" s="28" t="s">
        <v>44</v>
      </c>
      <c r="I4632" s="29"/>
      <c r="J4632" s="25">
        <v>12</v>
      </c>
      <c r="K4632" s="30">
        <v>52.32</v>
      </c>
      <c r="L4632" s="17"/>
      <c r="M4632" s="29">
        <f t="shared" si="221"/>
        <v>0</v>
      </c>
      <c r="N4632" s="31">
        <f>0.022*L4632</f>
        <v>0</v>
      </c>
      <c r="O4632" s="32">
        <f>0.00025*L4632</f>
        <v>0</v>
      </c>
      <c r="P4632" s="36"/>
      <c r="Q4632" s="29" t="s">
        <v>15331</v>
      </c>
      <c r="R4632" s="29"/>
      <c r="S4632" s="26" t="str">
        <f>HYPERLINK("https://miland.ru/api/getInfo/image/14598d24-1b5a-11ea-a237-ac1f6b442184")</f>
        <v>https://miland.ru/api/getInfo/image/14598d24-1b5a-11ea-a237-ac1f6b442184</v>
      </c>
    </row>
    <row r="4633" spans="1:19" s="2" customFormat="1" ht="96.2" customHeight="1" outlineLevel="4">
      <c r="A4633" s="52">
        <v>3646</v>
      </c>
      <c r="B4633" s="26" t="s">
        <v>15332</v>
      </c>
      <c r="C4633" s="66" t="s">
        <v>15333</v>
      </c>
      <c r="D4633" s="66"/>
      <c r="E4633" s="66"/>
      <c r="F4633" s="66"/>
      <c r="G4633" s="27" t="s">
        <v>15334</v>
      </c>
      <c r="H4633" s="28" t="s">
        <v>44</v>
      </c>
      <c r="I4633" s="29"/>
      <c r="J4633" s="25">
        <v>12</v>
      </c>
      <c r="K4633" s="30">
        <v>52.32</v>
      </c>
      <c r="L4633" s="17"/>
      <c r="M4633" s="29">
        <f t="shared" si="221"/>
        <v>0</v>
      </c>
      <c r="N4633" s="34">
        <f>0.03*L4633</f>
        <v>0</v>
      </c>
      <c r="O4633" s="32">
        <f>0.00004*L4633</f>
        <v>0</v>
      </c>
      <c r="P4633" s="36"/>
      <c r="Q4633" s="29" t="s">
        <v>15335</v>
      </c>
      <c r="R4633" s="29"/>
      <c r="S4633" s="26" t="str">
        <f>HYPERLINK("https://miland.ru/api/getInfo/image/3278d940-1b5a-11ea-a237-ac1f6b442184")</f>
        <v>https://miland.ru/api/getInfo/image/3278d940-1b5a-11ea-a237-ac1f6b442184</v>
      </c>
    </row>
    <row r="4634" spans="1:19" s="2" customFormat="1" ht="96.2" customHeight="1" outlineLevel="4">
      <c r="A4634" s="52">
        <v>3647</v>
      </c>
      <c r="B4634" s="26" t="s">
        <v>15336</v>
      </c>
      <c r="C4634" s="66" t="s">
        <v>15337</v>
      </c>
      <c r="D4634" s="66"/>
      <c r="E4634" s="66"/>
      <c r="F4634" s="66"/>
      <c r="G4634" s="27" t="s">
        <v>15338</v>
      </c>
      <c r="H4634" s="28" t="s">
        <v>44</v>
      </c>
      <c r="I4634" s="29"/>
      <c r="J4634" s="25">
        <v>12</v>
      </c>
      <c r="K4634" s="30">
        <v>52.32</v>
      </c>
      <c r="L4634" s="17"/>
      <c r="M4634" s="29">
        <f t="shared" si="221"/>
        <v>0</v>
      </c>
      <c r="N4634" s="31">
        <f>0.029*L4634</f>
        <v>0</v>
      </c>
      <c r="O4634" s="32">
        <f>0.00022*L4634</f>
        <v>0</v>
      </c>
      <c r="P4634" s="36"/>
      <c r="Q4634" s="29" t="s">
        <v>15339</v>
      </c>
      <c r="R4634" s="29"/>
      <c r="S4634" s="26" t="str">
        <f>HYPERLINK("https://miland.ru/api/getInfo/image/ab4ba2f9-1b5a-11ea-a237-ac1f6b442184")</f>
        <v>https://miland.ru/api/getInfo/image/ab4ba2f9-1b5a-11ea-a237-ac1f6b442184</v>
      </c>
    </row>
    <row r="4635" spans="1:19" s="2" customFormat="1" ht="96.2" customHeight="1" outlineLevel="4">
      <c r="A4635" s="52">
        <v>3648</v>
      </c>
      <c r="B4635" s="26" t="s">
        <v>15340</v>
      </c>
      <c r="C4635" s="66" t="s">
        <v>15341</v>
      </c>
      <c r="D4635" s="66"/>
      <c r="E4635" s="66"/>
      <c r="F4635" s="66"/>
      <c r="G4635" s="27" t="s">
        <v>15342</v>
      </c>
      <c r="H4635" s="28" t="s">
        <v>44</v>
      </c>
      <c r="I4635" s="29"/>
      <c r="J4635" s="25">
        <v>24</v>
      </c>
      <c r="K4635" s="30">
        <v>31.97</v>
      </c>
      <c r="L4635" s="17"/>
      <c r="M4635" s="29">
        <f t="shared" si="221"/>
        <v>0</v>
      </c>
      <c r="N4635" s="31">
        <f>0.014*L4635</f>
        <v>0</v>
      </c>
      <c r="O4635" s="32">
        <f>0.00016*L4635</f>
        <v>0</v>
      </c>
      <c r="P4635" s="36"/>
      <c r="Q4635" s="29" t="s">
        <v>15343</v>
      </c>
      <c r="R4635" s="29"/>
      <c r="S4635" s="26" t="str">
        <f>HYPERLINK("https://miland.ru/api/getInfo/image/7e354268-c985-11e9-a233-ac1f6b442184")</f>
        <v>https://miland.ru/api/getInfo/image/7e354268-c985-11e9-a233-ac1f6b442184</v>
      </c>
    </row>
    <row r="4636" spans="1:19" s="2" customFormat="1" ht="96.2" customHeight="1" outlineLevel="4">
      <c r="A4636" s="52">
        <v>3649</v>
      </c>
      <c r="B4636" s="26" t="s">
        <v>15344</v>
      </c>
      <c r="C4636" s="66" t="s">
        <v>15345</v>
      </c>
      <c r="D4636" s="66"/>
      <c r="E4636" s="66"/>
      <c r="F4636" s="66"/>
      <c r="G4636" s="27" t="s">
        <v>15346</v>
      </c>
      <c r="H4636" s="28" t="s">
        <v>44</v>
      </c>
      <c r="I4636" s="29"/>
      <c r="J4636" s="25">
        <v>24</v>
      </c>
      <c r="K4636" s="30">
        <v>31.97</v>
      </c>
      <c r="L4636" s="17"/>
      <c r="M4636" s="29">
        <f t="shared" si="221"/>
        <v>0</v>
      </c>
      <c r="N4636" s="31">
        <f>0.012*L4636</f>
        <v>0</v>
      </c>
      <c r="O4636" s="32">
        <f>0.00019*L4636</f>
        <v>0</v>
      </c>
      <c r="P4636" s="36"/>
      <c r="Q4636" s="29" t="s">
        <v>15347</v>
      </c>
      <c r="R4636" s="29"/>
      <c r="S4636" s="26" t="str">
        <f>HYPERLINK("https://miland.ru/api/getInfo/image/1991bbc1-c986-11e9-a233-ac1f6b442184")</f>
        <v>https://miland.ru/api/getInfo/image/1991bbc1-c986-11e9-a233-ac1f6b442184</v>
      </c>
    </row>
    <row r="4637" spans="1:19" s="2" customFormat="1" ht="96.2" customHeight="1" outlineLevel="4">
      <c r="A4637" s="52">
        <v>3650</v>
      </c>
      <c r="B4637" s="26" t="s">
        <v>15348</v>
      </c>
      <c r="C4637" s="66" t="s">
        <v>15349</v>
      </c>
      <c r="D4637" s="66"/>
      <c r="E4637" s="66"/>
      <c r="F4637" s="66"/>
      <c r="G4637" s="27" t="s">
        <v>15350</v>
      </c>
      <c r="H4637" s="28" t="s">
        <v>44</v>
      </c>
      <c r="I4637" s="29"/>
      <c r="J4637" s="25">
        <v>24</v>
      </c>
      <c r="K4637" s="30">
        <v>31.97</v>
      </c>
      <c r="L4637" s="17"/>
      <c r="M4637" s="29">
        <f t="shared" si="221"/>
        <v>0</v>
      </c>
      <c r="N4637" s="31">
        <f>0.028*L4637</f>
        <v>0</v>
      </c>
      <c r="O4637" s="32">
        <f>0.00016*L4637</f>
        <v>0</v>
      </c>
      <c r="P4637" s="36"/>
      <c r="Q4637" s="29" t="s">
        <v>15351</v>
      </c>
      <c r="R4637" s="29"/>
      <c r="S4637" s="26" t="str">
        <f>HYPERLINK("https://miland.ru/api/getInfo/image/311a0e8d-c986-11e9-a233-ac1f6b442184")</f>
        <v>https://miland.ru/api/getInfo/image/311a0e8d-c986-11e9-a233-ac1f6b442184</v>
      </c>
    </row>
    <row r="4638" spans="1:19" s="2" customFormat="1" ht="96.2" customHeight="1" outlineLevel="4">
      <c r="A4638" s="52">
        <v>3651</v>
      </c>
      <c r="B4638" s="26" t="s">
        <v>15352</v>
      </c>
      <c r="C4638" s="66" t="s">
        <v>15353</v>
      </c>
      <c r="D4638" s="66"/>
      <c r="E4638" s="66"/>
      <c r="F4638" s="66"/>
      <c r="G4638" s="27" t="s">
        <v>15354</v>
      </c>
      <c r="H4638" s="28" t="s">
        <v>44</v>
      </c>
      <c r="I4638" s="29"/>
      <c r="J4638" s="25">
        <v>24</v>
      </c>
      <c r="K4638" s="30">
        <v>31.97</v>
      </c>
      <c r="L4638" s="17"/>
      <c r="M4638" s="29">
        <f t="shared" si="221"/>
        <v>0</v>
      </c>
      <c r="N4638" s="31">
        <f>0.012*L4638</f>
        <v>0</v>
      </c>
      <c r="O4638" s="32">
        <f>0.00014*L4638</f>
        <v>0</v>
      </c>
      <c r="P4638" s="36"/>
      <c r="Q4638" s="29" t="s">
        <v>15355</v>
      </c>
      <c r="R4638" s="29"/>
      <c r="S4638" s="26" t="str">
        <f>HYPERLINK("https://miland.ru/api/getInfo/image/48ddcc3a-c986-11e9-a233-ac1f6b442184")</f>
        <v>https://miland.ru/api/getInfo/image/48ddcc3a-c986-11e9-a233-ac1f6b442184</v>
      </c>
    </row>
    <row r="4639" spans="1:19" s="2" customFormat="1" ht="96.2" customHeight="1" outlineLevel="4">
      <c r="A4639" s="52">
        <v>3652</v>
      </c>
      <c r="B4639" s="26" t="s">
        <v>15356</v>
      </c>
      <c r="C4639" s="66" t="s">
        <v>15357</v>
      </c>
      <c r="D4639" s="66"/>
      <c r="E4639" s="66"/>
      <c r="F4639" s="66"/>
      <c r="G4639" s="27" t="s">
        <v>15358</v>
      </c>
      <c r="H4639" s="28" t="s">
        <v>44</v>
      </c>
      <c r="I4639" s="29"/>
      <c r="J4639" s="25">
        <v>24</v>
      </c>
      <c r="K4639" s="30">
        <v>31.97</v>
      </c>
      <c r="L4639" s="17"/>
      <c r="M4639" s="29">
        <f t="shared" si="221"/>
        <v>0</v>
      </c>
      <c r="N4639" s="31">
        <f>0.026*L4639</f>
        <v>0</v>
      </c>
      <c r="O4639" s="32">
        <f>0.00015*L4639</f>
        <v>0</v>
      </c>
      <c r="P4639" s="36"/>
      <c r="Q4639" s="29" t="s">
        <v>15359</v>
      </c>
      <c r="R4639" s="29"/>
      <c r="S4639" s="26" t="str">
        <f>HYPERLINK("https://miland.ru/api/getInfo/image/5f887032-c986-11e9-a233-ac1f6b442184")</f>
        <v>https://miland.ru/api/getInfo/image/5f887032-c986-11e9-a233-ac1f6b442184</v>
      </c>
    </row>
    <row r="4640" spans="1:19" s="2" customFormat="1" ht="96.2" customHeight="1" outlineLevel="4">
      <c r="A4640" s="52">
        <v>3653</v>
      </c>
      <c r="B4640" s="26" t="s">
        <v>15360</v>
      </c>
      <c r="C4640" s="66" t="s">
        <v>15361</v>
      </c>
      <c r="D4640" s="66"/>
      <c r="E4640" s="66"/>
      <c r="F4640" s="66"/>
      <c r="G4640" s="27" t="s">
        <v>15362</v>
      </c>
      <c r="H4640" s="28" t="s">
        <v>44</v>
      </c>
      <c r="I4640" s="29"/>
      <c r="J4640" s="25">
        <v>24</v>
      </c>
      <c r="K4640" s="30">
        <v>31.97</v>
      </c>
      <c r="L4640" s="17"/>
      <c r="M4640" s="29">
        <f t="shared" si="221"/>
        <v>0</v>
      </c>
      <c r="N4640" s="31">
        <f>0.012*L4640</f>
        <v>0</v>
      </c>
      <c r="O4640" s="32">
        <f>0.00013*L4640</f>
        <v>0</v>
      </c>
      <c r="P4640" s="36"/>
      <c r="Q4640" s="29" t="s">
        <v>15363</v>
      </c>
      <c r="R4640" s="29"/>
      <c r="S4640" s="26" t="str">
        <f>HYPERLINK("https://miland.ru/api/getInfo/image/8a5e393a-77dc-11ea-a244-ac1f6b442184")</f>
        <v>https://miland.ru/api/getInfo/image/8a5e393a-77dc-11ea-a244-ac1f6b442184</v>
      </c>
    </row>
    <row r="4641" spans="1:19" s="2" customFormat="1" ht="96.2" customHeight="1" outlineLevel="4">
      <c r="A4641" s="52">
        <v>3654</v>
      </c>
      <c r="B4641" s="26" t="s">
        <v>15364</v>
      </c>
      <c r="C4641" s="66" t="s">
        <v>15365</v>
      </c>
      <c r="D4641" s="66"/>
      <c r="E4641" s="66"/>
      <c r="F4641" s="66"/>
      <c r="G4641" s="27" t="s">
        <v>15366</v>
      </c>
      <c r="H4641" s="28" t="s">
        <v>44</v>
      </c>
      <c r="I4641" s="29"/>
      <c r="J4641" s="25">
        <v>24</v>
      </c>
      <c r="K4641" s="30">
        <v>31.97</v>
      </c>
      <c r="L4641" s="17"/>
      <c r="M4641" s="29">
        <f t="shared" si="221"/>
        <v>0</v>
      </c>
      <c r="N4641" s="31">
        <f>0.013*L4641</f>
        <v>0</v>
      </c>
      <c r="O4641" s="32">
        <f>0.00009*L4641</f>
        <v>0</v>
      </c>
      <c r="P4641" s="36"/>
      <c r="Q4641" s="29" t="s">
        <v>15367</v>
      </c>
      <c r="R4641" s="29"/>
      <c r="S4641" s="26" t="str">
        <f>HYPERLINK("https://miland.ru/api/getInfo/image/b48f7227-77dc-11ea-a244-ac1f6b442184")</f>
        <v>https://miland.ru/api/getInfo/image/b48f7227-77dc-11ea-a244-ac1f6b442184</v>
      </c>
    </row>
    <row r="4642" spans="1:19" s="2" customFormat="1" ht="96.2" customHeight="1" outlineLevel="4">
      <c r="A4642" s="52">
        <v>3655</v>
      </c>
      <c r="B4642" s="26" t="s">
        <v>15368</v>
      </c>
      <c r="C4642" s="66" t="s">
        <v>15369</v>
      </c>
      <c r="D4642" s="66"/>
      <c r="E4642" s="66"/>
      <c r="F4642" s="66"/>
      <c r="G4642" s="27" t="s">
        <v>15370</v>
      </c>
      <c r="H4642" s="28" t="s">
        <v>44</v>
      </c>
      <c r="I4642" s="29"/>
      <c r="J4642" s="25">
        <v>12</v>
      </c>
      <c r="K4642" s="30">
        <v>48.83</v>
      </c>
      <c r="L4642" s="17"/>
      <c r="M4642" s="29">
        <f t="shared" si="221"/>
        <v>0</v>
      </c>
      <c r="N4642" s="31">
        <f>0.033*L4642</f>
        <v>0</v>
      </c>
      <c r="O4642" s="32">
        <f>0.00017*L4642</f>
        <v>0</v>
      </c>
      <c r="P4642" s="36"/>
      <c r="Q4642" s="29" t="s">
        <v>15371</v>
      </c>
      <c r="R4642" s="29"/>
      <c r="S4642" s="26" t="str">
        <f>HYPERLINK("https://miland.ru/api/getInfo/image/dc6791a1-19b5-11e9-a21c-ac1f6b442184")</f>
        <v>https://miland.ru/api/getInfo/image/dc6791a1-19b5-11e9-a21c-ac1f6b442184</v>
      </c>
    </row>
    <row r="4643" spans="1:19" s="2" customFormat="1" ht="96.2" customHeight="1" outlineLevel="4">
      <c r="A4643" s="52">
        <v>3656</v>
      </c>
      <c r="B4643" s="26" t="s">
        <v>15372</v>
      </c>
      <c r="C4643" s="66" t="s">
        <v>15373</v>
      </c>
      <c r="D4643" s="66"/>
      <c r="E4643" s="66"/>
      <c r="F4643" s="66"/>
      <c r="G4643" s="27" t="s">
        <v>15374</v>
      </c>
      <c r="H4643" s="28" t="s">
        <v>44</v>
      </c>
      <c r="I4643" s="29"/>
      <c r="J4643" s="25">
        <v>12</v>
      </c>
      <c r="K4643" s="30">
        <v>48.83</v>
      </c>
      <c r="L4643" s="17"/>
      <c r="M4643" s="29">
        <f t="shared" si="221"/>
        <v>0</v>
      </c>
      <c r="N4643" s="31">
        <f>0.017*L4643</f>
        <v>0</v>
      </c>
      <c r="O4643" s="35">
        <f>0.0002*L4643</f>
        <v>0</v>
      </c>
      <c r="P4643" s="36"/>
      <c r="Q4643" s="29" t="s">
        <v>15375</v>
      </c>
      <c r="R4643" s="29"/>
      <c r="S4643" s="26" t="str">
        <f>HYPERLINK("https://miland.ru/api/getInfo/image/fb4f7ad6-19b5-11e9-a21c-ac1f6b442184")</f>
        <v>https://miland.ru/api/getInfo/image/fb4f7ad6-19b5-11e9-a21c-ac1f6b442184</v>
      </c>
    </row>
    <row r="4644" spans="1:19" s="2" customFormat="1" ht="96.2" customHeight="1" outlineLevel="4">
      <c r="A4644" s="52">
        <v>3657</v>
      </c>
      <c r="B4644" s="26" t="s">
        <v>15376</v>
      </c>
      <c r="C4644" s="66" t="s">
        <v>15377</v>
      </c>
      <c r="D4644" s="66"/>
      <c r="E4644" s="66"/>
      <c r="F4644" s="66"/>
      <c r="G4644" s="27" t="s">
        <v>15378</v>
      </c>
      <c r="H4644" s="28" t="s">
        <v>44</v>
      </c>
      <c r="I4644" s="29"/>
      <c r="J4644" s="25">
        <v>12</v>
      </c>
      <c r="K4644" s="30">
        <v>48.83</v>
      </c>
      <c r="L4644" s="17"/>
      <c r="M4644" s="29">
        <f t="shared" si="221"/>
        <v>0</v>
      </c>
      <c r="N4644" s="31">
        <f>0.018*L4644</f>
        <v>0</v>
      </c>
      <c r="O4644" s="32">
        <f>0.00012*L4644</f>
        <v>0</v>
      </c>
      <c r="P4644" s="36"/>
      <c r="Q4644" s="29" t="s">
        <v>15379</v>
      </c>
      <c r="R4644" s="29"/>
      <c r="S4644" s="26" t="str">
        <f>HYPERLINK("https://miland.ru/api/getInfo/image/1dce1869-19b6-11e9-a21c-ac1f6b442184")</f>
        <v>https://miland.ru/api/getInfo/image/1dce1869-19b6-11e9-a21c-ac1f6b442184</v>
      </c>
    </row>
    <row r="4645" spans="1:19" s="2" customFormat="1" ht="96.2" customHeight="1" outlineLevel="4">
      <c r="A4645" s="52">
        <v>3658</v>
      </c>
      <c r="B4645" s="26" t="s">
        <v>15380</v>
      </c>
      <c r="C4645" s="66" t="s">
        <v>15381</v>
      </c>
      <c r="D4645" s="66"/>
      <c r="E4645" s="66"/>
      <c r="F4645" s="66"/>
      <c r="G4645" s="27" t="s">
        <v>15382</v>
      </c>
      <c r="H4645" s="28" t="s">
        <v>44</v>
      </c>
      <c r="I4645" s="29"/>
      <c r="J4645" s="25">
        <v>12</v>
      </c>
      <c r="K4645" s="30">
        <v>48.83</v>
      </c>
      <c r="L4645" s="17"/>
      <c r="M4645" s="29">
        <f t="shared" si="221"/>
        <v>0</v>
      </c>
      <c r="N4645" s="31">
        <f>0.017*L4645</f>
        <v>0</v>
      </c>
      <c r="O4645" s="32">
        <f>0.00015*L4645</f>
        <v>0</v>
      </c>
      <c r="P4645" s="36"/>
      <c r="Q4645" s="29" t="s">
        <v>15383</v>
      </c>
      <c r="R4645" s="29"/>
      <c r="S4645" s="26" t="str">
        <f>HYPERLINK("https://miland.ru/api/getInfo/image/6e981196-19b6-11e9-a21c-ac1f6b442184")</f>
        <v>https://miland.ru/api/getInfo/image/6e981196-19b6-11e9-a21c-ac1f6b442184</v>
      </c>
    </row>
    <row r="4646" spans="1:19" s="2" customFormat="1" ht="96.2" customHeight="1" outlineLevel="4">
      <c r="A4646" s="54">
        <v>3659</v>
      </c>
      <c r="B4646" s="39" t="s">
        <v>15384</v>
      </c>
      <c r="C4646" s="67" t="s">
        <v>15385</v>
      </c>
      <c r="D4646" s="67"/>
      <c r="E4646" s="67"/>
      <c r="F4646" s="67"/>
      <c r="G4646" s="40" t="s">
        <v>15386</v>
      </c>
      <c r="H4646" s="42">
        <v>1</v>
      </c>
      <c r="I4646" s="43"/>
      <c r="J4646" s="38">
        <v>1</v>
      </c>
      <c r="K4646" s="44">
        <v>12.53</v>
      </c>
      <c r="L4646" s="17"/>
      <c r="M4646" s="43">
        <f t="shared" si="221"/>
        <v>0</v>
      </c>
      <c r="N4646" s="47">
        <f>0.022*L4646</f>
        <v>0</v>
      </c>
      <c r="O4646" s="46">
        <f>0.00011*L4646</f>
        <v>0</v>
      </c>
      <c r="P4646" s="49"/>
      <c r="Q4646" s="43" t="s">
        <v>15387</v>
      </c>
      <c r="R4646" s="43" t="s">
        <v>611</v>
      </c>
      <c r="S4646" s="39" t="str">
        <f>HYPERLINK("https://miland.ru/api/getInfo/image/d4a2c09e-9912-11eb-a201-ac1f6b442185")</f>
        <v>https://miland.ru/api/getInfo/image/d4a2c09e-9912-11eb-a201-ac1f6b442185</v>
      </c>
    </row>
    <row r="4647" spans="1:19" s="2" customFormat="1" ht="96.2" customHeight="1" outlineLevel="4">
      <c r="A4647" s="54">
        <v>3660</v>
      </c>
      <c r="B4647" s="39" t="s">
        <v>15388</v>
      </c>
      <c r="C4647" s="67" t="s">
        <v>15389</v>
      </c>
      <c r="D4647" s="67"/>
      <c r="E4647" s="67"/>
      <c r="F4647" s="67"/>
      <c r="G4647" s="40" t="s">
        <v>15390</v>
      </c>
      <c r="H4647" s="42">
        <v>1</v>
      </c>
      <c r="I4647" s="43"/>
      <c r="J4647" s="38">
        <v>1</v>
      </c>
      <c r="K4647" s="44">
        <v>12.53</v>
      </c>
      <c r="L4647" s="17"/>
      <c r="M4647" s="43">
        <f t="shared" si="221"/>
        <v>0</v>
      </c>
      <c r="N4647" s="47">
        <f>0.022*L4647</f>
        <v>0</v>
      </c>
      <c r="O4647" s="46">
        <f>0.00011*L4647</f>
        <v>0</v>
      </c>
      <c r="P4647" s="49"/>
      <c r="Q4647" s="43" t="s">
        <v>15391</v>
      </c>
      <c r="R4647" s="43" t="s">
        <v>611</v>
      </c>
      <c r="S4647" s="39" t="str">
        <f>HYPERLINK("https://miland.ru/api/getInfo/image/65e308a8-9919-11eb-a201-ac1f6b442185")</f>
        <v>https://miland.ru/api/getInfo/image/65e308a8-9919-11eb-a201-ac1f6b442185</v>
      </c>
    </row>
    <row r="4648" spans="1:19" s="2" customFormat="1" ht="96.2" customHeight="1" outlineLevel="4">
      <c r="A4648" s="52">
        <v>3661</v>
      </c>
      <c r="B4648" s="26" t="s">
        <v>15392</v>
      </c>
      <c r="C4648" s="66" t="s">
        <v>15393</v>
      </c>
      <c r="D4648" s="66"/>
      <c r="E4648" s="66"/>
      <c r="F4648" s="66"/>
      <c r="G4648" s="27" t="s">
        <v>15394</v>
      </c>
      <c r="H4648" s="28" t="s">
        <v>44</v>
      </c>
      <c r="I4648" s="29"/>
      <c r="J4648" s="25">
        <v>12</v>
      </c>
      <c r="K4648" s="30">
        <v>65.099999999999994</v>
      </c>
      <c r="L4648" s="17"/>
      <c r="M4648" s="29">
        <f t="shared" si="221"/>
        <v>0</v>
      </c>
      <c r="N4648" s="31">
        <f>0.018*L4648</f>
        <v>0</v>
      </c>
      <c r="O4648" s="32">
        <f>0.00013*L4648</f>
        <v>0</v>
      </c>
      <c r="P4648" s="36"/>
      <c r="Q4648" s="29" t="s">
        <v>15395</v>
      </c>
      <c r="R4648" s="29"/>
      <c r="S4648" s="26" t="str">
        <f>HYPERLINK("https://miland.ru/api/getInfo/image/8f17ef15-c98e-11e9-a233-ac1f6b442184")</f>
        <v>https://miland.ru/api/getInfo/image/8f17ef15-c98e-11e9-a233-ac1f6b442184</v>
      </c>
    </row>
    <row r="4649" spans="1:19" s="2" customFormat="1" ht="96.2" customHeight="1" outlineLevel="4">
      <c r="A4649" s="52">
        <v>3662</v>
      </c>
      <c r="B4649" s="26" t="s">
        <v>15396</v>
      </c>
      <c r="C4649" s="66" t="s">
        <v>15397</v>
      </c>
      <c r="D4649" s="66"/>
      <c r="E4649" s="66"/>
      <c r="F4649" s="66"/>
      <c r="G4649" s="27" t="s">
        <v>15398</v>
      </c>
      <c r="H4649" s="28" t="s">
        <v>44</v>
      </c>
      <c r="I4649" s="29"/>
      <c r="J4649" s="25">
        <v>12</v>
      </c>
      <c r="K4649" s="30">
        <v>65.099999999999994</v>
      </c>
      <c r="L4649" s="17"/>
      <c r="M4649" s="29">
        <f t="shared" si="221"/>
        <v>0</v>
      </c>
      <c r="N4649" s="31">
        <f>0.015*L4649</f>
        <v>0</v>
      </c>
      <c r="O4649" s="32">
        <f>0.00014*L4649</f>
        <v>0</v>
      </c>
      <c r="P4649" s="36"/>
      <c r="Q4649" s="29" t="s">
        <v>15399</v>
      </c>
      <c r="R4649" s="29"/>
      <c r="S4649" s="26" t="str">
        <f>HYPERLINK("https://miland.ru/api/getInfo/image/a5b08381-c98e-11e9-a233-ac1f6b442184")</f>
        <v>https://miland.ru/api/getInfo/image/a5b08381-c98e-11e9-a233-ac1f6b442184</v>
      </c>
    </row>
    <row r="4650" spans="1:19" s="2" customFormat="1" ht="96.2" customHeight="1" outlineLevel="4">
      <c r="A4650" s="52">
        <v>3663</v>
      </c>
      <c r="B4650" s="26" t="s">
        <v>15400</v>
      </c>
      <c r="C4650" s="66" t="s">
        <v>15401</v>
      </c>
      <c r="D4650" s="66"/>
      <c r="E4650" s="66"/>
      <c r="F4650" s="66"/>
      <c r="G4650" s="27" t="s">
        <v>15402</v>
      </c>
      <c r="H4650" s="28" t="s">
        <v>44</v>
      </c>
      <c r="I4650" s="29"/>
      <c r="J4650" s="25">
        <v>12</v>
      </c>
      <c r="K4650" s="30">
        <v>65.099999999999994</v>
      </c>
      <c r="L4650" s="17"/>
      <c r="M4650" s="29">
        <f t="shared" si="221"/>
        <v>0</v>
      </c>
      <c r="N4650" s="31">
        <f>0.025*L4650</f>
        <v>0</v>
      </c>
      <c r="O4650" s="32">
        <f>0.00051*L4650</f>
        <v>0</v>
      </c>
      <c r="P4650" s="36"/>
      <c r="Q4650" s="29" t="s">
        <v>15403</v>
      </c>
      <c r="R4650" s="29"/>
      <c r="S4650" s="26" t="str">
        <f>HYPERLINK("https://miland.ru/api/getInfo/image/b2baeec8-c98d-11e9-a233-ac1f6b442184")</f>
        <v>https://miland.ru/api/getInfo/image/b2baeec8-c98d-11e9-a233-ac1f6b442184</v>
      </c>
    </row>
    <row r="4651" spans="1:19" s="2" customFormat="1" ht="96.2" customHeight="1" outlineLevel="4">
      <c r="A4651" s="52">
        <v>3664</v>
      </c>
      <c r="B4651" s="26" t="s">
        <v>15404</v>
      </c>
      <c r="C4651" s="66" t="s">
        <v>15405</v>
      </c>
      <c r="D4651" s="66"/>
      <c r="E4651" s="66"/>
      <c r="F4651" s="66"/>
      <c r="G4651" s="27" t="s">
        <v>15406</v>
      </c>
      <c r="H4651" s="28" t="s">
        <v>44</v>
      </c>
      <c r="I4651" s="29"/>
      <c r="J4651" s="25">
        <v>12</v>
      </c>
      <c r="K4651" s="30">
        <v>65.099999999999994</v>
      </c>
      <c r="L4651" s="17"/>
      <c r="M4651" s="29">
        <f t="shared" si="221"/>
        <v>0</v>
      </c>
      <c r="N4651" s="31">
        <f>0.017*L4651</f>
        <v>0</v>
      </c>
      <c r="O4651" s="32">
        <f>0.00015*L4651</f>
        <v>0</v>
      </c>
      <c r="P4651" s="36"/>
      <c r="Q4651" s="29" t="s">
        <v>15407</v>
      </c>
      <c r="R4651" s="29"/>
      <c r="S4651" s="26" t="str">
        <f>HYPERLINK("https://miland.ru/api/getInfo/image/bc47e696-c98e-11e9-a233-ac1f6b442184")</f>
        <v>https://miland.ru/api/getInfo/image/bc47e696-c98e-11e9-a233-ac1f6b442184</v>
      </c>
    </row>
    <row r="4652" spans="1:19" s="2" customFormat="1" ht="96.2" customHeight="1" outlineLevel="4">
      <c r="A4652" s="52">
        <v>3665</v>
      </c>
      <c r="B4652" s="26" t="s">
        <v>15408</v>
      </c>
      <c r="C4652" s="66" t="s">
        <v>15409</v>
      </c>
      <c r="D4652" s="66"/>
      <c r="E4652" s="66"/>
      <c r="F4652" s="66"/>
      <c r="G4652" s="27" t="s">
        <v>15410</v>
      </c>
      <c r="H4652" s="28" t="s">
        <v>44</v>
      </c>
      <c r="I4652" s="29"/>
      <c r="J4652" s="25">
        <v>12</v>
      </c>
      <c r="K4652" s="30">
        <v>65.099999999999994</v>
      </c>
      <c r="L4652" s="17"/>
      <c r="M4652" s="29">
        <f t="shared" si="221"/>
        <v>0</v>
      </c>
      <c r="N4652" s="31">
        <f>0.017*L4652</f>
        <v>0</v>
      </c>
      <c r="O4652" s="32">
        <f>0.00012*L4652</f>
        <v>0</v>
      </c>
      <c r="P4652" s="36"/>
      <c r="Q4652" s="29" t="s">
        <v>15411</v>
      </c>
      <c r="R4652" s="29"/>
      <c r="S4652" s="26" t="str">
        <f>HYPERLINK("https://miland.ru/api/getInfo/image/d3f2afc9-c98e-11e9-a233-ac1f6b442184")</f>
        <v>https://miland.ru/api/getInfo/image/d3f2afc9-c98e-11e9-a233-ac1f6b442184</v>
      </c>
    </row>
    <row r="4653" spans="1:19" s="2" customFormat="1" ht="96.2" customHeight="1" outlineLevel="4">
      <c r="A4653" s="52">
        <v>3666</v>
      </c>
      <c r="B4653" s="26" t="s">
        <v>15412</v>
      </c>
      <c r="C4653" s="66" t="s">
        <v>15413</v>
      </c>
      <c r="D4653" s="66"/>
      <c r="E4653" s="66"/>
      <c r="F4653" s="66"/>
      <c r="G4653" s="27" t="s">
        <v>15414</v>
      </c>
      <c r="H4653" s="28" t="s">
        <v>44</v>
      </c>
      <c r="I4653" s="29"/>
      <c r="J4653" s="25">
        <v>12</v>
      </c>
      <c r="K4653" s="30">
        <v>65.099999999999994</v>
      </c>
      <c r="L4653" s="17"/>
      <c r="M4653" s="29">
        <f t="shared" si="221"/>
        <v>0</v>
      </c>
      <c r="N4653" s="31">
        <f>0.022*L4653</f>
        <v>0</v>
      </c>
      <c r="O4653" s="32">
        <f>0.00013*L4653</f>
        <v>0</v>
      </c>
      <c r="P4653" s="36"/>
      <c r="Q4653" s="29" t="s">
        <v>15415</v>
      </c>
      <c r="R4653" s="29"/>
      <c r="S4653" s="26" t="str">
        <f>HYPERLINK("https://miland.ru/api/getInfo/image/08405d4b-c98f-11e9-a233-ac1f6b442184")</f>
        <v>https://miland.ru/api/getInfo/image/08405d4b-c98f-11e9-a233-ac1f6b442184</v>
      </c>
    </row>
    <row r="4654" spans="1:19" s="1" customFormat="1" ht="12" customHeight="1" outlineLevel="3">
      <c r="A4654" s="64" t="s">
        <v>15416</v>
      </c>
      <c r="B4654" s="64"/>
      <c r="C4654" s="64"/>
      <c r="D4654" s="64"/>
      <c r="E4654" s="64"/>
      <c r="F4654" s="64"/>
      <c r="G4654" s="8"/>
      <c r="H4654" s="12"/>
      <c r="I4654" s="2"/>
      <c r="J4654" s="2"/>
      <c r="K4654" s="13"/>
      <c r="L4654" s="2"/>
      <c r="M4654" s="2"/>
      <c r="N4654" s="2"/>
      <c r="O4654" s="2"/>
      <c r="P4654" s="2"/>
      <c r="Q4654" s="2"/>
      <c r="R4654" s="2"/>
      <c r="S4654" s="2"/>
    </row>
    <row r="4655" spans="1:19" s="2" customFormat="1" ht="96.2" customHeight="1" outlineLevel="4">
      <c r="A4655" s="52">
        <v>3667</v>
      </c>
      <c r="B4655" s="26" t="s">
        <v>15417</v>
      </c>
      <c r="C4655" s="66" t="s">
        <v>15418</v>
      </c>
      <c r="D4655" s="66"/>
      <c r="E4655" s="66"/>
      <c r="F4655" s="66"/>
      <c r="G4655" s="27" t="s">
        <v>15419</v>
      </c>
      <c r="H4655" s="28" t="s">
        <v>44</v>
      </c>
      <c r="I4655" s="29"/>
      <c r="J4655" s="25">
        <v>10</v>
      </c>
      <c r="K4655" s="30">
        <v>83.7</v>
      </c>
      <c r="L4655" s="17"/>
      <c r="M4655" s="29">
        <f>K4655*L4655</f>
        <v>0</v>
      </c>
      <c r="N4655" s="31">
        <f>0.019*L4655</f>
        <v>0</v>
      </c>
      <c r="O4655" s="32">
        <f>0.00003*L4655</f>
        <v>0</v>
      </c>
      <c r="P4655" s="36"/>
      <c r="Q4655" s="29" t="s">
        <v>15420</v>
      </c>
      <c r="R4655" s="29"/>
      <c r="S4655" s="26" t="str">
        <f>HYPERLINK("https://miland.ru/api/getInfo/image/6b4fb5f1-7433-11ef-a265-00155d82e908")</f>
        <v>https://miland.ru/api/getInfo/image/6b4fb5f1-7433-11ef-a265-00155d82e908</v>
      </c>
    </row>
    <row r="4656" spans="1:19" s="2" customFormat="1" ht="96.2" customHeight="1" outlineLevel="4">
      <c r="A4656" s="52">
        <v>3668</v>
      </c>
      <c r="B4656" s="26" t="s">
        <v>15421</v>
      </c>
      <c r="C4656" s="66" t="s">
        <v>15422</v>
      </c>
      <c r="D4656" s="66"/>
      <c r="E4656" s="66"/>
      <c r="F4656" s="66"/>
      <c r="G4656" s="27" t="s">
        <v>15423</v>
      </c>
      <c r="H4656" s="33">
        <v>468</v>
      </c>
      <c r="I4656" s="29"/>
      <c r="J4656" s="25">
        <v>12</v>
      </c>
      <c r="K4656" s="30">
        <v>45.49</v>
      </c>
      <c r="L4656" s="17"/>
      <c r="M4656" s="29">
        <f>K4656*L4656</f>
        <v>0</v>
      </c>
      <c r="N4656" s="31">
        <f>0.026*L4656</f>
        <v>0</v>
      </c>
      <c r="O4656" s="32">
        <f>0.00053*L4656</f>
        <v>0</v>
      </c>
      <c r="P4656" s="36"/>
      <c r="Q4656" s="29" t="s">
        <v>15424</v>
      </c>
      <c r="R4656" s="29" t="s">
        <v>611</v>
      </c>
      <c r="S4656" s="26" t="str">
        <f>HYPERLINK("https://miland.ru/api/getInfo/image/4cb70570-d6f8-11e5-98ff-5cf3fc4a2490")</f>
        <v>https://miland.ru/api/getInfo/image/4cb70570-d6f8-11e5-98ff-5cf3fc4a2490</v>
      </c>
    </row>
    <row r="4657" spans="1:19" s="1" customFormat="1" ht="12" customHeight="1" outlineLevel="3">
      <c r="A4657" s="64" t="s">
        <v>15425</v>
      </c>
      <c r="B4657" s="64"/>
      <c r="C4657" s="64"/>
      <c r="D4657" s="64"/>
      <c r="E4657" s="64"/>
      <c r="F4657" s="64"/>
      <c r="G4657" s="8"/>
      <c r="H4657" s="12"/>
      <c r="I4657" s="2"/>
      <c r="J4657" s="2"/>
      <c r="K4657" s="13"/>
      <c r="L4657" s="2"/>
      <c r="M4657" s="2"/>
      <c r="N4657" s="2"/>
      <c r="O4657" s="2"/>
      <c r="P4657" s="2"/>
      <c r="Q4657" s="2"/>
      <c r="R4657" s="2"/>
      <c r="S4657" s="2"/>
    </row>
    <row r="4658" spans="1:19" s="2" customFormat="1" ht="96.2" customHeight="1" outlineLevel="4">
      <c r="A4658" s="52">
        <v>3669</v>
      </c>
      <c r="B4658" s="26" t="s">
        <v>15426</v>
      </c>
      <c r="C4658" s="66" t="s">
        <v>15427</v>
      </c>
      <c r="D4658" s="66"/>
      <c r="E4658" s="66"/>
      <c r="F4658" s="66"/>
      <c r="G4658" s="27" t="s">
        <v>15428</v>
      </c>
      <c r="H4658" s="33">
        <v>496</v>
      </c>
      <c r="I4658" s="29"/>
      <c r="J4658" s="25">
        <v>5</v>
      </c>
      <c r="K4658" s="30">
        <v>138.34</v>
      </c>
      <c r="L4658" s="17"/>
      <c r="M4658" s="29">
        <f t="shared" ref="M4658:M4690" si="222">K4658*L4658</f>
        <v>0</v>
      </c>
      <c r="N4658" s="34">
        <f>0.04*L4658</f>
        <v>0</v>
      </c>
      <c r="O4658" s="35">
        <f>0.0001*L4658</f>
        <v>0</v>
      </c>
      <c r="P4658" s="36"/>
      <c r="Q4658" s="29" t="s">
        <v>15429</v>
      </c>
      <c r="R4658" s="29"/>
      <c r="S4658" s="26" t="str">
        <f>HYPERLINK("https://miland.ru/api/getInfo/image/e3706916-7430-11ef-a265-00155d82e908")</f>
        <v>https://miland.ru/api/getInfo/image/e3706916-7430-11ef-a265-00155d82e908</v>
      </c>
    </row>
    <row r="4659" spans="1:19" s="2" customFormat="1" ht="96.2" customHeight="1" outlineLevel="4">
      <c r="A4659" s="52">
        <v>3670</v>
      </c>
      <c r="B4659" s="26" t="s">
        <v>15430</v>
      </c>
      <c r="C4659" s="66" t="s">
        <v>15431</v>
      </c>
      <c r="D4659" s="66"/>
      <c r="E4659" s="66"/>
      <c r="F4659" s="66"/>
      <c r="G4659" s="27" t="s">
        <v>15432</v>
      </c>
      <c r="H4659" s="28" t="s">
        <v>44</v>
      </c>
      <c r="I4659" s="29"/>
      <c r="J4659" s="25">
        <v>12</v>
      </c>
      <c r="K4659" s="30">
        <v>50.68</v>
      </c>
      <c r="L4659" s="17"/>
      <c r="M4659" s="29">
        <f t="shared" si="222"/>
        <v>0</v>
      </c>
      <c r="N4659" s="31">
        <f>0.019*L4659</f>
        <v>0</v>
      </c>
      <c r="O4659" s="29">
        <v>0</v>
      </c>
      <c r="P4659" s="36"/>
      <c r="Q4659" s="29" t="s">
        <v>15433</v>
      </c>
      <c r="R4659" s="29"/>
      <c r="S4659" s="26" t="str">
        <f>HYPERLINK("https://miland.ru/api/getInfo/image/87501eb0-d6f8-11e5-98ff-5cf3fc4a2490")</f>
        <v>https://miland.ru/api/getInfo/image/87501eb0-d6f8-11e5-98ff-5cf3fc4a2490</v>
      </c>
    </row>
    <row r="4660" spans="1:19" s="2" customFormat="1" ht="96.2" customHeight="1" outlineLevel="4">
      <c r="A4660" s="52">
        <v>3671</v>
      </c>
      <c r="B4660" s="26" t="s">
        <v>15434</v>
      </c>
      <c r="C4660" s="66" t="s">
        <v>15435</v>
      </c>
      <c r="D4660" s="66"/>
      <c r="E4660" s="66"/>
      <c r="F4660" s="66"/>
      <c r="G4660" s="27" t="s">
        <v>15436</v>
      </c>
      <c r="H4660" s="28" t="s">
        <v>44</v>
      </c>
      <c r="I4660" s="29"/>
      <c r="J4660" s="25">
        <v>10</v>
      </c>
      <c r="K4660" s="30">
        <v>56.39</v>
      </c>
      <c r="L4660" s="17"/>
      <c r="M4660" s="29">
        <f t="shared" si="222"/>
        <v>0</v>
      </c>
      <c r="N4660" s="34">
        <f>0.02*L4660</f>
        <v>0</v>
      </c>
      <c r="O4660" s="32">
        <f>0.00014*L4660</f>
        <v>0</v>
      </c>
      <c r="P4660" s="36"/>
      <c r="Q4660" s="29" t="s">
        <v>15437</v>
      </c>
      <c r="R4660" s="29"/>
      <c r="S4660" s="26" t="str">
        <f>HYPERLINK("https://miland.ru/api/getInfo/image/dadee797-74b3-11ef-a265-00155d82e908")</f>
        <v>https://miland.ru/api/getInfo/image/dadee797-74b3-11ef-a265-00155d82e908</v>
      </c>
    </row>
    <row r="4661" spans="1:19" s="2" customFormat="1" ht="96.2" customHeight="1" outlineLevel="4">
      <c r="A4661" s="52">
        <v>3672</v>
      </c>
      <c r="B4661" s="26" t="s">
        <v>15438</v>
      </c>
      <c r="C4661" s="66" t="s">
        <v>15439</v>
      </c>
      <c r="D4661" s="66"/>
      <c r="E4661" s="66"/>
      <c r="F4661" s="66"/>
      <c r="G4661" s="27" t="s">
        <v>15440</v>
      </c>
      <c r="H4661" s="28" t="s">
        <v>44</v>
      </c>
      <c r="I4661" s="29"/>
      <c r="J4661" s="25">
        <v>10</v>
      </c>
      <c r="K4661" s="30">
        <v>56.39</v>
      </c>
      <c r="L4661" s="17"/>
      <c r="M4661" s="29">
        <f t="shared" si="222"/>
        <v>0</v>
      </c>
      <c r="N4661" s="34">
        <f>0.02*L4661</f>
        <v>0</v>
      </c>
      <c r="O4661" s="32">
        <f>0.00015*L4661</f>
        <v>0</v>
      </c>
      <c r="P4661" s="36"/>
      <c r="Q4661" s="29" t="s">
        <v>15441</v>
      </c>
      <c r="R4661" s="29"/>
      <c r="S4661" s="26" t="str">
        <f>HYPERLINK("https://miland.ru/api/getInfo/image/0fd398ca-74b4-11ef-a265-00155d82e908")</f>
        <v>https://miland.ru/api/getInfo/image/0fd398ca-74b4-11ef-a265-00155d82e908</v>
      </c>
    </row>
    <row r="4662" spans="1:19" s="2" customFormat="1" ht="96.2" customHeight="1" outlineLevel="4">
      <c r="A4662" s="52">
        <v>3673</v>
      </c>
      <c r="B4662" s="26" t="s">
        <v>15442</v>
      </c>
      <c r="C4662" s="66" t="s">
        <v>15443</v>
      </c>
      <c r="D4662" s="66"/>
      <c r="E4662" s="66"/>
      <c r="F4662" s="66"/>
      <c r="G4662" s="27" t="s">
        <v>15444</v>
      </c>
      <c r="H4662" s="28" t="s">
        <v>44</v>
      </c>
      <c r="I4662" s="29"/>
      <c r="J4662" s="25">
        <v>10</v>
      </c>
      <c r="K4662" s="30">
        <v>73.239999999999995</v>
      </c>
      <c r="L4662" s="17"/>
      <c r="M4662" s="29">
        <f t="shared" si="222"/>
        <v>0</v>
      </c>
      <c r="N4662" s="31">
        <f>0.027*L4662</f>
        <v>0</v>
      </c>
      <c r="O4662" s="32">
        <f>0.00007*L4662</f>
        <v>0</v>
      </c>
      <c r="P4662" s="36"/>
      <c r="Q4662" s="29" t="s">
        <v>15445</v>
      </c>
      <c r="R4662" s="29"/>
      <c r="S4662" s="26" t="str">
        <f>HYPERLINK("https://miland.ru/api/getInfo/image/76065364-74b7-11ef-a265-00155d82e908")</f>
        <v>https://miland.ru/api/getInfo/image/76065364-74b7-11ef-a265-00155d82e908</v>
      </c>
    </row>
    <row r="4663" spans="1:19" s="2" customFormat="1" ht="96.2" customHeight="1" outlineLevel="4">
      <c r="A4663" s="52">
        <v>3674</v>
      </c>
      <c r="B4663" s="26" t="s">
        <v>15446</v>
      </c>
      <c r="C4663" s="66" t="s">
        <v>15447</v>
      </c>
      <c r="D4663" s="66"/>
      <c r="E4663" s="66"/>
      <c r="F4663" s="66"/>
      <c r="G4663" s="27" t="s">
        <v>15448</v>
      </c>
      <c r="H4663" s="28" t="s">
        <v>44</v>
      </c>
      <c r="I4663" s="29"/>
      <c r="J4663" s="25">
        <v>10</v>
      </c>
      <c r="K4663" s="30">
        <v>73.239999999999995</v>
      </c>
      <c r="L4663" s="17"/>
      <c r="M4663" s="29">
        <f t="shared" si="222"/>
        <v>0</v>
      </c>
      <c r="N4663" s="31">
        <f>0.016*L4663</f>
        <v>0</v>
      </c>
      <c r="O4663" s="32">
        <f>0.00014*L4663</f>
        <v>0</v>
      </c>
      <c r="P4663" s="36"/>
      <c r="Q4663" s="29" t="s">
        <v>15449</v>
      </c>
      <c r="R4663" s="29"/>
      <c r="S4663" s="26" t="str">
        <f>HYPERLINK("https://miland.ru/api/getInfo/image/16ecb7d5-74b6-11ef-a265-00155d82e908")</f>
        <v>https://miland.ru/api/getInfo/image/16ecb7d5-74b6-11ef-a265-00155d82e908</v>
      </c>
    </row>
    <row r="4664" spans="1:19" s="2" customFormat="1" ht="96.2" customHeight="1" outlineLevel="4">
      <c r="A4664" s="52">
        <v>3675</v>
      </c>
      <c r="B4664" s="26" t="s">
        <v>15450</v>
      </c>
      <c r="C4664" s="66" t="s">
        <v>15451</v>
      </c>
      <c r="D4664" s="66"/>
      <c r="E4664" s="66"/>
      <c r="F4664" s="66"/>
      <c r="G4664" s="27" t="s">
        <v>15452</v>
      </c>
      <c r="H4664" s="28" t="s">
        <v>44</v>
      </c>
      <c r="I4664" s="29"/>
      <c r="J4664" s="25">
        <v>10</v>
      </c>
      <c r="K4664" s="30">
        <v>73.239999999999995</v>
      </c>
      <c r="L4664" s="17"/>
      <c r="M4664" s="29">
        <f t="shared" si="222"/>
        <v>0</v>
      </c>
      <c r="N4664" s="31">
        <f>0.015*L4664</f>
        <v>0</v>
      </c>
      <c r="O4664" s="32">
        <f>0.00008*L4664</f>
        <v>0</v>
      </c>
      <c r="P4664" s="36"/>
      <c r="Q4664" s="29" t="s">
        <v>15453</v>
      </c>
      <c r="R4664" s="29"/>
      <c r="S4664" s="26" t="str">
        <f>HYPERLINK("https://miland.ru/api/getInfo/image/5194a0d4-74b6-11ef-a265-00155d82e908")</f>
        <v>https://miland.ru/api/getInfo/image/5194a0d4-74b6-11ef-a265-00155d82e908</v>
      </c>
    </row>
    <row r="4665" spans="1:19" s="2" customFormat="1" ht="96.2" customHeight="1" outlineLevel="4">
      <c r="A4665" s="52">
        <v>3676</v>
      </c>
      <c r="B4665" s="26" t="s">
        <v>15454</v>
      </c>
      <c r="C4665" s="66" t="s">
        <v>15455</v>
      </c>
      <c r="D4665" s="66"/>
      <c r="E4665" s="66"/>
      <c r="F4665" s="66"/>
      <c r="G4665" s="27" t="s">
        <v>15456</v>
      </c>
      <c r="H4665" s="28" t="s">
        <v>44</v>
      </c>
      <c r="I4665" s="29"/>
      <c r="J4665" s="25">
        <v>16</v>
      </c>
      <c r="K4665" s="30">
        <v>36.619999999999997</v>
      </c>
      <c r="L4665" s="17"/>
      <c r="M4665" s="29">
        <f t="shared" si="222"/>
        <v>0</v>
      </c>
      <c r="N4665" s="31">
        <f>0.027*L4665</f>
        <v>0</v>
      </c>
      <c r="O4665" s="32">
        <f>0.00009*L4665</f>
        <v>0</v>
      </c>
      <c r="P4665" s="36"/>
      <c r="Q4665" s="29" t="s">
        <v>15457</v>
      </c>
      <c r="R4665" s="29"/>
      <c r="S4665" s="26" t="str">
        <f>HYPERLINK("https://miland.ru/api/getInfo/image/50820e99-74ba-11ef-a265-00155d82e908")</f>
        <v>https://miland.ru/api/getInfo/image/50820e99-74ba-11ef-a265-00155d82e908</v>
      </c>
    </row>
    <row r="4666" spans="1:19" s="2" customFormat="1" ht="96.2" customHeight="1" outlineLevel="4">
      <c r="A4666" s="52">
        <v>3677</v>
      </c>
      <c r="B4666" s="26" t="s">
        <v>15458</v>
      </c>
      <c r="C4666" s="66" t="s">
        <v>15459</v>
      </c>
      <c r="D4666" s="66"/>
      <c r="E4666" s="66"/>
      <c r="F4666" s="66"/>
      <c r="G4666" s="27" t="s">
        <v>15460</v>
      </c>
      <c r="H4666" s="28" t="s">
        <v>44</v>
      </c>
      <c r="I4666" s="29"/>
      <c r="J4666" s="25">
        <v>10</v>
      </c>
      <c r="K4666" s="30">
        <v>69.17</v>
      </c>
      <c r="L4666" s="17"/>
      <c r="M4666" s="29">
        <f t="shared" si="222"/>
        <v>0</v>
      </c>
      <c r="N4666" s="31">
        <f>0.016*L4666</f>
        <v>0</v>
      </c>
      <c r="O4666" s="32">
        <f>0.00002*L4666</f>
        <v>0</v>
      </c>
      <c r="P4666" s="36"/>
      <c r="Q4666" s="29" t="s">
        <v>15461</v>
      </c>
      <c r="R4666" s="29"/>
      <c r="S4666" s="26" t="str">
        <f>HYPERLINK("https://miland.ru/api/getInfo/image/3131f1a3-74b9-11ef-a265-00155d82e908")</f>
        <v>https://miland.ru/api/getInfo/image/3131f1a3-74b9-11ef-a265-00155d82e908</v>
      </c>
    </row>
    <row r="4667" spans="1:19" s="2" customFormat="1" ht="96.2" customHeight="1" outlineLevel="4">
      <c r="A4667" s="52">
        <v>3678</v>
      </c>
      <c r="B4667" s="26" t="s">
        <v>15462</v>
      </c>
      <c r="C4667" s="66" t="s">
        <v>15463</v>
      </c>
      <c r="D4667" s="66"/>
      <c r="E4667" s="66"/>
      <c r="F4667" s="66"/>
      <c r="G4667" s="27" t="s">
        <v>15464</v>
      </c>
      <c r="H4667" s="33">
        <v>4</v>
      </c>
      <c r="I4667" s="29"/>
      <c r="J4667" s="25">
        <v>4</v>
      </c>
      <c r="K4667" s="30">
        <v>138.34</v>
      </c>
      <c r="L4667" s="17"/>
      <c r="M4667" s="29">
        <f t="shared" si="222"/>
        <v>0</v>
      </c>
      <c r="N4667" s="31">
        <f>0.038*L4667</f>
        <v>0</v>
      </c>
      <c r="O4667" s="32">
        <f>0.00011*L4667</f>
        <v>0</v>
      </c>
      <c r="P4667" s="36"/>
      <c r="Q4667" s="29" t="s">
        <v>15465</v>
      </c>
      <c r="R4667" s="29"/>
      <c r="S4667" s="26" t="str">
        <f>HYPERLINK("https://miland.ru/api/getInfo/image/56a01639-7431-11ef-a265-00155d82e908")</f>
        <v>https://miland.ru/api/getInfo/image/56a01639-7431-11ef-a265-00155d82e908</v>
      </c>
    </row>
    <row r="4668" spans="1:19" s="2" customFormat="1" ht="96.2" customHeight="1" outlineLevel="4">
      <c r="A4668" s="52">
        <v>3679</v>
      </c>
      <c r="B4668" s="26" t="s">
        <v>15466</v>
      </c>
      <c r="C4668" s="66" t="s">
        <v>15467</v>
      </c>
      <c r="D4668" s="66"/>
      <c r="E4668" s="66"/>
      <c r="F4668" s="66"/>
      <c r="G4668" s="27" t="s">
        <v>15468</v>
      </c>
      <c r="H4668" s="28" t="s">
        <v>44</v>
      </c>
      <c r="I4668" s="29"/>
      <c r="J4668" s="25">
        <v>5</v>
      </c>
      <c r="K4668" s="30">
        <v>138.34</v>
      </c>
      <c r="L4668" s="17"/>
      <c r="M4668" s="29">
        <f t="shared" si="222"/>
        <v>0</v>
      </c>
      <c r="N4668" s="34">
        <f>0.04*L4668</f>
        <v>0</v>
      </c>
      <c r="O4668" s="35">
        <f>0.0001*L4668</f>
        <v>0</v>
      </c>
      <c r="P4668" s="36"/>
      <c r="Q4668" s="29" t="s">
        <v>15469</v>
      </c>
      <c r="R4668" s="29"/>
      <c r="S4668" s="26" t="str">
        <f>HYPERLINK("https://miland.ru/api/getInfo/image/3237dd7a-7431-11ef-a265-00155d82e908")</f>
        <v>https://miland.ru/api/getInfo/image/3237dd7a-7431-11ef-a265-00155d82e908</v>
      </c>
    </row>
    <row r="4669" spans="1:19" s="2" customFormat="1" ht="96.2" customHeight="1" outlineLevel="4">
      <c r="A4669" s="52">
        <v>3680</v>
      </c>
      <c r="B4669" s="26" t="s">
        <v>15470</v>
      </c>
      <c r="C4669" s="66" t="s">
        <v>15471</v>
      </c>
      <c r="D4669" s="66"/>
      <c r="E4669" s="66"/>
      <c r="F4669" s="66"/>
      <c r="G4669" s="27" t="s">
        <v>15472</v>
      </c>
      <c r="H4669" s="28" t="s">
        <v>44</v>
      </c>
      <c r="I4669" s="29"/>
      <c r="J4669" s="25">
        <v>10</v>
      </c>
      <c r="K4669" s="30">
        <v>72.66</v>
      </c>
      <c r="L4669" s="17"/>
      <c r="M4669" s="29">
        <f t="shared" si="222"/>
        <v>0</v>
      </c>
      <c r="N4669" s="31">
        <f>0.024*L4669</f>
        <v>0</v>
      </c>
      <c r="O4669" s="32">
        <f>0.00009*L4669</f>
        <v>0</v>
      </c>
      <c r="P4669" s="36"/>
      <c r="Q4669" s="29" t="s">
        <v>15473</v>
      </c>
      <c r="R4669" s="29"/>
      <c r="S4669" s="26" t="str">
        <f>HYPERLINK("https://miland.ru/api/getInfo/image/f7e286e8-74b9-11ef-a265-00155d82e908")</f>
        <v>https://miland.ru/api/getInfo/image/f7e286e8-74b9-11ef-a265-00155d82e908</v>
      </c>
    </row>
    <row r="4670" spans="1:19" s="2" customFormat="1" ht="96.2" customHeight="1" outlineLevel="4">
      <c r="A4670" s="52">
        <v>3681</v>
      </c>
      <c r="B4670" s="26" t="s">
        <v>15474</v>
      </c>
      <c r="C4670" s="66" t="s">
        <v>15475</v>
      </c>
      <c r="D4670" s="66"/>
      <c r="E4670" s="66"/>
      <c r="F4670" s="66"/>
      <c r="G4670" s="27" t="s">
        <v>15476</v>
      </c>
      <c r="H4670" s="33">
        <v>13</v>
      </c>
      <c r="I4670" s="29"/>
      <c r="J4670" s="25">
        <v>10</v>
      </c>
      <c r="K4670" s="30">
        <v>72.66</v>
      </c>
      <c r="L4670" s="17"/>
      <c r="M4670" s="29">
        <f t="shared" si="222"/>
        <v>0</v>
      </c>
      <c r="N4670" s="31">
        <f>0.039*L4670</f>
        <v>0</v>
      </c>
      <c r="O4670" s="32">
        <f>0.00025*L4670</f>
        <v>0</v>
      </c>
      <c r="P4670" s="36"/>
      <c r="Q4670" s="29" t="s">
        <v>15477</v>
      </c>
      <c r="R4670" s="29"/>
      <c r="S4670" s="26" t="str">
        <f>HYPERLINK("https://miland.ru/api/getInfo/image/d0c75318-74b9-11ef-a265-00155d82e908")</f>
        <v>https://miland.ru/api/getInfo/image/d0c75318-74b9-11ef-a265-00155d82e908</v>
      </c>
    </row>
    <row r="4671" spans="1:19" s="2" customFormat="1" ht="96.2" customHeight="1" outlineLevel="4">
      <c r="A4671" s="52">
        <v>3682</v>
      </c>
      <c r="B4671" s="26" t="s">
        <v>15478</v>
      </c>
      <c r="C4671" s="66" t="s">
        <v>15479</v>
      </c>
      <c r="D4671" s="66"/>
      <c r="E4671" s="66"/>
      <c r="F4671" s="66"/>
      <c r="G4671" s="27" t="s">
        <v>15480</v>
      </c>
      <c r="H4671" s="28" t="s">
        <v>44</v>
      </c>
      <c r="I4671" s="29"/>
      <c r="J4671" s="25">
        <v>10</v>
      </c>
      <c r="K4671" s="30">
        <v>56.96</v>
      </c>
      <c r="L4671" s="17"/>
      <c r="M4671" s="29">
        <f t="shared" si="222"/>
        <v>0</v>
      </c>
      <c r="N4671" s="31">
        <f>0.013*L4671</f>
        <v>0</v>
      </c>
      <c r="O4671" s="35">
        <f>0.0001*L4671</f>
        <v>0</v>
      </c>
      <c r="P4671" s="36"/>
      <c r="Q4671" s="29" t="s">
        <v>15481</v>
      </c>
      <c r="R4671" s="29"/>
      <c r="S4671" s="26" t="str">
        <f>HYPERLINK("https://miland.ru/api/getInfo/image/d3dd5a8c-74ba-11ef-a265-00155d82e908")</f>
        <v>https://miland.ru/api/getInfo/image/d3dd5a8c-74ba-11ef-a265-00155d82e908</v>
      </c>
    </row>
    <row r="4672" spans="1:19" s="2" customFormat="1" ht="96.2" customHeight="1" outlineLevel="4">
      <c r="A4672" s="52">
        <v>3683</v>
      </c>
      <c r="B4672" s="26" t="s">
        <v>15482</v>
      </c>
      <c r="C4672" s="66" t="s">
        <v>15483</v>
      </c>
      <c r="D4672" s="66"/>
      <c r="E4672" s="66"/>
      <c r="F4672" s="66"/>
      <c r="G4672" s="27" t="s">
        <v>15484</v>
      </c>
      <c r="H4672" s="28" t="s">
        <v>44</v>
      </c>
      <c r="I4672" s="29"/>
      <c r="J4672" s="25">
        <v>10</v>
      </c>
      <c r="K4672" s="30">
        <v>56.96</v>
      </c>
      <c r="L4672" s="17"/>
      <c r="M4672" s="29">
        <f t="shared" si="222"/>
        <v>0</v>
      </c>
      <c r="N4672" s="31">
        <f>0.012*L4672</f>
        <v>0</v>
      </c>
      <c r="O4672" s="32">
        <f>0.00007*L4672</f>
        <v>0</v>
      </c>
      <c r="P4672" s="36"/>
      <c r="Q4672" s="29" t="s">
        <v>15485</v>
      </c>
      <c r="R4672" s="29"/>
      <c r="S4672" s="26" t="str">
        <f>HYPERLINK("https://miland.ru/api/getInfo/image/a78c250f-74ba-11ef-a265-00155d82e908")</f>
        <v>https://miland.ru/api/getInfo/image/a78c250f-74ba-11ef-a265-00155d82e908</v>
      </c>
    </row>
    <row r="4673" spans="1:19" s="2" customFormat="1" ht="96.2" customHeight="1" outlineLevel="4">
      <c r="A4673" s="52">
        <v>3684</v>
      </c>
      <c r="B4673" s="26" t="s">
        <v>15486</v>
      </c>
      <c r="C4673" s="66" t="s">
        <v>15487</v>
      </c>
      <c r="D4673" s="66"/>
      <c r="E4673" s="66"/>
      <c r="F4673" s="66"/>
      <c r="G4673" s="27" t="s">
        <v>15488</v>
      </c>
      <c r="H4673" s="33">
        <v>232</v>
      </c>
      <c r="I4673" s="29"/>
      <c r="J4673" s="25">
        <v>10</v>
      </c>
      <c r="K4673" s="30">
        <v>73.239999999999995</v>
      </c>
      <c r="L4673" s="17"/>
      <c r="M4673" s="29">
        <f t="shared" si="222"/>
        <v>0</v>
      </c>
      <c r="N4673" s="31">
        <f>0.021*L4673</f>
        <v>0</v>
      </c>
      <c r="O4673" s="32">
        <f>0.00016*L4673</f>
        <v>0</v>
      </c>
      <c r="P4673" s="36"/>
      <c r="Q4673" s="29" t="s">
        <v>15489</v>
      </c>
      <c r="R4673" s="29"/>
      <c r="S4673" s="26" t="str">
        <f>HYPERLINK("https://miland.ru/api/getInfo/image/c0793dc9-74b5-11ef-a265-00155d82e908")</f>
        <v>https://miland.ru/api/getInfo/image/c0793dc9-74b5-11ef-a265-00155d82e908</v>
      </c>
    </row>
    <row r="4674" spans="1:19" s="2" customFormat="1" ht="96.2" customHeight="1" outlineLevel="4">
      <c r="A4674" s="52">
        <v>3685</v>
      </c>
      <c r="B4674" s="26" t="s">
        <v>15490</v>
      </c>
      <c r="C4674" s="66" t="s">
        <v>15491</v>
      </c>
      <c r="D4674" s="66"/>
      <c r="E4674" s="66"/>
      <c r="F4674" s="66"/>
      <c r="G4674" s="27" t="s">
        <v>15492</v>
      </c>
      <c r="H4674" s="28" t="s">
        <v>44</v>
      </c>
      <c r="I4674" s="29"/>
      <c r="J4674" s="25">
        <v>10</v>
      </c>
      <c r="K4674" s="30">
        <v>73.239999999999995</v>
      </c>
      <c r="L4674" s="17"/>
      <c r="M4674" s="29">
        <f t="shared" si="222"/>
        <v>0</v>
      </c>
      <c r="N4674" s="34">
        <f>0.02*L4674</f>
        <v>0</v>
      </c>
      <c r="O4674" s="32">
        <f>0.00003*L4674</f>
        <v>0</v>
      </c>
      <c r="P4674" s="36"/>
      <c r="Q4674" s="29" t="s">
        <v>15493</v>
      </c>
      <c r="R4674" s="29"/>
      <c r="S4674" s="26" t="str">
        <f>HYPERLINK("https://miland.ru/api/getInfo/image/f482ac6f-74b4-11ef-a265-00155d82e908")</f>
        <v>https://miland.ru/api/getInfo/image/f482ac6f-74b4-11ef-a265-00155d82e908</v>
      </c>
    </row>
    <row r="4675" spans="1:19" s="2" customFormat="1" ht="96.2" customHeight="1" outlineLevel="4">
      <c r="A4675" s="52">
        <v>3686</v>
      </c>
      <c r="B4675" s="26" t="s">
        <v>15494</v>
      </c>
      <c r="C4675" s="66" t="s">
        <v>15495</v>
      </c>
      <c r="D4675" s="66"/>
      <c r="E4675" s="66"/>
      <c r="F4675" s="66"/>
      <c r="G4675" s="27" t="s">
        <v>15496</v>
      </c>
      <c r="H4675" s="28" t="s">
        <v>44</v>
      </c>
      <c r="I4675" s="29"/>
      <c r="J4675" s="25">
        <v>10</v>
      </c>
      <c r="K4675" s="30">
        <v>73.239999999999995</v>
      </c>
      <c r="L4675" s="17"/>
      <c r="M4675" s="29">
        <f t="shared" si="222"/>
        <v>0</v>
      </c>
      <c r="N4675" s="31">
        <f>0.021*L4675</f>
        <v>0</v>
      </c>
      <c r="O4675" s="32">
        <f>0.00014*L4675</f>
        <v>0</v>
      </c>
      <c r="P4675" s="36"/>
      <c r="Q4675" s="29" t="s">
        <v>15497</v>
      </c>
      <c r="R4675" s="29"/>
      <c r="S4675" s="26" t="str">
        <f>HYPERLINK("https://miland.ru/api/getInfo/image/645179fa-74b5-11ef-a265-00155d82e908")</f>
        <v>https://miland.ru/api/getInfo/image/645179fa-74b5-11ef-a265-00155d82e908</v>
      </c>
    </row>
    <row r="4676" spans="1:19" s="2" customFormat="1" ht="96.2" customHeight="1" outlineLevel="4">
      <c r="A4676" s="52">
        <v>3687</v>
      </c>
      <c r="B4676" s="26" t="s">
        <v>15498</v>
      </c>
      <c r="C4676" s="66" t="s">
        <v>15499</v>
      </c>
      <c r="D4676" s="66"/>
      <c r="E4676" s="66"/>
      <c r="F4676" s="66"/>
      <c r="G4676" s="27" t="s">
        <v>15500</v>
      </c>
      <c r="H4676" s="28" t="s">
        <v>44</v>
      </c>
      <c r="I4676" s="29"/>
      <c r="J4676" s="25">
        <v>10</v>
      </c>
      <c r="K4676" s="30">
        <v>73.239999999999995</v>
      </c>
      <c r="L4676" s="17"/>
      <c r="M4676" s="29">
        <f t="shared" si="222"/>
        <v>0</v>
      </c>
      <c r="N4676" s="31">
        <f>0.021*L4676</f>
        <v>0</v>
      </c>
      <c r="O4676" s="32">
        <f>0.00012*L4676</f>
        <v>0</v>
      </c>
      <c r="P4676" s="36"/>
      <c r="Q4676" s="29" t="s">
        <v>15501</v>
      </c>
      <c r="R4676" s="29" t="s">
        <v>611</v>
      </c>
      <c r="S4676" s="26" t="str">
        <f>HYPERLINK("https://miland.ru/api/getInfo/image/9fbfe7b1-74b5-11ef-a265-00155d82e908")</f>
        <v>https://miland.ru/api/getInfo/image/9fbfe7b1-74b5-11ef-a265-00155d82e908</v>
      </c>
    </row>
    <row r="4677" spans="1:19" s="2" customFormat="1" ht="96.2" customHeight="1" outlineLevel="4">
      <c r="A4677" s="52">
        <v>3688</v>
      </c>
      <c r="B4677" s="26" t="s">
        <v>15502</v>
      </c>
      <c r="C4677" s="66" t="s">
        <v>15503</v>
      </c>
      <c r="D4677" s="66"/>
      <c r="E4677" s="66"/>
      <c r="F4677" s="66"/>
      <c r="G4677" s="27" t="s">
        <v>15504</v>
      </c>
      <c r="H4677" s="28" t="s">
        <v>44</v>
      </c>
      <c r="I4677" s="29"/>
      <c r="J4677" s="25">
        <v>10</v>
      </c>
      <c r="K4677" s="30">
        <v>59.04</v>
      </c>
      <c r="L4677" s="17"/>
      <c r="M4677" s="29">
        <f t="shared" si="222"/>
        <v>0</v>
      </c>
      <c r="N4677" s="31">
        <f>0.014*L4677</f>
        <v>0</v>
      </c>
      <c r="O4677" s="32">
        <f>0.00669*L4677</f>
        <v>0</v>
      </c>
      <c r="P4677" s="36"/>
      <c r="Q4677" s="29" t="s">
        <v>15505</v>
      </c>
      <c r="R4677" s="29"/>
      <c r="S4677" s="26" t="str">
        <f>HYPERLINK("https://miland.ru/api/getInfo/image/2f15e79e-7432-11ef-a265-00155d82e908")</f>
        <v>https://miland.ru/api/getInfo/image/2f15e79e-7432-11ef-a265-00155d82e908</v>
      </c>
    </row>
    <row r="4678" spans="1:19" s="2" customFormat="1" ht="96.2" customHeight="1" outlineLevel="4">
      <c r="A4678" s="52">
        <v>3689</v>
      </c>
      <c r="B4678" s="26" t="s">
        <v>15506</v>
      </c>
      <c r="C4678" s="66" t="s">
        <v>15507</v>
      </c>
      <c r="D4678" s="66"/>
      <c r="E4678" s="66"/>
      <c r="F4678" s="66"/>
      <c r="G4678" s="27" t="s">
        <v>15508</v>
      </c>
      <c r="H4678" s="28" t="s">
        <v>44</v>
      </c>
      <c r="I4678" s="29"/>
      <c r="J4678" s="25">
        <v>10</v>
      </c>
      <c r="K4678" s="30">
        <v>59.04</v>
      </c>
      <c r="L4678" s="17"/>
      <c r="M4678" s="29">
        <f t="shared" si="222"/>
        <v>0</v>
      </c>
      <c r="N4678" s="31">
        <f>0.014*L4678</f>
        <v>0</v>
      </c>
      <c r="O4678" s="32">
        <f>0.00017*L4678</f>
        <v>0</v>
      </c>
      <c r="P4678" s="36"/>
      <c r="Q4678" s="29" t="s">
        <v>15509</v>
      </c>
      <c r="R4678" s="29"/>
      <c r="S4678" s="26" t="str">
        <f>HYPERLINK("https://miland.ru/api/getInfo/image/5446ee56-7432-11ef-a265-00155d82e908")</f>
        <v>https://miland.ru/api/getInfo/image/5446ee56-7432-11ef-a265-00155d82e908</v>
      </c>
    </row>
    <row r="4679" spans="1:19" s="2" customFormat="1" ht="96.2" customHeight="1" outlineLevel="4">
      <c r="A4679" s="52">
        <v>3690</v>
      </c>
      <c r="B4679" s="26" t="s">
        <v>15510</v>
      </c>
      <c r="C4679" s="66" t="s">
        <v>15511</v>
      </c>
      <c r="D4679" s="66"/>
      <c r="E4679" s="66"/>
      <c r="F4679" s="66"/>
      <c r="G4679" s="27" t="s">
        <v>15512</v>
      </c>
      <c r="H4679" s="28" t="s">
        <v>44</v>
      </c>
      <c r="I4679" s="29"/>
      <c r="J4679" s="25">
        <v>10</v>
      </c>
      <c r="K4679" s="30">
        <v>65.099999999999994</v>
      </c>
      <c r="L4679" s="17"/>
      <c r="M4679" s="29">
        <f t="shared" si="222"/>
        <v>0</v>
      </c>
      <c r="N4679" s="31">
        <f>0.019*L4679</f>
        <v>0</v>
      </c>
      <c r="O4679" s="35">
        <f>0.0007*L4679</f>
        <v>0</v>
      </c>
      <c r="P4679" s="36"/>
      <c r="Q4679" s="29" t="s">
        <v>15513</v>
      </c>
      <c r="R4679" s="29"/>
      <c r="S4679" s="26" t="str">
        <f>HYPERLINK("https://miland.ru/api/getInfo/image/db442778-74b7-11ef-a265-00155d82e908")</f>
        <v>https://miland.ru/api/getInfo/image/db442778-74b7-11ef-a265-00155d82e908</v>
      </c>
    </row>
    <row r="4680" spans="1:19" s="2" customFormat="1" ht="96.2" customHeight="1" outlineLevel="4">
      <c r="A4680" s="52">
        <v>3691</v>
      </c>
      <c r="B4680" s="26" t="s">
        <v>15514</v>
      </c>
      <c r="C4680" s="66" t="s">
        <v>15515</v>
      </c>
      <c r="D4680" s="66"/>
      <c r="E4680" s="66"/>
      <c r="F4680" s="66"/>
      <c r="G4680" s="27" t="s">
        <v>15516</v>
      </c>
      <c r="H4680" s="28" t="s">
        <v>44</v>
      </c>
      <c r="I4680" s="29"/>
      <c r="J4680" s="25">
        <v>10</v>
      </c>
      <c r="K4680" s="30">
        <v>65.099999999999994</v>
      </c>
      <c r="L4680" s="17"/>
      <c r="M4680" s="29">
        <f t="shared" si="222"/>
        <v>0</v>
      </c>
      <c r="N4680" s="31">
        <f>0.019*L4680</f>
        <v>0</v>
      </c>
      <c r="O4680" s="32">
        <f>0.00003*L4680</f>
        <v>0</v>
      </c>
      <c r="P4680" s="36"/>
      <c r="Q4680" s="29" t="s">
        <v>15517</v>
      </c>
      <c r="R4680" s="29"/>
      <c r="S4680" s="26" t="str">
        <f>HYPERLINK("https://miland.ru/api/getInfo/image/2f467bfd-74b8-11ef-a265-00155d82e908")</f>
        <v>https://miland.ru/api/getInfo/image/2f467bfd-74b8-11ef-a265-00155d82e908</v>
      </c>
    </row>
    <row r="4681" spans="1:19" s="2" customFormat="1" ht="96.2" customHeight="1" outlineLevel="4">
      <c r="A4681" s="52">
        <v>3692</v>
      </c>
      <c r="B4681" s="26" t="s">
        <v>15518</v>
      </c>
      <c r="C4681" s="66" t="s">
        <v>15519</v>
      </c>
      <c r="D4681" s="66"/>
      <c r="E4681" s="66"/>
      <c r="F4681" s="66"/>
      <c r="G4681" s="27" t="s">
        <v>15520</v>
      </c>
      <c r="H4681" s="28" t="s">
        <v>44</v>
      </c>
      <c r="I4681" s="29"/>
      <c r="J4681" s="25">
        <v>10</v>
      </c>
      <c r="K4681" s="30">
        <v>65.099999999999994</v>
      </c>
      <c r="L4681" s="17"/>
      <c r="M4681" s="29">
        <f t="shared" si="222"/>
        <v>0</v>
      </c>
      <c r="N4681" s="31">
        <f>0.016*L4681</f>
        <v>0</v>
      </c>
      <c r="O4681" s="32">
        <f>0.00017*L4681</f>
        <v>0</v>
      </c>
      <c r="P4681" s="36"/>
      <c r="Q4681" s="29" t="s">
        <v>15521</v>
      </c>
      <c r="R4681" s="29"/>
      <c r="S4681" s="26" t="str">
        <f>HYPERLINK("https://miland.ru/api/getInfo/image/0a29b108-74b8-11ef-a265-00155d82e908")</f>
        <v>https://miland.ru/api/getInfo/image/0a29b108-74b8-11ef-a265-00155d82e908</v>
      </c>
    </row>
    <row r="4682" spans="1:19" s="2" customFormat="1" ht="96.2" customHeight="1" outlineLevel="4">
      <c r="A4682" s="52">
        <v>3693</v>
      </c>
      <c r="B4682" s="26" t="s">
        <v>15522</v>
      </c>
      <c r="C4682" s="66" t="s">
        <v>15523</v>
      </c>
      <c r="D4682" s="66"/>
      <c r="E4682" s="66"/>
      <c r="F4682" s="66"/>
      <c r="G4682" s="27" t="s">
        <v>15524</v>
      </c>
      <c r="H4682" s="28" t="s">
        <v>44</v>
      </c>
      <c r="I4682" s="29"/>
      <c r="J4682" s="25">
        <v>12</v>
      </c>
      <c r="K4682" s="30">
        <v>54.58</v>
      </c>
      <c r="L4682" s="17"/>
      <c r="M4682" s="29">
        <f t="shared" si="222"/>
        <v>0</v>
      </c>
      <c r="N4682" s="31">
        <f>0.038*L4682</f>
        <v>0</v>
      </c>
      <c r="O4682" s="32">
        <f>0.00054*L4682</f>
        <v>0</v>
      </c>
      <c r="P4682" s="36"/>
      <c r="Q4682" s="29" t="s">
        <v>15525</v>
      </c>
      <c r="R4682" s="29"/>
      <c r="S4682" s="26" t="str">
        <f>HYPERLINK("https://miland.ru/api/getInfo/image/9886be9e-af58-11e7-b8ef-5cf3fc4a2490")</f>
        <v>https://miland.ru/api/getInfo/image/9886be9e-af58-11e7-b8ef-5cf3fc4a2490</v>
      </c>
    </row>
    <row r="4683" spans="1:19" s="2" customFormat="1" ht="96.2" customHeight="1" outlineLevel="4">
      <c r="A4683" s="52">
        <v>3694</v>
      </c>
      <c r="B4683" s="26" t="s">
        <v>15526</v>
      </c>
      <c r="C4683" s="66" t="s">
        <v>15527</v>
      </c>
      <c r="D4683" s="66"/>
      <c r="E4683" s="66"/>
      <c r="F4683" s="66"/>
      <c r="G4683" s="27" t="s">
        <v>15528</v>
      </c>
      <c r="H4683" s="33">
        <v>2</v>
      </c>
      <c r="I4683" s="29"/>
      <c r="J4683" s="25">
        <v>2</v>
      </c>
      <c r="K4683" s="30">
        <v>54.58</v>
      </c>
      <c r="L4683" s="17"/>
      <c r="M4683" s="29">
        <f t="shared" si="222"/>
        <v>0</v>
      </c>
      <c r="N4683" s="31">
        <f>0.034*L4683</f>
        <v>0</v>
      </c>
      <c r="O4683" s="35">
        <f>0.0003*L4683</f>
        <v>0</v>
      </c>
      <c r="P4683" s="36"/>
      <c r="Q4683" s="29" t="s">
        <v>15529</v>
      </c>
      <c r="R4683" s="29" t="s">
        <v>611</v>
      </c>
      <c r="S4683" s="26" t="str">
        <f>HYPERLINK("https://miland.ru/api/getInfo/image/890dc81e-af58-11e7-b8ef-5cf3fc4a2490")</f>
        <v>https://miland.ru/api/getInfo/image/890dc81e-af58-11e7-b8ef-5cf3fc4a2490</v>
      </c>
    </row>
    <row r="4684" spans="1:19" s="2" customFormat="1" ht="96.2" customHeight="1" outlineLevel="4">
      <c r="A4684" s="52">
        <v>3695</v>
      </c>
      <c r="B4684" s="26" t="s">
        <v>15530</v>
      </c>
      <c r="C4684" s="66" t="s">
        <v>15531</v>
      </c>
      <c r="D4684" s="66"/>
      <c r="E4684" s="66"/>
      <c r="F4684" s="66"/>
      <c r="G4684" s="27" t="s">
        <v>15532</v>
      </c>
      <c r="H4684" s="28" t="s">
        <v>44</v>
      </c>
      <c r="I4684" s="29"/>
      <c r="J4684" s="25">
        <v>12</v>
      </c>
      <c r="K4684" s="30">
        <v>54.58</v>
      </c>
      <c r="L4684" s="17"/>
      <c r="M4684" s="29">
        <f t="shared" si="222"/>
        <v>0</v>
      </c>
      <c r="N4684" s="31">
        <f>0.032*L4684</f>
        <v>0</v>
      </c>
      <c r="O4684" s="32">
        <f>0.00082*L4684</f>
        <v>0</v>
      </c>
      <c r="P4684" s="36"/>
      <c r="Q4684" s="29" t="s">
        <v>15533</v>
      </c>
      <c r="R4684" s="29"/>
      <c r="S4684" s="26" t="str">
        <f>HYPERLINK("https://miland.ru/api/getInfo/image/7f5b09eb-af58-11e7-b8ef-5cf3fc4a2490")</f>
        <v>https://miland.ru/api/getInfo/image/7f5b09eb-af58-11e7-b8ef-5cf3fc4a2490</v>
      </c>
    </row>
    <row r="4685" spans="1:19" s="2" customFormat="1" ht="96.2" customHeight="1" outlineLevel="4">
      <c r="A4685" s="52">
        <v>3696</v>
      </c>
      <c r="B4685" s="26" t="s">
        <v>15534</v>
      </c>
      <c r="C4685" s="66" t="s">
        <v>15535</v>
      </c>
      <c r="D4685" s="66"/>
      <c r="E4685" s="66"/>
      <c r="F4685" s="66"/>
      <c r="G4685" s="27" t="s">
        <v>15536</v>
      </c>
      <c r="H4685" s="28" t="s">
        <v>44</v>
      </c>
      <c r="I4685" s="29"/>
      <c r="J4685" s="25">
        <v>12</v>
      </c>
      <c r="K4685" s="30">
        <v>48.27</v>
      </c>
      <c r="L4685" s="17"/>
      <c r="M4685" s="29">
        <f t="shared" si="222"/>
        <v>0</v>
      </c>
      <c r="N4685" s="31">
        <f>0.028*L4685</f>
        <v>0</v>
      </c>
      <c r="O4685" s="32">
        <f>0.00088*L4685</f>
        <v>0</v>
      </c>
      <c r="P4685" s="36"/>
      <c r="Q4685" s="29" t="s">
        <v>15537</v>
      </c>
      <c r="R4685" s="29"/>
      <c r="S4685" s="26" t="str">
        <f>HYPERLINK("https://miland.ru/api/getInfo/image/5bf874d0-d6f6-11e5-98ff-5cf3fc4a2490")</f>
        <v>https://miland.ru/api/getInfo/image/5bf874d0-d6f6-11e5-98ff-5cf3fc4a2490</v>
      </c>
    </row>
    <row r="4686" spans="1:19" s="2" customFormat="1" ht="96.2" customHeight="1" outlineLevel="4">
      <c r="A4686" s="52">
        <v>3697</v>
      </c>
      <c r="B4686" s="26" t="s">
        <v>15538</v>
      </c>
      <c r="C4686" s="66" t="s">
        <v>15539</v>
      </c>
      <c r="D4686" s="66"/>
      <c r="E4686" s="66"/>
      <c r="F4686" s="66"/>
      <c r="G4686" s="27" t="s">
        <v>15540</v>
      </c>
      <c r="H4686" s="33">
        <v>3</v>
      </c>
      <c r="I4686" s="29"/>
      <c r="J4686" s="25">
        <v>3</v>
      </c>
      <c r="K4686" s="30">
        <v>37.840000000000003</v>
      </c>
      <c r="L4686" s="17"/>
      <c r="M4686" s="29">
        <f t="shared" si="222"/>
        <v>0</v>
      </c>
      <c r="N4686" s="31">
        <f>0.012*L4686</f>
        <v>0</v>
      </c>
      <c r="O4686" s="32">
        <f>0.00041*L4686</f>
        <v>0</v>
      </c>
      <c r="P4686" s="36"/>
      <c r="Q4686" s="29" t="s">
        <v>15541</v>
      </c>
      <c r="R4686" s="29"/>
      <c r="S4686" s="26" t="str">
        <f>HYPERLINK("https://miland.ru/api/getInfo/image/71cc1f87-986b-11eb-a201-ac1f6b442185")</f>
        <v>https://miland.ru/api/getInfo/image/71cc1f87-986b-11eb-a201-ac1f6b442185</v>
      </c>
    </row>
    <row r="4687" spans="1:19" s="2" customFormat="1" ht="96.2" customHeight="1" outlineLevel="4">
      <c r="A4687" s="52">
        <v>3698</v>
      </c>
      <c r="B4687" s="26" t="s">
        <v>15542</v>
      </c>
      <c r="C4687" s="66" t="s">
        <v>15543</v>
      </c>
      <c r="D4687" s="66"/>
      <c r="E4687" s="66"/>
      <c r="F4687" s="66"/>
      <c r="G4687" s="27" t="s">
        <v>15544</v>
      </c>
      <c r="H4687" s="28" t="s">
        <v>44</v>
      </c>
      <c r="I4687" s="29"/>
      <c r="J4687" s="25">
        <v>12</v>
      </c>
      <c r="K4687" s="30">
        <v>37.840000000000003</v>
      </c>
      <c r="L4687" s="17"/>
      <c r="M4687" s="29">
        <f t="shared" si="222"/>
        <v>0</v>
      </c>
      <c r="N4687" s="31">
        <f>0.015*L4687</f>
        <v>0</v>
      </c>
      <c r="O4687" s="32">
        <f>0.00042*L4687</f>
        <v>0</v>
      </c>
      <c r="P4687" s="36"/>
      <c r="Q4687" s="29" t="s">
        <v>15545</v>
      </c>
      <c r="R4687" s="29"/>
      <c r="S4687" s="26" t="str">
        <f>HYPERLINK("https://miland.ru/api/getInfo/image/46009af5-986d-11eb-a201-ac1f6b442185")</f>
        <v>https://miland.ru/api/getInfo/image/46009af5-986d-11eb-a201-ac1f6b442185</v>
      </c>
    </row>
    <row r="4688" spans="1:19" s="2" customFormat="1" ht="96.2" customHeight="1" outlineLevel="4">
      <c r="A4688" s="52">
        <v>3699</v>
      </c>
      <c r="B4688" s="26" t="s">
        <v>15546</v>
      </c>
      <c r="C4688" s="66" t="s">
        <v>15547</v>
      </c>
      <c r="D4688" s="66"/>
      <c r="E4688" s="66"/>
      <c r="F4688" s="66"/>
      <c r="G4688" s="27" t="s">
        <v>15548</v>
      </c>
      <c r="H4688" s="28" t="s">
        <v>44</v>
      </c>
      <c r="I4688" s="29"/>
      <c r="J4688" s="25">
        <v>12</v>
      </c>
      <c r="K4688" s="30">
        <v>37.840000000000003</v>
      </c>
      <c r="L4688" s="17"/>
      <c r="M4688" s="29">
        <f t="shared" si="222"/>
        <v>0</v>
      </c>
      <c r="N4688" s="31">
        <f>0.013*L4688</f>
        <v>0</v>
      </c>
      <c r="O4688" s="32">
        <f>0.00002*L4688</f>
        <v>0</v>
      </c>
      <c r="P4688" s="36"/>
      <c r="Q4688" s="29" t="s">
        <v>15549</v>
      </c>
      <c r="R4688" s="29"/>
      <c r="S4688" s="26" t="str">
        <f>HYPERLINK("https://miland.ru/api/getInfo/image/d299c471-986b-11eb-a201-ac1f6b442185")</f>
        <v>https://miland.ru/api/getInfo/image/d299c471-986b-11eb-a201-ac1f6b442185</v>
      </c>
    </row>
    <row r="4689" spans="1:19" s="2" customFormat="1" ht="96.2" customHeight="1" outlineLevel="4">
      <c r="A4689" s="52">
        <v>3700</v>
      </c>
      <c r="B4689" s="26" t="s">
        <v>15550</v>
      </c>
      <c r="C4689" s="66" t="s">
        <v>15551</v>
      </c>
      <c r="D4689" s="66"/>
      <c r="E4689" s="66"/>
      <c r="F4689" s="66"/>
      <c r="G4689" s="27" t="s">
        <v>15552</v>
      </c>
      <c r="H4689" s="28" t="s">
        <v>44</v>
      </c>
      <c r="I4689" s="29"/>
      <c r="J4689" s="25">
        <v>12</v>
      </c>
      <c r="K4689" s="30">
        <v>37.840000000000003</v>
      </c>
      <c r="L4689" s="17"/>
      <c r="M4689" s="29">
        <f t="shared" si="222"/>
        <v>0</v>
      </c>
      <c r="N4689" s="31">
        <f>0.012*L4689</f>
        <v>0</v>
      </c>
      <c r="O4689" s="32">
        <f>0.00041*L4689</f>
        <v>0</v>
      </c>
      <c r="P4689" s="36"/>
      <c r="Q4689" s="29" t="s">
        <v>15553</v>
      </c>
      <c r="R4689" s="29"/>
      <c r="S4689" s="26" t="str">
        <f>HYPERLINK("https://miland.ru/api/getInfo/image/bab9a9e7-986a-11eb-a201-ac1f6b442185")</f>
        <v>https://miland.ru/api/getInfo/image/bab9a9e7-986a-11eb-a201-ac1f6b442185</v>
      </c>
    </row>
    <row r="4690" spans="1:19" s="2" customFormat="1" ht="96.2" customHeight="1" outlineLevel="4">
      <c r="A4690" s="52">
        <v>3701</v>
      </c>
      <c r="B4690" s="26" t="s">
        <v>15554</v>
      </c>
      <c r="C4690" s="66" t="s">
        <v>15555</v>
      </c>
      <c r="D4690" s="66"/>
      <c r="E4690" s="66"/>
      <c r="F4690" s="66"/>
      <c r="G4690" s="27" t="s">
        <v>15556</v>
      </c>
      <c r="H4690" s="28" t="s">
        <v>44</v>
      </c>
      <c r="I4690" s="29"/>
      <c r="J4690" s="25">
        <v>12</v>
      </c>
      <c r="K4690" s="30">
        <v>37.840000000000003</v>
      </c>
      <c r="L4690" s="17"/>
      <c r="M4690" s="29">
        <f t="shared" si="222"/>
        <v>0</v>
      </c>
      <c r="N4690" s="31">
        <f>0.012*L4690</f>
        <v>0</v>
      </c>
      <c r="O4690" s="32">
        <f>0.00041*L4690</f>
        <v>0</v>
      </c>
      <c r="P4690" s="36"/>
      <c r="Q4690" s="29" t="s">
        <v>15557</v>
      </c>
      <c r="R4690" s="29"/>
      <c r="S4690" s="26" t="str">
        <f>HYPERLINK("https://miland.ru/api/getInfo/image/1b27cc4f-986b-11eb-a201-ac1f6b442185")</f>
        <v>https://miland.ru/api/getInfo/image/1b27cc4f-986b-11eb-a201-ac1f6b442185</v>
      </c>
    </row>
    <row r="4691" spans="1:19" s="1" customFormat="1" ht="12" customHeight="1" outlineLevel="3">
      <c r="A4691" s="64" t="s">
        <v>15558</v>
      </c>
      <c r="B4691" s="64"/>
      <c r="C4691" s="64"/>
      <c r="D4691" s="64"/>
      <c r="E4691" s="64"/>
      <c r="F4691" s="64"/>
      <c r="G4691" s="8"/>
      <c r="H4691" s="12"/>
      <c r="I4691" s="2"/>
      <c r="J4691" s="2"/>
      <c r="K4691" s="13"/>
      <c r="L4691" s="2"/>
      <c r="M4691" s="2"/>
      <c r="N4691" s="2"/>
      <c r="O4691" s="2"/>
      <c r="P4691" s="2"/>
      <c r="Q4691" s="2"/>
      <c r="R4691" s="2"/>
      <c r="S4691" s="2"/>
    </row>
    <row r="4692" spans="1:19" s="2" customFormat="1" ht="96.2" customHeight="1" outlineLevel="4">
      <c r="A4692" s="52">
        <v>3702</v>
      </c>
      <c r="B4692" s="26" t="s">
        <v>15559</v>
      </c>
      <c r="C4692" s="66" t="s">
        <v>15560</v>
      </c>
      <c r="D4692" s="66"/>
      <c r="E4692" s="66"/>
      <c r="F4692" s="66"/>
      <c r="G4692" s="27" t="s">
        <v>15561</v>
      </c>
      <c r="H4692" s="28" t="s">
        <v>44</v>
      </c>
      <c r="I4692" s="29"/>
      <c r="J4692" s="25">
        <v>4</v>
      </c>
      <c r="K4692" s="30">
        <v>173.37</v>
      </c>
      <c r="L4692" s="17"/>
      <c r="M4692" s="29">
        <f t="shared" ref="M4692:M4698" si="223">K4692*L4692</f>
        <v>0</v>
      </c>
      <c r="N4692" s="31">
        <f>0.047*L4692</f>
        <v>0</v>
      </c>
      <c r="O4692" s="32">
        <f>0.00157*L4692</f>
        <v>0</v>
      </c>
      <c r="P4692" s="36"/>
      <c r="Q4692" s="29" t="s">
        <v>15562</v>
      </c>
      <c r="R4692" s="29"/>
      <c r="S4692" s="26" t="str">
        <f>HYPERLINK("https://miland.ru/api/getInfo/image/859f6c07-dbf3-11ec-a213-ac1f6b442185")</f>
        <v>https://miland.ru/api/getInfo/image/859f6c07-dbf3-11ec-a213-ac1f6b442185</v>
      </c>
    </row>
    <row r="4693" spans="1:19" s="2" customFormat="1" ht="96.2" customHeight="1" outlineLevel="4">
      <c r="A4693" s="52">
        <v>3703</v>
      </c>
      <c r="B4693" s="26" t="s">
        <v>15563</v>
      </c>
      <c r="C4693" s="66" t="s">
        <v>15564</v>
      </c>
      <c r="D4693" s="66"/>
      <c r="E4693" s="66"/>
      <c r="F4693" s="66"/>
      <c r="G4693" s="27" t="s">
        <v>15565</v>
      </c>
      <c r="H4693" s="28" t="s">
        <v>44</v>
      </c>
      <c r="I4693" s="29"/>
      <c r="J4693" s="25">
        <v>4</v>
      </c>
      <c r="K4693" s="30">
        <v>173.37</v>
      </c>
      <c r="L4693" s="17"/>
      <c r="M4693" s="29">
        <f t="shared" si="223"/>
        <v>0</v>
      </c>
      <c r="N4693" s="31">
        <f>0.039*L4693</f>
        <v>0</v>
      </c>
      <c r="O4693" s="32">
        <f>0.00049*L4693</f>
        <v>0</v>
      </c>
      <c r="P4693" s="36"/>
      <c r="Q4693" s="29" t="s">
        <v>15566</v>
      </c>
      <c r="R4693" s="29"/>
      <c r="S4693" s="26" t="str">
        <f>HYPERLINK("https://miland.ru/api/getInfo/image/e1401349-db45-11ec-a213-ac1f6b442185")</f>
        <v>https://miland.ru/api/getInfo/image/e1401349-db45-11ec-a213-ac1f6b442185</v>
      </c>
    </row>
    <row r="4694" spans="1:19" s="2" customFormat="1" ht="96.2" customHeight="1" outlineLevel="4">
      <c r="A4694" s="52">
        <v>3704</v>
      </c>
      <c r="B4694" s="26" t="s">
        <v>15567</v>
      </c>
      <c r="C4694" s="66" t="s">
        <v>15568</v>
      </c>
      <c r="D4694" s="66"/>
      <c r="E4694" s="66"/>
      <c r="F4694" s="66"/>
      <c r="G4694" s="27" t="s">
        <v>15569</v>
      </c>
      <c r="H4694" s="33">
        <v>430</v>
      </c>
      <c r="I4694" s="29"/>
      <c r="J4694" s="25">
        <v>7</v>
      </c>
      <c r="K4694" s="30">
        <v>93.72</v>
      </c>
      <c r="L4694" s="17"/>
      <c r="M4694" s="29">
        <f t="shared" si="223"/>
        <v>0</v>
      </c>
      <c r="N4694" s="31">
        <f>0.033*L4694</f>
        <v>0</v>
      </c>
      <c r="O4694" s="32">
        <f>0.00094*L4694</f>
        <v>0</v>
      </c>
      <c r="P4694" s="36"/>
      <c r="Q4694" s="29" t="s">
        <v>15570</v>
      </c>
      <c r="R4694" s="29"/>
      <c r="S4694" s="26" t="str">
        <f>HYPERLINK("https://miland.ru/api/getInfo/image/2979a238-c988-11e9-a233-ac1f6b442184")</f>
        <v>https://miland.ru/api/getInfo/image/2979a238-c988-11e9-a233-ac1f6b442184</v>
      </c>
    </row>
    <row r="4695" spans="1:19" s="2" customFormat="1" ht="96.2" customHeight="1" outlineLevel="4">
      <c r="A4695" s="52">
        <v>3705</v>
      </c>
      <c r="B4695" s="26" t="s">
        <v>15571</v>
      </c>
      <c r="C4695" s="66" t="s">
        <v>15572</v>
      </c>
      <c r="D4695" s="66"/>
      <c r="E4695" s="66"/>
      <c r="F4695" s="66"/>
      <c r="G4695" s="27" t="s">
        <v>15573</v>
      </c>
      <c r="H4695" s="28" t="s">
        <v>44</v>
      </c>
      <c r="I4695" s="29"/>
      <c r="J4695" s="25">
        <v>7</v>
      </c>
      <c r="K4695" s="30">
        <v>93.72</v>
      </c>
      <c r="L4695" s="17"/>
      <c r="M4695" s="29">
        <f t="shared" si="223"/>
        <v>0</v>
      </c>
      <c r="N4695" s="31">
        <f>0.025*L4695</f>
        <v>0</v>
      </c>
      <c r="O4695" s="32">
        <f>0.00001*L4695</f>
        <v>0</v>
      </c>
      <c r="P4695" s="36"/>
      <c r="Q4695" s="29" t="s">
        <v>15574</v>
      </c>
      <c r="R4695" s="29"/>
      <c r="S4695" s="26" t="str">
        <f>HYPERLINK("https://miland.ru/api/getInfo/image/07604282-c988-11e9-a233-ac1f6b442184")</f>
        <v>https://miland.ru/api/getInfo/image/07604282-c988-11e9-a233-ac1f6b442184</v>
      </c>
    </row>
    <row r="4696" spans="1:19" s="2" customFormat="1" ht="96.2" customHeight="1" outlineLevel="4">
      <c r="A4696" s="52">
        <v>3706</v>
      </c>
      <c r="B4696" s="26" t="s">
        <v>15575</v>
      </c>
      <c r="C4696" s="66" t="s">
        <v>15576</v>
      </c>
      <c r="D4696" s="66"/>
      <c r="E4696" s="66"/>
      <c r="F4696" s="66"/>
      <c r="G4696" s="27" t="s">
        <v>15577</v>
      </c>
      <c r="H4696" s="28" t="s">
        <v>44</v>
      </c>
      <c r="I4696" s="29"/>
      <c r="J4696" s="25">
        <v>7</v>
      </c>
      <c r="K4696" s="30">
        <v>92.14</v>
      </c>
      <c r="L4696" s="17"/>
      <c r="M4696" s="29">
        <f t="shared" si="223"/>
        <v>0</v>
      </c>
      <c r="N4696" s="31">
        <f>0.046*L4696</f>
        <v>0</v>
      </c>
      <c r="O4696" s="32">
        <f>0.00028*L4696</f>
        <v>0</v>
      </c>
      <c r="P4696" s="36"/>
      <c r="Q4696" s="29" t="s">
        <v>15578</v>
      </c>
      <c r="R4696" s="29"/>
      <c r="S4696" s="26" t="str">
        <f>HYPERLINK("https://miland.ru/api/getInfo/image/d7512cbe-1b5c-11ea-a237-ac1f6b442184")</f>
        <v>https://miland.ru/api/getInfo/image/d7512cbe-1b5c-11ea-a237-ac1f6b442184</v>
      </c>
    </row>
    <row r="4697" spans="1:19" s="2" customFormat="1" ht="96.2" customHeight="1" outlineLevel="4">
      <c r="A4697" s="52">
        <v>3707</v>
      </c>
      <c r="B4697" s="26" t="s">
        <v>15579</v>
      </c>
      <c r="C4697" s="66" t="s">
        <v>15580</v>
      </c>
      <c r="D4697" s="66"/>
      <c r="E4697" s="66"/>
      <c r="F4697" s="66"/>
      <c r="G4697" s="27" t="s">
        <v>15581</v>
      </c>
      <c r="H4697" s="28" t="s">
        <v>44</v>
      </c>
      <c r="I4697" s="29"/>
      <c r="J4697" s="25">
        <v>6</v>
      </c>
      <c r="K4697" s="30">
        <v>111.52</v>
      </c>
      <c r="L4697" s="17"/>
      <c r="M4697" s="29">
        <f t="shared" si="223"/>
        <v>0</v>
      </c>
      <c r="N4697" s="31">
        <f>0.027*L4697</f>
        <v>0</v>
      </c>
      <c r="O4697" s="35">
        <f>0.0001*L4697</f>
        <v>0</v>
      </c>
      <c r="P4697" s="36"/>
      <c r="Q4697" s="29" t="s">
        <v>15582</v>
      </c>
      <c r="R4697" s="29"/>
      <c r="S4697" s="26" t="str">
        <f>HYPERLINK("https://miland.ru/api/getInfo/image/95547105-c993-11e9-a233-ac1f6b442184")</f>
        <v>https://miland.ru/api/getInfo/image/95547105-c993-11e9-a233-ac1f6b442184</v>
      </c>
    </row>
    <row r="4698" spans="1:19" s="2" customFormat="1" ht="96.2" customHeight="1" outlineLevel="4">
      <c r="A4698" s="52">
        <v>3708</v>
      </c>
      <c r="B4698" s="26" t="s">
        <v>15583</v>
      </c>
      <c r="C4698" s="66" t="s">
        <v>15584</v>
      </c>
      <c r="D4698" s="66"/>
      <c r="E4698" s="66"/>
      <c r="F4698" s="66"/>
      <c r="G4698" s="27" t="s">
        <v>15585</v>
      </c>
      <c r="H4698" s="28" t="s">
        <v>44</v>
      </c>
      <c r="I4698" s="29"/>
      <c r="J4698" s="25">
        <v>5</v>
      </c>
      <c r="K4698" s="30">
        <v>118.08</v>
      </c>
      <c r="L4698" s="17"/>
      <c r="M4698" s="29">
        <f t="shared" si="223"/>
        <v>0</v>
      </c>
      <c r="N4698" s="31">
        <f>0.047*L4698</f>
        <v>0</v>
      </c>
      <c r="O4698" s="32">
        <f>0.00155*L4698</f>
        <v>0</v>
      </c>
      <c r="P4698" s="36"/>
      <c r="Q4698" s="29" t="s">
        <v>15586</v>
      </c>
      <c r="R4698" s="29"/>
      <c r="S4698" s="26" t="str">
        <f>HYPERLINK("https://miland.ru/api/getInfo/image/f877370d-dbf3-11ec-a213-ac1f6b442185")</f>
        <v>https://miland.ru/api/getInfo/image/f877370d-dbf3-11ec-a213-ac1f6b442185</v>
      </c>
    </row>
    <row r="4699" spans="1:19" s="1" customFormat="1" ht="12" customHeight="1" outlineLevel="2">
      <c r="A4699" s="63" t="s">
        <v>15587</v>
      </c>
      <c r="B4699" s="63"/>
      <c r="C4699" s="63"/>
      <c r="D4699" s="63"/>
      <c r="E4699" s="63"/>
      <c r="F4699" s="63"/>
      <c r="G4699" s="8"/>
      <c r="H4699" s="12"/>
      <c r="I4699" s="2"/>
      <c r="J4699" s="2"/>
      <c r="K4699" s="13"/>
      <c r="L4699" s="2"/>
      <c r="M4699" s="2"/>
      <c r="N4699" s="2"/>
      <c r="O4699" s="2"/>
      <c r="P4699" s="2"/>
      <c r="Q4699" s="2"/>
      <c r="R4699" s="2"/>
      <c r="S4699" s="2"/>
    </row>
    <row r="4700" spans="1:19" s="1" customFormat="1" ht="12" customHeight="1" outlineLevel="3">
      <c r="A4700" s="64" t="s">
        <v>15588</v>
      </c>
      <c r="B4700" s="64"/>
      <c r="C4700" s="64"/>
      <c r="D4700" s="64"/>
      <c r="E4700" s="64"/>
      <c r="F4700" s="64"/>
      <c r="G4700" s="8"/>
      <c r="H4700" s="12"/>
      <c r="I4700" s="2"/>
      <c r="J4700" s="2"/>
      <c r="K4700" s="13"/>
      <c r="L4700" s="2"/>
      <c r="M4700" s="2"/>
      <c r="N4700" s="2"/>
      <c r="O4700" s="2"/>
      <c r="P4700" s="2"/>
      <c r="Q4700" s="2"/>
      <c r="R4700" s="2"/>
      <c r="S4700" s="2"/>
    </row>
    <row r="4701" spans="1:19" s="2" customFormat="1" ht="96.2" customHeight="1" outlineLevel="4">
      <c r="A4701" s="52">
        <v>3709</v>
      </c>
      <c r="B4701" s="26" t="s">
        <v>15589</v>
      </c>
      <c r="C4701" s="66" t="s">
        <v>15590</v>
      </c>
      <c r="D4701" s="66"/>
      <c r="E4701" s="66"/>
      <c r="F4701" s="66"/>
      <c r="G4701" s="27" t="s">
        <v>15591</v>
      </c>
      <c r="H4701" s="33">
        <v>53</v>
      </c>
      <c r="I4701" s="29"/>
      <c r="J4701" s="25">
        <v>10</v>
      </c>
      <c r="K4701" s="30">
        <v>83.76</v>
      </c>
      <c r="L4701" s="17"/>
      <c r="M4701" s="29">
        <f>K4701*L4701</f>
        <v>0</v>
      </c>
      <c r="N4701" s="31">
        <f>0.071*L4701</f>
        <v>0</v>
      </c>
      <c r="O4701" s="35">
        <f>0.0023*L4701</f>
        <v>0</v>
      </c>
      <c r="P4701" s="36"/>
      <c r="Q4701" s="29" t="s">
        <v>15592</v>
      </c>
      <c r="R4701" s="29"/>
      <c r="S4701" s="26" t="str">
        <f>HYPERLINK("https://miland.ru/api/getInfo/image/7d065e74-dbaa-11ee-a25a-00155d82e908")</f>
        <v>https://miland.ru/api/getInfo/image/7d065e74-dbaa-11ee-a25a-00155d82e908</v>
      </c>
    </row>
    <row r="4702" spans="1:19" s="2" customFormat="1" ht="96.2" customHeight="1" outlineLevel="4">
      <c r="A4702" s="52">
        <v>3710</v>
      </c>
      <c r="B4702" s="26" t="s">
        <v>15593</v>
      </c>
      <c r="C4702" s="66" t="s">
        <v>15594</v>
      </c>
      <c r="D4702" s="66"/>
      <c r="E4702" s="66"/>
      <c r="F4702" s="66"/>
      <c r="G4702" s="27" t="s">
        <v>15595</v>
      </c>
      <c r="H4702" s="28" t="s">
        <v>44</v>
      </c>
      <c r="I4702" s="29"/>
      <c r="J4702" s="25">
        <v>10</v>
      </c>
      <c r="K4702" s="30">
        <v>65.23</v>
      </c>
      <c r="L4702" s="17"/>
      <c r="M4702" s="29">
        <f>K4702*L4702</f>
        <v>0</v>
      </c>
      <c r="N4702" s="31">
        <f>0.058*L4702</f>
        <v>0</v>
      </c>
      <c r="O4702" s="32">
        <f>0.00104*L4702</f>
        <v>0</v>
      </c>
      <c r="P4702" s="36"/>
      <c r="Q4702" s="29" t="s">
        <v>15596</v>
      </c>
      <c r="R4702" s="29"/>
      <c r="S4702" s="26" t="str">
        <f>HYPERLINK("https://miland.ru/api/getInfo/image/eedba2ff-a560-11ee-a258-00155d82e908")</f>
        <v>https://miland.ru/api/getInfo/image/eedba2ff-a560-11ee-a258-00155d82e908</v>
      </c>
    </row>
    <row r="4703" spans="1:19" s="2" customFormat="1" ht="96.2" customHeight="1" outlineLevel="4">
      <c r="A4703" s="52">
        <v>3711</v>
      </c>
      <c r="B4703" s="26" t="s">
        <v>15597</v>
      </c>
      <c r="C4703" s="66" t="s">
        <v>15598</v>
      </c>
      <c r="D4703" s="66"/>
      <c r="E4703" s="66"/>
      <c r="F4703" s="66"/>
      <c r="G4703" s="27" t="s">
        <v>15599</v>
      </c>
      <c r="H4703" s="28" t="s">
        <v>44</v>
      </c>
      <c r="I4703" s="29"/>
      <c r="J4703" s="25">
        <v>10</v>
      </c>
      <c r="K4703" s="30">
        <v>65.23</v>
      </c>
      <c r="L4703" s="17"/>
      <c r="M4703" s="29">
        <f>K4703*L4703</f>
        <v>0</v>
      </c>
      <c r="N4703" s="34">
        <f>0.06*L4703</f>
        <v>0</v>
      </c>
      <c r="O4703" s="32">
        <f>0.00101*L4703</f>
        <v>0</v>
      </c>
      <c r="P4703" s="36"/>
      <c r="Q4703" s="29" t="s">
        <v>15600</v>
      </c>
      <c r="R4703" s="29"/>
      <c r="S4703" s="26" t="str">
        <f>HYPERLINK("https://miland.ru/api/getInfo/image/1f6059a1-a560-11ee-a258-00155d82e908")</f>
        <v>https://miland.ru/api/getInfo/image/1f6059a1-a560-11ee-a258-00155d82e908</v>
      </c>
    </row>
    <row r="4704" spans="1:19" s="2" customFormat="1" ht="96.2" customHeight="1" outlineLevel="4">
      <c r="A4704" s="52">
        <v>3712</v>
      </c>
      <c r="B4704" s="26" t="s">
        <v>15601</v>
      </c>
      <c r="C4704" s="66" t="s">
        <v>15602</v>
      </c>
      <c r="D4704" s="66"/>
      <c r="E4704" s="66"/>
      <c r="F4704" s="66"/>
      <c r="G4704" s="27" t="s">
        <v>15603</v>
      </c>
      <c r="H4704" s="28" t="s">
        <v>44</v>
      </c>
      <c r="I4704" s="29"/>
      <c r="J4704" s="25">
        <v>10</v>
      </c>
      <c r="K4704" s="30">
        <v>65.23</v>
      </c>
      <c r="L4704" s="17"/>
      <c r="M4704" s="29">
        <f>K4704*L4704</f>
        <v>0</v>
      </c>
      <c r="N4704" s="31">
        <f>0.057*L4704</f>
        <v>0</v>
      </c>
      <c r="O4704" s="32">
        <f>0.00098*L4704</f>
        <v>0</v>
      </c>
      <c r="P4704" s="36"/>
      <c r="Q4704" s="29" t="s">
        <v>15604</v>
      </c>
      <c r="R4704" s="29"/>
      <c r="S4704" s="26" t="str">
        <f>HYPERLINK("https://miland.ru/api/getInfo/image/c28bc6fc-bf21-11ed-a230-00155d82e902")</f>
        <v>https://miland.ru/api/getInfo/image/c28bc6fc-bf21-11ed-a230-00155d82e902</v>
      </c>
    </row>
    <row r="4705" spans="1:19" s="1" customFormat="1" ht="12" customHeight="1" outlineLevel="3">
      <c r="A4705" s="64" t="s">
        <v>15605</v>
      </c>
      <c r="B4705" s="64"/>
      <c r="C4705" s="64"/>
      <c r="D4705" s="64"/>
      <c r="E4705" s="64"/>
      <c r="F4705" s="64"/>
      <c r="G4705" s="8"/>
      <c r="H4705" s="12"/>
      <c r="I4705" s="2"/>
      <c r="J4705" s="2"/>
      <c r="K4705" s="13"/>
      <c r="L4705" s="2"/>
      <c r="M4705" s="2"/>
      <c r="N4705" s="2"/>
      <c r="O4705" s="2"/>
      <c r="P4705" s="2"/>
      <c r="Q4705" s="2"/>
      <c r="R4705" s="2"/>
      <c r="S4705" s="2"/>
    </row>
    <row r="4706" spans="1:19" s="1" customFormat="1" ht="12" customHeight="1" outlineLevel="4">
      <c r="A4706" s="64" t="s">
        <v>15606</v>
      </c>
      <c r="B4706" s="64"/>
      <c r="C4706" s="64"/>
      <c r="D4706" s="64"/>
      <c r="E4706" s="64"/>
      <c r="F4706" s="64"/>
      <c r="G4706" s="8"/>
      <c r="H4706" s="12"/>
      <c r="I4706" s="2"/>
      <c r="J4706" s="2"/>
      <c r="K4706" s="13"/>
      <c r="L4706" s="2"/>
      <c r="M4706" s="2"/>
      <c r="N4706" s="2"/>
      <c r="O4706" s="2"/>
      <c r="P4706" s="2"/>
      <c r="Q4706" s="2"/>
      <c r="R4706" s="2"/>
      <c r="S4706" s="2"/>
    </row>
    <row r="4707" spans="1:19" s="2" customFormat="1" ht="96.2" customHeight="1" outlineLevel="5">
      <c r="A4707" s="52">
        <v>3713</v>
      </c>
      <c r="B4707" s="26" t="s">
        <v>15607</v>
      </c>
      <c r="C4707" s="66" t="s">
        <v>15608</v>
      </c>
      <c r="D4707" s="66"/>
      <c r="E4707" s="66"/>
      <c r="F4707" s="66"/>
      <c r="G4707" s="27" t="s">
        <v>15609</v>
      </c>
      <c r="H4707" s="28" t="s">
        <v>44</v>
      </c>
      <c r="I4707" s="29"/>
      <c r="J4707" s="25">
        <v>6</v>
      </c>
      <c r="K4707" s="30">
        <v>83.38</v>
      </c>
      <c r="L4707" s="17"/>
      <c r="M4707" s="29">
        <f t="shared" ref="M4707:M4713" si="224">K4707*L4707</f>
        <v>0</v>
      </c>
      <c r="N4707" s="31">
        <f>0.025*L4707</f>
        <v>0</v>
      </c>
      <c r="O4707" s="32">
        <f>0.00022*L4707</f>
        <v>0</v>
      </c>
      <c r="P4707" s="36"/>
      <c r="Q4707" s="29" t="s">
        <v>15610</v>
      </c>
      <c r="R4707" s="29"/>
      <c r="S4707" s="26" t="str">
        <f>HYPERLINK("https://miland.ru/api/getInfo/image/d7e3ee93-0eaf-11ee-a23b-00155d82e902")</f>
        <v>https://miland.ru/api/getInfo/image/d7e3ee93-0eaf-11ee-a23b-00155d82e902</v>
      </c>
    </row>
    <row r="4708" spans="1:19" s="2" customFormat="1" ht="96.2" customHeight="1" outlineLevel="5">
      <c r="A4708" s="52">
        <v>3714</v>
      </c>
      <c r="B4708" s="26" t="s">
        <v>15611</v>
      </c>
      <c r="C4708" s="66" t="s">
        <v>15612</v>
      </c>
      <c r="D4708" s="66"/>
      <c r="E4708" s="66"/>
      <c r="F4708" s="66"/>
      <c r="G4708" s="27" t="s">
        <v>15613</v>
      </c>
      <c r="H4708" s="33">
        <v>377</v>
      </c>
      <c r="I4708" s="29"/>
      <c r="J4708" s="25">
        <v>6</v>
      </c>
      <c r="K4708" s="30">
        <v>83.38</v>
      </c>
      <c r="L4708" s="17"/>
      <c r="M4708" s="29">
        <f t="shared" si="224"/>
        <v>0</v>
      </c>
      <c r="N4708" s="31">
        <f>0.023*L4708</f>
        <v>0</v>
      </c>
      <c r="O4708" s="32">
        <f>0.00036*L4708</f>
        <v>0</v>
      </c>
      <c r="P4708" s="36"/>
      <c r="Q4708" s="29" t="s">
        <v>15614</v>
      </c>
      <c r="R4708" s="29"/>
      <c r="S4708" s="26" t="str">
        <f>HYPERLINK("https://miland.ru/api/getInfo/image/3faeed37-0eaf-11ee-a23b-00155d82e902")</f>
        <v>https://miland.ru/api/getInfo/image/3faeed37-0eaf-11ee-a23b-00155d82e902</v>
      </c>
    </row>
    <row r="4709" spans="1:19" s="2" customFormat="1" ht="96.2" customHeight="1" outlineLevel="5">
      <c r="A4709" s="52">
        <v>3715</v>
      </c>
      <c r="B4709" s="26" t="s">
        <v>15615</v>
      </c>
      <c r="C4709" s="66" t="s">
        <v>15616</v>
      </c>
      <c r="D4709" s="66"/>
      <c r="E4709" s="66"/>
      <c r="F4709" s="66"/>
      <c r="G4709" s="27" t="s">
        <v>15617</v>
      </c>
      <c r="H4709" s="33">
        <v>155</v>
      </c>
      <c r="I4709" s="29"/>
      <c r="J4709" s="25">
        <v>6</v>
      </c>
      <c r="K4709" s="30">
        <v>83.38</v>
      </c>
      <c r="L4709" s="17"/>
      <c r="M4709" s="29">
        <f t="shared" si="224"/>
        <v>0</v>
      </c>
      <c r="N4709" s="31">
        <f>0.025*L4709</f>
        <v>0</v>
      </c>
      <c r="O4709" s="32">
        <f>0.00028*L4709</f>
        <v>0</v>
      </c>
      <c r="P4709" s="36"/>
      <c r="Q4709" s="29" t="s">
        <v>15618</v>
      </c>
      <c r="R4709" s="29"/>
      <c r="S4709" s="26" t="str">
        <f>HYPERLINK("https://miland.ru/api/getInfo/image/c9e4b546-0ead-11ee-a23b-00155d82e902")</f>
        <v>https://miland.ru/api/getInfo/image/c9e4b546-0ead-11ee-a23b-00155d82e902</v>
      </c>
    </row>
    <row r="4710" spans="1:19" s="2" customFormat="1" ht="96.2" customHeight="1" outlineLevel="5">
      <c r="A4710" s="52">
        <v>3716</v>
      </c>
      <c r="B4710" s="26" t="s">
        <v>15619</v>
      </c>
      <c r="C4710" s="66" t="s">
        <v>15620</v>
      </c>
      <c r="D4710" s="66"/>
      <c r="E4710" s="66"/>
      <c r="F4710" s="66"/>
      <c r="G4710" s="27" t="s">
        <v>15621</v>
      </c>
      <c r="H4710" s="28" t="s">
        <v>44</v>
      </c>
      <c r="I4710" s="29"/>
      <c r="J4710" s="25">
        <v>6</v>
      </c>
      <c r="K4710" s="30">
        <v>83.38</v>
      </c>
      <c r="L4710" s="17"/>
      <c r="M4710" s="29">
        <f t="shared" si="224"/>
        <v>0</v>
      </c>
      <c r="N4710" s="31">
        <f>0.024*L4710</f>
        <v>0</v>
      </c>
      <c r="O4710" s="32">
        <f>0.00015*L4710</f>
        <v>0</v>
      </c>
      <c r="P4710" s="36"/>
      <c r="Q4710" s="29" t="s">
        <v>15622</v>
      </c>
      <c r="R4710" s="29"/>
      <c r="S4710" s="26" t="str">
        <f>HYPERLINK("https://miland.ru/api/getInfo/image/cee89cf4-0eae-11ee-a23b-00155d82e902")</f>
        <v>https://miland.ru/api/getInfo/image/cee89cf4-0eae-11ee-a23b-00155d82e902</v>
      </c>
    </row>
    <row r="4711" spans="1:19" s="2" customFormat="1" ht="96.2" customHeight="1" outlineLevel="5">
      <c r="A4711" s="52">
        <v>3717</v>
      </c>
      <c r="B4711" s="26" t="s">
        <v>15623</v>
      </c>
      <c r="C4711" s="66" t="s">
        <v>15624</v>
      </c>
      <c r="D4711" s="66"/>
      <c r="E4711" s="66"/>
      <c r="F4711" s="66"/>
      <c r="G4711" s="27" t="s">
        <v>15625</v>
      </c>
      <c r="H4711" s="28" t="s">
        <v>44</v>
      </c>
      <c r="I4711" s="29"/>
      <c r="J4711" s="25">
        <v>6</v>
      </c>
      <c r="K4711" s="30">
        <v>83.38</v>
      </c>
      <c r="L4711" s="17"/>
      <c r="M4711" s="29">
        <f t="shared" si="224"/>
        <v>0</v>
      </c>
      <c r="N4711" s="31">
        <f>0.024*L4711</f>
        <v>0</v>
      </c>
      <c r="O4711" s="32">
        <f>0.00032*L4711</f>
        <v>0</v>
      </c>
      <c r="P4711" s="36"/>
      <c r="Q4711" s="29" t="s">
        <v>15626</v>
      </c>
      <c r="R4711" s="29"/>
      <c r="S4711" s="26" t="str">
        <f>HYPERLINK("https://miland.ru/api/getInfo/image/581929e7-0eae-11ee-a23b-00155d82e902")</f>
        <v>https://miland.ru/api/getInfo/image/581929e7-0eae-11ee-a23b-00155d82e902</v>
      </c>
    </row>
    <row r="4712" spans="1:19" s="2" customFormat="1" ht="96.2" customHeight="1" outlineLevel="5">
      <c r="A4712" s="52">
        <v>3718</v>
      </c>
      <c r="B4712" s="26" t="s">
        <v>15627</v>
      </c>
      <c r="C4712" s="66" t="s">
        <v>15628</v>
      </c>
      <c r="D4712" s="66"/>
      <c r="E4712" s="66"/>
      <c r="F4712" s="66"/>
      <c r="G4712" s="27" t="s">
        <v>15629</v>
      </c>
      <c r="H4712" s="33">
        <v>494</v>
      </c>
      <c r="I4712" s="29"/>
      <c r="J4712" s="25">
        <v>6</v>
      </c>
      <c r="K4712" s="30">
        <v>83.38</v>
      </c>
      <c r="L4712" s="17"/>
      <c r="M4712" s="29">
        <f t="shared" si="224"/>
        <v>0</v>
      </c>
      <c r="N4712" s="31">
        <f>0.024*L4712</f>
        <v>0</v>
      </c>
      <c r="O4712" s="32">
        <f>0.00029*L4712</f>
        <v>0</v>
      </c>
      <c r="P4712" s="36"/>
      <c r="Q4712" s="29" t="s">
        <v>15630</v>
      </c>
      <c r="R4712" s="29"/>
      <c r="S4712" s="26" t="str">
        <f>HYPERLINK("https://miland.ru/api/getInfo/image/0edc52a0-0eac-11ee-a23b-00155d82e902")</f>
        <v>https://miland.ru/api/getInfo/image/0edc52a0-0eac-11ee-a23b-00155d82e902</v>
      </c>
    </row>
    <row r="4713" spans="1:19" s="2" customFormat="1" ht="96.2" customHeight="1" outlineLevel="5">
      <c r="A4713" s="52">
        <v>3719</v>
      </c>
      <c r="B4713" s="26" t="s">
        <v>15631</v>
      </c>
      <c r="C4713" s="66" t="s">
        <v>15632</v>
      </c>
      <c r="D4713" s="66"/>
      <c r="E4713" s="66"/>
      <c r="F4713" s="66"/>
      <c r="G4713" s="27" t="s">
        <v>15633</v>
      </c>
      <c r="H4713" s="33">
        <v>301</v>
      </c>
      <c r="I4713" s="29"/>
      <c r="J4713" s="25">
        <v>6</v>
      </c>
      <c r="K4713" s="30">
        <v>83.38</v>
      </c>
      <c r="L4713" s="17"/>
      <c r="M4713" s="29">
        <f t="shared" si="224"/>
        <v>0</v>
      </c>
      <c r="N4713" s="31">
        <f>0.023*L4713</f>
        <v>0</v>
      </c>
      <c r="O4713" s="32">
        <f>0.00028*L4713</f>
        <v>0</v>
      </c>
      <c r="P4713" s="36"/>
      <c r="Q4713" s="29" t="s">
        <v>15634</v>
      </c>
      <c r="R4713" s="29"/>
      <c r="S4713" s="26" t="str">
        <f>HYPERLINK("https://miland.ru/api/getInfo/image/3237a183-0ead-11ee-a23b-00155d82e902")</f>
        <v>https://miland.ru/api/getInfo/image/3237a183-0ead-11ee-a23b-00155d82e902</v>
      </c>
    </row>
    <row r="4714" spans="1:19" s="1" customFormat="1" ht="12" customHeight="1" outlineLevel="4">
      <c r="A4714" s="64" t="s">
        <v>15635</v>
      </c>
      <c r="B4714" s="64"/>
      <c r="C4714" s="64"/>
      <c r="D4714" s="64"/>
      <c r="E4714" s="64"/>
      <c r="F4714" s="64"/>
      <c r="G4714" s="8"/>
      <c r="H4714" s="12"/>
      <c r="I4714" s="2"/>
      <c r="J4714" s="2"/>
      <c r="K4714" s="13"/>
      <c r="L4714" s="2"/>
      <c r="M4714" s="2"/>
      <c r="N4714" s="2"/>
      <c r="O4714" s="2"/>
      <c r="P4714" s="2"/>
      <c r="Q4714" s="2"/>
      <c r="R4714" s="2"/>
      <c r="S4714" s="2"/>
    </row>
    <row r="4715" spans="1:19" s="2" customFormat="1" ht="96.2" customHeight="1" outlineLevel="5">
      <c r="A4715" s="52">
        <v>3720</v>
      </c>
      <c r="B4715" s="26" t="s">
        <v>15636</v>
      </c>
      <c r="C4715" s="66" t="s">
        <v>15637</v>
      </c>
      <c r="D4715" s="66"/>
      <c r="E4715" s="66"/>
      <c r="F4715" s="66"/>
      <c r="G4715" s="27" t="s">
        <v>15638</v>
      </c>
      <c r="H4715" s="33">
        <v>469</v>
      </c>
      <c r="I4715" s="29"/>
      <c r="J4715" s="25">
        <v>2</v>
      </c>
      <c r="K4715" s="30">
        <v>311.64</v>
      </c>
      <c r="L4715" s="17"/>
      <c r="M4715" s="29">
        <f>K4715*L4715</f>
        <v>0</v>
      </c>
      <c r="N4715" s="31">
        <f>0.076*L4715</f>
        <v>0</v>
      </c>
      <c r="O4715" s="32">
        <f>0.00107*L4715</f>
        <v>0</v>
      </c>
      <c r="P4715" s="36"/>
      <c r="Q4715" s="29" t="s">
        <v>15639</v>
      </c>
      <c r="R4715" s="29"/>
      <c r="S4715" s="26" t="str">
        <f>HYPERLINK("https://miland.ru/api/getInfo/image/c986e041-0eac-11ee-a23b-00155d82e902")</f>
        <v>https://miland.ru/api/getInfo/image/c986e041-0eac-11ee-a23b-00155d82e902</v>
      </c>
    </row>
    <row r="4716" spans="1:19" s="2" customFormat="1" ht="96.2" customHeight="1" outlineLevel="5">
      <c r="A4716" s="52">
        <v>3721</v>
      </c>
      <c r="B4716" s="26" t="s">
        <v>15640</v>
      </c>
      <c r="C4716" s="66" t="s">
        <v>15641</v>
      </c>
      <c r="D4716" s="66"/>
      <c r="E4716" s="66"/>
      <c r="F4716" s="66"/>
      <c r="G4716" s="27" t="s">
        <v>15642</v>
      </c>
      <c r="H4716" s="28" t="s">
        <v>44</v>
      </c>
      <c r="I4716" s="29"/>
      <c r="J4716" s="25">
        <v>2</v>
      </c>
      <c r="K4716" s="30">
        <v>311.64</v>
      </c>
      <c r="L4716" s="17"/>
      <c r="M4716" s="29">
        <f>K4716*L4716</f>
        <v>0</v>
      </c>
      <c r="N4716" s="31">
        <f>0.078*L4716</f>
        <v>0</v>
      </c>
      <c r="O4716" s="32">
        <f>0.00065*L4716</f>
        <v>0</v>
      </c>
      <c r="P4716" s="36"/>
      <c r="Q4716" s="29" t="s">
        <v>15643</v>
      </c>
      <c r="R4716" s="29"/>
      <c r="S4716" s="26" t="str">
        <f>HYPERLINK("https://miland.ru/api/getInfo/image/13e090ed-0eb0-11ee-a23b-00155d82e902")</f>
        <v>https://miland.ru/api/getInfo/image/13e090ed-0eb0-11ee-a23b-00155d82e902</v>
      </c>
    </row>
    <row r="4717" spans="1:19" s="2" customFormat="1" ht="96.2" customHeight="1" outlineLevel="5">
      <c r="A4717" s="52">
        <v>3722</v>
      </c>
      <c r="B4717" s="26" t="s">
        <v>15644</v>
      </c>
      <c r="C4717" s="66" t="s">
        <v>15645</v>
      </c>
      <c r="D4717" s="66"/>
      <c r="E4717" s="66"/>
      <c r="F4717" s="66"/>
      <c r="G4717" s="27" t="s">
        <v>15646</v>
      </c>
      <c r="H4717" s="28" t="s">
        <v>44</v>
      </c>
      <c r="I4717" s="29"/>
      <c r="J4717" s="25">
        <v>2</v>
      </c>
      <c r="K4717" s="30">
        <v>311.64</v>
      </c>
      <c r="L4717" s="17"/>
      <c r="M4717" s="29">
        <f>K4717*L4717</f>
        <v>0</v>
      </c>
      <c r="N4717" s="31">
        <f>0.075*L4717</f>
        <v>0</v>
      </c>
      <c r="O4717" s="32">
        <f>0.00082*L4717</f>
        <v>0</v>
      </c>
      <c r="P4717" s="36"/>
      <c r="Q4717" s="29" t="s">
        <v>15647</v>
      </c>
      <c r="R4717" s="29"/>
      <c r="S4717" s="26" t="str">
        <f>HYPERLINK("https://miland.ru/api/getInfo/image/88f487b5-0eb0-11ee-a23b-00155d82e902")</f>
        <v>https://miland.ru/api/getInfo/image/88f487b5-0eb0-11ee-a23b-00155d82e902</v>
      </c>
    </row>
    <row r="4718" spans="1:19" s="2" customFormat="1" ht="96.2" customHeight="1" outlineLevel="5">
      <c r="A4718" s="52">
        <v>3723</v>
      </c>
      <c r="B4718" s="26" t="s">
        <v>15648</v>
      </c>
      <c r="C4718" s="66" t="s">
        <v>15649</v>
      </c>
      <c r="D4718" s="66"/>
      <c r="E4718" s="66"/>
      <c r="F4718" s="66"/>
      <c r="G4718" s="27" t="s">
        <v>15650</v>
      </c>
      <c r="H4718" s="33">
        <v>269</v>
      </c>
      <c r="I4718" s="29"/>
      <c r="J4718" s="25">
        <v>2</v>
      </c>
      <c r="K4718" s="30">
        <v>311.64</v>
      </c>
      <c r="L4718" s="17"/>
      <c r="M4718" s="29">
        <f>K4718*L4718</f>
        <v>0</v>
      </c>
      <c r="N4718" s="31">
        <f>0.074*L4718</f>
        <v>0</v>
      </c>
      <c r="O4718" s="32">
        <f>0.00058*L4718</f>
        <v>0</v>
      </c>
      <c r="P4718" s="36"/>
      <c r="Q4718" s="29" t="s">
        <v>15651</v>
      </c>
      <c r="R4718" s="29"/>
      <c r="S4718" s="26" t="str">
        <f>HYPERLINK("https://miland.ru/api/getInfo/image/079ba6a3-0eaf-11ee-a23b-00155d82e902")</f>
        <v>https://miland.ru/api/getInfo/image/079ba6a3-0eaf-11ee-a23b-00155d82e902</v>
      </c>
    </row>
    <row r="4719" spans="1:19" s="1" customFormat="1" ht="12" customHeight="1" outlineLevel="3">
      <c r="A4719" s="64" t="s">
        <v>15652</v>
      </c>
      <c r="B4719" s="64"/>
      <c r="C4719" s="64"/>
      <c r="D4719" s="64"/>
      <c r="E4719" s="64"/>
      <c r="F4719" s="64"/>
      <c r="G4719" s="8"/>
      <c r="H4719" s="12"/>
      <c r="I4719" s="2"/>
      <c r="J4719" s="2"/>
      <c r="K4719" s="13"/>
      <c r="L4719" s="2"/>
      <c r="M4719" s="2"/>
      <c r="N4719" s="2"/>
      <c r="O4719" s="2"/>
      <c r="P4719" s="2"/>
      <c r="Q4719" s="2"/>
      <c r="R4719" s="2"/>
      <c r="S4719" s="2"/>
    </row>
    <row r="4720" spans="1:19" s="1" customFormat="1" ht="12" customHeight="1" outlineLevel="4">
      <c r="A4720" s="64" t="s">
        <v>15653</v>
      </c>
      <c r="B4720" s="64"/>
      <c r="C4720" s="64"/>
      <c r="D4720" s="64"/>
      <c r="E4720" s="64"/>
      <c r="F4720" s="64"/>
      <c r="G4720" s="8"/>
      <c r="H4720" s="12"/>
      <c r="I4720" s="2"/>
      <c r="J4720" s="2"/>
      <c r="K4720" s="13"/>
      <c r="L4720" s="2"/>
      <c r="M4720" s="2"/>
      <c r="N4720" s="2"/>
      <c r="O4720" s="2"/>
      <c r="P4720" s="2"/>
      <c r="Q4720" s="2"/>
      <c r="R4720" s="2"/>
      <c r="S4720" s="2"/>
    </row>
    <row r="4721" spans="1:19" s="2" customFormat="1" ht="96.2" customHeight="1" outlineLevel="5">
      <c r="A4721" s="52">
        <v>3724</v>
      </c>
      <c r="B4721" s="26" t="s">
        <v>15654</v>
      </c>
      <c r="C4721" s="66" t="s">
        <v>15655</v>
      </c>
      <c r="D4721" s="66"/>
      <c r="E4721" s="66"/>
      <c r="F4721" s="66"/>
      <c r="G4721" s="27" t="s">
        <v>15656</v>
      </c>
      <c r="H4721" s="33">
        <v>3</v>
      </c>
      <c r="I4721" s="29"/>
      <c r="J4721" s="25">
        <v>3</v>
      </c>
      <c r="K4721" s="30">
        <v>129.38</v>
      </c>
      <c r="L4721" s="17"/>
      <c r="M4721" s="29">
        <f>K4721*L4721</f>
        <v>0</v>
      </c>
      <c r="N4721" s="31">
        <f>0.036*L4721</f>
        <v>0</v>
      </c>
      <c r="O4721" s="32">
        <f>0.00016*L4721</f>
        <v>0</v>
      </c>
      <c r="P4721" s="36"/>
      <c r="Q4721" s="29" t="s">
        <v>15657</v>
      </c>
      <c r="R4721" s="29" t="s">
        <v>611</v>
      </c>
      <c r="S4721" s="26" t="str">
        <f>HYPERLINK("https://miland.ru/api/getInfo/image/c48e2a19-0d05-11ef-a25d-00155d82e908")</f>
        <v>https://miland.ru/api/getInfo/image/c48e2a19-0d05-11ef-a25d-00155d82e908</v>
      </c>
    </row>
    <row r="4722" spans="1:19" s="1" customFormat="1" ht="12" customHeight="1" outlineLevel="2">
      <c r="A4722" s="63" t="s">
        <v>15658</v>
      </c>
      <c r="B4722" s="63"/>
      <c r="C4722" s="63"/>
      <c r="D4722" s="63"/>
      <c r="E4722" s="63"/>
      <c r="F4722" s="63"/>
      <c r="G4722" s="8"/>
      <c r="H4722" s="12"/>
      <c r="I4722" s="2"/>
      <c r="J4722" s="2"/>
      <c r="K4722" s="13"/>
      <c r="L4722" s="2"/>
      <c r="M4722" s="2"/>
      <c r="N4722" s="2"/>
      <c r="O4722" s="2"/>
      <c r="P4722" s="2"/>
      <c r="Q4722" s="2"/>
      <c r="R4722" s="2"/>
      <c r="S4722" s="2"/>
    </row>
    <row r="4723" spans="1:19" s="1" customFormat="1" ht="12" customHeight="1" outlineLevel="3">
      <c r="A4723" s="64" t="s">
        <v>15659</v>
      </c>
      <c r="B4723" s="64"/>
      <c r="C4723" s="64"/>
      <c r="D4723" s="64"/>
      <c r="E4723" s="64"/>
      <c r="F4723" s="64"/>
      <c r="G4723" s="8"/>
      <c r="H4723" s="12"/>
      <c r="I4723" s="2"/>
      <c r="J4723" s="2"/>
      <c r="K4723" s="13"/>
      <c r="L4723" s="2"/>
      <c r="M4723" s="2"/>
      <c r="N4723" s="2"/>
      <c r="O4723" s="2"/>
      <c r="P4723" s="2"/>
      <c r="Q4723" s="2"/>
      <c r="R4723" s="2"/>
      <c r="S4723" s="2"/>
    </row>
    <row r="4724" spans="1:19" s="2" customFormat="1" ht="96.2" customHeight="1" outlineLevel="4">
      <c r="A4724" s="52">
        <v>3725</v>
      </c>
      <c r="B4724" s="26" t="s">
        <v>15660</v>
      </c>
      <c r="C4724" s="66" t="s">
        <v>15661</v>
      </c>
      <c r="D4724" s="66"/>
      <c r="E4724" s="66"/>
      <c r="F4724" s="66"/>
      <c r="G4724" s="27" t="s">
        <v>15662</v>
      </c>
      <c r="H4724" s="33">
        <v>52</v>
      </c>
      <c r="I4724" s="29"/>
      <c r="J4724" s="25">
        <v>7</v>
      </c>
      <c r="K4724" s="30">
        <v>90.41</v>
      </c>
      <c r="L4724" s="17"/>
      <c r="M4724" s="29">
        <f t="shared" ref="M4724:M4737" si="225">K4724*L4724</f>
        <v>0</v>
      </c>
      <c r="N4724" s="31">
        <f>0.033*L4724</f>
        <v>0</v>
      </c>
      <c r="O4724" s="32">
        <f>0.00148*L4724</f>
        <v>0</v>
      </c>
      <c r="P4724" s="36"/>
      <c r="Q4724" s="29" t="s">
        <v>15663</v>
      </c>
      <c r="R4724" s="29"/>
      <c r="S4724" s="26" t="str">
        <f>HYPERLINK("https://miland.ru/api/getInfo/image/2a3df341-c745-11ee-a25a-00155d82e908")</f>
        <v>https://miland.ru/api/getInfo/image/2a3df341-c745-11ee-a25a-00155d82e908</v>
      </c>
    </row>
    <row r="4725" spans="1:19" s="2" customFormat="1" ht="96.2" customHeight="1" outlineLevel="4">
      <c r="A4725" s="52">
        <v>3726</v>
      </c>
      <c r="B4725" s="26" t="s">
        <v>15664</v>
      </c>
      <c r="C4725" s="66" t="s">
        <v>15665</v>
      </c>
      <c r="D4725" s="66"/>
      <c r="E4725" s="66"/>
      <c r="F4725" s="66"/>
      <c r="G4725" s="27" t="s">
        <v>15666</v>
      </c>
      <c r="H4725" s="28" t="s">
        <v>44</v>
      </c>
      <c r="I4725" s="29"/>
      <c r="J4725" s="25">
        <v>4</v>
      </c>
      <c r="K4725" s="30">
        <v>141.59</v>
      </c>
      <c r="L4725" s="17"/>
      <c r="M4725" s="29">
        <f t="shared" si="225"/>
        <v>0</v>
      </c>
      <c r="N4725" s="31">
        <f>0.026*L4725</f>
        <v>0</v>
      </c>
      <c r="O4725" s="32">
        <f>0.00145*L4725</f>
        <v>0</v>
      </c>
      <c r="P4725" s="36"/>
      <c r="Q4725" s="29" t="s">
        <v>15667</v>
      </c>
      <c r="R4725" s="29"/>
      <c r="S4725" s="26" t="str">
        <f>HYPERLINK("https://miland.ru/api/getInfo/image/4a40cf26-d8c3-11ef-a273-00155d82e908")</f>
        <v>https://miland.ru/api/getInfo/image/4a40cf26-d8c3-11ef-a273-00155d82e908</v>
      </c>
    </row>
    <row r="4726" spans="1:19" s="2" customFormat="1" ht="96.2" customHeight="1" outlineLevel="4">
      <c r="A4726" s="52">
        <v>3727</v>
      </c>
      <c r="B4726" s="26" t="s">
        <v>15668</v>
      </c>
      <c r="C4726" s="66" t="s">
        <v>15669</v>
      </c>
      <c r="D4726" s="66"/>
      <c r="E4726" s="66"/>
      <c r="F4726" s="66"/>
      <c r="G4726" s="27" t="s">
        <v>15670</v>
      </c>
      <c r="H4726" s="33">
        <v>2</v>
      </c>
      <c r="I4726" s="29"/>
      <c r="J4726" s="25">
        <v>2</v>
      </c>
      <c r="K4726" s="30">
        <v>298.01</v>
      </c>
      <c r="L4726" s="17"/>
      <c r="M4726" s="29">
        <f t="shared" si="225"/>
        <v>0</v>
      </c>
      <c r="N4726" s="31">
        <f>0.042*L4726</f>
        <v>0</v>
      </c>
      <c r="O4726" s="32">
        <f>0.00079*L4726</f>
        <v>0</v>
      </c>
      <c r="P4726" s="36"/>
      <c r="Q4726" s="29" t="s">
        <v>15671</v>
      </c>
      <c r="R4726" s="29"/>
      <c r="S4726" s="26" t="str">
        <f>HYPERLINK("https://miland.ru/api/getInfo/image/6eb3e9a2-c744-11ee-a25a-00155d82e908")</f>
        <v>https://miland.ru/api/getInfo/image/6eb3e9a2-c744-11ee-a25a-00155d82e908</v>
      </c>
    </row>
    <row r="4727" spans="1:19" s="2" customFormat="1" ht="96.2" customHeight="1" outlineLevel="4">
      <c r="A4727" s="52">
        <v>3728</v>
      </c>
      <c r="B4727" s="26" t="s">
        <v>15672</v>
      </c>
      <c r="C4727" s="66" t="s">
        <v>15673</v>
      </c>
      <c r="D4727" s="66"/>
      <c r="E4727" s="66"/>
      <c r="F4727" s="66"/>
      <c r="G4727" s="27" t="s">
        <v>15674</v>
      </c>
      <c r="H4727" s="33">
        <v>59</v>
      </c>
      <c r="I4727" s="29"/>
      <c r="J4727" s="25">
        <v>4</v>
      </c>
      <c r="K4727" s="30">
        <v>161.30000000000001</v>
      </c>
      <c r="L4727" s="17"/>
      <c r="M4727" s="29">
        <f t="shared" si="225"/>
        <v>0</v>
      </c>
      <c r="N4727" s="31">
        <f>0.103*L4727</f>
        <v>0</v>
      </c>
      <c r="O4727" s="32">
        <f>0.00147*L4727</f>
        <v>0</v>
      </c>
      <c r="P4727" s="36"/>
      <c r="Q4727" s="29" t="s">
        <v>15675</v>
      </c>
      <c r="R4727" s="29"/>
      <c r="S4727" s="26" t="str">
        <f>HYPERLINK("https://miland.ru/api/getInfo/image/96574d11-c74a-11ee-a25a-00155d82e908")</f>
        <v>https://miland.ru/api/getInfo/image/96574d11-c74a-11ee-a25a-00155d82e908</v>
      </c>
    </row>
    <row r="4728" spans="1:19" s="2" customFormat="1" ht="96.2" customHeight="1" outlineLevel="4">
      <c r="A4728" s="52">
        <v>3729</v>
      </c>
      <c r="B4728" s="26" t="s">
        <v>15676</v>
      </c>
      <c r="C4728" s="66" t="s">
        <v>15677</v>
      </c>
      <c r="D4728" s="66"/>
      <c r="E4728" s="66"/>
      <c r="F4728" s="66"/>
      <c r="G4728" s="27" t="s">
        <v>15678</v>
      </c>
      <c r="H4728" s="33">
        <v>2</v>
      </c>
      <c r="I4728" s="29"/>
      <c r="J4728" s="25">
        <v>2</v>
      </c>
      <c r="K4728" s="30">
        <v>72.27</v>
      </c>
      <c r="L4728" s="17"/>
      <c r="M4728" s="29">
        <f t="shared" si="225"/>
        <v>0</v>
      </c>
      <c r="N4728" s="31">
        <f>0.023*L4728</f>
        <v>0</v>
      </c>
      <c r="O4728" s="32">
        <f>0.00139*L4728</f>
        <v>0</v>
      </c>
      <c r="P4728" s="36"/>
      <c r="Q4728" s="29" t="s">
        <v>15679</v>
      </c>
      <c r="R4728" s="29"/>
      <c r="S4728" s="26" t="str">
        <f>HYPERLINK("https://miland.ru/api/getInfo/image/f3ed35ee-c749-11ee-a25a-00155d82e908")</f>
        <v>https://miland.ru/api/getInfo/image/f3ed35ee-c749-11ee-a25a-00155d82e908</v>
      </c>
    </row>
    <row r="4729" spans="1:19" s="2" customFormat="1" ht="96.2" customHeight="1" outlineLevel="4">
      <c r="A4729" s="52">
        <v>3730</v>
      </c>
      <c r="B4729" s="26" t="s">
        <v>15680</v>
      </c>
      <c r="C4729" s="66" t="s">
        <v>15681</v>
      </c>
      <c r="D4729" s="66"/>
      <c r="E4729" s="66"/>
      <c r="F4729" s="66"/>
      <c r="G4729" s="27" t="s">
        <v>15682</v>
      </c>
      <c r="H4729" s="28" t="s">
        <v>44</v>
      </c>
      <c r="I4729" s="29"/>
      <c r="J4729" s="25">
        <v>5</v>
      </c>
      <c r="K4729" s="30">
        <v>119.48</v>
      </c>
      <c r="L4729" s="17"/>
      <c r="M4729" s="29">
        <f t="shared" si="225"/>
        <v>0</v>
      </c>
      <c r="N4729" s="31">
        <f>0.057*L4729</f>
        <v>0</v>
      </c>
      <c r="O4729" s="32">
        <f>0.00146*L4729</f>
        <v>0</v>
      </c>
      <c r="P4729" s="36"/>
      <c r="Q4729" s="29" t="s">
        <v>15683</v>
      </c>
      <c r="R4729" s="29"/>
      <c r="S4729" s="26" t="str">
        <f>HYPERLINK("https://miland.ru/api/getInfo/image/30f9a631-c74a-11ee-a25a-00155d82e908")</f>
        <v>https://miland.ru/api/getInfo/image/30f9a631-c74a-11ee-a25a-00155d82e908</v>
      </c>
    </row>
    <row r="4730" spans="1:19" s="2" customFormat="1" ht="96.2" customHeight="1" outlineLevel="4">
      <c r="A4730" s="52">
        <v>3731</v>
      </c>
      <c r="B4730" s="26" t="s">
        <v>15684</v>
      </c>
      <c r="C4730" s="66" t="s">
        <v>15685</v>
      </c>
      <c r="D4730" s="66"/>
      <c r="E4730" s="66"/>
      <c r="F4730" s="66"/>
      <c r="G4730" s="27" t="s">
        <v>15686</v>
      </c>
      <c r="H4730" s="28" t="s">
        <v>44</v>
      </c>
      <c r="I4730" s="29"/>
      <c r="J4730" s="25">
        <v>13</v>
      </c>
      <c r="K4730" s="30">
        <v>48.73</v>
      </c>
      <c r="L4730" s="17"/>
      <c r="M4730" s="29">
        <f t="shared" si="225"/>
        <v>0</v>
      </c>
      <c r="N4730" s="31">
        <f>0.013*L4730</f>
        <v>0</v>
      </c>
      <c r="O4730" s="32">
        <f>0.00027*L4730</f>
        <v>0</v>
      </c>
      <c r="P4730" s="36"/>
      <c r="Q4730" s="29" t="s">
        <v>15687</v>
      </c>
      <c r="R4730" s="29"/>
      <c r="S4730" s="26" t="str">
        <f>HYPERLINK("https://miland.ru/api/getInfo/image/e55b6ef4-c748-11ee-a25a-00155d82e908")</f>
        <v>https://miland.ru/api/getInfo/image/e55b6ef4-c748-11ee-a25a-00155d82e908</v>
      </c>
    </row>
    <row r="4731" spans="1:19" s="2" customFormat="1" ht="96.2" customHeight="1" outlineLevel="4">
      <c r="A4731" s="52">
        <v>3732</v>
      </c>
      <c r="B4731" s="26" t="s">
        <v>15688</v>
      </c>
      <c r="C4731" s="66" t="s">
        <v>15689</v>
      </c>
      <c r="D4731" s="66"/>
      <c r="E4731" s="66"/>
      <c r="F4731" s="66"/>
      <c r="G4731" s="27" t="s">
        <v>15690</v>
      </c>
      <c r="H4731" s="28" t="s">
        <v>44</v>
      </c>
      <c r="I4731" s="29"/>
      <c r="J4731" s="25">
        <v>10</v>
      </c>
      <c r="K4731" s="30">
        <v>67.31</v>
      </c>
      <c r="L4731" s="17"/>
      <c r="M4731" s="29">
        <f t="shared" si="225"/>
        <v>0</v>
      </c>
      <c r="N4731" s="31">
        <f>0.026*L4731</f>
        <v>0</v>
      </c>
      <c r="O4731" s="32">
        <f>0.00017*L4731</f>
        <v>0</v>
      </c>
      <c r="P4731" s="36"/>
      <c r="Q4731" s="29" t="s">
        <v>15691</v>
      </c>
      <c r="R4731" s="29"/>
      <c r="S4731" s="26" t="str">
        <f>HYPERLINK("https://miland.ru/api/getInfo/image/5eee43c1-7ef9-11ee-a248-00155d82e902")</f>
        <v>https://miland.ru/api/getInfo/image/5eee43c1-7ef9-11ee-a248-00155d82e902</v>
      </c>
    </row>
    <row r="4732" spans="1:19" s="2" customFormat="1" ht="96.2" customHeight="1" outlineLevel="4">
      <c r="A4732" s="52">
        <v>3733</v>
      </c>
      <c r="B4732" s="26" t="s">
        <v>15692</v>
      </c>
      <c r="C4732" s="66" t="s">
        <v>15693</v>
      </c>
      <c r="D4732" s="66"/>
      <c r="E4732" s="66"/>
      <c r="F4732" s="66"/>
      <c r="G4732" s="27" t="s">
        <v>15694</v>
      </c>
      <c r="H4732" s="28" t="s">
        <v>44</v>
      </c>
      <c r="I4732" s="29"/>
      <c r="J4732" s="25">
        <v>5</v>
      </c>
      <c r="K4732" s="30">
        <v>124.26</v>
      </c>
      <c r="L4732" s="17"/>
      <c r="M4732" s="29">
        <f t="shared" si="225"/>
        <v>0</v>
      </c>
      <c r="N4732" s="31">
        <f>0.042*L4732</f>
        <v>0</v>
      </c>
      <c r="O4732" s="32">
        <f>0.00016*L4732</f>
        <v>0</v>
      </c>
      <c r="P4732" s="36"/>
      <c r="Q4732" s="29" t="s">
        <v>15695</v>
      </c>
      <c r="R4732" s="29"/>
      <c r="S4732" s="26" t="str">
        <f>HYPERLINK("https://miland.ru/api/getInfo/image/c7068623-7ef9-11ee-a248-00155d82e902")</f>
        <v>https://miland.ru/api/getInfo/image/c7068623-7ef9-11ee-a248-00155d82e902</v>
      </c>
    </row>
    <row r="4733" spans="1:19" s="2" customFormat="1" ht="96.2" customHeight="1" outlineLevel="4">
      <c r="A4733" s="52">
        <v>3734</v>
      </c>
      <c r="B4733" s="26" t="s">
        <v>15696</v>
      </c>
      <c r="C4733" s="66" t="s">
        <v>15697</v>
      </c>
      <c r="D4733" s="66"/>
      <c r="E4733" s="66"/>
      <c r="F4733" s="66"/>
      <c r="G4733" s="27" t="s">
        <v>15698</v>
      </c>
      <c r="H4733" s="33">
        <v>295</v>
      </c>
      <c r="I4733" s="29"/>
      <c r="J4733" s="25">
        <v>4</v>
      </c>
      <c r="K4733" s="30">
        <v>179.23</v>
      </c>
      <c r="L4733" s="17"/>
      <c r="M4733" s="29">
        <f t="shared" si="225"/>
        <v>0</v>
      </c>
      <c r="N4733" s="31">
        <f>0.074*L4733</f>
        <v>0</v>
      </c>
      <c r="O4733" s="32">
        <f>0.00103*L4733</f>
        <v>0</v>
      </c>
      <c r="P4733" s="36"/>
      <c r="Q4733" s="29" t="s">
        <v>15699</v>
      </c>
      <c r="R4733" s="29"/>
      <c r="S4733" s="26" t="str">
        <f>HYPERLINK("https://miland.ru/api/getInfo/image/8eb122e6-d8c5-11ef-a273-00155d82e908")</f>
        <v>https://miland.ru/api/getInfo/image/8eb122e6-d8c5-11ef-a273-00155d82e908</v>
      </c>
    </row>
    <row r="4734" spans="1:19" s="2" customFormat="1" ht="96.2" customHeight="1" outlineLevel="4">
      <c r="A4734" s="52">
        <v>3735</v>
      </c>
      <c r="B4734" s="26" t="s">
        <v>15700</v>
      </c>
      <c r="C4734" s="66" t="s">
        <v>15701</v>
      </c>
      <c r="D4734" s="66"/>
      <c r="E4734" s="66"/>
      <c r="F4734" s="66"/>
      <c r="G4734" s="27" t="s">
        <v>15702</v>
      </c>
      <c r="H4734" s="33">
        <v>255</v>
      </c>
      <c r="I4734" s="29"/>
      <c r="J4734" s="25">
        <v>1</v>
      </c>
      <c r="K4734" s="37">
        <v>1194.3900000000001</v>
      </c>
      <c r="L4734" s="17"/>
      <c r="M4734" s="29">
        <f t="shared" si="225"/>
        <v>0</v>
      </c>
      <c r="N4734" s="31">
        <f>0.361*L4734</f>
        <v>0</v>
      </c>
      <c r="O4734" s="32">
        <f>0.00264*L4734</f>
        <v>0</v>
      </c>
      <c r="P4734" s="36"/>
      <c r="Q4734" s="29" t="s">
        <v>15703</v>
      </c>
      <c r="R4734" s="29"/>
      <c r="S4734" s="26" t="str">
        <f>HYPERLINK("https://miland.ru/api/getInfo/image/82b6e0f0-d8c7-11ef-a273-00155d82e908")</f>
        <v>https://miland.ru/api/getInfo/image/82b6e0f0-d8c7-11ef-a273-00155d82e908</v>
      </c>
    </row>
    <row r="4735" spans="1:19" s="2" customFormat="1" ht="96.2" customHeight="1" outlineLevel="4">
      <c r="A4735" s="52">
        <v>3736</v>
      </c>
      <c r="B4735" s="26" t="s">
        <v>15704</v>
      </c>
      <c r="C4735" s="66" t="s">
        <v>15705</v>
      </c>
      <c r="D4735" s="66"/>
      <c r="E4735" s="66"/>
      <c r="F4735" s="66"/>
      <c r="G4735" s="27" t="s">
        <v>15706</v>
      </c>
      <c r="H4735" s="33">
        <v>289</v>
      </c>
      <c r="I4735" s="29"/>
      <c r="J4735" s="25">
        <v>1</v>
      </c>
      <c r="K4735" s="37">
        <v>1296.3599999999999</v>
      </c>
      <c r="L4735" s="17"/>
      <c r="M4735" s="29">
        <f t="shared" si="225"/>
        <v>0</v>
      </c>
      <c r="N4735" s="31">
        <f>0.299*L4735</f>
        <v>0</v>
      </c>
      <c r="O4735" s="32">
        <f>0.00277*L4735</f>
        <v>0</v>
      </c>
      <c r="P4735" s="36"/>
      <c r="Q4735" s="29" t="s">
        <v>15707</v>
      </c>
      <c r="R4735" s="29"/>
      <c r="S4735" s="26" t="str">
        <f>HYPERLINK("https://miland.ru/api/getInfo/image/9de53cea-d8c7-11ef-a273-00155d82e908")</f>
        <v>https://miland.ru/api/getInfo/image/9de53cea-d8c7-11ef-a273-00155d82e908</v>
      </c>
    </row>
    <row r="4736" spans="1:19" s="2" customFormat="1" ht="96.2" customHeight="1" outlineLevel="4">
      <c r="A4736" s="52">
        <v>3737</v>
      </c>
      <c r="B4736" s="26" t="s">
        <v>15708</v>
      </c>
      <c r="C4736" s="66" t="s">
        <v>15709</v>
      </c>
      <c r="D4736" s="66"/>
      <c r="E4736" s="66"/>
      <c r="F4736" s="66"/>
      <c r="G4736" s="27" t="s">
        <v>15710</v>
      </c>
      <c r="H4736" s="33">
        <v>117</v>
      </c>
      <c r="I4736" s="29"/>
      <c r="J4736" s="25">
        <v>1</v>
      </c>
      <c r="K4736" s="37">
        <v>3075.56</v>
      </c>
      <c r="L4736" s="17"/>
      <c r="M4736" s="29">
        <f t="shared" si="225"/>
        <v>0</v>
      </c>
      <c r="N4736" s="31">
        <f>0.287*L4736</f>
        <v>0</v>
      </c>
      <c r="O4736" s="32">
        <f>0.00374*L4736</f>
        <v>0</v>
      </c>
      <c r="P4736" s="36"/>
      <c r="Q4736" s="29" t="s">
        <v>15711</v>
      </c>
      <c r="R4736" s="29"/>
      <c r="S4736" s="26" t="str">
        <f>HYPERLINK("https://miland.ru/api/getInfo/image/3a456fc1-d3fd-11ef-a26a-00155d82e908")</f>
        <v>https://miland.ru/api/getInfo/image/3a456fc1-d3fd-11ef-a26a-00155d82e908</v>
      </c>
    </row>
    <row r="4737" spans="1:19" s="2" customFormat="1" ht="96.2" customHeight="1" outlineLevel="4">
      <c r="A4737" s="53">
        <v>3738</v>
      </c>
      <c r="B4737" s="10" t="s">
        <v>15712</v>
      </c>
      <c r="C4737" s="65" t="s">
        <v>15713</v>
      </c>
      <c r="D4737" s="65"/>
      <c r="E4737" s="65"/>
      <c r="F4737" s="65"/>
      <c r="G4737" s="11" t="s">
        <v>15714</v>
      </c>
      <c r="H4737" s="14">
        <v>210</v>
      </c>
      <c r="I4737" s="15"/>
      <c r="J4737" s="9">
        <v>2</v>
      </c>
      <c r="K4737" s="16">
        <v>298.20999999999998</v>
      </c>
      <c r="L4737" s="17"/>
      <c r="M4737" s="15">
        <f t="shared" si="225"/>
        <v>0</v>
      </c>
      <c r="N4737" s="18">
        <f>0.093*L4737</f>
        <v>0</v>
      </c>
      <c r="O4737" s="19">
        <f>0.00003*L4737</f>
        <v>0</v>
      </c>
      <c r="P4737" s="24" t="s">
        <v>26</v>
      </c>
      <c r="Q4737" s="15" t="s">
        <v>15715</v>
      </c>
      <c r="R4737" s="15"/>
      <c r="S4737" s="10" t="str">
        <f>HYPERLINK("https://miland.ru/api/getInfo/image/ca84b29a-22c2-11f1-a290-00155d82e908")</f>
        <v>https://miland.ru/api/getInfo/image/ca84b29a-22c2-11f1-a290-00155d82e908</v>
      </c>
    </row>
    <row r="4738" spans="1:19" s="1" customFormat="1" ht="12" customHeight="1" outlineLevel="3">
      <c r="A4738" s="64" t="s">
        <v>15716</v>
      </c>
      <c r="B4738" s="64"/>
      <c r="C4738" s="64"/>
      <c r="D4738" s="64"/>
      <c r="E4738" s="64"/>
      <c r="F4738" s="64"/>
      <c r="G4738" s="8"/>
      <c r="H4738" s="12"/>
      <c r="I4738" s="2"/>
      <c r="J4738" s="2"/>
      <c r="K4738" s="13"/>
      <c r="L4738" s="2"/>
      <c r="M4738" s="2"/>
      <c r="N4738" s="2"/>
      <c r="O4738" s="2"/>
      <c r="P4738" s="2"/>
      <c r="Q4738" s="2"/>
      <c r="R4738" s="2"/>
      <c r="S4738" s="2"/>
    </row>
    <row r="4739" spans="1:19" s="2" customFormat="1" ht="96.2" customHeight="1" outlineLevel="4">
      <c r="A4739" s="52">
        <v>3739</v>
      </c>
      <c r="B4739" s="26" t="s">
        <v>15717</v>
      </c>
      <c r="C4739" s="66" t="s">
        <v>15718</v>
      </c>
      <c r="D4739" s="66"/>
      <c r="E4739" s="66"/>
      <c r="F4739" s="66"/>
      <c r="G4739" s="27" t="s">
        <v>15719</v>
      </c>
      <c r="H4739" s="33">
        <v>273</v>
      </c>
      <c r="I4739" s="29"/>
      <c r="J4739" s="25">
        <v>1</v>
      </c>
      <c r="K4739" s="30">
        <v>516.53</v>
      </c>
      <c r="L4739" s="17"/>
      <c r="M4739" s="29">
        <f t="shared" ref="M4739:M4744" si="226">K4739*L4739</f>
        <v>0</v>
      </c>
      <c r="N4739" s="31">
        <f>0.121*L4739</f>
        <v>0</v>
      </c>
      <c r="O4739" s="32">
        <f>0.00098*L4739</f>
        <v>0</v>
      </c>
      <c r="P4739" s="36"/>
      <c r="Q4739" s="29" t="s">
        <v>15720</v>
      </c>
      <c r="R4739" s="29"/>
      <c r="S4739" s="26" t="str">
        <f>HYPERLINK("https://miland.ru/api/getInfo/image/262b3bca-c03e-11ee-a25a-00155d82e908")</f>
        <v>https://miland.ru/api/getInfo/image/262b3bca-c03e-11ee-a25a-00155d82e908</v>
      </c>
    </row>
    <row r="4740" spans="1:19" s="2" customFormat="1" ht="96.2" customHeight="1" outlineLevel="4">
      <c r="A4740" s="52">
        <v>3740</v>
      </c>
      <c r="B4740" s="26" t="s">
        <v>15721</v>
      </c>
      <c r="C4740" s="66" t="s">
        <v>15722</v>
      </c>
      <c r="D4740" s="66"/>
      <c r="E4740" s="66"/>
      <c r="F4740" s="66"/>
      <c r="G4740" s="27" t="s">
        <v>15723</v>
      </c>
      <c r="H4740" s="33">
        <v>416</v>
      </c>
      <c r="I4740" s="29"/>
      <c r="J4740" s="25">
        <v>1</v>
      </c>
      <c r="K4740" s="30">
        <v>411.17</v>
      </c>
      <c r="L4740" s="17"/>
      <c r="M4740" s="29">
        <f t="shared" si="226"/>
        <v>0</v>
      </c>
      <c r="N4740" s="31">
        <f>0.085*L4740</f>
        <v>0</v>
      </c>
      <c r="O4740" s="32">
        <f>0.00065*L4740</f>
        <v>0</v>
      </c>
      <c r="P4740" s="36"/>
      <c r="Q4740" s="29" t="s">
        <v>15724</v>
      </c>
      <c r="R4740" s="29"/>
      <c r="S4740" s="26" t="str">
        <f>HYPERLINK("https://miland.ru/api/getInfo/image/168a8488-c03e-11ee-a25a-00155d82e908")</f>
        <v>https://miland.ru/api/getInfo/image/168a8488-c03e-11ee-a25a-00155d82e908</v>
      </c>
    </row>
    <row r="4741" spans="1:19" s="2" customFormat="1" ht="96.2" customHeight="1" outlineLevel="4">
      <c r="A4741" s="52">
        <v>3741</v>
      </c>
      <c r="B4741" s="26" t="s">
        <v>15725</v>
      </c>
      <c r="C4741" s="66" t="s">
        <v>15726</v>
      </c>
      <c r="D4741" s="66"/>
      <c r="E4741" s="66"/>
      <c r="F4741" s="66"/>
      <c r="G4741" s="27" t="s">
        <v>15727</v>
      </c>
      <c r="H4741" s="33">
        <v>360</v>
      </c>
      <c r="I4741" s="29"/>
      <c r="J4741" s="25">
        <v>1</v>
      </c>
      <c r="K4741" s="30">
        <v>593.03</v>
      </c>
      <c r="L4741" s="17"/>
      <c r="M4741" s="29">
        <f t="shared" si="226"/>
        <v>0</v>
      </c>
      <c r="N4741" s="31">
        <f>0.155*L4741</f>
        <v>0</v>
      </c>
      <c r="O4741" s="32">
        <f>0.00231*L4741</f>
        <v>0</v>
      </c>
      <c r="P4741" s="36"/>
      <c r="Q4741" s="29" t="s">
        <v>15728</v>
      </c>
      <c r="R4741" s="29"/>
      <c r="S4741" s="26" t="str">
        <f>HYPERLINK("https://miland.ru/api/getInfo/image/37e465c3-c03e-11ee-a25a-00155d82e908")</f>
        <v>https://miland.ru/api/getInfo/image/37e465c3-c03e-11ee-a25a-00155d82e908</v>
      </c>
    </row>
    <row r="4742" spans="1:19" s="2" customFormat="1" ht="96.2" customHeight="1" outlineLevel="4">
      <c r="A4742" s="52">
        <v>3742</v>
      </c>
      <c r="B4742" s="26" t="s">
        <v>15729</v>
      </c>
      <c r="C4742" s="66" t="s">
        <v>15730</v>
      </c>
      <c r="D4742" s="66"/>
      <c r="E4742" s="66"/>
      <c r="F4742" s="66"/>
      <c r="G4742" s="27" t="s">
        <v>15731</v>
      </c>
      <c r="H4742" s="33">
        <v>294</v>
      </c>
      <c r="I4742" s="29"/>
      <c r="J4742" s="25">
        <v>1</v>
      </c>
      <c r="K4742" s="30">
        <v>593.03</v>
      </c>
      <c r="L4742" s="17"/>
      <c r="M4742" s="29">
        <f t="shared" si="226"/>
        <v>0</v>
      </c>
      <c r="N4742" s="31">
        <f>0.113*L4742</f>
        <v>0</v>
      </c>
      <c r="O4742" s="32">
        <f>0.00179*L4742</f>
        <v>0</v>
      </c>
      <c r="P4742" s="36"/>
      <c r="Q4742" s="29" t="s">
        <v>15732</v>
      </c>
      <c r="R4742" s="29"/>
      <c r="S4742" s="26" t="str">
        <f>HYPERLINK("https://miland.ru/api/getInfo/image/e61efb75-c03d-11ee-a25a-00155d82e908")</f>
        <v>https://miland.ru/api/getInfo/image/e61efb75-c03d-11ee-a25a-00155d82e908</v>
      </c>
    </row>
    <row r="4743" spans="1:19" s="2" customFormat="1" ht="96.2" customHeight="1" outlineLevel="4">
      <c r="A4743" s="52">
        <v>3743</v>
      </c>
      <c r="B4743" s="26" t="s">
        <v>15733</v>
      </c>
      <c r="C4743" s="66" t="s">
        <v>15734</v>
      </c>
      <c r="D4743" s="66"/>
      <c r="E4743" s="66"/>
      <c r="F4743" s="66"/>
      <c r="G4743" s="27" t="s">
        <v>15735</v>
      </c>
      <c r="H4743" s="33">
        <v>280</v>
      </c>
      <c r="I4743" s="29"/>
      <c r="J4743" s="25">
        <v>2</v>
      </c>
      <c r="K4743" s="30">
        <v>295.72000000000003</v>
      </c>
      <c r="L4743" s="17"/>
      <c r="M4743" s="29">
        <f t="shared" si="226"/>
        <v>0</v>
      </c>
      <c r="N4743" s="34">
        <f>0.11*L4743</f>
        <v>0</v>
      </c>
      <c r="O4743" s="32">
        <f>0.00064*L4743</f>
        <v>0</v>
      </c>
      <c r="P4743" s="36"/>
      <c r="Q4743" s="29" t="s">
        <v>15736</v>
      </c>
      <c r="R4743" s="29"/>
      <c r="S4743" s="26" t="str">
        <f>HYPERLINK("https://miland.ru/api/getInfo/image/d5bd15dc-d8c4-11ef-a273-00155d82e908")</f>
        <v>https://miland.ru/api/getInfo/image/d5bd15dc-d8c4-11ef-a273-00155d82e908</v>
      </c>
    </row>
    <row r="4744" spans="1:19" s="2" customFormat="1" ht="96.2" customHeight="1" outlineLevel="4">
      <c r="A4744" s="52">
        <v>3744</v>
      </c>
      <c r="B4744" s="26" t="s">
        <v>15737</v>
      </c>
      <c r="C4744" s="66" t="s">
        <v>15738</v>
      </c>
      <c r="D4744" s="66"/>
      <c r="E4744" s="66"/>
      <c r="F4744" s="66"/>
      <c r="G4744" s="27" t="s">
        <v>15739</v>
      </c>
      <c r="H4744" s="33">
        <v>290</v>
      </c>
      <c r="I4744" s="29"/>
      <c r="J4744" s="25">
        <v>1</v>
      </c>
      <c r="K4744" s="30">
        <v>492.38</v>
      </c>
      <c r="L4744" s="17"/>
      <c r="M4744" s="29">
        <f t="shared" si="226"/>
        <v>0</v>
      </c>
      <c r="N4744" s="31">
        <f>0.079*L4744</f>
        <v>0</v>
      </c>
      <c r="O4744" s="32">
        <f>0.00089*L4744</f>
        <v>0</v>
      </c>
      <c r="P4744" s="36"/>
      <c r="Q4744" s="29" t="s">
        <v>15740</v>
      </c>
      <c r="R4744" s="29"/>
      <c r="S4744" s="26" t="str">
        <f>HYPERLINK("https://miland.ru/api/getInfo/image/f6f29302-c73f-11ee-a25a-00155d82e908")</f>
        <v>https://miland.ru/api/getInfo/image/f6f29302-c73f-11ee-a25a-00155d82e908</v>
      </c>
    </row>
    <row r="4745" spans="1:19" s="1" customFormat="1" ht="12" customHeight="1" outlineLevel="3">
      <c r="A4745" s="64" t="s">
        <v>15741</v>
      </c>
      <c r="B4745" s="64"/>
      <c r="C4745" s="64"/>
      <c r="D4745" s="64"/>
      <c r="E4745" s="64"/>
      <c r="F4745" s="64"/>
      <c r="G4745" s="8"/>
      <c r="H4745" s="12"/>
      <c r="I4745" s="2"/>
      <c r="J4745" s="2"/>
      <c r="K4745" s="13"/>
      <c r="L4745" s="2"/>
      <c r="M4745" s="2"/>
      <c r="N4745" s="2"/>
      <c r="O4745" s="2"/>
      <c r="P4745" s="2"/>
      <c r="Q4745" s="2"/>
      <c r="R4745" s="2"/>
      <c r="S4745" s="2"/>
    </row>
    <row r="4746" spans="1:19" s="2" customFormat="1" ht="96.2" customHeight="1" outlineLevel="4">
      <c r="A4746" s="52">
        <v>3745</v>
      </c>
      <c r="B4746" s="26" t="s">
        <v>15742</v>
      </c>
      <c r="C4746" s="66" t="s">
        <v>15743</v>
      </c>
      <c r="D4746" s="66"/>
      <c r="E4746" s="66"/>
      <c r="F4746" s="66"/>
      <c r="G4746" s="27" t="s">
        <v>15744</v>
      </c>
      <c r="H4746" s="33">
        <v>23</v>
      </c>
      <c r="I4746" s="29"/>
      <c r="J4746" s="25">
        <v>1</v>
      </c>
      <c r="K4746" s="30">
        <v>430.15</v>
      </c>
      <c r="L4746" s="17"/>
      <c r="M4746" s="29">
        <f>K4746*L4746</f>
        <v>0</v>
      </c>
      <c r="N4746" s="31">
        <f>0.157*L4746</f>
        <v>0</v>
      </c>
      <c r="O4746" s="32">
        <f>0.01055*L4746</f>
        <v>0</v>
      </c>
      <c r="P4746" s="36"/>
      <c r="Q4746" s="29" t="s">
        <v>15745</v>
      </c>
      <c r="R4746" s="29" t="s">
        <v>611</v>
      </c>
      <c r="S4746" s="26" t="str">
        <f>HYPERLINK("https://miland.ru/api/getInfo/image/21779702-d9ce-11ed-a232-00155d82e902")</f>
        <v>https://miland.ru/api/getInfo/image/21779702-d9ce-11ed-a232-00155d82e902</v>
      </c>
    </row>
    <row r="4747" spans="1:19" s="2" customFormat="1" ht="96.2" customHeight="1" outlineLevel="4">
      <c r="A4747" s="52">
        <v>3746</v>
      </c>
      <c r="B4747" s="26" t="s">
        <v>15746</v>
      </c>
      <c r="C4747" s="66" t="s">
        <v>15747</v>
      </c>
      <c r="D4747" s="66"/>
      <c r="E4747" s="66"/>
      <c r="F4747" s="66"/>
      <c r="G4747" s="27" t="s">
        <v>15748</v>
      </c>
      <c r="H4747" s="33">
        <v>2</v>
      </c>
      <c r="I4747" s="29"/>
      <c r="J4747" s="25">
        <v>2</v>
      </c>
      <c r="K4747" s="30">
        <v>346.51</v>
      </c>
      <c r="L4747" s="17"/>
      <c r="M4747" s="29">
        <f>K4747*L4747</f>
        <v>0</v>
      </c>
      <c r="N4747" s="31">
        <f>0.075*L4747</f>
        <v>0</v>
      </c>
      <c r="O4747" s="32">
        <f>0.00155*L4747</f>
        <v>0</v>
      </c>
      <c r="P4747" s="36"/>
      <c r="Q4747" s="29" t="s">
        <v>15749</v>
      </c>
      <c r="R4747" s="29"/>
      <c r="S4747" s="26" t="str">
        <f>HYPERLINK("https://miland.ru/api/getInfo/image/f6a284ee-c746-11ee-a25a-00155d82e908")</f>
        <v>https://miland.ru/api/getInfo/image/f6a284ee-c746-11ee-a25a-00155d82e908</v>
      </c>
    </row>
    <row r="4748" spans="1:19" s="1" customFormat="1" ht="12" customHeight="1" outlineLevel="3">
      <c r="A4748" s="64" t="s">
        <v>15750</v>
      </c>
      <c r="B4748" s="64"/>
      <c r="C4748" s="64"/>
      <c r="D4748" s="64"/>
      <c r="E4748" s="64"/>
      <c r="F4748" s="64"/>
      <c r="G4748" s="8"/>
      <c r="H4748" s="12"/>
      <c r="I4748" s="2"/>
      <c r="J4748" s="2"/>
      <c r="K4748" s="13"/>
      <c r="L4748" s="2"/>
      <c r="M4748" s="2"/>
      <c r="N4748" s="2"/>
      <c r="O4748" s="2"/>
      <c r="P4748" s="2"/>
      <c r="Q4748" s="2"/>
      <c r="R4748" s="2"/>
      <c r="S4748" s="2"/>
    </row>
    <row r="4749" spans="1:19" s="2" customFormat="1" ht="96.2" customHeight="1" outlineLevel="4">
      <c r="A4749" s="52">
        <v>3747</v>
      </c>
      <c r="B4749" s="26" t="s">
        <v>15751</v>
      </c>
      <c r="C4749" s="66" t="s">
        <v>15752</v>
      </c>
      <c r="D4749" s="66"/>
      <c r="E4749" s="66"/>
      <c r="F4749" s="66"/>
      <c r="G4749" s="27" t="s">
        <v>15753</v>
      </c>
      <c r="H4749" s="33">
        <v>8</v>
      </c>
      <c r="I4749" s="29"/>
      <c r="J4749" s="25">
        <v>8</v>
      </c>
      <c r="K4749" s="30">
        <v>112.44</v>
      </c>
      <c r="L4749" s="17"/>
      <c r="M4749" s="29">
        <f>K4749*L4749</f>
        <v>0</v>
      </c>
      <c r="N4749" s="31">
        <f>0.024*L4749</f>
        <v>0</v>
      </c>
      <c r="O4749" s="32">
        <f>0.00021*L4749</f>
        <v>0</v>
      </c>
      <c r="P4749" s="36"/>
      <c r="Q4749" s="29" t="s">
        <v>15754</v>
      </c>
      <c r="R4749" s="29" t="s">
        <v>611</v>
      </c>
      <c r="S4749" s="26" t="str">
        <f>HYPERLINK("https://miland.ru/api/getInfo/image/77d91dc1-ca1e-11ed-a230-00155d82e902")</f>
        <v>https://miland.ru/api/getInfo/image/77d91dc1-ca1e-11ed-a230-00155d82e902</v>
      </c>
    </row>
    <row r="4750" spans="1:19" s="1" customFormat="1" ht="12" customHeight="1" outlineLevel="3">
      <c r="A4750" s="64" t="s">
        <v>15755</v>
      </c>
      <c r="B4750" s="64"/>
      <c r="C4750" s="64"/>
      <c r="D4750" s="64"/>
      <c r="E4750" s="64"/>
      <c r="F4750" s="64"/>
      <c r="G4750" s="8"/>
      <c r="H4750" s="12"/>
      <c r="I4750" s="2"/>
      <c r="J4750" s="2"/>
      <c r="K4750" s="13"/>
      <c r="L4750" s="2"/>
      <c r="M4750" s="2"/>
      <c r="N4750" s="2"/>
      <c r="O4750" s="2"/>
      <c r="P4750" s="2"/>
      <c r="Q4750" s="2"/>
      <c r="R4750" s="2"/>
      <c r="S4750" s="2"/>
    </row>
    <row r="4751" spans="1:19" s="2" customFormat="1" ht="96.2" customHeight="1" outlineLevel="4">
      <c r="A4751" s="52">
        <v>3748</v>
      </c>
      <c r="B4751" s="26" t="s">
        <v>15756</v>
      </c>
      <c r="C4751" s="66" t="s">
        <v>15757</v>
      </c>
      <c r="D4751" s="66"/>
      <c r="E4751" s="66"/>
      <c r="F4751" s="66"/>
      <c r="G4751" s="27" t="s">
        <v>15758</v>
      </c>
      <c r="H4751" s="33">
        <v>2</v>
      </c>
      <c r="I4751" s="29"/>
      <c r="J4751" s="25">
        <v>2</v>
      </c>
      <c r="K4751" s="30">
        <v>199.13</v>
      </c>
      <c r="L4751" s="17"/>
      <c r="M4751" s="29">
        <f>K4751*L4751</f>
        <v>0</v>
      </c>
      <c r="N4751" s="31">
        <f>0.098*L4751</f>
        <v>0</v>
      </c>
      <c r="O4751" s="32">
        <f>0.00106*L4751</f>
        <v>0</v>
      </c>
      <c r="P4751" s="36"/>
      <c r="Q4751" s="29" t="s">
        <v>15759</v>
      </c>
      <c r="R4751" s="29" t="s">
        <v>611</v>
      </c>
      <c r="S4751" s="26" t="str">
        <f>HYPERLINK("https://miland.ru/api/getInfo/image/903e2577-ca20-11ed-a230-00155d82e902")</f>
        <v>https://miland.ru/api/getInfo/image/903e2577-ca20-11ed-a230-00155d82e902</v>
      </c>
    </row>
    <row r="4752" spans="1:19" s="2" customFormat="1" ht="96.2" customHeight="1" outlineLevel="4">
      <c r="A4752" s="52">
        <v>3749</v>
      </c>
      <c r="B4752" s="26" t="s">
        <v>15760</v>
      </c>
      <c r="C4752" s="66" t="s">
        <v>15761</v>
      </c>
      <c r="D4752" s="66"/>
      <c r="E4752" s="66"/>
      <c r="F4752" s="66"/>
      <c r="G4752" s="27" t="s">
        <v>15762</v>
      </c>
      <c r="H4752" s="33">
        <v>3</v>
      </c>
      <c r="I4752" s="29"/>
      <c r="J4752" s="25">
        <v>3</v>
      </c>
      <c r="K4752" s="30">
        <v>158.15</v>
      </c>
      <c r="L4752" s="17"/>
      <c r="M4752" s="29">
        <f>K4752*L4752</f>
        <v>0</v>
      </c>
      <c r="N4752" s="31">
        <f>0.015*L4752</f>
        <v>0</v>
      </c>
      <c r="O4752" s="32">
        <f>0.00035*L4752</f>
        <v>0</v>
      </c>
      <c r="P4752" s="36"/>
      <c r="Q4752" s="29" t="s">
        <v>15763</v>
      </c>
      <c r="R4752" s="29" t="s">
        <v>611</v>
      </c>
      <c r="S4752" s="26" t="str">
        <f>HYPERLINK("https://miland.ru/api/getInfo/image/63402851-c0ca-11ee-a25a-00155d82e908")</f>
        <v>https://miland.ru/api/getInfo/image/63402851-c0ca-11ee-a25a-00155d82e908</v>
      </c>
    </row>
    <row r="4753" spans="1:19" s="1" customFormat="1" ht="12" customHeight="1" outlineLevel="3">
      <c r="A4753" s="64" t="s">
        <v>177</v>
      </c>
      <c r="B4753" s="64"/>
      <c r="C4753" s="64"/>
      <c r="D4753" s="64"/>
      <c r="E4753" s="64"/>
      <c r="F4753" s="64"/>
      <c r="G4753" s="8"/>
      <c r="H4753" s="12"/>
      <c r="I4753" s="2"/>
      <c r="J4753" s="2"/>
      <c r="K4753" s="13"/>
      <c r="L4753" s="2"/>
      <c r="M4753" s="2"/>
      <c r="N4753" s="2"/>
      <c r="O4753" s="2"/>
      <c r="P4753" s="2"/>
      <c r="Q4753" s="2"/>
      <c r="R4753" s="2"/>
      <c r="S4753" s="2"/>
    </row>
    <row r="4754" spans="1:19" s="2" customFormat="1" ht="96.2" customHeight="1" outlineLevel="4">
      <c r="A4754" s="52">
        <v>3750</v>
      </c>
      <c r="B4754" s="26" t="s">
        <v>15764</v>
      </c>
      <c r="C4754" s="66" t="s">
        <v>15765</v>
      </c>
      <c r="D4754" s="66"/>
      <c r="E4754" s="66"/>
      <c r="F4754" s="66"/>
      <c r="G4754" s="27" t="s">
        <v>15766</v>
      </c>
      <c r="H4754" s="33">
        <v>5</v>
      </c>
      <c r="I4754" s="29"/>
      <c r="J4754" s="25">
        <v>4</v>
      </c>
      <c r="K4754" s="30">
        <v>155.33000000000001</v>
      </c>
      <c r="L4754" s="17"/>
      <c r="M4754" s="29">
        <f>K4754*L4754</f>
        <v>0</v>
      </c>
      <c r="N4754" s="31">
        <f>0.051*L4754</f>
        <v>0</v>
      </c>
      <c r="O4754" s="32">
        <f>0.00047*L4754</f>
        <v>0</v>
      </c>
      <c r="P4754" s="36"/>
      <c r="Q4754" s="29" t="s">
        <v>15767</v>
      </c>
      <c r="R4754" s="29" t="s">
        <v>611</v>
      </c>
      <c r="S4754" s="26" t="str">
        <f>HYPERLINK("https://miland.ru/api/getInfo/image/936c4996-d9ed-11ed-a232-00155d82e902")</f>
        <v>https://miland.ru/api/getInfo/image/936c4996-d9ed-11ed-a232-00155d82e902</v>
      </c>
    </row>
    <row r="4755" spans="1:19" s="1" customFormat="1" ht="12" customHeight="1" outlineLevel="3">
      <c r="A4755" s="64" t="s">
        <v>15768</v>
      </c>
      <c r="B4755" s="64"/>
      <c r="C4755" s="64"/>
      <c r="D4755" s="64"/>
      <c r="E4755" s="64"/>
      <c r="F4755" s="64"/>
      <c r="G4755" s="8"/>
      <c r="H4755" s="12"/>
      <c r="I4755" s="2"/>
      <c r="J4755" s="2"/>
      <c r="K4755" s="13"/>
      <c r="L4755" s="2"/>
      <c r="M4755" s="2"/>
      <c r="N4755" s="2"/>
      <c r="O4755" s="2"/>
      <c r="P4755" s="2"/>
      <c r="Q4755" s="2"/>
      <c r="R4755" s="2"/>
      <c r="S4755" s="2"/>
    </row>
    <row r="4756" spans="1:19" s="2" customFormat="1" ht="96.2" customHeight="1" outlineLevel="4">
      <c r="A4756" s="52">
        <v>3751</v>
      </c>
      <c r="B4756" s="26" t="s">
        <v>15769</v>
      </c>
      <c r="C4756" s="66" t="s">
        <v>15770</v>
      </c>
      <c r="D4756" s="66"/>
      <c r="E4756" s="66"/>
      <c r="F4756" s="66"/>
      <c r="G4756" s="27" t="s">
        <v>15771</v>
      </c>
      <c r="H4756" s="33">
        <v>168</v>
      </c>
      <c r="I4756" s="29"/>
      <c r="J4756" s="25">
        <v>3</v>
      </c>
      <c r="K4756" s="30">
        <v>189.39</v>
      </c>
      <c r="L4756" s="17"/>
      <c r="M4756" s="29">
        <f t="shared" ref="M4756:M4763" si="227">K4756*L4756</f>
        <v>0</v>
      </c>
      <c r="N4756" s="34">
        <f>0.05*L4756</f>
        <v>0</v>
      </c>
      <c r="O4756" s="32">
        <f>0.00136*L4756</f>
        <v>0</v>
      </c>
      <c r="P4756" s="36"/>
      <c r="Q4756" s="29" t="s">
        <v>15772</v>
      </c>
      <c r="R4756" s="29"/>
      <c r="S4756" s="26" t="str">
        <f>HYPERLINK("https://miland.ru/api/getInfo/image/582eb2f7-d8c4-11ef-a273-00155d82e908")</f>
        <v>https://miland.ru/api/getInfo/image/582eb2f7-d8c4-11ef-a273-00155d82e908</v>
      </c>
    </row>
    <row r="4757" spans="1:19" s="2" customFormat="1" ht="96.2" customHeight="1" outlineLevel="4">
      <c r="A4757" s="52">
        <v>3752</v>
      </c>
      <c r="B4757" s="26" t="s">
        <v>15773</v>
      </c>
      <c r="C4757" s="66" t="s">
        <v>15774</v>
      </c>
      <c r="D4757" s="66"/>
      <c r="E4757" s="66"/>
      <c r="F4757" s="66"/>
      <c r="G4757" s="27" t="s">
        <v>15775</v>
      </c>
      <c r="H4757" s="28" t="s">
        <v>44</v>
      </c>
      <c r="I4757" s="29"/>
      <c r="J4757" s="25">
        <v>3</v>
      </c>
      <c r="K4757" s="30">
        <v>201.66</v>
      </c>
      <c r="L4757" s="17"/>
      <c r="M4757" s="29">
        <f t="shared" si="227"/>
        <v>0</v>
      </c>
      <c r="N4757" s="31">
        <f>0.212*L4757</f>
        <v>0</v>
      </c>
      <c r="O4757" s="32">
        <f>0.00048*L4757</f>
        <v>0</v>
      </c>
      <c r="P4757" s="36"/>
      <c r="Q4757" s="29" t="s">
        <v>15776</v>
      </c>
      <c r="R4757" s="29"/>
      <c r="S4757" s="26" t="str">
        <f>HYPERLINK("https://miland.ru/api/getInfo/image/b30913e0-c002-11ee-a25a-00155d82e908")</f>
        <v>https://miland.ru/api/getInfo/image/b30913e0-c002-11ee-a25a-00155d82e908</v>
      </c>
    </row>
    <row r="4758" spans="1:19" s="2" customFormat="1" ht="96.2" customHeight="1" outlineLevel="4">
      <c r="A4758" s="52">
        <v>3753</v>
      </c>
      <c r="B4758" s="26" t="s">
        <v>15777</v>
      </c>
      <c r="C4758" s="66" t="s">
        <v>15778</v>
      </c>
      <c r="D4758" s="66"/>
      <c r="E4758" s="66"/>
      <c r="F4758" s="66"/>
      <c r="G4758" s="27" t="s">
        <v>15779</v>
      </c>
      <c r="H4758" s="28" t="s">
        <v>44</v>
      </c>
      <c r="I4758" s="29"/>
      <c r="J4758" s="25">
        <v>2</v>
      </c>
      <c r="K4758" s="30">
        <v>293.33</v>
      </c>
      <c r="L4758" s="17"/>
      <c r="M4758" s="29">
        <f t="shared" si="227"/>
        <v>0</v>
      </c>
      <c r="N4758" s="31">
        <f>0.053*L4758</f>
        <v>0</v>
      </c>
      <c r="O4758" s="32">
        <f>0.00297*L4758</f>
        <v>0</v>
      </c>
      <c r="P4758" s="36"/>
      <c r="Q4758" s="29" t="s">
        <v>15780</v>
      </c>
      <c r="R4758" s="29"/>
      <c r="S4758" s="26" t="str">
        <f>HYPERLINK("https://miland.ru/api/getInfo/image/5cbbbbd9-c003-11ee-a25a-00155d82e908")</f>
        <v>https://miland.ru/api/getInfo/image/5cbbbbd9-c003-11ee-a25a-00155d82e908</v>
      </c>
    </row>
    <row r="4759" spans="1:19" s="2" customFormat="1" ht="96.2" customHeight="1" outlineLevel="4">
      <c r="A4759" s="52">
        <v>3754</v>
      </c>
      <c r="B4759" s="26" t="s">
        <v>15781</v>
      </c>
      <c r="C4759" s="66" t="s">
        <v>15782</v>
      </c>
      <c r="D4759" s="66"/>
      <c r="E4759" s="66"/>
      <c r="F4759" s="66"/>
      <c r="G4759" s="27" t="s">
        <v>15783</v>
      </c>
      <c r="H4759" s="28" t="s">
        <v>44</v>
      </c>
      <c r="I4759" s="29"/>
      <c r="J4759" s="25">
        <v>3</v>
      </c>
      <c r="K4759" s="30">
        <v>191.78</v>
      </c>
      <c r="L4759" s="17"/>
      <c r="M4759" s="29">
        <f t="shared" si="227"/>
        <v>0</v>
      </c>
      <c r="N4759" s="31">
        <f>0.032*L4759</f>
        <v>0</v>
      </c>
      <c r="O4759" s="32">
        <f>0.00032*L4759</f>
        <v>0</v>
      </c>
      <c r="P4759" s="36"/>
      <c r="Q4759" s="29" t="s">
        <v>15784</v>
      </c>
      <c r="R4759" s="29"/>
      <c r="S4759" s="26" t="str">
        <f>HYPERLINK("https://miland.ru/api/getInfo/image/3ffe1702-c003-11ee-a25a-00155d82e908")</f>
        <v>https://miland.ru/api/getInfo/image/3ffe1702-c003-11ee-a25a-00155d82e908</v>
      </c>
    </row>
    <row r="4760" spans="1:19" s="2" customFormat="1" ht="96.2" customHeight="1" outlineLevel="4">
      <c r="A4760" s="52">
        <v>3755</v>
      </c>
      <c r="B4760" s="26" t="s">
        <v>15785</v>
      </c>
      <c r="C4760" s="66" t="s">
        <v>15786</v>
      </c>
      <c r="D4760" s="66"/>
      <c r="E4760" s="66"/>
      <c r="F4760" s="66"/>
      <c r="G4760" s="27" t="s">
        <v>15787</v>
      </c>
      <c r="H4760" s="28" t="s">
        <v>44</v>
      </c>
      <c r="I4760" s="29"/>
      <c r="J4760" s="25">
        <v>4</v>
      </c>
      <c r="K4760" s="30">
        <v>168.47</v>
      </c>
      <c r="L4760" s="17"/>
      <c r="M4760" s="29">
        <f t="shared" si="227"/>
        <v>0</v>
      </c>
      <c r="N4760" s="31">
        <f>0.036*L4760</f>
        <v>0</v>
      </c>
      <c r="O4760" s="32">
        <f>0.00031*L4760</f>
        <v>0</v>
      </c>
      <c r="P4760" s="36"/>
      <c r="Q4760" s="29" t="s">
        <v>15788</v>
      </c>
      <c r="R4760" s="29"/>
      <c r="S4760" s="26" t="str">
        <f>HYPERLINK("https://miland.ru/api/getInfo/image/07893768-c003-11ee-a25a-00155d82e908")</f>
        <v>https://miland.ru/api/getInfo/image/07893768-c003-11ee-a25a-00155d82e908</v>
      </c>
    </row>
    <row r="4761" spans="1:19" s="2" customFormat="1" ht="96.2" customHeight="1" outlineLevel="4">
      <c r="A4761" s="52">
        <v>3756</v>
      </c>
      <c r="B4761" s="26" t="s">
        <v>15789</v>
      </c>
      <c r="C4761" s="66" t="s">
        <v>15790</v>
      </c>
      <c r="D4761" s="66"/>
      <c r="E4761" s="66"/>
      <c r="F4761" s="66"/>
      <c r="G4761" s="27" t="s">
        <v>15791</v>
      </c>
      <c r="H4761" s="33">
        <v>397</v>
      </c>
      <c r="I4761" s="29"/>
      <c r="J4761" s="25">
        <v>3</v>
      </c>
      <c r="K4761" s="30">
        <v>212.39</v>
      </c>
      <c r="L4761" s="17"/>
      <c r="M4761" s="29">
        <f t="shared" si="227"/>
        <v>0</v>
      </c>
      <c r="N4761" s="31">
        <f>0.085*L4761</f>
        <v>0</v>
      </c>
      <c r="O4761" s="32">
        <f>0.00313*L4761</f>
        <v>0</v>
      </c>
      <c r="P4761" s="36"/>
      <c r="Q4761" s="29" t="s">
        <v>15792</v>
      </c>
      <c r="R4761" s="29"/>
      <c r="S4761" s="26" t="str">
        <f>HYPERLINK("https://miland.ru/api/getInfo/image/b7beb2ea-1804-11ea-a237-ac1f6b442184")</f>
        <v>https://miland.ru/api/getInfo/image/b7beb2ea-1804-11ea-a237-ac1f6b442184</v>
      </c>
    </row>
    <row r="4762" spans="1:19" s="2" customFormat="1" ht="96.2" customHeight="1" outlineLevel="4">
      <c r="A4762" s="53">
        <v>3757</v>
      </c>
      <c r="B4762" s="10" t="s">
        <v>15793</v>
      </c>
      <c r="C4762" s="65" t="s">
        <v>15794</v>
      </c>
      <c r="D4762" s="65"/>
      <c r="E4762" s="65"/>
      <c r="F4762" s="65"/>
      <c r="G4762" s="11" t="s">
        <v>15795</v>
      </c>
      <c r="H4762" s="14">
        <v>206</v>
      </c>
      <c r="I4762" s="15"/>
      <c r="J4762" s="9">
        <v>2</v>
      </c>
      <c r="K4762" s="16">
        <v>236.98</v>
      </c>
      <c r="L4762" s="17"/>
      <c r="M4762" s="15">
        <f t="shared" si="227"/>
        <v>0</v>
      </c>
      <c r="N4762" s="23">
        <f>0.08*L4762</f>
        <v>0</v>
      </c>
      <c r="O4762" s="19">
        <f>0.00091*L4762</f>
        <v>0</v>
      </c>
      <c r="P4762" s="24" t="s">
        <v>26</v>
      </c>
      <c r="Q4762" s="15" t="s">
        <v>15796</v>
      </c>
      <c r="R4762" s="15"/>
      <c r="S4762" s="10" t="str">
        <f>HYPERLINK("https://miland.ru/api/getInfo/image/5a3f256f-2e58-11f1-a292-00155d82e908")</f>
        <v>https://miland.ru/api/getInfo/image/5a3f256f-2e58-11f1-a292-00155d82e908</v>
      </c>
    </row>
    <row r="4763" spans="1:19" s="2" customFormat="1" ht="96.2" customHeight="1" outlineLevel="4">
      <c r="A4763" s="52">
        <v>3758</v>
      </c>
      <c r="B4763" s="26" t="s">
        <v>15797</v>
      </c>
      <c r="C4763" s="66" t="s">
        <v>15798</v>
      </c>
      <c r="D4763" s="66"/>
      <c r="E4763" s="66"/>
      <c r="F4763" s="66"/>
      <c r="G4763" s="27" t="s">
        <v>15799</v>
      </c>
      <c r="H4763" s="33">
        <v>324</v>
      </c>
      <c r="I4763" s="29"/>
      <c r="J4763" s="25">
        <v>1</v>
      </c>
      <c r="K4763" s="30">
        <v>490.44</v>
      </c>
      <c r="L4763" s="17"/>
      <c r="M4763" s="29">
        <f t="shared" si="227"/>
        <v>0</v>
      </c>
      <c r="N4763" s="41">
        <f>0.1*L4763</f>
        <v>0</v>
      </c>
      <c r="O4763" s="32">
        <f>0.01916*L4763</f>
        <v>0</v>
      </c>
      <c r="P4763" s="36"/>
      <c r="Q4763" s="29" t="s">
        <v>15800</v>
      </c>
      <c r="R4763" s="29"/>
      <c r="S4763" s="26" t="str">
        <f>HYPERLINK("https://miland.ru/api/getInfo/image/5ffe4bdd-d9d3-11ed-a232-00155d82e902")</f>
        <v>https://miland.ru/api/getInfo/image/5ffe4bdd-d9d3-11ed-a232-00155d82e902</v>
      </c>
    </row>
    <row r="4764" spans="1:19" s="1" customFormat="1" ht="12" customHeight="1" outlineLevel="2">
      <c r="A4764" s="63" t="s">
        <v>15801</v>
      </c>
      <c r="B4764" s="63"/>
      <c r="C4764" s="63"/>
      <c r="D4764" s="63"/>
      <c r="E4764" s="63"/>
      <c r="F4764" s="63"/>
      <c r="G4764" s="8"/>
      <c r="H4764" s="12"/>
      <c r="I4764" s="2"/>
      <c r="J4764" s="2"/>
      <c r="K4764" s="13"/>
      <c r="L4764" s="2"/>
      <c r="M4764" s="2"/>
      <c r="N4764" s="2"/>
      <c r="O4764" s="2"/>
      <c r="P4764" s="2"/>
      <c r="Q4764" s="2"/>
      <c r="R4764" s="2"/>
      <c r="S4764" s="2"/>
    </row>
    <row r="4765" spans="1:19" s="1" customFormat="1" ht="12" customHeight="1" outlineLevel="3">
      <c r="A4765" s="64" t="s">
        <v>15802</v>
      </c>
      <c r="B4765" s="64"/>
      <c r="C4765" s="64"/>
      <c r="D4765" s="64"/>
      <c r="E4765" s="64"/>
      <c r="F4765" s="64"/>
      <c r="G4765" s="8"/>
      <c r="H4765" s="12"/>
      <c r="I4765" s="2"/>
      <c r="J4765" s="2"/>
      <c r="K4765" s="13"/>
      <c r="L4765" s="2"/>
      <c r="M4765" s="2"/>
      <c r="N4765" s="2"/>
      <c r="O4765" s="2"/>
      <c r="P4765" s="2"/>
      <c r="Q4765" s="2"/>
      <c r="R4765" s="2"/>
      <c r="S4765" s="2"/>
    </row>
    <row r="4766" spans="1:19" s="2" customFormat="1" ht="96.2" customHeight="1" outlineLevel="4">
      <c r="A4766" s="52">
        <v>3759</v>
      </c>
      <c r="B4766" s="26" t="s">
        <v>15803</v>
      </c>
      <c r="C4766" s="66" t="s">
        <v>15804</v>
      </c>
      <c r="D4766" s="66"/>
      <c r="E4766" s="66"/>
      <c r="F4766" s="66"/>
      <c r="G4766" s="27" t="s">
        <v>15805</v>
      </c>
      <c r="H4766" s="33">
        <v>264</v>
      </c>
      <c r="I4766" s="29"/>
      <c r="J4766" s="25">
        <v>1</v>
      </c>
      <c r="K4766" s="37">
        <v>1005.2</v>
      </c>
      <c r="L4766" s="17"/>
      <c r="M4766" s="29">
        <f>K4766*L4766</f>
        <v>0</v>
      </c>
      <c r="N4766" s="31">
        <f>0.367*L4766</f>
        <v>0</v>
      </c>
      <c r="O4766" s="32">
        <f>0.00304*L4766</f>
        <v>0</v>
      </c>
      <c r="P4766" s="36"/>
      <c r="Q4766" s="29" t="s">
        <v>15806</v>
      </c>
      <c r="R4766" s="29"/>
      <c r="S4766" s="26" t="str">
        <f>HYPERLINK("https://miland.ru/api/getInfo/image/6ed9f9ae-7720-11ee-a248-00155d82e902")</f>
        <v>https://miland.ru/api/getInfo/image/6ed9f9ae-7720-11ee-a248-00155d82e902</v>
      </c>
    </row>
    <row r="4767" spans="1:19" s="2" customFormat="1" ht="96.2" customHeight="1" outlineLevel="4">
      <c r="A4767" s="52">
        <v>3760</v>
      </c>
      <c r="B4767" s="26" t="s">
        <v>15807</v>
      </c>
      <c r="C4767" s="66" t="s">
        <v>15808</v>
      </c>
      <c r="D4767" s="66"/>
      <c r="E4767" s="66"/>
      <c r="F4767" s="66"/>
      <c r="G4767" s="27" t="s">
        <v>15809</v>
      </c>
      <c r="H4767" s="33">
        <v>207</v>
      </c>
      <c r="I4767" s="29"/>
      <c r="J4767" s="25">
        <v>1</v>
      </c>
      <c r="K4767" s="30">
        <v>714.23</v>
      </c>
      <c r="L4767" s="17"/>
      <c r="M4767" s="29">
        <f>K4767*L4767</f>
        <v>0</v>
      </c>
      <c r="N4767" s="31">
        <f>0.353*L4767</f>
        <v>0</v>
      </c>
      <c r="O4767" s="32">
        <f>0.00313*L4767</f>
        <v>0</v>
      </c>
      <c r="P4767" s="36"/>
      <c r="Q4767" s="29" t="s">
        <v>15810</v>
      </c>
      <c r="R4767" s="29"/>
      <c r="S4767" s="26" t="str">
        <f>HYPERLINK("https://miland.ru/api/getInfo/image/55f03d04-7720-11ee-a248-00155d82e902")</f>
        <v>https://miland.ru/api/getInfo/image/55f03d04-7720-11ee-a248-00155d82e902</v>
      </c>
    </row>
    <row r="4768" spans="1:19" s="1" customFormat="1" ht="12" customHeight="1" outlineLevel="3">
      <c r="A4768" s="64" t="s">
        <v>15811</v>
      </c>
      <c r="B4768" s="64"/>
      <c r="C4768" s="64"/>
      <c r="D4768" s="64"/>
      <c r="E4768" s="64"/>
      <c r="F4768" s="64"/>
      <c r="G4768" s="8"/>
      <c r="H4768" s="12"/>
      <c r="I4768" s="2"/>
      <c r="J4768" s="2"/>
      <c r="K4768" s="13"/>
      <c r="L4768" s="2"/>
      <c r="M4768" s="2"/>
      <c r="N4768" s="2"/>
      <c r="O4768" s="2"/>
      <c r="P4768" s="2"/>
      <c r="Q4768" s="2"/>
      <c r="R4768" s="2"/>
      <c r="S4768" s="2"/>
    </row>
    <row r="4769" spans="1:19" s="2" customFormat="1" ht="96.2" customHeight="1" outlineLevel="4">
      <c r="A4769" s="52">
        <v>3761</v>
      </c>
      <c r="B4769" s="26" t="s">
        <v>15812</v>
      </c>
      <c r="C4769" s="66" t="s">
        <v>15813</v>
      </c>
      <c r="D4769" s="66"/>
      <c r="E4769" s="66"/>
      <c r="F4769" s="66"/>
      <c r="G4769" s="27" t="s">
        <v>15814</v>
      </c>
      <c r="H4769" s="33">
        <v>6</v>
      </c>
      <c r="I4769" s="29"/>
      <c r="J4769" s="25">
        <v>2</v>
      </c>
      <c r="K4769" s="30">
        <v>338.19</v>
      </c>
      <c r="L4769" s="17"/>
      <c r="M4769" s="29">
        <f>K4769*L4769</f>
        <v>0</v>
      </c>
      <c r="N4769" s="31">
        <f>0.048*L4769</f>
        <v>0</v>
      </c>
      <c r="O4769" s="32">
        <f>0.00162*L4769</f>
        <v>0</v>
      </c>
      <c r="P4769" s="36"/>
      <c r="Q4769" s="29" t="s">
        <v>15815</v>
      </c>
      <c r="R4769" s="29"/>
      <c r="S4769" s="26" t="str">
        <f>HYPERLINK("https://miland.ru/api/getInfo/image/210dc58d-c0d6-11ee-a25a-00155d82e908")</f>
        <v>https://miland.ru/api/getInfo/image/210dc58d-c0d6-11ee-a25a-00155d82e908</v>
      </c>
    </row>
    <row r="4770" spans="1:19" s="2" customFormat="1" ht="96.2" customHeight="1" outlineLevel="4">
      <c r="A4770" s="52">
        <v>3762</v>
      </c>
      <c r="B4770" s="26" t="s">
        <v>15816</v>
      </c>
      <c r="C4770" s="66" t="s">
        <v>15817</v>
      </c>
      <c r="D4770" s="66"/>
      <c r="E4770" s="66"/>
      <c r="F4770" s="66"/>
      <c r="G4770" s="27" t="s">
        <v>15818</v>
      </c>
      <c r="H4770" s="33">
        <v>6</v>
      </c>
      <c r="I4770" s="29"/>
      <c r="J4770" s="25">
        <v>2</v>
      </c>
      <c r="K4770" s="30">
        <v>325.62</v>
      </c>
      <c r="L4770" s="17"/>
      <c r="M4770" s="29">
        <f>K4770*L4770</f>
        <v>0</v>
      </c>
      <c r="N4770" s="34">
        <f>0.08*L4770</f>
        <v>0</v>
      </c>
      <c r="O4770" s="32">
        <f>0.00392*L4770</f>
        <v>0</v>
      </c>
      <c r="P4770" s="36"/>
      <c r="Q4770" s="29" t="s">
        <v>15819</v>
      </c>
      <c r="R4770" s="29" t="s">
        <v>611</v>
      </c>
      <c r="S4770" s="26" t="str">
        <f>HYPERLINK("https://miland.ru/api/getInfo/image/f8002b92-17f8-11ea-a237-ac1f6b442184")</f>
        <v>https://miland.ru/api/getInfo/image/f8002b92-17f8-11ea-a237-ac1f6b442184</v>
      </c>
    </row>
    <row r="4771" spans="1:19" s="1" customFormat="1" ht="12" customHeight="1" outlineLevel="3">
      <c r="A4771" s="64" t="s">
        <v>15820</v>
      </c>
      <c r="B4771" s="64"/>
      <c r="C4771" s="64"/>
      <c r="D4771" s="64"/>
      <c r="E4771" s="64"/>
      <c r="F4771" s="64"/>
      <c r="G4771" s="8"/>
      <c r="H4771" s="12"/>
      <c r="I4771" s="2"/>
      <c r="J4771" s="2"/>
      <c r="K4771" s="13"/>
      <c r="L4771" s="2"/>
      <c r="M4771" s="2"/>
      <c r="N4771" s="2"/>
      <c r="O4771" s="2"/>
      <c r="P4771" s="2"/>
      <c r="Q4771" s="2"/>
      <c r="R4771" s="2"/>
      <c r="S4771" s="2"/>
    </row>
    <row r="4772" spans="1:19" s="2" customFormat="1" ht="96.2" customHeight="1" outlineLevel="4">
      <c r="A4772" s="52">
        <v>3763</v>
      </c>
      <c r="B4772" s="26" t="s">
        <v>15821</v>
      </c>
      <c r="C4772" s="66" t="s">
        <v>15822</v>
      </c>
      <c r="D4772" s="66"/>
      <c r="E4772" s="66"/>
      <c r="F4772" s="66"/>
      <c r="G4772" s="27" t="s">
        <v>15823</v>
      </c>
      <c r="H4772" s="33">
        <v>145</v>
      </c>
      <c r="I4772" s="29"/>
      <c r="J4772" s="25">
        <v>1</v>
      </c>
      <c r="K4772" s="30">
        <v>228.01</v>
      </c>
      <c r="L4772" s="17"/>
      <c r="M4772" s="29">
        <f t="shared" ref="M4772:M4783" si="228">K4772*L4772</f>
        <v>0</v>
      </c>
      <c r="N4772" s="31">
        <f>0.095*L4772</f>
        <v>0</v>
      </c>
      <c r="O4772" s="32">
        <f>0.00062*L4772</f>
        <v>0</v>
      </c>
      <c r="P4772" s="36"/>
      <c r="Q4772" s="29" t="s">
        <v>15824</v>
      </c>
      <c r="R4772" s="29" t="s">
        <v>611</v>
      </c>
      <c r="S4772" s="26" t="str">
        <f>HYPERLINK("https://miland.ru/api/getInfo/image/661a5f16-e3ad-11eb-a209-ac1f6b442185")</f>
        <v>https://miland.ru/api/getInfo/image/661a5f16-e3ad-11eb-a209-ac1f6b442185</v>
      </c>
    </row>
    <row r="4773" spans="1:19" s="2" customFormat="1" ht="96.2" customHeight="1" outlineLevel="4">
      <c r="A4773" s="52">
        <v>3764</v>
      </c>
      <c r="B4773" s="26" t="s">
        <v>15825</v>
      </c>
      <c r="C4773" s="66" t="s">
        <v>15826</v>
      </c>
      <c r="D4773" s="66"/>
      <c r="E4773" s="66"/>
      <c r="F4773" s="66"/>
      <c r="G4773" s="27" t="s">
        <v>15827</v>
      </c>
      <c r="H4773" s="33">
        <v>54</v>
      </c>
      <c r="I4773" s="29"/>
      <c r="J4773" s="25">
        <v>3</v>
      </c>
      <c r="K4773" s="30">
        <v>228.01</v>
      </c>
      <c r="L4773" s="17"/>
      <c r="M4773" s="29">
        <f t="shared" si="228"/>
        <v>0</v>
      </c>
      <c r="N4773" s="31">
        <f>0.095*L4773</f>
        <v>0</v>
      </c>
      <c r="O4773" s="32">
        <f>0.00062*L4773</f>
        <v>0</v>
      </c>
      <c r="P4773" s="36"/>
      <c r="Q4773" s="29" t="s">
        <v>15828</v>
      </c>
      <c r="R4773" s="29" t="s">
        <v>611</v>
      </c>
      <c r="S4773" s="26" t="str">
        <f>HYPERLINK("https://miland.ru/api/getInfo/image/75183b67-95c8-11ee-a250-00155d82e908")</f>
        <v>https://miland.ru/api/getInfo/image/75183b67-95c8-11ee-a250-00155d82e908</v>
      </c>
    </row>
    <row r="4774" spans="1:19" s="2" customFormat="1" ht="96.2" customHeight="1" outlineLevel="4">
      <c r="A4774" s="52">
        <v>3765</v>
      </c>
      <c r="B4774" s="26" t="s">
        <v>15829</v>
      </c>
      <c r="C4774" s="66" t="s">
        <v>15830</v>
      </c>
      <c r="D4774" s="66"/>
      <c r="E4774" s="66"/>
      <c r="F4774" s="66"/>
      <c r="G4774" s="27" t="s">
        <v>15831</v>
      </c>
      <c r="H4774" s="33">
        <v>8</v>
      </c>
      <c r="I4774" s="29"/>
      <c r="J4774" s="25">
        <v>1</v>
      </c>
      <c r="K4774" s="30">
        <v>455.45</v>
      </c>
      <c r="L4774" s="17"/>
      <c r="M4774" s="29">
        <f t="shared" si="228"/>
        <v>0</v>
      </c>
      <c r="N4774" s="31">
        <f>0.125*L4774</f>
        <v>0</v>
      </c>
      <c r="O4774" s="32">
        <f>0.00947*L4774</f>
        <v>0</v>
      </c>
      <c r="P4774" s="36"/>
      <c r="Q4774" s="29" t="s">
        <v>15832</v>
      </c>
      <c r="R4774" s="29" t="s">
        <v>611</v>
      </c>
      <c r="S4774" s="26" t="str">
        <f>HYPERLINK("https://miland.ru/api/getInfo/image/0ae0545a-d9cc-11ed-a232-00155d82e902")</f>
        <v>https://miland.ru/api/getInfo/image/0ae0545a-d9cc-11ed-a232-00155d82e902</v>
      </c>
    </row>
    <row r="4775" spans="1:19" s="2" customFormat="1" ht="96.2" customHeight="1" outlineLevel="4">
      <c r="A4775" s="52">
        <v>3766</v>
      </c>
      <c r="B4775" s="26" t="s">
        <v>15833</v>
      </c>
      <c r="C4775" s="66" t="s">
        <v>15834</v>
      </c>
      <c r="D4775" s="66"/>
      <c r="E4775" s="66"/>
      <c r="F4775" s="66"/>
      <c r="G4775" s="27" t="s">
        <v>15835</v>
      </c>
      <c r="H4775" s="33">
        <v>80</v>
      </c>
      <c r="I4775" s="29"/>
      <c r="J4775" s="25">
        <v>1</v>
      </c>
      <c r="K4775" s="30">
        <v>455.45</v>
      </c>
      <c r="L4775" s="17"/>
      <c r="M4775" s="29">
        <f t="shared" si="228"/>
        <v>0</v>
      </c>
      <c r="N4775" s="31">
        <f>0.147*L4775</f>
        <v>0</v>
      </c>
      <c r="O4775" s="32">
        <f>0.00886*L4775</f>
        <v>0</v>
      </c>
      <c r="P4775" s="36"/>
      <c r="Q4775" s="29" t="s">
        <v>15836</v>
      </c>
      <c r="R4775" s="29" t="s">
        <v>611</v>
      </c>
      <c r="S4775" s="26" t="str">
        <f>HYPERLINK("https://miland.ru/api/getInfo/image/736b8e68-d9ca-11ed-a232-00155d82e902")</f>
        <v>https://miland.ru/api/getInfo/image/736b8e68-d9ca-11ed-a232-00155d82e902</v>
      </c>
    </row>
    <row r="4776" spans="1:19" s="2" customFormat="1" ht="96.2" customHeight="1" outlineLevel="4">
      <c r="A4776" s="52">
        <v>3767</v>
      </c>
      <c r="B4776" s="26" t="s">
        <v>15837</v>
      </c>
      <c r="C4776" s="66" t="s">
        <v>15838</v>
      </c>
      <c r="D4776" s="66"/>
      <c r="E4776" s="66"/>
      <c r="F4776" s="66"/>
      <c r="G4776" s="27" t="s">
        <v>15839</v>
      </c>
      <c r="H4776" s="33">
        <v>3</v>
      </c>
      <c r="I4776" s="29"/>
      <c r="J4776" s="25">
        <v>3</v>
      </c>
      <c r="K4776" s="30">
        <v>241.19</v>
      </c>
      <c r="L4776" s="17"/>
      <c r="M4776" s="29">
        <f t="shared" si="228"/>
        <v>0</v>
      </c>
      <c r="N4776" s="31">
        <f>0.063*L4776</f>
        <v>0</v>
      </c>
      <c r="O4776" s="32">
        <f>0.00085*L4776</f>
        <v>0</v>
      </c>
      <c r="P4776" s="36"/>
      <c r="Q4776" s="29" t="s">
        <v>15840</v>
      </c>
      <c r="R4776" s="29" t="s">
        <v>611</v>
      </c>
      <c r="S4776" s="26" t="str">
        <f>HYPERLINK("https://miland.ru/api/getInfo/image/5e324ddf-17f6-11ea-a237-ac1f6b442184")</f>
        <v>https://miland.ru/api/getInfo/image/5e324ddf-17f6-11ea-a237-ac1f6b442184</v>
      </c>
    </row>
    <row r="4777" spans="1:19" s="2" customFormat="1" ht="96.2" customHeight="1" outlineLevel="4">
      <c r="A4777" s="52">
        <v>3768</v>
      </c>
      <c r="B4777" s="26" t="s">
        <v>15841</v>
      </c>
      <c r="C4777" s="66" t="s">
        <v>15842</v>
      </c>
      <c r="D4777" s="66"/>
      <c r="E4777" s="66"/>
      <c r="F4777" s="66"/>
      <c r="G4777" s="27" t="s">
        <v>15843</v>
      </c>
      <c r="H4777" s="33">
        <v>26</v>
      </c>
      <c r="I4777" s="29"/>
      <c r="J4777" s="25">
        <v>3</v>
      </c>
      <c r="K4777" s="30">
        <v>216.57</v>
      </c>
      <c r="L4777" s="17"/>
      <c r="M4777" s="29">
        <f t="shared" si="228"/>
        <v>0</v>
      </c>
      <c r="N4777" s="31">
        <f>0.067*L4777</f>
        <v>0</v>
      </c>
      <c r="O4777" s="32">
        <f>0.00227*L4777</f>
        <v>0</v>
      </c>
      <c r="P4777" s="36"/>
      <c r="Q4777" s="29" t="s">
        <v>15844</v>
      </c>
      <c r="R4777" s="29" t="s">
        <v>611</v>
      </c>
      <c r="S4777" s="26" t="str">
        <f>HYPERLINK("https://miland.ru/api/getInfo/image/e076562f-17f4-11ea-a237-ac1f6b442184")</f>
        <v>https://miland.ru/api/getInfo/image/e076562f-17f4-11ea-a237-ac1f6b442184</v>
      </c>
    </row>
    <row r="4778" spans="1:19" s="2" customFormat="1" ht="96.2" customHeight="1" outlineLevel="4">
      <c r="A4778" s="53">
        <v>3769</v>
      </c>
      <c r="B4778" s="10" t="s">
        <v>15845</v>
      </c>
      <c r="C4778" s="65" t="s">
        <v>15846</v>
      </c>
      <c r="D4778" s="65"/>
      <c r="E4778" s="65"/>
      <c r="F4778" s="65"/>
      <c r="G4778" s="11" t="s">
        <v>15847</v>
      </c>
      <c r="H4778" s="21" t="s">
        <v>44</v>
      </c>
      <c r="I4778" s="15"/>
      <c r="J4778" s="9">
        <v>2</v>
      </c>
      <c r="K4778" s="16">
        <v>296.23</v>
      </c>
      <c r="L4778" s="17"/>
      <c r="M4778" s="15">
        <f t="shared" si="228"/>
        <v>0</v>
      </c>
      <c r="N4778" s="18">
        <f>0.085*L4778</f>
        <v>0</v>
      </c>
      <c r="O4778" s="19">
        <f>0.00193*L4778</f>
        <v>0</v>
      </c>
      <c r="P4778" s="24" t="s">
        <v>26</v>
      </c>
      <c r="Q4778" s="15" t="s">
        <v>15848</v>
      </c>
      <c r="R4778" s="15"/>
      <c r="S4778" s="10" t="str">
        <f>HYPERLINK("https://miland.ru/api/getInfo/image/87e570bc-2e5c-11f1-a292-00155d82e908")</f>
        <v>https://miland.ru/api/getInfo/image/87e570bc-2e5c-11f1-a292-00155d82e908</v>
      </c>
    </row>
    <row r="4779" spans="1:19" s="2" customFormat="1" ht="96.2" customHeight="1" outlineLevel="4">
      <c r="A4779" s="52">
        <v>3770</v>
      </c>
      <c r="B4779" s="26" t="s">
        <v>15849</v>
      </c>
      <c r="C4779" s="66" t="s">
        <v>15850</v>
      </c>
      <c r="D4779" s="66"/>
      <c r="E4779" s="66"/>
      <c r="F4779" s="66"/>
      <c r="G4779" s="27" t="s">
        <v>15851</v>
      </c>
      <c r="H4779" s="33">
        <v>98</v>
      </c>
      <c r="I4779" s="29"/>
      <c r="J4779" s="25">
        <v>1</v>
      </c>
      <c r="K4779" s="30">
        <v>556.66999999999996</v>
      </c>
      <c r="L4779" s="17"/>
      <c r="M4779" s="29">
        <f t="shared" si="228"/>
        <v>0</v>
      </c>
      <c r="N4779" s="31">
        <f>0.119*L4779</f>
        <v>0</v>
      </c>
      <c r="O4779" s="32">
        <f>0.00648*L4779</f>
        <v>0</v>
      </c>
      <c r="P4779" s="36"/>
      <c r="Q4779" s="29" t="s">
        <v>15852</v>
      </c>
      <c r="R4779" s="29" t="s">
        <v>611</v>
      </c>
      <c r="S4779" s="26" t="str">
        <f>HYPERLINK("https://miland.ru/api/getInfo/image/ce76d289-d9c8-11ed-a232-00155d82e902")</f>
        <v>https://miland.ru/api/getInfo/image/ce76d289-d9c8-11ed-a232-00155d82e902</v>
      </c>
    </row>
    <row r="4780" spans="1:19" s="2" customFormat="1" ht="96.2" customHeight="1" outlineLevel="4">
      <c r="A4780" s="53">
        <v>3771</v>
      </c>
      <c r="B4780" s="10" t="s">
        <v>15853</v>
      </c>
      <c r="C4780" s="65" t="s">
        <v>15854</v>
      </c>
      <c r="D4780" s="65"/>
      <c r="E4780" s="65"/>
      <c r="F4780" s="65"/>
      <c r="G4780" s="11" t="s">
        <v>15855</v>
      </c>
      <c r="H4780" s="14">
        <v>381</v>
      </c>
      <c r="I4780" s="15"/>
      <c r="J4780" s="9">
        <v>2</v>
      </c>
      <c r="K4780" s="16">
        <v>256.73</v>
      </c>
      <c r="L4780" s="17"/>
      <c r="M4780" s="15">
        <f t="shared" si="228"/>
        <v>0</v>
      </c>
      <c r="N4780" s="18">
        <f>0.059*L4780</f>
        <v>0</v>
      </c>
      <c r="O4780" s="19">
        <f>0.00085*L4780</f>
        <v>0</v>
      </c>
      <c r="P4780" s="24" t="s">
        <v>26</v>
      </c>
      <c r="Q4780" s="15" t="s">
        <v>15856</v>
      </c>
      <c r="R4780" s="15"/>
      <c r="S4780" s="10" t="str">
        <f>HYPERLINK("https://miland.ru/api/getInfo/image/d2c5d92e-2e5d-11f1-a292-00155d82e908")</f>
        <v>https://miland.ru/api/getInfo/image/d2c5d92e-2e5d-11f1-a292-00155d82e908</v>
      </c>
    </row>
    <row r="4781" spans="1:19" s="2" customFormat="1" ht="96.2" customHeight="1" outlineLevel="4">
      <c r="A4781" s="52">
        <v>3772</v>
      </c>
      <c r="B4781" s="26" t="s">
        <v>15857</v>
      </c>
      <c r="C4781" s="66" t="s">
        <v>15858</v>
      </c>
      <c r="D4781" s="66"/>
      <c r="E4781" s="66"/>
      <c r="F4781" s="66"/>
      <c r="G4781" s="27" t="s">
        <v>15859</v>
      </c>
      <c r="H4781" s="28" t="s">
        <v>44</v>
      </c>
      <c r="I4781" s="29"/>
      <c r="J4781" s="25">
        <v>5</v>
      </c>
      <c r="K4781" s="30">
        <v>121.44</v>
      </c>
      <c r="L4781" s="17"/>
      <c r="M4781" s="29">
        <f t="shared" si="228"/>
        <v>0</v>
      </c>
      <c r="N4781" s="31">
        <f>0.033*L4781</f>
        <v>0</v>
      </c>
      <c r="O4781" s="32">
        <f>0.00132*L4781</f>
        <v>0</v>
      </c>
      <c r="P4781" s="36"/>
      <c r="Q4781" s="29" t="s">
        <v>15860</v>
      </c>
      <c r="R4781" s="29"/>
      <c r="S4781" s="26" t="str">
        <f>HYPERLINK("https://miland.ru/api/getInfo/image/09d92d01-d79b-11ed-a231-00155d82e902")</f>
        <v>https://miland.ru/api/getInfo/image/09d92d01-d79b-11ed-a231-00155d82e902</v>
      </c>
    </row>
    <row r="4782" spans="1:19" s="2" customFormat="1" ht="96.2" customHeight="1" outlineLevel="4">
      <c r="A4782" s="52">
        <v>3773</v>
      </c>
      <c r="B4782" s="26" t="s">
        <v>15861</v>
      </c>
      <c r="C4782" s="66" t="s">
        <v>15862</v>
      </c>
      <c r="D4782" s="66"/>
      <c r="E4782" s="66"/>
      <c r="F4782" s="66"/>
      <c r="G4782" s="27" t="s">
        <v>15863</v>
      </c>
      <c r="H4782" s="33">
        <v>34</v>
      </c>
      <c r="I4782" s="29"/>
      <c r="J4782" s="25">
        <v>1</v>
      </c>
      <c r="K4782" s="30">
        <v>506.05</v>
      </c>
      <c r="L4782" s="17"/>
      <c r="M4782" s="29">
        <f t="shared" si="228"/>
        <v>0</v>
      </c>
      <c r="N4782" s="31">
        <f>0.166*L4782</f>
        <v>0</v>
      </c>
      <c r="O4782" s="32">
        <f>0.01055*L4782</f>
        <v>0</v>
      </c>
      <c r="P4782" s="36"/>
      <c r="Q4782" s="29" t="s">
        <v>15864</v>
      </c>
      <c r="R4782" s="29" t="s">
        <v>611</v>
      </c>
      <c r="S4782" s="26" t="str">
        <f>HYPERLINK("https://miland.ru/api/getInfo/image/bdeac304-d9ca-11ed-a232-00155d82e902")</f>
        <v>https://miland.ru/api/getInfo/image/bdeac304-d9ca-11ed-a232-00155d82e902</v>
      </c>
    </row>
    <row r="4783" spans="1:19" s="2" customFormat="1" ht="96.2" customHeight="1" outlineLevel="4">
      <c r="A4783" s="52">
        <v>3774</v>
      </c>
      <c r="B4783" s="26" t="s">
        <v>15865</v>
      </c>
      <c r="C4783" s="66" t="s">
        <v>15866</v>
      </c>
      <c r="D4783" s="66"/>
      <c r="E4783" s="66"/>
      <c r="F4783" s="66"/>
      <c r="G4783" s="27" t="s">
        <v>15867</v>
      </c>
      <c r="H4783" s="33">
        <v>10</v>
      </c>
      <c r="I4783" s="29"/>
      <c r="J4783" s="25">
        <v>5</v>
      </c>
      <c r="K4783" s="30">
        <v>130.97999999999999</v>
      </c>
      <c r="L4783" s="17"/>
      <c r="M4783" s="29">
        <f t="shared" si="228"/>
        <v>0</v>
      </c>
      <c r="N4783" s="31">
        <f>0.061*L4783</f>
        <v>0</v>
      </c>
      <c r="O4783" s="35">
        <f>0.0021*L4783</f>
        <v>0</v>
      </c>
      <c r="P4783" s="36"/>
      <c r="Q4783" s="29" t="s">
        <v>15868</v>
      </c>
      <c r="R4783" s="29"/>
      <c r="S4783" s="26" t="str">
        <f>HYPERLINK("https://miland.ru/api/getInfo/image/42683d86-7ae4-11ed-a22a-00155d82e902")</f>
        <v>https://miland.ru/api/getInfo/image/42683d86-7ae4-11ed-a22a-00155d82e902</v>
      </c>
    </row>
    <row r="4784" spans="1:19" s="1" customFormat="1" ht="12" customHeight="1" outlineLevel="3">
      <c r="A4784" s="64" t="s">
        <v>15869</v>
      </c>
      <c r="B4784" s="64"/>
      <c r="C4784" s="64"/>
      <c r="D4784" s="64"/>
      <c r="E4784" s="64"/>
      <c r="F4784" s="64"/>
      <c r="G4784" s="8"/>
      <c r="H4784" s="12"/>
      <c r="I4784" s="2"/>
      <c r="J4784" s="2"/>
      <c r="K4784" s="13"/>
      <c r="L4784" s="2"/>
      <c r="M4784" s="2"/>
      <c r="N4784" s="2"/>
      <c r="O4784" s="2"/>
      <c r="P4784" s="2"/>
      <c r="Q4784" s="2"/>
      <c r="R4784" s="2"/>
      <c r="S4784" s="2"/>
    </row>
    <row r="4785" spans="1:19" s="2" customFormat="1" ht="96.2" customHeight="1" outlineLevel="4">
      <c r="A4785" s="52">
        <v>3775</v>
      </c>
      <c r="B4785" s="26" t="s">
        <v>15870</v>
      </c>
      <c r="C4785" s="66" t="s">
        <v>15871</v>
      </c>
      <c r="D4785" s="66"/>
      <c r="E4785" s="66"/>
      <c r="F4785" s="66"/>
      <c r="G4785" s="27" t="s">
        <v>15872</v>
      </c>
      <c r="H4785" s="28" t="s">
        <v>44</v>
      </c>
      <c r="I4785" s="29"/>
      <c r="J4785" s="25">
        <v>6</v>
      </c>
      <c r="K4785" s="30">
        <v>101.57</v>
      </c>
      <c r="L4785" s="17"/>
      <c r="M4785" s="29">
        <f t="shared" ref="M4785:M4796" si="229">K4785*L4785</f>
        <v>0</v>
      </c>
      <c r="N4785" s="31">
        <f>0.006*L4785</f>
        <v>0</v>
      </c>
      <c r="O4785" s="35">
        <f>0.0003*L4785</f>
        <v>0</v>
      </c>
      <c r="P4785" s="36"/>
      <c r="Q4785" s="29" t="s">
        <v>15873</v>
      </c>
      <c r="R4785" s="29"/>
      <c r="S4785" s="26" t="str">
        <f>HYPERLINK("https://miland.ru/api/getInfo/image/882cb3ce-ca23-11ed-a230-00155d82e902")</f>
        <v>https://miland.ru/api/getInfo/image/882cb3ce-ca23-11ed-a230-00155d82e902</v>
      </c>
    </row>
    <row r="4786" spans="1:19" s="2" customFormat="1" ht="96.2" customHeight="1" outlineLevel="4">
      <c r="A4786" s="53">
        <v>3776</v>
      </c>
      <c r="B4786" s="10" t="s">
        <v>15874</v>
      </c>
      <c r="C4786" s="65" t="s">
        <v>15875</v>
      </c>
      <c r="D4786" s="65"/>
      <c r="E4786" s="65"/>
      <c r="F4786" s="65"/>
      <c r="G4786" s="11" t="s">
        <v>15876</v>
      </c>
      <c r="H4786" s="14">
        <v>166</v>
      </c>
      <c r="I4786" s="15"/>
      <c r="J4786" s="9">
        <v>1</v>
      </c>
      <c r="K4786" s="22">
        <v>1036.8</v>
      </c>
      <c r="L4786" s="17"/>
      <c r="M4786" s="15">
        <f t="shared" si="229"/>
        <v>0</v>
      </c>
      <c r="N4786" s="18">
        <f>0.163*L4786</f>
        <v>0</v>
      </c>
      <c r="O4786" s="19">
        <f>0.00052*L4786</f>
        <v>0</v>
      </c>
      <c r="P4786" s="24" t="s">
        <v>26</v>
      </c>
      <c r="Q4786" s="15" t="s">
        <v>15877</v>
      </c>
      <c r="R4786" s="15"/>
      <c r="S4786" s="10" t="str">
        <f>HYPERLINK("https://miland.ru/api/getInfo/image/29abe3ed-2e5c-11f1-a292-00155d82e908")</f>
        <v>https://miland.ru/api/getInfo/image/29abe3ed-2e5c-11f1-a292-00155d82e908</v>
      </c>
    </row>
    <row r="4787" spans="1:19" s="2" customFormat="1" ht="96.2" customHeight="1" outlineLevel="4">
      <c r="A4787" s="53">
        <v>3777</v>
      </c>
      <c r="B4787" s="10" t="s">
        <v>15878</v>
      </c>
      <c r="C4787" s="65" t="s">
        <v>15879</v>
      </c>
      <c r="D4787" s="65"/>
      <c r="E4787" s="65"/>
      <c r="F4787" s="65"/>
      <c r="G4787" s="11" t="s">
        <v>15880</v>
      </c>
      <c r="H4787" s="14">
        <v>455</v>
      </c>
      <c r="I4787" s="15"/>
      <c r="J4787" s="9">
        <v>3</v>
      </c>
      <c r="K4787" s="16">
        <v>177.74</v>
      </c>
      <c r="L4787" s="17"/>
      <c r="M4787" s="15">
        <f t="shared" si="229"/>
        <v>0</v>
      </c>
      <c r="N4787" s="18">
        <f>0.032*L4787</f>
        <v>0</v>
      </c>
      <c r="O4787" s="19">
        <f>0.00151*L4787</f>
        <v>0</v>
      </c>
      <c r="P4787" s="24" t="s">
        <v>26</v>
      </c>
      <c r="Q4787" s="15" t="s">
        <v>15881</v>
      </c>
      <c r="R4787" s="15"/>
      <c r="S4787" s="10" t="str">
        <f>HYPERLINK("https://miland.ru/api/getInfo/image/a8a3e78e-2e5b-11f1-a292-00155d82e908")</f>
        <v>https://miland.ru/api/getInfo/image/a8a3e78e-2e5b-11f1-a292-00155d82e908</v>
      </c>
    </row>
    <row r="4788" spans="1:19" s="2" customFormat="1" ht="96.2" customHeight="1" outlineLevel="4">
      <c r="A4788" s="52">
        <v>3778</v>
      </c>
      <c r="B4788" s="26" t="s">
        <v>15882</v>
      </c>
      <c r="C4788" s="66" t="s">
        <v>15883</v>
      </c>
      <c r="D4788" s="66"/>
      <c r="E4788" s="66"/>
      <c r="F4788" s="66"/>
      <c r="G4788" s="27" t="s">
        <v>15884</v>
      </c>
      <c r="H4788" s="33">
        <v>3</v>
      </c>
      <c r="I4788" s="29"/>
      <c r="J4788" s="25">
        <v>3</v>
      </c>
      <c r="K4788" s="30">
        <v>101.57</v>
      </c>
      <c r="L4788" s="17"/>
      <c r="M4788" s="29">
        <f t="shared" si="229"/>
        <v>0</v>
      </c>
      <c r="N4788" s="31">
        <f>0.014*L4788</f>
        <v>0</v>
      </c>
      <c r="O4788" s="32">
        <f>0.00007*L4788</f>
        <v>0</v>
      </c>
      <c r="P4788" s="36"/>
      <c r="Q4788" s="29" t="s">
        <v>15885</v>
      </c>
      <c r="R4788" s="29" t="s">
        <v>611</v>
      </c>
      <c r="S4788" s="26" t="str">
        <f>HYPERLINK("https://miland.ru/api/getInfo/image/f92dafd9-ca22-11ed-a230-00155d82e902")</f>
        <v>https://miland.ru/api/getInfo/image/f92dafd9-ca22-11ed-a230-00155d82e902</v>
      </c>
    </row>
    <row r="4789" spans="1:19" s="2" customFormat="1" ht="96.2" customHeight="1" outlineLevel="4">
      <c r="A4789" s="52">
        <v>3779</v>
      </c>
      <c r="B4789" s="26" t="s">
        <v>15886</v>
      </c>
      <c r="C4789" s="66" t="s">
        <v>15887</v>
      </c>
      <c r="D4789" s="66"/>
      <c r="E4789" s="66"/>
      <c r="F4789" s="66"/>
      <c r="G4789" s="27" t="s">
        <v>15888</v>
      </c>
      <c r="H4789" s="28" t="s">
        <v>44</v>
      </c>
      <c r="I4789" s="29"/>
      <c r="J4789" s="25">
        <v>10</v>
      </c>
      <c r="K4789" s="30">
        <v>84.69</v>
      </c>
      <c r="L4789" s="17"/>
      <c r="M4789" s="29">
        <f t="shared" si="229"/>
        <v>0</v>
      </c>
      <c r="N4789" s="31">
        <f>0.017*L4789</f>
        <v>0</v>
      </c>
      <c r="O4789" s="32">
        <f>0.00071*L4789</f>
        <v>0</v>
      </c>
      <c r="P4789" s="36"/>
      <c r="Q4789" s="29" t="s">
        <v>15889</v>
      </c>
      <c r="R4789" s="29"/>
      <c r="S4789" s="26" t="str">
        <f>HYPERLINK("https://miland.ru/api/getInfo/image/851b0661-ff02-11ef-a277-00155d82e908")</f>
        <v>https://miland.ru/api/getInfo/image/851b0661-ff02-11ef-a277-00155d82e908</v>
      </c>
    </row>
    <row r="4790" spans="1:19" s="2" customFormat="1" ht="96.2" customHeight="1" outlineLevel="4">
      <c r="A4790" s="52">
        <v>3780</v>
      </c>
      <c r="B4790" s="26" t="s">
        <v>15890</v>
      </c>
      <c r="C4790" s="66" t="s">
        <v>15891</v>
      </c>
      <c r="D4790" s="66"/>
      <c r="E4790" s="66"/>
      <c r="F4790" s="66"/>
      <c r="G4790" s="27" t="s">
        <v>15892</v>
      </c>
      <c r="H4790" s="33">
        <v>289</v>
      </c>
      <c r="I4790" s="29"/>
      <c r="J4790" s="25">
        <v>10</v>
      </c>
      <c r="K4790" s="30">
        <v>84.69</v>
      </c>
      <c r="L4790" s="17"/>
      <c r="M4790" s="29">
        <f t="shared" si="229"/>
        <v>0</v>
      </c>
      <c r="N4790" s="31">
        <f>0.007*L4790</f>
        <v>0</v>
      </c>
      <c r="O4790" s="32">
        <f>0.00587*L4790</f>
        <v>0</v>
      </c>
      <c r="P4790" s="36"/>
      <c r="Q4790" s="29" t="s">
        <v>15893</v>
      </c>
      <c r="R4790" s="29"/>
      <c r="S4790" s="26" t="str">
        <f>HYPERLINK("https://miland.ru/api/getInfo/image/9078391e-ff00-11ef-a277-00155d82e908")</f>
        <v>https://miland.ru/api/getInfo/image/9078391e-ff00-11ef-a277-00155d82e908</v>
      </c>
    </row>
    <row r="4791" spans="1:19" s="2" customFormat="1" ht="96.2" customHeight="1" outlineLevel="4">
      <c r="A4791" s="52">
        <v>3781</v>
      </c>
      <c r="B4791" s="26" t="s">
        <v>15894</v>
      </c>
      <c r="C4791" s="66" t="s">
        <v>15895</v>
      </c>
      <c r="D4791" s="66"/>
      <c r="E4791" s="66"/>
      <c r="F4791" s="66"/>
      <c r="G4791" s="27" t="s">
        <v>15896</v>
      </c>
      <c r="H4791" s="28" t="s">
        <v>44</v>
      </c>
      <c r="I4791" s="29"/>
      <c r="J4791" s="25">
        <v>10</v>
      </c>
      <c r="K4791" s="30">
        <v>84.69</v>
      </c>
      <c r="L4791" s="17"/>
      <c r="M4791" s="29">
        <f t="shared" si="229"/>
        <v>0</v>
      </c>
      <c r="N4791" s="31">
        <f>0.029*L4791</f>
        <v>0</v>
      </c>
      <c r="O4791" s="32">
        <f>0.00185*L4791</f>
        <v>0</v>
      </c>
      <c r="P4791" s="36"/>
      <c r="Q4791" s="29" t="s">
        <v>15897</v>
      </c>
      <c r="R4791" s="29"/>
      <c r="S4791" s="26" t="str">
        <f>HYPERLINK("https://miland.ru/api/getInfo/image/690777c7-ff01-11ef-a277-00155d82e908")</f>
        <v>https://miland.ru/api/getInfo/image/690777c7-ff01-11ef-a277-00155d82e908</v>
      </c>
    </row>
    <row r="4792" spans="1:19" s="2" customFormat="1" ht="96.2" customHeight="1" outlineLevel="4">
      <c r="A4792" s="52">
        <v>3782</v>
      </c>
      <c r="B4792" s="26" t="s">
        <v>15898</v>
      </c>
      <c r="C4792" s="66" t="s">
        <v>15899</v>
      </c>
      <c r="D4792" s="66"/>
      <c r="E4792" s="66"/>
      <c r="F4792" s="66"/>
      <c r="G4792" s="27" t="s">
        <v>15900</v>
      </c>
      <c r="H4792" s="28" t="s">
        <v>44</v>
      </c>
      <c r="I4792" s="29"/>
      <c r="J4792" s="25">
        <v>6</v>
      </c>
      <c r="K4792" s="30">
        <v>101.82</v>
      </c>
      <c r="L4792" s="17"/>
      <c r="M4792" s="29">
        <f t="shared" si="229"/>
        <v>0</v>
      </c>
      <c r="N4792" s="31">
        <f>0.031*L4792</f>
        <v>0</v>
      </c>
      <c r="O4792" s="32">
        <f>0.00083*L4792</f>
        <v>0</v>
      </c>
      <c r="P4792" s="36"/>
      <c r="Q4792" s="29" t="s">
        <v>15901</v>
      </c>
      <c r="R4792" s="29"/>
      <c r="S4792" s="26" t="str">
        <f>HYPERLINK("https://miland.ru/api/getInfo/image/066c9394-ff04-11ef-a277-00155d82e908")</f>
        <v>https://miland.ru/api/getInfo/image/066c9394-ff04-11ef-a277-00155d82e908</v>
      </c>
    </row>
    <row r="4793" spans="1:19" s="2" customFormat="1" ht="96.2" customHeight="1" outlineLevel="4">
      <c r="A4793" s="52">
        <v>3783</v>
      </c>
      <c r="B4793" s="26" t="s">
        <v>15902</v>
      </c>
      <c r="C4793" s="66" t="s">
        <v>15903</v>
      </c>
      <c r="D4793" s="66"/>
      <c r="E4793" s="66"/>
      <c r="F4793" s="66"/>
      <c r="G4793" s="27" t="s">
        <v>15904</v>
      </c>
      <c r="H4793" s="28" t="s">
        <v>44</v>
      </c>
      <c r="I4793" s="29"/>
      <c r="J4793" s="25">
        <v>10</v>
      </c>
      <c r="K4793" s="30">
        <v>84.69</v>
      </c>
      <c r="L4793" s="17"/>
      <c r="M4793" s="29">
        <f t="shared" si="229"/>
        <v>0</v>
      </c>
      <c r="N4793" s="31">
        <f>0.015*L4793</f>
        <v>0</v>
      </c>
      <c r="O4793" s="32">
        <f>0.00085*L4793</f>
        <v>0</v>
      </c>
      <c r="P4793" s="36"/>
      <c r="Q4793" s="29" t="s">
        <v>15905</v>
      </c>
      <c r="R4793" s="29"/>
      <c r="S4793" s="26" t="str">
        <f>HYPERLINK("https://miland.ru/api/getInfo/image/2b79a1f2-ff02-11ef-a277-00155d82e908")</f>
        <v>https://miland.ru/api/getInfo/image/2b79a1f2-ff02-11ef-a277-00155d82e908</v>
      </c>
    </row>
    <row r="4794" spans="1:19" s="2" customFormat="1" ht="96.2" customHeight="1" outlineLevel="4">
      <c r="A4794" s="52">
        <v>3784</v>
      </c>
      <c r="B4794" s="26" t="s">
        <v>15906</v>
      </c>
      <c r="C4794" s="66" t="s">
        <v>15907</v>
      </c>
      <c r="D4794" s="66"/>
      <c r="E4794" s="66"/>
      <c r="F4794" s="66"/>
      <c r="G4794" s="27" t="s">
        <v>15908</v>
      </c>
      <c r="H4794" s="28" t="s">
        <v>44</v>
      </c>
      <c r="I4794" s="29"/>
      <c r="J4794" s="25">
        <v>13</v>
      </c>
      <c r="K4794" s="30">
        <v>47.89</v>
      </c>
      <c r="L4794" s="17"/>
      <c r="M4794" s="29">
        <f t="shared" si="229"/>
        <v>0</v>
      </c>
      <c r="N4794" s="31">
        <f>0.034*L4794</f>
        <v>0</v>
      </c>
      <c r="O4794" s="32">
        <f>0.00113*L4794</f>
        <v>0</v>
      </c>
      <c r="P4794" s="36"/>
      <c r="Q4794" s="29" t="s">
        <v>15909</v>
      </c>
      <c r="R4794" s="29"/>
      <c r="S4794" s="26" t="str">
        <f>HYPERLINK("https://miland.ru/api/getInfo/image/a7a1c197-ff03-11ef-a277-00155d82e908")</f>
        <v>https://miland.ru/api/getInfo/image/a7a1c197-ff03-11ef-a277-00155d82e908</v>
      </c>
    </row>
    <row r="4795" spans="1:19" s="2" customFormat="1" ht="96.2" customHeight="1" outlineLevel="4">
      <c r="A4795" s="52">
        <v>3785</v>
      </c>
      <c r="B4795" s="26" t="s">
        <v>15910</v>
      </c>
      <c r="C4795" s="66" t="s">
        <v>15911</v>
      </c>
      <c r="D4795" s="66"/>
      <c r="E4795" s="66"/>
      <c r="F4795" s="66"/>
      <c r="G4795" s="27" t="s">
        <v>15912</v>
      </c>
      <c r="H4795" s="33">
        <v>337</v>
      </c>
      <c r="I4795" s="29"/>
      <c r="J4795" s="25">
        <v>10</v>
      </c>
      <c r="K4795" s="30">
        <v>84.69</v>
      </c>
      <c r="L4795" s="17"/>
      <c r="M4795" s="29">
        <f t="shared" si="229"/>
        <v>0</v>
      </c>
      <c r="N4795" s="31">
        <f>0.019*L4795</f>
        <v>0</v>
      </c>
      <c r="O4795" s="32">
        <f>0.00059*L4795</f>
        <v>0</v>
      </c>
      <c r="P4795" s="36"/>
      <c r="Q4795" s="29" t="s">
        <v>15913</v>
      </c>
      <c r="R4795" s="29"/>
      <c r="S4795" s="26" t="str">
        <f>HYPERLINK("https://miland.ru/api/getInfo/image/da615396-ff01-11ef-a277-00155d82e908")</f>
        <v>https://miland.ru/api/getInfo/image/da615396-ff01-11ef-a277-00155d82e908</v>
      </c>
    </row>
    <row r="4796" spans="1:19" s="2" customFormat="1" ht="96.2" customHeight="1" outlineLevel="4">
      <c r="A4796" s="52">
        <v>3786</v>
      </c>
      <c r="B4796" s="26" t="s">
        <v>15914</v>
      </c>
      <c r="C4796" s="66" t="s">
        <v>15915</v>
      </c>
      <c r="D4796" s="66"/>
      <c r="E4796" s="66"/>
      <c r="F4796" s="66"/>
      <c r="G4796" s="27" t="s">
        <v>15916</v>
      </c>
      <c r="H4796" s="33">
        <v>236</v>
      </c>
      <c r="I4796" s="29"/>
      <c r="J4796" s="25">
        <v>5</v>
      </c>
      <c r="K4796" s="30">
        <v>124</v>
      </c>
      <c r="L4796" s="17"/>
      <c r="M4796" s="29">
        <f t="shared" si="229"/>
        <v>0</v>
      </c>
      <c r="N4796" s="31">
        <f>0.039*L4796</f>
        <v>0</v>
      </c>
      <c r="O4796" s="32">
        <f>0.00126*L4796</f>
        <v>0</v>
      </c>
      <c r="P4796" s="36"/>
      <c r="Q4796" s="29" t="s">
        <v>15917</v>
      </c>
      <c r="R4796" s="29"/>
      <c r="S4796" s="26" t="str">
        <f>HYPERLINK("https://miland.ru/api/getInfo/image/fcb971ae-ff04-11ef-a277-00155d82e908")</f>
        <v>https://miland.ru/api/getInfo/image/fcb971ae-ff04-11ef-a277-00155d82e908</v>
      </c>
    </row>
    <row r="4797" spans="1:19" s="1" customFormat="1" ht="12" customHeight="1" outlineLevel="3">
      <c r="A4797" s="64" t="s">
        <v>15918</v>
      </c>
      <c r="B4797" s="64"/>
      <c r="C4797" s="64"/>
      <c r="D4797" s="64"/>
      <c r="E4797" s="64"/>
      <c r="F4797" s="64"/>
      <c r="G4797" s="8"/>
      <c r="H4797" s="12"/>
      <c r="I4797" s="2"/>
      <c r="J4797" s="2"/>
      <c r="K4797" s="13"/>
      <c r="L4797" s="2"/>
      <c r="M4797" s="2"/>
      <c r="N4797" s="2"/>
      <c r="O4797" s="2"/>
      <c r="P4797" s="2"/>
      <c r="Q4797" s="2"/>
      <c r="R4797" s="2"/>
      <c r="S4797" s="2"/>
    </row>
    <row r="4798" spans="1:19" s="2" customFormat="1" ht="96.2" customHeight="1" outlineLevel="4">
      <c r="A4798" s="52">
        <v>3787</v>
      </c>
      <c r="B4798" s="26" t="s">
        <v>15919</v>
      </c>
      <c r="C4798" s="66" t="s">
        <v>15920</v>
      </c>
      <c r="D4798" s="66"/>
      <c r="E4798" s="66"/>
      <c r="F4798" s="66"/>
      <c r="G4798" s="27" t="s">
        <v>15921</v>
      </c>
      <c r="H4798" s="33">
        <v>1</v>
      </c>
      <c r="I4798" s="29"/>
      <c r="J4798" s="25">
        <v>1</v>
      </c>
      <c r="K4798" s="30">
        <v>144.53</v>
      </c>
      <c r="L4798" s="17"/>
      <c r="M4798" s="29">
        <f>K4798*L4798</f>
        <v>0</v>
      </c>
      <c r="N4798" s="31">
        <f>0.028*L4798</f>
        <v>0</v>
      </c>
      <c r="O4798" s="32">
        <f>0.00051*L4798</f>
        <v>0</v>
      </c>
      <c r="P4798" s="36"/>
      <c r="Q4798" s="29" t="s">
        <v>15922</v>
      </c>
      <c r="R4798" s="29" t="s">
        <v>611</v>
      </c>
      <c r="S4798" s="26" t="str">
        <f>HYPERLINK("https://miland.ru/api/getInfo/image/bbb86aa3-d798-11ed-a231-00155d82e902")</f>
        <v>https://miland.ru/api/getInfo/image/bbb86aa3-d798-11ed-a231-00155d82e902</v>
      </c>
    </row>
    <row r="4799" spans="1:19" s="2" customFormat="1" ht="96.2" customHeight="1" outlineLevel="4">
      <c r="A4799" s="53">
        <v>3788</v>
      </c>
      <c r="B4799" s="10" t="s">
        <v>15923</v>
      </c>
      <c r="C4799" s="65" t="s">
        <v>15924</v>
      </c>
      <c r="D4799" s="65"/>
      <c r="E4799" s="65"/>
      <c r="F4799" s="65"/>
      <c r="G4799" s="11" t="s">
        <v>15925</v>
      </c>
      <c r="H4799" s="21" t="s">
        <v>44</v>
      </c>
      <c r="I4799" s="15"/>
      <c r="J4799" s="9">
        <v>3</v>
      </c>
      <c r="K4799" s="16">
        <v>222.17</v>
      </c>
      <c r="L4799" s="17"/>
      <c r="M4799" s="15">
        <f>K4799*L4799</f>
        <v>0</v>
      </c>
      <c r="N4799" s="18">
        <f>0.033*L4799</f>
        <v>0</v>
      </c>
      <c r="O4799" s="19">
        <f>0.00175*L4799</f>
        <v>0</v>
      </c>
      <c r="P4799" s="24" t="s">
        <v>26</v>
      </c>
      <c r="Q4799" s="15" t="s">
        <v>15926</v>
      </c>
      <c r="R4799" s="15"/>
      <c r="S4799" s="10" t="str">
        <f>HYPERLINK("https://miland.ru/api/getInfo/image/ece8a42c-2e54-11f1-a292-00155d82e908")</f>
        <v>https://miland.ru/api/getInfo/image/ece8a42c-2e54-11f1-a292-00155d82e908</v>
      </c>
    </row>
    <row r="4800" spans="1:19" s="2" customFormat="1" ht="96.2" customHeight="1" outlineLevel="4">
      <c r="A4800" s="53">
        <v>3789</v>
      </c>
      <c r="B4800" s="10" t="s">
        <v>15927</v>
      </c>
      <c r="C4800" s="65" t="s">
        <v>15928</v>
      </c>
      <c r="D4800" s="65"/>
      <c r="E4800" s="65"/>
      <c r="F4800" s="65"/>
      <c r="G4800" s="11" t="s">
        <v>15929</v>
      </c>
      <c r="H4800" s="21" t="s">
        <v>44</v>
      </c>
      <c r="I4800" s="15"/>
      <c r="J4800" s="9">
        <v>3</v>
      </c>
      <c r="K4800" s="16">
        <v>212.3</v>
      </c>
      <c r="L4800" s="17"/>
      <c r="M4800" s="15">
        <f>K4800*L4800</f>
        <v>0</v>
      </c>
      <c r="N4800" s="18">
        <f>0.031*L4800</f>
        <v>0</v>
      </c>
      <c r="O4800" s="20">
        <f>0.0004*L4800</f>
        <v>0</v>
      </c>
      <c r="P4800" s="24" t="s">
        <v>26</v>
      </c>
      <c r="Q4800" s="15" t="s">
        <v>15930</v>
      </c>
      <c r="R4800" s="15"/>
      <c r="S4800" s="10" t="str">
        <f>HYPERLINK("https://miland.ru/api/getInfo/image/97a40853-2e54-11f1-a292-00155d82e908")</f>
        <v>https://miland.ru/api/getInfo/image/97a40853-2e54-11f1-a292-00155d82e908</v>
      </c>
    </row>
    <row r="4801" spans="1:19" s="1" customFormat="1" ht="12" customHeight="1" outlineLevel="3">
      <c r="A4801" s="64" t="s">
        <v>15931</v>
      </c>
      <c r="B4801" s="64"/>
      <c r="C4801" s="64"/>
      <c r="D4801" s="64"/>
      <c r="E4801" s="64"/>
      <c r="F4801" s="64"/>
      <c r="G4801" s="8"/>
      <c r="H4801" s="12"/>
      <c r="I4801" s="2"/>
      <c r="J4801" s="2"/>
      <c r="K4801" s="13"/>
      <c r="L4801" s="2"/>
      <c r="M4801" s="2"/>
      <c r="N4801" s="2"/>
      <c r="O4801" s="2"/>
      <c r="P4801" s="2"/>
      <c r="Q4801" s="2"/>
      <c r="R4801" s="2"/>
      <c r="S4801" s="2"/>
    </row>
    <row r="4802" spans="1:19" s="2" customFormat="1" ht="96.2" customHeight="1" outlineLevel="4">
      <c r="A4802" s="52">
        <v>3790</v>
      </c>
      <c r="B4802" s="26" t="s">
        <v>15932</v>
      </c>
      <c r="C4802" s="66" t="s">
        <v>15933</v>
      </c>
      <c r="D4802" s="66"/>
      <c r="E4802" s="66"/>
      <c r="F4802" s="66"/>
      <c r="G4802" s="27" t="s">
        <v>15934</v>
      </c>
      <c r="H4802" s="33">
        <v>3</v>
      </c>
      <c r="I4802" s="29"/>
      <c r="J4802" s="25">
        <v>2</v>
      </c>
      <c r="K4802" s="30">
        <v>268.20999999999998</v>
      </c>
      <c r="L4802" s="17"/>
      <c r="M4802" s="29">
        <f>K4802*L4802</f>
        <v>0</v>
      </c>
      <c r="N4802" s="31">
        <f>0.401*L4802</f>
        <v>0</v>
      </c>
      <c r="O4802" s="32">
        <f>0.00166*L4802</f>
        <v>0</v>
      </c>
      <c r="P4802" s="36"/>
      <c r="Q4802" s="29" t="s">
        <v>15935</v>
      </c>
      <c r="R4802" s="29" t="s">
        <v>611</v>
      </c>
      <c r="S4802" s="26" t="str">
        <f>HYPERLINK("https://miland.ru/api/getInfo/image/6eda9dd5-d9c8-11ed-a232-00155d82e902")</f>
        <v>https://miland.ru/api/getInfo/image/6eda9dd5-d9c8-11ed-a232-00155d82e902</v>
      </c>
    </row>
    <row r="4803" spans="1:19" s="1" customFormat="1" ht="12" customHeight="1" outlineLevel="3">
      <c r="A4803" s="64" t="s">
        <v>15768</v>
      </c>
      <c r="B4803" s="64"/>
      <c r="C4803" s="64"/>
      <c r="D4803" s="64"/>
      <c r="E4803" s="64"/>
      <c r="F4803" s="64"/>
      <c r="G4803" s="8"/>
      <c r="H4803" s="12"/>
      <c r="I4803" s="2"/>
      <c r="J4803" s="2"/>
      <c r="K4803" s="13"/>
      <c r="L4803" s="2"/>
      <c r="M4803" s="2"/>
      <c r="N4803" s="2"/>
      <c r="O4803" s="2"/>
      <c r="P4803" s="2"/>
      <c r="Q4803" s="2"/>
      <c r="R4803" s="2"/>
      <c r="S4803" s="2"/>
    </row>
    <row r="4804" spans="1:19" s="2" customFormat="1" ht="96.2" customHeight="1" outlineLevel="4">
      <c r="A4804" s="52">
        <v>3791</v>
      </c>
      <c r="B4804" s="26" t="s">
        <v>15936</v>
      </c>
      <c r="C4804" s="66" t="s">
        <v>15937</v>
      </c>
      <c r="D4804" s="66"/>
      <c r="E4804" s="66"/>
      <c r="F4804" s="66"/>
      <c r="G4804" s="27" t="s">
        <v>15938</v>
      </c>
      <c r="H4804" s="28" t="s">
        <v>44</v>
      </c>
      <c r="I4804" s="29"/>
      <c r="J4804" s="25">
        <v>3</v>
      </c>
      <c r="K4804" s="30">
        <v>194.86</v>
      </c>
      <c r="L4804" s="17"/>
      <c r="M4804" s="29">
        <f t="shared" ref="M4804:M4815" si="230">K4804*L4804</f>
        <v>0</v>
      </c>
      <c r="N4804" s="31">
        <f>0.079*L4804</f>
        <v>0</v>
      </c>
      <c r="O4804" s="32">
        <f>0.01315*L4804</f>
        <v>0</v>
      </c>
      <c r="P4804" s="36"/>
      <c r="Q4804" s="29" t="s">
        <v>15939</v>
      </c>
      <c r="R4804" s="29"/>
      <c r="S4804" s="26" t="str">
        <f>HYPERLINK("https://miland.ru/api/getInfo/image/46166c5b-1805-11ea-a237-ac1f6b442184")</f>
        <v>https://miland.ru/api/getInfo/image/46166c5b-1805-11ea-a237-ac1f6b442184</v>
      </c>
    </row>
    <row r="4805" spans="1:19" s="2" customFormat="1" ht="96.2" customHeight="1" outlineLevel="4">
      <c r="A4805" s="53">
        <v>3792</v>
      </c>
      <c r="B4805" s="10" t="s">
        <v>15940</v>
      </c>
      <c r="C4805" s="65" t="s">
        <v>15941</v>
      </c>
      <c r="D4805" s="65"/>
      <c r="E4805" s="65"/>
      <c r="F4805" s="65"/>
      <c r="G4805" s="11" t="s">
        <v>15942</v>
      </c>
      <c r="H4805" s="14">
        <v>51</v>
      </c>
      <c r="I4805" s="15"/>
      <c r="J4805" s="9">
        <v>1</v>
      </c>
      <c r="K4805" s="16">
        <v>404.85</v>
      </c>
      <c r="L4805" s="17"/>
      <c r="M4805" s="15">
        <f t="shared" si="230"/>
        <v>0</v>
      </c>
      <c r="N4805" s="18">
        <f>0.097*L4805</f>
        <v>0</v>
      </c>
      <c r="O4805" s="19">
        <f>0.01252*L4805</f>
        <v>0</v>
      </c>
      <c r="P4805" s="24" t="s">
        <v>26</v>
      </c>
      <c r="Q4805" s="15" t="s">
        <v>15943</v>
      </c>
      <c r="R4805" s="15"/>
      <c r="S4805" s="10" t="str">
        <f>HYPERLINK("https://miland.ru/api/getInfo/image/4473d63c-2e5b-11f1-a292-00155d82e908")</f>
        <v>https://miland.ru/api/getInfo/image/4473d63c-2e5b-11f1-a292-00155d82e908</v>
      </c>
    </row>
    <row r="4806" spans="1:19" s="2" customFormat="1" ht="96.2" customHeight="1" outlineLevel="4">
      <c r="A4806" s="52">
        <v>3793</v>
      </c>
      <c r="B4806" s="26" t="s">
        <v>15944</v>
      </c>
      <c r="C4806" s="66" t="s">
        <v>15945</v>
      </c>
      <c r="D4806" s="66"/>
      <c r="E4806" s="66"/>
      <c r="F4806" s="66"/>
      <c r="G4806" s="27" t="s">
        <v>15946</v>
      </c>
      <c r="H4806" s="28" t="s">
        <v>44</v>
      </c>
      <c r="I4806" s="29"/>
      <c r="J4806" s="25">
        <v>3</v>
      </c>
      <c r="K4806" s="30">
        <v>245.45</v>
      </c>
      <c r="L4806" s="17"/>
      <c r="M4806" s="29">
        <f t="shared" si="230"/>
        <v>0</v>
      </c>
      <c r="N4806" s="31">
        <f>0.068*L4806</f>
        <v>0</v>
      </c>
      <c r="O4806" s="32">
        <f>0.00659*L4806</f>
        <v>0</v>
      </c>
      <c r="P4806" s="36"/>
      <c r="Q4806" s="29" t="s">
        <v>15947</v>
      </c>
      <c r="R4806" s="29"/>
      <c r="S4806" s="26" t="str">
        <f>HYPERLINK("https://miland.ru/api/getInfo/image/64415588-d9d2-11ed-a232-00155d82e902")</f>
        <v>https://miland.ru/api/getInfo/image/64415588-d9d2-11ed-a232-00155d82e902</v>
      </c>
    </row>
    <row r="4807" spans="1:19" s="2" customFormat="1" ht="96.2" customHeight="1" outlineLevel="4">
      <c r="A4807" s="53">
        <v>3794</v>
      </c>
      <c r="B4807" s="10" t="s">
        <v>15948</v>
      </c>
      <c r="C4807" s="65" t="s">
        <v>15949</v>
      </c>
      <c r="D4807" s="65"/>
      <c r="E4807" s="65"/>
      <c r="F4807" s="65"/>
      <c r="G4807" s="11" t="s">
        <v>15950</v>
      </c>
      <c r="H4807" s="14">
        <v>99</v>
      </c>
      <c r="I4807" s="15"/>
      <c r="J4807" s="9">
        <v>3</v>
      </c>
      <c r="K4807" s="16">
        <v>246.86</v>
      </c>
      <c r="L4807" s="17"/>
      <c r="M4807" s="15">
        <f t="shared" si="230"/>
        <v>0</v>
      </c>
      <c r="N4807" s="18">
        <f>0.167*L4807</f>
        <v>0</v>
      </c>
      <c r="O4807" s="19">
        <f>0.01211*L4807</f>
        <v>0</v>
      </c>
      <c r="P4807" s="24" t="s">
        <v>26</v>
      </c>
      <c r="Q4807" s="15" t="s">
        <v>15951</v>
      </c>
      <c r="R4807" s="15"/>
      <c r="S4807" s="10" t="str">
        <f>HYPERLINK("https://miland.ru/api/getInfo/image/d699e13b-2e5a-11f1-a292-00155d82e908")</f>
        <v>https://miland.ru/api/getInfo/image/d699e13b-2e5a-11f1-a292-00155d82e908</v>
      </c>
    </row>
    <row r="4808" spans="1:19" s="2" customFormat="1" ht="96.2" customHeight="1" outlineLevel="4">
      <c r="A4808" s="53">
        <v>3795</v>
      </c>
      <c r="B4808" s="10" t="s">
        <v>15952</v>
      </c>
      <c r="C4808" s="65" t="s">
        <v>15953</v>
      </c>
      <c r="D4808" s="65"/>
      <c r="E4808" s="65"/>
      <c r="F4808" s="65"/>
      <c r="G4808" s="11" t="s">
        <v>15954</v>
      </c>
      <c r="H4808" s="14">
        <v>282</v>
      </c>
      <c r="I4808" s="15"/>
      <c r="J4808" s="9">
        <v>2</v>
      </c>
      <c r="K4808" s="16">
        <v>296.23</v>
      </c>
      <c r="L4808" s="17"/>
      <c r="M4808" s="15">
        <f t="shared" si="230"/>
        <v>0</v>
      </c>
      <c r="N4808" s="18">
        <f>0.073*L4808</f>
        <v>0</v>
      </c>
      <c r="O4808" s="19">
        <f>0.01187*L4808</f>
        <v>0</v>
      </c>
      <c r="P4808" s="24" t="s">
        <v>26</v>
      </c>
      <c r="Q4808" s="15" t="s">
        <v>15955</v>
      </c>
      <c r="R4808" s="15"/>
      <c r="S4808" s="10" t="str">
        <f>HYPERLINK("https://miland.ru/api/getInfo/image/065c6689-2e58-11f1-a292-00155d82e908")</f>
        <v>https://miland.ru/api/getInfo/image/065c6689-2e58-11f1-a292-00155d82e908</v>
      </c>
    </row>
    <row r="4809" spans="1:19" s="2" customFormat="1" ht="96.2" customHeight="1" outlineLevel="4">
      <c r="A4809" s="53">
        <v>3796</v>
      </c>
      <c r="B4809" s="10" t="s">
        <v>15956</v>
      </c>
      <c r="C4809" s="65" t="s">
        <v>15957</v>
      </c>
      <c r="D4809" s="65"/>
      <c r="E4809" s="65"/>
      <c r="F4809" s="65"/>
      <c r="G4809" s="11" t="s">
        <v>15958</v>
      </c>
      <c r="H4809" s="14">
        <v>146</v>
      </c>
      <c r="I4809" s="15"/>
      <c r="J4809" s="9">
        <v>2</v>
      </c>
      <c r="K4809" s="16">
        <v>271.54000000000002</v>
      </c>
      <c r="L4809" s="17"/>
      <c r="M4809" s="15">
        <f t="shared" si="230"/>
        <v>0</v>
      </c>
      <c r="N4809" s="23">
        <f>0.12*L4809</f>
        <v>0</v>
      </c>
      <c r="O4809" s="20">
        <f>0.0002*L4809</f>
        <v>0</v>
      </c>
      <c r="P4809" s="24" t="s">
        <v>26</v>
      </c>
      <c r="Q4809" s="15" t="s">
        <v>15959</v>
      </c>
      <c r="R4809" s="15"/>
      <c r="S4809" s="10" t="str">
        <f>HYPERLINK("https://miland.ru/api/getInfo/image/741bfabb-2e57-11f1-a292-00155d82e908")</f>
        <v>https://miland.ru/api/getInfo/image/741bfabb-2e57-11f1-a292-00155d82e908</v>
      </c>
    </row>
    <row r="4810" spans="1:19" s="2" customFormat="1" ht="96.2" customHeight="1" outlineLevel="4">
      <c r="A4810" s="52">
        <v>3797</v>
      </c>
      <c r="B4810" s="26" t="s">
        <v>15960</v>
      </c>
      <c r="C4810" s="66" t="s">
        <v>15961</v>
      </c>
      <c r="D4810" s="66"/>
      <c r="E4810" s="66"/>
      <c r="F4810" s="66"/>
      <c r="G4810" s="27" t="s">
        <v>15962</v>
      </c>
      <c r="H4810" s="33">
        <v>142</v>
      </c>
      <c r="I4810" s="29"/>
      <c r="J4810" s="25">
        <v>3</v>
      </c>
      <c r="K4810" s="30">
        <v>180.98</v>
      </c>
      <c r="L4810" s="17"/>
      <c r="M4810" s="29">
        <f t="shared" si="230"/>
        <v>0</v>
      </c>
      <c r="N4810" s="31">
        <f>0.054*L4810</f>
        <v>0</v>
      </c>
      <c r="O4810" s="32">
        <f>0.00563*L4810</f>
        <v>0</v>
      </c>
      <c r="P4810" s="36"/>
      <c r="Q4810" s="29" t="s">
        <v>15963</v>
      </c>
      <c r="R4810" s="29"/>
      <c r="S4810" s="26" t="str">
        <f>HYPERLINK("https://miland.ru/api/getInfo/image/99cd929f-d9d1-11ed-a232-00155d82e902")</f>
        <v>https://miland.ru/api/getInfo/image/99cd929f-d9d1-11ed-a232-00155d82e902</v>
      </c>
    </row>
    <row r="4811" spans="1:19" s="2" customFormat="1" ht="96.2" customHeight="1" outlineLevel="4">
      <c r="A4811" s="52">
        <v>3798</v>
      </c>
      <c r="B4811" s="26" t="s">
        <v>15964</v>
      </c>
      <c r="C4811" s="66" t="s">
        <v>15965</v>
      </c>
      <c r="D4811" s="66"/>
      <c r="E4811" s="66"/>
      <c r="F4811" s="66"/>
      <c r="G4811" s="27" t="s">
        <v>15966</v>
      </c>
      <c r="H4811" s="28" t="s">
        <v>44</v>
      </c>
      <c r="I4811" s="29"/>
      <c r="J4811" s="25">
        <v>3</v>
      </c>
      <c r="K4811" s="30">
        <v>271.45</v>
      </c>
      <c r="L4811" s="17"/>
      <c r="M4811" s="29">
        <f t="shared" si="230"/>
        <v>0</v>
      </c>
      <c r="N4811" s="31">
        <f>27.447*L4811</f>
        <v>0</v>
      </c>
      <c r="O4811" s="32">
        <f>0.13316*L4811</f>
        <v>0</v>
      </c>
      <c r="P4811" s="36"/>
      <c r="Q4811" s="29" t="s">
        <v>15967</v>
      </c>
      <c r="R4811" s="29"/>
      <c r="S4811" s="26" t="str">
        <f>HYPERLINK("https://miland.ru/api/getInfo/image/99e9aafb-d9d3-11ed-a232-00155d82e902")</f>
        <v>https://miland.ru/api/getInfo/image/99e9aafb-d9d3-11ed-a232-00155d82e902</v>
      </c>
    </row>
    <row r="4812" spans="1:19" s="2" customFormat="1" ht="96.2" customHeight="1" outlineLevel="4">
      <c r="A4812" s="52">
        <v>3799</v>
      </c>
      <c r="B4812" s="26" t="s">
        <v>15968</v>
      </c>
      <c r="C4812" s="66" t="s">
        <v>15969</v>
      </c>
      <c r="D4812" s="66"/>
      <c r="E4812" s="66"/>
      <c r="F4812" s="66"/>
      <c r="G4812" s="27" t="s">
        <v>15970</v>
      </c>
      <c r="H4812" s="33">
        <v>200</v>
      </c>
      <c r="I4812" s="29"/>
      <c r="J4812" s="25">
        <v>1</v>
      </c>
      <c r="K4812" s="30">
        <v>476.38</v>
      </c>
      <c r="L4812" s="17"/>
      <c r="M4812" s="29">
        <f t="shared" si="230"/>
        <v>0</v>
      </c>
      <c r="N4812" s="31">
        <f>0.063*L4812</f>
        <v>0</v>
      </c>
      <c r="O4812" s="32">
        <f>0.00008*L4812</f>
        <v>0</v>
      </c>
      <c r="P4812" s="36"/>
      <c r="Q4812" s="29" t="s">
        <v>15971</v>
      </c>
      <c r="R4812" s="29"/>
      <c r="S4812" s="26" t="str">
        <f>HYPERLINK("https://miland.ru/api/getInfo/image/c60549e5-c743-11ee-a25a-00155d82e908")</f>
        <v>https://miland.ru/api/getInfo/image/c60549e5-c743-11ee-a25a-00155d82e908</v>
      </c>
    </row>
    <row r="4813" spans="1:19" s="2" customFormat="1" ht="96.2" customHeight="1" outlineLevel="4">
      <c r="A4813" s="52">
        <v>3800</v>
      </c>
      <c r="B4813" s="26" t="s">
        <v>15972</v>
      </c>
      <c r="C4813" s="66" t="s">
        <v>15973</v>
      </c>
      <c r="D4813" s="66"/>
      <c r="E4813" s="66"/>
      <c r="F4813" s="66"/>
      <c r="G4813" s="27" t="s">
        <v>15974</v>
      </c>
      <c r="H4813" s="33">
        <v>321</v>
      </c>
      <c r="I4813" s="29"/>
      <c r="J4813" s="25">
        <v>2</v>
      </c>
      <c r="K4813" s="30">
        <v>337.16</v>
      </c>
      <c r="L4813" s="17"/>
      <c r="M4813" s="29">
        <f t="shared" si="230"/>
        <v>0</v>
      </c>
      <c r="N4813" s="31">
        <f>12.405*L4813</f>
        <v>0</v>
      </c>
      <c r="O4813" s="32">
        <f>0.14661*L4813</f>
        <v>0</v>
      </c>
      <c r="P4813" s="36"/>
      <c r="Q4813" s="29" t="s">
        <v>15975</v>
      </c>
      <c r="R4813" s="29"/>
      <c r="S4813" s="26" t="str">
        <f>HYPERLINK("https://miland.ru/api/getInfo/image/3127c4c6-d9d0-11ed-a232-00155d82e902")</f>
        <v>https://miland.ru/api/getInfo/image/3127c4c6-d9d0-11ed-a232-00155d82e902</v>
      </c>
    </row>
    <row r="4814" spans="1:19" s="2" customFormat="1" ht="96.2" customHeight="1" outlineLevel="4">
      <c r="A4814" s="52">
        <v>3801</v>
      </c>
      <c r="B4814" s="26" t="s">
        <v>15976</v>
      </c>
      <c r="C4814" s="66" t="s">
        <v>15977</v>
      </c>
      <c r="D4814" s="66"/>
      <c r="E4814" s="66"/>
      <c r="F4814" s="66"/>
      <c r="G4814" s="27" t="s">
        <v>15978</v>
      </c>
      <c r="H4814" s="28" t="s">
        <v>44</v>
      </c>
      <c r="I4814" s="29"/>
      <c r="J4814" s="25">
        <v>2</v>
      </c>
      <c r="K4814" s="30">
        <v>310.67</v>
      </c>
      <c r="L4814" s="17"/>
      <c r="M4814" s="29">
        <f t="shared" si="230"/>
        <v>0</v>
      </c>
      <c r="N4814" s="34">
        <f>11.99*L4814</f>
        <v>0</v>
      </c>
      <c r="O4814" s="32">
        <f>0.15399*L4814</f>
        <v>0</v>
      </c>
      <c r="P4814" s="36"/>
      <c r="Q4814" s="29" t="s">
        <v>15979</v>
      </c>
      <c r="R4814" s="29"/>
      <c r="S4814" s="26" t="str">
        <f>HYPERLINK("https://miland.ru/api/getInfo/image/b7a05633-d9cf-11ed-a232-00155d82e902")</f>
        <v>https://miland.ru/api/getInfo/image/b7a05633-d9cf-11ed-a232-00155d82e902</v>
      </c>
    </row>
    <row r="4815" spans="1:19" s="2" customFormat="1" ht="96.2" customHeight="1" outlineLevel="4">
      <c r="A4815" s="53">
        <v>3802</v>
      </c>
      <c r="B4815" s="10" t="s">
        <v>15980</v>
      </c>
      <c r="C4815" s="65" t="s">
        <v>15981</v>
      </c>
      <c r="D4815" s="65"/>
      <c r="E4815" s="65"/>
      <c r="F4815" s="65"/>
      <c r="G4815" s="11" t="s">
        <v>15982</v>
      </c>
      <c r="H4815" s="14">
        <v>172</v>
      </c>
      <c r="I4815" s="15"/>
      <c r="J4815" s="9">
        <v>3</v>
      </c>
      <c r="K4815" s="16">
        <v>236.98</v>
      </c>
      <c r="L4815" s="17"/>
      <c r="M4815" s="15">
        <f t="shared" si="230"/>
        <v>0</v>
      </c>
      <c r="N4815" s="18">
        <f>0.077*L4815</f>
        <v>0</v>
      </c>
      <c r="O4815" s="19">
        <f>0.01118*L4815</f>
        <v>0</v>
      </c>
      <c r="P4815" s="24" t="s">
        <v>26</v>
      </c>
      <c r="Q4815" s="15" t="s">
        <v>15983</v>
      </c>
      <c r="R4815" s="15"/>
      <c r="S4815" s="10" t="str">
        <f>HYPERLINK("https://miland.ru/api/getInfo/image/3dd180e7-2e55-11f1-a292-00155d82e908")</f>
        <v>https://miland.ru/api/getInfo/image/3dd180e7-2e55-11f1-a292-00155d82e908</v>
      </c>
    </row>
    <row r="4816" spans="1:19" s="1" customFormat="1" ht="12" customHeight="1" outlineLevel="2">
      <c r="A4816" s="63" t="s">
        <v>15984</v>
      </c>
      <c r="B4816" s="63"/>
      <c r="C4816" s="63"/>
      <c r="D4816" s="63"/>
      <c r="E4816" s="63"/>
      <c r="F4816" s="63"/>
      <c r="G4816" s="8"/>
      <c r="H4816" s="12"/>
      <c r="I4816" s="2"/>
      <c r="J4816" s="2"/>
      <c r="K4816" s="13"/>
      <c r="L4816" s="2"/>
      <c r="M4816" s="2"/>
      <c r="N4816" s="2"/>
      <c r="O4816" s="2"/>
      <c r="P4816" s="2"/>
      <c r="Q4816" s="2"/>
      <c r="R4816" s="2"/>
      <c r="S4816" s="2"/>
    </row>
    <row r="4817" spans="1:19" s="2" customFormat="1" ht="96.2" customHeight="1" outlineLevel="3">
      <c r="A4817" s="52">
        <v>3803</v>
      </c>
      <c r="B4817" s="26" t="s">
        <v>15985</v>
      </c>
      <c r="C4817" s="66" t="s">
        <v>15986</v>
      </c>
      <c r="D4817" s="66"/>
      <c r="E4817" s="66"/>
      <c r="F4817" s="66"/>
      <c r="G4817" s="27" t="s">
        <v>15987</v>
      </c>
      <c r="H4817" s="28" t="s">
        <v>44</v>
      </c>
      <c r="I4817" s="29"/>
      <c r="J4817" s="25">
        <v>4</v>
      </c>
      <c r="K4817" s="30">
        <v>147.93</v>
      </c>
      <c r="L4817" s="17"/>
      <c r="M4817" s="29">
        <f>K4817*L4817</f>
        <v>0</v>
      </c>
      <c r="N4817" s="31">
        <f>0.053*L4817</f>
        <v>0</v>
      </c>
      <c r="O4817" s="32">
        <f>0.00037*L4817</f>
        <v>0</v>
      </c>
      <c r="P4817" s="36"/>
      <c r="Q4817" s="29" t="s">
        <v>15988</v>
      </c>
      <c r="R4817" s="29"/>
      <c r="S4817" s="26" t="str">
        <f>HYPERLINK("https://miland.ru/api/getInfo/image/ada5df2d-ce55-11ef-a268-00155d82e908")</f>
        <v>https://miland.ru/api/getInfo/image/ada5df2d-ce55-11ef-a268-00155d82e908</v>
      </c>
    </row>
    <row r="4818" spans="1:19" s="2" customFormat="1" ht="96.2" customHeight="1" outlineLevel="3">
      <c r="A4818" s="52">
        <v>3804</v>
      </c>
      <c r="B4818" s="26" t="s">
        <v>15989</v>
      </c>
      <c r="C4818" s="66" t="s">
        <v>15990</v>
      </c>
      <c r="D4818" s="66"/>
      <c r="E4818" s="66"/>
      <c r="F4818" s="66"/>
      <c r="G4818" s="27" t="s">
        <v>15991</v>
      </c>
      <c r="H4818" s="28" t="s">
        <v>44</v>
      </c>
      <c r="I4818" s="29"/>
      <c r="J4818" s="25">
        <v>4</v>
      </c>
      <c r="K4818" s="30">
        <v>147.93</v>
      </c>
      <c r="L4818" s="17"/>
      <c r="M4818" s="29">
        <f>K4818*L4818</f>
        <v>0</v>
      </c>
      <c r="N4818" s="31">
        <f>0.054*L4818</f>
        <v>0</v>
      </c>
      <c r="O4818" s="32">
        <f>0.00008*L4818</f>
        <v>0</v>
      </c>
      <c r="P4818" s="36"/>
      <c r="Q4818" s="29" t="s">
        <v>15992</v>
      </c>
      <c r="R4818" s="29"/>
      <c r="S4818" s="26" t="str">
        <f>HYPERLINK("https://miland.ru/api/getInfo/image/4df5aca7-ce56-11ef-a268-00155d82e908")</f>
        <v>https://miland.ru/api/getInfo/image/4df5aca7-ce56-11ef-a268-00155d82e908</v>
      </c>
    </row>
    <row r="4819" spans="1:19" s="1" customFormat="1" ht="12" customHeight="1" outlineLevel="2">
      <c r="A4819" s="63" t="s">
        <v>15993</v>
      </c>
      <c r="B4819" s="63"/>
      <c r="C4819" s="63"/>
      <c r="D4819" s="63"/>
      <c r="E4819" s="63"/>
      <c r="F4819" s="63"/>
      <c r="G4819" s="8"/>
      <c r="H4819" s="12"/>
      <c r="I4819" s="2"/>
      <c r="J4819" s="2"/>
      <c r="K4819" s="13"/>
      <c r="L4819" s="2"/>
      <c r="M4819" s="2"/>
      <c r="N4819" s="2"/>
      <c r="O4819" s="2"/>
      <c r="P4819" s="2"/>
      <c r="Q4819" s="2"/>
      <c r="R4819" s="2"/>
      <c r="S4819" s="2"/>
    </row>
    <row r="4820" spans="1:19" s="2" customFormat="1" ht="96.2" customHeight="1" outlineLevel="3">
      <c r="A4820" s="52">
        <v>3805</v>
      </c>
      <c r="B4820" s="26" t="s">
        <v>15994</v>
      </c>
      <c r="C4820" s="66" t="s">
        <v>15995</v>
      </c>
      <c r="D4820" s="66"/>
      <c r="E4820" s="66"/>
      <c r="F4820" s="66"/>
      <c r="G4820" s="27" t="s">
        <v>15996</v>
      </c>
      <c r="H4820" s="28" t="s">
        <v>44</v>
      </c>
      <c r="I4820" s="29"/>
      <c r="J4820" s="25">
        <v>10</v>
      </c>
      <c r="K4820" s="30">
        <v>69.59</v>
      </c>
      <c r="L4820" s="17"/>
      <c r="M4820" s="29">
        <f>K4820*L4820</f>
        <v>0</v>
      </c>
      <c r="N4820" s="34">
        <f>0.05*L4820</f>
        <v>0</v>
      </c>
      <c r="O4820" s="35">
        <f>0.0006*L4820</f>
        <v>0</v>
      </c>
      <c r="P4820" s="36"/>
      <c r="Q4820" s="29" t="s">
        <v>15997</v>
      </c>
      <c r="R4820" s="29"/>
      <c r="S4820" s="26" t="str">
        <f>HYPERLINK("https://miland.ru/api/getInfo/image/2d1616da-fe06-11ed-a23a-00155d82e902")</f>
        <v>https://miland.ru/api/getInfo/image/2d1616da-fe06-11ed-a23a-00155d82e902</v>
      </c>
    </row>
    <row r="4821" spans="1:19" s="2" customFormat="1" ht="96.2" customHeight="1" outlineLevel="3">
      <c r="A4821" s="52">
        <v>3806</v>
      </c>
      <c r="B4821" s="26" t="s">
        <v>15998</v>
      </c>
      <c r="C4821" s="66" t="s">
        <v>15999</v>
      </c>
      <c r="D4821" s="66"/>
      <c r="E4821" s="66"/>
      <c r="F4821" s="66"/>
      <c r="G4821" s="27" t="s">
        <v>16000</v>
      </c>
      <c r="H4821" s="28" t="s">
        <v>44</v>
      </c>
      <c r="I4821" s="29"/>
      <c r="J4821" s="25">
        <v>10</v>
      </c>
      <c r="K4821" s="30">
        <v>62.63</v>
      </c>
      <c r="L4821" s="17"/>
      <c r="M4821" s="29">
        <f>K4821*L4821</f>
        <v>0</v>
      </c>
      <c r="N4821" s="31">
        <f>0.045*L4821</f>
        <v>0</v>
      </c>
      <c r="O4821" s="32">
        <f>0.00011*L4821</f>
        <v>0</v>
      </c>
      <c r="P4821" s="36"/>
      <c r="Q4821" s="29" t="s">
        <v>16001</v>
      </c>
      <c r="R4821" s="29"/>
      <c r="S4821" s="26" t="str">
        <f>HYPERLINK("https://miland.ru/api/getInfo/image/e585f337-fe05-11ed-a23a-00155d82e902")</f>
        <v>https://miland.ru/api/getInfo/image/e585f337-fe05-11ed-a23a-00155d82e902</v>
      </c>
    </row>
    <row r="4822" spans="1:19" s="2" customFormat="1" ht="96.2" customHeight="1" outlineLevel="3">
      <c r="A4822" s="52">
        <v>3807</v>
      </c>
      <c r="B4822" s="26" t="s">
        <v>16002</v>
      </c>
      <c r="C4822" s="66" t="s">
        <v>16003</v>
      </c>
      <c r="D4822" s="66"/>
      <c r="E4822" s="66"/>
      <c r="F4822" s="66"/>
      <c r="G4822" s="27" t="s">
        <v>16004</v>
      </c>
      <c r="H4822" s="28" t="s">
        <v>44</v>
      </c>
      <c r="I4822" s="29"/>
      <c r="J4822" s="25">
        <v>10</v>
      </c>
      <c r="K4822" s="30">
        <v>62.63</v>
      </c>
      <c r="L4822" s="17"/>
      <c r="M4822" s="29">
        <f>K4822*L4822</f>
        <v>0</v>
      </c>
      <c r="N4822" s="31">
        <f>0.049*L4822</f>
        <v>0</v>
      </c>
      <c r="O4822" s="35">
        <f>0.0003*L4822</f>
        <v>0</v>
      </c>
      <c r="P4822" s="36"/>
      <c r="Q4822" s="29" t="s">
        <v>16005</v>
      </c>
      <c r="R4822" s="29"/>
      <c r="S4822" s="26" t="str">
        <f>HYPERLINK("https://miland.ru/api/getInfo/image/8b8042c9-fe05-11ed-a23a-00155d82e902")</f>
        <v>https://miland.ru/api/getInfo/image/8b8042c9-fe05-11ed-a23a-00155d82e902</v>
      </c>
    </row>
    <row r="4823" spans="1:19" s="2" customFormat="1" ht="96.2" customHeight="1" outlineLevel="3">
      <c r="A4823" s="52">
        <v>3808</v>
      </c>
      <c r="B4823" s="26" t="s">
        <v>16006</v>
      </c>
      <c r="C4823" s="66" t="s">
        <v>16007</v>
      </c>
      <c r="D4823" s="66"/>
      <c r="E4823" s="66"/>
      <c r="F4823" s="66"/>
      <c r="G4823" s="27" t="s">
        <v>16008</v>
      </c>
      <c r="H4823" s="28" t="s">
        <v>44</v>
      </c>
      <c r="I4823" s="29"/>
      <c r="J4823" s="25">
        <v>10</v>
      </c>
      <c r="K4823" s="30">
        <v>62.63</v>
      </c>
      <c r="L4823" s="17"/>
      <c r="M4823" s="29">
        <f>K4823*L4823</f>
        <v>0</v>
      </c>
      <c r="N4823" s="31">
        <f>0.042*L4823</f>
        <v>0</v>
      </c>
      <c r="O4823" s="32">
        <f>0.00012*L4823</f>
        <v>0</v>
      </c>
      <c r="P4823" s="36"/>
      <c r="Q4823" s="29" t="s">
        <v>16009</v>
      </c>
      <c r="R4823" s="29"/>
      <c r="S4823" s="26" t="str">
        <f>HYPERLINK("https://miland.ru/api/getInfo/image/de2be681-fe04-11ed-a23a-00155d82e902")</f>
        <v>https://miland.ru/api/getInfo/image/de2be681-fe04-11ed-a23a-00155d82e902</v>
      </c>
    </row>
    <row r="4824" spans="1:19" s="2" customFormat="1" ht="96.2" customHeight="1" outlineLevel="3">
      <c r="A4824" s="52">
        <v>3809</v>
      </c>
      <c r="B4824" s="26" t="s">
        <v>16010</v>
      </c>
      <c r="C4824" s="66" t="s">
        <v>16011</v>
      </c>
      <c r="D4824" s="66"/>
      <c r="E4824" s="66"/>
      <c r="F4824" s="66"/>
      <c r="G4824" s="27" t="s">
        <v>16012</v>
      </c>
      <c r="H4824" s="33">
        <v>133</v>
      </c>
      <c r="I4824" s="29"/>
      <c r="J4824" s="25">
        <v>3</v>
      </c>
      <c r="K4824" s="30">
        <v>179.41</v>
      </c>
      <c r="L4824" s="17"/>
      <c r="M4824" s="29">
        <f>K4824*L4824</f>
        <v>0</v>
      </c>
      <c r="N4824" s="31">
        <f>0.094*L4824</f>
        <v>0</v>
      </c>
      <c r="O4824" s="35">
        <f>0.0001*L4824</f>
        <v>0</v>
      </c>
      <c r="P4824" s="36"/>
      <c r="Q4824" s="29" t="s">
        <v>16013</v>
      </c>
      <c r="R4824" s="29"/>
      <c r="S4824" s="26" t="str">
        <f>HYPERLINK("https://miland.ru/api/getInfo/image/22979d1b-cbd5-11ee-a25a-00155d82e908")</f>
        <v>https://miland.ru/api/getInfo/image/22979d1b-cbd5-11ee-a25a-00155d82e908</v>
      </c>
    </row>
    <row r="4825" spans="1:19" s="1" customFormat="1" ht="15.95" customHeight="1" outlineLevel="1">
      <c r="A4825" s="62" t="s">
        <v>16014</v>
      </c>
      <c r="B4825" s="62"/>
      <c r="C4825" s="62"/>
      <c r="D4825" s="62"/>
      <c r="E4825" s="62"/>
      <c r="F4825" s="62"/>
      <c r="G4825" s="8"/>
      <c r="H4825" s="12"/>
      <c r="I4825" s="2"/>
      <c r="J4825" s="2"/>
      <c r="K4825" s="13"/>
      <c r="L4825" s="2"/>
      <c r="M4825" s="2"/>
      <c r="N4825" s="2"/>
      <c r="O4825" s="2"/>
      <c r="P4825" s="2"/>
      <c r="Q4825" s="2"/>
      <c r="R4825" s="2"/>
      <c r="S4825" s="2"/>
    </row>
    <row r="4826" spans="1:19" s="1" customFormat="1" ht="12" customHeight="1" outlineLevel="2">
      <c r="A4826" s="63" t="s">
        <v>16015</v>
      </c>
      <c r="B4826" s="63"/>
      <c r="C4826" s="63"/>
      <c r="D4826" s="63"/>
      <c r="E4826" s="63"/>
      <c r="F4826" s="63"/>
      <c r="G4826" s="8"/>
      <c r="H4826" s="12"/>
      <c r="I4826" s="2"/>
      <c r="J4826" s="2"/>
      <c r="K4826" s="13"/>
      <c r="L4826" s="2"/>
      <c r="M4826" s="2"/>
      <c r="N4826" s="2"/>
      <c r="O4826" s="2"/>
      <c r="P4826" s="2"/>
      <c r="Q4826" s="2"/>
      <c r="R4826" s="2"/>
      <c r="S4826" s="2"/>
    </row>
    <row r="4827" spans="1:19" s="2" customFormat="1" ht="96.2" customHeight="1" outlineLevel="3">
      <c r="A4827" s="53">
        <v>3810</v>
      </c>
      <c r="B4827" s="10" t="s">
        <v>16016</v>
      </c>
      <c r="C4827" s="65" t="s">
        <v>16017</v>
      </c>
      <c r="D4827" s="65"/>
      <c r="E4827" s="65"/>
      <c r="F4827" s="65"/>
      <c r="G4827" s="11" t="s">
        <v>16018</v>
      </c>
      <c r="H4827" s="21" t="s">
        <v>44</v>
      </c>
      <c r="I4827" s="15"/>
      <c r="J4827" s="9">
        <v>100</v>
      </c>
      <c r="K4827" s="16">
        <v>7.75</v>
      </c>
      <c r="L4827" s="17"/>
      <c r="M4827" s="15">
        <f t="shared" ref="M4827:M4838" si="231">K4827*L4827</f>
        <v>0</v>
      </c>
      <c r="N4827" s="18">
        <f>0.012*L4827</f>
        <v>0</v>
      </c>
      <c r="O4827" s="19">
        <f t="shared" ref="O4827:O4834" si="232">0.00006*L4827</f>
        <v>0</v>
      </c>
      <c r="P4827" s="24" t="s">
        <v>26</v>
      </c>
      <c r="Q4827" s="15" t="s">
        <v>16019</v>
      </c>
      <c r="R4827" s="15"/>
      <c r="S4827" s="10" t="str">
        <f>HYPERLINK("https://miland.ru/api/getInfo/image/61a89f84-1e0f-11f1-a28f-00155d82e908")</f>
        <v>https://miland.ru/api/getInfo/image/61a89f84-1e0f-11f1-a28f-00155d82e908</v>
      </c>
    </row>
    <row r="4828" spans="1:19" s="2" customFormat="1" ht="96.2" customHeight="1" outlineLevel="3">
      <c r="A4828" s="53">
        <v>3811</v>
      </c>
      <c r="B4828" s="10" t="s">
        <v>16020</v>
      </c>
      <c r="C4828" s="65" t="s">
        <v>16021</v>
      </c>
      <c r="D4828" s="65"/>
      <c r="E4828" s="65"/>
      <c r="F4828" s="65"/>
      <c r="G4828" s="11" t="s">
        <v>16022</v>
      </c>
      <c r="H4828" s="21" t="s">
        <v>44</v>
      </c>
      <c r="I4828" s="15"/>
      <c r="J4828" s="9">
        <v>100</v>
      </c>
      <c r="K4828" s="16">
        <v>7.75</v>
      </c>
      <c r="L4828" s="17"/>
      <c r="M4828" s="15">
        <f t="shared" si="231"/>
        <v>0</v>
      </c>
      <c r="N4828" s="18">
        <f>0.012*L4828</f>
        <v>0</v>
      </c>
      <c r="O4828" s="19">
        <f t="shared" si="232"/>
        <v>0</v>
      </c>
      <c r="P4828" s="24" t="s">
        <v>26</v>
      </c>
      <c r="Q4828" s="15" t="s">
        <v>16023</v>
      </c>
      <c r="R4828" s="15"/>
      <c r="S4828" s="10" t="str">
        <f>HYPERLINK("https://miland.ru/api/getInfo/image/92d02acf-1e0f-11f1-a28f-00155d82e908")</f>
        <v>https://miland.ru/api/getInfo/image/92d02acf-1e0f-11f1-a28f-00155d82e908</v>
      </c>
    </row>
    <row r="4829" spans="1:19" s="2" customFormat="1" ht="96.2" customHeight="1" outlineLevel="3">
      <c r="A4829" s="53">
        <v>3812</v>
      </c>
      <c r="B4829" s="10" t="s">
        <v>16024</v>
      </c>
      <c r="C4829" s="65" t="s">
        <v>16025</v>
      </c>
      <c r="D4829" s="65"/>
      <c r="E4829" s="65"/>
      <c r="F4829" s="65"/>
      <c r="G4829" s="11" t="s">
        <v>16026</v>
      </c>
      <c r="H4829" s="21" t="s">
        <v>44</v>
      </c>
      <c r="I4829" s="15"/>
      <c r="J4829" s="9">
        <v>100</v>
      </c>
      <c r="K4829" s="16">
        <v>7.75</v>
      </c>
      <c r="L4829" s="17"/>
      <c r="M4829" s="15">
        <f t="shared" si="231"/>
        <v>0</v>
      </c>
      <c r="N4829" s="23">
        <f>0.01*L4829</f>
        <v>0</v>
      </c>
      <c r="O4829" s="19">
        <f t="shared" si="232"/>
        <v>0</v>
      </c>
      <c r="P4829" s="24" t="s">
        <v>26</v>
      </c>
      <c r="Q4829" s="15" t="s">
        <v>16027</v>
      </c>
      <c r="R4829" s="15"/>
      <c r="S4829" s="10" t="str">
        <f>HYPERLINK("https://miland.ru/api/getInfo/image/45810443-8b54-11f1-a29a-00155d82e908")</f>
        <v>https://miland.ru/api/getInfo/image/45810443-8b54-11f1-a29a-00155d82e908</v>
      </c>
    </row>
    <row r="4830" spans="1:19" s="2" customFormat="1" ht="96.2" customHeight="1" outlineLevel="3">
      <c r="A4830" s="53">
        <v>3813</v>
      </c>
      <c r="B4830" s="10" t="s">
        <v>16028</v>
      </c>
      <c r="C4830" s="65" t="s">
        <v>16029</v>
      </c>
      <c r="D4830" s="65"/>
      <c r="E4830" s="65"/>
      <c r="F4830" s="65"/>
      <c r="G4830" s="11" t="s">
        <v>16030</v>
      </c>
      <c r="H4830" s="21" t="s">
        <v>44</v>
      </c>
      <c r="I4830" s="15"/>
      <c r="J4830" s="9">
        <v>100</v>
      </c>
      <c r="K4830" s="16">
        <v>7.75</v>
      </c>
      <c r="L4830" s="17"/>
      <c r="M4830" s="15">
        <f t="shared" si="231"/>
        <v>0</v>
      </c>
      <c r="N4830" s="23">
        <f>0.01*L4830</f>
        <v>0</v>
      </c>
      <c r="O4830" s="19">
        <f t="shared" si="232"/>
        <v>0</v>
      </c>
      <c r="P4830" s="24" t="s">
        <v>26</v>
      </c>
      <c r="Q4830" s="15" t="s">
        <v>16031</v>
      </c>
      <c r="R4830" s="15"/>
      <c r="S4830" s="10" t="str">
        <f>HYPERLINK("https://miland.ru/api/getInfo/image/eb9d3c6f-8b53-11f1-a29a-00155d82e908")</f>
        <v>https://miland.ru/api/getInfo/image/eb9d3c6f-8b53-11f1-a29a-00155d82e908</v>
      </c>
    </row>
    <row r="4831" spans="1:19" s="2" customFormat="1" ht="96.2" customHeight="1" outlineLevel="3">
      <c r="A4831" s="53">
        <v>3814</v>
      </c>
      <c r="B4831" s="10" t="s">
        <v>16032</v>
      </c>
      <c r="C4831" s="65" t="s">
        <v>16033</v>
      </c>
      <c r="D4831" s="65"/>
      <c r="E4831" s="65"/>
      <c r="F4831" s="65"/>
      <c r="G4831" s="11" t="s">
        <v>16034</v>
      </c>
      <c r="H4831" s="21" t="s">
        <v>44</v>
      </c>
      <c r="I4831" s="15"/>
      <c r="J4831" s="9">
        <v>100</v>
      </c>
      <c r="K4831" s="16">
        <v>7.75</v>
      </c>
      <c r="L4831" s="17"/>
      <c r="M4831" s="15">
        <f t="shared" si="231"/>
        <v>0</v>
      </c>
      <c r="N4831" s="23">
        <f>0.01*L4831</f>
        <v>0</v>
      </c>
      <c r="O4831" s="19">
        <f t="shared" si="232"/>
        <v>0</v>
      </c>
      <c r="P4831" s="24" t="s">
        <v>26</v>
      </c>
      <c r="Q4831" s="15" t="s">
        <v>16035</v>
      </c>
      <c r="R4831" s="15"/>
      <c r="S4831" s="10" t="str">
        <f>HYPERLINK("https://miland.ru/api/getInfo/image/a3860c69-8b54-11f1-a29a-00155d82e908")</f>
        <v>https://miland.ru/api/getInfo/image/a3860c69-8b54-11f1-a29a-00155d82e908</v>
      </c>
    </row>
    <row r="4832" spans="1:19" s="2" customFormat="1" ht="96.2" customHeight="1" outlineLevel="3">
      <c r="A4832" s="53">
        <v>3815</v>
      </c>
      <c r="B4832" s="10" t="s">
        <v>16036</v>
      </c>
      <c r="C4832" s="65" t="s">
        <v>16037</v>
      </c>
      <c r="D4832" s="65"/>
      <c r="E4832" s="65"/>
      <c r="F4832" s="65"/>
      <c r="G4832" s="11" t="s">
        <v>16038</v>
      </c>
      <c r="H4832" s="21" t="s">
        <v>44</v>
      </c>
      <c r="I4832" s="15"/>
      <c r="J4832" s="9">
        <v>100</v>
      </c>
      <c r="K4832" s="16">
        <v>7.75</v>
      </c>
      <c r="L4832" s="17"/>
      <c r="M4832" s="15">
        <f t="shared" si="231"/>
        <v>0</v>
      </c>
      <c r="N4832" s="18">
        <f t="shared" ref="N4832:N4838" si="233">0.012*L4832</f>
        <v>0</v>
      </c>
      <c r="O4832" s="19">
        <f t="shared" si="232"/>
        <v>0</v>
      </c>
      <c r="P4832" s="24" t="s">
        <v>26</v>
      </c>
      <c r="Q4832" s="15" t="s">
        <v>16039</v>
      </c>
      <c r="R4832" s="15"/>
      <c r="S4832" s="10" t="str">
        <f>HYPERLINK("https://miland.ru/api/getInfo/image/ca2ee884-1e0f-11f1-a28f-00155d82e908")</f>
        <v>https://miland.ru/api/getInfo/image/ca2ee884-1e0f-11f1-a28f-00155d82e908</v>
      </c>
    </row>
    <row r="4833" spans="1:19" s="2" customFormat="1" ht="96.2" customHeight="1" outlineLevel="3">
      <c r="A4833" s="53">
        <v>3816</v>
      </c>
      <c r="B4833" s="10" t="s">
        <v>16040</v>
      </c>
      <c r="C4833" s="65" t="s">
        <v>16041</v>
      </c>
      <c r="D4833" s="65"/>
      <c r="E4833" s="65"/>
      <c r="F4833" s="65"/>
      <c r="G4833" s="11" t="s">
        <v>16042</v>
      </c>
      <c r="H4833" s="14">
        <v>200</v>
      </c>
      <c r="I4833" s="15"/>
      <c r="J4833" s="9">
        <v>100</v>
      </c>
      <c r="K4833" s="16">
        <v>7.75</v>
      </c>
      <c r="L4833" s="17"/>
      <c r="M4833" s="15">
        <f t="shared" si="231"/>
        <v>0</v>
      </c>
      <c r="N4833" s="18">
        <f t="shared" si="233"/>
        <v>0</v>
      </c>
      <c r="O4833" s="19">
        <f t="shared" si="232"/>
        <v>0</v>
      </c>
      <c r="P4833" s="24" t="s">
        <v>26</v>
      </c>
      <c r="Q4833" s="15" t="s">
        <v>16043</v>
      </c>
      <c r="R4833" s="15"/>
      <c r="S4833" s="10" t="str">
        <f>HYPERLINK("https://miland.ru/api/getInfo/image/ad5218fc-1e0f-11f1-a28f-00155d82e908")</f>
        <v>https://miland.ru/api/getInfo/image/ad5218fc-1e0f-11f1-a28f-00155d82e908</v>
      </c>
    </row>
    <row r="4834" spans="1:19" s="2" customFormat="1" ht="96.2" customHeight="1" outlineLevel="3">
      <c r="A4834" s="53">
        <v>3817</v>
      </c>
      <c r="B4834" s="10" t="s">
        <v>16044</v>
      </c>
      <c r="C4834" s="65" t="s">
        <v>16045</v>
      </c>
      <c r="D4834" s="65"/>
      <c r="E4834" s="65"/>
      <c r="F4834" s="65"/>
      <c r="G4834" s="11" t="s">
        <v>16046</v>
      </c>
      <c r="H4834" s="21" t="s">
        <v>44</v>
      </c>
      <c r="I4834" s="15"/>
      <c r="J4834" s="9">
        <v>100</v>
      </c>
      <c r="K4834" s="16">
        <v>7.75</v>
      </c>
      <c r="L4834" s="17"/>
      <c r="M4834" s="15">
        <f t="shared" si="231"/>
        <v>0</v>
      </c>
      <c r="N4834" s="18">
        <f t="shared" si="233"/>
        <v>0</v>
      </c>
      <c r="O4834" s="19">
        <f t="shared" si="232"/>
        <v>0</v>
      </c>
      <c r="P4834" s="24" t="s">
        <v>26</v>
      </c>
      <c r="Q4834" s="15" t="s">
        <v>16047</v>
      </c>
      <c r="R4834" s="15"/>
      <c r="S4834" s="10" t="str">
        <f>HYPERLINK("https://miland.ru/api/getInfo/image/f914c0b7-1e0f-11f1-a28f-00155d82e908")</f>
        <v>https://miland.ru/api/getInfo/image/f914c0b7-1e0f-11f1-a28f-00155d82e908</v>
      </c>
    </row>
    <row r="4835" spans="1:19" s="2" customFormat="1" ht="96.2" customHeight="1" outlineLevel="3">
      <c r="A4835" s="53">
        <v>3818</v>
      </c>
      <c r="B4835" s="10" t="s">
        <v>16048</v>
      </c>
      <c r="C4835" s="65" t="s">
        <v>16049</v>
      </c>
      <c r="D4835" s="65"/>
      <c r="E4835" s="65"/>
      <c r="F4835" s="65"/>
      <c r="G4835" s="11" t="s">
        <v>16050</v>
      </c>
      <c r="H4835" s="21" t="s">
        <v>44</v>
      </c>
      <c r="I4835" s="15"/>
      <c r="J4835" s="9">
        <v>100</v>
      </c>
      <c r="K4835" s="16">
        <v>7.75</v>
      </c>
      <c r="L4835" s="17"/>
      <c r="M4835" s="15">
        <f t="shared" si="231"/>
        <v>0</v>
      </c>
      <c r="N4835" s="18">
        <f t="shared" si="233"/>
        <v>0</v>
      </c>
      <c r="O4835" s="19">
        <f>0.00013*L4835</f>
        <v>0</v>
      </c>
      <c r="P4835" s="24" t="s">
        <v>26</v>
      </c>
      <c r="Q4835" s="15" t="s">
        <v>16051</v>
      </c>
      <c r="R4835" s="15"/>
      <c r="S4835" s="10" t="str">
        <f>HYPERLINK("https://miland.ru/api/getInfo/image/557dac4a-1e10-11f1-a28f-00155d82e908")</f>
        <v>https://miland.ru/api/getInfo/image/557dac4a-1e10-11f1-a28f-00155d82e908</v>
      </c>
    </row>
    <row r="4836" spans="1:19" s="2" customFormat="1" ht="96.2" customHeight="1" outlineLevel="3">
      <c r="A4836" s="53">
        <v>3819</v>
      </c>
      <c r="B4836" s="10" t="s">
        <v>16052</v>
      </c>
      <c r="C4836" s="65" t="s">
        <v>16053</v>
      </c>
      <c r="D4836" s="65"/>
      <c r="E4836" s="65"/>
      <c r="F4836" s="65"/>
      <c r="G4836" s="11" t="s">
        <v>16054</v>
      </c>
      <c r="H4836" s="21" t="s">
        <v>44</v>
      </c>
      <c r="I4836" s="15"/>
      <c r="J4836" s="9">
        <v>100</v>
      </c>
      <c r="K4836" s="16">
        <v>7.75</v>
      </c>
      <c r="L4836" s="17"/>
      <c r="M4836" s="15">
        <f t="shared" si="231"/>
        <v>0</v>
      </c>
      <c r="N4836" s="18">
        <f t="shared" si="233"/>
        <v>0</v>
      </c>
      <c r="O4836" s="19">
        <f>0.00006*L4836</f>
        <v>0</v>
      </c>
      <c r="P4836" s="24" t="s">
        <v>26</v>
      </c>
      <c r="Q4836" s="15" t="s">
        <v>16055</v>
      </c>
      <c r="R4836" s="15"/>
      <c r="S4836" s="10" t="str">
        <f>HYPERLINK("https://miland.ru/api/getInfo/image/dcba19c2-1e0f-11f1-a28f-00155d82e908")</f>
        <v>https://miland.ru/api/getInfo/image/dcba19c2-1e0f-11f1-a28f-00155d82e908</v>
      </c>
    </row>
    <row r="4837" spans="1:19" s="2" customFormat="1" ht="96.2" customHeight="1" outlineLevel="3">
      <c r="A4837" s="53">
        <v>3820</v>
      </c>
      <c r="B4837" s="10" t="s">
        <v>16056</v>
      </c>
      <c r="C4837" s="65" t="s">
        <v>16057</v>
      </c>
      <c r="D4837" s="65"/>
      <c r="E4837" s="65"/>
      <c r="F4837" s="65"/>
      <c r="G4837" s="11" t="s">
        <v>16058</v>
      </c>
      <c r="H4837" s="21" t="s">
        <v>44</v>
      </c>
      <c r="I4837" s="15"/>
      <c r="J4837" s="9">
        <v>100</v>
      </c>
      <c r="K4837" s="16">
        <v>7.75</v>
      </c>
      <c r="L4837" s="17"/>
      <c r="M4837" s="15">
        <f t="shared" si="231"/>
        <v>0</v>
      </c>
      <c r="N4837" s="18">
        <f t="shared" si="233"/>
        <v>0</v>
      </c>
      <c r="O4837" s="19">
        <f>0.00006*L4837</f>
        <v>0</v>
      </c>
      <c r="P4837" s="24" t="s">
        <v>26</v>
      </c>
      <c r="Q4837" s="15" t="s">
        <v>16059</v>
      </c>
      <c r="R4837" s="15"/>
      <c r="S4837" s="10" t="str">
        <f>HYPERLINK("https://miland.ru/api/getInfo/image/1041dd92-1e10-11f1-a28f-00155d82e908")</f>
        <v>https://miland.ru/api/getInfo/image/1041dd92-1e10-11f1-a28f-00155d82e908</v>
      </c>
    </row>
    <row r="4838" spans="1:19" s="2" customFormat="1" ht="96.2" customHeight="1" outlineLevel="3">
      <c r="A4838" s="53">
        <v>3821</v>
      </c>
      <c r="B4838" s="10" t="s">
        <v>16060</v>
      </c>
      <c r="C4838" s="65" t="s">
        <v>16061</v>
      </c>
      <c r="D4838" s="65"/>
      <c r="E4838" s="65"/>
      <c r="F4838" s="65"/>
      <c r="G4838" s="11" t="s">
        <v>16062</v>
      </c>
      <c r="H4838" s="21" t="s">
        <v>44</v>
      </c>
      <c r="I4838" s="15"/>
      <c r="J4838" s="9">
        <v>100</v>
      </c>
      <c r="K4838" s="16">
        <v>7.75</v>
      </c>
      <c r="L4838" s="17"/>
      <c r="M4838" s="15">
        <f t="shared" si="231"/>
        <v>0</v>
      </c>
      <c r="N4838" s="18">
        <f t="shared" si="233"/>
        <v>0</v>
      </c>
      <c r="O4838" s="19">
        <f>0.00006*L4838</f>
        <v>0</v>
      </c>
      <c r="P4838" s="24" t="s">
        <v>26</v>
      </c>
      <c r="Q4838" s="15" t="s">
        <v>16063</v>
      </c>
      <c r="R4838" s="15"/>
      <c r="S4838" s="10" t="str">
        <f>HYPERLINK("https://miland.ru/api/getInfo/image/337f6089-1e10-11f1-a28f-00155d82e908")</f>
        <v>https://miland.ru/api/getInfo/image/337f6089-1e10-11f1-a28f-00155d82e908</v>
      </c>
    </row>
    <row r="4839" spans="1:19" s="1" customFormat="1" ht="12" customHeight="1" outlineLevel="2">
      <c r="A4839" s="63" t="s">
        <v>16064</v>
      </c>
      <c r="B4839" s="63"/>
      <c r="C4839" s="63"/>
      <c r="D4839" s="63"/>
      <c r="E4839" s="63"/>
      <c r="F4839" s="63"/>
      <c r="G4839" s="8"/>
      <c r="H4839" s="12"/>
      <c r="I4839" s="2"/>
      <c r="J4839" s="2"/>
      <c r="K4839" s="13"/>
      <c r="L4839" s="2"/>
      <c r="M4839" s="2"/>
      <c r="N4839" s="2"/>
      <c r="O4839" s="2"/>
      <c r="P4839" s="2"/>
      <c r="Q4839" s="2"/>
      <c r="R4839" s="2"/>
      <c r="S4839" s="2"/>
    </row>
    <row r="4840" spans="1:19" s="1" customFormat="1" ht="12" customHeight="1" outlineLevel="3">
      <c r="A4840" s="64" t="s">
        <v>16065</v>
      </c>
      <c r="B4840" s="64"/>
      <c r="C4840" s="64"/>
      <c r="D4840" s="64"/>
      <c r="E4840" s="64"/>
      <c r="F4840" s="64"/>
      <c r="G4840" s="8"/>
      <c r="H4840" s="12"/>
      <c r="I4840" s="2"/>
      <c r="J4840" s="2"/>
      <c r="K4840" s="13"/>
      <c r="L4840" s="2"/>
      <c r="M4840" s="2"/>
      <c r="N4840" s="2"/>
      <c r="O4840" s="2"/>
      <c r="P4840" s="2"/>
      <c r="Q4840" s="2"/>
      <c r="R4840" s="2"/>
      <c r="S4840" s="2"/>
    </row>
    <row r="4841" spans="1:19" s="1" customFormat="1" ht="12" customHeight="1" outlineLevel="4">
      <c r="A4841" s="64" t="s">
        <v>16066</v>
      </c>
      <c r="B4841" s="64"/>
      <c r="C4841" s="64"/>
      <c r="D4841" s="64"/>
      <c r="E4841" s="64"/>
      <c r="F4841" s="64"/>
      <c r="G4841" s="8"/>
      <c r="H4841" s="12"/>
      <c r="I4841" s="2"/>
      <c r="J4841" s="2"/>
      <c r="K4841" s="13"/>
      <c r="L4841" s="2"/>
      <c r="M4841" s="2"/>
      <c r="N4841" s="2"/>
      <c r="O4841" s="2"/>
      <c r="P4841" s="2"/>
      <c r="Q4841" s="2"/>
      <c r="R4841" s="2"/>
      <c r="S4841" s="2"/>
    </row>
    <row r="4842" spans="1:19" s="2" customFormat="1" ht="96.2" customHeight="1" outlineLevel="5">
      <c r="A4842" s="52">
        <v>3822</v>
      </c>
      <c r="B4842" s="26" t="s">
        <v>16067</v>
      </c>
      <c r="C4842" s="66" t="s">
        <v>16068</v>
      </c>
      <c r="D4842" s="66"/>
      <c r="E4842" s="66"/>
      <c r="F4842" s="66"/>
      <c r="G4842" s="27" t="s">
        <v>16069</v>
      </c>
      <c r="H4842" s="28" t="s">
        <v>44</v>
      </c>
      <c r="I4842" s="29"/>
      <c r="J4842" s="25">
        <v>3</v>
      </c>
      <c r="K4842" s="30">
        <v>230.46</v>
      </c>
      <c r="L4842" s="17"/>
      <c r="M4842" s="29">
        <f t="shared" ref="M4842:M4849" si="234">K4842*L4842</f>
        <v>0</v>
      </c>
      <c r="N4842" s="31">
        <f>0.019*L4842</f>
        <v>0</v>
      </c>
      <c r="O4842" s="32">
        <f>0.00028*L4842</f>
        <v>0</v>
      </c>
      <c r="P4842" s="36"/>
      <c r="Q4842" s="29" t="s">
        <v>16070</v>
      </c>
      <c r="R4842" s="29"/>
      <c r="S4842" s="26" t="str">
        <f>HYPERLINK("https://miland.ru/api/getInfo/image/708331ef-eeb8-11ef-a274-00155d82e908")</f>
        <v>https://miland.ru/api/getInfo/image/708331ef-eeb8-11ef-a274-00155d82e908</v>
      </c>
    </row>
    <row r="4843" spans="1:19" s="2" customFormat="1" ht="96.2" customHeight="1" outlineLevel="5">
      <c r="A4843" s="52">
        <v>3823</v>
      </c>
      <c r="B4843" s="26" t="s">
        <v>16071</v>
      </c>
      <c r="C4843" s="66" t="s">
        <v>16072</v>
      </c>
      <c r="D4843" s="66"/>
      <c r="E4843" s="66"/>
      <c r="F4843" s="66"/>
      <c r="G4843" s="27" t="s">
        <v>16073</v>
      </c>
      <c r="H4843" s="33">
        <v>271</v>
      </c>
      <c r="I4843" s="29"/>
      <c r="J4843" s="25">
        <v>5</v>
      </c>
      <c r="K4843" s="30">
        <v>118.66</v>
      </c>
      <c r="L4843" s="17"/>
      <c r="M4843" s="29">
        <f t="shared" si="234"/>
        <v>0</v>
      </c>
      <c r="N4843" s="31">
        <f>0.013*L4843</f>
        <v>0</v>
      </c>
      <c r="O4843" s="32">
        <f>0.00032*L4843</f>
        <v>0</v>
      </c>
      <c r="P4843" s="36"/>
      <c r="Q4843" s="29" t="s">
        <v>16074</v>
      </c>
      <c r="R4843" s="29"/>
      <c r="S4843" s="26" t="str">
        <f>HYPERLINK("https://miland.ru/api/getInfo/image/d8bf590e-120b-11ec-a20f-ac1f6b442185")</f>
        <v>https://miland.ru/api/getInfo/image/d8bf590e-120b-11ec-a20f-ac1f6b442185</v>
      </c>
    </row>
    <row r="4844" spans="1:19" s="2" customFormat="1" ht="96.2" customHeight="1" outlineLevel="5">
      <c r="A4844" s="52">
        <v>3824</v>
      </c>
      <c r="B4844" s="26" t="s">
        <v>16075</v>
      </c>
      <c r="C4844" s="66" t="s">
        <v>16076</v>
      </c>
      <c r="D4844" s="66"/>
      <c r="E4844" s="66"/>
      <c r="F4844" s="66"/>
      <c r="G4844" s="27" t="s">
        <v>16077</v>
      </c>
      <c r="H4844" s="28" t="s">
        <v>44</v>
      </c>
      <c r="I4844" s="29"/>
      <c r="J4844" s="25">
        <v>3</v>
      </c>
      <c r="K4844" s="30">
        <v>230.36</v>
      </c>
      <c r="L4844" s="17"/>
      <c r="M4844" s="29">
        <f t="shared" si="234"/>
        <v>0</v>
      </c>
      <c r="N4844" s="31">
        <f>0.017*L4844</f>
        <v>0</v>
      </c>
      <c r="O4844" s="32">
        <f>0.00024*L4844</f>
        <v>0</v>
      </c>
      <c r="P4844" s="36"/>
      <c r="Q4844" s="29" t="s">
        <v>16078</v>
      </c>
      <c r="R4844" s="29"/>
      <c r="S4844" s="26" t="str">
        <f>HYPERLINK("https://miland.ru/api/getInfo/image/d6119b01-eeb8-11ef-a274-00155d82e908")</f>
        <v>https://miland.ru/api/getInfo/image/d6119b01-eeb8-11ef-a274-00155d82e908</v>
      </c>
    </row>
    <row r="4845" spans="1:19" s="2" customFormat="1" ht="96.2" customHeight="1" outlineLevel="5">
      <c r="A4845" s="52">
        <v>3825</v>
      </c>
      <c r="B4845" s="26" t="s">
        <v>16079</v>
      </c>
      <c r="C4845" s="66" t="s">
        <v>16080</v>
      </c>
      <c r="D4845" s="66"/>
      <c r="E4845" s="66"/>
      <c r="F4845" s="66"/>
      <c r="G4845" s="27" t="s">
        <v>16081</v>
      </c>
      <c r="H4845" s="33">
        <v>2</v>
      </c>
      <c r="I4845" s="29"/>
      <c r="J4845" s="25">
        <v>2</v>
      </c>
      <c r="K4845" s="30">
        <v>118.66</v>
      </c>
      <c r="L4845" s="17"/>
      <c r="M4845" s="29">
        <f t="shared" si="234"/>
        <v>0</v>
      </c>
      <c r="N4845" s="31">
        <f>0.012*L4845</f>
        <v>0</v>
      </c>
      <c r="O4845" s="32">
        <f>0.00008*L4845</f>
        <v>0</v>
      </c>
      <c r="P4845" s="36"/>
      <c r="Q4845" s="29" t="s">
        <v>16082</v>
      </c>
      <c r="R4845" s="29"/>
      <c r="S4845" s="26" t="str">
        <f>HYPERLINK("https://miland.ru/api/getInfo/image/8f86655f-120b-11ec-a20f-ac1f6b442185")</f>
        <v>https://miland.ru/api/getInfo/image/8f86655f-120b-11ec-a20f-ac1f6b442185</v>
      </c>
    </row>
    <row r="4846" spans="1:19" s="2" customFormat="1" ht="96.2" customHeight="1" outlineLevel="5">
      <c r="A4846" s="53">
        <v>3826</v>
      </c>
      <c r="B4846" s="10" t="s">
        <v>16083</v>
      </c>
      <c r="C4846" s="65" t="s">
        <v>16084</v>
      </c>
      <c r="D4846" s="65"/>
      <c r="E4846" s="65"/>
      <c r="F4846" s="65"/>
      <c r="G4846" s="11" t="s">
        <v>16085</v>
      </c>
      <c r="H4846" s="21" t="s">
        <v>44</v>
      </c>
      <c r="I4846" s="15"/>
      <c r="J4846" s="9">
        <v>10</v>
      </c>
      <c r="K4846" s="16">
        <v>40.840000000000003</v>
      </c>
      <c r="L4846" s="17"/>
      <c r="M4846" s="15">
        <f t="shared" si="234"/>
        <v>0</v>
      </c>
      <c r="N4846" s="18">
        <f>0.004*L4846</f>
        <v>0</v>
      </c>
      <c r="O4846" s="19">
        <f>0.00002*L4846</f>
        <v>0</v>
      </c>
      <c r="P4846" s="24" t="s">
        <v>26</v>
      </c>
      <c r="Q4846" s="15" t="s">
        <v>16086</v>
      </c>
      <c r="R4846" s="15"/>
      <c r="S4846" s="10" t="str">
        <f>HYPERLINK("https://miland.ru/api/getInfo/image/9c1d6688-5db5-11f1-a295-00155d82e908")</f>
        <v>https://miland.ru/api/getInfo/image/9c1d6688-5db5-11f1-a295-00155d82e908</v>
      </c>
    </row>
    <row r="4847" spans="1:19" s="2" customFormat="1" ht="96.2" customHeight="1" outlineLevel="5">
      <c r="A4847" s="53">
        <v>3827</v>
      </c>
      <c r="B4847" s="10" t="s">
        <v>16087</v>
      </c>
      <c r="C4847" s="65" t="s">
        <v>16088</v>
      </c>
      <c r="D4847" s="65"/>
      <c r="E4847" s="65"/>
      <c r="F4847" s="65"/>
      <c r="G4847" s="11" t="s">
        <v>16089</v>
      </c>
      <c r="H4847" s="21" t="s">
        <v>44</v>
      </c>
      <c r="I4847" s="15"/>
      <c r="J4847" s="9">
        <v>10</v>
      </c>
      <c r="K4847" s="16">
        <v>40.840000000000003</v>
      </c>
      <c r="L4847" s="17"/>
      <c r="M4847" s="15">
        <f t="shared" si="234"/>
        <v>0</v>
      </c>
      <c r="N4847" s="18">
        <f>0.003*L4847</f>
        <v>0</v>
      </c>
      <c r="O4847" s="19">
        <f>0.00002*L4847</f>
        <v>0</v>
      </c>
      <c r="P4847" s="24" t="s">
        <v>26</v>
      </c>
      <c r="Q4847" s="15" t="s">
        <v>16090</v>
      </c>
      <c r="R4847" s="15"/>
      <c r="S4847" s="10" t="str">
        <f>HYPERLINK("https://miland.ru/api/getInfo/image/813d521b-5db5-11f1-a295-00155d82e908")</f>
        <v>https://miland.ru/api/getInfo/image/813d521b-5db5-11f1-a295-00155d82e908</v>
      </c>
    </row>
    <row r="4848" spans="1:19" s="2" customFormat="1" ht="96.2" customHeight="1" outlineLevel="5">
      <c r="A4848" s="53">
        <v>3828</v>
      </c>
      <c r="B4848" s="10" t="s">
        <v>16091</v>
      </c>
      <c r="C4848" s="65" t="s">
        <v>16092</v>
      </c>
      <c r="D4848" s="65"/>
      <c r="E4848" s="65"/>
      <c r="F4848" s="65"/>
      <c r="G4848" s="11" t="s">
        <v>16093</v>
      </c>
      <c r="H4848" s="21" t="s">
        <v>44</v>
      </c>
      <c r="I4848" s="15"/>
      <c r="J4848" s="9">
        <v>10</v>
      </c>
      <c r="K4848" s="16">
        <v>40.840000000000003</v>
      </c>
      <c r="L4848" s="17"/>
      <c r="M4848" s="15">
        <f t="shared" si="234"/>
        <v>0</v>
      </c>
      <c r="N4848" s="18">
        <f>0.004*L4848</f>
        <v>0</v>
      </c>
      <c r="O4848" s="19">
        <f>0.00007*L4848</f>
        <v>0</v>
      </c>
      <c r="P4848" s="24" t="s">
        <v>26</v>
      </c>
      <c r="Q4848" s="15" t="s">
        <v>16094</v>
      </c>
      <c r="R4848" s="15"/>
      <c r="S4848" s="10" t="str">
        <f>HYPERLINK("https://miland.ru/api/getInfo/image/929b264d-5db5-11f1-a295-00155d82e908")</f>
        <v>https://miland.ru/api/getInfo/image/929b264d-5db5-11f1-a295-00155d82e908</v>
      </c>
    </row>
    <row r="4849" spans="1:19" s="2" customFormat="1" ht="96.2" customHeight="1" outlineLevel="5">
      <c r="A4849" s="53">
        <v>3829</v>
      </c>
      <c r="B4849" s="10" t="s">
        <v>16095</v>
      </c>
      <c r="C4849" s="65" t="s">
        <v>16096</v>
      </c>
      <c r="D4849" s="65"/>
      <c r="E4849" s="65"/>
      <c r="F4849" s="65"/>
      <c r="G4849" s="11" t="s">
        <v>16097</v>
      </c>
      <c r="H4849" s="21" t="s">
        <v>44</v>
      </c>
      <c r="I4849" s="15"/>
      <c r="J4849" s="9">
        <v>10</v>
      </c>
      <c r="K4849" s="16">
        <v>40.840000000000003</v>
      </c>
      <c r="L4849" s="17"/>
      <c r="M4849" s="15">
        <f t="shared" si="234"/>
        <v>0</v>
      </c>
      <c r="N4849" s="18">
        <f>0.004*L4849</f>
        <v>0</v>
      </c>
      <c r="O4849" s="19">
        <f>0.00007*L4849</f>
        <v>0</v>
      </c>
      <c r="P4849" s="24" t="s">
        <v>26</v>
      </c>
      <c r="Q4849" s="15" t="s">
        <v>16098</v>
      </c>
      <c r="R4849" s="15"/>
      <c r="S4849" s="10" t="str">
        <f>HYPERLINK("https://miland.ru/api/getInfo/image/44dcae63-5db5-11f1-a295-00155d82e908")</f>
        <v>https://miland.ru/api/getInfo/image/44dcae63-5db5-11f1-a295-00155d82e908</v>
      </c>
    </row>
    <row r="4850" spans="1:19" s="1" customFormat="1" ht="12" customHeight="1" outlineLevel="4">
      <c r="A4850" s="64" t="s">
        <v>16099</v>
      </c>
      <c r="B4850" s="64"/>
      <c r="C4850" s="64"/>
      <c r="D4850" s="64"/>
      <c r="E4850" s="64"/>
      <c r="F4850" s="64"/>
      <c r="G4850" s="8"/>
      <c r="H4850" s="12"/>
      <c r="I4850" s="2"/>
      <c r="J4850" s="2"/>
      <c r="K4850" s="13"/>
      <c r="L4850" s="2"/>
      <c r="M4850" s="2"/>
      <c r="N4850" s="2"/>
      <c r="O4850" s="2"/>
      <c r="P4850" s="2"/>
      <c r="Q4850" s="2"/>
      <c r="R4850" s="2"/>
      <c r="S4850" s="2"/>
    </row>
    <row r="4851" spans="1:19" s="2" customFormat="1" ht="96.2" customHeight="1" outlineLevel="5">
      <c r="A4851" s="53">
        <v>3830</v>
      </c>
      <c r="B4851" s="10" t="s">
        <v>16100</v>
      </c>
      <c r="C4851" s="65" t="s">
        <v>16101</v>
      </c>
      <c r="D4851" s="65"/>
      <c r="E4851" s="65"/>
      <c r="F4851" s="65"/>
      <c r="G4851" s="11" t="s">
        <v>16102</v>
      </c>
      <c r="H4851" s="21" t="s">
        <v>44</v>
      </c>
      <c r="I4851" s="15"/>
      <c r="J4851" s="9">
        <v>10</v>
      </c>
      <c r="K4851" s="16">
        <v>43.27</v>
      </c>
      <c r="L4851" s="17"/>
      <c r="M4851" s="15">
        <f>K4851*L4851</f>
        <v>0</v>
      </c>
      <c r="N4851" s="18">
        <f>0.005*L4851</f>
        <v>0</v>
      </c>
      <c r="O4851" s="19">
        <f>0.00004*L4851</f>
        <v>0</v>
      </c>
      <c r="P4851" s="24" t="s">
        <v>26</v>
      </c>
      <c r="Q4851" s="15" t="s">
        <v>16103</v>
      </c>
      <c r="R4851" s="15"/>
      <c r="S4851" s="10" t="str">
        <f>HYPERLINK("https://miland.ru/api/getInfo/image/fbfd2a58-5db5-11f1-a295-00155d82e908")</f>
        <v>https://miland.ru/api/getInfo/image/fbfd2a58-5db5-11f1-a295-00155d82e908</v>
      </c>
    </row>
    <row r="4852" spans="1:19" s="2" customFormat="1" ht="96.2" customHeight="1" outlineLevel="5">
      <c r="A4852" s="53">
        <v>3831</v>
      </c>
      <c r="B4852" s="10" t="s">
        <v>16104</v>
      </c>
      <c r="C4852" s="65" t="s">
        <v>16105</v>
      </c>
      <c r="D4852" s="65"/>
      <c r="E4852" s="65"/>
      <c r="F4852" s="65"/>
      <c r="G4852" s="11" t="s">
        <v>16106</v>
      </c>
      <c r="H4852" s="21" t="s">
        <v>44</v>
      </c>
      <c r="I4852" s="15"/>
      <c r="J4852" s="9">
        <v>10</v>
      </c>
      <c r="K4852" s="16">
        <v>43.27</v>
      </c>
      <c r="L4852" s="17"/>
      <c r="M4852" s="15">
        <f>K4852*L4852</f>
        <v>0</v>
      </c>
      <c r="N4852" s="18">
        <f>0.005*L4852</f>
        <v>0</v>
      </c>
      <c r="O4852" s="19">
        <f>0.00004*L4852</f>
        <v>0</v>
      </c>
      <c r="P4852" s="24" t="s">
        <v>26</v>
      </c>
      <c r="Q4852" s="15" t="s">
        <v>16107</v>
      </c>
      <c r="R4852" s="15"/>
      <c r="S4852" s="10" t="str">
        <f>HYPERLINK("https://miland.ru/api/getInfo/image/2921e945-7b73-11f1-a29a-00155d82e908")</f>
        <v>https://miland.ru/api/getInfo/image/2921e945-7b73-11f1-a29a-00155d82e908</v>
      </c>
    </row>
    <row r="4853" spans="1:19" s="1" customFormat="1" ht="12" customHeight="1" outlineLevel="4">
      <c r="A4853" s="64" t="s">
        <v>16108</v>
      </c>
      <c r="B4853" s="64"/>
      <c r="C4853" s="64"/>
      <c r="D4853" s="64"/>
      <c r="E4853" s="64"/>
      <c r="F4853" s="64"/>
      <c r="G4853" s="8"/>
      <c r="H4853" s="12"/>
      <c r="I4853" s="2"/>
      <c r="J4853" s="2"/>
      <c r="K4853" s="13"/>
      <c r="L4853" s="2"/>
      <c r="M4853" s="2"/>
      <c r="N4853" s="2"/>
      <c r="O4853" s="2"/>
      <c r="P4853" s="2"/>
      <c r="Q4853" s="2"/>
      <c r="R4853" s="2"/>
      <c r="S4853" s="2"/>
    </row>
    <row r="4854" spans="1:19" s="2" customFormat="1" ht="96.2" customHeight="1" outlineLevel="5">
      <c r="A4854" s="52">
        <v>3832</v>
      </c>
      <c r="B4854" s="26" t="s">
        <v>16109</v>
      </c>
      <c r="C4854" s="66" t="s">
        <v>16110</v>
      </c>
      <c r="D4854" s="66"/>
      <c r="E4854" s="66"/>
      <c r="F4854" s="66"/>
      <c r="G4854" s="27" t="s">
        <v>16111</v>
      </c>
      <c r="H4854" s="28" t="s">
        <v>44</v>
      </c>
      <c r="I4854" s="29"/>
      <c r="J4854" s="25">
        <v>3</v>
      </c>
      <c r="K4854" s="30">
        <v>213.98</v>
      </c>
      <c r="L4854" s="17"/>
      <c r="M4854" s="29">
        <f t="shared" ref="M4854:M4864" si="235">K4854*L4854</f>
        <v>0</v>
      </c>
      <c r="N4854" s="31">
        <f>0.017*L4854</f>
        <v>0</v>
      </c>
      <c r="O4854" s="32">
        <f>0.00023*L4854</f>
        <v>0</v>
      </c>
      <c r="P4854" s="36"/>
      <c r="Q4854" s="29" t="s">
        <v>16112</v>
      </c>
      <c r="R4854" s="29"/>
      <c r="S4854" s="26" t="str">
        <f>HYPERLINK("https://miland.ru/api/getInfo/image/3b25554b-eeb9-11ef-a274-00155d82e908")</f>
        <v>https://miland.ru/api/getInfo/image/3b25554b-eeb9-11ef-a274-00155d82e908</v>
      </c>
    </row>
    <row r="4855" spans="1:19" s="2" customFormat="1" ht="96.2" customHeight="1" outlineLevel="5">
      <c r="A4855" s="52">
        <v>3833</v>
      </c>
      <c r="B4855" s="26" t="s">
        <v>16113</v>
      </c>
      <c r="C4855" s="66" t="s">
        <v>16114</v>
      </c>
      <c r="D4855" s="66"/>
      <c r="E4855" s="66"/>
      <c r="F4855" s="66"/>
      <c r="G4855" s="27" t="s">
        <v>16115</v>
      </c>
      <c r="H4855" s="28" t="s">
        <v>44</v>
      </c>
      <c r="I4855" s="29"/>
      <c r="J4855" s="25">
        <v>6</v>
      </c>
      <c r="K4855" s="30">
        <v>109.5</v>
      </c>
      <c r="L4855" s="17"/>
      <c r="M4855" s="29">
        <f t="shared" si="235"/>
        <v>0</v>
      </c>
      <c r="N4855" s="31">
        <f>0.015*L4855</f>
        <v>0</v>
      </c>
      <c r="O4855" s="32">
        <f>0.00023*L4855</f>
        <v>0</v>
      </c>
      <c r="P4855" s="36"/>
      <c r="Q4855" s="29" t="s">
        <v>16116</v>
      </c>
      <c r="R4855" s="29"/>
      <c r="S4855" s="26" t="str">
        <f>HYPERLINK("https://miland.ru/api/getInfo/image/06e57bfb-98e6-11ea-a248-ac1f6b442184")</f>
        <v>https://miland.ru/api/getInfo/image/06e57bfb-98e6-11ea-a248-ac1f6b442184</v>
      </c>
    </row>
    <row r="4856" spans="1:19" s="2" customFormat="1" ht="96.2" customHeight="1" outlineLevel="5">
      <c r="A4856" s="52">
        <v>3834</v>
      </c>
      <c r="B4856" s="26" t="s">
        <v>16117</v>
      </c>
      <c r="C4856" s="66" t="s">
        <v>16118</v>
      </c>
      <c r="D4856" s="66"/>
      <c r="E4856" s="66"/>
      <c r="F4856" s="66"/>
      <c r="G4856" s="27" t="s">
        <v>16119</v>
      </c>
      <c r="H4856" s="28" t="s">
        <v>44</v>
      </c>
      <c r="I4856" s="29"/>
      <c r="J4856" s="25">
        <v>3</v>
      </c>
      <c r="K4856" s="30">
        <v>213.98</v>
      </c>
      <c r="L4856" s="17"/>
      <c r="M4856" s="29">
        <f t="shared" si="235"/>
        <v>0</v>
      </c>
      <c r="N4856" s="31">
        <f>0.017*L4856</f>
        <v>0</v>
      </c>
      <c r="O4856" s="32">
        <f>0.00026*L4856</f>
        <v>0</v>
      </c>
      <c r="P4856" s="36"/>
      <c r="Q4856" s="29" t="s">
        <v>16120</v>
      </c>
      <c r="R4856" s="29"/>
      <c r="S4856" s="26" t="str">
        <f>HYPERLINK("https://miland.ru/api/getInfo/image/cd67d427-eeb9-11ef-a274-00155d82e908")</f>
        <v>https://miland.ru/api/getInfo/image/cd67d427-eeb9-11ef-a274-00155d82e908</v>
      </c>
    </row>
    <row r="4857" spans="1:19" s="2" customFormat="1" ht="96.2" customHeight="1" outlineLevel="5">
      <c r="A4857" s="53">
        <v>3835</v>
      </c>
      <c r="B4857" s="10" t="s">
        <v>16121</v>
      </c>
      <c r="C4857" s="65" t="s">
        <v>16122</v>
      </c>
      <c r="D4857" s="65"/>
      <c r="E4857" s="65"/>
      <c r="F4857" s="65"/>
      <c r="G4857" s="11" t="s">
        <v>16123</v>
      </c>
      <c r="H4857" s="21" t="s">
        <v>44</v>
      </c>
      <c r="I4857" s="15"/>
      <c r="J4857" s="9">
        <v>20</v>
      </c>
      <c r="K4857" s="16">
        <v>39.81</v>
      </c>
      <c r="L4857" s="17"/>
      <c r="M4857" s="15">
        <f t="shared" si="235"/>
        <v>0</v>
      </c>
      <c r="N4857" s="18">
        <f>0.003*L4857</f>
        <v>0</v>
      </c>
      <c r="O4857" s="19">
        <f>0.00002*L4857</f>
        <v>0</v>
      </c>
      <c r="P4857" s="24" t="s">
        <v>26</v>
      </c>
      <c r="Q4857" s="15" t="s">
        <v>16124</v>
      </c>
      <c r="R4857" s="15"/>
      <c r="S4857" s="10" t="str">
        <f>HYPERLINK("https://miland.ru/api/getInfo/image/b8c039f6-5db5-11f1-a295-00155d82e908")</f>
        <v>https://miland.ru/api/getInfo/image/b8c039f6-5db5-11f1-a295-00155d82e908</v>
      </c>
    </row>
    <row r="4858" spans="1:19" s="2" customFormat="1" ht="96.2" customHeight="1" outlineLevel="5">
      <c r="A4858" s="53">
        <v>3836</v>
      </c>
      <c r="B4858" s="10" t="s">
        <v>16125</v>
      </c>
      <c r="C4858" s="65" t="s">
        <v>16126</v>
      </c>
      <c r="D4858" s="65"/>
      <c r="E4858" s="65"/>
      <c r="F4858" s="65"/>
      <c r="G4858" s="11" t="s">
        <v>16127</v>
      </c>
      <c r="H4858" s="21" t="s">
        <v>44</v>
      </c>
      <c r="I4858" s="15"/>
      <c r="J4858" s="9">
        <v>20</v>
      </c>
      <c r="K4858" s="16">
        <v>39.81</v>
      </c>
      <c r="L4858" s="17"/>
      <c r="M4858" s="15">
        <f t="shared" si="235"/>
        <v>0</v>
      </c>
      <c r="N4858" s="18">
        <f>0.005*L4858</f>
        <v>0</v>
      </c>
      <c r="O4858" s="19">
        <f>0.00055*L4858</f>
        <v>0</v>
      </c>
      <c r="P4858" s="24" t="s">
        <v>26</v>
      </c>
      <c r="Q4858" s="15" t="s">
        <v>16128</v>
      </c>
      <c r="R4858" s="15"/>
      <c r="S4858" s="10" t="str">
        <f>HYPERLINK("https://miland.ru/api/getInfo/image/c95cb9ad-5db5-11f1-a295-00155d82e908")</f>
        <v>https://miland.ru/api/getInfo/image/c95cb9ad-5db5-11f1-a295-00155d82e908</v>
      </c>
    </row>
    <row r="4859" spans="1:19" s="2" customFormat="1" ht="96.2" customHeight="1" outlineLevel="5">
      <c r="A4859" s="53">
        <v>3837</v>
      </c>
      <c r="B4859" s="10" t="s">
        <v>16129</v>
      </c>
      <c r="C4859" s="65" t="s">
        <v>16130</v>
      </c>
      <c r="D4859" s="65"/>
      <c r="E4859" s="65"/>
      <c r="F4859" s="65"/>
      <c r="G4859" s="11" t="s">
        <v>16131</v>
      </c>
      <c r="H4859" s="21" t="s">
        <v>44</v>
      </c>
      <c r="I4859" s="15"/>
      <c r="J4859" s="9">
        <v>20</v>
      </c>
      <c r="K4859" s="16">
        <v>39.81</v>
      </c>
      <c r="L4859" s="17"/>
      <c r="M4859" s="15">
        <f t="shared" si="235"/>
        <v>0</v>
      </c>
      <c r="N4859" s="18">
        <f>0.003*L4859</f>
        <v>0</v>
      </c>
      <c r="O4859" s="19">
        <f>0.00002*L4859</f>
        <v>0</v>
      </c>
      <c r="P4859" s="24" t="s">
        <v>26</v>
      </c>
      <c r="Q4859" s="15" t="s">
        <v>16132</v>
      </c>
      <c r="R4859" s="15"/>
      <c r="S4859" s="10" t="str">
        <f>HYPERLINK("https://miland.ru/api/getInfo/image/d8cffb60-5db5-11f1-a295-00155d82e908")</f>
        <v>https://miland.ru/api/getInfo/image/d8cffb60-5db5-11f1-a295-00155d82e908</v>
      </c>
    </row>
    <row r="4860" spans="1:19" s="2" customFormat="1" ht="96.2" customHeight="1" outlineLevel="5">
      <c r="A4860" s="53">
        <v>3838</v>
      </c>
      <c r="B4860" s="10" t="s">
        <v>16133</v>
      </c>
      <c r="C4860" s="65" t="s">
        <v>16134</v>
      </c>
      <c r="D4860" s="65"/>
      <c r="E4860" s="65"/>
      <c r="F4860" s="65"/>
      <c r="G4860" s="11" t="s">
        <v>16135</v>
      </c>
      <c r="H4860" s="21" t="s">
        <v>44</v>
      </c>
      <c r="I4860" s="15"/>
      <c r="J4860" s="9">
        <v>20</v>
      </c>
      <c r="K4860" s="16">
        <v>39.81</v>
      </c>
      <c r="L4860" s="17"/>
      <c r="M4860" s="15">
        <f t="shared" si="235"/>
        <v>0</v>
      </c>
      <c r="N4860" s="18">
        <f>0.005*L4860</f>
        <v>0</v>
      </c>
      <c r="O4860" s="19">
        <f>0.00055*L4860</f>
        <v>0</v>
      </c>
      <c r="P4860" s="24" t="s">
        <v>26</v>
      </c>
      <c r="Q4860" s="15" t="s">
        <v>16136</v>
      </c>
      <c r="R4860" s="15"/>
      <c r="S4860" s="10" t="str">
        <f>HYPERLINK("https://miland.ru/api/getInfo/image/aba42fdf-5db5-11f1-a295-00155d82e908")</f>
        <v>https://miland.ru/api/getInfo/image/aba42fdf-5db5-11f1-a295-00155d82e908</v>
      </c>
    </row>
    <row r="4861" spans="1:19" s="2" customFormat="1" ht="96.2" customHeight="1" outlineLevel="5">
      <c r="A4861" s="53">
        <v>3839</v>
      </c>
      <c r="B4861" s="10" t="s">
        <v>16137</v>
      </c>
      <c r="C4861" s="65" t="s">
        <v>16138</v>
      </c>
      <c r="D4861" s="65"/>
      <c r="E4861" s="65"/>
      <c r="F4861" s="65"/>
      <c r="G4861" s="11" t="s">
        <v>16139</v>
      </c>
      <c r="H4861" s="21" t="s">
        <v>44</v>
      </c>
      <c r="I4861" s="15"/>
      <c r="J4861" s="9">
        <v>20</v>
      </c>
      <c r="K4861" s="16">
        <v>39.81</v>
      </c>
      <c r="L4861" s="17"/>
      <c r="M4861" s="15">
        <f t="shared" si="235"/>
        <v>0</v>
      </c>
      <c r="N4861" s="18">
        <f>0.004*L4861</f>
        <v>0</v>
      </c>
      <c r="O4861" s="19">
        <f>0.00004*L4861</f>
        <v>0</v>
      </c>
      <c r="P4861" s="24" t="s">
        <v>26</v>
      </c>
      <c r="Q4861" s="15" t="s">
        <v>16140</v>
      </c>
      <c r="R4861" s="15"/>
      <c r="S4861" s="10" t="str">
        <f>HYPERLINK("https://miland.ru/api/getInfo/image/e6ebc2ae-5db5-11f1-a295-00155d82e908")</f>
        <v>https://miland.ru/api/getInfo/image/e6ebc2ae-5db5-11f1-a295-00155d82e908</v>
      </c>
    </row>
    <row r="4862" spans="1:19" s="2" customFormat="1" ht="96.2" customHeight="1" outlineLevel="5">
      <c r="A4862" s="52">
        <v>3840</v>
      </c>
      <c r="B4862" s="26" t="s">
        <v>16141</v>
      </c>
      <c r="C4862" s="66" t="s">
        <v>16142</v>
      </c>
      <c r="D4862" s="66"/>
      <c r="E4862" s="66"/>
      <c r="F4862" s="66"/>
      <c r="G4862" s="27" t="s">
        <v>16143</v>
      </c>
      <c r="H4862" s="28" t="s">
        <v>44</v>
      </c>
      <c r="I4862" s="29"/>
      <c r="J4862" s="25">
        <v>10</v>
      </c>
      <c r="K4862" s="30">
        <v>84.62</v>
      </c>
      <c r="L4862" s="17"/>
      <c r="M4862" s="29">
        <f t="shared" si="235"/>
        <v>0</v>
      </c>
      <c r="N4862" s="31">
        <f>0.011*L4862</f>
        <v>0</v>
      </c>
      <c r="O4862" s="32">
        <f>0.00008*L4862</f>
        <v>0</v>
      </c>
      <c r="P4862" s="36"/>
      <c r="Q4862" s="29" t="s">
        <v>16144</v>
      </c>
      <c r="R4862" s="29"/>
      <c r="S4862" s="26" t="str">
        <f>HYPERLINK("https://miland.ru/api/getInfo/image/a8bb7a2e-5bf0-11eb-a26d-ac1f6b442184")</f>
        <v>https://miland.ru/api/getInfo/image/a8bb7a2e-5bf0-11eb-a26d-ac1f6b442184</v>
      </c>
    </row>
    <row r="4863" spans="1:19" s="2" customFormat="1" ht="96.2" customHeight="1" outlineLevel="5">
      <c r="A4863" s="53">
        <v>3841</v>
      </c>
      <c r="B4863" s="10" t="s">
        <v>16145</v>
      </c>
      <c r="C4863" s="65" t="s">
        <v>16146</v>
      </c>
      <c r="D4863" s="65"/>
      <c r="E4863" s="65"/>
      <c r="F4863" s="65"/>
      <c r="G4863" s="11" t="s">
        <v>16147</v>
      </c>
      <c r="H4863" s="21" t="s">
        <v>44</v>
      </c>
      <c r="I4863" s="15"/>
      <c r="J4863" s="9">
        <v>10</v>
      </c>
      <c r="K4863" s="16">
        <v>59.68</v>
      </c>
      <c r="L4863" s="17"/>
      <c r="M4863" s="15">
        <f t="shared" si="235"/>
        <v>0</v>
      </c>
      <c r="N4863" s="18">
        <f>0.003*L4863</f>
        <v>0</v>
      </c>
      <c r="O4863" s="19">
        <f>0.00004*L4863</f>
        <v>0</v>
      </c>
      <c r="P4863" s="24" t="s">
        <v>26</v>
      </c>
      <c r="Q4863" s="15" t="s">
        <v>16148</v>
      </c>
      <c r="R4863" s="15"/>
      <c r="S4863" s="10" t="str">
        <f>HYPERLINK("https://miland.ru/api/getInfo/image/c3f06ee8-7b73-11f1-a29a-00155d82e908")</f>
        <v>https://miland.ru/api/getInfo/image/c3f06ee8-7b73-11f1-a29a-00155d82e908</v>
      </c>
    </row>
    <row r="4864" spans="1:19" s="2" customFormat="1" ht="96.2" customHeight="1" outlineLevel="5">
      <c r="A4864" s="52">
        <v>3842</v>
      </c>
      <c r="B4864" s="26" t="s">
        <v>16149</v>
      </c>
      <c r="C4864" s="66" t="s">
        <v>16150</v>
      </c>
      <c r="D4864" s="66"/>
      <c r="E4864" s="66"/>
      <c r="F4864" s="66"/>
      <c r="G4864" s="27" t="s">
        <v>16151</v>
      </c>
      <c r="H4864" s="33">
        <v>370</v>
      </c>
      <c r="I4864" s="29"/>
      <c r="J4864" s="25">
        <v>20</v>
      </c>
      <c r="K4864" s="30">
        <v>39.81</v>
      </c>
      <c r="L4864" s="17"/>
      <c r="M4864" s="29">
        <f t="shared" si="235"/>
        <v>0</v>
      </c>
      <c r="N4864" s="31">
        <f>0.005*L4864</f>
        <v>0</v>
      </c>
      <c r="O4864" s="32">
        <f>0.00004*L4864</f>
        <v>0</v>
      </c>
      <c r="P4864" s="36"/>
      <c r="Q4864" s="29" t="s">
        <v>16152</v>
      </c>
      <c r="R4864" s="29" t="s">
        <v>611</v>
      </c>
      <c r="S4864" s="26" t="str">
        <f>HYPERLINK("https://miland.ru/api/getInfo/image/4cc8c70c-eb6a-11e5-98ff-5cf3fc4a2490")</f>
        <v>https://miland.ru/api/getInfo/image/4cc8c70c-eb6a-11e5-98ff-5cf3fc4a2490</v>
      </c>
    </row>
    <row r="4865" spans="1:19" s="1" customFormat="1" ht="12" customHeight="1" outlineLevel="4">
      <c r="A4865" s="64" t="s">
        <v>16153</v>
      </c>
      <c r="B4865" s="64"/>
      <c r="C4865" s="64"/>
      <c r="D4865" s="64"/>
      <c r="E4865" s="64"/>
      <c r="F4865" s="64"/>
      <c r="G4865" s="8"/>
      <c r="H4865" s="12"/>
      <c r="I4865" s="2"/>
      <c r="J4865" s="2"/>
      <c r="K4865" s="13"/>
      <c r="L4865" s="2"/>
      <c r="M4865" s="2"/>
      <c r="N4865" s="2"/>
      <c r="O4865" s="2"/>
      <c r="P4865" s="2"/>
      <c r="Q4865" s="2"/>
      <c r="R4865" s="2"/>
      <c r="S4865" s="2"/>
    </row>
    <row r="4866" spans="1:19" s="2" customFormat="1" ht="96.2" customHeight="1" outlineLevel="5">
      <c r="A4866" s="53">
        <v>3843</v>
      </c>
      <c r="B4866" s="10" t="s">
        <v>16154</v>
      </c>
      <c r="C4866" s="65" t="s">
        <v>16155</v>
      </c>
      <c r="D4866" s="65"/>
      <c r="E4866" s="65"/>
      <c r="F4866" s="65"/>
      <c r="G4866" s="11" t="s">
        <v>16156</v>
      </c>
      <c r="H4866" s="21" t="s">
        <v>44</v>
      </c>
      <c r="I4866" s="15"/>
      <c r="J4866" s="9">
        <v>10</v>
      </c>
      <c r="K4866" s="16">
        <v>69.709999999999994</v>
      </c>
      <c r="L4866" s="17"/>
      <c r="M4866" s="15">
        <f>K4866*L4866</f>
        <v>0</v>
      </c>
      <c r="N4866" s="18">
        <f>0.026*L4866</f>
        <v>0</v>
      </c>
      <c r="O4866" s="19">
        <f>0.00431*L4866</f>
        <v>0</v>
      </c>
      <c r="P4866" s="24" t="s">
        <v>26</v>
      </c>
      <c r="Q4866" s="15" t="s">
        <v>16157</v>
      </c>
      <c r="R4866" s="15"/>
      <c r="S4866" s="10" t="str">
        <f>HYPERLINK("https://miland.ru/api/getInfo/image/a934e05f-00dd-11f1-a28e-00155d82e908")</f>
        <v>https://miland.ru/api/getInfo/image/a934e05f-00dd-11f1-a28e-00155d82e908</v>
      </c>
    </row>
    <row r="4867" spans="1:19" s="2" customFormat="1" ht="96.2" customHeight="1" outlineLevel="5">
      <c r="A4867" s="53">
        <v>3844</v>
      </c>
      <c r="B4867" s="10" t="s">
        <v>16158</v>
      </c>
      <c r="C4867" s="65" t="s">
        <v>16159</v>
      </c>
      <c r="D4867" s="65"/>
      <c r="E4867" s="65"/>
      <c r="F4867" s="65"/>
      <c r="G4867" s="11" t="s">
        <v>16160</v>
      </c>
      <c r="H4867" s="14">
        <v>3</v>
      </c>
      <c r="I4867" s="15"/>
      <c r="J4867" s="9">
        <v>3</v>
      </c>
      <c r="K4867" s="16">
        <v>83.43</v>
      </c>
      <c r="L4867" s="17"/>
      <c r="M4867" s="15">
        <f>K4867*L4867</f>
        <v>0</v>
      </c>
      <c r="N4867" s="18">
        <f>0.036*L4867</f>
        <v>0</v>
      </c>
      <c r="O4867" s="20">
        <f>0.0041*L4867</f>
        <v>0</v>
      </c>
      <c r="P4867" s="24" t="s">
        <v>26</v>
      </c>
      <c r="Q4867" s="15" t="s">
        <v>16161</v>
      </c>
      <c r="R4867" s="15"/>
      <c r="S4867" s="10" t="str">
        <f>HYPERLINK("https://miland.ru/api/getInfo/image/5abaf32d-00de-11f1-a28e-00155d82e908")</f>
        <v>https://miland.ru/api/getInfo/image/5abaf32d-00de-11f1-a28e-00155d82e908</v>
      </c>
    </row>
    <row r="4868" spans="1:19" s="2" customFormat="1" ht="96.2" customHeight="1" outlineLevel="5">
      <c r="A4868" s="53">
        <v>3845</v>
      </c>
      <c r="B4868" s="10" t="s">
        <v>16162</v>
      </c>
      <c r="C4868" s="65" t="s">
        <v>16163</v>
      </c>
      <c r="D4868" s="65"/>
      <c r="E4868" s="65"/>
      <c r="F4868" s="65"/>
      <c r="G4868" s="11" t="s">
        <v>16164</v>
      </c>
      <c r="H4868" s="14">
        <v>52</v>
      </c>
      <c r="I4868" s="15"/>
      <c r="J4868" s="9">
        <v>4</v>
      </c>
      <c r="K4868" s="16">
        <v>179.43</v>
      </c>
      <c r="L4868" s="17"/>
      <c r="M4868" s="15">
        <f>K4868*L4868</f>
        <v>0</v>
      </c>
      <c r="N4868" s="23">
        <f>0.06*L4868</f>
        <v>0</v>
      </c>
      <c r="O4868" s="19">
        <f>0.00374*L4868</f>
        <v>0</v>
      </c>
      <c r="P4868" s="24" t="s">
        <v>26</v>
      </c>
      <c r="Q4868" s="15" t="s">
        <v>16165</v>
      </c>
      <c r="R4868" s="15"/>
      <c r="S4868" s="10" t="str">
        <f>HYPERLINK("https://miland.ru/api/getInfo/image/8b873f78-00de-11f1-a28e-00155d82e908")</f>
        <v>https://miland.ru/api/getInfo/image/8b873f78-00de-11f1-a28e-00155d82e908</v>
      </c>
    </row>
    <row r="4869" spans="1:19" s="2" customFormat="1" ht="96.2" customHeight="1" outlineLevel="5">
      <c r="A4869" s="53">
        <v>3846</v>
      </c>
      <c r="B4869" s="10" t="s">
        <v>16166</v>
      </c>
      <c r="C4869" s="65" t="s">
        <v>16167</v>
      </c>
      <c r="D4869" s="65"/>
      <c r="E4869" s="65"/>
      <c r="F4869" s="65"/>
      <c r="G4869" s="11" t="s">
        <v>16168</v>
      </c>
      <c r="H4869" s="21" t="s">
        <v>44</v>
      </c>
      <c r="I4869" s="15"/>
      <c r="J4869" s="9">
        <v>10</v>
      </c>
      <c r="K4869" s="16">
        <v>49.14</v>
      </c>
      <c r="L4869" s="17"/>
      <c r="M4869" s="15">
        <f>K4869*L4869</f>
        <v>0</v>
      </c>
      <c r="N4869" s="23">
        <f>0.02*L4869</f>
        <v>0</v>
      </c>
      <c r="O4869" s="19">
        <f>0.00448*L4869</f>
        <v>0</v>
      </c>
      <c r="P4869" s="24" t="s">
        <v>26</v>
      </c>
      <c r="Q4869" s="15" t="s">
        <v>16169</v>
      </c>
      <c r="R4869" s="15"/>
      <c r="S4869" s="10" t="str">
        <f>HYPERLINK("https://miland.ru/api/getInfo/image/3b1a6f8b-00de-11f1-a28e-00155d82e908")</f>
        <v>https://miland.ru/api/getInfo/image/3b1a6f8b-00de-11f1-a28e-00155d82e908</v>
      </c>
    </row>
    <row r="4870" spans="1:19" s="2" customFormat="1" ht="96.2" customHeight="1" outlineLevel="5">
      <c r="A4870" s="53">
        <v>3847</v>
      </c>
      <c r="B4870" s="10" t="s">
        <v>16170</v>
      </c>
      <c r="C4870" s="65" t="s">
        <v>16171</v>
      </c>
      <c r="D4870" s="65"/>
      <c r="E4870" s="65"/>
      <c r="F4870" s="65"/>
      <c r="G4870" s="11" t="s">
        <v>16172</v>
      </c>
      <c r="H4870" s="14">
        <v>426</v>
      </c>
      <c r="I4870" s="15"/>
      <c r="J4870" s="9">
        <v>5</v>
      </c>
      <c r="K4870" s="16">
        <v>108.57</v>
      </c>
      <c r="L4870" s="17"/>
      <c r="M4870" s="15">
        <f>K4870*L4870</f>
        <v>0</v>
      </c>
      <c r="N4870" s="18">
        <f>0.034*L4870</f>
        <v>0</v>
      </c>
      <c r="O4870" s="19">
        <f>0.00444*L4870</f>
        <v>0</v>
      </c>
      <c r="P4870" s="24" t="s">
        <v>26</v>
      </c>
      <c r="Q4870" s="15" t="s">
        <v>16173</v>
      </c>
      <c r="R4870" s="15"/>
      <c r="S4870" s="10" t="str">
        <f>HYPERLINK("https://miland.ru/api/getInfo/image/6c00fac5-00de-11f1-a28e-00155d82e908")</f>
        <v>https://miland.ru/api/getInfo/image/6c00fac5-00de-11f1-a28e-00155d82e908</v>
      </c>
    </row>
    <row r="4871" spans="1:19" s="1" customFormat="1" ht="12" customHeight="1" outlineLevel="2">
      <c r="A4871" s="63" t="s">
        <v>16174</v>
      </c>
      <c r="B4871" s="63"/>
      <c r="C4871" s="63"/>
      <c r="D4871" s="63"/>
      <c r="E4871" s="63"/>
      <c r="F4871" s="63"/>
      <c r="G4871" s="8"/>
      <c r="H4871" s="12"/>
      <c r="I4871" s="2"/>
      <c r="J4871" s="2"/>
      <c r="K4871" s="13"/>
      <c r="L4871" s="2"/>
      <c r="M4871" s="2"/>
      <c r="N4871" s="2"/>
      <c r="O4871" s="2"/>
      <c r="P4871" s="2"/>
      <c r="Q4871" s="2"/>
      <c r="R4871" s="2"/>
      <c r="S4871" s="2"/>
    </row>
    <row r="4872" spans="1:19" s="2" customFormat="1" ht="96.2" customHeight="1" outlineLevel="3">
      <c r="A4872" s="53">
        <v>3848</v>
      </c>
      <c r="B4872" s="10" t="s">
        <v>16175</v>
      </c>
      <c r="C4872" s="65" t="s">
        <v>16176</v>
      </c>
      <c r="D4872" s="65"/>
      <c r="E4872" s="65"/>
      <c r="F4872" s="65"/>
      <c r="G4872" s="11" t="s">
        <v>16177</v>
      </c>
      <c r="H4872" s="21" t="s">
        <v>44</v>
      </c>
      <c r="I4872" s="15"/>
      <c r="J4872" s="9">
        <v>1</v>
      </c>
      <c r="K4872" s="22">
        <v>1087.67</v>
      </c>
      <c r="L4872" s="17"/>
      <c r="M4872" s="15">
        <f>K4872*L4872</f>
        <v>0</v>
      </c>
      <c r="N4872" s="18">
        <f>0.146*L4872</f>
        <v>0</v>
      </c>
      <c r="O4872" s="19">
        <f>0.00022*L4872</f>
        <v>0</v>
      </c>
      <c r="P4872" s="24" t="s">
        <v>26</v>
      </c>
      <c r="Q4872" s="15" t="s">
        <v>16178</v>
      </c>
      <c r="R4872" s="15"/>
      <c r="S4872" s="10" t="str">
        <f>HYPERLINK("https://miland.ru/api/getInfo/image/9e8ae904-783d-11f0-a284-00155d82e908")</f>
        <v>https://miland.ru/api/getInfo/image/9e8ae904-783d-11f0-a284-00155d82e908</v>
      </c>
    </row>
    <row r="4873" spans="1:19" s="2" customFormat="1" ht="96.2" customHeight="1" outlineLevel="3">
      <c r="A4873" s="52">
        <v>3849</v>
      </c>
      <c r="B4873" s="26" t="s">
        <v>16179</v>
      </c>
      <c r="C4873" s="66" t="s">
        <v>16180</v>
      </c>
      <c r="D4873" s="66"/>
      <c r="E4873" s="66"/>
      <c r="F4873" s="66"/>
      <c r="G4873" s="27" t="s">
        <v>16181</v>
      </c>
      <c r="H4873" s="28" t="s">
        <v>44</v>
      </c>
      <c r="I4873" s="29"/>
      <c r="J4873" s="25">
        <v>1</v>
      </c>
      <c r="K4873" s="37">
        <v>1087.67</v>
      </c>
      <c r="L4873" s="17"/>
      <c r="M4873" s="29">
        <f>K4873*L4873</f>
        <v>0</v>
      </c>
      <c r="N4873" s="31">
        <f>0.616*L4873</f>
        <v>0</v>
      </c>
      <c r="O4873" s="32">
        <f>0.00273*L4873</f>
        <v>0</v>
      </c>
      <c r="P4873" s="36"/>
      <c r="Q4873" s="29" t="s">
        <v>16182</v>
      </c>
      <c r="R4873" s="29"/>
      <c r="S4873" s="26" t="str">
        <f>HYPERLINK("https://miland.ru/api/getInfo/image/b24c55ea-0c4c-11ef-a25d-00155d82e908")</f>
        <v>https://miland.ru/api/getInfo/image/b24c55ea-0c4c-11ef-a25d-00155d82e908</v>
      </c>
    </row>
    <row r="4874" spans="1:19" s="2" customFormat="1" ht="96.2" customHeight="1" outlineLevel="3">
      <c r="A4874" s="52">
        <v>3850</v>
      </c>
      <c r="B4874" s="26" t="s">
        <v>16183</v>
      </c>
      <c r="C4874" s="66" t="s">
        <v>16184</v>
      </c>
      <c r="D4874" s="66"/>
      <c r="E4874" s="66"/>
      <c r="F4874" s="66"/>
      <c r="G4874" s="27" t="s">
        <v>16185</v>
      </c>
      <c r="H4874" s="33">
        <v>114</v>
      </c>
      <c r="I4874" s="29"/>
      <c r="J4874" s="25">
        <v>1</v>
      </c>
      <c r="K4874" s="37">
        <v>1087.67</v>
      </c>
      <c r="L4874" s="17"/>
      <c r="M4874" s="29">
        <f>K4874*L4874</f>
        <v>0</v>
      </c>
      <c r="N4874" s="31">
        <f>0.591*L4874</f>
        <v>0</v>
      </c>
      <c r="O4874" s="32">
        <f>0.00252*L4874</f>
        <v>0</v>
      </c>
      <c r="P4874" s="36"/>
      <c r="Q4874" s="29" t="s">
        <v>16186</v>
      </c>
      <c r="R4874" s="29" t="s">
        <v>611</v>
      </c>
      <c r="S4874" s="26" t="str">
        <f>HYPERLINK("https://miland.ru/api/getInfo/image/72ce945a-1a14-11ec-a20f-ac1f6b442185")</f>
        <v>https://miland.ru/api/getInfo/image/72ce945a-1a14-11ec-a20f-ac1f6b442185</v>
      </c>
    </row>
    <row r="4875" spans="1:19" s="1" customFormat="1" ht="15.95" customHeight="1" outlineLevel="1">
      <c r="A4875" s="62" t="s">
        <v>16187</v>
      </c>
      <c r="B4875" s="62"/>
      <c r="C4875" s="62"/>
      <c r="D4875" s="62"/>
      <c r="E4875" s="62"/>
      <c r="F4875" s="62"/>
      <c r="G4875" s="8"/>
      <c r="H4875" s="12"/>
      <c r="I4875" s="2"/>
      <c r="J4875" s="2"/>
      <c r="K4875" s="13"/>
      <c r="L4875" s="2"/>
      <c r="M4875" s="2"/>
      <c r="N4875" s="2"/>
      <c r="O4875" s="2"/>
      <c r="P4875" s="2"/>
      <c r="Q4875" s="2"/>
      <c r="R4875" s="2"/>
      <c r="S4875" s="2"/>
    </row>
    <row r="4876" spans="1:19" s="1" customFormat="1" ht="12" customHeight="1" outlineLevel="2">
      <c r="A4876" s="63" t="s">
        <v>16188</v>
      </c>
      <c r="B4876" s="63"/>
      <c r="C4876" s="63"/>
      <c r="D4876" s="63"/>
      <c r="E4876" s="63"/>
      <c r="F4876" s="63"/>
      <c r="G4876" s="8"/>
      <c r="H4876" s="12"/>
      <c r="I4876" s="2"/>
      <c r="J4876" s="2"/>
      <c r="K4876" s="13"/>
      <c r="L4876" s="2"/>
      <c r="M4876" s="2"/>
      <c r="N4876" s="2"/>
      <c r="O4876" s="2"/>
      <c r="P4876" s="2"/>
      <c r="Q4876" s="2"/>
      <c r="R4876" s="2"/>
      <c r="S4876" s="2"/>
    </row>
    <row r="4877" spans="1:19" s="1" customFormat="1" ht="12" customHeight="1" outlineLevel="3">
      <c r="A4877" s="64" t="s">
        <v>16189</v>
      </c>
      <c r="B4877" s="64"/>
      <c r="C4877" s="64"/>
      <c r="D4877" s="64"/>
      <c r="E4877" s="64"/>
      <c r="F4877" s="64"/>
      <c r="G4877" s="8"/>
      <c r="H4877" s="12"/>
      <c r="I4877" s="2"/>
      <c r="J4877" s="2"/>
      <c r="K4877" s="13"/>
      <c r="L4877" s="2"/>
      <c r="M4877" s="2"/>
      <c r="N4877" s="2"/>
      <c r="O4877" s="2"/>
      <c r="P4877" s="2"/>
      <c r="Q4877" s="2"/>
      <c r="R4877" s="2"/>
      <c r="S4877" s="2"/>
    </row>
    <row r="4878" spans="1:19" s="2" customFormat="1" ht="96.2" customHeight="1" outlineLevel="4">
      <c r="A4878" s="52">
        <v>3851</v>
      </c>
      <c r="B4878" s="26" t="s">
        <v>16190</v>
      </c>
      <c r="C4878" s="66" t="s">
        <v>16191</v>
      </c>
      <c r="D4878" s="66"/>
      <c r="E4878" s="66"/>
      <c r="F4878" s="66"/>
      <c r="G4878" s="27" t="s">
        <v>16192</v>
      </c>
      <c r="H4878" s="33">
        <v>19</v>
      </c>
      <c r="I4878" s="29"/>
      <c r="J4878" s="25">
        <v>3</v>
      </c>
      <c r="K4878" s="30">
        <v>192.19</v>
      </c>
      <c r="L4878" s="17"/>
      <c r="M4878" s="29">
        <f>K4878*L4878</f>
        <v>0</v>
      </c>
      <c r="N4878" s="34">
        <f>0.06*L4878</f>
        <v>0</v>
      </c>
      <c r="O4878" s="32">
        <f>0.00002*L4878</f>
        <v>0</v>
      </c>
      <c r="P4878" s="36"/>
      <c r="Q4878" s="29" t="s">
        <v>16193</v>
      </c>
      <c r="R4878" s="29" t="s">
        <v>611</v>
      </c>
      <c r="S4878" s="26" t="str">
        <f>HYPERLINK("https://miland.ru/api/getInfo/image/c12d5976-25bf-11ec-a20f-ac1f6b442185")</f>
        <v>https://miland.ru/api/getInfo/image/c12d5976-25bf-11ec-a20f-ac1f6b442185</v>
      </c>
    </row>
    <row r="4879" spans="1:19" s="1" customFormat="1" ht="15.95" customHeight="1" outlineLevel="1">
      <c r="A4879" s="62" t="s">
        <v>16194</v>
      </c>
      <c r="B4879" s="62"/>
      <c r="C4879" s="62"/>
      <c r="D4879" s="62"/>
      <c r="E4879" s="62"/>
      <c r="F4879" s="62"/>
      <c r="G4879" s="8"/>
      <c r="H4879" s="12"/>
      <c r="I4879" s="2"/>
      <c r="J4879" s="2"/>
      <c r="K4879" s="13"/>
      <c r="L4879" s="2"/>
      <c r="M4879" s="2"/>
      <c r="N4879" s="2"/>
      <c r="O4879" s="2"/>
      <c r="P4879" s="2"/>
      <c r="Q4879" s="2"/>
      <c r="R4879" s="2"/>
      <c r="S4879" s="2"/>
    </row>
    <row r="4880" spans="1:19" s="1" customFormat="1" ht="12" customHeight="1" outlineLevel="2">
      <c r="A4880" s="63" t="s">
        <v>16195</v>
      </c>
      <c r="B4880" s="63"/>
      <c r="C4880" s="63"/>
      <c r="D4880" s="63"/>
      <c r="E4880" s="63"/>
      <c r="F4880" s="63"/>
      <c r="G4880" s="8"/>
      <c r="H4880" s="12"/>
      <c r="I4880" s="2"/>
      <c r="J4880" s="2"/>
      <c r="K4880" s="13"/>
      <c r="L4880" s="2"/>
      <c r="M4880" s="2"/>
      <c r="N4880" s="2"/>
      <c r="O4880" s="2"/>
      <c r="P4880" s="2"/>
      <c r="Q4880" s="2"/>
      <c r="R4880" s="2"/>
      <c r="S4880" s="2"/>
    </row>
    <row r="4881" spans="1:19" s="1" customFormat="1" ht="12" customHeight="1" outlineLevel="3">
      <c r="A4881" s="64" t="s">
        <v>16196</v>
      </c>
      <c r="B4881" s="64"/>
      <c r="C4881" s="64"/>
      <c r="D4881" s="64"/>
      <c r="E4881" s="64"/>
      <c r="F4881" s="64"/>
      <c r="G4881" s="8"/>
      <c r="H4881" s="12"/>
      <c r="I4881" s="2"/>
      <c r="J4881" s="2"/>
      <c r="K4881" s="13"/>
      <c r="L4881" s="2"/>
      <c r="M4881" s="2"/>
      <c r="N4881" s="2"/>
      <c r="O4881" s="2"/>
      <c r="P4881" s="2"/>
      <c r="Q4881" s="2"/>
      <c r="R4881" s="2"/>
      <c r="S4881" s="2"/>
    </row>
    <row r="4882" spans="1:19" s="1" customFormat="1" ht="12" customHeight="1" outlineLevel="4">
      <c r="A4882" s="64" t="s">
        <v>16197</v>
      </c>
      <c r="B4882" s="64"/>
      <c r="C4882" s="64"/>
      <c r="D4882" s="64"/>
      <c r="E4882" s="64"/>
      <c r="F4882" s="64"/>
      <c r="G4882" s="8"/>
      <c r="H4882" s="12"/>
      <c r="I4882" s="2"/>
      <c r="J4882" s="2"/>
      <c r="K4882" s="13"/>
      <c r="L4882" s="2"/>
      <c r="M4882" s="2"/>
      <c r="N4882" s="2"/>
      <c r="O4882" s="2"/>
      <c r="P4882" s="2"/>
      <c r="Q4882" s="2"/>
      <c r="R4882" s="2"/>
      <c r="S4882" s="2"/>
    </row>
    <row r="4883" spans="1:19" s="2" customFormat="1" ht="96.2" customHeight="1" outlineLevel="5">
      <c r="A4883" s="52">
        <v>3852</v>
      </c>
      <c r="B4883" s="26" t="s">
        <v>16198</v>
      </c>
      <c r="C4883" s="66" t="s">
        <v>16199</v>
      </c>
      <c r="D4883" s="66"/>
      <c r="E4883" s="66"/>
      <c r="F4883" s="66"/>
      <c r="G4883" s="27" t="s">
        <v>16200</v>
      </c>
      <c r="H4883" s="28" t="s">
        <v>44</v>
      </c>
      <c r="I4883" s="29"/>
      <c r="J4883" s="25">
        <v>40</v>
      </c>
      <c r="K4883" s="30">
        <v>14.08</v>
      </c>
      <c r="L4883" s="17"/>
      <c r="M4883" s="29">
        <f>K4883*L4883</f>
        <v>0</v>
      </c>
      <c r="N4883" s="31">
        <f>0.008*L4883</f>
        <v>0</v>
      </c>
      <c r="O4883" s="32">
        <f>0.00001*L4883</f>
        <v>0</v>
      </c>
      <c r="P4883" s="36"/>
      <c r="Q4883" s="29" t="s">
        <v>16201</v>
      </c>
      <c r="R4883" s="29"/>
      <c r="S4883" s="26" t="str">
        <f>HYPERLINK("https://miland.ru/api/getInfo/image/7a82c2a2-3604-11f0-a27c-00155d82e908")</f>
        <v>https://miland.ru/api/getInfo/image/7a82c2a2-3604-11f0-a27c-00155d82e908</v>
      </c>
    </row>
    <row r="4884" spans="1:19" s="1" customFormat="1" ht="12" customHeight="1" outlineLevel="3">
      <c r="A4884" s="64" t="s">
        <v>16202</v>
      </c>
      <c r="B4884" s="64"/>
      <c r="C4884" s="64"/>
      <c r="D4884" s="64"/>
      <c r="E4884" s="64"/>
      <c r="F4884" s="64"/>
      <c r="G4884" s="8"/>
      <c r="H4884" s="12"/>
      <c r="I4884" s="2"/>
      <c r="J4884" s="2"/>
      <c r="K4884" s="13"/>
      <c r="L4884" s="2"/>
      <c r="M4884" s="2"/>
      <c r="N4884" s="2"/>
      <c r="O4884" s="2"/>
      <c r="P4884" s="2"/>
      <c r="Q4884" s="2"/>
      <c r="R4884" s="2"/>
      <c r="S4884" s="2"/>
    </row>
    <row r="4885" spans="1:19" s="1" customFormat="1" ht="12" customHeight="1" outlineLevel="4">
      <c r="A4885" s="64" t="s">
        <v>16203</v>
      </c>
      <c r="B4885" s="64"/>
      <c r="C4885" s="64"/>
      <c r="D4885" s="64"/>
      <c r="E4885" s="64"/>
      <c r="F4885" s="64"/>
      <c r="G4885" s="8"/>
      <c r="H4885" s="12"/>
      <c r="I4885" s="2"/>
      <c r="J4885" s="2"/>
      <c r="K4885" s="13"/>
      <c r="L4885" s="2"/>
      <c r="M4885" s="2"/>
      <c r="N4885" s="2"/>
      <c r="O4885" s="2"/>
      <c r="P4885" s="2"/>
      <c r="Q4885" s="2"/>
      <c r="R4885" s="2"/>
      <c r="S4885" s="2"/>
    </row>
    <row r="4886" spans="1:19" s="2" customFormat="1" ht="96.2" customHeight="1" outlineLevel="5">
      <c r="A4886" s="53">
        <v>3853</v>
      </c>
      <c r="B4886" s="10" t="s">
        <v>16204</v>
      </c>
      <c r="C4886" s="65" t="s">
        <v>16205</v>
      </c>
      <c r="D4886" s="65"/>
      <c r="E4886" s="65"/>
      <c r="F4886" s="65"/>
      <c r="G4886" s="11" t="s">
        <v>16206</v>
      </c>
      <c r="H4886" s="21" t="s">
        <v>44</v>
      </c>
      <c r="I4886" s="15"/>
      <c r="J4886" s="9">
        <v>20</v>
      </c>
      <c r="K4886" s="16">
        <v>29.03</v>
      </c>
      <c r="L4886" s="17"/>
      <c r="M4886" s="15">
        <f>K4886*L4886</f>
        <v>0</v>
      </c>
      <c r="N4886" s="18">
        <f>0.008*L4886</f>
        <v>0</v>
      </c>
      <c r="O4886" s="19">
        <f>0.00003*L4886</f>
        <v>0</v>
      </c>
      <c r="P4886" s="24" t="s">
        <v>26</v>
      </c>
      <c r="Q4886" s="15" t="s">
        <v>16207</v>
      </c>
      <c r="R4886" s="15"/>
      <c r="S4886" s="10" t="str">
        <f>HYPERLINK("https://miland.ru/api/getInfo/image/ab477b97-62e2-11f0-a281-00155d82e908")</f>
        <v>https://miland.ru/api/getInfo/image/ab477b97-62e2-11f0-a281-00155d82e908</v>
      </c>
    </row>
    <row r="4887" spans="1:19" s="2" customFormat="1" ht="96.2" customHeight="1" outlineLevel="5">
      <c r="A4887" s="53">
        <v>3854</v>
      </c>
      <c r="B4887" s="10" t="s">
        <v>16208</v>
      </c>
      <c r="C4887" s="65" t="s">
        <v>16209</v>
      </c>
      <c r="D4887" s="65"/>
      <c r="E4887" s="65"/>
      <c r="F4887" s="65"/>
      <c r="G4887" s="11" t="s">
        <v>16210</v>
      </c>
      <c r="H4887" s="21" t="s">
        <v>44</v>
      </c>
      <c r="I4887" s="15"/>
      <c r="J4887" s="9">
        <v>20</v>
      </c>
      <c r="K4887" s="16">
        <v>29.03</v>
      </c>
      <c r="L4887" s="17"/>
      <c r="M4887" s="15">
        <f>K4887*L4887</f>
        <v>0</v>
      </c>
      <c r="N4887" s="18">
        <f>0.011*L4887</f>
        <v>0</v>
      </c>
      <c r="O4887" s="19">
        <f>0.00004*L4887</f>
        <v>0</v>
      </c>
      <c r="P4887" s="24" t="s">
        <v>26</v>
      </c>
      <c r="Q4887" s="15" t="s">
        <v>16211</v>
      </c>
      <c r="R4887" s="15"/>
      <c r="S4887" s="10" t="str">
        <f>HYPERLINK("https://miland.ru/api/getInfo/image/5134d303-62e4-11f0-a282-00155d82e908")</f>
        <v>https://miland.ru/api/getInfo/image/5134d303-62e4-11f0-a282-00155d82e908</v>
      </c>
    </row>
    <row r="4888" spans="1:19" s="1" customFormat="1" ht="12" customHeight="1" outlineLevel="4">
      <c r="A4888" s="64" t="s">
        <v>16212</v>
      </c>
      <c r="B4888" s="64"/>
      <c r="C4888" s="64"/>
      <c r="D4888" s="64"/>
      <c r="E4888" s="64"/>
      <c r="F4888" s="64"/>
      <c r="G4888" s="8"/>
      <c r="H4888" s="12"/>
      <c r="I4888" s="2"/>
      <c r="J4888" s="2"/>
      <c r="K4888" s="13"/>
      <c r="L4888" s="2"/>
      <c r="M4888" s="2"/>
      <c r="N4888" s="2"/>
      <c r="O4888" s="2"/>
      <c r="P4888" s="2"/>
      <c r="Q4888" s="2"/>
      <c r="R4888" s="2"/>
      <c r="S4888" s="2"/>
    </row>
    <row r="4889" spans="1:19" s="2" customFormat="1" ht="96.2" customHeight="1" outlineLevel="5">
      <c r="A4889" s="53">
        <v>3855</v>
      </c>
      <c r="B4889" s="10" t="s">
        <v>16213</v>
      </c>
      <c r="C4889" s="65" t="s">
        <v>16214</v>
      </c>
      <c r="D4889" s="65"/>
      <c r="E4889" s="65"/>
      <c r="F4889" s="65"/>
      <c r="G4889" s="11" t="s">
        <v>16215</v>
      </c>
      <c r="H4889" s="21" t="s">
        <v>44</v>
      </c>
      <c r="I4889" s="15"/>
      <c r="J4889" s="9">
        <v>20</v>
      </c>
      <c r="K4889" s="16">
        <v>32.520000000000003</v>
      </c>
      <c r="L4889" s="17"/>
      <c r="M4889" s="15">
        <f>K4889*L4889</f>
        <v>0</v>
      </c>
      <c r="N4889" s="18">
        <f>0.008*L4889</f>
        <v>0</v>
      </c>
      <c r="O4889" s="19">
        <f>0.00003*L4889</f>
        <v>0</v>
      </c>
      <c r="P4889" s="24" t="s">
        <v>26</v>
      </c>
      <c r="Q4889" s="15" t="s">
        <v>16216</v>
      </c>
      <c r="R4889" s="15"/>
      <c r="S4889" s="10" t="str">
        <f>HYPERLINK("https://miland.ru/api/getInfo/image/d2fa0420-62e4-11f0-a282-00155d82e908")</f>
        <v>https://miland.ru/api/getInfo/image/d2fa0420-62e4-11f0-a282-00155d82e908</v>
      </c>
    </row>
    <row r="4890" spans="1:19" s="2" customFormat="1" ht="96.2" customHeight="1" outlineLevel="5">
      <c r="A4890" s="53">
        <v>3856</v>
      </c>
      <c r="B4890" s="10" t="s">
        <v>16217</v>
      </c>
      <c r="C4890" s="65" t="s">
        <v>16218</v>
      </c>
      <c r="D4890" s="65"/>
      <c r="E4890" s="65"/>
      <c r="F4890" s="65"/>
      <c r="G4890" s="11" t="s">
        <v>16219</v>
      </c>
      <c r="H4890" s="14">
        <v>20</v>
      </c>
      <c r="I4890" s="15"/>
      <c r="J4890" s="9">
        <v>20</v>
      </c>
      <c r="K4890" s="16">
        <v>32.520000000000003</v>
      </c>
      <c r="L4890" s="17"/>
      <c r="M4890" s="15">
        <f>K4890*L4890</f>
        <v>0</v>
      </c>
      <c r="N4890" s="18">
        <f>0.008*L4890</f>
        <v>0</v>
      </c>
      <c r="O4890" s="19">
        <f>0.00003*L4890</f>
        <v>0</v>
      </c>
      <c r="P4890" s="24" t="s">
        <v>26</v>
      </c>
      <c r="Q4890" s="15" t="s">
        <v>16220</v>
      </c>
      <c r="R4890" s="15"/>
      <c r="S4890" s="10" t="str">
        <f>HYPERLINK("https://miland.ru/api/getInfo/image/96efe406-62e6-11f0-a282-00155d82e908")</f>
        <v>https://miland.ru/api/getInfo/image/96efe406-62e6-11f0-a282-00155d82e908</v>
      </c>
    </row>
    <row r="4891" spans="1:19" s="1" customFormat="1" ht="12" customHeight="1" outlineLevel="2">
      <c r="A4891" s="63" t="s">
        <v>16221</v>
      </c>
      <c r="B4891" s="63"/>
      <c r="C4891" s="63"/>
      <c r="D4891" s="63"/>
      <c r="E4891" s="63"/>
      <c r="F4891" s="63"/>
      <c r="G4891" s="8"/>
      <c r="H4891" s="12"/>
      <c r="I4891" s="2"/>
      <c r="J4891" s="2"/>
      <c r="K4891" s="13"/>
      <c r="L4891" s="2"/>
      <c r="M4891" s="2"/>
      <c r="N4891" s="2"/>
      <c r="O4891" s="2"/>
      <c r="P4891" s="2"/>
      <c r="Q4891" s="2"/>
      <c r="R4891" s="2"/>
      <c r="S4891" s="2"/>
    </row>
    <row r="4892" spans="1:19" s="1" customFormat="1" ht="12" customHeight="1" outlineLevel="3">
      <c r="A4892" s="64" t="s">
        <v>16222</v>
      </c>
      <c r="B4892" s="64"/>
      <c r="C4892" s="64"/>
      <c r="D4892" s="64"/>
      <c r="E4892" s="64"/>
      <c r="F4892" s="64"/>
      <c r="G4892" s="8"/>
      <c r="H4892" s="12"/>
      <c r="I4892" s="2"/>
      <c r="J4892" s="2"/>
      <c r="K4892" s="13"/>
      <c r="L4892" s="2"/>
      <c r="M4892" s="2"/>
      <c r="N4892" s="2"/>
      <c r="O4892" s="2"/>
      <c r="P4892" s="2"/>
      <c r="Q4892" s="2"/>
      <c r="R4892" s="2"/>
      <c r="S4892" s="2"/>
    </row>
    <row r="4893" spans="1:19" s="2" customFormat="1" ht="96.2" customHeight="1" outlineLevel="4">
      <c r="A4893" s="53">
        <v>3857</v>
      </c>
      <c r="B4893" s="10" t="s">
        <v>16223</v>
      </c>
      <c r="C4893" s="65" t="s">
        <v>16224</v>
      </c>
      <c r="D4893" s="65"/>
      <c r="E4893" s="65"/>
      <c r="F4893" s="65"/>
      <c r="G4893" s="11" t="s">
        <v>16225</v>
      </c>
      <c r="H4893" s="21" t="s">
        <v>44</v>
      </c>
      <c r="I4893" s="15"/>
      <c r="J4893" s="9">
        <v>50</v>
      </c>
      <c r="K4893" s="16">
        <v>10.47</v>
      </c>
      <c r="L4893" s="17"/>
      <c r="M4893" s="15">
        <f t="shared" ref="M4893:M4898" si="236">K4893*L4893</f>
        <v>0</v>
      </c>
      <c r="N4893" s="18">
        <f t="shared" ref="N4893:N4898" si="237">0.005*L4893</f>
        <v>0</v>
      </c>
      <c r="O4893" s="19">
        <f t="shared" ref="O4893:O4898" si="238">0.00001*L4893</f>
        <v>0</v>
      </c>
      <c r="P4893" s="24" t="s">
        <v>26</v>
      </c>
      <c r="Q4893" s="15" t="s">
        <v>16226</v>
      </c>
      <c r="R4893" s="15"/>
      <c r="S4893" s="10" t="str">
        <f>HYPERLINK("https://miland.ru/api/getInfo/image/2eee0419-f059-11f0-a28d-00155d82e908")</f>
        <v>https://miland.ru/api/getInfo/image/2eee0419-f059-11f0-a28d-00155d82e908</v>
      </c>
    </row>
    <row r="4894" spans="1:19" s="2" customFormat="1" ht="96.2" customHeight="1" outlineLevel="4">
      <c r="A4894" s="53">
        <v>3858</v>
      </c>
      <c r="B4894" s="10" t="s">
        <v>16227</v>
      </c>
      <c r="C4894" s="65" t="s">
        <v>16228</v>
      </c>
      <c r="D4894" s="65"/>
      <c r="E4894" s="65"/>
      <c r="F4894" s="65"/>
      <c r="G4894" s="11" t="s">
        <v>16229</v>
      </c>
      <c r="H4894" s="21" t="s">
        <v>44</v>
      </c>
      <c r="I4894" s="15"/>
      <c r="J4894" s="9">
        <v>50</v>
      </c>
      <c r="K4894" s="16">
        <v>10.47</v>
      </c>
      <c r="L4894" s="17"/>
      <c r="M4894" s="15">
        <f t="shared" si="236"/>
        <v>0</v>
      </c>
      <c r="N4894" s="18">
        <f t="shared" si="237"/>
        <v>0</v>
      </c>
      <c r="O4894" s="19">
        <f t="shared" si="238"/>
        <v>0</v>
      </c>
      <c r="P4894" s="24" t="s">
        <v>26</v>
      </c>
      <c r="Q4894" s="15" t="s">
        <v>16230</v>
      </c>
      <c r="R4894" s="15"/>
      <c r="S4894" s="10" t="str">
        <f>HYPERLINK("https://miland.ru/api/getInfo/image/4bc417b2-f059-11f0-a28d-00155d82e908")</f>
        <v>https://miland.ru/api/getInfo/image/4bc417b2-f059-11f0-a28d-00155d82e908</v>
      </c>
    </row>
    <row r="4895" spans="1:19" s="2" customFormat="1" ht="96.2" customHeight="1" outlineLevel="4">
      <c r="A4895" s="53">
        <v>3859</v>
      </c>
      <c r="B4895" s="10" t="s">
        <v>16231</v>
      </c>
      <c r="C4895" s="65" t="s">
        <v>16232</v>
      </c>
      <c r="D4895" s="65"/>
      <c r="E4895" s="65"/>
      <c r="F4895" s="65"/>
      <c r="G4895" s="11" t="s">
        <v>16233</v>
      </c>
      <c r="H4895" s="21" t="s">
        <v>44</v>
      </c>
      <c r="I4895" s="15"/>
      <c r="J4895" s="9">
        <v>50</v>
      </c>
      <c r="K4895" s="16">
        <v>10.47</v>
      </c>
      <c r="L4895" s="17"/>
      <c r="M4895" s="15">
        <f t="shared" si="236"/>
        <v>0</v>
      </c>
      <c r="N4895" s="18">
        <f t="shared" si="237"/>
        <v>0</v>
      </c>
      <c r="O4895" s="19">
        <f t="shared" si="238"/>
        <v>0</v>
      </c>
      <c r="P4895" s="24" t="s">
        <v>26</v>
      </c>
      <c r="Q4895" s="15" t="s">
        <v>16234</v>
      </c>
      <c r="R4895" s="15"/>
      <c r="S4895" s="10" t="str">
        <f>HYPERLINK("https://miland.ru/api/getInfo/image/eb7a72b4-f05a-11f0-a28d-00155d82e908")</f>
        <v>https://miland.ru/api/getInfo/image/eb7a72b4-f05a-11f0-a28d-00155d82e908</v>
      </c>
    </row>
    <row r="4896" spans="1:19" s="2" customFormat="1" ht="96.2" customHeight="1" outlineLevel="4">
      <c r="A4896" s="53">
        <v>3860</v>
      </c>
      <c r="B4896" s="10" t="s">
        <v>16235</v>
      </c>
      <c r="C4896" s="65" t="s">
        <v>16236</v>
      </c>
      <c r="D4896" s="65"/>
      <c r="E4896" s="65"/>
      <c r="F4896" s="65"/>
      <c r="G4896" s="11" t="s">
        <v>16237</v>
      </c>
      <c r="H4896" s="21" t="s">
        <v>44</v>
      </c>
      <c r="I4896" s="15"/>
      <c r="J4896" s="9">
        <v>50</v>
      </c>
      <c r="K4896" s="16">
        <v>10.47</v>
      </c>
      <c r="L4896" s="17"/>
      <c r="M4896" s="15">
        <f t="shared" si="236"/>
        <v>0</v>
      </c>
      <c r="N4896" s="18">
        <f t="shared" si="237"/>
        <v>0</v>
      </c>
      <c r="O4896" s="19">
        <f t="shared" si="238"/>
        <v>0</v>
      </c>
      <c r="P4896" s="24" t="s">
        <v>26</v>
      </c>
      <c r="Q4896" s="15" t="s">
        <v>16238</v>
      </c>
      <c r="R4896" s="15"/>
      <c r="S4896" s="10" t="str">
        <f>HYPERLINK("https://miland.ru/api/getInfo/image/6dfa3cf2-f05a-11f0-a28d-00155d82e908")</f>
        <v>https://miland.ru/api/getInfo/image/6dfa3cf2-f05a-11f0-a28d-00155d82e908</v>
      </c>
    </row>
    <row r="4897" spans="1:19" s="2" customFormat="1" ht="96.2" customHeight="1" outlineLevel="4">
      <c r="A4897" s="53">
        <v>3861</v>
      </c>
      <c r="B4897" s="10" t="s">
        <v>16239</v>
      </c>
      <c r="C4897" s="65" t="s">
        <v>16240</v>
      </c>
      <c r="D4897" s="65"/>
      <c r="E4897" s="65"/>
      <c r="F4897" s="65"/>
      <c r="G4897" s="11" t="s">
        <v>16241</v>
      </c>
      <c r="H4897" s="21" t="s">
        <v>44</v>
      </c>
      <c r="I4897" s="15"/>
      <c r="J4897" s="9">
        <v>50</v>
      </c>
      <c r="K4897" s="16">
        <v>10.47</v>
      </c>
      <c r="L4897" s="17"/>
      <c r="M4897" s="15">
        <f t="shared" si="236"/>
        <v>0</v>
      </c>
      <c r="N4897" s="18">
        <f t="shared" si="237"/>
        <v>0</v>
      </c>
      <c r="O4897" s="19">
        <f t="shared" si="238"/>
        <v>0</v>
      </c>
      <c r="P4897" s="24" t="s">
        <v>26</v>
      </c>
      <c r="Q4897" s="15" t="s">
        <v>16242</v>
      </c>
      <c r="R4897" s="15"/>
      <c r="S4897" s="10" t="str">
        <f>HYPERLINK("https://miland.ru/api/getInfo/image/b3a659c5-f05a-11f0-a28d-00155d82e908")</f>
        <v>https://miland.ru/api/getInfo/image/b3a659c5-f05a-11f0-a28d-00155d82e908</v>
      </c>
    </row>
    <row r="4898" spans="1:19" s="2" customFormat="1" ht="96.2" customHeight="1" outlineLevel="4">
      <c r="A4898" s="53">
        <v>3862</v>
      </c>
      <c r="B4898" s="10" t="s">
        <v>16243</v>
      </c>
      <c r="C4898" s="65" t="s">
        <v>16244</v>
      </c>
      <c r="D4898" s="65"/>
      <c r="E4898" s="65"/>
      <c r="F4898" s="65"/>
      <c r="G4898" s="11" t="s">
        <v>16245</v>
      </c>
      <c r="H4898" s="21" t="s">
        <v>44</v>
      </c>
      <c r="I4898" s="15"/>
      <c r="J4898" s="9">
        <v>50</v>
      </c>
      <c r="K4898" s="16">
        <v>10.47</v>
      </c>
      <c r="L4898" s="17"/>
      <c r="M4898" s="15">
        <f t="shared" si="236"/>
        <v>0</v>
      </c>
      <c r="N4898" s="18">
        <f t="shared" si="237"/>
        <v>0</v>
      </c>
      <c r="O4898" s="19">
        <f t="shared" si="238"/>
        <v>0</v>
      </c>
      <c r="P4898" s="24" t="s">
        <v>26</v>
      </c>
      <c r="Q4898" s="15" t="s">
        <v>16246</v>
      </c>
      <c r="R4898" s="15"/>
      <c r="S4898" s="10" t="str">
        <f>HYPERLINK("https://miland.ru/api/getInfo/image/0366687c-f05b-11f0-a28d-00155d82e908")</f>
        <v>https://miland.ru/api/getInfo/image/0366687c-f05b-11f0-a28d-00155d82e908</v>
      </c>
    </row>
    <row r="4899" spans="1:19" s="1" customFormat="1" ht="12" customHeight="1" outlineLevel="2">
      <c r="A4899" s="63" t="s">
        <v>16247</v>
      </c>
      <c r="B4899" s="63"/>
      <c r="C4899" s="63"/>
      <c r="D4899" s="63"/>
      <c r="E4899" s="63"/>
      <c r="F4899" s="63"/>
      <c r="G4899" s="8"/>
      <c r="H4899" s="12"/>
      <c r="I4899" s="2"/>
      <c r="J4899" s="2"/>
      <c r="K4899" s="13"/>
      <c r="L4899" s="2"/>
      <c r="M4899" s="2"/>
      <c r="N4899" s="2"/>
      <c r="O4899" s="2"/>
      <c r="P4899" s="2"/>
      <c r="Q4899" s="2"/>
      <c r="R4899" s="2"/>
      <c r="S4899" s="2"/>
    </row>
    <row r="4900" spans="1:19" s="1" customFormat="1" ht="12" customHeight="1" outlineLevel="3">
      <c r="A4900" s="64" t="s">
        <v>16248</v>
      </c>
      <c r="B4900" s="64"/>
      <c r="C4900" s="64"/>
      <c r="D4900" s="64"/>
      <c r="E4900" s="64"/>
      <c r="F4900" s="64"/>
      <c r="G4900" s="8"/>
      <c r="H4900" s="12"/>
      <c r="I4900" s="2"/>
      <c r="J4900" s="2"/>
      <c r="K4900" s="13"/>
      <c r="L4900" s="2"/>
      <c r="M4900" s="2"/>
      <c r="N4900" s="2"/>
      <c r="O4900" s="2"/>
      <c r="P4900" s="2"/>
      <c r="Q4900" s="2"/>
      <c r="R4900" s="2"/>
      <c r="S4900" s="2"/>
    </row>
    <row r="4901" spans="1:19" s="2" customFormat="1" ht="96.2" customHeight="1" outlineLevel="4">
      <c r="A4901" s="53">
        <v>3863</v>
      </c>
      <c r="B4901" s="10" t="s">
        <v>16249</v>
      </c>
      <c r="C4901" s="65" t="s">
        <v>16250</v>
      </c>
      <c r="D4901" s="65"/>
      <c r="E4901" s="65"/>
      <c r="F4901" s="65"/>
      <c r="G4901" s="11" t="s">
        <v>16251</v>
      </c>
      <c r="H4901" s="21" t="s">
        <v>44</v>
      </c>
      <c r="I4901" s="15"/>
      <c r="J4901" s="9">
        <v>40</v>
      </c>
      <c r="K4901" s="16">
        <v>13.23</v>
      </c>
      <c r="L4901" s="17"/>
      <c r="M4901" s="15">
        <f t="shared" ref="M4901:M4933" si="239">K4901*L4901</f>
        <v>0</v>
      </c>
      <c r="N4901" s="18">
        <f>0.008*L4901</f>
        <v>0</v>
      </c>
      <c r="O4901" s="19">
        <f>0.00003*L4901</f>
        <v>0</v>
      </c>
      <c r="P4901" s="24" t="s">
        <v>26</v>
      </c>
      <c r="Q4901" s="15" t="s">
        <v>16252</v>
      </c>
      <c r="R4901" s="15"/>
      <c r="S4901" s="10" t="str">
        <f>HYPERLINK("https://miland.ru/api/getInfo/image/a82e4b5e-7f49-11f1-a29a-00155d82e908")</f>
        <v>https://miland.ru/api/getInfo/image/a82e4b5e-7f49-11f1-a29a-00155d82e908</v>
      </c>
    </row>
    <row r="4902" spans="1:19" s="2" customFormat="1" ht="96.2" customHeight="1" outlineLevel="4">
      <c r="A4902" s="53">
        <v>3864</v>
      </c>
      <c r="B4902" s="10" t="s">
        <v>16253</v>
      </c>
      <c r="C4902" s="65" t="s">
        <v>16254</v>
      </c>
      <c r="D4902" s="65"/>
      <c r="E4902" s="65"/>
      <c r="F4902" s="65"/>
      <c r="G4902" s="11" t="s">
        <v>16255</v>
      </c>
      <c r="H4902" s="21" t="s">
        <v>44</v>
      </c>
      <c r="I4902" s="15"/>
      <c r="J4902" s="9">
        <v>40</v>
      </c>
      <c r="K4902" s="16">
        <v>13.23</v>
      </c>
      <c r="L4902" s="17"/>
      <c r="M4902" s="15">
        <f t="shared" si="239"/>
        <v>0</v>
      </c>
      <c r="N4902" s="18">
        <f>0.008*L4902</f>
        <v>0</v>
      </c>
      <c r="O4902" s="19">
        <f>0.00003*L4902</f>
        <v>0</v>
      </c>
      <c r="P4902" s="24" t="s">
        <v>26</v>
      </c>
      <c r="Q4902" s="15" t="s">
        <v>16256</v>
      </c>
      <c r="R4902" s="15"/>
      <c r="S4902" s="10" t="str">
        <f>HYPERLINK("https://miland.ru/api/getInfo/image/f8e7c43c-7f49-11f1-a29a-00155d82e908")</f>
        <v>https://miland.ru/api/getInfo/image/f8e7c43c-7f49-11f1-a29a-00155d82e908</v>
      </c>
    </row>
    <row r="4903" spans="1:19" s="2" customFormat="1" ht="96.2" customHeight="1" outlineLevel="4">
      <c r="A4903" s="53">
        <v>3865</v>
      </c>
      <c r="B4903" s="10" t="s">
        <v>16257</v>
      </c>
      <c r="C4903" s="65" t="s">
        <v>16258</v>
      </c>
      <c r="D4903" s="65"/>
      <c r="E4903" s="65"/>
      <c r="F4903" s="65"/>
      <c r="G4903" s="11" t="s">
        <v>16259</v>
      </c>
      <c r="H4903" s="21" t="s">
        <v>44</v>
      </c>
      <c r="I4903" s="15"/>
      <c r="J4903" s="9">
        <v>40</v>
      </c>
      <c r="K4903" s="16">
        <v>13.23</v>
      </c>
      <c r="L4903" s="17"/>
      <c r="M4903" s="15">
        <f t="shared" si="239"/>
        <v>0</v>
      </c>
      <c r="N4903" s="18">
        <f>0.009*L4903</f>
        <v>0</v>
      </c>
      <c r="O4903" s="19">
        <f>0.00003*L4903</f>
        <v>0</v>
      </c>
      <c r="P4903" s="24" t="s">
        <v>26</v>
      </c>
      <c r="Q4903" s="15" t="s">
        <v>16260</v>
      </c>
      <c r="R4903" s="15"/>
      <c r="S4903" s="10" t="str">
        <f>HYPERLINK("https://miland.ru/api/getInfo/image/513de529-7f4a-11f1-a29a-00155d82e908")</f>
        <v>https://miland.ru/api/getInfo/image/513de529-7f4a-11f1-a29a-00155d82e908</v>
      </c>
    </row>
    <row r="4904" spans="1:19" s="2" customFormat="1" ht="96.2" customHeight="1" outlineLevel="4">
      <c r="A4904" s="53">
        <v>3866</v>
      </c>
      <c r="B4904" s="10" t="s">
        <v>16261</v>
      </c>
      <c r="C4904" s="65" t="s">
        <v>16262</v>
      </c>
      <c r="D4904" s="65"/>
      <c r="E4904" s="65"/>
      <c r="F4904" s="65"/>
      <c r="G4904" s="11" t="s">
        <v>16263</v>
      </c>
      <c r="H4904" s="21" t="s">
        <v>44</v>
      </c>
      <c r="I4904" s="15"/>
      <c r="J4904" s="9">
        <v>40</v>
      </c>
      <c r="K4904" s="16">
        <v>13.23</v>
      </c>
      <c r="L4904" s="17"/>
      <c r="M4904" s="15">
        <f t="shared" si="239"/>
        <v>0</v>
      </c>
      <c r="N4904" s="18">
        <f>0.008*L4904</f>
        <v>0</v>
      </c>
      <c r="O4904" s="19">
        <f>0.00003*L4904</f>
        <v>0</v>
      </c>
      <c r="P4904" s="24" t="s">
        <v>26</v>
      </c>
      <c r="Q4904" s="15" t="s">
        <v>16264</v>
      </c>
      <c r="R4904" s="15"/>
      <c r="S4904" s="10" t="str">
        <f>HYPERLINK("https://miland.ru/api/getInfo/image/0d197a3d-7f4a-11f1-a29a-00155d82e908")</f>
        <v>https://miland.ru/api/getInfo/image/0d197a3d-7f4a-11f1-a29a-00155d82e908</v>
      </c>
    </row>
    <row r="4905" spans="1:19" s="2" customFormat="1" ht="96.2" customHeight="1" outlineLevel="4">
      <c r="A4905" s="53">
        <v>3867</v>
      </c>
      <c r="B4905" s="10" t="s">
        <v>16265</v>
      </c>
      <c r="C4905" s="65" t="s">
        <v>16266</v>
      </c>
      <c r="D4905" s="65"/>
      <c r="E4905" s="65"/>
      <c r="F4905" s="65"/>
      <c r="G4905" s="11" t="s">
        <v>16267</v>
      </c>
      <c r="H4905" s="21" t="s">
        <v>44</v>
      </c>
      <c r="I4905" s="15"/>
      <c r="J4905" s="9">
        <v>40</v>
      </c>
      <c r="K4905" s="16">
        <v>13.23</v>
      </c>
      <c r="L4905" s="17"/>
      <c r="M4905" s="15">
        <f t="shared" si="239"/>
        <v>0</v>
      </c>
      <c r="N4905" s="18">
        <f>0.012*L4905</f>
        <v>0</v>
      </c>
      <c r="O4905" s="19">
        <f>0.00004*L4905</f>
        <v>0</v>
      </c>
      <c r="P4905" s="24" t="s">
        <v>26</v>
      </c>
      <c r="Q4905" s="15" t="s">
        <v>16268</v>
      </c>
      <c r="R4905" s="15"/>
      <c r="S4905" s="10" t="str">
        <f>HYPERLINK("https://miland.ru/api/getInfo/image/62becc50-7f49-11f1-a29a-00155d82e908")</f>
        <v>https://miland.ru/api/getInfo/image/62becc50-7f49-11f1-a29a-00155d82e908</v>
      </c>
    </row>
    <row r="4906" spans="1:19" s="2" customFormat="1" ht="96.2" customHeight="1" outlineLevel="4">
      <c r="A4906" s="53">
        <v>3868</v>
      </c>
      <c r="B4906" s="10" t="s">
        <v>16269</v>
      </c>
      <c r="C4906" s="65" t="s">
        <v>16270</v>
      </c>
      <c r="D4906" s="65"/>
      <c r="E4906" s="65"/>
      <c r="F4906" s="65"/>
      <c r="G4906" s="11" t="s">
        <v>16271</v>
      </c>
      <c r="H4906" s="14">
        <v>340</v>
      </c>
      <c r="I4906" s="15"/>
      <c r="J4906" s="9">
        <v>40</v>
      </c>
      <c r="K4906" s="16">
        <v>13.23</v>
      </c>
      <c r="L4906" s="17"/>
      <c r="M4906" s="15">
        <f t="shared" si="239"/>
        <v>0</v>
      </c>
      <c r="N4906" s="18">
        <f>0.008*L4906</f>
        <v>0</v>
      </c>
      <c r="O4906" s="19">
        <f>0.00001*L4906</f>
        <v>0</v>
      </c>
      <c r="P4906" s="24" t="s">
        <v>26</v>
      </c>
      <c r="Q4906" s="15" t="s">
        <v>16272</v>
      </c>
      <c r="R4906" s="15"/>
      <c r="S4906" s="10" t="str">
        <f>HYPERLINK("https://miland.ru/api/getInfo/image/de8cefcf-0e32-11f1-a28f-00155d82e908")</f>
        <v>https://miland.ru/api/getInfo/image/de8cefcf-0e32-11f1-a28f-00155d82e908</v>
      </c>
    </row>
    <row r="4907" spans="1:19" s="2" customFormat="1" ht="96.2" customHeight="1" outlineLevel="4">
      <c r="A4907" s="53">
        <v>3869</v>
      </c>
      <c r="B4907" s="10" t="s">
        <v>16273</v>
      </c>
      <c r="C4907" s="65" t="s">
        <v>16274</v>
      </c>
      <c r="D4907" s="65"/>
      <c r="E4907" s="65"/>
      <c r="F4907" s="65"/>
      <c r="G4907" s="11" t="s">
        <v>16275</v>
      </c>
      <c r="H4907" s="21" t="s">
        <v>44</v>
      </c>
      <c r="I4907" s="15"/>
      <c r="J4907" s="9">
        <v>40</v>
      </c>
      <c r="K4907" s="16">
        <v>13.23</v>
      </c>
      <c r="L4907" s="17"/>
      <c r="M4907" s="15">
        <f t="shared" si="239"/>
        <v>0</v>
      </c>
      <c r="N4907" s="18">
        <f>0.009*L4907</f>
        <v>0</v>
      </c>
      <c r="O4907" s="19">
        <f>0.00003*L4907</f>
        <v>0</v>
      </c>
      <c r="P4907" s="24" t="s">
        <v>26</v>
      </c>
      <c r="Q4907" s="15" t="s">
        <v>16276</v>
      </c>
      <c r="R4907" s="15"/>
      <c r="S4907" s="10" t="str">
        <f>HYPERLINK("https://miland.ru/api/getInfo/image/7cc4b24e-7f4a-11f1-a29a-00155d82e908")</f>
        <v>https://miland.ru/api/getInfo/image/7cc4b24e-7f4a-11f1-a29a-00155d82e908</v>
      </c>
    </row>
    <row r="4908" spans="1:19" s="2" customFormat="1" ht="96.2" customHeight="1" outlineLevel="4">
      <c r="A4908" s="53">
        <v>3870</v>
      </c>
      <c r="B4908" s="10" t="s">
        <v>16277</v>
      </c>
      <c r="C4908" s="65" t="s">
        <v>16278</v>
      </c>
      <c r="D4908" s="65"/>
      <c r="E4908" s="65"/>
      <c r="F4908" s="65"/>
      <c r="G4908" s="11" t="s">
        <v>16279</v>
      </c>
      <c r="H4908" s="21" t="s">
        <v>44</v>
      </c>
      <c r="I4908" s="15"/>
      <c r="J4908" s="9">
        <v>40</v>
      </c>
      <c r="K4908" s="16">
        <v>13.23</v>
      </c>
      <c r="L4908" s="17"/>
      <c r="M4908" s="15">
        <f t="shared" si="239"/>
        <v>0</v>
      </c>
      <c r="N4908" s="18">
        <f>0.012*L4908</f>
        <v>0</v>
      </c>
      <c r="O4908" s="19">
        <f>0.00004*L4908</f>
        <v>0</v>
      </c>
      <c r="P4908" s="24" t="s">
        <v>26</v>
      </c>
      <c r="Q4908" s="15" t="s">
        <v>16280</v>
      </c>
      <c r="R4908" s="15"/>
      <c r="S4908" s="10" t="str">
        <f>HYPERLINK("https://miland.ru/api/getInfo/image/ccf081a9-7f49-11f1-a29a-00155d82e908")</f>
        <v>https://miland.ru/api/getInfo/image/ccf081a9-7f49-11f1-a29a-00155d82e908</v>
      </c>
    </row>
    <row r="4909" spans="1:19" s="2" customFormat="1" ht="96.2" customHeight="1" outlineLevel="4">
      <c r="A4909" s="53">
        <v>3871</v>
      </c>
      <c r="B4909" s="10" t="s">
        <v>16281</v>
      </c>
      <c r="C4909" s="65" t="s">
        <v>16282</v>
      </c>
      <c r="D4909" s="65"/>
      <c r="E4909" s="65"/>
      <c r="F4909" s="65"/>
      <c r="G4909" s="11" t="s">
        <v>16283</v>
      </c>
      <c r="H4909" s="21" t="s">
        <v>44</v>
      </c>
      <c r="I4909" s="15"/>
      <c r="J4909" s="9">
        <v>40</v>
      </c>
      <c r="K4909" s="16">
        <v>13.23</v>
      </c>
      <c r="L4909" s="17"/>
      <c r="M4909" s="15">
        <f t="shared" si="239"/>
        <v>0</v>
      </c>
      <c r="N4909" s="18">
        <f>0.008*L4909</f>
        <v>0</v>
      </c>
      <c r="O4909" s="19">
        <f>0.00001*L4909</f>
        <v>0</v>
      </c>
      <c r="P4909" s="24" t="s">
        <v>26</v>
      </c>
      <c r="Q4909" s="15" t="s">
        <v>16284</v>
      </c>
      <c r="R4909" s="15"/>
      <c r="S4909" s="10" t="str">
        <f>HYPERLINK("https://miland.ru/api/getInfo/image/18a1807b-0e33-11f1-a28f-00155d82e908")</f>
        <v>https://miland.ru/api/getInfo/image/18a1807b-0e33-11f1-a28f-00155d82e908</v>
      </c>
    </row>
    <row r="4910" spans="1:19" s="2" customFormat="1" ht="96.2" customHeight="1" outlineLevel="4">
      <c r="A4910" s="53">
        <v>3872</v>
      </c>
      <c r="B4910" s="10" t="s">
        <v>16285</v>
      </c>
      <c r="C4910" s="65" t="s">
        <v>16286</v>
      </c>
      <c r="D4910" s="65"/>
      <c r="E4910" s="65"/>
      <c r="F4910" s="65"/>
      <c r="G4910" s="11" t="s">
        <v>16287</v>
      </c>
      <c r="H4910" s="21" t="s">
        <v>44</v>
      </c>
      <c r="I4910" s="15"/>
      <c r="J4910" s="9">
        <v>40</v>
      </c>
      <c r="K4910" s="16">
        <v>13.23</v>
      </c>
      <c r="L4910" s="17"/>
      <c r="M4910" s="15">
        <f t="shared" si="239"/>
        <v>0</v>
      </c>
      <c r="N4910" s="18">
        <f>0.008*L4910</f>
        <v>0</v>
      </c>
      <c r="O4910" s="19">
        <f>0.00003*L4910</f>
        <v>0</v>
      </c>
      <c r="P4910" s="24" t="s">
        <v>26</v>
      </c>
      <c r="Q4910" s="15" t="s">
        <v>16288</v>
      </c>
      <c r="R4910" s="15"/>
      <c r="S4910" s="10" t="str">
        <f>HYPERLINK("https://miland.ru/api/getInfo/image/bc3bdfc5-7f49-11f1-a29a-00155d82e908")</f>
        <v>https://miland.ru/api/getInfo/image/bc3bdfc5-7f49-11f1-a29a-00155d82e908</v>
      </c>
    </row>
    <row r="4911" spans="1:19" s="2" customFormat="1" ht="96.2" customHeight="1" outlineLevel="4">
      <c r="A4911" s="52">
        <v>3873</v>
      </c>
      <c r="B4911" s="26" t="s">
        <v>16289</v>
      </c>
      <c r="C4911" s="66" t="s">
        <v>16290</v>
      </c>
      <c r="D4911" s="66"/>
      <c r="E4911" s="66"/>
      <c r="F4911" s="66"/>
      <c r="G4911" s="27" t="s">
        <v>16291</v>
      </c>
      <c r="H4911" s="33">
        <v>20</v>
      </c>
      <c r="I4911" s="29"/>
      <c r="J4911" s="25">
        <v>20</v>
      </c>
      <c r="K4911" s="30">
        <v>13.23</v>
      </c>
      <c r="L4911" s="17"/>
      <c r="M4911" s="29">
        <f t="shared" si="239"/>
        <v>0</v>
      </c>
      <c r="N4911" s="31">
        <f>0.014*L4911</f>
        <v>0</v>
      </c>
      <c r="O4911" s="32">
        <f>0.00002*L4911</f>
        <v>0</v>
      </c>
      <c r="P4911" s="36"/>
      <c r="Q4911" s="29" t="s">
        <v>16292</v>
      </c>
      <c r="R4911" s="29" t="s">
        <v>611</v>
      </c>
      <c r="S4911" s="26" t="str">
        <f>HYPERLINK("https://miland.ru/api/getInfo/image/742bed2d-ba8d-11ee-a25a-00155d82e908")</f>
        <v>https://miland.ru/api/getInfo/image/742bed2d-ba8d-11ee-a25a-00155d82e908</v>
      </c>
    </row>
    <row r="4912" spans="1:19" s="2" customFormat="1" ht="96.2" customHeight="1" outlineLevel="4">
      <c r="A4912" s="53">
        <v>3874</v>
      </c>
      <c r="B4912" s="10" t="s">
        <v>16293</v>
      </c>
      <c r="C4912" s="65" t="s">
        <v>16294</v>
      </c>
      <c r="D4912" s="65"/>
      <c r="E4912" s="65"/>
      <c r="F4912" s="65"/>
      <c r="G4912" s="11" t="s">
        <v>16295</v>
      </c>
      <c r="H4912" s="21" t="s">
        <v>44</v>
      </c>
      <c r="I4912" s="15"/>
      <c r="J4912" s="9">
        <v>40</v>
      </c>
      <c r="K4912" s="16">
        <v>13.23</v>
      </c>
      <c r="L4912" s="17"/>
      <c r="M4912" s="15">
        <f t="shared" si="239"/>
        <v>0</v>
      </c>
      <c r="N4912" s="18">
        <f>0.012*L4912</f>
        <v>0</v>
      </c>
      <c r="O4912" s="19">
        <f>0.00004*L4912</f>
        <v>0</v>
      </c>
      <c r="P4912" s="24" t="s">
        <v>26</v>
      </c>
      <c r="Q4912" s="15" t="s">
        <v>16296</v>
      </c>
      <c r="R4912" s="15"/>
      <c r="S4912" s="10" t="str">
        <f>HYPERLINK("https://miland.ru/api/getInfo/image/265beb7f-7f49-11f1-a29a-00155d82e908")</f>
        <v>https://miland.ru/api/getInfo/image/265beb7f-7f49-11f1-a29a-00155d82e908</v>
      </c>
    </row>
    <row r="4913" spans="1:19" s="2" customFormat="1" ht="96.2" customHeight="1" outlineLevel="4">
      <c r="A4913" s="52">
        <v>3875</v>
      </c>
      <c r="B4913" s="26" t="s">
        <v>16297</v>
      </c>
      <c r="C4913" s="66" t="s">
        <v>16298</v>
      </c>
      <c r="D4913" s="66"/>
      <c r="E4913" s="66"/>
      <c r="F4913" s="66"/>
      <c r="G4913" s="27" t="s">
        <v>16299</v>
      </c>
      <c r="H4913" s="28" t="s">
        <v>44</v>
      </c>
      <c r="I4913" s="29"/>
      <c r="J4913" s="25">
        <v>40</v>
      </c>
      <c r="K4913" s="30">
        <v>13.23</v>
      </c>
      <c r="L4913" s="17"/>
      <c r="M4913" s="29">
        <f t="shared" si="239"/>
        <v>0</v>
      </c>
      <c r="N4913" s="31">
        <f>0.008*L4913</f>
        <v>0</v>
      </c>
      <c r="O4913" s="32">
        <f>0.00003*L4913</f>
        <v>0</v>
      </c>
      <c r="P4913" s="36"/>
      <c r="Q4913" s="29" t="s">
        <v>16300</v>
      </c>
      <c r="R4913" s="29"/>
      <c r="S4913" s="26" t="str">
        <f>HYPERLINK("https://miland.ru/api/getInfo/image/886b369e-ba8d-11ee-a25a-00155d82e908")</f>
        <v>https://miland.ru/api/getInfo/image/886b369e-ba8d-11ee-a25a-00155d82e908</v>
      </c>
    </row>
    <row r="4914" spans="1:19" s="2" customFormat="1" ht="96.2" customHeight="1" outlineLevel="4">
      <c r="A4914" s="53">
        <v>3876</v>
      </c>
      <c r="B4914" s="10" t="s">
        <v>16301</v>
      </c>
      <c r="C4914" s="65" t="s">
        <v>16302</v>
      </c>
      <c r="D4914" s="65"/>
      <c r="E4914" s="65"/>
      <c r="F4914" s="65"/>
      <c r="G4914" s="11" t="s">
        <v>16303</v>
      </c>
      <c r="H4914" s="21" t="s">
        <v>44</v>
      </c>
      <c r="I4914" s="15"/>
      <c r="J4914" s="9">
        <v>40</v>
      </c>
      <c r="K4914" s="16">
        <v>13.23</v>
      </c>
      <c r="L4914" s="17"/>
      <c r="M4914" s="15">
        <f t="shared" si="239"/>
        <v>0</v>
      </c>
      <c r="N4914" s="18">
        <f>0.008*L4914</f>
        <v>0</v>
      </c>
      <c r="O4914" s="19">
        <f>0.00003*L4914</f>
        <v>0</v>
      </c>
      <c r="P4914" s="24" t="s">
        <v>26</v>
      </c>
      <c r="Q4914" s="15" t="s">
        <v>16304</v>
      </c>
      <c r="R4914" s="15"/>
      <c r="S4914" s="10" t="str">
        <f>HYPERLINK("https://miland.ru/api/getInfo/image/6705f303-7f4a-11f1-a29a-00155d82e908")</f>
        <v>https://miland.ru/api/getInfo/image/6705f303-7f4a-11f1-a29a-00155d82e908</v>
      </c>
    </row>
    <row r="4915" spans="1:19" s="2" customFormat="1" ht="96.2" customHeight="1" outlineLevel="4">
      <c r="A4915" s="53">
        <v>3877</v>
      </c>
      <c r="B4915" s="10" t="s">
        <v>16305</v>
      </c>
      <c r="C4915" s="65" t="s">
        <v>16306</v>
      </c>
      <c r="D4915" s="65"/>
      <c r="E4915" s="65"/>
      <c r="F4915" s="65"/>
      <c r="G4915" s="11" t="s">
        <v>16307</v>
      </c>
      <c r="H4915" s="21" t="s">
        <v>44</v>
      </c>
      <c r="I4915" s="15"/>
      <c r="J4915" s="9">
        <v>40</v>
      </c>
      <c r="K4915" s="16">
        <v>13.23</v>
      </c>
      <c r="L4915" s="17"/>
      <c r="M4915" s="15">
        <f t="shared" si="239"/>
        <v>0</v>
      </c>
      <c r="N4915" s="18">
        <f>0.009*L4915</f>
        <v>0</v>
      </c>
      <c r="O4915" s="19">
        <f>0.00003*L4915</f>
        <v>0</v>
      </c>
      <c r="P4915" s="24" t="s">
        <v>26</v>
      </c>
      <c r="Q4915" s="15" t="s">
        <v>16308</v>
      </c>
      <c r="R4915" s="15"/>
      <c r="S4915" s="10" t="str">
        <f>HYPERLINK("https://miland.ru/api/getInfo/image/3ad4dbb1-7f4a-11f1-a29a-00155d82e908")</f>
        <v>https://miland.ru/api/getInfo/image/3ad4dbb1-7f4a-11f1-a29a-00155d82e908</v>
      </c>
    </row>
    <row r="4916" spans="1:19" s="2" customFormat="1" ht="96.2" customHeight="1" outlineLevel="4">
      <c r="A4916" s="53">
        <v>3878</v>
      </c>
      <c r="B4916" s="10" t="s">
        <v>16309</v>
      </c>
      <c r="C4916" s="65" t="s">
        <v>16310</v>
      </c>
      <c r="D4916" s="65"/>
      <c r="E4916" s="65"/>
      <c r="F4916" s="65"/>
      <c r="G4916" s="11" t="s">
        <v>16311</v>
      </c>
      <c r="H4916" s="21" t="s">
        <v>44</v>
      </c>
      <c r="I4916" s="15"/>
      <c r="J4916" s="9">
        <v>40</v>
      </c>
      <c r="K4916" s="16">
        <v>13.23</v>
      </c>
      <c r="L4916" s="17"/>
      <c r="M4916" s="15">
        <f t="shared" si="239"/>
        <v>0</v>
      </c>
      <c r="N4916" s="18">
        <f>0.008*L4916</f>
        <v>0</v>
      </c>
      <c r="O4916" s="19">
        <f>0.00001*L4916</f>
        <v>0</v>
      </c>
      <c r="P4916" s="24" t="s">
        <v>26</v>
      </c>
      <c r="Q4916" s="15" t="s">
        <v>16312</v>
      </c>
      <c r="R4916" s="15"/>
      <c r="S4916" s="10" t="str">
        <f>HYPERLINK("https://miland.ru/api/getInfo/image/910c452e-0e32-11f1-a28f-00155d82e908")</f>
        <v>https://miland.ru/api/getInfo/image/910c452e-0e32-11f1-a28f-00155d82e908</v>
      </c>
    </row>
    <row r="4917" spans="1:19" s="2" customFormat="1" ht="96.2" customHeight="1" outlineLevel="4">
      <c r="A4917" s="53">
        <v>3879</v>
      </c>
      <c r="B4917" s="10" t="s">
        <v>16313</v>
      </c>
      <c r="C4917" s="65" t="s">
        <v>16314</v>
      </c>
      <c r="D4917" s="65"/>
      <c r="E4917" s="65"/>
      <c r="F4917" s="65"/>
      <c r="G4917" s="11" t="s">
        <v>16315</v>
      </c>
      <c r="H4917" s="21" t="s">
        <v>44</v>
      </c>
      <c r="I4917" s="15"/>
      <c r="J4917" s="9">
        <v>40</v>
      </c>
      <c r="K4917" s="16">
        <v>13.23</v>
      </c>
      <c r="L4917" s="17"/>
      <c r="M4917" s="15">
        <f t="shared" si="239"/>
        <v>0</v>
      </c>
      <c r="N4917" s="18">
        <f>0.009*L4917</f>
        <v>0</v>
      </c>
      <c r="O4917" s="19">
        <f>0.00001*L4917</f>
        <v>0</v>
      </c>
      <c r="P4917" s="24" t="s">
        <v>26</v>
      </c>
      <c r="Q4917" s="15" t="s">
        <v>16316</v>
      </c>
      <c r="R4917" s="15"/>
      <c r="S4917" s="10" t="str">
        <f>HYPERLINK("https://miland.ru/api/getInfo/image/0cef8c9a-0e31-11f1-a28f-00155d82e908")</f>
        <v>https://miland.ru/api/getInfo/image/0cef8c9a-0e31-11f1-a28f-00155d82e908</v>
      </c>
    </row>
    <row r="4918" spans="1:19" s="2" customFormat="1" ht="96.2" customHeight="1" outlineLevel="4">
      <c r="A4918" s="53">
        <v>3880</v>
      </c>
      <c r="B4918" s="10" t="s">
        <v>16317</v>
      </c>
      <c r="C4918" s="65" t="s">
        <v>16318</v>
      </c>
      <c r="D4918" s="65"/>
      <c r="E4918" s="65"/>
      <c r="F4918" s="65"/>
      <c r="G4918" s="11" t="s">
        <v>16319</v>
      </c>
      <c r="H4918" s="21" t="s">
        <v>44</v>
      </c>
      <c r="I4918" s="15"/>
      <c r="J4918" s="9">
        <v>40</v>
      </c>
      <c r="K4918" s="16">
        <v>13.23</v>
      </c>
      <c r="L4918" s="17"/>
      <c r="M4918" s="15">
        <f t="shared" si="239"/>
        <v>0</v>
      </c>
      <c r="N4918" s="18">
        <f>0.008*L4918</f>
        <v>0</v>
      </c>
      <c r="O4918" s="19">
        <f>0.00003*L4918</f>
        <v>0</v>
      </c>
      <c r="P4918" s="24" t="s">
        <v>26</v>
      </c>
      <c r="Q4918" s="15" t="s">
        <v>16320</v>
      </c>
      <c r="R4918" s="15"/>
      <c r="S4918" s="10" t="str">
        <f>HYPERLINK("https://miland.ru/api/getInfo/image/8c5c50cb-7f49-11f1-a29a-00155d82e908")</f>
        <v>https://miland.ru/api/getInfo/image/8c5c50cb-7f49-11f1-a29a-00155d82e908</v>
      </c>
    </row>
    <row r="4919" spans="1:19" s="2" customFormat="1" ht="96.2" customHeight="1" outlineLevel="4">
      <c r="A4919" s="52">
        <v>3881</v>
      </c>
      <c r="B4919" s="26" t="s">
        <v>16321</v>
      </c>
      <c r="C4919" s="66" t="s">
        <v>16322</v>
      </c>
      <c r="D4919" s="66"/>
      <c r="E4919" s="66"/>
      <c r="F4919" s="66"/>
      <c r="G4919" s="27" t="s">
        <v>16323</v>
      </c>
      <c r="H4919" s="28" t="s">
        <v>44</v>
      </c>
      <c r="I4919" s="29"/>
      <c r="J4919" s="25">
        <v>40</v>
      </c>
      <c r="K4919" s="30">
        <v>13.23</v>
      </c>
      <c r="L4919" s="17"/>
      <c r="M4919" s="29">
        <f t="shared" si="239"/>
        <v>0</v>
      </c>
      <c r="N4919" s="31">
        <f>0.007*L4919</f>
        <v>0</v>
      </c>
      <c r="O4919" s="32">
        <f>0.00003*L4919</f>
        <v>0</v>
      </c>
      <c r="P4919" s="36"/>
      <c r="Q4919" s="29" t="s">
        <v>16324</v>
      </c>
      <c r="R4919" s="29"/>
      <c r="S4919" s="26" t="str">
        <f>HYPERLINK("https://miland.ru/api/getInfo/image/55810f0b-ab28-11ef-a267-00155d82e908")</f>
        <v>https://miland.ru/api/getInfo/image/55810f0b-ab28-11ef-a267-00155d82e908</v>
      </c>
    </row>
    <row r="4920" spans="1:19" s="2" customFormat="1" ht="96.2" customHeight="1" outlineLevel="4">
      <c r="A4920" s="52">
        <v>3882</v>
      </c>
      <c r="B4920" s="26" t="s">
        <v>16325</v>
      </c>
      <c r="C4920" s="66" t="s">
        <v>16326</v>
      </c>
      <c r="D4920" s="66"/>
      <c r="E4920" s="66"/>
      <c r="F4920" s="66"/>
      <c r="G4920" s="27" t="s">
        <v>16327</v>
      </c>
      <c r="H4920" s="28" t="s">
        <v>44</v>
      </c>
      <c r="I4920" s="29"/>
      <c r="J4920" s="25">
        <v>40</v>
      </c>
      <c r="K4920" s="30">
        <v>13.23</v>
      </c>
      <c r="L4920" s="17"/>
      <c r="M4920" s="29">
        <f t="shared" si="239"/>
        <v>0</v>
      </c>
      <c r="N4920" s="31">
        <f>0.008*L4920</f>
        <v>0</v>
      </c>
      <c r="O4920" s="32">
        <f>0.00003*L4920</f>
        <v>0</v>
      </c>
      <c r="P4920" s="36"/>
      <c r="Q4920" s="29" t="s">
        <v>16328</v>
      </c>
      <c r="R4920" s="29"/>
      <c r="S4920" s="26" t="str">
        <f>HYPERLINK("https://miland.ru/api/getInfo/image/120f61f2-1db7-11ef-a25e-00155d82e908")</f>
        <v>https://miland.ru/api/getInfo/image/120f61f2-1db7-11ef-a25e-00155d82e908</v>
      </c>
    </row>
    <row r="4921" spans="1:19" s="2" customFormat="1" ht="96.2" customHeight="1" outlineLevel="4">
      <c r="A4921" s="53">
        <v>3883</v>
      </c>
      <c r="B4921" s="10" t="s">
        <v>16329</v>
      </c>
      <c r="C4921" s="65" t="s">
        <v>16330</v>
      </c>
      <c r="D4921" s="65"/>
      <c r="E4921" s="65"/>
      <c r="F4921" s="65"/>
      <c r="G4921" s="11" t="s">
        <v>16331</v>
      </c>
      <c r="H4921" s="21" t="s">
        <v>44</v>
      </c>
      <c r="I4921" s="15"/>
      <c r="J4921" s="9">
        <v>40</v>
      </c>
      <c r="K4921" s="16">
        <v>13.23</v>
      </c>
      <c r="L4921" s="17"/>
      <c r="M4921" s="15">
        <f t="shared" si="239"/>
        <v>0</v>
      </c>
      <c r="N4921" s="18">
        <f>0.012*L4921</f>
        <v>0</v>
      </c>
      <c r="O4921" s="19">
        <f>0.00004*L4921</f>
        <v>0</v>
      </c>
      <c r="P4921" s="24" t="s">
        <v>26</v>
      </c>
      <c r="Q4921" s="15" t="s">
        <v>16332</v>
      </c>
      <c r="R4921" s="15"/>
      <c r="S4921" s="10" t="str">
        <f>HYPERLINK("https://miland.ru/api/getInfo/image/273776cf-7f4a-11f1-a29a-00155d82e908")</f>
        <v>https://miland.ru/api/getInfo/image/273776cf-7f4a-11f1-a29a-00155d82e908</v>
      </c>
    </row>
    <row r="4922" spans="1:19" s="2" customFormat="1" ht="96.2" customHeight="1" outlineLevel="4">
      <c r="A4922" s="53">
        <v>3884</v>
      </c>
      <c r="B4922" s="10" t="s">
        <v>16333</v>
      </c>
      <c r="C4922" s="65" t="s">
        <v>16334</v>
      </c>
      <c r="D4922" s="65"/>
      <c r="E4922" s="65"/>
      <c r="F4922" s="65"/>
      <c r="G4922" s="11" t="s">
        <v>16335</v>
      </c>
      <c r="H4922" s="21" t="s">
        <v>44</v>
      </c>
      <c r="I4922" s="15"/>
      <c r="J4922" s="9">
        <v>40</v>
      </c>
      <c r="K4922" s="16">
        <v>13.23</v>
      </c>
      <c r="L4922" s="17"/>
      <c r="M4922" s="15">
        <f t="shared" si="239"/>
        <v>0</v>
      </c>
      <c r="N4922" s="18">
        <f>0.008*L4922</f>
        <v>0</v>
      </c>
      <c r="O4922" s="19">
        <f>0.00003*L4922</f>
        <v>0</v>
      </c>
      <c r="P4922" s="24" t="s">
        <v>26</v>
      </c>
      <c r="Q4922" s="15" t="s">
        <v>16336</v>
      </c>
      <c r="R4922" s="15"/>
      <c r="S4922" s="10" t="str">
        <f>HYPERLINK("https://miland.ru/api/getInfo/image/790b5624-7f49-11f1-a29a-00155d82e908")</f>
        <v>https://miland.ru/api/getInfo/image/790b5624-7f49-11f1-a29a-00155d82e908</v>
      </c>
    </row>
    <row r="4923" spans="1:19" s="2" customFormat="1" ht="96.2" customHeight="1" outlineLevel="4">
      <c r="A4923" s="52">
        <v>3885</v>
      </c>
      <c r="B4923" s="26" t="s">
        <v>16337</v>
      </c>
      <c r="C4923" s="66" t="s">
        <v>16338</v>
      </c>
      <c r="D4923" s="66"/>
      <c r="E4923" s="66"/>
      <c r="F4923" s="66"/>
      <c r="G4923" s="27" t="s">
        <v>16339</v>
      </c>
      <c r="H4923" s="28" t="s">
        <v>44</v>
      </c>
      <c r="I4923" s="29"/>
      <c r="J4923" s="25">
        <v>40</v>
      </c>
      <c r="K4923" s="30">
        <v>13.23</v>
      </c>
      <c r="L4923" s="17"/>
      <c r="M4923" s="29">
        <f t="shared" si="239"/>
        <v>0</v>
      </c>
      <c r="N4923" s="31">
        <f>0.008*L4923</f>
        <v>0</v>
      </c>
      <c r="O4923" s="32">
        <f>0.00003*L4923</f>
        <v>0</v>
      </c>
      <c r="P4923" s="36"/>
      <c r="Q4923" s="29" t="s">
        <v>16340</v>
      </c>
      <c r="R4923" s="29"/>
      <c r="S4923" s="26" t="str">
        <f>HYPERLINK("https://miland.ru/api/getInfo/image/30b67667-6450-11ee-a245-00155d82e902")</f>
        <v>https://miland.ru/api/getInfo/image/30b67667-6450-11ee-a245-00155d82e902</v>
      </c>
    </row>
    <row r="4924" spans="1:19" s="2" customFormat="1" ht="96.2" customHeight="1" outlineLevel="4">
      <c r="A4924" s="53">
        <v>3886</v>
      </c>
      <c r="B4924" s="10" t="s">
        <v>16341</v>
      </c>
      <c r="C4924" s="65" t="s">
        <v>16342</v>
      </c>
      <c r="D4924" s="65"/>
      <c r="E4924" s="65"/>
      <c r="F4924" s="65"/>
      <c r="G4924" s="11" t="s">
        <v>16343</v>
      </c>
      <c r="H4924" s="21" t="s">
        <v>44</v>
      </c>
      <c r="I4924" s="15"/>
      <c r="J4924" s="9">
        <v>40</v>
      </c>
      <c r="K4924" s="16">
        <v>13.23</v>
      </c>
      <c r="L4924" s="17"/>
      <c r="M4924" s="15">
        <f t="shared" si="239"/>
        <v>0</v>
      </c>
      <c r="N4924" s="18">
        <f>0.012*L4924</f>
        <v>0</v>
      </c>
      <c r="O4924" s="19">
        <f>0.00004*L4924</f>
        <v>0</v>
      </c>
      <c r="P4924" s="24" t="s">
        <v>26</v>
      </c>
      <c r="Q4924" s="15" t="s">
        <v>16344</v>
      </c>
      <c r="R4924" s="15"/>
      <c r="S4924" s="10" t="str">
        <f>HYPERLINK("https://miland.ru/api/getInfo/image/e3f3f67c-7f49-11f1-a29a-00155d82e908")</f>
        <v>https://miland.ru/api/getInfo/image/e3f3f67c-7f49-11f1-a29a-00155d82e908</v>
      </c>
    </row>
    <row r="4925" spans="1:19" s="2" customFormat="1" ht="96.2" customHeight="1" outlineLevel="4">
      <c r="A4925" s="52">
        <v>3887</v>
      </c>
      <c r="B4925" s="26" t="s">
        <v>16345</v>
      </c>
      <c r="C4925" s="66" t="s">
        <v>16346</v>
      </c>
      <c r="D4925" s="66"/>
      <c r="E4925" s="66"/>
      <c r="F4925" s="66"/>
      <c r="G4925" s="27" t="s">
        <v>16347</v>
      </c>
      <c r="H4925" s="33">
        <v>10</v>
      </c>
      <c r="I4925" s="29"/>
      <c r="J4925" s="25">
        <v>10</v>
      </c>
      <c r="K4925" s="30">
        <v>13.23</v>
      </c>
      <c r="L4925" s="17"/>
      <c r="M4925" s="29">
        <f t="shared" si="239"/>
        <v>0</v>
      </c>
      <c r="N4925" s="31">
        <f>0.007*L4925</f>
        <v>0</v>
      </c>
      <c r="O4925" s="32">
        <f>0.00003*L4925</f>
        <v>0</v>
      </c>
      <c r="P4925" s="36"/>
      <c r="Q4925" s="29" t="s">
        <v>16348</v>
      </c>
      <c r="R4925" s="29"/>
      <c r="S4925" s="26" t="str">
        <f>HYPERLINK("https://miland.ru/api/getInfo/image/6e5300c7-acc5-11ef-a267-00155d82e908")</f>
        <v>https://miland.ru/api/getInfo/image/6e5300c7-acc5-11ef-a267-00155d82e908</v>
      </c>
    </row>
    <row r="4926" spans="1:19" s="2" customFormat="1" ht="96.2" customHeight="1" outlineLevel="4">
      <c r="A4926" s="53">
        <v>3888</v>
      </c>
      <c r="B4926" s="10" t="s">
        <v>16349</v>
      </c>
      <c r="C4926" s="65" t="s">
        <v>16350</v>
      </c>
      <c r="D4926" s="65"/>
      <c r="E4926" s="65"/>
      <c r="F4926" s="65"/>
      <c r="G4926" s="11" t="s">
        <v>16351</v>
      </c>
      <c r="H4926" s="21" t="s">
        <v>44</v>
      </c>
      <c r="I4926" s="15"/>
      <c r="J4926" s="9">
        <v>40</v>
      </c>
      <c r="K4926" s="16">
        <v>13.23</v>
      </c>
      <c r="L4926" s="17"/>
      <c r="M4926" s="15">
        <f t="shared" si="239"/>
        <v>0</v>
      </c>
      <c r="N4926" s="18">
        <f>0.005*L4926</f>
        <v>0</v>
      </c>
      <c r="O4926" s="19">
        <f t="shared" ref="O4926:O4931" si="240">0.00001*L4926</f>
        <v>0</v>
      </c>
      <c r="P4926" s="24" t="s">
        <v>26</v>
      </c>
      <c r="Q4926" s="15" t="s">
        <v>16352</v>
      </c>
      <c r="R4926" s="15"/>
      <c r="S4926" s="10" t="str">
        <f>HYPERLINK("https://miland.ru/api/getInfo/image/f9209f15-f04c-11f0-a28d-00155d82e908")</f>
        <v>https://miland.ru/api/getInfo/image/f9209f15-f04c-11f0-a28d-00155d82e908</v>
      </c>
    </row>
    <row r="4927" spans="1:19" s="2" customFormat="1" ht="96.2" customHeight="1" outlineLevel="4">
      <c r="A4927" s="53">
        <v>3889</v>
      </c>
      <c r="B4927" s="10" t="s">
        <v>16353</v>
      </c>
      <c r="C4927" s="65" t="s">
        <v>16354</v>
      </c>
      <c r="D4927" s="65"/>
      <c r="E4927" s="65"/>
      <c r="F4927" s="65"/>
      <c r="G4927" s="11" t="s">
        <v>16355</v>
      </c>
      <c r="H4927" s="21" t="s">
        <v>44</v>
      </c>
      <c r="I4927" s="15"/>
      <c r="J4927" s="9">
        <v>40</v>
      </c>
      <c r="K4927" s="16">
        <v>13.23</v>
      </c>
      <c r="L4927" s="17"/>
      <c r="M4927" s="15">
        <f t="shared" si="239"/>
        <v>0</v>
      </c>
      <c r="N4927" s="18">
        <f>0.005*L4927</f>
        <v>0</v>
      </c>
      <c r="O4927" s="19">
        <f t="shared" si="240"/>
        <v>0</v>
      </c>
      <c r="P4927" s="24" t="s">
        <v>26</v>
      </c>
      <c r="Q4927" s="15" t="s">
        <v>16356</v>
      </c>
      <c r="R4927" s="15"/>
      <c r="S4927" s="10" t="str">
        <f>HYPERLINK("https://miland.ru/api/getInfo/image/72e585ff-f04c-11f0-a28d-00155d82e908")</f>
        <v>https://miland.ru/api/getInfo/image/72e585ff-f04c-11f0-a28d-00155d82e908</v>
      </c>
    </row>
    <row r="4928" spans="1:19" s="2" customFormat="1" ht="96.2" customHeight="1" outlineLevel="4">
      <c r="A4928" s="53">
        <v>3890</v>
      </c>
      <c r="B4928" s="10" t="s">
        <v>16357</v>
      </c>
      <c r="C4928" s="65" t="s">
        <v>16358</v>
      </c>
      <c r="D4928" s="65"/>
      <c r="E4928" s="65"/>
      <c r="F4928" s="65"/>
      <c r="G4928" s="11" t="s">
        <v>16359</v>
      </c>
      <c r="H4928" s="21" t="s">
        <v>44</v>
      </c>
      <c r="I4928" s="15"/>
      <c r="J4928" s="9">
        <v>40</v>
      </c>
      <c r="K4928" s="16">
        <v>13.23</v>
      </c>
      <c r="L4928" s="17"/>
      <c r="M4928" s="15">
        <f t="shared" si="239"/>
        <v>0</v>
      </c>
      <c r="N4928" s="18">
        <f>0.005*L4928</f>
        <v>0</v>
      </c>
      <c r="O4928" s="19">
        <f t="shared" si="240"/>
        <v>0</v>
      </c>
      <c r="P4928" s="24" t="s">
        <v>26</v>
      </c>
      <c r="Q4928" s="15" t="s">
        <v>16360</v>
      </c>
      <c r="R4928" s="15"/>
      <c r="S4928" s="10" t="str">
        <f>HYPERLINK("https://miland.ru/api/getInfo/image/c522124f-f04c-11f0-a28d-00155d82e908")</f>
        <v>https://miland.ru/api/getInfo/image/c522124f-f04c-11f0-a28d-00155d82e908</v>
      </c>
    </row>
    <row r="4929" spans="1:19" s="2" customFormat="1" ht="96.2" customHeight="1" outlineLevel="4">
      <c r="A4929" s="53">
        <v>3891</v>
      </c>
      <c r="B4929" s="10" t="s">
        <v>16361</v>
      </c>
      <c r="C4929" s="65" t="s">
        <v>16362</v>
      </c>
      <c r="D4929" s="65"/>
      <c r="E4929" s="65"/>
      <c r="F4929" s="65"/>
      <c r="G4929" s="11" t="s">
        <v>16363</v>
      </c>
      <c r="H4929" s="21" t="s">
        <v>44</v>
      </c>
      <c r="I4929" s="15"/>
      <c r="J4929" s="9">
        <v>40</v>
      </c>
      <c r="K4929" s="16">
        <v>13.23</v>
      </c>
      <c r="L4929" s="17"/>
      <c r="M4929" s="15">
        <f t="shared" si="239"/>
        <v>0</v>
      </c>
      <c r="N4929" s="18">
        <f>0.005*L4929</f>
        <v>0</v>
      </c>
      <c r="O4929" s="19">
        <f t="shared" si="240"/>
        <v>0</v>
      </c>
      <c r="P4929" s="24" t="s">
        <v>26</v>
      </c>
      <c r="Q4929" s="15" t="s">
        <v>16364</v>
      </c>
      <c r="R4929" s="15"/>
      <c r="S4929" s="10" t="str">
        <f>HYPERLINK("https://miland.ru/api/getInfo/image/641d0aae-f04d-11f0-a28d-00155d82e908")</f>
        <v>https://miland.ru/api/getInfo/image/641d0aae-f04d-11f0-a28d-00155d82e908</v>
      </c>
    </row>
    <row r="4930" spans="1:19" s="2" customFormat="1" ht="96.2" customHeight="1" outlineLevel="4">
      <c r="A4930" s="53">
        <v>3892</v>
      </c>
      <c r="B4930" s="10" t="s">
        <v>16365</v>
      </c>
      <c r="C4930" s="65" t="s">
        <v>16366</v>
      </c>
      <c r="D4930" s="65"/>
      <c r="E4930" s="65"/>
      <c r="F4930" s="65"/>
      <c r="G4930" s="11" t="s">
        <v>16367</v>
      </c>
      <c r="H4930" s="21" t="s">
        <v>44</v>
      </c>
      <c r="I4930" s="15"/>
      <c r="J4930" s="9">
        <v>40</v>
      </c>
      <c r="K4930" s="16">
        <v>13.23</v>
      </c>
      <c r="L4930" s="17"/>
      <c r="M4930" s="15">
        <f t="shared" si="239"/>
        <v>0</v>
      </c>
      <c r="N4930" s="18">
        <f>0.006*L4930</f>
        <v>0</v>
      </c>
      <c r="O4930" s="19">
        <f t="shared" si="240"/>
        <v>0</v>
      </c>
      <c r="P4930" s="24" t="s">
        <v>26</v>
      </c>
      <c r="Q4930" s="15" t="s">
        <v>16368</v>
      </c>
      <c r="R4930" s="15"/>
      <c r="S4930" s="10" t="str">
        <f>HYPERLINK("https://miland.ru/api/getInfo/image/1db5c27a-f04d-11f0-a28d-00155d82e908")</f>
        <v>https://miland.ru/api/getInfo/image/1db5c27a-f04d-11f0-a28d-00155d82e908</v>
      </c>
    </row>
    <row r="4931" spans="1:19" s="2" customFormat="1" ht="96.2" customHeight="1" outlineLevel="4">
      <c r="A4931" s="53">
        <v>3893</v>
      </c>
      <c r="B4931" s="10" t="s">
        <v>16369</v>
      </c>
      <c r="C4931" s="65" t="s">
        <v>16370</v>
      </c>
      <c r="D4931" s="65"/>
      <c r="E4931" s="65"/>
      <c r="F4931" s="65"/>
      <c r="G4931" s="11" t="s">
        <v>16371</v>
      </c>
      <c r="H4931" s="21" t="s">
        <v>44</v>
      </c>
      <c r="I4931" s="15"/>
      <c r="J4931" s="9">
        <v>40</v>
      </c>
      <c r="K4931" s="16">
        <v>13.23</v>
      </c>
      <c r="L4931" s="17"/>
      <c r="M4931" s="15">
        <f t="shared" si="239"/>
        <v>0</v>
      </c>
      <c r="N4931" s="18">
        <f>0.005*L4931</f>
        <v>0</v>
      </c>
      <c r="O4931" s="19">
        <f t="shared" si="240"/>
        <v>0</v>
      </c>
      <c r="P4931" s="24" t="s">
        <v>26</v>
      </c>
      <c r="Q4931" s="15" t="s">
        <v>16372</v>
      </c>
      <c r="R4931" s="15"/>
      <c r="S4931" s="10" t="str">
        <f>HYPERLINK("https://miland.ru/api/getInfo/image/3d706c4e-f04d-11f0-a28d-00155d82e908")</f>
        <v>https://miland.ru/api/getInfo/image/3d706c4e-f04d-11f0-a28d-00155d82e908</v>
      </c>
    </row>
    <row r="4932" spans="1:19" s="2" customFormat="1" ht="96.2" customHeight="1" outlineLevel="4">
      <c r="A4932" s="53">
        <v>3894</v>
      </c>
      <c r="B4932" s="10" t="s">
        <v>16373</v>
      </c>
      <c r="C4932" s="65" t="s">
        <v>16374</v>
      </c>
      <c r="D4932" s="65"/>
      <c r="E4932" s="65"/>
      <c r="F4932" s="65"/>
      <c r="G4932" s="11" t="s">
        <v>16375</v>
      </c>
      <c r="H4932" s="21" t="s">
        <v>44</v>
      </c>
      <c r="I4932" s="15"/>
      <c r="J4932" s="9">
        <v>40</v>
      </c>
      <c r="K4932" s="16">
        <v>13.23</v>
      </c>
      <c r="L4932" s="17"/>
      <c r="M4932" s="15">
        <f t="shared" si="239"/>
        <v>0</v>
      </c>
      <c r="N4932" s="18">
        <f>0.006*L4932</f>
        <v>0</v>
      </c>
      <c r="O4932" s="19">
        <f>0.00002*L4932</f>
        <v>0</v>
      </c>
      <c r="P4932" s="24" t="s">
        <v>26</v>
      </c>
      <c r="Q4932" s="15" t="s">
        <v>16376</v>
      </c>
      <c r="R4932" s="15"/>
      <c r="S4932" s="10" t="str">
        <f>HYPERLINK("https://miland.ru/api/getInfo/image/df7bfb51-f04c-11f0-a28d-00155d82e908")</f>
        <v>https://miland.ru/api/getInfo/image/df7bfb51-f04c-11f0-a28d-00155d82e908</v>
      </c>
    </row>
    <row r="4933" spans="1:19" s="2" customFormat="1" ht="96.2" customHeight="1" outlineLevel="4">
      <c r="A4933" s="53">
        <v>3895</v>
      </c>
      <c r="B4933" s="10" t="s">
        <v>16377</v>
      </c>
      <c r="C4933" s="65" t="s">
        <v>16378</v>
      </c>
      <c r="D4933" s="65"/>
      <c r="E4933" s="65"/>
      <c r="F4933" s="65"/>
      <c r="G4933" s="11" t="s">
        <v>16379</v>
      </c>
      <c r="H4933" s="21" t="s">
        <v>44</v>
      </c>
      <c r="I4933" s="15"/>
      <c r="J4933" s="9">
        <v>40</v>
      </c>
      <c r="K4933" s="16">
        <v>13.23</v>
      </c>
      <c r="L4933" s="17"/>
      <c r="M4933" s="15">
        <f t="shared" si="239"/>
        <v>0</v>
      </c>
      <c r="N4933" s="18">
        <f>0.005*L4933</f>
        <v>0</v>
      </c>
      <c r="O4933" s="19">
        <f>0.00001*L4933</f>
        <v>0</v>
      </c>
      <c r="P4933" s="24" t="s">
        <v>26</v>
      </c>
      <c r="Q4933" s="15" t="s">
        <v>16380</v>
      </c>
      <c r="R4933" s="15"/>
      <c r="S4933" s="10" t="str">
        <f>HYPERLINK("https://miland.ru/api/getInfo/image/889d5de7-f04c-11f0-a28d-00155d82e908")</f>
        <v>https://miland.ru/api/getInfo/image/889d5de7-f04c-11f0-a28d-00155d82e908</v>
      </c>
    </row>
    <row r="4934" spans="1:19" s="1" customFormat="1" ht="12" customHeight="1" outlineLevel="3">
      <c r="A4934" s="64" t="s">
        <v>16381</v>
      </c>
      <c r="B4934" s="64"/>
      <c r="C4934" s="64"/>
      <c r="D4934" s="64"/>
      <c r="E4934" s="64"/>
      <c r="F4934" s="64"/>
      <c r="G4934" s="8"/>
      <c r="H4934" s="12"/>
      <c r="I4934" s="2"/>
      <c r="J4934" s="2"/>
      <c r="K4934" s="13"/>
      <c r="L4934" s="2"/>
      <c r="M4934" s="2"/>
      <c r="N4934" s="2"/>
      <c r="O4934" s="2"/>
      <c r="P4934" s="2"/>
      <c r="Q4934" s="2"/>
      <c r="R4934" s="2"/>
      <c r="S4934" s="2"/>
    </row>
    <row r="4935" spans="1:19" s="2" customFormat="1" ht="96.2" customHeight="1" outlineLevel="4">
      <c r="A4935" s="53">
        <v>3896</v>
      </c>
      <c r="B4935" s="10" t="s">
        <v>16382</v>
      </c>
      <c r="C4935" s="65" t="s">
        <v>16383</v>
      </c>
      <c r="D4935" s="65"/>
      <c r="E4935" s="65"/>
      <c r="F4935" s="65"/>
      <c r="G4935" s="11" t="s">
        <v>16384</v>
      </c>
      <c r="H4935" s="21" t="s">
        <v>44</v>
      </c>
      <c r="I4935" s="15"/>
      <c r="J4935" s="9">
        <v>40</v>
      </c>
      <c r="K4935" s="16">
        <v>13.39</v>
      </c>
      <c r="L4935" s="17"/>
      <c r="M4935" s="15">
        <f t="shared" ref="M4935:M4957" si="241">K4935*L4935</f>
        <v>0</v>
      </c>
      <c r="N4935" s="18">
        <f>0.008*L4935</f>
        <v>0</v>
      </c>
      <c r="O4935" s="19">
        <f t="shared" ref="O4935:O4940" si="242">0.00001*L4935</f>
        <v>0</v>
      </c>
      <c r="P4935" s="24" t="s">
        <v>26</v>
      </c>
      <c r="Q4935" s="15" t="s">
        <v>16385</v>
      </c>
      <c r="R4935" s="15"/>
      <c r="S4935" s="10" t="str">
        <f>HYPERLINK("https://miland.ru/api/getInfo/image/8b6cf53c-f053-11f0-a28d-00155d82e908")</f>
        <v>https://miland.ru/api/getInfo/image/8b6cf53c-f053-11f0-a28d-00155d82e908</v>
      </c>
    </row>
    <row r="4936" spans="1:19" s="2" customFormat="1" ht="96.2" customHeight="1" outlineLevel="4">
      <c r="A4936" s="53">
        <v>3897</v>
      </c>
      <c r="B4936" s="10" t="s">
        <v>16386</v>
      </c>
      <c r="C4936" s="65" t="s">
        <v>16387</v>
      </c>
      <c r="D4936" s="65"/>
      <c r="E4936" s="65"/>
      <c r="F4936" s="65"/>
      <c r="G4936" s="11" t="s">
        <v>16388</v>
      </c>
      <c r="H4936" s="21" t="s">
        <v>44</v>
      </c>
      <c r="I4936" s="15"/>
      <c r="J4936" s="9">
        <v>40</v>
      </c>
      <c r="K4936" s="16">
        <v>13.39</v>
      </c>
      <c r="L4936" s="17"/>
      <c r="M4936" s="15">
        <f t="shared" si="241"/>
        <v>0</v>
      </c>
      <c r="N4936" s="18">
        <f>0.009*L4936</f>
        <v>0</v>
      </c>
      <c r="O4936" s="19">
        <f t="shared" si="242"/>
        <v>0</v>
      </c>
      <c r="P4936" s="24" t="s">
        <v>26</v>
      </c>
      <c r="Q4936" s="15" t="s">
        <v>16389</v>
      </c>
      <c r="R4936" s="15"/>
      <c r="S4936" s="10" t="str">
        <f>HYPERLINK("https://miland.ru/api/getInfo/image/6ceba99e-f053-11f0-a28d-00155d82e908")</f>
        <v>https://miland.ru/api/getInfo/image/6ceba99e-f053-11f0-a28d-00155d82e908</v>
      </c>
    </row>
    <row r="4937" spans="1:19" s="2" customFormat="1" ht="96.2" customHeight="1" outlineLevel="4">
      <c r="A4937" s="53">
        <v>3898</v>
      </c>
      <c r="B4937" s="10" t="s">
        <v>16390</v>
      </c>
      <c r="C4937" s="65" t="s">
        <v>16391</v>
      </c>
      <c r="D4937" s="65"/>
      <c r="E4937" s="65"/>
      <c r="F4937" s="65"/>
      <c r="G4937" s="11" t="s">
        <v>16392</v>
      </c>
      <c r="H4937" s="21" t="s">
        <v>44</v>
      </c>
      <c r="I4937" s="15"/>
      <c r="J4937" s="9">
        <v>40</v>
      </c>
      <c r="K4937" s="16">
        <v>13.39</v>
      </c>
      <c r="L4937" s="17"/>
      <c r="M4937" s="15">
        <f t="shared" si="241"/>
        <v>0</v>
      </c>
      <c r="N4937" s="18">
        <f>0.008*L4937</f>
        <v>0</v>
      </c>
      <c r="O4937" s="19">
        <f t="shared" si="242"/>
        <v>0</v>
      </c>
      <c r="P4937" s="24" t="s">
        <v>26</v>
      </c>
      <c r="Q4937" s="15" t="s">
        <v>16393</v>
      </c>
      <c r="R4937" s="15"/>
      <c r="S4937" s="10" t="str">
        <f>HYPERLINK("https://miland.ru/api/getInfo/image/529bd29d-f053-11f0-a28d-00155d82e908")</f>
        <v>https://miland.ru/api/getInfo/image/529bd29d-f053-11f0-a28d-00155d82e908</v>
      </c>
    </row>
    <row r="4938" spans="1:19" s="2" customFormat="1" ht="96.2" customHeight="1" outlineLevel="4">
      <c r="A4938" s="53">
        <v>3899</v>
      </c>
      <c r="B4938" s="10" t="s">
        <v>16394</v>
      </c>
      <c r="C4938" s="65" t="s">
        <v>16395</v>
      </c>
      <c r="D4938" s="65"/>
      <c r="E4938" s="65"/>
      <c r="F4938" s="65"/>
      <c r="G4938" s="11" t="s">
        <v>16396</v>
      </c>
      <c r="H4938" s="21" t="s">
        <v>44</v>
      </c>
      <c r="I4938" s="15"/>
      <c r="J4938" s="9">
        <v>40</v>
      </c>
      <c r="K4938" s="16">
        <v>13.39</v>
      </c>
      <c r="L4938" s="17"/>
      <c r="M4938" s="15">
        <f t="shared" si="241"/>
        <v>0</v>
      </c>
      <c r="N4938" s="18">
        <f>0.008*L4938</f>
        <v>0</v>
      </c>
      <c r="O4938" s="19">
        <f t="shared" si="242"/>
        <v>0</v>
      </c>
      <c r="P4938" s="24" t="s">
        <v>26</v>
      </c>
      <c r="Q4938" s="15" t="s">
        <v>16397</v>
      </c>
      <c r="R4938" s="15"/>
      <c r="S4938" s="10" t="str">
        <f>HYPERLINK("https://miland.ru/api/getInfo/image/1dbb9909-f053-11f0-a28d-00155d82e908")</f>
        <v>https://miland.ru/api/getInfo/image/1dbb9909-f053-11f0-a28d-00155d82e908</v>
      </c>
    </row>
    <row r="4939" spans="1:19" s="2" customFormat="1" ht="96.2" customHeight="1" outlineLevel="4">
      <c r="A4939" s="53">
        <v>3900</v>
      </c>
      <c r="B4939" s="10" t="s">
        <v>16398</v>
      </c>
      <c r="C4939" s="65" t="s">
        <v>16399</v>
      </c>
      <c r="D4939" s="65"/>
      <c r="E4939" s="65"/>
      <c r="F4939" s="65"/>
      <c r="G4939" s="11" t="s">
        <v>16400</v>
      </c>
      <c r="H4939" s="21" t="s">
        <v>44</v>
      </c>
      <c r="I4939" s="15"/>
      <c r="J4939" s="9">
        <v>40</v>
      </c>
      <c r="K4939" s="16">
        <v>13.39</v>
      </c>
      <c r="L4939" s="17"/>
      <c r="M4939" s="15">
        <f t="shared" si="241"/>
        <v>0</v>
      </c>
      <c r="N4939" s="18">
        <f>0.008*L4939</f>
        <v>0</v>
      </c>
      <c r="O4939" s="19">
        <f t="shared" si="242"/>
        <v>0</v>
      </c>
      <c r="P4939" s="24" t="s">
        <v>26</v>
      </c>
      <c r="Q4939" s="15" t="s">
        <v>16401</v>
      </c>
      <c r="R4939" s="15"/>
      <c r="S4939" s="10" t="str">
        <f>HYPERLINK("https://miland.ru/api/getInfo/image/38419b73-f053-11f0-a28d-00155d82e908")</f>
        <v>https://miland.ru/api/getInfo/image/38419b73-f053-11f0-a28d-00155d82e908</v>
      </c>
    </row>
    <row r="4940" spans="1:19" s="2" customFormat="1" ht="96.2" customHeight="1" outlineLevel="4">
      <c r="A4940" s="52">
        <v>3901</v>
      </c>
      <c r="B4940" s="26" t="s">
        <v>16402</v>
      </c>
      <c r="C4940" s="66" t="s">
        <v>16403</v>
      </c>
      <c r="D4940" s="66"/>
      <c r="E4940" s="66"/>
      <c r="F4940" s="66"/>
      <c r="G4940" s="27" t="s">
        <v>16404</v>
      </c>
      <c r="H4940" s="28" t="s">
        <v>44</v>
      </c>
      <c r="I4940" s="29"/>
      <c r="J4940" s="25">
        <v>40</v>
      </c>
      <c r="K4940" s="30">
        <v>13.39</v>
      </c>
      <c r="L4940" s="17"/>
      <c r="M4940" s="29">
        <f t="shared" si="241"/>
        <v>0</v>
      </c>
      <c r="N4940" s="31">
        <f>0.008*L4940</f>
        <v>0</v>
      </c>
      <c r="O4940" s="32">
        <f t="shared" si="242"/>
        <v>0</v>
      </c>
      <c r="P4940" s="36"/>
      <c r="Q4940" s="29" t="s">
        <v>16405</v>
      </c>
      <c r="R4940" s="29"/>
      <c r="S4940" s="26" t="str">
        <f>HYPERLINK("https://miland.ru/api/getInfo/image/95d29c97-dd75-11ef-a273-00155d82e908")</f>
        <v>https://miland.ru/api/getInfo/image/95d29c97-dd75-11ef-a273-00155d82e908</v>
      </c>
    </row>
    <row r="4941" spans="1:19" s="2" customFormat="1" ht="96.2" customHeight="1" outlineLevel="4">
      <c r="A4941" s="53">
        <v>3902</v>
      </c>
      <c r="B4941" s="10" t="s">
        <v>16406</v>
      </c>
      <c r="C4941" s="65" t="s">
        <v>16407</v>
      </c>
      <c r="D4941" s="65"/>
      <c r="E4941" s="65"/>
      <c r="F4941" s="65"/>
      <c r="G4941" s="11" t="s">
        <v>16408</v>
      </c>
      <c r="H4941" s="21" t="s">
        <v>44</v>
      </c>
      <c r="I4941" s="15"/>
      <c r="J4941" s="9">
        <v>40</v>
      </c>
      <c r="K4941" s="16">
        <v>13.39</v>
      </c>
      <c r="L4941" s="17"/>
      <c r="M4941" s="15">
        <f t="shared" si="241"/>
        <v>0</v>
      </c>
      <c r="N4941" s="18">
        <f t="shared" ref="N4941:N4946" si="243">0.012*L4941</f>
        <v>0</v>
      </c>
      <c r="O4941" s="19">
        <f t="shared" ref="O4941:O4946" si="244">0.00004*L4941</f>
        <v>0</v>
      </c>
      <c r="P4941" s="24" t="s">
        <v>26</v>
      </c>
      <c r="Q4941" s="15" t="s">
        <v>16409</v>
      </c>
      <c r="R4941" s="15"/>
      <c r="S4941" s="10" t="str">
        <f>HYPERLINK("https://miland.ru/api/getInfo/image/57886780-7f4c-11f1-a29a-00155d82e908")</f>
        <v>https://miland.ru/api/getInfo/image/57886780-7f4c-11f1-a29a-00155d82e908</v>
      </c>
    </row>
    <row r="4942" spans="1:19" s="2" customFormat="1" ht="96.2" customHeight="1" outlineLevel="4">
      <c r="A4942" s="53">
        <v>3903</v>
      </c>
      <c r="B4942" s="10" t="s">
        <v>16410</v>
      </c>
      <c r="C4942" s="65" t="s">
        <v>16411</v>
      </c>
      <c r="D4942" s="65"/>
      <c r="E4942" s="65"/>
      <c r="F4942" s="65"/>
      <c r="G4942" s="11" t="s">
        <v>16412</v>
      </c>
      <c r="H4942" s="21" t="s">
        <v>44</v>
      </c>
      <c r="I4942" s="15"/>
      <c r="J4942" s="9">
        <v>40</v>
      </c>
      <c r="K4942" s="16">
        <v>13.39</v>
      </c>
      <c r="L4942" s="17"/>
      <c r="M4942" s="15">
        <f t="shared" si="241"/>
        <v>0</v>
      </c>
      <c r="N4942" s="18">
        <f t="shared" si="243"/>
        <v>0</v>
      </c>
      <c r="O4942" s="19">
        <f t="shared" si="244"/>
        <v>0</v>
      </c>
      <c r="P4942" s="24" t="s">
        <v>26</v>
      </c>
      <c r="Q4942" s="15" t="s">
        <v>16413</v>
      </c>
      <c r="R4942" s="15"/>
      <c r="S4942" s="10" t="str">
        <f>HYPERLINK("https://miland.ru/api/getInfo/image/2660c6fe-7f4c-11f1-a29a-00155d82e908")</f>
        <v>https://miland.ru/api/getInfo/image/2660c6fe-7f4c-11f1-a29a-00155d82e908</v>
      </c>
    </row>
    <row r="4943" spans="1:19" s="2" customFormat="1" ht="96.2" customHeight="1" outlineLevel="4">
      <c r="A4943" s="53">
        <v>3904</v>
      </c>
      <c r="B4943" s="10" t="s">
        <v>16414</v>
      </c>
      <c r="C4943" s="65" t="s">
        <v>16415</v>
      </c>
      <c r="D4943" s="65"/>
      <c r="E4943" s="65"/>
      <c r="F4943" s="65"/>
      <c r="G4943" s="11" t="s">
        <v>16416</v>
      </c>
      <c r="H4943" s="21" t="s">
        <v>44</v>
      </c>
      <c r="I4943" s="15"/>
      <c r="J4943" s="9">
        <v>40</v>
      </c>
      <c r="K4943" s="16">
        <v>13.39</v>
      </c>
      <c r="L4943" s="17"/>
      <c r="M4943" s="15">
        <f t="shared" si="241"/>
        <v>0</v>
      </c>
      <c r="N4943" s="18">
        <f t="shared" si="243"/>
        <v>0</v>
      </c>
      <c r="O4943" s="19">
        <f t="shared" si="244"/>
        <v>0</v>
      </c>
      <c r="P4943" s="24" t="s">
        <v>26</v>
      </c>
      <c r="Q4943" s="15" t="s">
        <v>16417</v>
      </c>
      <c r="R4943" s="15"/>
      <c r="S4943" s="10" t="str">
        <f>HYPERLINK("https://miland.ru/api/getInfo/image/d89c7f51-7f4c-11f1-a29a-00155d82e908")</f>
        <v>https://miland.ru/api/getInfo/image/d89c7f51-7f4c-11f1-a29a-00155d82e908</v>
      </c>
    </row>
    <row r="4944" spans="1:19" s="2" customFormat="1" ht="96.2" customHeight="1" outlineLevel="4">
      <c r="A4944" s="53">
        <v>3905</v>
      </c>
      <c r="B4944" s="10" t="s">
        <v>16418</v>
      </c>
      <c r="C4944" s="65" t="s">
        <v>16419</v>
      </c>
      <c r="D4944" s="65"/>
      <c r="E4944" s="65"/>
      <c r="F4944" s="65"/>
      <c r="G4944" s="11" t="s">
        <v>16420</v>
      </c>
      <c r="H4944" s="21" t="s">
        <v>44</v>
      </c>
      <c r="I4944" s="15"/>
      <c r="J4944" s="9">
        <v>40</v>
      </c>
      <c r="K4944" s="16">
        <v>13.39</v>
      </c>
      <c r="L4944" s="17"/>
      <c r="M4944" s="15">
        <f t="shared" si="241"/>
        <v>0</v>
      </c>
      <c r="N4944" s="18">
        <f t="shared" si="243"/>
        <v>0</v>
      </c>
      <c r="O4944" s="19">
        <f t="shared" si="244"/>
        <v>0</v>
      </c>
      <c r="P4944" s="24" t="s">
        <v>26</v>
      </c>
      <c r="Q4944" s="15" t="s">
        <v>16421</v>
      </c>
      <c r="R4944" s="15"/>
      <c r="S4944" s="10" t="str">
        <f>HYPERLINK("https://miland.ru/api/getInfo/image/37f8ecae-7f4c-11f1-a29a-00155d82e908")</f>
        <v>https://miland.ru/api/getInfo/image/37f8ecae-7f4c-11f1-a29a-00155d82e908</v>
      </c>
    </row>
    <row r="4945" spans="1:19" s="2" customFormat="1" ht="96.2" customHeight="1" outlineLevel="4">
      <c r="A4945" s="53">
        <v>3906</v>
      </c>
      <c r="B4945" s="10" t="s">
        <v>16422</v>
      </c>
      <c r="C4945" s="65" t="s">
        <v>16423</v>
      </c>
      <c r="D4945" s="65"/>
      <c r="E4945" s="65"/>
      <c r="F4945" s="65"/>
      <c r="G4945" s="11" t="s">
        <v>16424</v>
      </c>
      <c r="H4945" s="21" t="s">
        <v>44</v>
      </c>
      <c r="I4945" s="15"/>
      <c r="J4945" s="9">
        <v>40</v>
      </c>
      <c r="K4945" s="16">
        <v>13.39</v>
      </c>
      <c r="L4945" s="17"/>
      <c r="M4945" s="15">
        <f t="shared" si="241"/>
        <v>0</v>
      </c>
      <c r="N4945" s="18">
        <f t="shared" si="243"/>
        <v>0</v>
      </c>
      <c r="O4945" s="19">
        <f t="shared" si="244"/>
        <v>0</v>
      </c>
      <c r="P4945" s="24" t="s">
        <v>26</v>
      </c>
      <c r="Q4945" s="15" t="s">
        <v>16425</v>
      </c>
      <c r="R4945" s="15"/>
      <c r="S4945" s="10" t="str">
        <f>HYPERLINK("https://miland.ru/api/getInfo/image/9f667783-7f4c-11f1-a29a-00155d82e908")</f>
        <v>https://miland.ru/api/getInfo/image/9f667783-7f4c-11f1-a29a-00155d82e908</v>
      </c>
    </row>
    <row r="4946" spans="1:19" s="2" customFormat="1" ht="96.2" customHeight="1" outlineLevel="4">
      <c r="A4946" s="53">
        <v>3907</v>
      </c>
      <c r="B4946" s="10" t="s">
        <v>16426</v>
      </c>
      <c r="C4946" s="65" t="s">
        <v>16427</v>
      </c>
      <c r="D4946" s="65"/>
      <c r="E4946" s="65"/>
      <c r="F4946" s="65"/>
      <c r="G4946" s="11" t="s">
        <v>16428</v>
      </c>
      <c r="H4946" s="21" t="s">
        <v>44</v>
      </c>
      <c r="I4946" s="15"/>
      <c r="J4946" s="9">
        <v>40</v>
      </c>
      <c r="K4946" s="16">
        <v>13.39</v>
      </c>
      <c r="L4946" s="17"/>
      <c r="M4946" s="15">
        <f t="shared" si="241"/>
        <v>0</v>
      </c>
      <c r="N4946" s="18">
        <f t="shared" si="243"/>
        <v>0</v>
      </c>
      <c r="O4946" s="19">
        <f t="shared" si="244"/>
        <v>0</v>
      </c>
      <c r="P4946" s="24" t="s">
        <v>26</v>
      </c>
      <c r="Q4946" s="15" t="s">
        <v>16429</v>
      </c>
      <c r="R4946" s="15"/>
      <c r="S4946" s="10" t="str">
        <f>HYPERLINK("https://miland.ru/api/getInfo/image/175d00ee-7f4d-11f1-a29a-00155d82e908")</f>
        <v>https://miland.ru/api/getInfo/image/175d00ee-7f4d-11f1-a29a-00155d82e908</v>
      </c>
    </row>
    <row r="4947" spans="1:19" s="2" customFormat="1" ht="96.2" customHeight="1" outlineLevel="4">
      <c r="A4947" s="52">
        <v>3908</v>
      </c>
      <c r="B4947" s="26" t="s">
        <v>16430</v>
      </c>
      <c r="C4947" s="66" t="s">
        <v>16431</v>
      </c>
      <c r="D4947" s="66"/>
      <c r="E4947" s="66"/>
      <c r="F4947" s="66"/>
      <c r="G4947" s="27" t="s">
        <v>16432</v>
      </c>
      <c r="H4947" s="28" t="s">
        <v>44</v>
      </c>
      <c r="I4947" s="29"/>
      <c r="J4947" s="25">
        <v>40</v>
      </c>
      <c r="K4947" s="30">
        <v>13.39</v>
      </c>
      <c r="L4947" s="17"/>
      <c r="M4947" s="29">
        <f t="shared" si="241"/>
        <v>0</v>
      </c>
      <c r="N4947" s="31">
        <f>0.008*L4947</f>
        <v>0</v>
      </c>
      <c r="O4947" s="32">
        <f>0.00001*L4947</f>
        <v>0</v>
      </c>
      <c r="P4947" s="36"/>
      <c r="Q4947" s="29" t="s">
        <v>16433</v>
      </c>
      <c r="R4947" s="29"/>
      <c r="S4947" s="26" t="str">
        <f>HYPERLINK("https://miland.ru/api/getInfo/image/2452f046-dd75-11ef-a273-00155d82e908")</f>
        <v>https://miland.ru/api/getInfo/image/2452f046-dd75-11ef-a273-00155d82e908</v>
      </c>
    </row>
    <row r="4948" spans="1:19" s="2" customFormat="1" ht="96.2" customHeight="1" outlineLevel="4">
      <c r="A4948" s="53">
        <v>3909</v>
      </c>
      <c r="B4948" s="10" t="s">
        <v>16434</v>
      </c>
      <c r="C4948" s="65" t="s">
        <v>16435</v>
      </c>
      <c r="D4948" s="65"/>
      <c r="E4948" s="65"/>
      <c r="F4948" s="65"/>
      <c r="G4948" s="11" t="s">
        <v>16436</v>
      </c>
      <c r="H4948" s="21" t="s">
        <v>44</v>
      </c>
      <c r="I4948" s="15"/>
      <c r="J4948" s="9">
        <v>40</v>
      </c>
      <c r="K4948" s="16">
        <v>13.39</v>
      </c>
      <c r="L4948" s="17"/>
      <c r="M4948" s="15">
        <f t="shared" si="241"/>
        <v>0</v>
      </c>
      <c r="N4948" s="18">
        <f>0.012*L4948</f>
        <v>0</v>
      </c>
      <c r="O4948" s="19">
        <f>0.00004*L4948</f>
        <v>0</v>
      </c>
      <c r="P4948" s="24" t="s">
        <v>26</v>
      </c>
      <c r="Q4948" s="15" t="s">
        <v>16437</v>
      </c>
      <c r="R4948" s="15"/>
      <c r="S4948" s="10" t="str">
        <f>HYPERLINK("https://miland.ru/api/getInfo/image/8c6cebe5-7f4c-11f1-a29a-00155d82e908")</f>
        <v>https://miland.ru/api/getInfo/image/8c6cebe5-7f4c-11f1-a29a-00155d82e908</v>
      </c>
    </row>
    <row r="4949" spans="1:19" s="2" customFormat="1" ht="96.2" customHeight="1" outlineLevel="4">
      <c r="A4949" s="53">
        <v>3910</v>
      </c>
      <c r="B4949" s="10" t="s">
        <v>16438</v>
      </c>
      <c r="C4949" s="65" t="s">
        <v>16439</v>
      </c>
      <c r="D4949" s="65"/>
      <c r="E4949" s="65"/>
      <c r="F4949" s="65"/>
      <c r="G4949" s="11" t="s">
        <v>16440</v>
      </c>
      <c r="H4949" s="21" t="s">
        <v>44</v>
      </c>
      <c r="I4949" s="15"/>
      <c r="J4949" s="9">
        <v>40</v>
      </c>
      <c r="K4949" s="16">
        <v>13.39</v>
      </c>
      <c r="L4949" s="17"/>
      <c r="M4949" s="15">
        <f t="shared" si="241"/>
        <v>0</v>
      </c>
      <c r="N4949" s="18">
        <f>0.012*L4949</f>
        <v>0</v>
      </c>
      <c r="O4949" s="19">
        <f>0.00004*L4949</f>
        <v>0</v>
      </c>
      <c r="P4949" s="24" t="s">
        <v>26</v>
      </c>
      <c r="Q4949" s="15" t="s">
        <v>16441</v>
      </c>
      <c r="R4949" s="15"/>
      <c r="S4949" s="10" t="str">
        <f>HYPERLINK("https://miland.ru/api/getInfo/image/6aba413a-7f4c-11f1-a29a-00155d82e908")</f>
        <v>https://miland.ru/api/getInfo/image/6aba413a-7f4c-11f1-a29a-00155d82e908</v>
      </c>
    </row>
    <row r="4950" spans="1:19" s="2" customFormat="1" ht="96.2" customHeight="1" outlineLevel="4">
      <c r="A4950" s="53">
        <v>3911</v>
      </c>
      <c r="B4950" s="10" t="s">
        <v>16442</v>
      </c>
      <c r="C4950" s="65" t="s">
        <v>16443</v>
      </c>
      <c r="D4950" s="65"/>
      <c r="E4950" s="65"/>
      <c r="F4950" s="65"/>
      <c r="G4950" s="11" t="s">
        <v>16444</v>
      </c>
      <c r="H4950" s="21" t="s">
        <v>44</v>
      </c>
      <c r="I4950" s="15"/>
      <c r="J4950" s="9">
        <v>40</v>
      </c>
      <c r="K4950" s="16">
        <v>13.39</v>
      </c>
      <c r="L4950" s="17"/>
      <c r="M4950" s="15">
        <f t="shared" si="241"/>
        <v>0</v>
      </c>
      <c r="N4950" s="18">
        <f>0.012*L4950</f>
        <v>0</v>
      </c>
      <c r="O4950" s="19">
        <f>0.00004*L4950</f>
        <v>0</v>
      </c>
      <c r="P4950" s="24" t="s">
        <v>26</v>
      </c>
      <c r="Q4950" s="15" t="s">
        <v>16445</v>
      </c>
      <c r="R4950" s="15"/>
      <c r="S4950" s="10" t="str">
        <f>HYPERLINK("https://miland.ru/api/getInfo/image/0203d87b-7f4d-11f1-a29a-00155d82e908")</f>
        <v>https://miland.ru/api/getInfo/image/0203d87b-7f4d-11f1-a29a-00155d82e908</v>
      </c>
    </row>
    <row r="4951" spans="1:19" s="2" customFormat="1" ht="96.2" customHeight="1" outlineLevel="4">
      <c r="A4951" s="52">
        <v>3912</v>
      </c>
      <c r="B4951" s="26" t="s">
        <v>16446</v>
      </c>
      <c r="C4951" s="66" t="s">
        <v>16447</v>
      </c>
      <c r="D4951" s="66"/>
      <c r="E4951" s="66"/>
      <c r="F4951" s="66"/>
      <c r="G4951" s="27" t="s">
        <v>16448</v>
      </c>
      <c r="H4951" s="28" t="s">
        <v>44</v>
      </c>
      <c r="I4951" s="29"/>
      <c r="J4951" s="25">
        <v>40</v>
      </c>
      <c r="K4951" s="30">
        <v>13.39</v>
      </c>
      <c r="L4951" s="17"/>
      <c r="M4951" s="29">
        <f t="shared" si="241"/>
        <v>0</v>
      </c>
      <c r="N4951" s="31">
        <f>0.008*L4951</f>
        <v>0</v>
      </c>
      <c r="O4951" s="32">
        <f>0.00001*L4951</f>
        <v>0</v>
      </c>
      <c r="P4951" s="36"/>
      <c r="Q4951" s="29" t="s">
        <v>16449</v>
      </c>
      <c r="R4951" s="29"/>
      <c r="S4951" s="26" t="str">
        <f>HYPERLINK("https://miland.ru/api/getInfo/image/5aa4f99b-dd75-11ef-a273-00155d82e908")</f>
        <v>https://miland.ru/api/getInfo/image/5aa4f99b-dd75-11ef-a273-00155d82e908</v>
      </c>
    </row>
    <row r="4952" spans="1:19" s="2" customFormat="1" ht="96.2" customHeight="1" outlineLevel="4">
      <c r="A4952" s="53">
        <v>3913</v>
      </c>
      <c r="B4952" s="10" t="s">
        <v>16450</v>
      </c>
      <c r="C4952" s="65" t="s">
        <v>16451</v>
      </c>
      <c r="D4952" s="65"/>
      <c r="E4952" s="65"/>
      <c r="F4952" s="65"/>
      <c r="G4952" s="11" t="s">
        <v>16452</v>
      </c>
      <c r="H4952" s="21" t="s">
        <v>44</v>
      </c>
      <c r="I4952" s="15"/>
      <c r="J4952" s="9">
        <v>40</v>
      </c>
      <c r="K4952" s="16">
        <v>13.39</v>
      </c>
      <c r="L4952" s="17"/>
      <c r="M4952" s="15">
        <f t="shared" si="241"/>
        <v>0</v>
      </c>
      <c r="N4952" s="18">
        <f t="shared" ref="N4952:N4957" si="245">0.012*L4952</f>
        <v>0</v>
      </c>
      <c r="O4952" s="19">
        <f t="shared" ref="O4952:O4957" si="246">0.00004*L4952</f>
        <v>0</v>
      </c>
      <c r="P4952" s="24" t="s">
        <v>26</v>
      </c>
      <c r="Q4952" s="15" t="s">
        <v>16453</v>
      </c>
      <c r="R4952" s="15"/>
      <c r="S4952" s="10" t="str">
        <f>HYPERLINK("https://miland.ru/api/getInfo/image/ae009e96-7f4c-11f1-a29a-00155d82e908")</f>
        <v>https://miland.ru/api/getInfo/image/ae009e96-7f4c-11f1-a29a-00155d82e908</v>
      </c>
    </row>
    <row r="4953" spans="1:19" s="2" customFormat="1" ht="96.2" customHeight="1" outlineLevel="4">
      <c r="A4953" s="53">
        <v>3914</v>
      </c>
      <c r="B4953" s="10" t="s">
        <v>16454</v>
      </c>
      <c r="C4953" s="65" t="s">
        <v>16455</v>
      </c>
      <c r="D4953" s="65"/>
      <c r="E4953" s="65"/>
      <c r="F4953" s="65"/>
      <c r="G4953" s="11" t="s">
        <v>16456</v>
      </c>
      <c r="H4953" s="21" t="s">
        <v>44</v>
      </c>
      <c r="I4953" s="15"/>
      <c r="J4953" s="9">
        <v>40</v>
      </c>
      <c r="K4953" s="16">
        <v>13.39</v>
      </c>
      <c r="L4953" s="17"/>
      <c r="M4953" s="15">
        <f t="shared" si="241"/>
        <v>0</v>
      </c>
      <c r="N4953" s="18">
        <f t="shared" si="245"/>
        <v>0</v>
      </c>
      <c r="O4953" s="19">
        <f t="shared" si="246"/>
        <v>0</v>
      </c>
      <c r="P4953" s="24" t="s">
        <v>26</v>
      </c>
      <c r="Q4953" s="15" t="s">
        <v>16457</v>
      </c>
      <c r="R4953" s="15"/>
      <c r="S4953" s="10" t="str">
        <f>HYPERLINK("https://miland.ru/api/getInfo/image/c4b5fb09-7f4c-11f1-a29a-00155d82e908")</f>
        <v>https://miland.ru/api/getInfo/image/c4b5fb09-7f4c-11f1-a29a-00155d82e908</v>
      </c>
    </row>
    <row r="4954" spans="1:19" s="2" customFormat="1" ht="96.2" customHeight="1" outlineLevel="4">
      <c r="A4954" s="53">
        <v>3915</v>
      </c>
      <c r="B4954" s="10" t="s">
        <v>16458</v>
      </c>
      <c r="C4954" s="65" t="s">
        <v>16459</v>
      </c>
      <c r="D4954" s="65"/>
      <c r="E4954" s="65"/>
      <c r="F4954" s="65"/>
      <c r="G4954" s="11" t="s">
        <v>16460</v>
      </c>
      <c r="H4954" s="21" t="s">
        <v>44</v>
      </c>
      <c r="I4954" s="15"/>
      <c r="J4954" s="9">
        <v>40</v>
      </c>
      <c r="K4954" s="16">
        <v>13.39</v>
      </c>
      <c r="L4954" s="17"/>
      <c r="M4954" s="15">
        <f t="shared" si="241"/>
        <v>0</v>
      </c>
      <c r="N4954" s="18">
        <f t="shared" si="245"/>
        <v>0</v>
      </c>
      <c r="O4954" s="19">
        <f t="shared" si="246"/>
        <v>0</v>
      </c>
      <c r="P4954" s="24" t="s">
        <v>26</v>
      </c>
      <c r="Q4954" s="15" t="s">
        <v>16461</v>
      </c>
      <c r="R4954" s="15"/>
      <c r="S4954" s="10" t="str">
        <f>HYPERLINK("https://miland.ru/api/getInfo/image/46c3bf55-7f4c-11f1-a29a-00155d82e908")</f>
        <v>https://miland.ru/api/getInfo/image/46c3bf55-7f4c-11f1-a29a-00155d82e908</v>
      </c>
    </row>
    <row r="4955" spans="1:19" s="2" customFormat="1" ht="96.2" customHeight="1" outlineLevel="4">
      <c r="A4955" s="53">
        <v>3916</v>
      </c>
      <c r="B4955" s="10" t="s">
        <v>16462</v>
      </c>
      <c r="C4955" s="65" t="s">
        <v>16463</v>
      </c>
      <c r="D4955" s="65"/>
      <c r="E4955" s="65"/>
      <c r="F4955" s="65"/>
      <c r="G4955" s="11" t="s">
        <v>16464</v>
      </c>
      <c r="H4955" s="21" t="s">
        <v>44</v>
      </c>
      <c r="I4955" s="15"/>
      <c r="J4955" s="9">
        <v>40</v>
      </c>
      <c r="K4955" s="16">
        <v>13.39</v>
      </c>
      <c r="L4955" s="17"/>
      <c r="M4955" s="15">
        <f t="shared" si="241"/>
        <v>0</v>
      </c>
      <c r="N4955" s="18">
        <f t="shared" si="245"/>
        <v>0</v>
      </c>
      <c r="O4955" s="19">
        <f t="shared" si="246"/>
        <v>0</v>
      </c>
      <c r="P4955" s="24" t="s">
        <v>26</v>
      </c>
      <c r="Q4955" s="15" t="s">
        <v>16465</v>
      </c>
      <c r="R4955" s="15"/>
      <c r="S4955" s="10" t="str">
        <f>HYPERLINK("https://miland.ru/api/getInfo/image/7afff516-7f4c-11f1-a29a-00155d82e908")</f>
        <v>https://miland.ru/api/getInfo/image/7afff516-7f4c-11f1-a29a-00155d82e908</v>
      </c>
    </row>
    <row r="4956" spans="1:19" s="2" customFormat="1" ht="96.2" customHeight="1" outlineLevel="4">
      <c r="A4956" s="53">
        <v>3917</v>
      </c>
      <c r="B4956" s="10" t="s">
        <v>16466</v>
      </c>
      <c r="C4956" s="65" t="s">
        <v>16467</v>
      </c>
      <c r="D4956" s="65"/>
      <c r="E4956" s="65"/>
      <c r="F4956" s="65"/>
      <c r="G4956" s="11" t="s">
        <v>16468</v>
      </c>
      <c r="H4956" s="21" t="s">
        <v>44</v>
      </c>
      <c r="I4956" s="15"/>
      <c r="J4956" s="9">
        <v>40</v>
      </c>
      <c r="K4956" s="16">
        <v>13.39</v>
      </c>
      <c r="L4956" s="17"/>
      <c r="M4956" s="15">
        <f t="shared" si="241"/>
        <v>0</v>
      </c>
      <c r="N4956" s="18">
        <f t="shared" si="245"/>
        <v>0</v>
      </c>
      <c r="O4956" s="19">
        <f t="shared" si="246"/>
        <v>0</v>
      </c>
      <c r="P4956" s="24" t="s">
        <v>26</v>
      </c>
      <c r="Q4956" s="15" t="s">
        <v>16469</v>
      </c>
      <c r="R4956" s="15"/>
      <c r="S4956" s="10" t="str">
        <f>HYPERLINK("https://miland.ru/api/getInfo/image/edbe6b05-7f4c-11f1-a29a-00155d82e908")</f>
        <v>https://miland.ru/api/getInfo/image/edbe6b05-7f4c-11f1-a29a-00155d82e908</v>
      </c>
    </row>
    <row r="4957" spans="1:19" s="2" customFormat="1" ht="96.2" customHeight="1" outlineLevel="4">
      <c r="A4957" s="53">
        <v>3918</v>
      </c>
      <c r="B4957" s="10" t="s">
        <v>16470</v>
      </c>
      <c r="C4957" s="65" t="s">
        <v>16471</v>
      </c>
      <c r="D4957" s="65"/>
      <c r="E4957" s="65"/>
      <c r="F4957" s="65"/>
      <c r="G4957" s="11" t="s">
        <v>16472</v>
      </c>
      <c r="H4957" s="21" t="s">
        <v>44</v>
      </c>
      <c r="I4957" s="15"/>
      <c r="J4957" s="9">
        <v>40</v>
      </c>
      <c r="K4957" s="16">
        <v>13.39</v>
      </c>
      <c r="L4957" s="17"/>
      <c r="M4957" s="15">
        <f t="shared" si="241"/>
        <v>0</v>
      </c>
      <c r="N4957" s="18">
        <f t="shared" si="245"/>
        <v>0</v>
      </c>
      <c r="O4957" s="19">
        <f t="shared" si="246"/>
        <v>0</v>
      </c>
      <c r="P4957" s="24" t="s">
        <v>26</v>
      </c>
      <c r="Q4957" s="15" t="s">
        <v>16473</v>
      </c>
      <c r="R4957" s="15"/>
      <c r="S4957" s="10" t="str">
        <f>HYPERLINK("https://miland.ru/api/getInfo/image/f41e3fc1-7f4b-11f1-a29a-00155d82e908")</f>
        <v>https://miland.ru/api/getInfo/image/f41e3fc1-7f4b-11f1-a29a-00155d82e908</v>
      </c>
    </row>
    <row r="4958" spans="1:19" s="1" customFormat="1" ht="12" customHeight="1" outlineLevel="3">
      <c r="A4958" s="64" t="s">
        <v>16474</v>
      </c>
      <c r="B4958" s="64"/>
      <c r="C4958" s="64"/>
      <c r="D4958" s="64"/>
      <c r="E4958" s="64"/>
      <c r="F4958" s="64"/>
      <c r="G4958" s="8"/>
      <c r="H4958" s="12"/>
      <c r="I4958" s="2"/>
      <c r="J4958" s="2"/>
      <c r="K4958" s="13"/>
      <c r="L4958" s="2"/>
      <c r="M4958" s="2"/>
      <c r="N4958" s="2"/>
      <c r="O4958" s="2"/>
      <c r="P4958" s="2"/>
      <c r="Q4958" s="2"/>
      <c r="R4958" s="2"/>
      <c r="S4958" s="2"/>
    </row>
    <row r="4959" spans="1:19" s="2" customFormat="1" ht="96.2" customHeight="1" outlineLevel="4">
      <c r="A4959" s="53">
        <v>3919</v>
      </c>
      <c r="B4959" s="10" t="s">
        <v>16475</v>
      </c>
      <c r="C4959" s="65" t="s">
        <v>16476</v>
      </c>
      <c r="D4959" s="65"/>
      <c r="E4959" s="65"/>
      <c r="F4959" s="65"/>
      <c r="G4959" s="11" t="s">
        <v>16477</v>
      </c>
      <c r="H4959" s="21" t="s">
        <v>44</v>
      </c>
      <c r="I4959" s="15"/>
      <c r="J4959" s="9">
        <v>30</v>
      </c>
      <c r="K4959" s="16">
        <v>14.08</v>
      </c>
      <c r="L4959" s="17"/>
      <c r="M4959" s="15">
        <f>K4959*L4959</f>
        <v>0</v>
      </c>
      <c r="N4959" s="18">
        <f>0.012*L4959</f>
        <v>0</v>
      </c>
      <c r="O4959" s="19">
        <f>0.00007*L4959</f>
        <v>0</v>
      </c>
      <c r="P4959" s="24" t="s">
        <v>26</v>
      </c>
      <c r="Q4959" s="15" t="s">
        <v>16478</v>
      </c>
      <c r="R4959" s="15"/>
      <c r="S4959" s="10" t="str">
        <f>HYPERLINK("https://miland.ru/api/getInfo/image/4788bc98-4ac1-11f1-a297-00155d82e908")</f>
        <v>https://miland.ru/api/getInfo/image/4788bc98-4ac1-11f1-a297-00155d82e908</v>
      </c>
    </row>
    <row r="4960" spans="1:19" s="2" customFormat="1" ht="96.2" customHeight="1" outlineLevel="4">
      <c r="A4960" s="53">
        <v>3920</v>
      </c>
      <c r="B4960" s="10" t="s">
        <v>16479</v>
      </c>
      <c r="C4960" s="65" t="s">
        <v>16480</v>
      </c>
      <c r="D4960" s="65"/>
      <c r="E4960" s="65"/>
      <c r="F4960" s="65"/>
      <c r="G4960" s="11" t="s">
        <v>16481</v>
      </c>
      <c r="H4960" s="21" t="s">
        <v>44</v>
      </c>
      <c r="I4960" s="15"/>
      <c r="J4960" s="9">
        <v>30</v>
      </c>
      <c r="K4960" s="16">
        <v>14.08</v>
      </c>
      <c r="L4960" s="17"/>
      <c r="M4960" s="15">
        <f>K4960*L4960</f>
        <v>0</v>
      </c>
      <c r="N4960" s="18">
        <f>0.012*L4960</f>
        <v>0</v>
      </c>
      <c r="O4960" s="19">
        <f>0.00007*L4960</f>
        <v>0</v>
      </c>
      <c r="P4960" s="24" t="s">
        <v>26</v>
      </c>
      <c r="Q4960" s="15" t="s">
        <v>16482</v>
      </c>
      <c r="R4960" s="15"/>
      <c r="S4960" s="10" t="str">
        <f>HYPERLINK("https://miland.ru/api/getInfo/image/e41ee5af-4ac1-11f1-a297-00155d82e908")</f>
        <v>https://miland.ru/api/getInfo/image/e41ee5af-4ac1-11f1-a297-00155d82e908</v>
      </c>
    </row>
    <row r="4961" spans="1:19" s="2" customFormat="1" ht="96.2" customHeight="1" outlineLevel="4">
      <c r="A4961" s="53">
        <v>3921</v>
      </c>
      <c r="B4961" s="10" t="s">
        <v>16483</v>
      </c>
      <c r="C4961" s="65" t="s">
        <v>16484</v>
      </c>
      <c r="D4961" s="65"/>
      <c r="E4961" s="65"/>
      <c r="F4961" s="65"/>
      <c r="G4961" s="11" t="s">
        <v>16485</v>
      </c>
      <c r="H4961" s="21" t="s">
        <v>44</v>
      </c>
      <c r="I4961" s="15"/>
      <c r="J4961" s="9">
        <v>30</v>
      </c>
      <c r="K4961" s="16">
        <v>14.08</v>
      </c>
      <c r="L4961" s="17"/>
      <c r="M4961" s="15">
        <f>K4961*L4961</f>
        <v>0</v>
      </c>
      <c r="N4961" s="18">
        <f>0.012*L4961</f>
        <v>0</v>
      </c>
      <c r="O4961" s="19">
        <f>0.00007*L4961</f>
        <v>0</v>
      </c>
      <c r="P4961" s="24" t="s">
        <v>26</v>
      </c>
      <c r="Q4961" s="15" t="s">
        <v>16486</v>
      </c>
      <c r="R4961" s="15"/>
      <c r="S4961" s="10" t="str">
        <f>HYPERLINK("https://miland.ru/api/getInfo/image/661d758e-4ac1-11f1-a297-00155d82e908")</f>
        <v>https://miland.ru/api/getInfo/image/661d758e-4ac1-11f1-a297-00155d82e908</v>
      </c>
    </row>
    <row r="4962" spans="1:19" s="2" customFormat="1" ht="96.2" customHeight="1" outlineLevel="4">
      <c r="A4962" s="53">
        <v>3922</v>
      </c>
      <c r="B4962" s="10" t="s">
        <v>16487</v>
      </c>
      <c r="C4962" s="65" t="s">
        <v>16488</v>
      </c>
      <c r="D4962" s="65"/>
      <c r="E4962" s="65"/>
      <c r="F4962" s="65"/>
      <c r="G4962" s="11" t="s">
        <v>16489</v>
      </c>
      <c r="H4962" s="21" t="s">
        <v>44</v>
      </c>
      <c r="I4962" s="15"/>
      <c r="J4962" s="9">
        <v>30</v>
      </c>
      <c r="K4962" s="16">
        <v>14.08</v>
      </c>
      <c r="L4962" s="17"/>
      <c r="M4962" s="15">
        <f>K4962*L4962</f>
        <v>0</v>
      </c>
      <c r="N4962" s="18">
        <f>0.008*L4962</f>
        <v>0</v>
      </c>
      <c r="O4962" s="19">
        <f>0.00003*L4962</f>
        <v>0</v>
      </c>
      <c r="P4962" s="24" t="s">
        <v>26</v>
      </c>
      <c r="Q4962" s="15" t="s">
        <v>16490</v>
      </c>
      <c r="R4962" s="15"/>
      <c r="S4962" s="10" t="str">
        <f>HYPERLINK("https://miland.ru/api/getInfo/image/8cc91e75-4ac0-11f1-a297-00155d82e908")</f>
        <v>https://miland.ru/api/getInfo/image/8cc91e75-4ac0-11f1-a297-00155d82e908</v>
      </c>
    </row>
    <row r="4963" spans="1:19" s="2" customFormat="1" ht="96.2" customHeight="1" outlineLevel="4">
      <c r="A4963" s="53">
        <v>3923</v>
      </c>
      <c r="B4963" s="10" t="s">
        <v>16491</v>
      </c>
      <c r="C4963" s="65" t="s">
        <v>16492</v>
      </c>
      <c r="D4963" s="65"/>
      <c r="E4963" s="65"/>
      <c r="F4963" s="65"/>
      <c r="G4963" s="11" t="s">
        <v>16493</v>
      </c>
      <c r="H4963" s="21" t="s">
        <v>44</v>
      </c>
      <c r="I4963" s="15"/>
      <c r="J4963" s="9">
        <v>30</v>
      </c>
      <c r="K4963" s="16">
        <v>14.08</v>
      </c>
      <c r="L4963" s="17"/>
      <c r="M4963" s="15">
        <f>K4963*L4963</f>
        <v>0</v>
      </c>
      <c r="N4963" s="18">
        <f>0.012*L4963</f>
        <v>0</v>
      </c>
      <c r="O4963" s="19">
        <f>0.00007*L4963</f>
        <v>0</v>
      </c>
      <c r="P4963" s="24" t="s">
        <v>26</v>
      </c>
      <c r="Q4963" s="15" t="s">
        <v>16494</v>
      </c>
      <c r="R4963" s="15"/>
      <c r="S4963" s="10" t="str">
        <f>HYPERLINK("https://miland.ru/api/getInfo/image/3476598f-4ac1-11f1-a297-00155d82e908")</f>
        <v>https://miland.ru/api/getInfo/image/3476598f-4ac1-11f1-a297-00155d82e908</v>
      </c>
    </row>
    <row r="4964" spans="1:19" s="1" customFormat="1" ht="12" customHeight="1" outlineLevel="3">
      <c r="A4964" s="64" t="s">
        <v>16495</v>
      </c>
      <c r="B4964" s="64"/>
      <c r="C4964" s="64"/>
      <c r="D4964" s="64"/>
      <c r="E4964" s="64"/>
      <c r="F4964" s="64"/>
      <c r="G4964" s="8"/>
      <c r="H4964" s="12"/>
      <c r="I4964" s="2"/>
      <c r="J4964" s="2"/>
      <c r="K4964" s="13"/>
      <c r="L4964" s="2"/>
      <c r="M4964" s="2"/>
      <c r="N4964" s="2"/>
      <c r="O4964" s="2"/>
      <c r="P4964" s="2"/>
      <c r="Q4964" s="2"/>
      <c r="R4964" s="2"/>
      <c r="S4964" s="2"/>
    </row>
    <row r="4965" spans="1:19" s="2" customFormat="1" ht="96.2" customHeight="1" outlineLevel="4">
      <c r="A4965" s="53">
        <v>3924</v>
      </c>
      <c r="B4965" s="10" t="s">
        <v>16496</v>
      </c>
      <c r="C4965" s="65" t="s">
        <v>16497</v>
      </c>
      <c r="D4965" s="65"/>
      <c r="E4965" s="65"/>
      <c r="F4965" s="65"/>
      <c r="G4965" s="11" t="s">
        <v>16498</v>
      </c>
      <c r="H4965" s="21" t="s">
        <v>44</v>
      </c>
      <c r="I4965" s="15"/>
      <c r="J4965" s="9">
        <v>30</v>
      </c>
      <c r="K4965" s="16">
        <v>18.21</v>
      </c>
      <c r="L4965" s="17"/>
      <c r="M4965" s="15">
        <f t="shared" ref="M4965:M4992" si="247">K4965*L4965</f>
        <v>0</v>
      </c>
      <c r="N4965" s="18">
        <f>0.012*L4965</f>
        <v>0</v>
      </c>
      <c r="O4965" s="19">
        <f>0.00004*L4965</f>
        <v>0</v>
      </c>
      <c r="P4965" s="24" t="s">
        <v>26</v>
      </c>
      <c r="Q4965" s="15" t="s">
        <v>16499</v>
      </c>
      <c r="R4965" s="15"/>
      <c r="S4965" s="10" t="str">
        <f>HYPERLINK("https://miland.ru/api/getInfo/image/e1add915-7eba-11f1-a29a-00155d82e908")</f>
        <v>https://miland.ru/api/getInfo/image/e1add915-7eba-11f1-a29a-00155d82e908</v>
      </c>
    </row>
    <row r="4966" spans="1:19" s="2" customFormat="1" ht="96.2" customHeight="1" outlineLevel="4">
      <c r="A4966" s="53">
        <v>3925</v>
      </c>
      <c r="B4966" s="10" t="s">
        <v>16500</v>
      </c>
      <c r="C4966" s="65" t="s">
        <v>16501</v>
      </c>
      <c r="D4966" s="65"/>
      <c r="E4966" s="65"/>
      <c r="F4966" s="65"/>
      <c r="G4966" s="11" t="s">
        <v>16502</v>
      </c>
      <c r="H4966" s="21" t="s">
        <v>44</v>
      </c>
      <c r="I4966" s="15"/>
      <c r="J4966" s="9">
        <v>30</v>
      </c>
      <c r="K4966" s="16">
        <v>18.21</v>
      </c>
      <c r="L4966" s="17"/>
      <c r="M4966" s="15">
        <f t="shared" si="247"/>
        <v>0</v>
      </c>
      <c r="N4966" s="18">
        <f>0.012*L4966</f>
        <v>0</v>
      </c>
      <c r="O4966" s="19">
        <f>0.00004*L4966</f>
        <v>0</v>
      </c>
      <c r="P4966" s="24" t="s">
        <v>26</v>
      </c>
      <c r="Q4966" s="15" t="s">
        <v>16503</v>
      </c>
      <c r="R4966" s="15"/>
      <c r="S4966" s="10" t="str">
        <f>HYPERLINK("https://miland.ru/api/getInfo/image/257eb700-7eba-11f1-a29a-00155d82e908")</f>
        <v>https://miland.ru/api/getInfo/image/257eb700-7eba-11f1-a29a-00155d82e908</v>
      </c>
    </row>
    <row r="4967" spans="1:19" s="2" customFormat="1" ht="96.2" customHeight="1" outlineLevel="4">
      <c r="A4967" s="53">
        <v>3926</v>
      </c>
      <c r="B4967" s="10" t="s">
        <v>16504</v>
      </c>
      <c r="C4967" s="65" t="s">
        <v>16505</v>
      </c>
      <c r="D4967" s="65"/>
      <c r="E4967" s="65"/>
      <c r="F4967" s="65"/>
      <c r="G4967" s="11" t="s">
        <v>16506</v>
      </c>
      <c r="H4967" s="21" t="s">
        <v>44</v>
      </c>
      <c r="I4967" s="15"/>
      <c r="J4967" s="9">
        <v>30</v>
      </c>
      <c r="K4967" s="16">
        <v>18.21</v>
      </c>
      <c r="L4967" s="17"/>
      <c r="M4967" s="15">
        <f t="shared" si="247"/>
        <v>0</v>
      </c>
      <c r="N4967" s="18">
        <f>0.012*L4967</f>
        <v>0</v>
      </c>
      <c r="O4967" s="19">
        <f>0.00004*L4967</f>
        <v>0</v>
      </c>
      <c r="P4967" s="24" t="s">
        <v>26</v>
      </c>
      <c r="Q4967" s="15" t="s">
        <v>16507</v>
      </c>
      <c r="R4967" s="15"/>
      <c r="S4967" s="10" t="str">
        <f>HYPERLINK("https://miland.ru/api/getInfo/image/320c383f-7ebb-11f1-a29a-00155d82e908")</f>
        <v>https://miland.ru/api/getInfo/image/320c383f-7ebb-11f1-a29a-00155d82e908</v>
      </c>
    </row>
    <row r="4968" spans="1:19" s="2" customFormat="1" ht="96.2" customHeight="1" outlineLevel="4">
      <c r="A4968" s="53">
        <v>3927</v>
      </c>
      <c r="B4968" s="10" t="s">
        <v>16508</v>
      </c>
      <c r="C4968" s="65" t="s">
        <v>16509</v>
      </c>
      <c r="D4968" s="65"/>
      <c r="E4968" s="65"/>
      <c r="F4968" s="65"/>
      <c r="G4968" s="11" t="s">
        <v>16510</v>
      </c>
      <c r="H4968" s="21" t="s">
        <v>44</v>
      </c>
      <c r="I4968" s="15"/>
      <c r="J4968" s="9">
        <v>30</v>
      </c>
      <c r="K4968" s="16">
        <v>18.21</v>
      </c>
      <c r="L4968" s="17"/>
      <c r="M4968" s="15">
        <f t="shared" si="247"/>
        <v>0</v>
      </c>
      <c r="N4968" s="18">
        <f>0.009*L4968</f>
        <v>0</v>
      </c>
      <c r="O4968" s="19">
        <f>0.00003*L4968</f>
        <v>0</v>
      </c>
      <c r="P4968" s="24" t="s">
        <v>26</v>
      </c>
      <c r="Q4968" s="15" t="s">
        <v>16511</v>
      </c>
      <c r="R4968" s="15"/>
      <c r="S4968" s="10" t="str">
        <f>HYPERLINK("https://miland.ru/api/getInfo/image/1fe1a6fd-7ebb-11f1-a29a-00155d82e908")</f>
        <v>https://miland.ru/api/getInfo/image/1fe1a6fd-7ebb-11f1-a29a-00155d82e908</v>
      </c>
    </row>
    <row r="4969" spans="1:19" s="2" customFormat="1" ht="96.2" customHeight="1" outlineLevel="4">
      <c r="A4969" s="53">
        <v>3928</v>
      </c>
      <c r="B4969" s="10" t="s">
        <v>16512</v>
      </c>
      <c r="C4969" s="65" t="s">
        <v>16513</v>
      </c>
      <c r="D4969" s="65"/>
      <c r="E4969" s="65"/>
      <c r="F4969" s="65"/>
      <c r="G4969" s="11" t="s">
        <v>16514</v>
      </c>
      <c r="H4969" s="21" t="s">
        <v>44</v>
      </c>
      <c r="I4969" s="15"/>
      <c r="J4969" s="9">
        <v>30</v>
      </c>
      <c r="K4969" s="16">
        <v>18.21</v>
      </c>
      <c r="L4969" s="17"/>
      <c r="M4969" s="15">
        <f t="shared" si="247"/>
        <v>0</v>
      </c>
      <c r="N4969" s="18">
        <f>0.012*L4969</f>
        <v>0</v>
      </c>
      <c r="O4969" s="19">
        <f>0.00004*L4969</f>
        <v>0</v>
      </c>
      <c r="P4969" s="24" t="s">
        <v>26</v>
      </c>
      <c r="Q4969" s="15" t="s">
        <v>16515</v>
      </c>
      <c r="R4969" s="15"/>
      <c r="S4969" s="10" t="str">
        <f>HYPERLINK("https://miland.ru/api/getInfo/image/bdebe7b7-7eba-11f1-a29a-00155d82e908")</f>
        <v>https://miland.ru/api/getInfo/image/bdebe7b7-7eba-11f1-a29a-00155d82e908</v>
      </c>
    </row>
    <row r="4970" spans="1:19" s="2" customFormat="1" ht="96.2" customHeight="1" outlineLevel="4">
      <c r="A4970" s="53">
        <v>3929</v>
      </c>
      <c r="B4970" s="10" t="s">
        <v>16516</v>
      </c>
      <c r="C4970" s="65" t="s">
        <v>16517</v>
      </c>
      <c r="D4970" s="65"/>
      <c r="E4970" s="65"/>
      <c r="F4970" s="65"/>
      <c r="G4970" s="11" t="s">
        <v>16518</v>
      </c>
      <c r="H4970" s="21" t="s">
        <v>44</v>
      </c>
      <c r="I4970" s="15"/>
      <c r="J4970" s="9">
        <v>30</v>
      </c>
      <c r="K4970" s="16">
        <v>18.21</v>
      </c>
      <c r="L4970" s="17"/>
      <c r="M4970" s="15">
        <f t="shared" si="247"/>
        <v>0</v>
      </c>
      <c r="N4970" s="18">
        <f>0.012*L4970</f>
        <v>0</v>
      </c>
      <c r="O4970" s="19">
        <f>0.00004*L4970</f>
        <v>0</v>
      </c>
      <c r="P4970" s="24" t="s">
        <v>26</v>
      </c>
      <c r="Q4970" s="15" t="s">
        <v>16519</v>
      </c>
      <c r="R4970" s="15"/>
      <c r="S4970" s="10" t="str">
        <f>HYPERLINK("https://miland.ru/api/getInfo/image/9b250d01-7eba-11f1-a29a-00155d82e908")</f>
        <v>https://miland.ru/api/getInfo/image/9b250d01-7eba-11f1-a29a-00155d82e908</v>
      </c>
    </row>
    <row r="4971" spans="1:19" s="2" customFormat="1" ht="96.2" customHeight="1" outlineLevel="4">
      <c r="A4971" s="53">
        <v>3930</v>
      </c>
      <c r="B4971" s="10" t="s">
        <v>16520</v>
      </c>
      <c r="C4971" s="65" t="s">
        <v>16521</v>
      </c>
      <c r="D4971" s="65"/>
      <c r="E4971" s="65"/>
      <c r="F4971" s="65"/>
      <c r="G4971" s="11" t="s">
        <v>16522</v>
      </c>
      <c r="H4971" s="21" t="s">
        <v>44</v>
      </c>
      <c r="I4971" s="15"/>
      <c r="J4971" s="9">
        <v>30</v>
      </c>
      <c r="K4971" s="16">
        <v>18.21</v>
      </c>
      <c r="L4971" s="17"/>
      <c r="M4971" s="15">
        <f t="shared" si="247"/>
        <v>0</v>
      </c>
      <c r="N4971" s="18">
        <f>0.012*L4971</f>
        <v>0</v>
      </c>
      <c r="O4971" s="19">
        <f>0.00004*L4971</f>
        <v>0</v>
      </c>
      <c r="P4971" s="24" t="s">
        <v>26</v>
      </c>
      <c r="Q4971" s="15" t="s">
        <v>16523</v>
      </c>
      <c r="R4971" s="15"/>
      <c r="S4971" s="10" t="str">
        <f>HYPERLINK("https://miland.ru/api/getInfo/image/aee62f0c-7eba-11f1-a29a-00155d82e908")</f>
        <v>https://miland.ru/api/getInfo/image/aee62f0c-7eba-11f1-a29a-00155d82e908</v>
      </c>
    </row>
    <row r="4972" spans="1:19" s="2" customFormat="1" ht="96.2" customHeight="1" outlineLevel="4">
      <c r="A4972" s="53">
        <v>3931</v>
      </c>
      <c r="B4972" s="10" t="s">
        <v>16524</v>
      </c>
      <c r="C4972" s="65" t="s">
        <v>16525</v>
      </c>
      <c r="D4972" s="65"/>
      <c r="E4972" s="65"/>
      <c r="F4972" s="65"/>
      <c r="G4972" s="11" t="s">
        <v>16526</v>
      </c>
      <c r="H4972" s="21" t="s">
        <v>44</v>
      </c>
      <c r="I4972" s="15"/>
      <c r="J4972" s="9">
        <v>30</v>
      </c>
      <c r="K4972" s="16">
        <v>18.21</v>
      </c>
      <c r="L4972" s="17"/>
      <c r="M4972" s="15">
        <f t="shared" si="247"/>
        <v>0</v>
      </c>
      <c r="N4972" s="18">
        <f>0.012*L4972</f>
        <v>0</v>
      </c>
      <c r="O4972" s="19">
        <f>0.00004*L4972</f>
        <v>0</v>
      </c>
      <c r="P4972" s="24" t="s">
        <v>26</v>
      </c>
      <c r="Q4972" s="15" t="s">
        <v>16527</v>
      </c>
      <c r="R4972" s="15"/>
      <c r="S4972" s="10" t="str">
        <f>HYPERLINK("https://miland.ru/api/getInfo/image/d1480e6b-7eba-11f1-a29a-00155d82e908")</f>
        <v>https://miland.ru/api/getInfo/image/d1480e6b-7eba-11f1-a29a-00155d82e908</v>
      </c>
    </row>
    <row r="4973" spans="1:19" s="2" customFormat="1" ht="96.2" customHeight="1" outlineLevel="4">
      <c r="A4973" s="52">
        <v>3932</v>
      </c>
      <c r="B4973" s="26" t="s">
        <v>16528</v>
      </c>
      <c r="C4973" s="66" t="s">
        <v>16529</v>
      </c>
      <c r="D4973" s="66"/>
      <c r="E4973" s="66"/>
      <c r="F4973" s="66"/>
      <c r="G4973" s="27" t="s">
        <v>16530</v>
      </c>
      <c r="H4973" s="28" t="s">
        <v>44</v>
      </c>
      <c r="I4973" s="29"/>
      <c r="J4973" s="25">
        <v>30</v>
      </c>
      <c r="K4973" s="30">
        <v>18.21</v>
      </c>
      <c r="L4973" s="17"/>
      <c r="M4973" s="29">
        <f t="shared" si="247"/>
        <v>0</v>
      </c>
      <c r="N4973" s="31">
        <f>0.007*L4973</f>
        <v>0</v>
      </c>
      <c r="O4973" s="32">
        <f>0.00003*L4973</f>
        <v>0</v>
      </c>
      <c r="P4973" s="36"/>
      <c r="Q4973" s="29" t="s">
        <v>16531</v>
      </c>
      <c r="R4973" s="29"/>
      <c r="S4973" s="26" t="str">
        <f>HYPERLINK("https://miland.ru/api/getInfo/image/f71e8818-6ac7-11ef-a265-00155d82e908")</f>
        <v>https://miland.ru/api/getInfo/image/f71e8818-6ac7-11ef-a265-00155d82e908</v>
      </c>
    </row>
    <row r="4974" spans="1:19" s="2" customFormat="1" ht="96.2" customHeight="1" outlineLevel="4">
      <c r="A4974" s="53">
        <v>3933</v>
      </c>
      <c r="B4974" s="10" t="s">
        <v>16532</v>
      </c>
      <c r="C4974" s="65" t="s">
        <v>16533</v>
      </c>
      <c r="D4974" s="65"/>
      <c r="E4974" s="65"/>
      <c r="F4974" s="65"/>
      <c r="G4974" s="11" t="s">
        <v>16534</v>
      </c>
      <c r="H4974" s="21" t="s">
        <v>44</v>
      </c>
      <c r="I4974" s="15"/>
      <c r="J4974" s="9">
        <v>30</v>
      </c>
      <c r="K4974" s="16">
        <v>18.21</v>
      </c>
      <c r="L4974" s="17"/>
      <c r="M4974" s="15">
        <f t="shared" si="247"/>
        <v>0</v>
      </c>
      <c r="N4974" s="18">
        <f>0.012*L4974</f>
        <v>0</v>
      </c>
      <c r="O4974" s="19">
        <f>0.00004*L4974</f>
        <v>0</v>
      </c>
      <c r="P4974" s="24" t="s">
        <v>26</v>
      </c>
      <c r="Q4974" s="15" t="s">
        <v>16535</v>
      </c>
      <c r="R4974" s="15"/>
      <c r="S4974" s="10" t="str">
        <f>HYPERLINK("https://miland.ru/api/getInfo/image/69747c29-7ebb-11f1-a29a-00155d82e908")</f>
        <v>https://miland.ru/api/getInfo/image/69747c29-7ebb-11f1-a29a-00155d82e908</v>
      </c>
    </row>
    <row r="4975" spans="1:19" s="2" customFormat="1" ht="96.2" customHeight="1" outlineLevel="4">
      <c r="A4975" s="53">
        <v>3934</v>
      </c>
      <c r="B4975" s="10" t="s">
        <v>16536</v>
      </c>
      <c r="C4975" s="65" t="s">
        <v>16537</v>
      </c>
      <c r="D4975" s="65"/>
      <c r="E4975" s="65"/>
      <c r="F4975" s="65"/>
      <c r="G4975" s="11" t="s">
        <v>16538</v>
      </c>
      <c r="H4975" s="21" t="s">
        <v>44</v>
      </c>
      <c r="I4975" s="15"/>
      <c r="J4975" s="9">
        <v>30</v>
      </c>
      <c r="K4975" s="16">
        <v>18.21</v>
      </c>
      <c r="L4975" s="17"/>
      <c r="M4975" s="15">
        <f t="shared" si="247"/>
        <v>0</v>
      </c>
      <c r="N4975" s="18">
        <f>0.012*L4975</f>
        <v>0</v>
      </c>
      <c r="O4975" s="19">
        <f>0.00004*L4975</f>
        <v>0</v>
      </c>
      <c r="P4975" s="24" t="s">
        <v>26</v>
      </c>
      <c r="Q4975" s="15" t="s">
        <v>16539</v>
      </c>
      <c r="R4975" s="15"/>
      <c r="S4975" s="10" t="str">
        <f>HYPERLINK("https://miland.ru/api/getInfo/image/f0ed01e0-7eba-11f1-a29a-00155d82e908")</f>
        <v>https://miland.ru/api/getInfo/image/f0ed01e0-7eba-11f1-a29a-00155d82e908</v>
      </c>
    </row>
    <row r="4976" spans="1:19" s="2" customFormat="1" ht="96.2" customHeight="1" outlineLevel="4">
      <c r="A4976" s="53">
        <v>3935</v>
      </c>
      <c r="B4976" s="10" t="s">
        <v>16540</v>
      </c>
      <c r="C4976" s="65" t="s">
        <v>16541</v>
      </c>
      <c r="D4976" s="65"/>
      <c r="E4976" s="65"/>
      <c r="F4976" s="65"/>
      <c r="G4976" s="11" t="s">
        <v>16542</v>
      </c>
      <c r="H4976" s="21" t="s">
        <v>44</v>
      </c>
      <c r="I4976" s="15"/>
      <c r="J4976" s="9">
        <v>30</v>
      </c>
      <c r="K4976" s="16">
        <v>18.21</v>
      </c>
      <c r="L4976" s="17"/>
      <c r="M4976" s="15">
        <f t="shared" si="247"/>
        <v>0</v>
      </c>
      <c r="N4976" s="18">
        <f>0.012*L4976</f>
        <v>0</v>
      </c>
      <c r="O4976" s="19">
        <f>0.00004*L4976</f>
        <v>0</v>
      </c>
      <c r="P4976" s="24" t="s">
        <v>26</v>
      </c>
      <c r="Q4976" s="15" t="s">
        <v>16543</v>
      </c>
      <c r="R4976" s="15"/>
      <c r="S4976" s="10" t="str">
        <f>HYPERLINK("https://miland.ru/api/getInfo/image/436daee0-7ebb-11f1-a29a-00155d82e908")</f>
        <v>https://miland.ru/api/getInfo/image/436daee0-7ebb-11f1-a29a-00155d82e908</v>
      </c>
    </row>
    <row r="4977" spans="1:19" s="2" customFormat="1" ht="96.2" customHeight="1" outlineLevel="4">
      <c r="A4977" s="53">
        <v>3936</v>
      </c>
      <c r="B4977" s="10" t="s">
        <v>16544</v>
      </c>
      <c r="C4977" s="65" t="s">
        <v>16545</v>
      </c>
      <c r="D4977" s="65"/>
      <c r="E4977" s="65"/>
      <c r="F4977" s="65"/>
      <c r="G4977" s="11" t="s">
        <v>16546</v>
      </c>
      <c r="H4977" s="21" t="s">
        <v>44</v>
      </c>
      <c r="I4977" s="15"/>
      <c r="J4977" s="9">
        <v>30</v>
      </c>
      <c r="K4977" s="16">
        <v>18.21</v>
      </c>
      <c r="L4977" s="17"/>
      <c r="M4977" s="15">
        <f t="shared" si="247"/>
        <v>0</v>
      </c>
      <c r="N4977" s="18">
        <f>0.012*L4977</f>
        <v>0</v>
      </c>
      <c r="O4977" s="19">
        <f>0.00004*L4977</f>
        <v>0</v>
      </c>
      <c r="P4977" s="24" t="s">
        <v>26</v>
      </c>
      <c r="Q4977" s="15" t="s">
        <v>16547</v>
      </c>
      <c r="R4977" s="15"/>
      <c r="S4977" s="10" t="str">
        <f>HYPERLINK("https://miland.ru/api/getInfo/image/7f60af46-7ebb-11f1-a29a-00155d82e908")</f>
        <v>https://miland.ru/api/getInfo/image/7f60af46-7ebb-11f1-a29a-00155d82e908</v>
      </c>
    </row>
    <row r="4978" spans="1:19" s="2" customFormat="1" ht="96.2" customHeight="1" outlineLevel="4">
      <c r="A4978" s="52">
        <v>3937</v>
      </c>
      <c r="B4978" s="26" t="s">
        <v>16548</v>
      </c>
      <c r="C4978" s="66" t="s">
        <v>16549</v>
      </c>
      <c r="D4978" s="66"/>
      <c r="E4978" s="66"/>
      <c r="F4978" s="66"/>
      <c r="G4978" s="27" t="s">
        <v>16550</v>
      </c>
      <c r="H4978" s="28" t="s">
        <v>44</v>
      </c>
      <c r="I4978" s="29"/>
      <c r="J4978" s="25">
        <v>30</v>
      </c>
      <c r="K4978" s="30">
        <v>18.21</v>
      </c>
      <c r="L4978" s="17"/>
      <c r="M4978" s="29">
        <f t="shared" si="247"/>
        <v>0</v>
      </c>
      <c r="N4978" s="31">
        <f>0.007*L4978</f>
        <v>0</v>
      </c>
      <c r="O4978" s="32">
        <f>0.00003*L4978</f>
        <v>0</v>
      </c>
      <c r="P4978" s="36"/>
      <c r="Q4978" s="29" t="s">
        <v>16551</v>
      </c>
      <c r="R4978" s="29"/>
      <c r="S4978" s="26" t="str">
        <f>HYPERLINK("https://miland.ru/api/getInfo/image/abc41842-6ac7-11ef-a265-00155d82e908")</f>
        <v>https://miland.ru/api/getInfo/image/abc41842-6ac7-11ef-a265-00155d82e908</v>
      </c>
    </row>
    <row r="4979" spans="1:19" s="2" customFormat="1" ht="96.2" customHeight="1" outlineLevel="4">
      <c r="A4979" s="53">
        <v>3938</v>
      </c>
      <c r="B4979" s="10" t="s">
        <v>16552</v>
      </c>
      <c r="C4979" s="65" t="s">
        <v>16553</v>
      </c>
      <c r="D4979" s="65"/>
      <c r="E4979" s="65"/>
      <c r="F4979" s="65"/>
      <c r="G4979" s="11" t="s">
        <v>16554</v>
      </c>
      <c r="H4979" s="21" t="s">
        <v>44</v>
      </c>
      <c r="I4979" s="15"/>
      <c r="J4979" s="9">
        <v>30</v>
      </c>
      <c r="K4979" s="16">
        <v>18.21</v>
      </c>
      <c r="L4979" s="17"/>
      <c r="M4979" s="15">
        <f t="shared" si="247"/>
        <v>0</v>
      </c>
      <c r="N4979" s="18">
        <f>0.009*L4979</f>
        <v>0</v>
      </c>
      <c r="O4979" s="19">
        <f>0.00003*L4979</f>
        <v>0</v>
      </c>
      <c r="P4979" s="24" t="s">
        <v>26</v>
      </c>
      <c r="Q4979" s="15" t="s">
        <v>16555</v>
      </c>
      <c r="R4979" s="15"/>
      <c r="S4979" s="10" t="str">
        <f>HYPERLINK("https://miland.ru/api/getInfo/image/5965eb7c-7ebb-11f1-a29a-00155d82e908")</f>
        <v>https://miland.ru/api/getInfo/image/5965eb7c-7ebb-11f1-a29a-00155d82e908</v>
      </c>
    </row>
    <row r="4980" spans="1:19" s="2" customFormat="1" ht="96.2" customHeight="1" outlineLevel="4">
      <c r="A4980" s="53">
        <v>3939</v>
      </c>
      <c r="B4980" s="10" t="s">
        <v>16556</v>
      </c>
      <c r="C4980" s="65" t="s">
        <v>16557</v>
      </c>
      <c r="D4980" s="65"/>
      <c r="E4980" s="65"/>
      <c r="F4980" s="65"/>
      <c r="G4980" s="11" t="s">
        <v>16558</v>
      </c>
      <c r="H4980" s="21" t="s">
        <v>44</v>
      </c>
      <c r="I4980" s="15"/>
      <c r="J4980" s="9">
        <v>30</v>
      </c>
      <c r="K4980" s="16">
        <v>18.21</v>
      </c>
      <c r="L4980" s="17"/>
      <c r="M4980" s="15">
        <f t="shared" si="247"/>
        <v>0</v>
      </c>
      <c r="N4980" s="18">
        <f>0.012*L4980</f>
        <v>0</v>
      </c>
      <c r="O4980" s="19">
        <f>0.00004*L4980</f>
        <v>0</v>
      </c>
      <c r="P4980" s="24" t="s">
        <v>26</v>
      </c>
      <c r="Q4980" s="15" t="s">
        <v>16559</v>
      </c>
      <c r="R4980" s="15"/>
      <c r="S4980" s="10" t="str">
        <f>HYPERLINK("https://miland.ru/api/getInfo/image/028bef1d-7ebb-11f1-a29a-00155d82e908")</f>
        <v>https://miland.ru/api/getInfo/image/028bef1d-7ebb-11f1-a29a-00155d82e908</v>
      </c>
    </row>
    <row r="4981" spans="1:19" s="2" customFormat="1" ht="96.2" customHeight="1" outlineLevel="4">
      <c r="A4981" s="53">
        <v>3940</v>
      </c>
      <c r="B4981" s="10" t="s">
        <v>16560</v>
      </c>
      <c r="C4981" s="65" t="s">
        <v>16561</v>
      </c>
      <c r="D4981" s="65"/>
      <c r="E4981" s="65"/>
      <c r="F4981" s="65"/>
      <c r="G4981" s="11" t="s">
        <v>16562</v>
      </c>
      <c r="H4981" s="21" t="s">
        <v>44</v>
      </c>
      <c r="I4981" s="15"/>
      <c r="J4981" s="9">
        <v>30</v>
      </c>
      <c r="K4981" s="16">
        <v>18.21</v>
      </c>
      <c r="L4981" s="17"/>
      <c r="M4981" s="15">
        <f t="shared" si="247"/>
        <v>0</v>
      </c>
      <c r="N4981" s="18">
        <f>0.012*L4981</f>
        <v>0</v>
      </c>
      <c r="O4981" s="19">
        <f>0.00004*L4981</f>
        <v>0</v>
      </c>
      <c r="P4981" s="24" t="s">
        <v>26</v>
      </c>
      <c r="Q4981" s="15" t="s">
        <v>16563</v>
      </c>
      <c r="R4981" s="15"/>
      <c r="S4981" s="10" t="str">
        <f>HYPERLINK("https://miland.ru/api/getInfo/image/12903fcd-7ebb-11f1-a29a-00155d82e908")</f>
        <v>https://miland.ru/api/getInfo/image/12903fcd-7ebb-11f1-a29a-00155d82e908</v>
      </c>
    </row>
    <row r="4982" spans="1:19" s="2" customFormat="1" ht="96.2" customHeight="1" outlineLevel="4">
      <c r="A4982" s="53">
        <v>3941</v>
      </c>
      <c r="B4982" s="10" t="s">
        <v>16564</v>
      </c>
      <c r="C4982" s="65" t="s">
        <v>16565</v>
      </c>
      <c r="D4982" s="65"/>
      <c r="E4982" s="65"/>
      <c r="F4982" s="65"/>
      <c r="G4982" s="11" t="s">
        <v>16566</v>
      </c>
      <c r="H4982" s="21" t="s">
        <v>44</v>
      </c>
      <c r="I4982" s="15"/>
      <c r="J4982" s="9">
        <v>30</v>
      </c>
      <c r="K4982" s="16">
        <v>18.21</v>
      </c>
      <c r="L4982" s="17"/>
      <c r="M4982" s="15">
        <f t="shared" si="247"/>
        <v>0</v>
      </c>
      <c r="N4982" s="18">
        <f>0.018*L4982</f>
        <v>0</v>
      </c>
      <c r="O4982" s="19">
        <f>0.00004*L4982</f>
        <v>0</v>
      </c>
      <c r="P4982" s="24" t="s">
        <v>26</v>
      </c>
      <c r="Q4982" s="15" t="s">
        <v>16567</v>
      </c>
      <c r="R4982" s="15"/>
      <c r="S4982" s="10" t="str">
        <f>HYPERLINK("https://miland.ru/api/getInfo/image/17eb75ec-0e32-11f1-a28f-00155d82e908")</f>
        <v>https://miland.ru/api/getInfo/image/17eb75ec-0e32-11f1-a28f-00155d82e908</v>
      </c>
    </row>
    <row r="4983" spans="1:19" s="2" customFormat="1" ht="96.2" customHeight="1" outlineLevel="4">
      <c r="A4983" s="52">
        <v>3942</v>
      </c>
      <c r="B4983" s="26" t="s">
        <v>16568</v>
      </c>
      <c r="C4983" s="66" t="s">
        <v>16569</v>
      </c>
      <c r="D4983" s="66"/>
      <c r="E4983" s="66"/>
      <c r="F4983" s="66"/>
      <c r="G4983" s="27" t="s">
        <v>16570</v>
      </c>
      <c r="H4983" s="28" t="s">
        <v>44</v>
      </c>
      <c r="I4983" s="29"/>
      <c r="J4983" s="25">
        <v>30</v>
      </c>
      <c r="K4983" s="30">
        <v>18.21</v>
      </c>
      <c r="L4983" s="17"/>
      <c r="M4983" s="29">
        <f t="shared" si="247"/>
        <v>0</v>
      </c>
      <c r="N4983" s="31">
        <f>0.007*L4983</f>
        <v>0</v>
      </c>
      <c r="O4983" s="32">
        <f>0.00003*L4983</f>
        <v>0</v>
      </c>
      <c r="P4983" s="36"/>
      <c r="Q4983" s="29" t="s">
        <v>16571</v>
      </c>
      <c r="R4983" s="29"/>
      <c r="S4983" s="26" t="str">
        <f>HYPERLINK("https://miland.ru/api/getInfo/image/d3640bfe-6ac6-11ef-a265-00155d82e908")</f>
        <v>https://miland.ru/api/getInfo/image/d3640bfe-6ac6-11ef-a265-00155d82e908</v>
      </c>
    </row>
    <row r="4984" spans="1:19" s="2" customFormat="1" ht="96.2" customHeight="1" outlineLevel="4">
      <c r="A4984" s="52">
        <v>3943</v>
      </c>
      <c r="B4984" s="26" t="s">
        <v>16572</v>
      </c>
      <c r="C4984" s="66" t="s">
        <v>16573</v>
      </c>
      <c r="D4984" s="66"/>
      <c r="E4984" s="66"/>
      <c r="F4984" s="66"/>
      <c r="G4984" s="27" t="s">
        <v>16574</v>
      </c>
      <c r="H4984" s="28" t="s">
        <v>44</v>
      </c>
      <c r="I4984" s="29"/>
      <c r="J4984" s="25">
        <v>30</v>
      </c>
      <c r="K4984" s="30">
        <v>18.21</v>
      </c>
      <c r="L4984" s="17"/>
      <c r="M4984" s="29">
        <f t="shared" si="247"/>
        <v>0</v>
      </c>
      <c r="N4984" s="31">
        <f>0.007*L4984</f>
        <v>0</v>
      </c>
      <c r="O4984" s="32">
        <f>0.00003*L4984</f>
        <v>0</v>
      </c>
      <c r="P4984" s="36"/>
      <c r="Q4984" s="29" t="s">
        <v>16575</v>
      </c>
      <c r="R4984" s="29"/>
      <c r="S4984" s="26" t="str">
        <f>HYPERLINK("https://miland.ru/api/getInfo/image/79caf293-6ac8-11ef-a265-00155d82e908")</f>
        <v>https://miland.ru/api/getInfo/image/79caf293-6ac8-11ef-a265-00155d82e908</v>
      </c>
    </row>
    <row r="4985" spans="1:19" s="2" customFormat="1" ht="96.2" customHeight="1" outlineLevel="4">
      <c r="A4985" s="52">
        <v>3944</v>
      </c>
      <c r="B4985" s="26" t="s">
        <v>16576</v>
      </c>
      <c r="C4985" s="66" t="s">
        <v>16577</v>
      </c>
      <c r="D4985" s="66"/>
      <c r="E4985" s="66"/>
      <c r="F4985" s="66"/>
      <c r="G4985" s="27" t="s">
        <v>16578</v>
      </c>
      <c r="H4985" s="28" t="s">
        <v>44</v>
      </c>
      <c r="I4985" s="29"/>
      <c r="J4985" s="25">
        <v>30</v>
      </c>
      <c r="K4985" s="30">
        <v>18.21</v>
      </c>
      <c r="L4985" s="17"/>
      <c r="M4985" s="29">
        <f t="shared" si="247"/>
        <v>0</v>
      </c>
      <c r="N4985" s="31">
        <f>0.007*L4985</f>
        <v>0</v>
      </c>
      <c r="O4985" s="32">
        <f>0.00003*L4985</f>
        <v>0</v>
      </c>
      <c r="P4985" s="36"/>
      <c r="Q4985" s="29" t="s">
        <v>16579</v>
      </c>
      <c r="R4985" s="29"/>
      <c r="S4985" s="26" t="str">
        <f>HYPERLINK("https://miland.ru/api/getInfo/image/3415de59-86f9-11f0-a284-00155d82e908")</f>
        <v>https://miland.ru/api/getInfo/image/3415de59-86f9-11f0-a284-00155d82e908</v>
      </c>
    </row>
    <row r="4986" spans="1:19" s="2" customFormat="1" ht="96.2" customHeight="1" outlineLevel="4">
      <c r="A4986" s="53">
        <v>3945</v>
      </c>
      <c r="B4986" s="10" t="s">
        <v>16580</v>
      </c>
      <c r="C4986" s="65" t="s">
        <v>16581</v>
      </c>
      <c r="D4986" s="65"/>
      <c r="E4986" s="65"/>
      <c r="F4986" s="65"/>
      <c r="G4986" s="11" t="s">
        <v>16582</v>
      </c>
      <c r="H4986" s="21" t="s">
        <v>44</v>
      </c>
      <c r="I4986" s="15"/>
      <c r="J4986" s="9">
        <v>30</v>
      </c>
      <c r="K4986" s="16">
        <v>18.21</v>
      </c>
      <c r="L4986" s="17"/>
      <c r="M4986" s="15">
        <f t="shared" si="247"/>
        <v>0</v>
      </c>
      <c r="N4986" s="18">
        <f t="shared" ref="N4986:N4992" si="248">0.018*L4986</f>
        <v>0</v>
      </c>
      <c r="O4986" s="19">
        <f t="shared" ref="O4986:O4992" si="249">0.00004*L4986</f>
        <v>0</v>
      </c>
      <c r="P4986" s="24" t="s">
        <v>26</v>
      </c>
      <c r="Q4986" s="15" t="s">
        <v>16583</v>
      </c>
      <c r="R4986" s="15"/>
      <c r="S4986" s="10" t="str">
        <f>HYPERLINK("https://miland.ru/api/getInfo/image/2cdd20f3-0e32-11f1-a28f-00155d82e908")</f>
        <v>https://miland.ru/api/getInfo/image/2cdd20f3-0e32-11f1-a28f-00155d82e908</v>
      </c>
    </row>
    <row r="4987" spans="1:19" s="2" customFormat="1" ht="96.2" customHeight="1" outlineLevel="4">
      <c r="A4987" s="53">
        <v>3946</v>
      </c>
      <c r="B4987" s="10" t="s">
        <v>16584</v>
      </c>
      <c r="C4987" s="65" t="s">
        <v>16585</v>
      </c>
      <c r="D4987" s="65"/>
      <c r="E4987" s="65"/>
      <c r="F4987" s="65"/>
      <c r="G4987" s="11" t="s">
        <v>16586</v>
      </c>
      <c r="H4987" s="21" t="s">
        <v>44</v>
      </c>
      <c r="I4987" s="15"/>
      <c r="J4987" s="9">
        <v>30</v>
      </c>
      <c r="K4987" s="16">
        <v>18.21</v>
      </c>
      <c r="L4987" s="17"/>
      <c r="M4987" s="15">
        <f t="shared" si="247"/>
        <v>0</v>
      </c>
      <c r="N4987" s="18">
        <f t="shared" si="248"/>
        <v>0</v>
      </c>
      <c r="O4987" s="19">
        <f t="shared" si="249"/>
        <v>0</v>
      </c>
      <c r="P4987" s="24" t="s">
        <v>26</v>
      </c>
      <c r="Q4987" s="15" t="s">
        <v>16587</v>
      </c>
      <c r="R4987" s="15"/>
      <c r="S4987" s="10" t="str">
        <f>HYPERLINK("https://miland.ru/api/getInfo/image/eea71fbb-0e31-11f1-a28f-00155d82e908")</f>
        <v>https://miland.ru/api/getInfo/image/eea71fbb-0e31-11f1-a28f-00155d82e908</v>
      </c>
    </row>
    <row r="4988" spans="1:19" s="2" customFormat="1" ht="96.2" customHeight="1" outlineLevel="4">
      <c r="A4988" s="53">
        <v>3947</v>
      </c>
      <c r="B4988" s="10" t="s">
        <v>16588</v>
      </c>
      <c r="C4988" s="65" t="s">
        <v>16589</v>
      </c>
      <c r="D4988" s="65"/>
      <c r="E4988" s="65"/>
      <c r="F4988" s="65"/>
      <c r="G4988" s="11" t="s">
        <v>16590</v>
      </c>
      <c r="H4988" s="21" t="s">
        <v>44</v>
      </c>
      <c r="I4988" s="15"/>
      <c r="J4988" s="9">
        <v>30</v>
      </c>
      <c r="K4988" s="16">
        <v>18.21</v>
      </c>
      <c r="L4988" s="17"/>
      <c r="M4988" s="15">
        <f t="shared" si="247"/>
        <v>0</v>
      </c>
      <c r="N4988" s="18">
        <f t="shared" si="248"/>
        <v>0</v>
      </c>
      <c r="O4988" s="19">
        <f t="shared" si="249"/>
        <v>0</v>
      </c>
      <c r="P4988" s="24" t="s">
        <v>26</v>
      </c>
      <c r="Q4988" s="15" t="s">
        <v>16591</v>
      </c>
      <c r="R4988" s="15"/>
      <c r="S4988" s="10" t="str">
        <f>HYPERLINK("https://miland.ru/api/getInfo/image/775fa6f8-0e31-11f1-a28f-00155d82e908")</f>
        <v>https://miland.ru/api/getInfo/image/775fa6f8-0e31-11f1-a28f-00155d82e908</v>
      </c>
    </row>
    <row r="4989" spans="1:19" s="2" customFormat="1" ht="96.2" customHeight="1" outlineLevel="4">
      <c r="A4989" s="53">
        <v>3948</v>
      </c>
      <c r="B4989" s="10" t="s">
        <v>16592</v>
      </c>
      <c r="C4989" s="65" t="s">
        <v>16593</v>
      </c>
      <c r="D4989" s="65"/>
      <c r="E4989" s="65"/>
      <c r="F4989" s="65"/>
      <c r="G4989" s="11" t="s">
        <v>16594</v>
      </c>
      <c r="H4989" s="21" t="s">
        <v>44</v>
      </c>
      <c r="I4989" s="15"/>
      <c r="J4989" s="9">
        <v>30</v>
      </c>
      <c r="K4989" s="16">
        <v>18.21</v>
      </c>
      <c r="L4989" s="17"/>
      <c r="M4989" s="15">
        <f t="shared" si="247"/>
        <v>0</v>
      </c>
      <c r="N4989" s="18">
        <f t="shared" si="248"/>
        <v>0</v>
      </c>
      <c r="O4989" s="19">
        <f t="shared" si="249"/>
        <v>0</v>
      </c>
      <c r="P4989" s="24" t="s">
        <v>26</v>
      </c>
      <c r="Q4989" s="15" t="s">
        <v>16595</v>
      </c>
      <c r="R4989" s="15"/>
      <c r="S4989" s="10" t="str">
        <f>HYPERLINK("https://miland.ru/api/getInfo/image/48d869cb-0e31-11f1-a28f-00155d82e908")</f>
        <v>https://miland.ru/api/getInfo/image/48d869cb-0e31-11f1-a28f-00155d82e908</v>
      </c>
    </row>
    <row r="4990" spans="1:19" s="2" customFormat="1" ht="96.2" customHeight="1" outlineLevel="4">
      <c r="A4990" s="53">
        <v>3949</v>
      </c>
      <c r="B4990" s="10" t="s">
        <v>16596</v>
      </c>
      <c r="C4990" s="65" t="s">
        <v>16597</v>
      </c>
      <c r="D4990" s="65"/>
      <c r="E4990" s="65"/>
      <c r="F4990" s="65"/>
      <c r="G4990" s="11" t="s">
        <v>16598</v>
      </c>
      <c r="H4990" s="21" t="s">
        <v>44</v>
      </c>
      <c r="I4990" s="15"/>
      <c r="J4990" s="9">
        <v>30</v>
      </c>
      <c r="K4990" s="16">
        <v>18.21</v>
      </c>
      <c r="L4990" s="17"/>
      <c r="M4990" s="15">
        <f t="shared" si="247"/>
        <v>0</v>
      </c>
      <c r="N4990" s="18">
        <f t="shared" si="248"/>
        <v>0</v>
      </c>
      <c r="O4990" s="19">
        <f t="shared" si="249"/>
        <v>0</v>
      </c>
      <c r="P4990" s="24" t="s">
        <v>26</v>
      </c>
      <c r="Q4990" s="15" t="s">
        <v>16599</v>
      </c>
      <c r="R4990" s="15"/>
      <c r="S4990" s="10" t="str">
        <f>HYPERLINK("https://miland.ru/api/getInfo/image/db083422-0e31-11f1-a28f-00155d82e908")</f>
        <v>https://miland.ru/api/getInfo/image/db083422-0e31-11f1-a28f-00155d82e908</v>
      </c>
    </row>
    <row r="4991" spans="1:19" s="2" customFormat="1" ht="96.2" customHeight="1" outlineLevel="4">
      <c r="A4991" s="53">
        <v>3950</v>
      </c>
      <c r="B4991" s="10" t="s">
        <v>16600</v>
      </c>
      <c r="C4991" s="65" t="s">
        <v>16601</v>
      </c>
      <c r="D4991" s="65"/>
      <c r="E4991" s="65"/>
      <c r="F4991" s="65"/>
      <c r="G4991" s="11" t="s">
        <v>16602</v>
      </c>
      <c r="H4991" s="21" t="s">
        <v>44</v>
      </c>
      <c r="I4991" s="15"/>
      <c r="J4991" s="9">
        <v>30</v>
      </c>
      <c r="K4991" s="16">
        <v>18.21</v>
      </c>
      <c r="L4991" s="17"/>
      <c r="M4991" s="15">
        <f t="shared" si="247"/>
        <v>0</v>
      </c>
      <c r="N4991" s="18">
        <f t="shared" si="248"/>
        <v>0</v>
      </c>
      <c r="O4991" s="19">
        <f t="shared" si="249"/>
        <v>0</v>
      </c>
      <c r="P4991" s="24" t="s">
        <v>26</v>
      </c>
      <c r="Q4991" s="15" t="s">
        <v>16603</v>
      </c>
      <c r="R4991" s="15"/>
      <c r="S4991" s="10" t="str">
        <f>HYPERLINK("https://miland.ru/api/getInfo/image/bf183605-0e31-11f1-a28f-00155d82e908")</f>
        <v>https://miland.ru/api/getInfo/image/bf183605-0e31-11f1-a28f-00155d82e908</v>
      </c>
    </row>
    <row r="4992" spans="1:19" s="2" customFormat="1" ht="96.2" customHeight="1" outlineLevel="4">
      <c r="A4992" s="53">
        <v>3951</v>
      </c>
      <c r="B4992" s="10" t="s">
        <v>16604</v>
      </c>
      <c r="C4992" s="65" t="s">
        <v>16605</v>
      </c>
      <c r="D4992" s="65"/>
      <c r="E4992" s="65"/>
      <c r="F4992" s="65"/>
      <c r="G4992" s="11" t="s">
        <v>16606</v>
      </c>
      <c r="H4992" s="21" t="s">
        <v>44</v>
      </c>
      <c r="I4992" s="15"/>
      <c r="J4992" s="9">
        <v>30</v>
      </c>
      <c r="K4992" s="16">
        <v>18.21</v>
      </c>
      <c r="L4992" s="17"/>
      <c r="M4992" s="15">
        <f t="shared" si="247"/>
        <v>0</v>
      </c>
      <c r="N4992" s="18">
        <f t="shared" si="248"/>
        <v>0</v>
      </c>
      <c r="O4992" s="19">
        <f t="shared" si="249"/>
        <v>0</v>
      </c>
      <c r="P4992" s="24" t="s">
        <v>26</v>
      </c>
      <c r="Q4992" s="15" t="s">
        <v>16607</v>
      </c>
      <c r="R4992" s="15"/>
      <c r="S4992" s="10" t="str">
        <f>HYPERLINK("https://miland.ru/api/getInfo/image/7f2b5a38-0e30-11f1-a28f-00155d82e908")</f>
        <v>https://miland.ru/api/getInfo/image/7f2b5a38-0e30-11f1-a28f-00155d82e908</v>
      </c>
    </row>
    <row r="4993" spans="1:19" s="1" customFormat="1" ht="12" customHeight="1" outlineLevel="3">
      <c r="A4993" s="64" t="s">
        <v>16608</v>
      </c>
      <c r="B4993" s="64"/>
      <c r="C4993" s="64"/>
      <c r="D4993" s="64"/>
      <c r="E4993" s="64"/>
      <c r="F4993" s="64"/>
      <c r="G4993" s="8"/>
      <c r="H4993" s="12"/>
      <c r="I4993" s="2"/>
      <c r="J4993" s="2"/>
      <c r="K4993" s="13"/>
      <c r="L4993" s="2"/>
      <c r="M4993" s="2"/>
      <c r="N4993" s="2"/>
      <c r="O4993" s="2"/>
      <c r="P4993" s="2"/>
      <c r="Q4993" s="2"/>
      <c r="R4993" s="2"/>
      <c r="S4993" s="2"/>
    </row>
    <row r="4994" spans="1:19" s="2" customFormat="1" ht="96.2" customHeight="1" outlineLevel="4">
      <c r="A4994" s="53">
        <v>3952</v>
      </c>
      <c r="B4994" s="10" t="s">
        <v>16609</v>
      </c>
      <c r="C4994" s="65" t="s">
        <v>16610</v>
      </c>
      <c r="D4994" s="65"/>
      <c r="E4994" s="65"/>
      <c r="F4994" s="65"/>
      <c r="G4994" s="11" t="s">
        <v>16611</v>
      </c>
      <c r="H4994" s="21" t="s">
        <v>44</v>
      </c>
      <c r="I4994" s="15"/>
      <c r="J4994" s="9">
        <v>20</v>
      </c>
      <c r="K4994" s="16">
        <v>20.64</v>
      </c>
      <c r="L4994" s="17"/>
      <c r="M4994" s="15">
        <f t="shared" ref="M4994:M5010" si="250">K4994*L4994</f>
        <v>0</v>
      </c>
      <c r="N4994" s="18">
        <f t="shared" ref="N4994:N5008" si="251">0.009*L4994</f>
        <v>0</v>
      </c>
      <c r="O4994" s="19">
        <f>0.00129*L4994</f>
        <v>0</v>
      </c>
      <c r="P4994" s="24" t="s">
        <v>26</v>
      </c>
      <c r="Q4994" s="15" t="s">
        <v>16612</v>
      </c>
      <c r="R4994" s="15"/>
      <c r="S4994" s="10" t="str">
        <f>HYPERLINK("https://miland.ru/api/getInfo/image/61a29729-7cf5-11f0-a284-00155d82e908")</f>
        <v>https://miland.ru/api/getInfo/image/61a29729-7cf5-11f0-a284-00155d82e908</v>
      </c>
    </row>
    <row r="4995" spans="1:19" s="2" customFormat="1" ht="96.2" customHeight="1" outlineLevel="4">
      <c r="A4995" s="53">
        <v>3953</v>
      </c>
      <c r="B4995" s="10" t="s">
        <v>16613</v>
      </c>
      <c r="C4995" s="65" t="s">
        <v>16614</v>
      </c>
      <c r="D4995" s="65"/>
      <c r="E4995" s="65"/>
      <c r="F4995" s="65"/>
      <c r="G4995" s="11" t="s">
        <v>16615</v>
      </c>
      <c r="H4995" s="21" t="s">
        <v>44</v>
      </c>
      <c r="I4995" s="15"/>
      <c r="J4995" s="9">
        <v>20</v>
      </c>
      <c r="K4995" s="16">
        <v>20.64</v>
      </c>
      <c r="L4995" s="17"/>
      <c r="M4995" s="15">
        <f t="shared" si="250"/>
        <v>0</v>
      </c>
      <c r="N4995" s="18">
        <f t="shared" si="251"/>
        <v>0</v>
      </c>
      <c r="O4995" s="15">
        <v>0</v>
      </c>
      <c r="P4995" s="24" t="s">
        <v>26</v>
      </c>
      <c r="Q4995" s="15" t="s">
        <v>16616</v>
      </c>
      <c r="R4995" s="15"/>
      <c r="S4995" s="10" t="str">
        <f>HYPERLINK("https://miland.ru/api/getInfo/image/3286e90d-7cf7-11f0-a284-00155d82e908")</f>
        <v>https://miland.ru/api/getInfo/image/3286e90d-7cf7-11f0-a284-00155d82e908</v>
      </c>
    </row>
    <row r="4996" spans="1:19" s="2" customFormat="1" ht="96.2" customHeight="1" outlineLevel="4">
      <c r="A4996" s="53">
        <v>3954</v>
      </c>
      <c r="B4996" s="10" t="s">
        <v>16617</v>
      </c>
      <c r="C4996" s="65" t="s">
        <v>16618</v>
      </c>
      <c r="D4996" s="65"/>
      <c r="E4996" s="65"/>
      <c r="F4996" s="65"/>
      <c r="G4996" s="11" t="s">
        <v>16619</v>
      </c>
      <c r="H4996" s="21" t="s">
        <v>44</v>
      </c>
      <c r="I4996" s="15"/>
      <c r="J4996" s="9">
        <v>20</v>
      </c>
      <c r="K4996" s="16">
        <v>20.64</v>
      </c>
      <c r="L4996" s="17"/>
      <c r="M4996" s="15">
        <f t="shared" si="250"/>
        <v>0</v>
      </c>
      <c r="N4996" s="18">
        <f t="shared" si="251"/>
        <v>0</v>
      </c>
      <c r="O4996" s="19">
        <f t="shared" ref="O4996:O5008" si="252">0.00001*L4996</f>
        <v>0</v>
      </c>
      <c r="P4996" s="24" t="s">
        <v>26</v>
      </c>
      <c r="Q4996" s="15" t="s">
        <v>16620</v>
      </c>
      <c r="R4996" s="15"/>
      <c r="S4996" s="10" t="str">
        <f>HYPERLINK("https://miland.ru/api/getInfo/image/0606e782-7cf5-11f0-a284-00155d82e908")</f>
        <v>https://miland.ru/api/getInfo/image/0606e782-7cf5-11f0-a284-00155d82e908</v>
      </c>
    </row>
    <row r="4997" spans="1:19" s="2" customFormat="1" ht="96.2" customHeight="1" outlineLevel="4">
      <c r="A4997" s="53">
        <v>3955</v>
      </c>
      <c r="B4997" s="10" t="s">
        <v>16621</v>
      </c>
      <c r="C4997" s="65" t="s">
        <v>16622</v>
      </c>
      <c r="D4997" s="65"/>
      <c r="E4997" s="65"/>
      <c r="F4997" s="65"/>
      <c r="G4997" s="11" t="s">
        <v>16623</v>
      </c>
      <c r="H4997" s="21" t="s">
        <v>44</v>
      </c>
      <c r="I4997" s="15"/>
      <c r="J4997" s="9">
        <v>20</v>
      </c>
      <c r="K4997" s="16">
        <v>20.64</v>
      </c>
      <c r="L4997" s="17"/>
      <c r="M4997" s="15">
        <f t="shared" si="250"/>
        <v>0</v>
      </c>
      <c r="N4997" s="18">
        <f t="shared" si="251"/>
        <v>0</v>
      </c>
      <c r="O4997" s="19">
        <f t="shared" si="252"/>
        <v>0</v>
      </c>
      <c r="P4997" s="24" t="s">
        <v>26</v>
      </c>
      <c r="Q4997" s="15" t="s">
        <v>16624</v>
      </c>
      <c r="R4997" s="15"/>
      <c r="S4997" s="10" t="str">
        <f>HYPERLINK("https://miland.ru/api/getInfo/image/fb0b63ac-7cf6-11f0-a284-00155d82e908")</f>
        <v>https://miland.ru/api/getInfo/image/fb0b63ac-7cf6-11f0-a284-00155d82e908</v>
      </c>
    </row>
    <row r="4998" spans="1:19" s="2" customFormat="1" ht="96.2" customHeight="1" outlineLevel="4">
      <c r="A4998" s="53">
        <v>3956</v>
      </c>
      <c r="B4998" s="10" t="s">
        <v>16625</v>
      </c>
      <c r="C4998" s="65" t="s">
        <v>16626</v>
      </c>
      <c r="D4998" s="65"/>
      <c r="E4998" s="65"/>
      <c r="F4998" s="65"/>
      <c r="G4998" s="11" t="s">
        <v>16627</v>
      </c>
      <c r="H4998" s="21" t="s">
        <v>44</v>
      </c>
      <c r="I4998" s="15"/>
      <c r="J4998" s="9">
        <v>20</v>
      </c>
      <c r="K4998" s="16">
        <v>20.64</v>
      </c>
      <c r="L4998" s="17"/>
      <c r="M4998" s="15">
        <f t="shared" si="250"/>
        <v>0</v>
      </c>
      <c r="N4998" s="18">
        <f t="shared" si="251"/>
        <v>0</v>
      </c>
      <c r="O4998" s="19">
        <f t="shared" si="252"/>
        <v>0</v>
      </c>
      <c r="P4998" s="24" t="s">
        <v>26</v>
      </c>
      <c r="Q4998" s="15" t="s">
        <v>16628</v>
      </c>
      <c r="R4998" s="15"/>
      <c r="S4998" s="10" t="str">
        <f>HYPERLINK("https://miland.ru/api/getInfo/image/348c8ac3-7cf5-11f0-a284-00155d82e908")</f>
        <v>https://miland.ru/api/getInfo/image/348c8ac3-7cf5-11f0-a284-00155d82e908</v>
      </c>
    </row>
    <row r="4999" spans="1:19" s="2" customFormat="1" ht="96.2" customHeight="1" outlineLevel="4">
      <c r="A4999" s="53">
        <v>3957</v>
      </c>
      <c r="B4999" s="10" t="s">
        <v>16629</v>
      </c>
      <c r="C4999" s="65" t="s">
        <v>16630</v>
      </c>
      <c r="D4999" s="65"/>
      <c r="E4999" s="65"/>
      <c r="F4999" s="65"/>
      <c r="G4999" s="11" t="s">
        <v>16631</v>
      </c>
      <c r="H4999" s="21" t="s">
        <v>44</v>
      </c>
      <c r="I4999" s="15"/>
      <c r="J4999" s="9">
        <v>20</v>
      </c>
      <c r="K4999" s="16">
        <v>20.64</v>
      </c>
      <c r="L4999" s="17"/>
      <c r="M4999" s="15">
        <f t="shared" si="250"/>
        <v>0</v>
      </c>
      <c r="N4999" s="18">
        <f t="shared" si="251"/>
        <v>0</v>
      </c>
      <c r="O4999" s="19">
        <f t="shared" si="252"/>
        <v>0</v>
      </c>
      <c r="P4999" s="24" t="s">
        <v>26</v>
      </c>
      <c r="Q4999" s="15" t="s">
        <v>16632</v>
      </c>
      <c r="R4999" s="15"/>
      <c r="S4999" s="10" t="str">
        <f>HYPERLINK("https://miland.ru/api/getInfo/image/a46a19b5-7cf7-11f0-a284-00155d82e908")</f>
        <v>https://miland.ru/api/getInfo/image/a46a19b5-7cf7-11f0-a284-00155d82e908</v>
      </c>
    </row>
    <row r="5000" spans="1:19" s="2" customFormat="1" ht="96.2" customHeight="1" outlineLevel="4">
      <c r="A5000" s="53">
        <v>3958</v>
      </c>
      <c r="B5000" s="10" t="s">
        <v>16633</v>
      </c>
      <c r="C5000" s="65" t="s">
        <v>16634</v>
      </c>
      <c r="D5000" s="65"/>
      <c r="E5000" s="65"/>
      <c r="F5000" s="65"/>
      <c r="G5000" s="11" t="s">
        <v>16635</v>
      </c>
      <c r="H5000" s="21" t="s">
        <v>44</v>
      </c>
      <c r="I5000" s="15"/>
      <c r="J5000" s="9">
        <v>20</v>
      </c>
      <c r="K5000" s="16">
        <v>20.64</v>
      </c>
      <c r="L5000" s="17"/>
      <c r="M5000" s="15">
        <f t="shared" si="250"/>
        <v>0</v>
      </c>
      <c r="N5000" s="18">
        <f t="shared" si="251"/>
        <v>0</v>
      </c>
      <c r="O5000" s="19">
        <f t="shared" si="252"/>
        <v>0</v>
      </c>
      <c r="P5000" s="24" t="s">
        <v>26</v>
      </c>
      <c r="Q5000" s="15" t="s">
        <v>16636</v>
      </c>
      <c r="R5000" s="15"/>
      <c r="S5000" s="10" t="str">
        <f>HYPERLINK("https://miland.ru/api/getInfo/image/b4b81f5e-7cf4-11f0-a284-00155d82e908")</f>
        <v>https://miland.ru/api/getInfo/image/b4b81f5e-7cf4-11f0-a284-00155d82e908</v>
      </c>
    </row>
    <row r="5001" spans="1:19" s="2" customFormat="1" ht="96.2" customHeight="1" outlineLevel="4">
      <c r="A5001" s="53">
        <v>3959</v>
      </c>
      <c r="B5001" s="10" t="s">
        <v>16637</v>
      </c>
      <c r="C5001" s="65" t="s">
        <v>16638</v>
      </c>
      <c r="D5001" s="65"/>
      <c r="E5001" s="65"/>
      <c r="F5001" s="65"/>
      <c r="G5001" s="11" t="s">
        <v>16639</v>
      </c>
      <c r="H5001" s="21" t="s">
        <v>44</v>
      </c>
      <c r="I5001" s="15"/>
      <c r="J5001" s="9">
        <v>20</v>
      </c>
      <c r="K5001" s="16">
        <v>20.64</v>
      </c>
      <c r="L5001" s="17"/>
      <c r="M5001" s="15">
        <f t="shared" si="250"/>
        <v>0</v>
      </c>
      <c r="N5001" s="18">
        <f t="shared" si="251"/>
        <v>0</v>
      </c>
      <c r="O5001" s="19">
        <f t="shared" si="252"/>
        <v>0</v>
      </c>
      <c r="P5001" s="24" t="s">
        <v>26</v>
      </c>
      <c r="Q5001" s="15" t="s">
        <v>16640</v>
      </c>
      <c r="R5001" s="15"/>
      <c r="S5001" s="10" t="str">
        <f>HYPERLINK("https://miland.ru/api/getInfo/image/1a421bf5-7cf5-11f0-a284-00155d82e908")</f>
        <v>https://miland.ru/api/getInfo/image/1a421bf5-7cf5-11f0-a284-00155d82e908</v>
      </c>
    </row>
    <row r="5002" spans="1:19" s="2" customFormat="1" ht="96.2" customHeight="1" outlineLevel="4">
      <c r="A5002" s="53">
        <v>3960</v>
      </c>
      <c r="B5002" s="10" t="s">
        <v>16641</v>
      </c>
      <c r="C5002" s="65" t="s">
        <v>16642</v>
      </c>
      <c r="D5002" s="65"/>
      <c r="E5002" s="65"/>
      <c r="F5002" s="65"/>
      <c r="G5002" s="11" t="s">
        <v>16643</v>
      </c>
      <c r="H5002" s="21" t="s">
        <v>44</v>
      </c>
      <c r="I5002" s="15"/>
      <c r="J5002" s="9">
        <v>20</v>
      </c>
      <c r="K5002" s="16">
        <v>20.64</v>
      </c>
      <c r="L5002" s="17"/>
      <c r="M5002" s="15">
        <f t="shared" si="250"/>
        <v>0</v>
      </c>
      <c r="N5002" s="18">
        <f t="shared" si="251"/>
        <v>0</v>
      </c>
      <c r="O5002" s="19">
        <f t="shared" si="252"/>
        <v>0</v>
      </c>
      <c r="P5002" s="24" t="s">
        <v>26</v>
      </c>
      <c r="Q5002" s="15" t="s">
        <v>16644</v>
      </c>
      <c r="R5002" s="15"/>
      <c r="S5002" s="10" t="str">
        <f>HYPERLINK("https://miland.ru/api/getInfo/image/12d84d84-7cf7-11f0-a284-00155d82e908")</f>
        <v>https://miland.ru/api/getInfo/image/12d84d84-7cf7-11f0-a284-00155d82e908</v>
      </c>
    </row>
    <row r="5003" spans="1:19" s="2" customFormat="1" ht="96.2" customHeight="1" outlineLevel="4">
      <c r="A5003" s="53">
        <v>3961</v>
      </c>
      <c r="B5003" s="10" t="s">
        <v>16645</v>
      </c>
      <c r="C5003" s="65" t="s">
        <v>16646</v>
      </c>
      <c r="D5003" s="65"/>
      <c r="E5003" s="65"/>
      <c r="F5003" s="65"/>
      <c r="G5003" s="11" t="s">
        <v>16647</v>
      </c>
      <c r="H5003" s="21" t="s">
        <v>44</v>
      </c>
      <c r="I5003" s="15"/>
      <c r="J5003" s="9">
        <v>20</v>
      </c>
      <c r="K5003" s="16">
        <v>20.64</v>
      </c>
      <c r="L5003" s="17"/>
      <c r="M5003" s="15">
        <f t="shared" si="250"/>
        <v>0</v>
      </c>
      <c r="N5003" s="18">
        <f t="shared" si="251"/>
        <v>0</v>
      </c>
      <c r="O5003" s="19">
        <f t="shared" si="252"/>
        <v>0</v>
      </c>
      <c r="P5003" s="24" t="s">
        <v>26</v>
      </c>
      <c r="Q5003" s="15" t="s">
        <v>16648</v>
      </c>
      <c r="R5003" s="15"/>
      <c r="S5003" s="10" t="str">
        <f>HYPERLINK("https://miland.ru/api/getInfo/image/4d24a867-7cf7-11f0-a284-00155d82e908")</f>
        <v>https://miland.ru/api/getInfo/image/4d24a867-7cf7-11f0-a284-00155d82e908</v>
      </c>
    </row>
    <row r="5004" spans="1:19" s="2" customFormat="1" ht="96.2" customHeight="1" outlineLevel="4">
      <c r="A5004" s="53">
        <v>3962</v>
      </c>
      <c r="B5004" s="10" t="s">
        <v>16649</v>
      </c>
      <c r="C5004" s="65" t="s">
        <v>16650</v>
      </c>
      <c r="D5004" s="65"/>
      <c r="E5004" s="65"/>
      <c r="F5004" s="65"/>
      <c r="G5004" s="11" t="s">
        <v>16651</v>
      </c>
      <c r="H5004" s="21" t="s">
        <v>44</v>
      </c>
      <c r="I5004" s="15"/>
      <c r="J5004" s="9">
        <v>20</v>
      </c>
      <c r="K5004" s="16">
        <v>20.64</v>
      </c>
      <c r="L5004" s="17"/>
      <c r="M5004" s="15">
        <f t="shared" si="250"/>
        <v>0</v>
      </c>
      <c r="N5004" s="18">
        <f t="shared" si="251"/>
        <v>0</v>
      </c>
      <c r="O5004" s="19">
        <f t="shared" si="252"/>
        <v>0</v>
      </c>
      <c r="P5004" s="24" t="s">
        <v>26</v>
      </c>
      <c r="Q5004" s="15" t="s">
        <v>16652</v>
      </c>
      <c r="R5004" s="15"/>
      <c r="S5004" s="10" t="str">
        <f>HYPERLINK("https://miland.ru/api/getInfo/image/4bc1c7bc-7cf5-11f0-a284-00155d82e908")</f>
        <v>https://miland.ru/api/getInfo/image/4bc1c7bc-7cf5-11f0-a284-00155d82e908</v>
      </c>
    </row>
    <row r="5005" spans="1:19" s="2" customFormat="1" ht="96.2" customHeight="1" outlineLevel="4">
      <c r="A5005" s="53">
        <v>3963</v>
      </c>
      <c r="B5005" s="10" t="s">
        <v>16653</v>
      </c>
      <c r="C5005" s="65" t="s">
        <v>16654</v>
      </c>
      <c r="D5005" s="65"/>
      <c r="E5005" s="65"/>
      <c r="F5005" s="65"/>
      <c r="G5005" s="11" t="s">
        <v>16655</v>
      </c>
      <c r="H5005" s="21" t="s">
        <v>44</v>
      </c>
      <c r="I5005" s="15"/>
      <c r="J5005" s="9">
        <v>20</v>
      </c>
      <c r="K5005" s="16">
        <v>20.64</v>
      </c>
      <c r="L5005" s="17"/>
      <c r="M5005" s="15">
        <f t="shared" si="250"/>
        <v>0</v>
      </c>
      <c r="N5005" s="18">
        <f t="shared" si="251"/>
        <v>0</v>
      </c>
      <c r="O5005" s="19">
        <f t="shared" si="252"/>
        <v>0</v>
      </c>
      <c r="P5005" s="24" t="s">
        <v>26</v>
      </c>
      <c r="Q5005" s="15" t="s">
        <v>16656</v>
      </c>
      <c r="R5005" s="15"/>
      <c r="S5005" s="10" t="str">
        <f>HYPERLINK("https://miland.ru/api/getInfo/image/ee434c9f-7cf4-11f0-a284-00155d82e908")</f>
        <v>https://miland.ru/api/getInfo/image/ee434c9f-7cf4-11f0-a284-00155d82e908</v>
      </c>
    </row>
    <row r="5006" spans="1:19" s="2" customFormat="1" ht="96.2" customHeight="1" outlineLevel="4">
      <c r="A5006" s="53">
        <v>3964</v>
      </c>
      <c r="B5006" s="10" t="s">
        <v>16657</v>
      </c>
      <c r="C5006" s="65" t="s">
        <v>16658</v>
      </c>
      <c r="D5006" s="65"/>
      <c r="E5006" s="65"/>
      <c r="F5006" s="65"/>
      <c r="G5006" s="11" t="s">
        <v>16659</v>
      </c>
      <c r="H5006" s="21" t="s">
        <v>44</v>
      </c>
      <c r="I5006" s="15"/>
      <c r="J5006" s="9">
        <v>20</v>
      </c>
      <c r="K5006" s="16">
        <v>20.64</v>
      </c>
      <c r="L5006" s="17"/>
      <c r="M5006" s="15">
        <f t="shared" si="250"/>
        <v>0</v>
      </c>
      <c r="N5006" s="18">
        <f t="shared" si="251"/>
        <v>0</v>
      </c>
      <c r="O5006" s="19">
        <f t="shared" si="252"/>
        <v>0</v>
      </c>
      <c r="P5006" s="24" t="s">
        <v>26</v>
      </c>
      <c r="Q5006" s="15" t="s">
        <v>16660</v>
      </c>
      <c r="R5006" s="15"/>
      <c r="S5006" s="10" t="str">
        <f>HYPERLINK("https://miland.ru/api/getInfo/image/d1b94020-7cf6-11f0-a284-00155d82e908")</f>
        <v>https://miland.ru/api/getInfo/image/d1b94020-7cf6-11f0-a284-00155d82e908</v>
      </c>
    </row>
    <row r="5007" spans="1:19" s="2" customFormat="1" ht="96.2" customHeight="1" outlineLevel="4">
      <c r="A5007" s="53">
        <v>3965</v>
      </c>
      <c r="B5007" s="10" t="s">
        <v>16661</v>
      </c>
      <c r="C5007" s="65" t="s">
        <v>16662</v>
      </c>
      <c r="D5007" s="65"/>
      <c r="E5007" s="65"/>
      <c r="F5007" s="65"/>
      <c r="G5007" s="11" t="s">
        <v>16663</v>
      </c>
      <c r="H5007" s="21" t="s">
        <v>44</v>
      </c>
      <c r="I5007" s="15"/>
      <c r="J5007" s="9">
        <v>20</v>
      </c>
      <c r="K5007" s="16">
        <v>20.64</v>
      </c>
      <c r="L5007" s="17"/>
      <c r="M5007" s="15">
        <f t="shared" si="250"/>
        <v>0</v>
      </c>
      <c r="N5007" s="18">
        <f t="shared" si="251"/>
        <v>0</v>
      </c>
      <c r="O5007" s="19">
        <f t="shared" si="252"/>
        <v>0</v>
      </c>
      <c r="P5007" s="24" t="s">
        <v>26</v>
      </c>
      <c r="Q5007" s="15" t="s">
        <v>16664</v>
      </c>
      <c r="R5007" s="15"/>
      <c r="S5007" s="10" t="str">
        <f>HYPERLINK("https://miland.ru/api/getInfo/image/b304269e-7cf3-11f0-a284-00155d82e908")</f>
        <v>https://miland.ru/api/getInfo/image/b304269e-7cf3-11f0-a284-00155d82e908</v>
      </c>
    </row>
    <row r="5008" spans="1:19" s="2" customFormat="1" ht="96.2" customHeight="1" outlineLevel="4">
      <c r="A5008" s="53">
        <v>3966</v>
      </c>
      <c r="B5008" s="10" t="s">
        <v>16665</v>
      </c>
      <c r="C5008" s="65" t="s">
        <v>16666</v>
      </c>
      <c r="D5008" s="65"/>
      <c r="E5008" s="65"/>
      <c r="F5008" s="65"/>
      <c r="G5008" s="11" t="s">
        <v>16667</v>
      </c>
      <c r="H5008" s="21" t="s">
        <v>44</v>
      </c>
      <c r="I5008" s="15"/>
      <c r="J5008" s="9">
        <v>20</v>
      </c>
      <c r="K5008" s="16">
        <v>20.64</v>
      </c>
      <c r="L5008" s="17"/>
      <c r="M5008" s="15">
        <f t="shared" si="250"/>
        <v>0</v>
      </c>
      <c r="N5008" s="18">
        <f t="shared" si="251"/>
        <v>0</v>
      </c>
      <c r="O5008" s="19">
        <f t="shared" si="252"/>
        <v>0</v>
      </c>
      <c r="P5008" s="24" t="s">
        <v>26</v>
      </c>
      <c r="Q5008" s="15" t="s">
        <v>16668</v>
      </c>
      <c r="R5008" s="15"/>
      <c r="S5008" s="10" t="str">
        <f>HYPERLINK("https://miland.ru/api/getInfo/image/75082034-7cf7-11f0-a284-00155d82e908")</f>
        <v>https://miland.ru/api/getInfo/image/75082034-7cf7-11f0-a284-00155d82e908</v>
      </c>
    </row>
    <row r="5009" spans="1:19" s="2" customFormat="1" ht="96.2" customHeight="1" outlineLevel="4">
      <c r="A5009" s="52">
        <v>3967</v>
      </c>
      <c r="B5009" s="26" t="s">
        <v>16669</v>
      </c>
      <c r="C5009" s="66" t="s">
        <v>16670</v>
      </c>
      <c r="D5009" s="66"/>
      <c r="E5009" s="66"/>
      <c r="F5009" s="66"/>
      <c r="G5009" s="27" t="s">
        <v>16671</v>
      </c>
      <c r="H5009" s="33">
        <v>10</v>
      </c>
      <c r="I5009" s="29"/>
      <c r="J5009" s="25">
        <v>10</v>
      </c>
      <c r="K5009" s="30">
        <v>20.64</v>
      </c>
      <c r="L5009" s="17"/>
      <c r="M5009" s="29">
        <f t="shared" si="250"/>
        <v>0</v>
      </c>
      <c r="N5009" s="31">
        <f>0.011*L5009</f>
        <v>0</v>
      </c>
      <c r="O5009" s="32">
        <f>0.00003*L5009</f>
        <v>0</v>
      </c>
      <c r="P5009" s="36"/>
      <c r="Q5009" s="29" t="s">
        <v>16672</v>
      </c>
      <c r="R5009" s="29"/>
      <c r="S5009" s="26" t="str">
        <f>HYPERLINK("https://miland.ru/api/getInfo/image/1dccea2d-05e9-11ee-a23b-00155d82e902")</f>
        <v>https://miland.ru/api/getInfo/image/1dccea2d-05e9-11ee-a23b-00155d82e902</v>
      </c>
    </row>
    <row r="5010" spans="1:19" s="2" customFormat="1" ht="96.2" customHeight="1" outlineLevel="4">
      <c r="A5010" s="52">
        <v>3968</v>
      </c>
      <c r="B5010" s="26" t="s">
        <v>16673</v>
      </c>
      <c r="C5010" s="66" t="s">
        <v>16674</v>
      </c>
      <c r="D5010" s="66"/>
      <c r="E5010" s="66"/>
      <c r="F5010" s="66"/>
      <c r="G5010" s="27" t="s">
        <v>16675</v>
      </c>
      <c r="H5010" s="33">
        <v>10</v>
      </c>
      <c r="I5010" s="29"/>
      <c r="J5010" s="25">
        <v>10</v>
      </c>
      <c r="K5010" s="30">
        <v>20.64</v>
      </c>
      <c r="L5010" s="17"/>
      <c r="M5010" s="29">
        <f t="shared" si="250"/>
        <v>0</v>
      </c>
      <c r="N5010" s="31">
        <f>0.011*L5010</f>
        <v>0</v>
      </c>
      <c r="O5010" s="32">
        <f>0.00003*L5010</f>
        <v>0</v>
      </c>
      <c r="P5010" s="36"/>
      <c r="Q5010" s="29" t="s">
        <v>16676</v>
      </c>
      <c r="R5010" s="29"/>
      <c r="S5010" s="26" t="str">
        <f>HYPERLINK("https://miland.ru/api/getInfo/image/8c785e52-05e9-11ee-a23b-00155d82e902")</f>
        <v>https://miland.ru/api/getInfo/image/8c785e52-05e9-11ee-a23b-00155d82e902</v>
      </c>
    </row>
    <row r="5011" spans="1:19" s="1" customFormat="1" ht="12" customHeight="1" outlineLevel="2">
      <c r="A5011" s="63" t="s">
        <v>16677</v>
      </c>
      <c r="B5011" s="63"/>
      <c r="C5011" s="63"/>
      <c r="D5011" s="63"/>
      <c r="E5011" s="63"/>
      <c r="F5011" s="63"/>
      <c r="G5011" s="8"/>
      <c r="H5011" s="12"/>
      <c r="I5011" s="2"/>
      <c r="J5011" s="2"/>
      <c r="K5011" s="13"/>
      <c r="L5011" s="2"/>
      <c r="M5011" s="2"/>
      <c r="N5011" s="2"/>
      <c r="O5011" s="2"/>
      <c r="P5011" s="2"/>
      <c r="Q5011" s="2"/>
      <c r="R5011" s="2"/>
      <c r="S5011" s="2"/>
    </row>
    <row r="5012" spans="1:19" s="1" customFormat="1" ht="12" customHeight="1" outlineLevel="3">
      <c r="A5012" s="64" t="s">
        <v>16678</v>
      </c>
      <c r="B5012" s="64"/>
      <c r="C5012" s="64"/>
      <c r="D5012" s="64"/>
      <c r="E5012" s="64"/>
      <c r="F5012" s="64"/>
      <c r="G5012" s="8"/>
      <c r="H5012" s="12"/>
      <c r="I5012" s="2"/>
      <c r="J5012" s="2"/>
      <c r="K5012" s="13"/>
      <c r="L5012" s="2"/>
      <c r="M5012" s="2"/>
      <c r="N5012" s="2"/>
      <c r="O5012" s="2"/>
      <c r="P5012" s="2"/>
      <c r="Q5012" s="2"/>
      <c r="R5012" s="2"/>
      <c r="S5012" s="2"/>
    </row>
    <row r="5013" spans="1:19" s="2" customFormat="1" ht="96.2" customHeight="1" outlineLevel="4">
      <c r="A5013" s="53">
        <v>3969</v>
      </c>
      <c r="B5013" s="10" t="s">
        <v>16679</v>
      </c>
      <c r="C5013" s="65" t="s">
        <v>16680</v>
      </c>
      <c r="D5013" s="65"/>
      <c r="E5013" s="65"/>
      <c r="F5013" s="65"/>
      <c r="G5013" s="11" t="s">
        <v>16681</v>
      </c>
      <c r="H5013" s="21" t="s">
        <v>44</v>
      </c>
      <c r="I5013" s="15"/>
      <c r="J5013" s="9">
        <v>5</v>
      </c>
      <c r="K5013" s="16">
        <v>203.61</v>
      </c>
      <c r="L5013" s="17"/>
      <c r="M5013" s="15">
        <f>K5013*L5013</f>
        <v>0</v>
      </c>
      <c r="N5013" s="18">
        <f>0.008*L5013</f>
        <v>0</v>
      </c>
      <c r="O5013" s="19">
        <f>0.00002*L5013</f>
        <v>0</v>
      </c>
      <c r="P5013" s="24" t="s">
        <v>26</v>
      </c>
      <c r="Q5013" s="15"/>
      <c r="R5013" s="15"/>
      <c r="S5013" s="10" t="str">
        <f>HYPERLINK("https://miland.ru/api/getInfo/image/2f28fb3f-01ae-11f1-a28e-00155d82e908")</f>
        <v>https://miland.ru/api/getInfo/image/2f28fb3f-01ae-11f1-a28e-00155d82e908</v>
      </c>
    </row>
    <row r="5014" spans="1:19" s="2" customFormat="1" ht="96.2" customHeight="1" outlineLevel="4">
      <c r="A5014" s="53">
        <v>3970</v>
      </c>
      <c r="B5014" s="10" t="s">
        <v>16682</v>
      </c>
      <c r="C5014" s="65" t="s">
        <v>16683</v>
      </c>
      <c r="D5014" s="65"/>
      <c r="E5014" s="65"/>
      <c r="F5014" s="65"/>
      <c r="G5014" s="11" t="s">
        <v>16684</v>
      </c>
      <c r="H5014" s="21" t="s">
        <v>44</v>
      </c>
      <c r="I5014" s="15"/>
      <c r="J5014" s="9">
        <v>5</v>
      </c>
      <c r="K5014" s="16">
        <v>119.26</v>
      </c>
      <c r="L5014" s="17"/>
      <c r="M5014" s="15">
        <f>K5014*L5014</f>
        <v>0</v>
      </c>
      <c r="N5014" s="18">
        <f>0.008*L5014</f>
        <v>0</v>
      </c>
      <c r="O5014" s="19">
        <f>0.00002*L5014</f>
        <v>0</v>
      </c>
      <c r="P5014" s="24" t="s">
        <v>26</v>
      </c>
      <c r="Q5014" s="15"/>
      <c r="R5014" s="15"/>
      <c r="S5014" s="10" t="str">
        <f>HYPERLINK("https://miland.ru/api/getInfo/image/364d8a4b-01ad-11f1-a28e-00155d82e908")</f>
        <v>https://miland.ru/api/getInfo/image/364d8a4b-01ad-11f1-a28e-00155d82e908</v>
      </c>
    </row>
    <row r="5015" spans="1:19" s="2" customFormat="1" ht="96.2" customHeight="1" outlineLevel="4">
      <c r="A5015" s="53">
        <v>3971</v>
      </c>
      <c r="B5015" s="10" t="s">
        <v>16685</v>
      </c>
      <c r="C5015" s="65" t="s">
        <v>16686</v>
      </c>
      <c r="D5015" s="65"/>
      <c r="E5015" s="65"/>
      <c r="F5015" s="65"/>
      <c r="G5015" s="11" t="s">
        <v>16687</v>
      </c>
      <c r="H5015" s="21" t="s">
        <v>44</v>
      </c>
      <c r="I5015" s="15"/>
      <c r="J5015" s="9">
        <v>5</v>
      </c>
      <c r="K5015" s="16">
        <v>227.25</v>
      </c>
      <c r="L5015" s="17"/>
      <c r="M5015" s="15">
        <f>K5015*L5015</f>
        <v>0</v>
      </c>
      <c r="N5015" s="18">
        <f>0.009*L5015</f>
        <v>0</v>
      </c>
      <c r="O5015" s="19">
        <f>0.00002*L5015</f>
        <v>0</v>
      </c>
      <c r="P5015" s="24" t="s">
        <v>26</v>
      </c>
      <c r="Q5015" s="15"/>
      <c r="R5015" s="15"/>
      <c r="S5015" s="10" t="str">
        <f>HYPERLINK("https://miland.ru/api/getInfo/image/119e2dd2-0039-11f1-a28e-00155d82e908")</f>
        <v>https://miland.ru/api/getInfo/image/119e2dd2-0039-11f1-a28e-00155d82e908</v>
      </c>
    </row>
    <row r="5016" spans="1:19" s="1" customFormat="1" ht="12" customHeight="1" outlineLevel="3">
      <c r="A5016" s="64" t="s">
        <v>16688</v>
      </c>
      <c r="B5016" s="64"/>
      <c r="C5016" s="64"/>
      <c r="D5016" s="64"/>
      <c r="E5016" s="64"/>
      <c r="F5016" s="64"/>
      <c r="G5016" s="8"/>
      <c r="H5016" s="12"/>
      <c r="I5016" s="2"/>
      <c r="J5016" s="2"/>
      <c r="K5016" s="13"/>
      <c r="L5016" s="2"/>
      <c r="M5016" s="2"/>
      <c r="N5016" s="2"/>
      <c r="O5016" s="2"/>
      <c r="P5016" s="2"/>
      <c r="Q5016" s="2"/>
      <c r="R5016" s="2"/>
      <c r="S5016" s="2"/>
    </row>
    <row r="5017" spans="1:19" s="2" customFormat="1" ht="96.2" customHeight="1" outlineLevel="4">
      <c r="A5017" s="52">
        <v>3972</v>
      </c>
      <c r="B5017" s="26" t="s">
        <v>16689</v>
      </c>
      <c r="C5017" s="66" t="s">
        <v>16690</v>
      </c>
      <c r="D5017" s="66"/>
      <c r="E5017" s="66"/>
      <c r="F5017" s="66"/>
      <c r="G5017" s="27" t="s">
        <v>16691</v>
      </c>
      <c r="H5017" s="33">
        <v>110</v>
      </c>
      <c r="I5017" s="29"/>
      <c r="J5017" s="25">
        <v>40</v>
      </c>
      <c r="K5017" s="30">
        <v>15.67</v>
      </c>
      <c r="L5017" s="17"/>
      <c r="M5017" s="29">
        <f>K5017*L5017</f>
        <v>0</v>
      </c>
      <c r="N5017" s="50">
        <f>15*L5017</f>
        <v>0</v>
      </c>
      <c r="O5017" s="32">
        <f>0.00007*L5017</f>
        <v>0</v>
      </c>
      <c r="P5017" s="36"/>
      <c r="Q5017" s="29" t="s">
        <v>16692</v>
      </c>
      <c r="R5017" s="29" t="s">
        <v>611</v>
      </c>
      <c r="S5017" s="26" t="str">
        <f>HYPERLINK("https://miland.ru/api/getInfo/image/d4f5715b-7862-11ec-a210-ac1f6b442185")</f>
        <v>https://miland.ru/api/getInfo/image/d4f5715b-7862-11ec-a210-ac1f6b442185</v>
      </c>
    </row>
    <row r="5018" spans="1:19" s="2" customFormat="1" ht="96.2" customHeight="1" outlineLevel="4">
      <c r="A5018" s="52">
        <v>3973</v>
      </c>
      <c r="B5018" s="26" t="s">
        <v>16693</v>
      </c>
      <c r="C5018" s="66" t="s">
        <v>16694</v>
      </c>
      <c r="D5018" s="66"/>
      <c r="E5018" s="66"/>
      <c r="F5018" s="66"/>
      <c r="G5018" s="27" t="s">
        <v>16695</v>
      </c>
      <c r="H5018" s="28" t="s">
        <v>44</v>
      </c>
      <c r="I5018" s="29"/>
      <c r="J5018" s="25">
        <v>40</v>
      </c>
      <c r="K5018" s="30">
        <v>15.67</v>
      </c>
      <c r="L5018" s="17"/>
      <c r="M5018" s="29">
        <f>K5018*L5018</f>
        <v>0</v>
      </c>
      <c r="N5018" s="34">
        <f>0.01*L5018</f>
        <v>0</v>
      </c>
      <c r="O5018" s="32">
        <f>0.00001*L5018</f>
        <v>0</v>
      </c>
      <c r="P5018" s="36"/>
      <c r="Q5018" s="29" t="s">
        <v>16696</v>
      </c>
      <c r="R5018" s="29" t="s">
        <v>611</v>
      </c>
      <c r="S5018" s="26" t="str">
        <f>HYPERLINK("https://miland.ru/api/getInfo/image/6b91a1ab-7864-11ec-a210-ac1f6b442185")</f>
        <v>https://miland.ru/api/getInfo/image/6b91a1ab-7864-11ec-a210-ac1f6b442185</v>
      </c>
    </row>
    <row r="5019" spans="1:19" s="1" customFormat="1" ht="12" customHeight="1" outlineLevel="3">
      <c r="A5019" s="64" t="s">
        <v>16697</v>
      </c>
      <c r="B5019" s="64"/>
      <c r="C5019" s="64"/>
      <c r="D5019" s="64"/>
      <c r="E5019" s="64"/>
      <c r="F5019" s="64"/>
      <c r="G5019" s="8"/>
      <c r="H5019" s="12"/>
      <c r="I5019" s="2"/>
      <c r="J5019" s="2"/>
      <c r="K5019" s="13"/>
      <c r="L5019" s="2"/>
      <c r="M5019" s="2"/>
      <c r="N5019" s="2"/>
      <c r="O5019" s="2"/>
      <c r="P5019" s="2"/>
      <c r="Q5019" s="2"/>
      <c r="R5019" s="2"/>
      <c r="S5019" s="2"/>
    </row>
    <row r="5020" spans="1:19" s="2" customFormat="1" ht="96.2" customHeight="1" outlineLevel="4">
      <c r="A5020" s="53">
        <v>3974</v>
      </c>
      <c r="B5020" s="10" t="s">
        <v>16698</v>
      </c>
      <c r="C5020" s="65" t="s">
        <v>16699</v>
      </c>
      <c r="D5020" s="65"/>
      <c r="E5020" s="65"/>
      <c r="F5020" s="65"/>
      <c r="G5020" s="11" t="s">
        <v>16700</v>
      </c>
      <c r="H5020" s="21" t="s">
        <v>44</v>
      </c>
      <c r="I5020" s="15"/>
      <c r="J5020" s="9">
        <v>30</v>
      </c>
      <c r="K5020" s="16">
        <v>16.13</v>
      </c>
      <c r="L5020" s="17"/>
      <c r="M5020" s="15">
        <f>K5020*L5020</f>
        <v>0</v>
      </c>
      <c r="N5020" s="18">
        <f>0.008*L5020</f>
        <v>0</v>
      </c>
      <c r="O5020" s="19">
        <f>0.00003*L5020</f>
        <v>0</v>
      </c>
      <c r="P5020" s="24" t="s">
        <v>26</v>
      </c>
      <c r="Q5020" s="15" t="s">
        <v>16701</v>
      </c>
      <c r="R5020" s="15"/>
      <c r="S5020" s="10" t="str">
        <f>HYPERLINK("https://miland.ru/api/getInfo/image/8e43415b-4abd-11f1-a297-00155d82e908")</f>
        <v>https://miland.ru/api/getInfo/image/8e43415b-4abd-11f1-a297-00155d82e908</v>
      </c>
    </row>
    <row r="5021" spans="1:19" s="2" customFormat="1" ht="96.2" customHeight="1" outlineLevel="4">
      <c r="A5021" s="53">
        <v>3975</v>
      </c>
      <c r="B5021" s="10" t="s">
        <v>16702</v>
      </c>
      <c r="C5021" s="65" t="s">
        <v>16703</v>
      </c>
      <c r="D5021" s="65"/>
      <c r="E5021" s="65"/>
      <c r="F5021" s="65"/>
      <c r="G5021" s="11" t="s">
        <v>16704</v>
      </c>
      <c r="H5021" s="21" t="s">
        <v>44</v>
      </c>
      <c r="I5021" s="15"/>
      <c r="J5021" s="9">
        <v>30</v>
      </c>
      <c r="K5021" s="16">
        <v>16.13</v>
      </c>
      <c r="L5021" s="17"/>
      <c r="M5021" s="15">
        <f>K5021*L5021</f>
        <v>0</v>
      </c>
      <c r="N5021" s="18">
        <f>0.008*L5021</f>
        <v>0</v>
      </c>
      <c r="O5021" s="19">
        <f>0.00003*L5021</f>
        <v>0</v>
      </c>
      <c r="P5021" s="24" t="s">
        <v>26</v>
      </c>
      <c r="Q5021" s="15" t="s">
        <v>16705</v>
      </c>
      <c r="R5021" s="15"/>
      <c r="S5021" s="10" t="str">
        <f>HYPERLINK("https://miland.ru/api/getInfo/image/fb1f72d9-4abc-11f1-a297-00155d82e908")</f>
        <v>https://miland.ru/api/getInfo/image/fb1f72d9-4abc-11f1-a297-00155d82e908</v>
      </c>
    </row>
    <row r="5022" spans="1:19" s="1" customFormat="1" ht="12" customHeight="1" outlineLevel="3">
      <c r="A5022" s="64" t="s">
        <v>16706</v>
      </c>
      <c r="B5022" s="64"/>
      <c r="C5022" s="64"/>
      <c r="D5022" s="64"/>
      <c r="E5022" s="64"/>
      <c r="F5022" s="64"/>
      <c r="G5022" s="8"/>
      <c r="H5022" s="12"/>
      <c r="I5022" s="2"/>
      <c r="J5022" s="2"/>
      <c r="K5022" s="13"/>
      <c r="L5022" s="2"/>
      <c r="M5022" s="2"/>
      <c r="N5022" s="2"/>
      <c r="O5022" s="2"/>
      <c r="P5022" s="2"/>
      <c r="Q5022" s="2"/>
      <c r="R5022" s="2"/>
      <c r="S5022" s="2"/>
    </row>
    <row r="5023" spans="1:19" s="2" customFormat="1" ht="96.2" customHeight="1" outlineLevel="4">
      <c r="A5023" s="52">
        <v>3976</v>
      </c>
      <c r="B5023" s="26" t="s">
        <v>16707</v>
      </c>
      <c r="C5023" s="66" t="s">
        <v>16708</v>
      </c>
      <c r="D5023" s="66"/>
      <c r="E5023" s="66"/>
      <c r="F5023" s="66"/>
      <c r="G5023" s="27" t="s">
        <v>16709</v>
      </c>
      <c r="H5023" s="28" t="s">
        <v>44</v>
      </c>
      <c r="I5023" s="29"/>
      <c r="J5023" s="25">
        <v>30</v>
      </c>
      <c r="K5023" s="30">
        <v>18.21</v>
      </c>
      <c r="L5023" s="17"/>
      <c r="M5023" s="29">
        <f>K5023*L5023</f>
        <v>0</v>
      </c>
      <c r="N5023" s="31">
        <f>0.009*L5023</f>
        <v>0</v>
      </c>
      <c r="O5023" s="32">
        <f>0.00003*L5023</f>
        <v>0</v>
      </c>
      <c r="P5023" s="36"/>
      <c r="Q5023" s="29" t="s">
        <v>16710</v>
      </c>
      <c r="R5023" s="29"/>
      <c r="S5023" s="26" t="str">
        <f>HYPERLINK("https://miland.ru/api/getInfo/image/70662e12-3259-11f0-a27c-00155d82e908")</f>
        <v>https://miland.ru/api/getInfo/image/70662e12-3259-11f0-a27c-00155d82e908</v>
      </c>
    </row>
    <row r="5024" spans="1:19" s="2" customFormat="1" ht="96.2" customHeight="1" outlineLevel="4">
      <c r="A5024" s="52">
        <v>3977</v>
      </c>
      <c r="B5024" s="26" t="s">
        <v>16711</v>
      </c>
      <c r="C5024" s="66" t="s">
        <v>16712</v>
      </c>
      <c r="D5024" s="66"/>
      <c r="E5024" s="66"/>
      <c r="F5024" s="66"/>
      <c r="G5024" s="27" t="s">
        <v>16713</v>
      </c>
      <c r="H5024" s="33">
        <v>20</v>
      </c>
      <c r="I5024" s="29"/>
      <c r="J5024" s="25">
        <v>20</v>
      </c>
      <c r="K5024" s="30">
        <v>18.21</v>
      </c>
      <c r="L5024" s="17"/>
      <c r="M5024" s="29">
        <f>K5024*L5024</f>
        <v>0</v>
      </c>
      <c r="N5024" s="31">
        <f>0.009*L5024</f>
        <v>0</v>
      </c>
      <c r="O5024" s="32">
        <f>0.00001*L5024</f>
        <v>0</v>
      </c>
      <c r="P5024" s="36"/>
      <c r="Q5024" s="29" t="s">
        <v>16714</v>
      </c>
      <c r="R5024" s="29"/>
      <c r="S5024" s="26" t="str">
        <f>HYPERLINK("https://miland.ru/api/getInfo/image/5a6277cc-3259-11f0-a27c-00155d82e908")</f>
        <v>https://miland.ru/api/getInfo/image/5a6277cc-3259-11f0-a27c-00155d82e908</v>
      </c>
    </row>
    <row r="5025" spans="1:19" s="1" customFormat="1" ht="12" customHeight="1" outlineLevel="3">
      <c r="A5025" s="64" t="s">
        <v>16715</v>
      </c>
      <c r="B5025" s="64"/>
      <c r="C5025" s="64"/>
      <c r="D5025" s="64"/>
      <c r="E5025" s="64"/>
      <c r="F5025" s="64"/>
      <c r="G5025" s="8"/>
      <c r="H5025" s="12"/>
      <c r="I5025" s="2"/>
      <c r="J5025" s="2"/>
      <c r="K5025" s="13"/>
      <c r="L5025" s="2"/>
      <c r="M5025" s="2"/>
      <c r="N5025" s="2"/>
      <c r="O5025" s="2"/>
      <c r="P5025" s="2"/>
      <c r="Q5025" s="2"/>
      <c r="R5025" s="2"/>
      <c r="S5025" s="2"/>
    </row>
    <row r="5026" spans="1:19" s="2" customFormat="1" ht="96.2" customHeight="1" outlineLevel="4">
      <c r="A5026" s="52">
        <v>3978</v>
      </c>
      <c r="B5026" s="26" t="s">
        <v>16716</v>
      </c>
      <c r="C5026" s="66" t="s">
        <v>16717</v>
      </c>
      <c r="D5026" s="66"/>
      <c r="E5026" s="66"/>
      <c r="F5026" s="66"/>
      <c r="G5026" s="27" t="s">
        <v>16718</v>
      </c>
      <c r="H5026" s="28" t="s">
        <v>44</v>
      </c>
      <c r="I5026" s="29"/>
      <c r="J5026" s="25">
        <v>30</v>
      </c>
      <c r="K5026" s="30">
        <v>18.21</v>
      </c>
      <c r="L5026" s="17"/>
      <c r="M5026" s="29">
        <f t="shared" ref="M5026:M5031" si="253">K5026*L5026</f>
        <v>0</v>
      </c>
      <c r="N5026" s="31">
        <f>0.008*L5026</f>
        <v>0</v>
      </c>
      <c r="O5026" s="32">
        <f>0.00003*L5026</f>
        <v>0</v>
      </c>
      <c r="P5026" s="36"/>
      <c r="Q5026" s="29" t="s">
        <v>16719</v>
      </c>
      <c r="R5026" s="29"/>
      <c r="S5026" s="26" t="str">
        <f>HYPERLINK("https://miland.ru/api/getInfo/image/8817b466-3251-11f0-a27c-00155d82e908")</f>
        <v>https://miland.ru/api/getInfo/image/8817b466-3251-11f0-a27c-00155d82e908</v>
      </c>
    </row>
    <row r="5027" spans="1:19" s="2" customFormat="1" ht="96.2" customHeight="1" outlineLevel="4">
      <c r="A5027" s="53">
        <v>3979</v>
      </c>
      <c r="B5027" s="10" t="s">
        <v>16720</v>
      </c>
      <c r="C5027" s="65" t="s">
        <v>16721</v>
      </c>
      <c r="D5027" s="65"/>
      <c r="E5027" s="65"/>
      <c r="F5027" s="65"/>
      <c r="G5027" s="11" t="s">
        <v>16722</v>
      </c>
      <c r="H5027" s="21" t="s">
        <v>44</v>
      </c>
      <c r="I5027" s="15"/>
      <c r="J5027" s="9">
        <v>30</v>
      </c>
      <c r="K5027" s="16">
        <v>18.21</v>
      </c>
      <c r="L5027" s="17"/>
      <c r="M5027" s="15">
        <f t="shared" si="253"/>
        <v>0</v>
      </c>
      <c r="N5027" s="18">
        <f>0.008*L5027</f>
        <v>0</v>
      </c>
      <c r="O5027" s="19">
        <f>0.00003*L5027</f>
        <v>0</v>
      </c>
      <c r="P5027" s="24" t="s">
        <v>26</v>
      </c>
      <c r="Q5027" s="15" t="s">
        <v>16723</v>
      </c>
      <c r="R5027" s="15"/>
      <c r="S5027" s="10" t="str">
        <f>HYPERLINK("https://miland.ru/api/getInfo/image/00060c66-4aba-11f1-a297-00155d82e908")</f>
        <v>https://miland.ru/api/getInfo/image/00060c66-4aba-11f1-a297-00155d82e908</v>
      </c>
    </row>
    <row r="5028" spans="1:19" s="2" customFormat="1" ht="96.2" customHeight="1" outlineLevel="4">
      <c r="A5028" s="52">
        <v>3980</v>
      </c>
      <c r="B5028" s="26" t="s">
        <v>16724</v>
      </c>
      <c r="C5028" s="66" t="s">
        <v>16725</v>
      </c>
      <c r="D5028" s="66"/>
      <c r="E5028" s="66"/>
      <c r="F5028" s="66"/>
      <c r="G5028" s="27" t="s">
        <v>16726</v>
      </c>
      <c r="H5028" s="33">
        <v>220</v>
      </c>
      <c r="I5028" s="29"/>
      <c r="J5028" s="25">
        <v>30</v>
      </c>
      <c r="K5028" s="30">
        <v>18.21</v>
      </c>
      <c r="L5028" s="17"/>
      <c r="M5028" s="29">
        <f t="shared" si="253"/>
        <v>0</v>
      </c>
      <c r="N5028" s="31">
        <f>0.008*L5028</f>
        <v>0</v>
      </c>
      <c r="O5028" s="32">
        <f>0.00001*L5028</f>
        <v>0</v>
      </c>
      <c r="P5028" s="36"/>
      <c r="Q5028" s="29" t="s">
        <v>16727</v>
      </c>
      <c r="R5028" s="29"/>
      <c r="S5028" s="26" t="str">
        <f>HYPERLINK("https://miland.ru/api/getInfo/image/ce44d362-3254-11f0-a27c-00155d82e908")</f>
        <v>https://miland.ru/api/getInfo/image/ce44d362-3254-11f0-a27c-00155d82e908</v>
      </c>
    </row>
    <row r="5029" spans="1:19" s="2" customFormat="1" ht="96.2" customHeight="1" outlineLevel="4">
      <c r="A5029" s="52">
        <v>3981</v>
      </c>
      <c r="B5029" s="26" t="s">
        <v>16728</v>
      </c>
      <c r="C5029" s="66" t="s">
        <v>16729</v>
      </c>
      <c r="D5029" s="66"/>
      <c r="E5029" s="66"/>
      <c r="F5029" s="66"/>
      <c r="G5029" s="27" t="s">
        <v>16730</v>
      </c>
      <c r="H5029" s="33">
        <v>50</v>
      </c>
      <c r="I5029" s="29"/>
      <c r="J5029" s="25">
        <v>30</v>
      </c>
      <c r="K5029" s="30">
        <v>18.21</v>
      </c>
      <c r="L5029" s="17"/>
      <c r="M5029" s="29">
        <f t="shared" si="253"/>
        <v>0</v>
      </c>
      <c r="N5029" s="31">
        <f>0.009*L5029</f>
        <v>0</v>
      </c>
      <c r="O5029" s="32">
        <f>0.00003*L5029</f>
        <v>0</v>
      </c>
      <c r="P5029" s="36"/>
      <c r="Q5029" s="29" t="s">
        <v>16731</v>
      </c>
      <c r="R5029" s="29" t="s">
        <v>611</v>
      </c>
      <c r="S5029" s="26" t="str">
        <f>HYPERLINK("https://miland.ru/api/getInfo/image/c17841c1-bab8-11ee-a25a-00155d82e908")</f>
        <v>https://miland.ru/api/getInfo/image/c17841c1-bab8-11ee-a25a-00155d82e908</v>
      </c>
    </row>
    <row r="5030" spans="1:19" s="2" customFormat="1" ht="96.2" customHeight="1" outlineLevel="4">
      <c r="A5030" s="53">
        <v>3982</v>
      </c>
      <c r="B5030" s="10" t="s">
        <v>16732</v>
      </c>
      <c r="C5030" s="65" t="s">
        <v>16733</v>
      </c>
      <c r="D5030" s="65"/>
      <c r="E5030" s="65"/>
      <c r="F5030" s="65"/>
      <c r="G5030" s="11" t="s">
        <v>16734</v>
      </c>
      <c r="H5030" s="21" t="s">
        <v>44</v>
      </c>
      <c r="I5030" s="15"/>
      <c r="J5030" s="9">
        <v>30</v>
      </c>
      <c r="K5030" s="16">
        <v>18.21</v>
      </c>
      <c r="L5030" s="17"/>
      <c r="M5030" s="15">
        <f t="shared" si="253"/>
        <v>0</v>
      </c>
      <c r="N5030" s="18">
        <f>0.008*L5030</f>
        <v>0</v>
      </c>
      <c r="O5030" s="19">
        <f>0.00003*L5030</f>
        <v>0</v>
      </c>
      <c r="P5030" s="24" t="s">
        <v>26</v>
      </c>
      <c r="Q5030" s="15" t="s">
        <v>16735</v>
      </c>
      <c r="R5030" s="15"/>
      <c r="S5030" s="10" t="str">
        <f>HYPERLINK("https://miland.ru/api/getInfo/image/e763e516-4aad-11f1-a297-00155d82e908")</f>
        <v>https://miland.ru/api/getInfo/image/e763e516-4aad-11f1-a297-00155d82e908</v>
      </c>
    </row>
    <row r="5031" spans="1:19" s="2" customFormat="1" ht="96.2" customHeight="1" outlineLevel="4">
      <c r="A5031" s="52">
        <v>3983</v>
      </c>
      <c r="B5031" s="26" t="s">
        <v>16736</v>
      </c>
      <c r="C5031" s="66" t="s">
        <v>16737</v>
      </c>
      <c r="D5031" s="66"/>
      <c r="E5031" s="66"/>
      <c r="F5031" s="66"/>
      <c r="G5031" s="27" t="s">
        <v>16738</v>
      </c>
      <c r="H5031" s="33">
        <v>380</v>
      </c>
      <c r="I5031" s="29"/>
      <c r="J5031" s="25">
        <v>30</v>
      </c>
      <c r="K5031" s="30">
        <v>18.21</v>
      </c>
      <c r="L5031" s="17"/>
      <c r="M5031" s="29">
        <f t="shared" si="253"/>
        <v>0</v>
      </c>
      <c r="N5031" s="31">
        <f>0.008*L5031</f>
        <v>0</v>
      </c>
      <c r="O5031" s="32">
        <f>0.00003*L5031</f>
        <v>0</v>
      </c>
      <c r="P5031" s="36"/>
      <c r="Q5031" s="29" t="s">
        <v>16739</v>
      </c>
      <c r="R5031" s="29"/>
      <c r="S5031" s="26" t="str">
        <f>HYPERLINK("https://miland.ru/api/getInfo/image/4512003f-3251-11f0-a27c-00155d82e908")</f>
        <v>https://miland.ru/api/getInfo/image/4512003f-3251-11f0-a27c-00155d82e908</v>
      </c>
    </row>
    <row r="5032" spans="1:19" s="1" customFormat="1" ht="12" customHeight="1" outlineLevel="3">
      <c r="A5032" s="64" t="s">
        <v>16740</v>
      </c>
      <c r="B5032" s="64"/>
      <c r="C5032" s="64"/>
      <c r="D5032" s="64"/>
      <c r="E5032" s="64"/>
      <c r="F5032" s="64"/>
      <c r="G5032" s="8"/>
      <c r="H5032" s="12"/>
      <c r="I5032" s="2"/>
      <c r="J5032" s="2"/>
      <c r="K5032" s="13"/>
      <c r="L5032" s="2"/>
      <c r="M5032" s="2"/>
      <c r="N5032" s="2"/>
      <c r="O5032" s="2"/>
      <c r="P5032" s="2"/>
      <c r="Q5032" s="2"/>
      <c r="R5032" s="2"/>
      <c r="S5032" s="2"/>
    </row>
    <row r="5033" spans="1:19" s="2" customFormat="1" ht="96.2" customHeight="1" outlineLevel="4">
      <c r="A5033" s="53">
        <v>3984</v>
      </c>
      <c r="B5033" s="10" t="s">
        <v>16741</v>
      </c>
      <c r="C5033" s="65" t="s">
        <v>16742</v>
      </c>
      <c r="D5033" s="65"/>
      <c r="E5033" s="65"/>
      <c r="F5033" s="65"/>
      <c r="G5033" s="11" t="s">
        <v>16743</v>
      </c>
      <c r="H5033" s="14">
        <v>130</v>
      </c>
      <c r="I5033" s="15"/>
      <c r="J5033" s="9">
        <v>20</v>
      </c>
      <c r="K5033" s="16">
        <v>19.8</v>
      </c>
      <c r="L5033" s="17"/>
      <c r="M5033" s="15">
        <f t="shared" ref="M5033:M5040" si="254">K5033*L5033</f>
        <v>0</v>
      </c>
      <c r="N5033" s="18">
        <f>0.008*L5033</f>
        <v>0</v>
      </c>
      <c r="O5033" s="19">
        <f>0.00003*L5033</f>
        <v>0</v>
      </c>
      <c r="P5033" s="24" t="s">
        <v>26</v>
      </c>
      <c r="Q5033" s="15" t="s">
        <v>16744</v>
      </c>
      <c r="R5033" s="15"/>
      <c r="S5033" s="10" t="str">
        <f>HYPERLINK("https://miland.ru/api/getInfo/image/25ce1e9f-76ba-11f0-a284-00155d82e908")</f>
        <v>https://miland.ru/api/getInfo/image/25ce1e9f-76ba-11f0-a284-00155d82e908</v>
      </c>
    </row>
    <row r="5034" spans="1:19" s="2" customFormat="1" ht="96.2" customHeight="1" outlineLevel="4">
      <c r="A5034" s="52">
        <v>3985</v>
      </c>
      <c r="B5034" s="26" t="s">
        <v>16745</v>
      </c>
      <c r="C5034" s="66" t="s">
        <v>16746</v>
      </c>
      <c r="D5034" s="66"/>
      <c r="E5034" s="66"/>
      <c r="F5034" s="66"/>
      <c r="G5034" s="27" t="s">
        <v>16747</v>
      </c>
      <c r="H5034" s="28" t="s">
        <v>44</v>
      </c>
      <c r="I5034" s="29"/>
      <c r="J5034" s="25">
        <v>20</v>
      </c>
      <c r="K5034" s="30">
        <v>19.8</v>
      </c>
      <c r="L5034" s="17"/>
      <c r="M5034" s="29">
        <f t="shared" si="254"/>
        <v>0</v>
      </c>
      <c r="N5034" s="31">
        <f>0.019*L5034</f>
        <v>0</v>
      </c>
      <c r="O5034" s="32">
        <f>0.00012*L5034</f>
        <v>0</v>
      </c>
      <c r="P5034" s="36"/>
      <c r="Q5034" s="29" t="s">
        <v>16748</v>
      </c>
      <c r="R5034" s="29"/>
      <c r="S5034" s="26" t="str">
        <f>HYPERLINK("https://miland.ru/api/getInfo/image/6d0e62c6-7741-11ef-a265-00155d82e908")</f>
        <v>https://miland.ru/api/getInfo/image/6d0e62c6-7741-11ef-a265-00155d82e908</v>
      </c>
    </row>
    <row r="5035" spans="1:19" s="2" customFormat="1" ht="96.2" customHeight="1" outlineLevel="4">
      <c r="A5035" s="52">
        <v>3986</v>
      </c>
      <c r="B5035" s="26" t="s">
        <v>16749</v>
      </c>
      <c r="C5035" s="66" t="s">
        <v>16750</v>
      </c>
      <c r="D5035" s="66"/>
      <c r="E5035" s="66"/>
      <c r="F5035" s="66"/>
      <c r="G5035" s="27" t="s">
        <v>16751</v>
      </c>
      <c r="H5035" s="28" t="s">
        <v>44</v>
      </c>
      <c r="I5035" s="29"/>
      <c r="J5035" s="25">
        <v>20</v>
      </c>
      <c r="K5035" s="30">
        <v>19.8</v>
      </c>
      <c r="L5035" s="17"/>
      <c r="M5035" s="29">
        <f t="shared" si="254"/>
        <v>0</v>
      </c>
      <c r="N5035" s="31">
        <f>0.019*L5035</f>
        <v>0</v>
      </c>
      <c r="O5035" s="32">
        <f>0.00007*L5035</f>
        <v>0</v>
      </c>
      <c r="P5035" s="36"/>
      <c r="Q5035" s="29" t="s">
        <v>16752</v>
      </c>
      <c r="R5035" s="29"/>
      <c r="S5035" s="26" t="str">
        <f>HYPERLINK("https://miland.ru/api/getInfo/image/90555b33-7740-11ef-a265-00155d82e908")</f>
        <v>https://miland.ru/api/getInfo/image/90555b33-7740-11ef-a265-00155d82e908</v>
      </c>
    </row>
    <row r="5036" spans="1:19" s="2" customFormat="1" ht="96.2" customHeight="1" outlineLevel="4">
      <c r="A5036" s="53">
        <v>3987</v>
      </c>
      <c r="B5036" s="10" t="s">
        <v>16753</v>
      </c>
      <c r="C5036" s="65" t="s">
        <v>16754</v>
      </c>
      <c r="D5036" s="65"/>
      <c r="E5036" s="65"/>
      <c r="F5036" s="65"/>
      <c r="G5036" s="11" t="s">
        <v>16755</v>
      </c>
      <c r="H5036" s="21" t="s">
        <v>44</v>
      </c>
      <c r="I5036" s="15"/>
      <c r="J5036" s="9">
        <v>20</v>
      </c>
      <c r="K5036" s="16">
        <v>19.8</v>
      </c>
      <c r="L5036" s="17"/>
      <c r="M5036" s="15">
        <f t="shared" si="254"/>
        <v>0</v>
      </c>
      <c r="N5036" s="23">
        <f>0.01*L5036</f>
        <v>0</v>
      </c>
      <c r="O5036" s="19">
        <f>0.00004*L5036</f>
        <v>0</v>
      </c>
      <c r="P5036" s="24" t="s">
        <v>26</v>
      </c>
      <c r="Q5036" s="15" t="s">
        <v>16756</v>
      </c>
      <c r="R5036" s="15"/>
      <c r="S5036" s="10" t="str">
        <f>HYPERLINK("https://miland.ru/api/getInfo/image/a580a3a6-76b9-11f0-a284-00155d82e908")</f>
        <v>https://miland.ru/api/getInfo/image/a580a3a6-76b9-11f0-a284-00155d82e908</v>
      </c>
    </row>
    <row r="5037" spans="1:19" s="2" customFormat="1" ht="96.2" customHeight="1" outlineLevel="4">
      <c r="A5037" s="53">
        <v>3988</v>
      </c>
      <c r="B5037" s="10" t="s">
        <v>16757</v>
      </c>
      <c r="C5037" s="65" t="s">
        <v>16758</v>
      </c>
      <c r="D5037" s="65"/>
      <c r="E5037" s="65"/>
      <c r="F5037" s="65"/>
      <c r="G5037" s="11" t="s">
        <v>16759</v>
      </c>
      <c r="H5037" s="21" t="s">
        <v>44</v>
      </c>
      <c r="I5037" s="15"/>
      <c r="J5037" s="9">
        <v>20</v>
      </c>
      <c r="K5037" s="16">
        <v>19.8</v>
      </c>
      <c r="L5037" s="17"/>
      <c r="M5037" s="15">
        <f t="shared" si="254"/>
        <v>0</v>
      </c>
      <c r="N5037" s="18">
        <f>0.008*L5037</f>
        <v>0</v>
      </c>
      <c r="O5037" s="19">
        <f>0.00003*L5037</f>
        <v>0</v>
      </c>
      <c r="P5037" s="24" t="s">
        <v>26</v>
      </c>
      <c r="Q5037" s="15" t="s">
        <v>16760</v>
      </c>
      <c r="R5037" s="15"/>
      <c r="S5037" s="10" t="str">
        <f>HYPERLINK("https://miland.ru/api/getInfo/image/b53338f2-76ba-11f0-a284-00155d82e908")</f>
        <v>https://miland.ru/api/getInfo/image/b53338f2-76ba-11f0-a284-00155d82e908</v>
      </c>
    </row>
    <row r="5038" spans="1:19" s="2" customFormat="1" ht="96.2" customHeight="1" outlineLevel="4">
      <c r="A5038" s="53">
        <v>3989</v>
      </c>
      <c r="B5038" s="10" t="s">
        <v>16761</v>
      </c>
      <c r="C5038" s="65" t="s">
        <v>16762</v>
      </c>
      <c r="D5038" s="65"/>
      <c r="E5038" s="65"/>
      <c r="F5038" s="65"/>
      <c r="G5038" s="11" t="s">
        <v>16763</v>
      </c>
      <c r="H5038" s="21" t="s">
        <v>44</v>
      </c>
      <c r="I5038" s="15"/>
      <c r="J5038" s="9">
        <v>20</v>
      </c>
      <c r="K5038" s="16">
        <v>19.8</v>
      </c>
      <c r="L5038" s="17"/>
      <c r="M5038" s="15">
        <f t="shared" si="254"/>
        <v>0</v>
      </c>
      <c r="N5038" s="23">
        <f>0.01*L5038</f>
        <v>0</v>
      </c>
      <c r="O5038" s="19">
        <f>0.00004*L5038</f>
        <v>0</v>
      </c>
      <c r="P5038" s="24" t="s">
        <v>26</v>
      </c>
      <c r="Q5038" s="15" t="s">
        <v>16764</v>
      </c>
      <c r="R5038" s="15"/>
      <c r="S5038" s="10" t="str">
        <f>HYPERLINK("https://miland.ru/api/getInfo/image/7939b3ac-76b8-11f0-a284-00155d82e908")</f>
        <v>https://miland.ru/api/getInfo/image/7939b3ac-76b8-11f0-a284-00155d82e908</v>
      </c>
    </row>
    <row r="5039" spans="1:19" s="2" customFormat="1" ht="96.2" customHeight="1" outlineLevel="4">
      <c r="A5039" s="53">
        <v>3990</v>
      </c>
      <c r="B5039" s="10" t="s">
        <v>16765</v>
      </c>
      <c r="C5039" s="65" t="s">
        <v>16766</v>
      </c>
      <c r="D5039" s="65"/>
      <c r="E5039" s="65"/>
      <c r="F5039" s="65"/>
      <c r="G5039" s="11" t="s">
        <v>16767</v>
      </c>
      <c r="H5039" s="21" t="s">
        <v>44</v>
      </c>
      <c r="I5039" s="15"/>
      <c r="J5039" s="9">
        <v>20</v>
      </c>
      <c r="K5039" s="16">
        <v>19.8</v>
      </c>
      <c r="L5039" s="17"/>
      <c r="M5039" s="15">
        <f t="shared" si="254"/>
        <v>0</v>
      </c>
      <c r="N5039" s="18">
        <f>0.008*L5039</f>
        <v>0</v>
      </c>
      <c r="O5039" s="19">
        <f>0.00003*L5039</f>
        <v>0</v>
      </c>
      <c r="P5039" s="24" t="s">
        <v>26</v>
      </c>
      <c r="Q5039" s="15" t="s">
        <v>16768</v>
      </c>
      <c r="R5039" s="15"/>
      <c r="S5039" s="10" t="str">
        <f>HYPERLINK("https://miland.ru/api/getInfo/image/689dbbaf-7739-11f0-a284-00155d82e908")</f>
        <v>https://miland.ru/api/getInfo/image/689dbbaf-7739-11f0-a284-00155d82e908</v>
      </c>
    </row>
    <row r="5040" spans="1:19" s="2" customFormat="1" ht="96.2" customHeight="1" outlineLevel="4">
      <c r="A5040" s="53">
        <v>3991</v>
      </c>
      <c r="B5040" s="10" t="s">
        <v>16769</v>
      </c>
      <c r="C5040" s="65" t="s">
        <v>16770</v>
      </c>
      <c r="D5040" s="65"/>
      <c r="E5040" s="65"/>
      <c r="F5040" s="65"/>
      <c r="G5040" s="11" t="s">
        <v>16771</v>
      </c>
      <c r="H5040" s="14">
        <v>140</v>
      </c>
      <c r="I5040" s="15"/>
      <c r="J5040" s="9">
        <v>20</v>
      </c>
      <c r="K5040" s="16">
        <v>19.8</v>
      </c>
      <c r="L5040" s="17"/>
      <c r="M5040" s="15">
        <f t="shared" si="254"/>
        <v>0</v>
      </c>
      <c r="N5040" s="23">
        <f>0.01*L5040</f>
        <v>0</v>
      </c>
      <c r="O5040" s="19">
        <f>0.00004*L5040</f>
        <v>0</v>
      </c>
      <c r="P5040" s="24" t="s">
        <v>26</v>
      </c>
      <c r="Q5040" s="15" t="s">
        <v>16772</v>
      </c>
      <c r="R5040" s="15"/>
      <c r="S5040" s="10" t="str">
        <f>HYPERLINK("https://miland.ru/api/getInfo/image/4fe78d0c-7739-11f0-a284-00155d82e908")</f>
        <v>https://miland.ru/api/getInfo/image/4fe78d0c-7739-11f0-a284-00155d82e908</v>
      </c>
    </row>
    <row r="5041" spans="1:19" s="1" customFormat="1" ht="12" customHeight="1" outlineLevel="3">
      <c r="A5041" s="64" t="s">
        <v>16773</v>
      </c>
      <c r="B5041" s="64"/>
      <c r="C5041" s="64"/>
      <c r="D5041" s="64"/>
      <c r="E5041" s="64"/>
      <c r="F5041" s="64"/>
      <c r="G5041" s="8"/>
      <c r="H5041" s="12"/>
      <c r="I5041" s="2"/>
      <c r="J5041" s="2"/>
      <c r="K5041" s="13"/>
      <c r="L5041" s="2"/>
      <c r="M5041" s="2"/>
      <c r="N5041" s="2"/>
      <c r="O5041" s="2"/>
      <c r="P5041" s="2"/>
      <c r="Q5041" s="2"/>
      <c r="R5041" s="2"/>
      <c r="S5041" s="2"/>
    </row>
    <row r="5042" spans="1:19" s="1" customFormat="1" ht="12" customHeight="1" outlineLevel="4">
      <c r="A5042" s="64" t="s">
        <v>16774</v>
      </c>
      <c r="B5042" s="64"/>
      <c r="C5042" s="64"/>
      <c r="D5042" s="64"/>
      <c r="E5042" s="64"/>
      <c r="F5042" s="64"/>
      <c r="G5042" s="8"/>
      <c r="H5042" s="12"/>
      <c r="I5042" s="2"/>
      <c r="J5042" s="2"/>
      <c r="K5042" s="13"/>
      <c r="L5042" s="2"/>
      <c r="M5042" s="2"/>
      <c r="N5042" s="2"/>
      <c r="O5042" s="2"/>
      <c r="P5042" s="2"/>
      <c r="Q5042" s="2"/>
      <c r="R5042" s="2"/>
      <c r="S5042" s="2"/>
    </row>
    <row r="5043" spans="1:19" s="2" customFormat="1" ht="96.2" customHeight="1" outlineLevel="5">
      <c r="A5043" s="52">
        <v>3992</v>
      </c>
      <c r="B5043" s="26" t="s">
        <v>16775</v>
      </c>
      <c r="C5043" s="66" t="s">
        <v>16776</v>
      </c>
      <c r="D5043" s="66"/>
      <c r="E5043" s="66"/>
      <c r="F5043" s="66"/>
      <c r="G5043" s="27" t="s">
        <v>16777</v>
      </c>
      <c r="H5043" s="33">
        <v>20</v>
      </c>
      <c r="I5043" s="29"/>
      <c r="J5043" s="25">
        <v>20</v>
      </c>
      <c r="K5043" s="30">
        <v>26.4</v>
      </c>
      <c r="L5043" s="17"/>
      <c r="M5043" s="29">
        <f t="shared" ref="M5043:M5052" si="255">K5043*L5043</f>
        <v>0</v>
      </c>
      <c r="N5043" s="31">
        <f>12.488*L5043</f>
        <v>0</v>
      </c>
      <c r="O5043" s="32">
        <f>0.04165*L5043</f>
        <v>0</v>
      </c>
      <c r="P5043" s="36"/>
      <c r="Q5043" s="29" t="s">
        <v>16778</v>
      </c>
      <c r="R5043" s="29" t="s">
        <v>611</v>
      </c>
      <c r="S5043" s="26" t="str">
        <f>HYPERLINK("https://miland.ru/api/getInfo/image/af11f83b-5a18-11ef-a262-00155d82e908")</f>
        <v>https://miland.ru/api/getInfo/image/af11f83b-5a18-11ef-a262-00155d82e908</v>
      </c>
    </row>
    <row r="5044" spans="1:19" s="2" customFormat="1" ht="96.2" customHeight="1" outlineLevel="5">
      <c r="A5044" s="53">
        <v>3993</v>
      </c>
      <c r="B5044" s="10" t="s">
        <v>16779</v>
      </c>
      <c r="C5044" s="65" t="s">
        <v>16780</v>
      </c>
      <c r="D5044" s="65"/>
      <c r="E5044" s="65"/>
      <c r="F5044" s="65"/>
      <c r="G5044" s="11" t="s">
        <v>16781</v>
      </c>
      <c r="H5044" s="21" t="s">
        <v>44</v>
      </c>
      <c r="I5044" s="15"/>
      <c r="J5044" s="9">
        <v>20</v>
      </c>
      <c r="K5044" s="16">
        <v>26.4</v>
      </c>
      <c r="L5044" s="17"/>
      <c r="M5044" s="15">
        <f t="shared" si="255"/>
        <v>0</v>
      </c>
      <c r="N5044" s="23">
        <f>0.01*L5044</f>
        <v>0</v>
      </c>
      <c r="O5044" s="19">
        <f>0.00004*L5044</f>
        <v>0</v>
      </c>
      <c r="P5044" s="24" t="s">
        <v>26</v>
      </c>
      <c r="Q5044" s="15" t="s">
        <v>16782</v>
      </c>
      <c r="R5044" s="15"/>
      <c r="S5044" s="10" t="str">
        <f>HYPERLINK("https://miland.ru/api/getInfo/image/ff0a72a9-62d9-11f0-a281-00155d82e908")</f>
        <v>https://miland.ru/api/getInfo/image/ff0a72a9-62d9-11f0-a281-00155d82e908</v>
      </c>
    </row>
    <row r="5045" spans="1:19" s="2" customFormat="1" ht="96.2" customHeight="1" outlineLevel="5">
      <c r="A5045" s="53">
        <v>3994</v>
      </c>
      <c r="B5045" s="10" t="s">
        <v>16783</v>
      </c>
      <c r="C5045" s="65" t="s">
        <v>16784</v>
      </c>
      <c r="D5045" s="65"/>
      <c r="E5045" s="65"/>
      <c r="F5045" s="65"/>
      <c r="G5045" s="11" t="s">
        <v>16785</v>
      </c>
      <c r="H5045" s="21" t="s">
        <v>44</v>
      </c>
      <c r="I5045" s="15"/>
      <c r="J5045" s="9">
        <v>20</v>
      </c>
      <c r="K5045" s="16">
        <v>26.4</v>
      </c>
      <c r="L5045" s="17"/>
      <c r="M5045" s="15">
        <f t="shared" si="255"/>
        <v>0</v>
      </c>
      <c r="N5045" s="23">
        <f>0.01*L5045</f>
        <v>0</v>
      </c>
      <c r="O5045" s="19">
        <f>0.00004*L5045</f>
        <v>0</v>
      </c>
      <c r="P5045" s="24" t="s">
        <v>26</v>
      </c>
      <c r="Q5045" s="15" t="s">
        <v>16786</v>
      </c>
      <c r="R5045" s="15"/>
      <c r="S5045" s="10" t="str">
        <f>HYPERLINK("https://miland.ru/api/getInfo/image/ae398bb4-62d5-11f0-a281-00155d82e908")</f>
        <v>https://miland.ru/api/getInfo/image/ae398bb4-62d5-11f0-a281-00155d82e908</v>
      </c>
    </row>
    <row r="5046" spans="1:19" s="2" customFormat="1" ht="96.2" customHeight="1" outlineLevel="5">
      <c r="A5046" s="53">
        <v>3995</v>
      </c>
      <c r="B5046" s="10" t="s">
        <v>16787</v>
      </c>
      <c r="C5046" s="65" t="s">
        <v>16788</v>
      </c>
      <c r="D5046" s="65"/>
      <c r="E5046" s="65"/>
      <c r="F5046" s="65"/>
      <c r="G5046" s="11" t="s">
        <v>16789</v>
      </c>
      <c r="H5046" s="21" t="s">
        <v>44</v>
      </c>
      <c r="I5046" s="15"/>
      <c r="J5046" s="9">
        <v>20</v>
      </c>
      <c r="K5046" s="16">
        <v>26.4</v>
      </c>
      <c r="L5046" s="17"/>
      <c r="M5046" s="15">
        <f t="shared" si="255"/>
        <v>0</v>
      </c>
      <c r="N5046" s="18">
        <f>0.008*L5046</f>
        <v>0</v>
      </c>
      <c r="O5046" s="19">
        <f>0.00003*L5046</f>
        <v>0</v>
      </c>
      <c r="P5046" s="24" t="s">
        <v>26</v>
      </c>
      <c r="Q5046" s="15" t="s">
        <v>16790</v>
      </c>
      <c r="R5046" s="15"/>
      <c r="S5046" s="10" t="str">
        <f>HYPERLINK("https://miland.ru/api/getInfo/image/ec631200-62d7-11f0-a281-00155d82e908")</f>
        <v>https://miland.ru/api/getInfo/image/ec631200-62d7-11f0-a281-00155d82e908</v>
      </c>
    </row>
    <row r="5047" spans="1:19" s="2" customFormat="1" ht="96.2" customHeight="1" outlineLevel="5">
      <c r="A5047" s="53">
        <v>3996</v>
      </c>
      <c r="B5047" s="10" t="s">
        <v>16791</v>
      </c>
      <c r="C5047" s="65" t="s">
        <v>16792</v>
      </c>
      <c r="D5047" s="65"/>
      <c r="E5047" s="65"/>
      <c r="F5047" s="65"/>
      <c r="G5047" s="11" t="s">
        <v>16793</v>
      </c>
      <c r="H5047" s="21" t="s">
        <v>44</v>
      </c>
      <c r="I5047" s="15"/>
      <c r="J5047" s="9">
        <v>20</v>
      </c>
      <c r="K5047" s="16">
        <v>26.4</v>
      </c>
      <c r="L5047" s="17"/>
      <c r="M5047" s="15">
        <f t="shared" si="255"/>
        <v>0</v>
      </c>
      <c r="N5047" s="23">
        <f>0.01*L5047</f>
        <v>0</v>
      </c>
      <c r="O5047" s="19">
        <f>0.00004*L5047</f>
        <v>0</v>
      </c>
      <c r="P5047" s="24" t="s">
        <v>26</v>
      </c>
      <c r="Q5047" s="15" t="s">
        <v>16794</v>
      </c>
      <c r="R5047" s="15"/>
      <c r="S5047" s="10" t="str">
        <f>HYPERLINK("https://miland.ru/api/getInfo/image/aaaa0e58-62d7-11f0-a281-00155d82e908")</f>
        <v>https://miland.ru/api/getInfo/image/aaaa0e58-62d7-11f0-a281-00155d82e908</v>
      </c>
    </row>
    <row r="5048" spans="1:19" s="2" customFormat="1" ht="96.2" customHeight="1" outlineLevel="5">
      <c r="A5048" s="53">
        <v>3997</v>
      </c>
      <c r="B5048" s="10" t="s">
        <v>16795</v>
      </c>
      <c r="C5048" s="65" t="s">
        <v>16796</v>
      </c>
      <c r="D5048" s="65"/>
      <c r="E5048" s="65"/>
      <c r="F5048" s="65"/>
      <c r="G5048" s="11" t="s">
        <v>16797</v>
      </c>
      <c r="H5048" s="21" t="s">
        <v>44</v>
      </c>
      <c r="I5048" s="15"/>
      <c r="J5048" s="9">
        <v>20</v>
      </c>
      <c r="K5048" s="16">
        <v>26.4</v>
      </c>
      <c r="L5048" s="17"/>
      <c r="M5048" s="15">
        <f t="shared" si="255"/>
        <v>0</v>
      </c>
      <c r="N5048" s="18">
        <f>0.008*L5048</f>
        <v>0</v>
      </c>
      <c r="O5048" s="19">
        <f>0.00003*L5048</f>
        <v>0</v>
      </c>
      <c r="P5048" s="24" t="s">
        <v>26</v>
      </c>
      <c r="Q5048" s="15" t="s">
        <v>16798</v>
      </c>
      <c r="R5048" s="15"/>
      <c r="S5048" s="10" t="str">
        <f>HYPERLINK("https://miland.ru/api/getInfo/image/0e56e92a-62db-11f0-a281-00155d82e908")</f>
        <v>https://miland.ru/api/getInfo/image/0e56e92a-62db-11f0-a281-00155d82e908</v>
      </c>
    </row>
    <row r="5049" spans="1:19" s="2" customFormat="1" ht="96.2" customHeight="1" outlineLevel="5">
      <c r="A5049" s="53">
        <v>3998</v>
      </c>
      <c r="B5049" s="10" t="s">
        <v>16799</v>
      </c>
      <c r="C5049" s="65" t="s">
        <v>16800</v>
      </c>
      <c r="D5049" s="65"/>
      <c r="E5049" s="65"/>
      <c r="F5049" s="65"/>
      <c r="G5049" s="11" t="s">
        <v>16801</v>
      </c>
      <c r="H5049" s="21" t="s">
        <v>44</v>
      </c>
      <c r="I5049" s="15"/>
      <c r="J5049" s="9">
        <v>20</v>
      </c>
      <c r="K5049" s="16">
        <v>26.4</v>
      </c>
      <c r="L5049" s="17"/>
      <c r="M5049" s="15">
        <f t="shared" si="255"/>
        <v>0</v>
      </c>
      <c r="N5049" s="23">
        <f>0.01*L5049</f>
        <v>0</v>
      </c>
      <c r="O5049" s="19">
        <f>0.00004*L5049</f>
        <v>0</v>
      </c>
      <c r="P5049" s="24" t="s">
        <v>26</v>
      </c>
      <c r="Q5049" s="15" t="s">
        <v>16802</v>
      </c>
      <c r="R5049" s="15"/>
      <c r="S5049" s="10" t="str">
        <f>HYPERLINK("https://miland.ru/api/getInfo/image/5369bd3a-62db-11f0-a281-00155d82e908")</f>
        <v>https://miland.ru/api/getInfo/image/5369bd3a-62db-11f0-a281-00155d82e908</v>
      </c>
    </row>
    <row r="5050" spans="1:19" s="2" customFormat="1" ht="96.2" customHeight="1" outlineLevel="5">
      <c r="A5050" s="53">
        <v>3999</v>
      </c>
      <c r="B5050" s="10" t="s">
        <v>16803</v>
      </c>
      <c r="C5050" s="65" t="s">
        <v>16804</v>
      </c>
      <c r="D5050" s="65"/>
      <c r="E5050" s="65"/>
      <c r="F5050" s="65"/>
      <c r="G5050" s="11" t="s">
        <v>16805</v>
      </c>
      <c r="H5050" s="21" t="s">
        <v>44</v>
      </c>
      <c r="I5050" s="15"/>
      <c r="J5050" s="9">
        <v>20</v>
      </c>
      <c r="K5050" s="16">
        <v>26.4</v>
      </c>
      <c r="L5050" s="17"/>
      <c r="M5050" s="15">
        <f t="shared" si="255"/>
        <v>0</v>
      </c>
      <c r="N5050" s="18">
        <f>0.011*L5050</f>
        <v>0</v>
      </c>
      <c r="O5050" s="19">
        <f>0.00004*L5050</f>
        <v>0</v>
      </c>
      <c r="P5050" s="24" t="s">
        <v>26</v>
      </c>
      <c r="Q5050" s="15" t="s">
        <v>16806</v>
      </c>
      <c r="R5050" s="15"/>
      <c r="S5050" s="10" t="str">
        <f>HYPERLINK("https://miland.ru/api/getInfo/image/23a18dde-62d8-11f0-a281-00155d82e908")</f>
        <v>https://miland.ru/api/getInfo/image/23a18dde-62d8-11f0-a281-00155d82e908</v>
      </c>
    </row>
    <row r="5051" spans="1:19" s="2" customFormat="1" ht="96.2" customHeight="1" outlineLevel="5">
      <c r="A5051" s="53">
        <v>4000</v>
      </c>
      <c r="B5051" s="10" t="s">
        <v>16807</v>
      </c>
      <c r="C5051" s="65" t="s">
        <v>16808</v>
      </c>
      <c r="D5051" s="65"/>
      <c r="E5051" s="65"/>
      <c r="F5051" s="65"/>
      <c r="G5051" s="11" t="s">
        <v>16809</v>
      </c>
      <c r="H5051" s="21" t="s">
        <v>44</v>
      </c>
      <c r="I5051" s="15"/>
      <c r="J5051" s="9">
        <v>20</v>
      </c>
      <c r="K5051" s="16">
        <v>26.4</v>
      </c>
      <c r="L5051" s="17"/>
      <c r="M5051" s="15">
        <f t="shared" si="255"/>
        <v>0</v>
      </c>
      <c r="N5051" s="23">
        <f>0.01*L5051</f>
        <v>0</v>
      </c>
      <c r="O5051" s="19">
        <f>0.00004*L5051</f>
        <v>0</v>
      </c>
      <c r="P5051" s="24" t="s">
        <v>26</v>
      </c>
      <c r="Q5051" s="15" t="s">
        <v>16810</v>
      </c>
      <c r="R5051" s="15"/>
      <c r="S5051" s="10" t="str">
        <f>HYPERLINK("https://miland.ru/api/getInfo/image/cbef79d0-62db-11f0-a281-00155d82e908")</f>
        <v>https://miland.ru/api/getInfo/image/cbef79d0-62db-11f0-a281-00155d82e908</v>
      </c>
    </row>
    <row r="5052" spans="1:19" s="2" customFormat="1" ht="96.2" customHeight="1" outlineLevel="5">
      <c r="A5052" s="53">
        <v>4001</v>
      </c>
      <c r="B5052" s="10" t="s">
        <v>16811</v>
      </c>
      <c r="C5052" s="65" t="s">
        <v>16812</v>
      </c>
      <c r="D5052" s="65"/>
      <c r="E5052" s="65"/>
      <c r="F5052" s="65"/>
      <c r="G5052" s="11" t="s">
        <v>16813</v>
      </c>
      <c r="H5052" s="21" t="s">
        <v>44</v>
      </c>
      <c r="I5052" s="15"/>
      <c r="J5052" s="9">
        <v>20</v>
      </c>
      <c r="K5052" s="16">
        <v>26.4</v>
      </c>
      <c r="L5052" s="17"/>
      <c r="M5052" s="15">
        <f t="shared" si="255"/>
        <v>0</v>
      </c>
      <c r="N5052" s="23">
        <f>0.01*L5052</f>
        <v>0</v>
      </c>
      <c r="O5052" s="19">
        <f>0.00004*L5052</f>
        <v>0</v>
      </c>
      <c r="P5052" s="24" t="s">
        <v>26</v>
      </c>
      <c r="Q5052" s="15" t="s">
        <v>16814</v>
      </c>
      <c r="R5052" s="15"/>
      <c r="S5052" s="10" t="str">
        <f>HYPERLINK("https://miland.ru/api/getInfo/image/57f64330-62d8-11f0-a281-00155d82e908")</f>
        <v>https://miland.ru/api/getInfo/image/57f64330-62d8-11f0-a281-00155d82e908</v>
      </c>
    </row>
    <row r="5053" spans="1:19" s="1" customFormat="1" ht="12" customHeight="1" outlineLevel="4">
      <c r="A5053" s="64" t="s">
        <v>16815</v>
      </c>
      <c r="B5053" s="64"/>
      <c r="C5053" s="64"/>
      <c r="D5053" s="64"/>
      <c r="E5053" s="64"/>
      <c r="F5053" s="64"/>
      <c r="G5053" s="8"/>
      <c r="H5053" s="12"/>
      <c r="I5053" s="2"/>
      <c r="J5053" s="2"/>
      <c r="K5053" s="13"/>
      <c r="L5053" s="2"/>
      <c r="M5053" s="2"/>
      <c r="N5053" s="2"/>
      <c r="O5053" s="2"/>
      <c r="P5053" s="2"/>
      <c r="Q5053" s="2"/>
      <c r="R5053" s="2"/>
      <c r="S5053" s="2"/>
    </row>
    <row r="5054" spans="1:19" s="2" customFormat="1" ht="96.2" customHeight="1" outlineLevel="5">
      <c r="A5054" s="53">
        <v>4002</v>
      </c>
      <c r="B5054" s="10" t="s">
        <v>16816</v>
      </c>
      <c r="C5054" s="65" t="s">
        <v>16817</v>
      </c>
      <c r="D5054" s="65"/>
      <c r="E5054" s="65"/>
      <c r="F5054" s="65"/>
      <c r="G5054" s="11" t="s">
        <v>16818</v>
      </c>
      <c r="H5054" s="14">
        <v>40</v>
      </c>
      <c r="I5054" s="15"/>
      <c r="J5054" s="9">
        <v>20</v>
      </c>
      <c r="K5054" s="16">
        <v>27.5</v>
      </c>
      <c r="L5054" s="17"/>
      <c r="M5054" s="15">
        <f t="shared" ref="M5054:M5059" si="256">K5054*L5054</f>
        <v>0</v>
      </c>
      <c r="N5054" s="23">
        <f>0.01*L5054</f>
        <v>0</v>
      </c>
      <c r="O5054" s="19">
        <f>0.00004*L5054</f>
        <v>0</v>
      </c>
      <c r="P5054" s="24" t="s">
        <v>26</v>
      </c>
      <c r="Q5054" s="15" t="s">
        <v>16819</v>
      </c>
      <c r="R5054" s="15"/>
      <c r="S5054" s="10" t="str">
        <f>HYPERLINK("https://miland.ru/api/getInfo/image/0f95c6e1-87f2-11f0-a284-00155d82e908")</f>
        <v>https://miland.ru/api/getInfo/image/0f95c6e1-87f2-11f0-a284-00155d82e908</v>
      </c>
    </row>
    <row r="5055" spans="1:19" s="2" customFormat="1" ht="96.2" customHeight="1" outlineLevel="5">
      <c r="A5055" s="53">
        <v>4003</v>
      </c>
      <c r="B5055" s="10" t="s">
        <v>16820</v>
      </c>
      <c r="C5055" s="65" t="s">
        <v>16821</v>
      </c>
      <c r="D5055" s="65"/>
      <c r="E5055" s="65"/>
      <c r="F5055" s="65"/>
      <c r="G5055" s="11" t="s">
        <v>16822</v>
      </c>
      <c r="H5055" s="14">
        <v>450</v>
      </c>
      <c r="I5055" s="15"/>
      <c r="J5055" s="9">
        <v>20</v>
      </c>
      <c r="K5055" s="16">
        <v>27.5</v>
      </c>
      <c r="L5055" s="17"/>
      <c r="M5055" s="15">
        <f t="shared" si="256"/>
        <v>0</v>
      </c>
      <c r="N5055" s="23">
        <f>0.01*L5055</f>
        <v>0</v>
      </c>
      <c r="O5055" s="19">
        <f>0.00004*L5055</f>
        <v>0</v>
      </c>
      <c r="P5055" s="24" t="s">
        <v>26</v>
      </c>
      <c r="Q5055" s="15" t="s">
        <v>16823</v>
      </c>
      <c r="R5055" s="15"/>
      <c r="S5055" s="10" t="str">
        <f>HYPERLINK("https://miland.ru/api/getInfo/image/ae8df776-87f0-11f0-a284-00155d82e908")</f>
        <v>https://miland.ru/api/getInfo/image/ae8df776-87f0-11f0-a284-00155d82e908</v>
      </c>
    </row>
    <row r="5056" spans="1:19" s="2" customFormat="1" ht="96.2" customHeight="1" outlineLevel="5">
      <c r="A5056" s="53">
        <v>4004</v>
      </c>
      <c r="B5056" s="10" t="s">
        <v>16824</v>
      </c>
      <c r="C5056" s="65" t="s">
        <v>16825</v>
      </c>
      <c r="D5056" s="65"/>
      <c r="E5056" s="65"/>
      <c r="F5056" s="65"/>
      <c r="G5056" s="11" t="s">
        <v>16826</v>
      </c>
      <c r="H5056" s="14">
        <v>30</v>
      </c>
      <c r="I5056" s="15"/>
      <c r="J5056" s="9">
        <v>20</v>
      </c>
      <c r="K5056" s="16">
        <v>27.5</v>
      </c>
      <c r="L5056" s="17"/>
      <c r="M5056" s="15">
        <f t="shared" si="256"/>
        <v>0</v>
      </c>
      <c r="N5056" s="23">
        <f>0.01*L5056</f>
        <v>0</v>
      </c>
      <c r="O5056" s="19">
        <f>0.00004*L5056</f>
        <v>0</v>
      </c>
      <c r="P5056" s="24" t="s">
        <v>26</v>
      </c>
      <c r="Q5056" s="15" t="s">
        <v>16827</v>
      </c>
      <c r="R5056" s="15"/>
      <c r="S5056" s="10" t="str">
        <f>HYPERLINK("https://miland.ru/api/getInfo/image/2adf522d-87f1-11f0-a284-00155d82e908")</f>
        <v>https://miland.ru/api/getInfo/image/2adf522d-87f1-11f0-a284-00155d82e908</v>
      </c>
    </row>
    <row r="5057" spans="1:19" s="2" customFormat="1" ht="96.2" customHeight="1" outlineLevel="5">
      <c r="A5057" s="53">
        <v>4005</v>
      </c>
      <c r="B5057" s="10" t="s">
        <v>16828</v>
      </c>
      <c r="C5057" s="65" t="s">
        <v>16829</v>
      </c>
      <c r="D5057" s="65"/>
      <c r="E5057" s="65"/>
      <c r="F5057" s="65"/>
      <c r="G5057" s="11" t="s">
        <v>16830</v>
      </c>
      <c r="H5057" s="21" t="s">
        <v>44</v>
      </c>
      <c r="I5057" s="15"/>
      <c r="J5057" s="9">
        <v>20</v>
      </c>
      <c r="K5057" s="16">
        <v>27.5</v>
      </c>
      <c r="L5057" s="17"/>
      <c r="M5057" s="15">
        <f t="shared" si="256"/>
        <v>0</v>
      </c>
      <c r="N5057" s="18">
        <f>0.008*L5057</f>
        <v>0</v>
      </c>
      <c r="O5057" s="19">
        <f>0.00003*L5057</f>
        <v>0</v>
      </c>
      <c r="P5057" s="24" t="s">
        <v>26</v>
      </c>
      <c r="Q5057" s="15" t="s">
        <v>16831</v>
      </c>
      <c r="R5057" s="15"/>
      <c r="S5057" s="10" t="str">
        <f>HYPERLINK("https://miland.ru/api/getInfo/image/0b221094-87f1-11f0-a284-00155d82e908")</f>
        <v>https://miland.ru/api/getInfo/image/0b221094-87f1-11f0-a284-00155d82e908</v>
      </c>
    </row>
    <row r="5058" spans="1:19" s="2" customFormat="1" ht="96.2" customHeight="1" outlineLevel="5">
      <c r="A5058" s="53">
        <v>4006</v>
      </c>
      <c r="B5058" s="10" t="s">
        <v>16832</v>
      </c>
      <c r="C5058" s="65" t="s">
        <v>16833</v>
      </c>
      <c r="D5058" s="65"/>
      <c r="E5058" s="65"/>
      <c r="F5058" s="65"/>
      <c r="G5058" s="11" t="s">
        <v>16834</v>
      </c>
      <c r="H5058" s="21" t="s">
        <v>44</v>
      </c>
      <c r="I5058" s="15"/>
      <c r="J5058" s="9">
        <v>20</v>
      </c>
      <c r="K5058" s="16">
        <v>32.520000000000003</v>
      </c>
      <c r="L5058" s="17"/>
      <c r="M5058" s="15">
        <f t="shared" si="256"/>
        <v>0</v>
      </c>
      <c r="N5058" s="18">
        <f>0.008*L5058</f>
        <v>0</v>
      </c>
      <c r="O5058" s="19">
        <f>0.00003*L5058</f>
        <v>0</v>
      </c>
      <c r="P5058" s="24" t="s">
        <v>26</v>
      </c>
      <c r="Q5058" s="15" t="s">
        <v>16835</v>
      </c>
      <c r="R5058" s="15"/>
      <c r="S5058" s="10" t="str">
        <f>HYPERLINK("https://miland.ru/api/getInfo/image/245e7f94-87f5-11f0-a284-00155d82e908")</f>
        <v>https://miland.ru/api/getInfo/image/245e7f94-87f5-11f0-a284-00155d82e908</v>
      </c>
    </row>
    <row r="5059" spans="1:19" s="2" customFormat="1" ht="96.2" customHeight="1" outlineLevel="5">
      <c r="A5059" s="53">
        <v>4007</v>
      </c>
      <c r="B5059" s="10" t="s">
        <v>16836</v>
      </c>
      <c r="C5059" s="65" t="s">
        <v>16837</v>
      </c>
      <c r="D5059" s="65"/>
      <c r="E5059" s="65"/>
      <c r="F5059" s="65"/>
      <c r="G5059" s="11" t="s">
        <v>16838</v>
      </c>
      <c r="H5059" s="21" t="s">
        <v>44</v>
      </c>
      <c r="I5059" s="15"/>
      <c r="J5059" s="9">
        <v>20</v>
      </c>
      <c r="K5059" s="16">
        <v>32.520000000000003</v>
      </c>
      <c r="L5059" s="17"/>
      <c r="M5059" s="15">
        <f t="shared" si="256"/>
        <v>0</v>
      </c>
      <c r="N5059" s="23">
        <f>0.01*L5059</f>
        <v>0</v>
      </c>
      <c r="O5059" s="19">
        <f>0.00004*L5059</f>
        <v>0</v>
      </c>
      <c r="P5059" s="24" t="s">
        <v>26</v>
      </c>
      <c r="Q5059" s="15" t="s">
        <v>16839</v>
      </c>
      <c r="R5059" s="15"/>
      <c r="S5059" s="10" t="str">
        <f>HYPERLINK("https://miland.ru/api/getInfo/image/812a977c-87f5-11f0-a284-00155d82e908")</f>
        <v>https://miland.ru/api/getInfo/image/812a977c-87f5-11f0-a284-00155d82e908</v>
      </c>
    </row>
    <row r="5060" spans="1:19" s="1" customFormat="1" ht="12" customHeight="1" outlineLevel="3">
      <c r="A5060" s="64" t="s">
        <v>16840</v>
      </c>
      <c r="B5060" s="64"/>
      <c r="C5060" s="64"/>
      <c r="D5060" s="64"/>
      <c r="E5060" s="64"/>
      <c r="F5060" s="64"/>
      <c r="G5060" s="8"/>
      <c r="H5060" s="12"/>
      <c r="I5060" s="2"/>
      <c r="J5060" s="2"/>
      <c r="K5060" s="13"/>
      <c r="L5060" s="2"/>
      <c r="M5060" s="2"/>
      <c r="N5060" s="2"/>
      <c r="O5060" s="2"/>
      <c r="P5060" s="2"/>
      <c r="Q5060" s="2"/>
      <c r="R5060" s="2"/>
      <c r="S5060" s="2"/>
    </row>
    <row r="5061" spans="1:19" s="2" customFormat="1" ht="96.2" customHeight="1" outlineLevel="4">
      <c r="A5061" s="52">
        <v>4008</v>
      </c>
      <c r="B5061" s="26" t="s">
        <v>16841</v>
      </c>
      <c r="C5061" s="66" t="s">
        <v>16842</v>
      </c>
      <c r="D5061" s="66"/>
      <c r="E5061" s="66"/>
      <c r="F5061" s="66"/>
      <c r="G5061" s="27" t="s">
        <v>16843</v>
      </c>
      <c r="H5061" s="28" t="s">
        <v>44</v>
      </c>
      <c r="I5061" s="29"/>
      <c r="J5061" s="25">
        <v>20</v>
      </c>
      <c r="K5061" s="30">
        <v>31.63</v>
      </c>
      <c r="L5061" s="17"/>
      <c r="M5061" s="29">
        <f>K5061*L5061</f>
        <v>0</v>
      </c>
      <c r="N5061" s="31">
        <f>0.019*L5061</f>
        <v>0</v>
      </c>
      <c r="O5061" s="32">
        <f>0.00007*L5061</f>
        <v>0</v>
      </c>
      <c r="P5061" s="36"/>
      <c r="Q5061" s="29" t="s">
        <v>16844</v>
      </c>
      <c r="R5061" s="29"/>
      <c r="S5061" s="26" t="str">
        <f>HYPERLINK("https://miland.ru/api/getInfo/image/316cc0f9-84a0-11ef-a265-00155d82e908")</f>
        <v>https://miland.ru/api/getInfo/image/316cc0f9-84a0-11ef-a265-00155d82e908</v>
      </c>
    </row>
    <row r="5062" spans="1:19" s="2" customFormat="1" ht="96.2" customHeight="1" outlineLevel="4">
      <c r="A5062" s="52">
        <v>4009</v>
      </c>
      <c r="B5062" s="26" t="s">
        <v>16845</v>
      </c>
      <c r="C5062" s="66" t="s">
        <v>16846</v>
      </c>
      <c r="D5062" s="66"/>
      <c r="E5062" s="66"/>
      <c r="F5062" s="66"/>
      <c r="G5062" s="27" t="s">
        <v>16847</v>
      </c>
      <c r="H5062" s="33">
        <v>150</v>
      </c>
      <c r="I5062" s="29"/>
      <c r="J5062" s="25">
        <v>20</v>
      </c>
      <c r="K5062" s="30">
        <v>31.63</v>
      </c>
      <c r="L5062" s="17"/>
      <c r="M5062" s="29">
        <f>K5062*L5062</f>
        <v>0</v>
      </c>
      <c r="N5062" s="31">
        <f>0.019*L5062</f>
        <v>0</v>
      </c>
      <c r="O5062" s="32">
        <f>0.00007*L5062</f>
        <v>0</v>
      </c>
      <c r="P5062" s="36"/>
      <c r="Q5062" s="29" t="s">
        <v>16848</v>
      </c>
      <c r="R5062" s="29"/>
      <c r="S5062" s="26" t="str">
        <f>HYPERLINK("https://miland.ru/api/getInfo/image/1141d685-84a0-11ef-a265-00155d82e908")</f>
        <v>https://miland.ru/api/getInfo/image/1141d685-84a0-11ef-a265-00155d82e908</v>
      </c>
    </row>
    <row r="5063" spans="1:19" s="1" customFormat="1" ht="12" customHeight="1" outlineLevel="3">
      <c r="A5063" s="64" t="s">
        <v>16849</v>
      </c>
      <c r="B5063" s="64"/>
      <c r="C5063" s="64"/>
      <c r="D5063" s="64"/>
      <c r="E5063" s="64"/>
      <c r="F5063" s="64"/>
      <c r="G5063" s="8"/>
      <c r="H5063" s="12"/>
      <c r="I5063" s="2"/>
      <c r="J5063" s="2"/>
      <c r="K5063" s="13"/>
      <c r="L5063" s="2"/>
      <c r="M5063" s="2"/>
      <c r="N5063" s="2"/>
      <c r="O5063" s="2"/>
      <c r="P5063" s="2"/>
      <c r="Q5063" s="2"/>
      <c r="R5063" s="2"/>
      <c r="S5063" s="2"/>
    </row>
    <row r="5064" spans="1:19" s="2" customFormat="1" ht="96.2" customHeight="1" outlineLevel="4">
      <c r="A5064" s="53">
        <v>4010</v>
      </c>
      <c r="B5064" s="10" t="s">
        <v>16850</v>
      </c>
      <c r="C5064" s="65" t="s">
        <v>16851</v>
      </c>
      <c r="D5064" s="65"/>
      <c r="E5064" s="65"/>
      <c r="F5064" s="65"/>
      <c r="G5064" s="11" t="s">
        <v>16852</v>
      </c>
      <c r="H5064" s="21" t="s">
        <v>44</v>
      </c>
      <c r="I5064" s="15"/>
      <c r="J5064" s="9">
        <v>20</v>
      </c>
      <c r="K5064" s="16">
        <v>24.5</v>
      </c>
      <c r="L5064" s="17"/>
      <c r="M5064" s="15">
        <f t="shared" ref="M5064:M5073" si="257">K5064*L5064</f>
        <v>0</v>
      </c>
      <c r="N5064" s="18">
        <f>0.008*L5064</f>
        <v>0</v>
      </c>
      <c r="O5064" s="19">
        <f>0.00001*L5064</f>
        <v>0</v>
      </c>
      <c r="P5064" s="24" t="s">
        <v>26</v>
      </c>
      <c r="Q5064" s="15" t="s">
        <v>16853</v>
      </c>
      <c r="R5064" s="15"/>
      <c r="S5064" s="10" t="str">
        <f>HYPERLINK("https://miland.ru/api/getInfo/image/6c492703-bb10-11f0-a288-00155d82e908")</f>
        <v>https://miland.ru/api/getInfo/image/6c492703-bb10-11f0-a288-00155d82e908</v>
      </c>
    </row>
    <row r="5065" spans="1:19" s="2" customFormat="1" ht="96.2" customHeight="1" outlineLevel="4">
      <c r="A5065" s="53">
        <v>4011</v>
      </c>
      <c r="B5065" s="10" t="s">
        <v>16854</v>
      </c>
      <c r="C5065" s="65" t="s">
        <v>16855</v>
      </c>
      <c r="D5065" s="65"/>
      <c r="E5065" s="65"/>
      <c r="F5065" s="65"/>
      <c r="G5065" s="11" t="s">
        <v>16856</v>
      </c>
      <c r="H5065" s="21" t="s">
        <v>44</v>
      </c>
      <c r="I5065" s="15"/>
      <c r="J5065" s="9">
        <v>20</v>
      </c>
      <c r="K5065" s="16">
        <v>24.5</v>
      </c>
      <c r="L5065" s="17"/>
      <c r="M5065" s="15">
        <f t="shared" si="257"/>
        <v>0</v>
      </c>
      <c r="N5065" s="18">
        <f>0.008*L5065</f>
        <v>0</v>
      </c>
      <c r="O5065" s="19">
        <f>0.00001*L5065</f>
        <v>0</v>
      </c>
      <c r="P5065" s="24" t="s">
        <v>26</v>
      </c>
      <c r="Q5065" s="15" t="s">
        <v>16857</v>
      </c>
      <c r="R5065" s="15"/>
      <c r="S5065" s="10" t="str">
        <f>HYPERLINK("https://miland.ru/api/getInfo/image/e1c3cc10-bb11-11f0-a288-00155d82e908")</f>
        <v>https://miland.ru/api/getInfo/image/e1c3cc10-bb11-11f0-a288-00155d82e908</v>
      </c>
    </row>
    <row r="5066" spans="1:19" s="2" customFormat="1" ht="96.2" customHeight="1" outlineLevel="4">
      <c r="A5066" s="53">
        <v>4012</v>
      </c>
      <c r="B5066" s="10" t="s">
        <v>16858</v>
      </c>
      <c r="C5066" s="65" t="s">
        <v>16859</v>
      </c>
      <c r="D5066" s="65"/>
      <c r="E5066" s="65"/>
      <c r="F5066" s="65"/>
      <c r="G5066" s="11" t="s">
        <v>16860</v>
      </c>
      <c r="H5066" s="21" t="s">
        <v>44</v>
      </c>
      <c r="I5066" s="15"/>
      <c r="J5066" s="9">
        <v>20</v>
      </c>
      <c r="K5066" s="16">
        <v>24.5</v>
      </c>
      <c r="L5066" s="17"/>
      <c r="M5066" s="15">
        <f t="shared" si="257"/>
        <v>0</v>
      </c>
      <c r="N5066" s="18">
        <f>0.008*L5066</f>
        <v>0</v>
      </c>
      <c r="O5066" s="19">
        <f>0.00001*L5066</f>
        <v>0</v>
      </c>
      <c r="P5066" s="24" t="s">
        <v>26</v>
      </c>
      <c r="Q5066" s="15" t="s">
        <v>16861</v>
      </c>
      <c r="R5066" s="15"/>
      <c r="S5066" s="10" t="str">
        <f>HYPERLINK("https://miland.ru/api/getInfo/image/02c612c8-bb11-11f0-a288-00155d82e908")</f>
        <v>https://miland.ru/api/getInfo/image/02c612c8-bb11-11f0-a288-00155d82e908</v>
      </c>
    </row>
    <row r="5067" spans="1:19" s="2" customFormat="1" ht="96.2" customHeight="1" outlineLevel="4">
      <c r="A5067" s="53">
        <v>4013</v>
      </c>
      <c r="B5067" s="10" t="s">
        <v>16862</v>
      </c>
      <c r="C5067" s="65" t="s">
        <v>16863</v>
      </c>
      <c r="D5067" s="65"/>
      <c r="E5067" s="65"/>
      <c r="F5067" s="65"/>
      <c r="G5067" s="11" t="s">
        <v>16864</v>
      </c>
      <c r="H5067" s="21" t="s">
        <v>44</v>
      </c>
      <c r="I5067" s="15"/>
      <c r="J5067" s="9">
        <v>20</v>
      </c>
      <c r="K5067" s="16">
        <v>24.5</v>
      </c>
      <c r="L5067" s="17"/>
      <c r="M5067" s="15">
        <f t="shared" si="257"/>
        <v>0</v>
      </c>
      <c r="N5067" s="18">
        <f>0.008*L5067</f>
        <v>0</v>
      </c>
      <c r="O5067" s="19">
        <f>0.00001*L5067</f>
        <v>0</v>
      </c>
      <c r="P5067" s="24" t="s">
        <v>26</v>
      </c>
      <c r="Q5067" s="15" t="s">
        <v>16865</v>
      </c>
      <c r="R5067" s="15"/>
      <c r="S5067" s="10" t="str">
        <f>HYPERLINK("https://miland.ru/api/getInfo/image/da959cc4-bb12-11f0-a288-00155d82e908")</f>
        <v>https://miland.ru/api/getInfo/image/da959cc4-bb12-11f0-a288-00155d82e908</v>
      </c>
    </row>
    <row r="5068" spans="1:19" s="2" customFormat="1" ht="96.2" customHeight="1" outlineLevel="4">
      <c r="A5068" s="53">
        <v>4014</v>
      </c>
      <c r="B5068" s="10" t="s">
        <v>16866</v>
      </c>
      <c r="C5068" s="65" t="s">
        <v>16867</v>
      </c>
      <c r="D5068" s="65"/>
      <c r="E5068" s="65"/>
      <c r="F5068" s="65"/>
      <c r="G5068" s="11" t="s">
        <v>16868</v>
      </c>
      <c r="H5068" s="21" t="s">
        <v>44</v>
      </c>
      <c r="I5068" s="15"/>
      <c r="J5068" s="9">
        <v>20</v>
      </c>
      <c r="K5068" s="16">
        <v>24.5</v>
      </c>
      <c r="L5068" s="17"/>
      <c r="M5068" s="15">
        <f t="shared" si="257"/>
        <v>0</v>
      </c>
      <c r="N5068" s="23">
        <f>0.01*L5068</f>
        <v>0</v>
      </c>
      <c r="O5068" s="19">
        <f>0.00004*L5068</f>
        <v>0</v>
      </c>
      <c r="P5068" s="24" t="s">
        <v>26</v>
      </c>
      <c r="Q5068" s="15" t="s">
        <v>16869</v>
      </c>
      <c r="R5068" s="15"/>
      <c r="S5068" s="10" t="str">
        <f>HYPERLINK("https://miland.ru/api/getInfo/image/e193b16c-624d-11f0-a281-00155d82e908")</f>
        <v>https://miland.ru/api/getInfo/image/e193b16c-624d-11f0-a281-00155d82e908</v>
      </c>
    </row>
    <row r="5069" spans="1:19" s="2" customFormat="1" ht="96.2" customHeight="1" outlineLevel="4">
      <c r="A5069" s="53">
        <v>4015</v>
      </c>
      <c r="B5069" s="10" t="s">
        <v>16870</v>
      </c>
      <c r="C5069" s="65" t="s">
        <v>16871</v>
      </c>
      <c r="D5069" s="65"/>
      <c r="E5069" s="65"/>
      <c r="F5069" s="65"/>
      <c r="G5069" s="11" t="s">
        <v>16872</v>
      </c>
      <c r="H5069" s="21" t="s">
        <v>44</v>
      </c>
      <c r="I5069" s="15"/>
      <c r="J5069" s="9">
        <v>20</v>
      </c>
      <c r="K5069" s="16">
        <v>24.5</v>
      </c>
      <c r="L5069" s="17"/>
      <c r="M5069" s="15">
        <f t="shared" si="257"/>
        <v>0</v>
      </c>
      <c r="N5069" s="18">
        <f>0.008*L5069</f>
        <v>0</v>
      </c>
      <c r="O5069" s="19">
        <f>0.00001*L5069</f>
        <v>0</v>
      </c>
      <c r="P5069" s="24" t="s">
        <v>26</v>
      </c>
      <c r="Q5069" s="15" t="s">
        <v>16873</v>
      </c>
      <c r="R5069" s="15"/>
      <c r="S5069" s="10" t="str">
        <f>HYPERLINK("https://miland.ru/api/getInfo/image/93e8f5f9-bb12-11f0-a288-00155d82e908")</f>
        <v>https://miland.ru/api/getInfo/image/93e8f5f9-bb12-11f0-a288-00155d82e908</v>
      </c>
    </row>
    <row r="5070" spans="1:19" s="2" customFormat="1" ht="96.2" customHeight="1" outlineLevel="4">
      <c r="A5070" s="53">
        <v>4016</v>
      </c>
      <c r="B5070" s="10" t="s">
        <v>16874</v>
      </c>
      <c r="C5070" s="65" t="s">
        <v>16875</v>
      </c>
      <c r="D5070" s="65"/>
      <c r="E5070" s="65"/>
      <c r="F5070" s="65"/>
      <c r="G5070" s="11" t="s">
        <v>16876</v>
      </c>
      <c r="H5070" s="21" t="s">
        <v>44</v>
      </c>
      <c r="I5070" s="15"/>
      <c r="J5070" s="9">
        <v>20</v>
      </c>
      <c r="K5070" s="16">
        <v>24.5</v>
      </c>
      <c r="L5070" s="17"/>
      <c r="M5070" s="15">
        <f t="shared" si="257"/>
        <v>0</v>
      </c>
      <c r="N5070" s="23">
        <f>0.01*L5070</f>
        <v>0</v>
      </c>
      <c r="O5070" s="19">
        <f>0.00004*L5070</f>
        <v>0</v>
      </c>
      <c r="P5070" s="24" t="s">
        <v>26</v>
      </c>
      <c r="Q5070" s="15" t="s">
        <v>16877</v>
      </c>
      <c r="R5070" s="15"/>
      <c r="S5070" s="10" t="str">
        <f>HYPERLINK("https://miland.ru/api/getInfo/image/37ee24b0-62d4-11f0-a281-00155d82e908")</f>
        <v>https://miland.ru/api/getInfo/image/37ee24b0-62d4-11f0-a281-00155d82e908</v>
      </c>
    </row>
    <row r="5071" spans="1:19" s="2" customFormat="1" ht="96.2" customHeight="1" outlineLevel="4">
      <c r="A5071" s="53">
        <v>4017</v>
      </c>
      <c r="B5071" s="10" t="s">
        <v>16878</v>
      </c>
      <c r="C5071" s="65" t="s">
        <v>16879</v>
      </c>
      <c r="D5071" s="65"/>
      <c r="E5071" s="65"/>
      <c r="F5071" s="65"/>
      <c r="G5071" s="11" t="s">
        <v>16880</v>
      </c>
      <c r="H5071" s="21" t="s">
        <v>44</v>
      </c>
      <c r="I5071" s="15"/>
      <c r="J5071" s="9">
        <v>20</v>
      </c>
      <c r="K5071" s="16">
        <v>24.5</v>
      </c>
      <c r="L5071" s="17"/>
      <c r="M5071" s="15">
        <f t="shared" si="257"/>
        <v>0</v>
      </c>
      <c r="N5071" s="23">
        <f>0.01*L5071</f>
        <v>0</v>
      </c>
      <c r="O5071" s="19">
        <f>0.00004*L5071</f>
        <v>0</v>
      </c>
      <c r="P5071" s="24" t="s">
        <v>26</v>
      </c>
      <c r="Q5071" s="15" t="s">
        <v>16881</v>
      </c>
      <c r="R5071" s="15"/>
      <c r="S5071" s="10" t="str">
        <f>HYPERLINK("https://miland.ru/api/getInfo/image/a897fbba-62d2-11f0-a281-00155d82e908")</f>
        <v>https://miland.ru/api/getInfo/image/a897fbba-62d2-11f0-a281-00155d82e908</v>
      </c>
    </row>
    <row r="5072" spans="1:19" s="2" customFormat="1" ht="96.2" customHeight="1" outlineLevel="4">
      <c r="A5072" s="53">
        <v>4018</v>
      </c>
      <c r="B5072" s="10" t="s">
        <v>16882</v>
      </c>
      <c r="C5072" s="65" t="s">
        <v>16883</v>
      </c>
      <c r="D5072" s="65"/>
      <c r="E5072" s="65"/>
      <c r="F5072" s="65"/>
      <c r="G5072" s="11" t="s">
        <v>16884</v>
      </c>
      <c r="H5072" s="21" t="s">
        <v>44</v>
      </c>
      <c r="I5072" s="15"/>
      <c r="J5072" s="9">
        <v>20</v>
      </c>
      <c r="K5072" s="16">
        <v>24.5</v>
      </c>
      <c r="L5072" s="17"/>
      <c r="M5072" s="15">
        <f t="shared" si="257"/>
        <v>0</v>
      </c>
      <c r="N5072" s="18">
        <f>0.011*L5072</f>
        <v>0</v>
      </c>
      <c r="O5072" s="19">
        <f>0.00004*L5072</f>
        <v>0</v>
      </c>
      <c r="P5072" s="24" t="s">
        <v>26</v>
      </c>
      <c r="Q5072" s="15" t="s">
        <v>16885</v>
      </c>
      <c r="R5072" s="15"/>
      <c r="S5072" s="10" t="str">
        <f>HYPERLINK("https://miland.ru/api/getInfo/image/9d07ab7a-62d4-11f0-a281-00155d82e908")</f>
        <v>https://miland.ru/api/getInfo/image/9d07ab7a-62d4-11f0-a281-00155d82e908</v>
      </c>
    </row>
    <row r="5073" spans="1:19" s="2" customFormat="1" ht="96.2" customHeight="1" outlineLevel="4">
      <c r="A5073" s="53">
        <v>4019</v>
      </c>
      <c r="B5073" s="10" t="s">
        <v>16886</v>
      </c>
      <c r="C5073" s="65" t="s">
        <v>16887</v>
      </c>
      <c r="D5073" s="65"/>
      <c r="E5073" s="65"/>
      <c r="F5073" s="65"/>
      <c r="G5073" s="11" t="s">
        <v>16888</v>
      </c>
      <c r="H5073" s="21" t="s">
        <v>44</v>
      </c>
      <c r="I5073" s="15"/>
      <c r="J5073" s="9">
        <v>20</v>
      </c>
      <c r="K5073" s="16">
        <v>24.5</v>
      </c>
      <c r="L5073" s="17"/>
      <c r="M5073" s="15">
        <f t="shared" si="257"/>
        <v>0</v>
      </c>
      <c r="N5073" s="23">
        <f>0.01*L5073</f>
        <v>0</v>
      </c>
      <c r="O5073" s="19">
        <f>0.00014*L5073</f>
        <v>0</v>
      </c>
      <c r="P5073" s="24" t="s">
        <v>26</v>
      </c>
      <c r="Q5073" s="15" t="s">
        <v>16889</v>
      </c>
      <c r="R5073" s="15"/>
      <c r="S5073" s="10" t="str">
        <f>HYPERLINK("https://miland.ru/api/getInfo/image/03050348-62d5-11f0-a281-00155d82e908")</f>
        <v>https://miland.ru/api/getInfo/image/03050348-62d5-11f0-a281-00155d82e908</v>
      </c>
    </row>
    <row r="5074" spans="1:19" s="1" customFormat="1" ht="15.95" customHeight="1" outlineLevel="1">
      <c r="A5074" s="62" t="s">
        <v>16890</v>
      </c>
      <c r="B5074" s="62"/>
      <c r="C5074" s="62"/>
      <c r="D5074" s="62"/>
      <c r="E5074" s="62"/>
      <c r="F5074" s="62"/>
      <c r="G5074" s="8"/>
      <c r="H5074" s="12"/>
      <c r="I5074" s="2"/>
      <c r="J5074" s="2"/>
      <c r="K5074" s="13"/>
      <c r="L5074" s="2"/>
      <c r="M5074" s="2"/>
      <c r="N5074" s="2"/>
      <c r="O5074" s="2"/>
      <c r="P5074" s="2"/>
      <c r="Q5074" s="2"/>
      <c r="R5074" s="2"/>
      <c r="S5074" s="2"/>
    </row>
    <row r="5075" spans="1:19" s="1" customFormat="1" ht="12" customHeight="1" outlineLevel="2">
      <c r="A5075" s="63" t="s">
        <v>16891</v>
      </c>
      <c r="B5075" s="63"/>
      <c r="C5075" s="63"/>
      <c r="D5075" s="63"/>
      <c r="E5075" s="63"/>
      <c r="F5075" s="63"/>
      <c r="G5075" s="8"/>
      <c r="H5075" s="12"/>
      <c r="I5075" s="2"/>
      <c r="J5075" s="2"/>
      <c r="K5075" s="13"/>
      <c r="L5075" s="2"/>
      <c r="M5075" s="2"/>
      <c r="N5075" s="2"/>
      <c r="O5075" s="2"/>
      <c r="P5075" s="2"/>
      <c r="Q5075" s="2"/>
      <c r="R5075" s="2"/>
      <c r="S5075" s="2"/>
    </row>
    <row r="5076" spans="1:19" s="2" customFormat="1" ht="96.2" customHeight="1" outlineLevel="3">
      <c r="A5076" s="52">
        <v>4020</v>
      </c>
      <c r="B5076" s="26" t="s">
        <v>16892</v>
      </c>
      <c r="C5076" s="66" t="s">
        <v>16893</v>
      </c>
      <c r="D5076" s="66"/>
      <c r="E5076" s="66"/>
      <c r="F5076" s="66"/>
      <c r="G5076" s="27" t="s">
        <v>16894</v>
      </c>
      <c r="H5076" s="33">
        <v>118</v>
      </c>
      <c r="I5076" s="29"/>
      <c r="J5076" s="25">
        <v>10</v>
      </c>
      <c r="K5076" s="30">
        <v>73.510000000000005</v>
      </c>
      <c r="L5076" s="17"/>
      <c r="M5076" s="29">
        <f t="shared" ref="M5076:M5086" si="258">K5076*L5076</f>
        <v>0</v>
      </c>
      <c r="N5076" s="31">
        <f>0.058*L5076</f>
        <v>0</v>
      </c>
      <c r="O5076" s="32">
        <f>0.00019*L5076</f>
        <v>0</v>
      </c>
      <c r="P5076" s="36"/>
      <c r="Q5076" s="29" t="s">
        <v>16895</v>
      </c>
      <c r="R5076" s="29"/>
      <c r="S5076" s="26" t="str">
        <f>HYPERLINK("https://miland.ru/api/getInfo/image/c447ece9-b856-11e5-9e79-5cf3fc4a2490")</f>
        <v>https://miland.ru/api/getInfo/image/c447ece9-b856-11e5-9e79-5cf3fc4a2490</v>
      </c>
    </row>
    <row r="5077" spans="1:19" s="2" customFormat="1" ht="96.2" customHeight="1" outlineLevel="3">
      <c r="A5077" s="52">
        <v>4021</v>
      </c>
      <c r="B5077" s="26" t="s">
        <v>16896</v>
      </c>
      <c r="C5077" s="66" t="s">
        <v>16897</v>
      </c>
      <c r="D5077" s="66"/>
      <c r="E5077" s="66"/>
      <c r="F5077" s="66"/>
      <c r="G5077" s="27" t="s">
        <v>16898</v>
      </c>
      <c r="H5077" s="33">
        <v>270</v>
      </c>
      <c r="I5077" s="29"/>
      <c r="J5077" s="25">
        <v>10</v>
      </c>
      <c r="K5077" s="30">
        <v>73.510000000000005</v>
      </c>
      <c r="L5077" s="17"/>
      <c r="M5077" s="29">
        <f t="shared" si="258"/>
        <v>0</v>
      </c>
      <c r="N5077" s="31">
        <f>0.065*L5077</f>
        <v>0</v>
      </c>
      <c r="O5077" s="32">
        <f>0.00014*L5077</f>
        <v>0</v>
      </c>
      <c r="P5077" s="36"/>
      <c r="Q5077" s="29" t="s">
        <v>16899</v>
      </c>
      <c r="R5077" s="29"/>
      <c r="S5077" s="26" t="str">
        <f>HYPERLINK("https://miland.ru/api/getInfo/image/edb65de0-a8c3-11f0-a286-00155d82e908")</f>
        <v>https://miland.ru/api/getInfo/image/edb65de0-a8c3-11f0-a286-00155d82e908</v>
      </c>
    </row>
    <row r="5078" spans="1:19" s="2" customFormat="1" ht="96.2" customHeight="1" outlineLevel="3">
      <c r="A5078" s="52">
        <v>4022</v>
      </c>
      <c r="B5078" s="26" t="s">
        <v>16900</v>
      </c>
      <c r="C5078" s="66" t="s">
        <v>16901</v>
      </c>
      <c r="D5078" s="66"/>
      <c r="E5078" s="66"/>
      <c r="F5078" s="66"/>
      <c r="G5078" s="27" t="s">
        <v>16902</v>
      </c>
      <c r="H5078" s="33">
        <v>20</v>
      </c>
      <c r="I5078" s="29"/>
      <c r="J5078" s="25">
        <v>10</v>
      </c>
      <c r="K5078" s="30">
        <v>73.510000000000005</v>
      </c>
      <c r="L5078" s="17"/>
      <c r="M5078" s="29">
        <f t="shared" si="258"/>
        <v>0</v>
      </c>
      <c r="N5078" s="31">
        <f>0.069*L5078</f>
        <v>0</v>
      </c>
      <c r="O5078" s="32">
        <f>0.00016*L5078</f>
        <v>0</v>
      </c>
      <c r="P5078" s="36"/>
      <c r="Q5078" s="29" t="s">
        <v>16903</v>
      </c>
      <c r="R5078" s="29"/>
      <c r="S5078" s="26" t="str">
        <f>HYPERLINK("https://miland.ru/api/getInfo/image/dab0c451-b856-11e5-9e79-5cf3fc4a2490")</f>
        <v>https://miland.ru/api/getInfo/image/dab0c451-b856-11e5-9e79-5cf3fc4a2490</v>
      </c>
    </row>
    <row r="5079" spans="1:19" s="2" customFormat="1" ht="96.2" customHeight="1" outlineLevel="3">
      <c r="A5079" s="52">
        <v>4023</v>
      </c>
      <c r="B5079" s="26" t="s">
        <v>16904</v>
      </c>
      <c r="C5079" s="66" t="s">
        <v>16905</v>
      </c>
      <c r="D5079" s="66"/>
      <c r="E5079" s="66"/>
      <c r="F5079" s="66"/>
      <c r="G5079" s="27" t="s">
        <v>16906</v>
      </c>
      <c r="H5079" s="33">
        <v>274</v>
      </c>
      <c r="I5079" s="29"/>
      <c r="J5079" s="25">
        <v>10</v>
      </c>
      <c r="K5079" s="30">
        <v>73.510000000000005</v>
      </c>
      <c r="L5079" s="17"/>
      <c r="M5079" s="29">
        <f t="shared" si="258"/>
        <v>0</v>
      </c>
      <c r="N5079" s="31">
        <f>0.057*L5079</f>
        <v>0</v>
      </c>
      <c r="O5079" s="32">
        <f>0.00019*L5079</f>
        <v>0</v>
      </c>
      <c r="P5079" s="36"/>
      <c r="Q5079" s="29" t="s">
        <v>16907</v>
      </c>
      <c r="R5079" s="29"/>
      <c r="S5079" s="26" t="str">
        <f>HYPERLINK("https://miland.ru/api/getInfo/image/f9f0c187-b858-11e5-9e79-5cf3fc4a2490")</f>
        <v>https://miland.ru/api/getInfo/image/f9f0c187-b858-11e5-9e79-5cf3fc4a2490</v>
      </c>
    </row>
    <row r="5080" spans="1:19" s="2" customFormat="1" ht="96.2" customHeight="1" outlineLevel="3">
      <c r="A5080" s="52">
        <v>4024</v>
      </c>
      <c r="B5080" s="26" t="s">
        <v>16908</v>
      </c>
      <c r="C5080" s="66" t="s">
        <v>16909</v>
      </c>
      <c r="D5080" s="66"/>
      <c r="E5080" s="66"/>
      <c r="F5080" s="66"/>
      <c r="G5080" s="27" t="s">
        <v>16910</v>
      </c>
      <c r="H5080" s="33">
        <v>250</v>
      </c>
      <c r="I5080" s="29"/>
      <c r="J5080" s="25">
        <v>10</v>
      </c>
      <c r="K5080" s="30">
        <v>73.510000000000005</v>
      </c>
      <c r="L5080" s="17"/>
      <c r="M5080" s="29">
        <f t="shared" si="258"/>
        <v>0</v>
      </c>
      <c r="N5080" s="31">
        <f>0.061*L5080</f>
        <v>0</v>
      </c>
      <c r="O5080" s="32">
        <f>0.00012*L5080</f>
        <v>0</v>
      </c>
      <c r="P5080" s="36"/>
      <c r="Q5080" s="29" t="s">
        <v>16911</v>
      </c>
      <c r="R5080" s="29"/>
      <c r="S5080" s="26" t="str">
        <f>HYPERLINK("https://miland.ru/api/getInfo/image/1262e977-b859-11e5-9e79-5cf3fc4a2490")</f>
        <v>https://miland.ru/api/getInfo/image/1262e977-b859-11e5-9e79-5cf3fc4a2490</v>
      </c>
    </row>
    <row r="5081" spans="1:19" s="2" customFormat="1" ht="96.2" customHeight="1" outlineLevel="3">
      <c r="A5081" s="52">
        <v>4025</v>
      </c>
      <c r="B5081" s="26" t="s">
        <v>16912</v>
      </c>
      <c r="C5081" s="66" t="s">
        <v>16913</v>
      </c>
      <c r="D5081" s="66"/>
      <c r="E5081" s="66"/>
      <c r="F5081" s="66"/>
      <c r="G5081" s="27" t="s">
        <v>16914</v>
      </c>
      <c r="H5081" s="33">
        <v>281</v>
      </c>
      <c r="I5081" s="29"/>
      <c r="J5081" s="25">
        <v>10</v>
      </c>
      <c r="K5081" s="30">
        <v>73.510000000000005</v>
      </c>
      <c r="L5081" s="17"/>
      <c r="M5081" s="29">
        <f t="shared" si="258"/>
        <v>0</v>
      </c>
      <c r="N5081" s="31">
        <f>0.075*L5081</f>
        <v>0</v>
      </c>
      <c r="O5081" s="32">
        <f>0.00009*L5081</f>
        <v>0</v>
      </c>
      <c r="P5081" s="36"/>
      <c r="Q5081" s="29" t="s">
        <v>16915</v>
      </c>
      <c r="R5081" s="29"/>
      <c r="S5081" s="26" t="str">
        <f>HYPERLINK("https://miland.ru/api/getInfo/image/ebc852fe-b855-11e5-9e79-5cf3fc4a2490")</f>
        <v>https://miland.ru/api/getInfo/image/ebc852fe-b855-11e5-9e79-5cf3fc4a2490</v>
      </c>
    </row>
    <row r="5082" spans="1:19" s="2" customFormat="1" ht="96.2" customHeight="1" outlineLevel="3">
      <c r="A5082" s="52">
        <v>4026</v>
      </c>
      <c r="B5082" s="26" t="s">
        <v>16916</v>
      </c>
      <c r="C5082" s="66" t="s">
        <v>16917</v>
      </c>
      <c r="D5082" s="66"/>
      <c r="E5082" s="66"/>
      <c r="F5082" s="66"/>
      <c r="G5082" s="27" t="s">
        <v>16918</v>
      </c>
      <c r="H5082" s="33">
        <v>30</v>
      </c>
      <c r="I5082" s="29"/>
      <c r="J5082" s="25">
        <v>10</v>
      </c>
      <c r="K5082" s="30">
        <v>73.510000000000005</v>
      </c>
      <c r="L5082" s="17"/>
      <c r="M5082" s="29">
        <f t="shared" si="258"/>
        <v>0</v>
      </c>
      <c r="N5082" s="34">
        <f>0.07*L5082</f>
        <v>0</v>
      </c>
      <c r="O5082" s="32">
        <f>0.00018*L5082</f>
        <v>0</v>
      </c>
      <c r="P5082" s="36"/>
      <c r="Q5082" s="29" t="s">
        <v>16919</v>
      </c>
      <c r="R5082" s="29"/>
      <c r="S5082" s="26" t="str">
        <f>HYPERLINK("https://miland.ru/api/getInfo/image/c708aa14-f53b-11e7-8117-5cf3fc4a2490")</f>
        <v>https://miland.ru/api/getInfo/image/c708aa14-f53b-11e7-8117-5cf3fc4a2490</v>
      </c>
    </row>
    <row r="5083" spans="1:19" s="2" customFormat="1" ht="96.2" customHeight="1" outlineLevel="3">
      <c r="A5083" s="52">
        <v>4027</v>
      </c>
      <c r="B5083" s="26" t="s">
        <v>16920</v>
      </c>
      <c r="C5083" s="66" t="s">
        <v>16921</v>
      </c>
      <c r="D5083" s="66"/>
      <c r="E5083" s="66"/>
      <c r="F5083" s="66"/>
      <c r="G5083" s="27" t="s">
        <v>16922</v>
      </c>
      <c r="H5083" s="33">
        <v>180</v>
      </c>
      <c r="I5083" s="29"/>
      <c r="J5083" s="25">
        <v>10</v>
      </c>
      <c r="K5083" s="30">
        <v>73.510000000000005</v>
      </c>
      <c r="L5083" s="17"/>
      <c r="M5083" s="29">
        <f t="shared" si="258"/>
        <v>0</v>
      </c>
      <c r="N5083" s="31">
        <f>0.059*L5083</f>
        <v>0</v>
      </c>
      <c r="O5083" s="35">
        <f>0.0001*L5083</f>
        <v>0</v>
      </c>
      <c r="P5083" s="36"/>
      <c r="Q5083" s="29" t="s">
        <v>16923</v>
      </c>
      <c r="R5083" s="29"/>
      <c r="S5083" s="26" t="str">
        <f>HYPERLINK("https://miland.ru/api/getInfo/image/276935f5-f53c-11e7-8117-5cf3fc4a2490")</f>
        <v>https://miland.ru/api/getInfo/image/276935f5-f53c-11e7-8117-5cf3fc4a2490</v>
      </c>
    </row>
    <row r="5084" spans="1:19" s="2" customFormat="1" ht="96.2" customHeight="1" outlineLevel="3">
      <c r="A5084" s="52">
        <v>4028</v>
      </c>
      <c r="B5084" s="26" t="s">
        <v>16924</v>
      </c>
      <c r="C5084" s="66" t="s">
        <v>16925</v>
      </c>
      <c r="D5084" s="66"/>
      <c r="E5084" s="66"/>
      <c r="F5084" s="66"/>
      <c r="G5084" s="27" t="s">
        <v>16926</v>
      </c>
      <c r="H5084" s="33">
        <v>450</v>
      </c>
      <c r="I5084" s="29"/>
      <c r="J5084" s="25">
        <v>10</v>
      </c>
      <c r="K5084" s="30">
        <v>73.510000000000005</v>
      </c>
      <c r="L5084" s="17"/>
      <c r="M5084" s="29">
        <f t="shared" si="258"/>
        <v>0</v>
      </c>
      <c r="N5084" s="31">
        <f>0.066*L5084</f>
        <v>0</v>
      </c>
      <c r="O5084" s="32">
        <f>0.00013*L5084</f>
        <v>0</v>
      </c>
      <c r="P5084" s="36"/>
      <c r="Q5084" s="29" t="s">
        <v>16927</v>
      </c>
      <c r="R5084" s="29"/>
      <c r="S5084" s="26" t="str">
        <f>HYPERLINK("https://miland.ru/api/getInfo/image/fe802251-b855-11e5-9e79-5cf3fc4a2490")</f>
        <v>https://miland.ru/api/getInfo/image/fe802251-b855-11e5-9e79-5cf3fc4a2490</v>
      </c>
    </row>
    <row r="5085" spans="1:19" s="2" customFormat="1" ht="96.2" customHeight="1" outlineLevel="3">
      <c r="A5085" s="52">
        <v>4029</v>
      </c>
      <c r="B5085" s="26" t="s">
        <v>16928</v>
      </c>
      <c r="C5085" s="66" t="s">
        <v>16929</v>
      </c>
      <c r="D5085" s="66"/>
      <c r="E5085" s="66"/>
      <c r="F5085" s="66"/>
      <c r="G5085" s="27" t="s">
        <v>16930</v>
      </c>
      <c r="H5085" s="33">
        <v>230</v>
      </c>
      <c r="I5085" s="29"/>
      <c r="J5085" s="25">
        <v>10</v>
      </c>
      <c r="K5085" s="30">
        <v>73.510000000000005</v>
      </c>
      <c r="L5085" s="17"/>
      <c r="M5085" s="29">
        <f t="shared" si="258"/>
        <v>0</v>
      </c>
      <c r="N5085" s="34">
        <f>0.06*L5085</f>
        <v>0</v>
      </c>
      <c r="O5085" s="32">
        <f>0.00013*L5085</f>
        <v>0</v>
      </c>
      <c r="P5085" s="36"/>
      <c r="Q5085" s="29" t="s">
        <v>16931</v>
      </c>
      <c r="R5085" s="29"/>
      <c r="S5085" s="26" t="str">
        <f>HYPERLINK("https://miland.ru/api/getInfo/image/e179d72d-b858-11e5-9e79-5cf3fc4a2490")</f>
        <v>https://miland.ru/api/getInfo/image/e179d72d-b858-11e5-9e79-5cf3fc4a2490</v>
      </c>
    </row>
    <row r="5086" spans="1:19" s="2" customFormat="1" ht="96.2" customHeight="1" outlineLevel="3">
      <c r="A5086" s="52">
        <v>4030</v>
      </c>
      <c r="B5086" s="26" t="s">
        <v>16932</v>
      </c>
      <c r="C5086" s="66" t="s">
        <v>16933</v>
      </c>
      <c r="D5086" s="66"/>
      <c r="E5086" s="66"/>
      <c r="F5086" s="66"/>
      <c r="G5086" s="27" t="s">
        <v>16934</v>
      </c>
      <c r="H5086" s="28" t="s">
        <v>44</v>
      </c>
      <c r="I5086" s="29"/>
      <c r="J5086" s="25">
        <v>10</v>
      </c>
      <c r="K5086" s="30">
        <v>73.510000000000005</v>
      </c>
      <c r="L5086" s="17"/>
      <c r="M5086" s="29">
        <f t="shared" si="258"/>
        <v>0</v>
      </c>
      <c r="N5086" s="31">
        <f>0.063*L5086</f>
        <v>0</v>
      </c>
      <c r="O5086" s="32">
        <f>0.00012*L5086</f>
        <v>0</v>
      </c>
      <c r="P5086" s="36"/>
      <c r="Q5086" s="29" t="s">
        <v>16935</v>
      </c>
      <c r="R5086" s="29"/>
      <c r="S5086" s="26" t="str">
        <f>HYPERLINK("https://miland.ru/api/getInfo/image/249a2d7c-b859-11e5-9e79-5cf3fc4a2490")</f>
        <v>https://miland.ru/api/getInfo/image/249a2d7c-b859-11e5-9e79-5cf3fc4a2490</v>
      </c>
    </row>
    <row r="5087" spans="1:19" s="1" customFormat="1" ht="12" customHeight="1" outlineLevel="2">
      <c r="A5087" s="63" t="s">
        <v>16936</v>
      </c>
      <c r="B5087" s="63"/>
      <c r="C5087" s="63"/>
      <c r="D5087" s="63"/>
      <c r="E5087" s="63"/>
      <c r="F5087" s="63"/>
      <c r="G5087" s="8"/>
      <c r="H5087" s="12"/>
      <c r="I5087" s="2"/>
      <c r="J5087" s="2"/>
      <c r="K5087" s="13"/>
      <c r="L5087" s="2"/>
      <c r="M5087" s="2"/>
      <c r="N5087" s="2"/>
      <c r="O5087" s="2"/>
      <c r="P5087" s="2"/>
      <c r="Q5087" s="2"/>
      <c r="R5087" s="2"/>
      <c r="S5087" s="2"/>
    </row>
    <row r="5088" spans="1:19" s="2" customFormat="1" ht="96.2" customHeight="1" outlineLevel="3">
      <c r="A5088" s="53">
        <v>4031</v>
      </c>
      <c r="B5088" s="10" t="s">
        <v>16937</v>
      </c>
      <c r="C5088" s="65" t="s">
        <v>16938</v>
      </c>
      <c r="D5088" s="65"/>
      <c r="E5088" s="65"/>
      <c r="F5088" s="65"/>
      <c r="G5088" s="11" t="s">
        <v>16939</v>
      </c>
      <c r="H5088" s="14">
        <v>349</v>
      </c>
      <c r="I5088" s="15"/>
      <c r="J5088" s="9">
        <v>10</v>
      </c>
      <c r="K5088" s="16">
        <v>66.97</v>
      </c>
      <c r="L5088" s="17"/>
      <c r="M5088" s="15">
        <f>K5088*L5088</f>
        <v>0</v>
      </c>
      <c r="N5088" s="23">
        <f>0.06*L5088</f>
        <v>0</v>
      </c>
      <c r="O5088" s="20">
        <f>0.0001*L5088</f>
        <v>0</v>
      </c>
      <c r="P5088" s="24" t="s">
        <v>26</v>
      </c>
      <c r="Q5088" s="15" t="s">
        <v>16940</v>
      </c>
      <c r="R5088" s="15"/>
      <c r="S5088" s="10" t="str">
        <f>HYPERLINK("https://miland.ru/api/getInfo/image/159249d8-a8c5-11f0-a286-00155d82e908")</f>
        <v>https://miland.ru/api/getInfo/image/159249d8-a8c5-11f0-a286-00155d82e908</v>
      </c>
    </row>
    <row r="5089" spans="1:19" s="1" customFormat="1" ht="12" customHeight="1" outlineLevel="3">
      <c r="A5089" s="64" t="s">
        <v>16941</v>
      </c>
      <c r="B5089" s="64"/>
      <c r="C5089" s="64"/>
      <c r="D5089" s="64"/>
      <c r="E5089" s="64"/>
      <c r="F5089" s="64"/>
      <c r="G5089" s="8"/>
      <c r="H5089" s="12"/>
      <c r="I5089" s="2"/>
      <c r="J5089" s="2"/>
      <c r="K5089" s="13"/>
      <c r="L5089" s="2"/>
      <c r="M5089" s="2"/>
      <c r="N5089" s="2"/>
      <c r="O5089" s="2"/>
      <c r="P5089" s="2"/>
      <c r="Q5089" s="2"/>
      <c r="R5089" s="2"/>
      <c r="S5089" s="2"/>
    </row>
    <row r="5090" spans="1:19" s="2" customFormat="1" ht="96.2" customHeight="1" outlineLevel="4">
      <c r="A5090" s="52">
        <v>4032</v>
      </c>
      <c r="B5090" s="26" t="s">
        <v>16942</v>
      </c>
      <c r="C5090" s="66" t="s">
        <v>16943</v>
      </c>
      <c r="D5090" s="66"/>
      <c r="E5090" s="66"/>
      <c r="F5090" s="66"/>
      <c r="G5090" s="27" t="s">
        <v>16944</v>
      </c>
      <c r="H5090" s="33">
        <v>240</v>
      </c>
      <c r="I5090" s="29"/>
      <c r="J5090" s="25">
        <v>10</v>
      </c>
      <c r="K5090" s="30">
        <v>66.97</v>
      </c>
      <c r="L5090" s="17"/>
      <c r="M5090" s="29">
        <f t="shared" ref="M5090:M5099" si="259">K5090*L5090</f>
        <v>0</v>
      </c>
      <c r="N5090" s="31">
        <f>0.061*L5090</f>
        <v>0</v>
      </c>
      <c r="O5090" s="32">
        <f>0.00013*L5090</f>
        <v>0</v>
      </c>
      <c r="P5090" s="36"/>
      <c r="Q5090" s="29" t="s">
        <v>16945</v>
      </c>
      <c r="R5090" s="29"/>
      <c r="S5090" s="26" t="str">
        <f>HYPERLINK("https://miland.ru/api/getInfo/image/e211e855-a7e9-11e5-9e78-5cf3fc4a2490")</f>
        <v>https://miland.ru/api/getInfo/image/e211e855-a7e9-11e5-9e78-5cf3fc4a2490</v>
      </c>
    </row>
    <row r="5091" spans="1:19" s="2" customFormat="1" ht="96.2" customHeight="1" outlineLevel="4">
      <c r="A5091" s="52">
        <v>4033</v>
      </c>
      <c r="B5091" s="26" t="s">
        <v>16946</v>
      </c>
      <c r="C5091" s="66" t="s">
        <v>16947</v>
      </c>
      <c r="D5091" s="66"/>
      <c r="E5091" s="66"/>
      <c r="F5091" s="66"/>
      <c r="G5091" s="27" t="s">
        <v>16948</v>
      </c>
      <c r="H5091" s="28" t="s">
        <v>44</v>
      </c>
      <c r="I5091" s="29"/>
      <c r="J5091" s="25">
        <v>10</v>
      </c>
      <c r="K5091" s="30">
        <v>66.97</v>
      </c>
      <c r="L5091" s="17"/>
      <c r="M5091" s="29">
        <f t="shared" si="259"/>
        <v>0</v>
      </c>
      <c r="N5091" s="31">
        <f>0.064*L5091</f>
        <v>0</v>
      </c>
      <c r="O5091" s="29">
        <v>0</v>
      </c>
      <c r="P5091" s="36"/>
      <c r="Q5091" s="29" t="s">
        <v>16949</v>
      </c>
      <c r="R5091" s="29"/>
      <c r="S5091" s="26" t="str">
        <f>HYPERLINK("https://miland.ru/api/getInfo/image/9f1b297f-a7ea-11e5-9e78-5cf3fc4a2490")</f>
        <v>https://miland.ru/api/getInfo/image/9f1b297f-a7ea-11e5-9e78-5cf3fc4a2490</v>
      </c>
    </row>
    <row r="5092" spans="1:19" s="2" customFormat="1" ht="96.2" customHeight="1" outlineLevel="4">
      <c r="A5092" s="52">
        <v>4034</v>
      </c>
      <c r="B5092" s="26" t="s">
        <v>16950</v>
      </c>
      <c r="C5092" s="66" t="s">
        <v>16951</v>
      </c>
      <c r="D5092" s="66"/>
      <c r="E5092" s="66"/>
      <c r="F5092" s="66"/>
      <c r="G5092" s="27" t="s">
        <v>16952</v>
      </c>
      <c r="H5092" s="33">
        <v>156</v>
      </c>
      <c r="I5092" s="29"/>
      <c r="J5092" s="25">
        <v>10</v>
      </c>
      <c r="K5092" s="30">
        <v>66.97</v>
      </c>
      <c r="L5092" s="17"/>
      <c r="M5092" s="29">
        <f t="shared" si="259"/>
        <v>0</v>
      </c>
      <c r="N5092" s="34">
        <f>0.06*L5092</f>
        <v>0</v>
      </c>
      <c r="O5092" s="35">
        <f>0.0001*L5092</f>
        <v>0</v>
      </c>
      <c r="P5092" s="36"/>
      <c r="Q5092" s="29" t="s">
        <v>16953</v>
      </c>
      <c r="R5092" s="29"/>
      <c r="S5092" s="26" t="str">
        <f>HYPERLINK("https://miland.ru/api/getInfo/image/2a2775a8-a7eb-11e5-9e78-5cf3fc4a2490")</f>
        <v>https://miland.ru/api/getInfo/image/2a2775a8-a7eb-11e5-9e78-5cf3fc4a2490</v>
      </c>
    </row>
    <row r="5093" spans="1:19" s="2" customFormat="1" ht="96.2" customHeight="1" outlineLevel="4">
      <c r="A5093" s="52">
        <v>4035</v>
      </c>
      <c r="B5093" s="26" t="s">
        <v>16954</v>
      </c>
      <c r="C5093" s="66" t="s">
        <v>16955</v>
      </c>
      <c r="D5093" s="66"/>
      <c r="E5093" s="66"/>
      <c r="F5093" s="66"/>
      <c r="G5093" s="27" t="s">
        <v>16956</v>
      </c>
      <c r="H5093" s="33">
        <v>161</v>
      </c>
      <c r="I5093" s="29"/>
      <c r="J5093" s="25">
        <v>10</v>
      </c>
      <c r="K5093" s="30">
        <v>66.97</v>
      </c>
      <c r="L5093" s="17"/>
      <c r="M5093" s="29">
        <f t="shared" si="259"/>
        <v>0</v>
      </c>
      <c r="N5093" s="31">
        <f>0.054*L5093</f>
        <v>0</v>
      </c>
      <c r="O5093" s="35">
        <f>0.0001*L5093</f>
        <v>0</v>
      </c>
      <c r="P5093" s="36"/>
      <c r="Q5093" s="29" t="s">
        <v>16957</v>
      </c>
      <c r="R5093" s="29"/>
      <c r="S5093" s="26" t="str">
        <f>HYPERLINK("https://miland.ru/api/getInfo/image/ce538fa0-a7eb-11e5-9e78-5cf3fc4a2490")</f>
        <v>https://miland.ru/api/getInfo/image/ce538fa0-a7eb-11e5-9e78-5cf3fc4a2490</v>
      </c>
    </row>
    <row r="5094" spans="1:19" s="2" customFormat="1" ht="96.2" customHeight="1" outlineLevel="4">
      <c r="A5094" s="52">
        <v>4036</v>
      </c>
      <c r="B5094" s="26" t="s">
        <v>16958</v>
      </c>
      <c r="C5094" s="66" t="s">
        <v>16959</v>
      </c>
      <c r="D5094" s="66"/>
      <c r="E5094" s="66"/>
      <c r="F5094" s="66"/>
      <c r="G5094" s="27" t="s">
        <v>16960</v>
      </c>
      <c r="H5094" s="33">
        <v>319</v>
      </c>
      <c r="I5094" s="29"/>
      <c r="J5094" s="25">
        <v>10</v>
      </c>
      <c r="K5094" s="30">
        <v>66.97</v>
      </c>
      <c r="L5094" s="17"/>
      <c r="M5094" s="29">
        <f t="shared" si="259"/>
        <v>0</v>
      </c>
      <c r="N5094" s="31">
        <f>0.065*L5094</f>
        <v>0</v>
      </c>
      <c r="O5094" s="32">
        <f>0.00174*L5094</f>
        <v>0</v>
      </c>
      <c r="P5094" s="36"/>
      <c r="Q5094" s="29" t="s">
        <v>16961</v>
      </c>
      <c r="R5094" s="29"/>
      <c r="S5094" s="26" t="str">
        <f>HYPERLINK("https://miland.ru/api/getInfo/image/f8c0e2b4-f53c-11e7-8117-5cf3fc4a2490")</f>
        <v>https://miland.ru/api/getInfo/image/f8c0e2b4-f53c-11e7-8117-5cf3fc4a2490</v>
      </c>
    </row>
    <row r="5095" spans="1:19" s="2" customFormat="1" ht="96.2" customHeight="1" outlineLevel="4">
      <c r="A5095" s="52">
        <v>4037</v>
      </c>
      <c r="B5095" s="26" t="s">
        <v>16962</v>
      </c>
      <c r="C5095" s="66" t="s">
        <v>16963</v>
      </c>
      <c r="D5095" s="66"/>
      <c r="E5095" s="66"/>
      <c r="F5095" s="66"/>
      <c r="G5095" s="27" t="s">
        <v>16964</v>
      </c>
      <c r="H5095" s="33">
        <v>471</v>
      </c>
      <c r="I5095" s="29"/>
      <c r="J5095" s="25">
        <v>10</v>
      </c>
      <c r="K5095" s="30">
        <v>66.97</v>
      </c>
      <c r="L5095" s="17"/>
      <c r="M5095" s="29">
        <f t="shared" si="259"/>
        <v>0</v>
      </c>
      <c r="N5095" s="31">
        <f>0.068*L5095</f>
        <v>0</v>
      </c>
      <c r="O5095" s="32">
        <f>0.00012*L5095</f>
        <v>0</v>
      </c>
      <c r="P5095" s="36"/>
      <c r="Q5095" s="29" t="s">
        <v>16965</v>
      </c>
      <c r="R5095" s="29"/>
      <c r="S5095" s="26" t="str">
        <f>HYPERLINK("https://miland.ru/api/getInfo/image/33bda350-a7eb-11e5-9e78-5cf3fc4a2490")</f>
        <v>https://miland.ru/api/getInfo/image/33bda350-a7eb-11e5-9e78-5cf3fc4a2490</v>
      </c>
    </row>
    <row r="5096" spans="1:19" s="2" customFormat="1" ht="96.2" customHeight="1" outlineLevel="4">
      <c r="A5096" s="52">
        <v>4038</v>
      </c>
      <c r="B5096" s="26" t="s">
        <v>16966</v>
      </c>
      <c r="C5096" s="66" t="s">
        <v>16967</v>
      </c>
      <c r="D5096" s="66"/>
      <c r="E5096" s="66"/>
      <c r="F5096" s="66"/>
      <c r="G5096" s="27" t="s">
        <v>16968</v>
      </c>
      <c r="H5096" s="28" t="s">
        <v>44</v>
      </c>
      <c r="I5096" s="29"/>
      <c r="J5096" s="25">
        <v>10</v>
      </c>
      <c r="K5096" s="30">
        <v>66.97</v>
      </c>
      <c r="L5096" s="17"/>
      <c r="M5096" s="29">
        <f t="shared" si="259"/>
        <v>0</v>
      </c>
      <c r="N5096" s="31">
        <f>0.065*L5096</f>
        <v>0</v>
      </c>
      <c r="O5096" s="32">
        <f>0.00011*L5096</f>
        <v>0</v>
      </c>
      <c r="P5096" s="36"/>
      <c r="Q5096" s="29" t="s">
        <v>16969</v>
      </c>
      <c r="R5096" s="29"/>
      <c r="S5096" s="26" t="str">
        <f>HYPERLINK("https://miland.ru/api/getInfo/image/da1b2eb5-f53c-11e7-8117-5cf3fc4a2490")</f>
        <v>https://miland.ru/api/getInfo/image/da1b2eb5-f53c-11e7-8117-5cf3fc4a2490</v>
      </c>
    </row>
    <row r="5097" spans="1:19" s="2" customFormat="1" ht="96.2" customHeight="1" outlineLevel="4">
      <c r="A5097" s="52">
        <v>4039</v>
      </c>
      <c r="B5097" s="26" t="s">
        <v>16970</v>
      </c>
      <c r="C5097" s="66" t="s">
        <v>16971</v>
      </c>
      <c r="D5097" s="66"/>
      <c r="E5097" s="66"/>
      <c r="F5097" s="66"/>
      <c r="G5097" s="27" t="s">
        <v>16972</v>
      </c>
      <c r="H5097" s="33">
        <v>190</v>
      </c>
      <c r="I5097" s="29"/>
      <c r="J5097" s="25">
        <v>10</v>
      </c>
      <c r="K5097" s="30">
        <v>66.97</v>
      </c>
      <c r="L5097" s="17"/>
      <c r="M5097" s="29">
        <f t="shared" si="259"/>
        <v>0</v>
      </c>
      <c r="N5097" s="31">
        <f>0.056*L5097</f>
        <v>0</v>
      </c>
      <c r="O5097" s="32">
        <f>0.00012*L5097</f>
        <v>0</v>
      </c>
      <c r="P5097" s="36"/>
      <c r="Q5097" s="29" t="s">
        <v>16973</v>
      </c>
      <c r="R5097" s="29"/>
      <c r="S5097" s="26" t="str">
        <f>HYPERLINK("https://miland.ru/api/getInfo/image/5f71742b-a7eb-11e5-9e78-5cf3fc4a2490")</f>
        <v>https://miland.ru/api/getInfo/image/5f71742b-a7eb-11e5-9e78-5cf3fc4a2490</v>
      </c>
    </row>
    <row r="5098" spans="1:19" s="2" customFormat="1" ht="96.2" customHeight="1" outlineLevel="4">
      <c r="A5098" s="52">
        <v>4040</v>
      </c>
      <c r="B5098" s="26" t="s">
        <v>16974</v>
      </c>
      <c r="C5098" s="66" t="s">
        <v>16975</v>
      </c>
      <c r="D5098" s="66"/>
      <c r="E5098" s="66"/>
      <c r="F5098" s="66"/>
      <c r="G5098" s="27" t="s">
        <v>16976</v>
      </c>
      <c r="H5098" s="28" t="s">
        <v>44</v>
      </c>
      <c r="I5098" s="29"/>
      <c r="J5098" s="25">
        <v>10</v>
      </c>
      <c r="K5098" s="30">
        <v>66.97</v>
      </c>
      <c r="L5098" s="17"/>
      <c r="M5098" s="29">
        <f t="shared" si="259"/>
        <v>0</v>
      </c>
      <c r="N5098" s="31">
        <f>0.061*L5098</f>
        <v>0</v>
      </c>
      <c r="O5098" s="32">
        <f>0.00009*L5098</f>
        <v>0</v>
      </c>
      <c r="P5098" s="36"/>
      <c r="Q5098" s="29" t="s">
        <v>16977</v>
      </c>
      <c r="R5098" s="29"/>
      <c r="S5098" s="26" t="str">
        <f>HYPERLINK("https://miland.ru/api/getInfo/image/9f33c354-a7eb-11e5-9e78-5cf3fc4a2490")</f>
        <v>https://miland.ru/api/getInfo/image/9f33c354-a7eb-11e5-9e78-5cf3fc4a2490</v>
      </c>
    </row>
    <row r="5099" spans="1:19" s="2" customFormat="1" ht="96.2" customHeight="1" outlineLevel="4">
      <c r="A5099" s="52">
        <v>4041</v>
      </c>
      <c r="B5099" s="26" t="s">
        <v>16978</v>
      </c>
      <c r="C5099" s="66" t="s">
        <v>16979</v>
      </c>
      <c r="D5099" s="66"/>
      <c r="E5099" s="66"/>
      <c r="F5099" s="66"/>
      <c r="G5099" s="27" t="s">
        <v>16980</v>
      </c>
      <c r="H5099" s="33">
        <v>223</v>
      </c>
      <c r="I5099" s="29"/>
      <c r="J5099" s="25">
        <v>10</v>
      </c>
      <c r="K5099" s="30">
        <v>66.97</v>
      </c>
      <c r="L5099" s="17"/>
      <c r="M5099" s="29">
        <f t="shared" si="259"/>
        <v>0</v>
      </c>
      <c r="N5099" s="31">
        <f>0.064*L5099</f>
        <v>0</v>
      </c>
      <c r="O5099" s="32">
        <f>0.00013*L5099</f>
        <v>0</v>
      </c>
      <c r="P5099" s="36"/>
      <c r="Q5099" s="29" t="s">
        <v>16981</v>
      </c>
      <c r="R5099" s="29"/>
      <c r="S5099" s="26" t="str">
        <f>HYPERLINK("https://miland.ru/api/getInfo/image/bf624449-0ef5-11f0-a279-00155d82e908")</f>
        <v>https://miland.ru/api/getInfo/image/bf624449-0ef5-11f0-a279-00155d82e908</v>
      </c>
    </row>
    <row r="5100" spans="1:19" s="1" customFormat="1" ht="15.95" customHeight="1" outlineLevel="1">
      <c r="A5100" s="62" t="s">
        <v>16982</v>
      </c>
      <c r="B5100" s="62"/>
      <c r="C5100" s="62"/>
      <c r="D5100" s="62"/>
      <c r="E5100" s="62"/>
      <c r="F5100" s="62"/>
      <c r="G5100" s="8"/>
      <c r="H5100" s="12"/>
      <c r="I5100" s="2"/>
      <c r="J5100" s="2"/>
      <c r="K5100" s="13"/>
      <c r="L5100" s="2"/>
      <c r="M5100" s="2"/>
      <c r="N5100" s="2"/>
      <c r="O5100" s="2"/>
      <c r="P5100" s="2"/>
      <c r="Q5100" s="2"/>
      <c r="R5100" s="2"/>
      <c r="S5100" s="2"/>
    </row>
    <row r="5101" spans="1:19" s="1" customFormat="1" ht="12" customHeight="1" outlineLevel="2">
      <c r="A5101" s="63" t="s">
        <v>16983</v>
      </c>
      <c r="B5101" s="63"/>
      <c r="C5101" s="63"/>
      <c r="D5101" s="63"/>
      <c r="E5101" s="63"/>
      <c r="F5101" s="63"/>
      <c r="G5101" s="8"/>
      <c r="H5101" s="12"/>
      <c r="I5101" s="2"/>
      <c r="J5101" s="2"/>
      <c r="K5101" s="13"/>
      <c r="L5101" s="2"/>
      <c r="M5101" s="2"/>
      <c r="N5101" s="2"/>
      <c r="O5101" s="2"/>
      <c r="P5101" s="2"/>
      <c r="Q5101" s="2"/>
      <c r="R5101" s="2"/>
      <c r="S5101" s="2"/>
    </row>
    <row r="5102" spans="1:19" s="1" customFormat="1" ht="12" customHeight="1" outlineLevel="3">
      <c r="A5102" s="64" t="s">
        <v>16984</v>
      </c>
      <c r="B5102" s="64"/>
      <c r="C5102" s="64"/>
      <c r="D5102" s="64"/>
      <c r="E5102" s="64"/>
      <c r="F5102" s="64"/>
      <c r="G5102" s="8"/>
      <c r="H5102" s="12"/>
      <c r="I5102" s="2"/>
      <c r="J5102" s="2"/>
      <c r="K5102" s="13"/>
      <c r="L5102" s="2"/>
      <c r="M5102" s="2"/>
      <c r="N5102" s="2"/>
      <c r="O5102" s="2"/>
      <c r="P5102" s="2"/>
      <c r="Q5102" s="2"/>
      <c r="R5102" s="2"/>
      <c r="S5102" s="2"/>
    </row>
    <row r="5103" spans="1:19" s="1" customFormat="1" ht="12" customHeight="1" outlineLevel="4">
      <c r="A5103" s="64" t="s">
        <v>16985</v>
      </c>
      <c r="B5103" s="64"/>
      <c r="C5103" s="64"/>
      <c r="D5103" s="64"/>
      <c r="E5103" s="64"/>
      <c r="F5103" s="64"/>
      <c r="G5103" s="8"/>
      <c r="H5103" s="12"/>
      <c r="I5103" s="2"/>
      <c r="J5103" s="2"/>
      <c r="K5103" s="13"/>
      <c r="L5103" s="2"/>
      <c r="M5103" s="2"/>
      <c r="N5103" s="2"/>
      <c r="O5103" s="2"/>
      <c r="P5103" s="2"/>
      <c r="Q5103" s="2"/>
      <c r="R5103" s="2"/>
      <c r="S5103" s="2"/>
    </row>
    <row r="5104" spans="1:19" s="2" customFormat="1" ht="96.2" customHeight="1" outlineLevel="5">
      <c r="A5104" s="52">
        <v>4042</v>
      </c>
      <c r="B5104" s="26" t="s">
        <v>16986</v>
      </c>
      <c r="C5104" s="66" t="s">
        <v>16987</v>
      </c>
      <c r="D5104" s="66"/>
      <c r="E5104" s="66"/>
      <c r="F5104" s="66"/>
      <c r="G5104" s="27" t="s">
        <v>16988</v>
      </c>
      <c r="H5104" s="28" t="s">
        <v>44</v>
      </c>
      <c r="I5104" s="29"/>
      <c r="J5104" s="25">
        <v>30</v>
      </c>
      <c r="K5104" s="30">
        <v>21.38</v>
      </c>
      <c r="L5104" s="17"/>
      <c r="M5104" s="29">
        <f>K5104*L5104</f>
        <v>0</v>
      </c>
      <c r="N5104" s="31">
        <f>0.038*L5104</f>
        <v>0</v>
      </c>
      <c r="O5104" s="32">
        <f>0.00006*L5104</f>
        <v>0</v>
      </c>
      <c r="P5104" s="36"/>
      <c r="Q5104" s="29" t="s">
        <v>16989</v>
      </c>
      <c r="R5104" s="29"/>
      <c r="S5104" s="26" t="str">
        <f>HYPERLINK("https://miland.ru/api/getInfo/image/fd9b6f0d-9c51-11e7-b8ef-5cf3fc4a2490")</f>
        <v>https://miland.ru/api/getInfo/image/fd9b6f0d-9c51-11e7-b8ef-5cf3fc4a2490</v>
      </c>
    </row>
    <row r="5105" spans="1:19" s="2" customFormat="1" ht="96.2" customHeight="1" outlineLevel="5">
      <c r="A5105" s="52">
        <v>4043</v>
      </c>
      <c r="B5105" s="26" t="s">
        <v>16990</v>
      </c>
      <c r="C5105" s="66" t="s">
        <v>16991</v>
      </c>
      <c r="D5105" s="66"/>
      <c r="E5105" s="66"/>
      <c r="F5105" s="66"/>
      <c r="G5105" s="27" t="s">
        <v>16992</v>
      </c>
      <c r="H5105" s="28" t="s">
        <v>44</v>
      </c>
      <c r="I5105" s="29"/>
      <c r="J5105" s="25">
        <v>25</v>
      </c>
      <c r="K5105" s="30">
        <v>25.45</v>
      </c>
      <c r="L5105" s="17"/>
      <c r="M5105" s="29">
        <f>K5105*L5105</f>
        <v>0</v>
      </c>
      <c r="N5105" s="31">
        <f>0.057*L5105</f>
        <v>0</v>
      </c>
      <c r="O5105" s="32">
        <f>0.00009*L5105</f>
        <v>0</v>
      </c>
      <c r="P5105" s="36"/>
      <c r="Q5105" s="29" t="s">
        <v>16993</v>
      </c>
      <c r="R5105" s="29"/>
      <c r="S5105" s="26" t="str">
        <f>HYPERLINK("https://miland.ru/api/getInfo/image/137c7b9e-9c52-11e7-b8ef-5cf3fc4a2490")</f>
        <v>https://miland.ru/api/getInfo/image/137c7b9e-9c52-11e7-b8ef-5cf3fc4a2490</v>
      </c>
    </row>
    <row r="5106" spans="1:19" s="1" customFormat="1" ht="12" customHeight="1" outlineLevel="4">
      <c r="A5106" s="64" t="s">
        <v>16994</v>
      </c>
      <c r="B5106" s="64"/>
      <c r="C5106" s="64"/>
      <c r="D5106" s="64"/>
      <c r="E5106" s="64"/>
      <c r="F5106" s="64"/>
      <c r="G5106" s="8"/>
      <c r="H5106" s="12"/>
      <c r="I5106" s="2"/>
      <c r="J5106" s="2"/>
      <c r="K5106" s="13"/>
      <c r="L5106" s="2"/>
      <c r="M5106" s="2"/>
      <c r="N5106" s="2"/>
      <c r="O5106" s="2"/>
      <c r="P5106" s="2"/>
      <c r="Q5106" s="2"/>
      <c r="R5106" s="2"/>
      <c r="S5106" s="2"/>
    </row>
    <row r="5107" spans="1:19" s="2" customFormat="1" ht="96.2" customHeight="1" outlineLevel="5">
      <c r="A5107" s="52">
        <v>4044</v>
      </c>
      <c r="B5107" s="26" t="s">
        <v>16995</v>
      </c>
      <c r="C5107" s="66" t="s">
        <v>16996</v>
      </c>
      <c r="D5107" s="66"/>
      <c r="E5107" s="66"/>
      <c r="F5107" s="66"/>
      <c r="G5107" s="27" t="s">
        <v>16997</v>
      </c>
      <c r="H5107" s="33">
        <v>1</v>
      </c>
      <c r="I5107" s="29"/>
      <c r="J5107" s="25">
        <v>1</v>
      </c>
      <c r="K5107" s="30">
        <v>172.69</v>
      </c>
      <c r="L5107" s="17"/>
      <c r="M5107" s="29">
        <f>K5107*L5107</f>
        <v>0</v>
      </c>
      <c r="N5107" s="34">
        <f>0.06*L5107</f>
        <v>0</v>
      </c>
      <c r="O5107" s="32">
        <f>0.00007*L5107</f>
        <v>0</v>
      </c>
      <c r="P5107" s="36"/>
      <c r="Q5107" s="29" t="s">
        <v>16998</v>
      </c>
      <c r="R5107" s="29"/>
      <c r="S5107" s="26" t="str">
        <f>HYPERLINK("https://miland.ru/api/getInfo/image/a72350b4-ec16-11e9-a235-ac1f6b442184")</f>
        <v>https://miland.ru/api/getInfo/image/a72350b4-ec16-11e9-a235-ac1f6b442184</v>
      </c>
    </row>
    <row r="5108" spans="1:19" s="1" customFormat="1" ht="12" customHeight="1" outlineLevel="2">
      <c r="A5108" s="63" t="s">
        <v>16999</v>
      </c>
      <c r="B5108" s="63"/>
      <c r="C5108" s="63"/>
      <c r="D5108" s="63"/>
      <c r="E5108" s="63"/>
      <c r="F5108" s="63"/>
      <c r="G5108" s="8"/>
      <c r="H5108" s="12"/>
      <c r="I5108" s="2"/>
      <c r="J5108" s="2"/>
      <c r="K5108" s="13"/>
      <c r="L5108" s="2"/>
      <c r="M5108" s="2"/>
      <c r="N5108" s="2"/>
      <c r="O5108" s="2"/>
      <c r="P5108" s="2"/>
      <c r="Q5108" s="2"/>
      <c r="R5108" s="2"/>
      <c r="S5108" s="2"/>
    </row>
    <row r="5109" spans="1:19" s="1" customFormat="1" ht="12" customHeight="1" outlineLevel="3">
      <c r="A5109" s="64" t="s">
        <v>17000</v>
      </c>
      <c r="B5109" s="64"/>
      <c r="C5109" s="64"/>
      <c r="D5109" s="64"/>
      <c r="E5109" s="64"/>
      <c r="F5109" s="64"/>
      <c r="G5109" s="8"/>
      <c r="H5109" s="12"/>
      <c r="I5109" s="2"/>
      <c r="J5109" s="2"/>
      <c r="K5109" s="13"/>
      <c r="L5109" s="2"/>
      <c r="M5109" s="2"/>
      <c r="N5109" s="2"/>
      <c r="O5109" s="2"/>
      <c r="P5109" s="2"/>
      <c r="Q5109" s="2"/>
      <c r="R5109" s="2"/>
      <c r="S5109" s="2"/>
    </row>
    <row r="5110" spans="1:19" s="1" customFormat="1" ht="12" customHeight="1" outlineLevel="4">
      <c r="A5110" s="64" t="s">
        <v>17001</v>
      </c>
      <c r="B5110" s="64"/>
      <c r="C5110" s="64"/>
      <c r="D5110" s="64"/>
      <c r="E5110" s="64"/>
      <c r="F5110" s="64"/>
      <c r="G5110" s="8"/>
      <c r="H5110" s="12"/>
      <c r="I5110" s="2"/>
      <c r="J5110" s="2"/>
      <c r="K5110" s="13"/>
      <c r="L5110" s="2"/>
      <c r="M5110" s="2"/>
      <c r="N5110" s="2"/>
      <c r="O5110" s="2"/>
      <c r="P5110" s="2"/>
      <c r="Q5110" s="2"/>
      <c r="R5110" s="2"/>
      <c r="S5110" s="2"/>
    </row>
    <row r="5111" spans="1:19" s="2" customFormat="1" ht="96.2" customHeight="1" outlineLevel="5">
      <c r="A5111" s="52">
        <v>4045</v>
      </c>
      <c r="B5111" s="26" t="s">
        <v>17002</v>
      </c>
      <c r="C5111" s="66" t="s">
        <v>17003</v>
      </c>
      <c r="D5111" s="66"/>
      <c r="E5111" s="66"/>
      <c r="F5111" s="66"/>
      <c r="G5111" s="27" t="s">
        <v>17004</v>
      </c>
      <c r="H5111" s="33">
        <v>328</v>
      </c>
      <c r="I5111" s="29"/>
      <c r="J5111" s="25">
        <v>7</v>
      </c>
      <c r="K5111" s="30">
        <v>89.89</v>
      </c>
      <c r="L5111" s="17"/>
      <c r="M5111" s="29">
        <f>K5111*L5111</f>
        <v>0</v>
      </c>
      <c r="N5111" s="31">
        <f>0.045*L5111</f>
        <v>0</v>
      </c>
      <c r="O5111" s="32">
        <f>0.00006*L5111</f>
        <v>0</v>
      </c>
      <c r="P5111" s="36"/>
      <c r="Q5111" s="29" t="s">
        <v>17005</v>
      </c>
      <c r="R5111" s="29" t="s">
        <v>611</v>
      </c>
      <c r="S5111" s="26" t="str">
        <f>HYPERLINK("https://miland.ru/api/getInfo/image/5edc7a5f-d369-11e8-a20d-ac1f6b442184")</f>
        <v>https://miland.ru/api/getInfo/image/5edc7a5f-d369-11e8-a20d-ac1f6b442184</v>
      </c>
    </row>
    <row r="5112" spans="1:19" s="1" customFormat="1" ht="12" customHeight="1" outlineLevel="4">
      <c r="A5112" s="64" t="s">
        <v>17006</v>
      </c>
      <c r="B5112" s="64"/>
      <c r="C5112" s="64"/>
      <c r="D5112" s="64"/>
      <c r="E5112" s="64"/>
      <c r="F5112" s="64"/>
      <c r="G5112" s="8"/>
      <c r="H5112" s="12"/>
      <c r="I5112" s="2"/>
      <c r="J5112" s="2"/>
      <c r="K5112" s="13"/>
      <c r="L5112" s="2"/>
      <c r="M5112" s="2"/>
      <c r="N5112" s="2"/>
      <c r="O5112" s="2"/>
      <c r="P5112" s="2"/>
      <c r="Q5112" s="2"/>
      <c r="R5112" s="2"/>
      <c r="S5112" s="2"/>
    </row>
    <row r="5113" spans="1:19" s="2" customFormat="1" ht="96.2" customHeight="1" outlineLevel="5">
      <c r="A5113" s="52">
        <v>4046</v>
      </c>
      <c r="B5113" s="26" t="s">
        <v>17007</v>
      </c>
      <c r="C5113" s="66" t="s">
        <v>17008</v>
      </c>
      <c r="D5113" s="66"/>
      <c r="E5113" s="66"/>
      <c r="F5113" s="66"/>
      <c r="G5113" s="27" t="s">
        <v>17009</v>
      </c>
      <c r="H5113" s="28" t="s">
        <v>44</v>
      </c>
      <c r="I5113" s="29"/>
      <c r="J5113" s="25">
        <v>6</v>
      </c>
      <c r="K5113" s="30">
        <v>108.71</v>
      </c>
      <c r="L5113" s="17"/>
      <c r="M5113" s="29">
        <f t="shared" ref="M5113:M5119" si="260">K5113*L5113</f>
        <v>0</v>
      </c>
      <c r="N5113" s="31">
        <f>0.022*L5113</f>
        <v>0</v>
      </c>
      <c r="O5113" s="32">
        <f>0.00011*L5113</f>
        <v>0</v>
      </c>
      <c r="P5113" s="36"/>
      <c r="Q5113" s="29" t="s">
        <v>17010</v>
      </c>
      <c r="R5113" s="29"/>
      <c r="S5113" s="26" t="str">
        <f>HYPERLINK("https://miland.ru/api/getInfo/image/a147a394-9a00-11ec-a211-ac1f6b442185")</f>
        <v>https://miland.ru/api/getInfo/image/a147a394-9a00-11ec-a211-ac1f6b442185</v>
      </c>
    </row>
    <row r="5114" spans="1:19" s="2" customFormat="1" ht="96.2" customHeight="1" outlineLevel="5">
      <c r="A5114" s="52">
        <v>4047</v>
      </c>
      <c r="B5114" s="26" t="s">
        <v>17011</v>
      </c>
      <c r="C5114" s="66" t="s">
        <v>17012</v>
      </c>
      <c r="D5114" s="66"/>
      <c r="E5114" s="66"/>
      <c r="F5114" s="66"/>
      <c r="G5114" s="27" t="s">
        <v>17013</v>
      </c>
      <c r="H5114" s="28" t="s">
        <v>44</v>
      </c>
      <c r="I5114" s="29"/>
      <c r="J5114" s="25">
        <v>6</v>
      </c>
      <c r="K5114" s="30">
        <v>108.71</v>
      </c>
      <c r="L5114" s="17"/>
      <c r="M5114" s="29">
        <f t="shared" si="260"/>
        <v>0</v>
      </c>
      <c r="N5114" s="34">
        <f>0.06*L5114</f>
        <v>0</v>
      </c>
      <c r="O5114" s="32">
        <f>0.00011*L5114</f>
        <v>0</v>
      </c>
      <c r="P5114" s="36"/>
      <c r="Q5114" s="29" t="s">
        <v>17014</v>
      </c>
      <c r="R5114" s="29"/>
      <c r="S5114" s="26" t="str">
        <f>HYPERLINK("https://miland.ru/api/getInfo/image/57a357bb-0f1c-11ec-a20f-ac1f6b442185")</f>
        <v>https://miland.ru/api/getInfo/image/57a357bb-0f1c-11ec-a20f-ac1f6b442185</v>
      </c>
    </row>
    <row r="5115" spans="1:19" s="2" customFormat="1" ht="96.2" customHeight="1" outlineLevel="5">
      <c r="A5115" s="52">
        <v>4048</v>
      </c>
      <c r="B5115" s="26" t="s">
        <v>17015</v>
      </c>
      <c r="C5115" s="66" t="s">
        <v>17016</v>
      </c>
      <c r="D5115" s="66"/>
      <c r="E5115" s="66"/>
      <c r="F5115" s="66"/>
      <c r="G5115" s="27" t="s">
        <v>17017</v>
      </c>
      <c r="H5115" s="28" t="s">
        <v>44</v>
      </c>
      <c r="I5115" s="29"/>
      <c r="J5115" s="25">
        <v>6</v>
      </c>
      <c r="K5115" s="30">
        <v>108.71</v>
      </c>
      <c r="L5115" s="17"/>
      <c r="M5115" s="29">
        <f t="shared" si="260"/>
        <v>0</v>
      </c>
      <c r="N5115" s="34">
        <f>0.06*L5115</f>
        <v>0</v>
      </c>
      <c r="O5115" s="32">
        <f>0.00012*L5115</f>
        <v>0</v>
      </c>
      <c r="P5115" s="36"/>
      <c r="Q5115" s="29" t="s">
        <v>17018</v>
      </c>
      <c r="R5115" s="29"/>
      <c r="S5115" s="26" t="str">
        <f>HYPERLINK("https://miland.ru/api/getInfo/image/d6e5471c-0f1c-11ec-a20f-ac1f6b442185")</f>
        <v>https://miland.ru/api/getInfo/image/d6e5471c-0f1c-11ec-a20f-ac1f6b442185</v>
      </c>
    </row>
    <row r="5116" spans="1:19" s="2" customFormat="1" ht="96.2" customHeight="1" outlineLevel="5">
      <c r="A5116" s="52">
        <v>4049</v>
      </c>
      <c r="B5116" s="26" t="s">
        <v>17019</v>
      </c>
      <c r="C5116" s="66" t="s">
        <v>17020</v>
      </c>
      <c r="D5116" s="66"/>
      <c r="E5116" s="66"/>
      <c r="F5116" s="66"/>
      <c r="G5116" s="27" t="s">
        <v>17021</v>
      </c>
      <c r="H5116" s="28" t="s">
        <v>44</v>
      </c>
      <c r="I5116" s="29"/>
      <c r="J5116" s="25">
        <v>6</v>
      </c>
      <c r="K5116" s="30">
        <v>108.71</v>
      </c>
      <c r="L5116" s="17"/>
      <c r="M5116" s="29">
        <f t="shared" si="260"/>
        <v>0</v>
      </c>
      <c r="N5116" s="31">
        <f>0.057*L5116</f>
        <v>0</v>
      </c>
      <c r="O5116" s="32">
        <f>0.00013*L5116</f>
        <v>0</v>
      </c>
      <c r="P5116" s="36"/>
      <c r="Q5116" s="29" t="s">
        <v>17022</v>
      </c>
      <c r="R5116" s="29"/>
      <c r="S5116" s="26" t="str">
        <f>HYPERLINK("https://miland.ru/api/getInfo/image/b65f2663-0f1a-11ec-a20f-ac1f6b442185")</f>
        <v>https://miland.ru/api/getInfo/image/b65f2663-0f1a-11ec-a20f-ac1f6b442185</v>
      </c>
    </row>
    <row r="5117" spans="1:19" s="2" customFormat="1" ht="96.2" customHeight="1" outlineLevel="5">
      <c r="A5117" s="52">
        <v>4050</v>
      </c>
      <c r="B5117" s="26" t="s">
        <v>17023</v>
      </c>
      <c r="C5117" s="66" t="s">
        <v>17024</v>
      </c>
      <c r="D5117" s="66"/>
      <c r="E5117" s="66"/>
      <c r="F5117" s="66"/>
      <c r="G5117" s="27" t="s">
        <v>17025</v>
      </c>
      <c r="H5117" s="28" t="s">
        <v>44</v>
      </c>
      <c r="I5117" s="29"/>
      <c r="J5117" s="25">
        <v>6</v>
      </c>
      <c r="K5117" s="30">
        <v>108.71</v>
      </c>
      <c r="L5117" s="17"/>
      <c r="M5117" s="29">
        <f t="shared" si="260"/>
        <v>0</v>
      </c>
      <c r="N5117" s="34">
        <f>0.06*L5117</f>
        <v>0</v>
      </c>
      <c r="O5117" s="32">
        <f>0.00011*L5117</f>
        <v>0</v>
      </c>
      <c r="P5117" s="36"/>
      <c r="Q5117" s="29" t="s">
        <v>17026</v>
      </c>
      <c r="R5117" s="29"/>
      <c r="S5117" s="26" t="str">
        <f>HYPERLINK("https://miland.ru/api/getInfo/image/2bb07347-9a00-11ec-a211-ac1f6b442185")</f>
        <v>https://miland.ru/api/getInfo/image/2bb07347-9a00-11ec-a211-ac1f6b442185</v>
      </c>
    </row>
    <row r="5118" spans="1:19" s="2" customFormat="1" ht="96.2" customHeight="1" outlineLevel="5">
      <c r="A5118" s="52">
        <v>4051</v>
      </c>
      <c r="B5118" s="26" t="s">
        <v>17027</v>
      </c>
      <c r="C5118" s="66" t="s">
        <v>17028</v>
      </c>
      <c r="D5118" s="66"/>
      <c r="E5118" s="66"/>
      <c r="F5118" s="66"/>
      <c r="G5118" s="27" t="s">
        <v>17029</v>
      </c>
      <c r="H5118" s="28" t="s">
        <v>44</v>
      </c>
      <c r="I5118" s="29"/>
      <c r="J5118" s="25">
        <v>6</v>
      </c>
      <c r="K5118" s="30">
        <v>108.71</v>
      </c>
      <c r="L5118" s="17"/>
      <c r="M5118" s="29">
        <f t="shared" si="260"/>
        <v>0</v>
      </c>
      <c r="N5118" s="31">
        <f>0.062*L5118</f>
        <v>0</v>
      </c>
      <c r="O5118" s="32">
        <f>0.00013*L5118</f>
        <v>0</v>
      </c>
      <c r="P5118" s="36"/>
      <c r="Q5118" s="29" t="s">
        <v>17030</v>
      </c>
      <c r="R5118" s="29"/>
      <c r="S5118" s="26" t="str">
        <f>HYPERLINK("https://miland.ru/api/getInfo/image/41a18f1f-fc55-11ec-a213-ac1f6b442185")</f>
        <v>https://miland.ru/api/getInfo/image/41a18f1f-fc55-11ec-a213-ac1f6b442185</v>
      </c>
    </row>
    <row r="5119" spans="1:19" s="2" customFormat="1" ht="96.2" customHeight="1" outlineLevel="5">
      <c r="A5119" s="52">
        <v>4052</v>
      </c>
      <c r="B5119" s="26" t="s">
        <v>17031</v>
      </c>
      <c r="C5119" s="66" t="s">
        <v>17032</v>
      </c>
      <c r="D5119" s="66"/>
      <c r="E5119" s="66"/>
      <c r="F5119" s="66"/>
      <c r="G5119" s="27" t="s">
        <v>17033</v>
      </c>
      <c r="H5119" s="28" t="s">
        <v>44</v>
      </c>
      <c r="I5119" s="29"/>
      <c r="J5119" s="25">
        <v>6</v>
      </c>
      <c r="K5119" s="30">
        <v>108.71</v>
      </c>
      <c r="L5119" s="17"/>
      <c r="M5119" s="29">
        <f t="shared" si="260"/>
        <v>0</v>
      </c>
      <c r="N5119" s="34">
        <f>0.06*L5119</f>
        <v>0</v>
      </c>
      <c r="O5119" s="32">
        <f>0.00011*L5119</f>
        <v>0</v>
      </c>
      <c r="P5119" s="36"/>
      <c r="Q5119" s="29" t="s">
        <v>17034</v>
      </c>
      <c r="R5119" s="29"/>
      <c r="S5119" s="26" t="str">
        <f>HYPERLINK("https://miland.ru/api/getInfo/image/2ed5fca1-63cf-11e8-84c9-5cf3fc4a2490")</f>
        <v>https://miland.ru/api/getInfo/image/2ed5fca1-63cf-11e8-84c9-5cf3fc4a2490</v>
      </c>
    </row>
    <row r="5120" spans="1:19" s="1" customFormat="1" ht="12" customHeight="1" outlineLevel="4">
      <c r="A5120" s="64" t="s">
        <v>17035</v>
      </c>
      <c r="B5120" s="64"/>
      <c r="C5120" s="64"/>
      <c r="D5120" s="64"/>
      <c r="E5120" s="64"/>
      <c r="F5120" s="64"/>
      <c r="G5120" s="8"/>
      <c r="H5120" s="12"/>
      <c r="I5120" s="2"/>
      <c r="J5120" s="2"/>
      <c r="K5120" s="13"/>
      <c r="L5120" s="2"/>
      <c r="M5120" s="2"/>
      <c r="N5120" s="2"/>
      <c r="O5120" s="2"/>
      <c r="P5120" s="2"/>
      <c r="Q5120" s="2"/>
      <c r="R5120" s="2"/>
      <c r="S5120" s="2"/>
    </row>
    <row r="5121" spans="1:19" s="2" customFormat="1" ht="96.2" customHeight="1" outlineLevel="5">
      <c r="A5121" s="52">
        <v>4053</v>
      </c>
      <c r="B5121" s="26" t="s">
        <v>17036</v>
      </c>
      <c r="C5121" s="66" t="s">
        <v>17037</v>
      </c>
      <c r="D5121" s="66"/>
      <c r="E5121" s="66"/>
      <c r="F5121" s="66"/>
      <c r="G5121" s="27" t="s">
        <v>17038</v>
      </c>
      <c r="H5121" s="33">
        <v>1</v>
      </c>
      <c r="I5121" s="29"/>
      <c r="J5121" s="25">
        <v>1</v>
      </c>
      <c r="K5121" s="30">
        <v>296.62</v>
      </c>
      <c r="L5121" s="17"/>
      <c r="M5121" s="29">
        <f>K5121*L5121</f>
        <v>0</v>
      </c>
      <c r="N5121" s="31">
        <f>0.198*L5121</f>
        <v>0</v>
      </c>
      <c r="O5121" s="32">
        <f>0.00116*L5121</f>
        <v>0</v>
      </c>
      <c r="P5121" s="36"/>
      <c r="Q5121" s="29" t="s">
        <v>17039</v>
      </c>
      <c r="R5121" s="29" t="s">
        <v>611</v>
      </c>
      <c r="S5121" s="26" t="str">
        <f>HYPERLINK("https://miland.ru/api/getInfo/image/843ac72b-35b1-11ed-a216-ac1f6b442185")</f>
        <v>https://miland.ru/api/getInfo/image/843ac72b-35b1-11ed-a216-ac1f6b442185</v>
      </c>
    </row>
    <row r="5122" spans="1:19" s="1" customFormat="1" ht="12" customHeight="1" outlineLevel="3">
      <c r="A5122" s="64" t="s">
        <v>17040</v>
      </c>
      <c r="B5122" s="64"/>
      <c r="C5122" s="64"/>
      <c r="D5122" s="64"/>
      <c r="E5122" s="64"/>
      <c r="F5122" s="64"/>
      <c r="G5122" s="8"/>
      <c r="H5122" s="12"/>
      <c r="I5122" s="2"/>
      <c r="J5122" s="2"/>
      <c r="K5122" s="13"/>
      <c r="L5122" s="2"/>
      <c r="M5122" s="2"/>
      <c r="N5122" s="2"/>
      <c r="O5122" s="2"/>
      <c r="P5122" s="2"/>
      <c r="Q5122" s="2"/>
      <c r="R5122" s="2"/>
      <c r="S5122" s="2"/>
    </row>
    <row r="5123" spans="1:19" s="1" customFormat="1" ht="12" customHeight="1" outlineLevel="4">
      <c r="A5123" s="64" t="s">
        <v>17041</v>
      </c>
      <c r="B5123" s="64"/>
      <c r="C5123" s="64"/>
      <c r="D5123" s="64"/>
      <c r="E5123" s="64"/>
      <c r="F5123" s="64"/>
      <c r="G5123" s="8"/>
      <c r="H5123" s="12"/>
      <c r="I5123" s="2"/>
      <c r="J5123" s="2"/>
      <c r="K5123" s="13"/>
      <c r="L5123" s="2"/>
      <c r="M5123" s="2"/>
      <c r="N5123" s="2"/>
      <c r="O5123" s="2"/>
      <c r="P5123" s="2"/>
      <c r="Q5123" s="2"/>
      <c r="R5123" s="2"/>
      <c r="S5123" s="2"/>
    </row>
    <row r="5124" spans="1:19" s="2" customFormat="1" ht="96.2" customHeight="1" outlineLevel="5">
      <c r="A5124" s="52">
        <v>4054</v>
      </c>
      <c r="B5124" s="26" t="s">
        <v>17042</v>
      </c>
      <c r="C5124" s="66" t="s">
        <v>17043</v>
      </c>
      <c r="D5124" s="66"/>
      <c r="E5124" s="66"/>
      <c r="F5124" s="66"/>
      <c r="G5124" s="27" t="s">
        <v>17044</v>
      </c>
      <c r="H5124" s="33">
        <v>21</v>
      </c>
      <c r="I5124" s="29"/>
      <c r="J5124" s="25">
        <v>1</v>
      </c>
      <c r="K5124" s="30">
        <v>629.76</v>
      </c>
      <c r="L5124" s="17"/>
      <c r="M5124" s="29">
        <f>K5124*L5124</f>
        <v>0</v>
      </c>
      <c r="N5124" s="31">
        <f>0.375*L5124</f>
        <v>0</v>
      </c>
      <c r="O5124" s="32">
        <f>0.00101*L5124</f>
        <v>0</v>
      </c>
      <c r="P5124" s="36"/>
      <c r="Q5124" s="29" t="s">
        <v>17045</v>
      </c>
      <c r="R5124" s="29" t="s">
        <v>611</v>
      </c>
      <c r="S5124" s="26" t="str">
        <f>HYPERLINK("https://miland.ru/api/getInfo/image/b5f93933-cd39-11ed-a230-00155d82e902")</f>
        <v>https://miland.ru/api/getInfo/image/b5f93933-cd39-11ed-a230-00155d82e902</v>
      </c>
    </row>
    <row r="5125" spans="1:19" s="1" customFormat="1" ht="12" customHeight="1" outlineLevel="2">
      <c r="A5125" s="63" t="s">
        <v>17046</v>
      </c>
      <c r="B5125" s="63"/>
      <c r="C5125" s="63"/>
      <c r="D5125" s="63"/>
      <c r="E5125" s="63"/>
      <c r="F5125" s="63"/>
      <c r="G5125" s="8"/>
      <c r="H5125" s="12"/>
      <c r="I5125" s="2"/>
      <c r="J5125" s="2"/>
      <c r="K5125" s="13"/>
      <c r="L5125" s="2"/>
      <c r="M5125" s="2"/>
      <c r="N5125" s="2"/>
      <c r="O5125" s="2"/>
      <c r="P5125" s="2"/>
      <c r="Q5125" s="2"/>
      <c r="R5125" s="2"/>
      <c r="S5125" s="2"/>
    </row>
    <row r="5126" spans="1:19" s="1" customFormat="1" ht="12" customHeight="1" outlineLevel="3">
      <c r="A5126" s="64" t="s">
        <v>17047</v>
      </c>
      <c r="B5126" s="64"/>
      <c r="C5126" s="64"/>
      <c r="D5126" s="64"/>
      <c r="E5126" s="64"/>
      <c r="F5126" s="64"/>
      <c r="G5126" s="8"/>
      <c r="H5126" s="12"/>
      <c r="I5126" s="2"/>
      <c r="J5126" s="2"/>
      <c r="K5126" s="13"/>
      <c r="L5126" s="2"/>
      <c r="M5126" s="2"/>
      <c r="N5126" s="2"/>
      <c r="O5126" s="2"/>
      <c r="P5126" s="2"/>
      <c r="Q5126" s="2"/>
      <c r="R5126" s="2"/>
      <c r="S5126" s="2"/>
    </row>
    <row r="5127" spans="1:19" s="2" customFormat="1" ht="96.2" customHeight="1" outlineLevel="4">
      <c r="A5127" s="52">
        <v>4055</v>
      </c>
      <c r="B5127" s="26" t="s">
        <v>17048</v>
      </c>
      <c r="C5127" s="66" t="s">
        <v>17049</v>
      </c>
      <c r="D5127" s="66"/>
      <c r="E5127" s="66"/>
      <c r="F5127" s="66"/>
      <c r="G5127" s="27" t="s">
        <v>17050</v>
      </c>
      <c r="H5127" s="33">
        <v>16</v>
      </c>
      <c r="I5127" s="29"/>
      <c r="J5127" s="25">
        <v>1</v>
      </c>
      <c r="K5127" s="37">
        <v>3257.53</v>
      </c>
      <c r="L5127" s="17"/>
      <c r="M5127" s="29">
        <f>K5127*L5127</f>
        <v>0</v>
      </c>
      <c r="N5127" s="31">
        <f>1.255*L5127</f>
        <v>0</v>
      </c>
      <c r="O5127" s="32">
        <f>0.01989*L5127</f>
        <v>0</v>
      </c>
      <c r="P5127" s="36"/>
      <c r="Q5127" s="29" t="s">
        <v>17051</v>
      </c>
      <c r="R5127" s="29" t="s">
        <v>611</v>
      </c>
      <c r="S5127" s="26" t="str">
        <f>HYPERLINK("https://miland.ru/api/getInfo/image/15043b75-520a-11ee-a244-00155d82e902")</f>
        <v>https://miland.ru/api/getInfo/image/15043b75-520a-11ee-a244-00155d82e902</v>
      </c>
    </row>
    <row r="5128" spans="1:19" s="2" customFormat="1" ht="96.2" customHeight="1" outlineLevel="4">
      <c r="A5128" s="52">
        <v>4056</v>
      </c>
      <c r="B5128" s="26" t="s">
        <v>17052</v>
      </c>
      <c r="C5128" s="66" t="s">
        <v>17053</v>
      </c>
      <c r="D5128" s="66"/>
      <c r="E5128" s="66"/>
      <c r="F5128" s="66"/>
      <c r="G5128" s="27" t="s">
        <v>17054</v>
      </c>
      <c r="H5128" s="33">
        <v>9</v>
      </c>
      <c r="I5128" s="29"/>
      <c r="J5128" s="25">
        <v>1</v>
      </c>
      <c r="K5128" s="37">
        <v>2604.6</v>
      </c>
      <c r="L5128" s="17"/>
      <c r="M5128" s="29">
        <f>K5128*L5128</f>
        <v>0</v>
      </c>
      <c r="N5128" s="31">
        <f>1.112*L5128</f>
        <v>0</v>
      </c>
      <c r="O5128" s="32">
        <f>0.02141*L5128</f>
        <v>0</v>
      </c>
      <c r="P5128" s="36"/>
      <c r="Q5128" s="29" t="s">
        <v>17055</v>
      </c>
      <c r="R5128" s="29" t="s">
        <v>611</v>
      </c>
      <c r="S5128" s="26" t="str">
        <f>HYPERLINK("https://miland.ru/api/getInfo/image/52a95aaa-5209-11ee-a244-00155d82e902")</f>
        <v>https://miland.ru/api/getInfo/image/52a95aaa-5209-11ee-a244-00155d82e902</v>
      </c>
    </row>
    <row r="5129" spans="1:19" s="1" customFormat="1" ht="12" customHeight="1" outlineLevel="3">
      <c r="A5129" s="64" t="s">
        <v>17056</v>
      </c>
      <c r="B5129" s="64"/>
      <c r="C5129" s="64"/>
      <c r="D5129" s="64"/>
      <c r="E5129" s="64"/>
      <c r="F5129" s="64"/>
      <c r="G5129" s="8"/>
      <c r="H5129" s="12"/>
      <c r="I5129" s="2"/>
      <c r="J5129" s="2"/>
      <c r="K5129" s="13"/>
      <c r="L5129" s="2"/>
      <c r="M5129" s="2"/>
      <c r="N5129" s="2"/>
      <c r="O5129" s="2"/>
      <c r="P5129" s="2"/>
      <c r="Q5129" s="2"/>
      <c r="R5129" s="2"/>
      <c r="S5129" s="2"/>
    </row>
    <row r="5130" spans="1:19" s="2" customFormat="1" ht="96.2" customHeight="1" outlineLevel="4">
      <c r="A5130" s="53">
        <v>4057</v>
      </c>
      <c r="B5130" s="10" t="s">
        <v>17057</v>
      </c>
      <c r="C5130" s="65" t="s">
        <v>17058</v>
      </c>
      <c r="D5130" s="65"/>
      <c r="E5130" s="65"/>
      <c r="F5130" s="65"/>
      <c r="G5130" s="11" t="s">
        <v>17059</v>
      </c>
      <c r="H5130" s="14">
        <v>160</v>
      </c>
      <c r="I5130" s="15"/>
      <c r="J5130" s="9">
        <v>1</v>
      </c>
      <c r="K5130" s="16">
        <v>789.94</v>
      </c>
      <c r="L5130" s="17"/>
      <c r="M5130" s="15">
        <f>K5130*L5130</f>
        <v>0</v>
      </c>
      <c r="N5130" s="18">
        <f>0.571*L5130</f>
        <v>0</v>
      </c>
      <c r="O5130" s="19">
        <f>0.00614*L5130</f>
        <v>0</v>
      </c>
      <c r="P5130" s="24" t="s">
        <v>26</v>
      </c>
      <c r="Q5130" s="15" t="s">
        <v>17060</v>
      </c>
      <c r="R5130" s="15"/>
      <c r="S5130" s="10"/>
    </row>
    <row r="5131" spans="1:19" s="2" customFormat="1" ht="96.2" customHeight="1" outlineLevel="4">
      <c r="A5131" s="52">
        <v>4058</v>
      </c>
      <c r="B5131" s="26" t="s">
        <v>17061</v>
      </c>
      <c r="C5131" s="66" t="s">
        <v>17062</v>
      </c>
      <c r="D5131" s="66"/>
      <c r="E5131" s="66"/>
      <c r="F5131" s="66"/>
      <c r="G5131" s="27" t="s">
        <v>17063</v>
      </c>
      <c r="H5131" s="28" t="s">
        <v>44</v>
      </c>
      <c r="I5131" s="29"/>
      <c r="J5131" s="25">
        <v>1</v>
      </c>
      <c r="K5131" s="30">
        <v>875.83</v>
      </c>
      <c r="L5131" s="17"/>
      <c r="M5131" s="29">
        <f>K5131*L5131</f>
        <v>0</v>
      </c>
      <c r="N5131" s="31">
        <f>1.028*L5131</f>
        <v>0</v>
      </c>
      <c r="O5131" s="32">
        <f>0.00848*L5131</f>
        <v>0</v>
      </c>
      <c r="P5131" s="36"/>
      <c r="Q5131" s="29" t="s">
        <v>17064</v>
      </c>
      <c r="R5131" s="29"/>
      <c r="S5131" s="26" t="str">
        <f>HYPERLINK("https://miland.ru/api/getInfo/image/3d1d3f91-2915-11e8-ba06-5cf3fc4a2490")</f>
        <v>https://miland.ru/api/getInfo/image/3d1d3f91-2915-11e8-ba06-5cf3fc4a2490</v>
      </c>
    </row>
    <row r="5132" spans="1:19" s="1" customFormat="1" ht="12" customHeight="1" outlineLevel="3">
      <c r="A5132" s="64" t="s">
        <v>17065</v>
      </c>
      <c r="B5132" s="64"/>
      <c r="C5132" s="64"/>
      <c r="D5132" s="64"/>
      <c r="E5132" s="64"/>
      <c r="F5132" s="64"/>
      <c r="G5132" s="8"/>
      <c r="H5132" s="12"/>
      <c r="I5132" s="2"/>
      <c r="J5132" s="2"/>
      <c r="K5132" s="13"/>
      <c r="L5132" s="2"/>
      <c r="M5132" s="2"/>
      <c r="N5132" s="2"/>
      <c r="O5132" s="2"/>
      <c r="P5132" s="2"/>
      <c r="Q5132" s="2"/>
      <c r="R5132" s="2"/>
      <c r="S5132" s="2"/>
    </row>
    <row r="5133" spans="1:19" s="2" customFormat="1" ht="96.2" customHeight="1" outlineLevel="4">
      <c r="A5133" s="53">
        <v>4059</v>
      </c>
      <c r="B5133" s="10" t="s">
        <v>17066</v>
      </c>
      <c r="C5133" s="65" t="s">
        <v>17067</v>
      </c>
      <c r="D5133" s="65"/>
      <c r="E5133" s="65"/>
      <c r="F5133" s="65"/>
      <c r="G5133" s="11" t="s">
        <v>17068</v>
      </c>
      <c r="H5133" s="14">
        <v>232</v>
      </c>
      <c r="I5133" s="15"/>
      <c r="J5133" s="9">
        <v>1</v>
      </c>
      <c r="K5133" s="16">
        <v>939.45</v>
      </c>
      <c r="L5133" s="17"/>
      <c r="M5133" s="15">
        <f t="shared" ref="M5133:M5144" si="261">K5133*L5133</f>
        <v>0</v>
      </c>
      <c r="N5133" s="23">
        <f>0.67*L5133</f>
        <v>0</v>
      </c>
      <c r="O5133" s="19">
        <f>0.00142*L5133</f>
        <v>0</v>
      </c>
      <c r="P5133" s="24" t="s">
        <v>26</v>
      </c>
      <c r="Q5133" s="15" t="s">
        <v>17069</v>
      </c>
      <c r="R5133" s="15"/>
      <c r="S5133" s="10"/>
    </row>
    <row r="5134" spans="1:19" s="2" customFormat="1" ht="96.2" customHeight="1" outlineLevel="4">
      <c r="A5134" s="53">
        <v>4060</v>
      </c>
      <c r="B5134" s="10" t="s">
        <v>17070</v>
      </c>
      <c r="C5134" s="65" t="s">
        <v>17071</v>
      </c>
      <c r="D5134" s="65"/>
      <c r="E5134" s="65"/>
      <c r="F5134" s="65"/>
      <c r="G5134" s="11" t="s">
        <v>17072</v>
      </c>
      <c r="H5134" s="14">
        <v>252</v>
      </c>
      <c r="I5134" s="15"/>
      <c r="J5134" s="9">
        <v>1</v>
      </c>
      <c r="K5134" s="16">
        <v>939.45</v>
      </c>
      <c r="L5134" s="17"/>
      <c r="M5134" s="15">
        <f t="shared" si="261"/>
        <v>0</v>
      </c>
      <c r="N5134" s="18">
        <f>0.683*L5134</f>
        <v>0</v>
      </c>
      <c r="O5134" s="20">
        <f>0.0013*L5134</f>
        <v>0</v>
      </c>
      <c r="P5134" s="24" t="s">
        <v>26</v>
      </c>
      <c r="Q5134" s="15" t="s">
        <v>17073</v>
      </c>
      <c r="R5134" s="15"/>
      <c r="S5134" s="10"/>
    </row>
    <row r="5135" spans="1:19" s="2" customFormat="1" ht="96.2" customHeight="1" outlineLevel="4">
      <c r="A5135" s="53">
        <v>4061</v>
      </c>
      <c r="B5135" s="10" t="s">
        <v>17074</v>
      </c>
      <c r="C5135" s="65" t="s">
        <v>17075</v>
      </c>
      <c r="D5135" s="65"/>
      <c r="E5135" s="65"/>
      <c r="F5135" s="65"/>
      <c r="G5135" s="11" t="s">
        <v>17076</v>
      </c>
      <c r="H5135" s="14">
        <v>232</v>
      </c>
      <c r="I5135" s="15"/>
      <c r="J5135" s="9">
        <v>1</v>
      </c>
      <c r="K5135" s="16">
        <v>939.45</v>
      </c>
      <c r="L5135" s="17"/>
      <c r="M5135" s="15">
        <f t="shared" si="261"/>
        <v>0</v>
      </c>
      <c r="N5135" s="18">
        <f>0.658*L5135</f>
        <v>0</v>
      </c>
      <c r="O5135" s="19">
        <f>0.00136*L5135</f>
        <v>0</v>
      </c>
      <c r="P5135" s="24" t="s">
        <v>26</v>
      </c>
      <c r="Q5135" s="15" t="s">
        <v>17077</v>
      </c>
      <c r="R5135" s="15"/>
      <c r="S5135" s="10"/>
    </row>
    <row r="5136" spans="1:19" s="2" customFormat="1" ht="96.2" customHeight="1" outlineLevel="4">
      <c r="A5136" s="53">
        <v>4062</v>
      </c>
      <c r="B5136" s="10" t="s">
        <v>17078</v>
      </c>
      <c r="C5136" s="65" t="s">
        <v>17079</v>
      </c>
      <c r="D5136" s="65"/>
      <c r="E5136" s="65"/>
      <c r="F5136" s="65"/>
      <c r="G5136" s="11" t="s">
        <v>17080</v>
      </c>
      <c r="H5136" s="14">
        <v>252</v>
      </c>
      <c r="I5136" s="15"/>
      <c r="J5136" s="9">
        <v>1</v>
      </c>
      <c r="K5136" s="16">
        <v>939.45</v>
      </c>
      <c r="L5136" s="17"/>
      <c r="M5136" s="15">
        <f t="shared" si="261"/>
        <v>0</v>
      </c>
      <c r="N5136" s="55">
        <f>0.7*L5136</f>
        <v>0</v>
      </c>
      <c r="O5136" s="19">
        <f>0.00125*L5136</f>
        <v>0</v>
      </c>
      <c r="P5136" s="24" t="s">
        <v>26</v>
      </c>
      <c r="Q5136" s="15" t="s">
        <v>17081</v>
      </c>
      <c r="R5136" s="15"/>
      <c r="S5136" s="10"/>
    </row>
    <row r="5137" spans="1:19" s="2" customFormat="1" ht="96.2" customHeight="1" outlineLevel="4">
      <c r="A5137" s="52">
        <v>4063</v>
      </c>
      <c r="B5137" s="26" t="s">
        <v>17082</v>
      </c>
      <c r="C5137" s="66" t="s">
        <v>17083</v>
      </c>
      <c r="D5137" s="66"/>
      <c r="E5137" s="66"/>
      <c r="F5137" s="66"/>
      <c r="G5137" s="27" t="s">
        <v>17084</v>
      </c>
      <c r="H5137" s="33">
        <v>463</v>
      </c>
      <c r="I5137" s="29"/>
      <c r="J5137" s="25">
        <v>1</v>
      </c>
      <c r="K5137" s="30">
        <v>962.42</v>
      </c>
      <c r="L5137" s="17"/>
      <c r="M5137" s="29">
        <f t="shared" si="261"/>
        <v>0</v>
      </c>
      <c r="N5137" s="31">
        <f>0.684*L5137</f>
        <v>0</v>
      </c>
      <c r="O5137" s="32">
        <f>0.00137*L5137</f>
        <v>0</v>
      </c>
      <c r="P5137" s="36"/>
      <c r="Q5137" s="29" t="s">
        <v>17085</v>
      </c>
      <c r="R5137" s="29"/>
      <c r="S5137" s="26" t="str">
        <f>HYPERLINK("https://miland.ru/api/getInfo/image/2ed10e3c-0081-11ef-a25d-00155d82e908")</f>
        <v>https://miland.ru/api/getInfo/image/2ed10e3c-0081-11ef-a25d-00155d82e908</v>
      </c>
    </row>
    <row r="5138" spans="1:19" s="2" customFormat="1" ht="96.2" customHeight="1" outlineLevel="4">
      <c r="A5138" s="52">
        <v>4064</v>
      </c>
      <c r="B5138" s="26" t="s">
        <v>17086</v>
      </c>
      <c r="C5138" s="66" t="s">
        <v>17087</v>
      </c>
      <c r="D5138" s="66"/>
      <c r="E5138" s="66"/>
      <c r="F5138" s="66"/>
      <c r="G5138" s="27" t="s">
        <v>17088</v>
      </c>
      <c r="H5138" s="33">
        <v>429</v>
      </c>
      <c r="I5138" s="29"/>
      <c r="J5138" s="25">
        <v>1</v>
      </c>
      <c r="K5138" s="30">
        <v>962.42</v>
      </c>
      <c r="L5138" s="17"/>
      <c r="M5138" s="29">
        <f t="shared" si="261"/>
        <v>0</v>
      </c>
      <c r="N5138" s="31">
        <f>0.673*L5138</f>
        <v>0</v>
      </c>
      <c r="O5138" s="35">
        <f>0.0014*L5138</f>
        <v>0</v>
      </c>
      <c r="P5138" s="36"/>
      <c r="Q5138" s="29" t="s">
        <v>17089</v>
      </c>
      <c r="R5138" s="29"/>
      <c r="S5138" s="26" t="str">
        <f>HYPERLINK("https://miland.ru/api/getInfo/image/8f7c2441-0080-11ef-a25d-00155d82e908")</f>
        <v>https://miland.ru/api/getInfo/image/8f7c2441-0080-11ef-a25d-00155d82e908</v>
      </c>
    </row>
    <row r="5139" spans="1:19" s="2" customFormat="1" ht="96.2" customHeight="1" outlineLevel="4">
      <c r="A5139" s="52">
        <v>4065</v>
      </c>
      <c r="B5139" s="26" t="s">
        <v>17090</v>
      </c>
      <c r="C5139" s="66" t="s">
        <v>17091</v>
      </c>
      <c r="D5139" s="66"/>
      <c r="E5139" s="66"/>
      <c r="F5139" s="66"/>
      <c r="G5139" s="27" t="s">
        <v>17092</v>
      </c>
      <c r="H5139" s="33">
        <v>428</v>
      </c>
      <c r="I5139" s="29"/>
      <c r="J5139" s="25">
        <v>1</v>
      </c>
      <c r="K5139" s="30">
        <v>962.42</v>
      </c>
      <c r="L5139" s="17"/>
      <c r="M5139" s="29">
        <f t="shared" si="261"/>
        <v>0</v>
      </c>
      <c r="N5139" s="31">
        <f>0.686*L5139</f>
        <v>0</v>
      </c>
      <c r="O5139" s="32">
        <f>0.00136*L5139</f>
        <v>0</v>
      </c>
      <c r="P5139" s="36"/>
      <c r="Q5139" s="29" t="s">
        <v>17093</v>
      </c>
      <c r="R5139" s="29"/>
      <c r="S5139" s="26" t="str">
        <f>HYPERLINK("https://miland.ru/api/getInfo/image/458ce408-0081-11ef-a25d-00155d82e908")</f>
        <v>https://miland.ru/api/getInfo/image/458ce408-0081-11ef-a25d-00155d82e908</v>
      </c>
    </row>
    <row r="5140" spans="1:19" s="2" customFormat="1" ht="96.2" customHeight="1" outlineLevel="4">
      <c r="A5140" s="52">
        <v>4066</v>
      </c>
      <c r="B5140" s="26" t="s">
        <v>17094</v>
      </c>
      <c r="C5140" s="66" t="s">
        <v>17095</v>
      </c>
      <c r="D5140" s="66"/>
      <c r="E5140" s="66"/>
      <c r="F5140" s="66"/>
      <c r="G5140" s="27" t="s">
        <v>17096</v>
      </c>
      <c r="H5140" s="33">
        <v>427</v>
      </c>
      <c r="I5140" s="29"/>
      <c r="J5140" s="25">
        <v>1</v>
      </c>
      <c r="K5140" s="30">
        <v>962.42</v>
      </c>
      <c r="L5140" s="17"/>
      <c r="M5140" s="29">
        <f t="shared" si="261"/>
        <v>0</v>
      </c>
      <c r="N5140" s="31">
        <f>0.683*L5140</f>
        <v>0</v>
      </c>
      <c r="O5140" s="32">
        <f>0.00132*L5140</f>
        <v>0</v>
      </c>
      <c r="P5140" s="36"/>
      <c r="Q5140" s="29" t="s">
        <v>17097</v>
      </c>
      <c r="R5140" s="29"/>
      <c r="S5140" s="26" t="str">
        <f>HYPERLINK("https://miland.ru/api/getInfo/image/1bd3ab9f-0081-11ef-a25d-00155d82e908")</f>
        <v>https://miland.ru/api/getInfo/image/1bd3ab9f-0081-11ef-a25d-00155d82e908</v>
      </c>
    </row>
    <row r="5141" spans="1:19" s="2" customFormat="1" ht="96.2" customHeight="1" outlineLevel="4">
      <c r="A5141" s="52">
        <v>4067</v>
      </c>
      <c r="B5141" s="26" t="s">
        <v>17098</v>
      </c>
      <c r="C5141" s="66" t="s">
        <v>17099</v>
      </c>
      <c r="D5141" s="66"/>
      <c r="E5141" s="66"/>
      <c r="F5141" s="66"/>
      <c r="G5141" s="27" t="s">
        <v>17100</v>
      </c>
      <c r="H5141" s="33">
        <v>427</v>
      </c>
      <c r="I5141" s="29"/>
      <c r="J5141" s="25">
        <v>1</v>
      </c>
      <c r="K5141" s="30">
        <v>844.61</v>
      </c>
      <c r="L5141" s="17"/>
      <c r="M5141" s="29">
        <f t="shared" si="261"/>
        <v>0</v>
      </c>
      <c r="N5141" s="31">
        <f>0.692*L5141</f>
        <v>0</v>
      </c>
      <c r="O5141" s="32">
        <f>0.00131*L5141</f>
        <v>0</v>
      </c>
      <c r="P5141" s="36"/>
      <c r="Q5141" s="29" t="s">
        <v>17101</v>
      </c>
      <c r="R5141" s="29"/>
      <c r="S5141" s="26" t="str">
        <f>HYPERLINK("https://miland.ru/api/getInfo/image/b6b30361-e988-11ed-a233-00155d82e902")</f>
        <v>https://miland.ru/api/getInfo/image/b6b30361-e988-11ed-a233-00155d82e902</v>
      </c>
    </row>
    <row r="5142" spans="1:19" s="2" customFormat="1" ht="96.2" customHeight="1" outlineLevel="4">
      <c r="A5142" s="52">
        <v>4068</v>
      </c>
      <c r="B5142" s="26" t="s">
        <v>17102</v>
      </c>
      <c r="C5142" s="66" t="s">
        <v>17103</v>
      </c>
      <c r="D5142" s="66"/>
      <c r="E5142" s="66"/>
      <c r="F5142" s="66"/>
      <c r="G5142" s="27" t="s">
        <v>17104</v>
      </c>
      <c r="H5142" s="33">
        <v>120</v>
      </c>
      <c r="I5142" s="29"/>
      <c r="J5142" s="25">
        <v>1</v>
      </c>
      <c r="K5142" s="30">
        <v>476.45</v>
      </c>
      <c r="L5142" s="17"/>
      <c r="M5142" s="29">
        <f t="shared" si="261"/>
        <v>0</v>
      </c>
      <c r="N5142" s="31">
        <f>0.516*L5142</f>
        <v>0</v>
      </c>
      <c r="O5142" s="32">
        <f>0.00087*L5142</f>
        <v>0</v>
      </c>
      <c r="P5142" s="36"/>
      <c r="Q5142" s="29" t="s">
        <v>17105</v>
      </c>
      <c r="R5142" s="29"/>
      <c r="S5142" s="26" t="str">
        <f>HYPERLINK("https://miland.ru/api/getInfo/image/6cc1db08-e97e-11ed-a233-00155d82e902")</f>
        <v>https://miland.ru/api/getInfo/image/6cc1db08-e97e-11ed-a233-00155d82e902</v>
      </c>
    </row>
    <row r="5143" spans="1:19" s="2" customFormat="1" ht="96.2" customHeight="1" outlineLevel="4">
      <c r="A5143" s="52">
        <v>4069</v>
      </c>
      <c r="B5143" s="26" t="s">
        <v>17106</v>
      </c>
      <c r="C5143" s="66" t="s">
        <v>17107</v>
      </c>
      <c r="D5143" s="66"/>
      <c r="E5143" s="66"/>
      <c r="F5143" s="66"/>
      <c r="G5143" s="27" t="s">
        <v>17108</v>
      </c>
      <c r="H5143" s="33">
        <v>477</v>
      </c>
      <c r="I5143" s="29"/>
      <c r="J5143" s="25">
        <v>1</v>
      </c>
      <c r="K5143" s="30">
        <v>511.67</v>
      </c>
      <c r="L5143" s="17"/>
      <c r="M5143" s="29">
        <f t="shared" si="261"/>
        <v>0</v>
      </c>
      <c r="N5143" s="41">
        <f>0.5*L5143</f>
        <v>0</v>
      </c>
      <c r="O5143" s="32">
        <f>0.00103*L5143</f>
        <v>0</v>
      </c>
      <c r="P5143" s="36"/>
      <c r="Q5143" s="29" t="s">
        <v>17109</v>
      </c>
      <c r="R5143" s="29"/>
      <c r="S5143" s="26" t="str">
        <f>HYPERLINK("https://miland.ru/api/getInfo/image/ce395071-e982-11ed-a233-00155d82e902")</f>
        <v>https://miland.ru/api/getInfo/image/ce395071-e982-11ed-a233-00155d82e902</v>
      </c>
    </row>
    <row r="5144" spans="1:19" s="2" customFormat="1" ht="96.2" customHeight="1" outlineLevel="4">
      <c r="A5144" s="52">
        <v>4070</v>
      </c>
      <c r="B5144" s="26" t="s">
        <v>17110</v>
      </c>
      <c r="C5144" s="66" t="s">
        <v>17111</v>
      </c>
      <c r="D5144" s="66"/>
      <c r="E5144" s="66"/>
      <c r="F5144" s="66"/>
      <c r="G5144" s="27" t="s">
        <v>17112</v>
      </c>
      <c r="H5144" s="28" t="s">
        <v>44</v>
      </c>
      <c r="I5144" s="29"/>
      <c r="J5144" s="25">
        <v>1</v>
      </c>
      <c r="K5144" s="30">
        <v>962.42</v>
      </c>
      <c r="L5144" s="17"/>
      <c r="M5144" s="29">
        <f t="shared" si="261"/>
        <v>0</v>
      </c>
      <c r="N5144" s="31">
        <f>0.688*L5144</f>
        <v>0</v>
      </c>
      <c r="O5144" s="32">
        <f>0.00137*L5144</f>
        <v>0</v>
      </c>
      <c r="P5144" s="36"/>
      <c r="Q5144" s="29" t="s">
        <v>17113</v>
      </c>
      <c r="R5144" s="29"/>
      <c r="S5144" s="26" t="str">
        <f>HYPERLINK("https://miland.ru/api/getInfo/image/6265adb4-1b22-11ea-a237-ac1f6b442184")</f>
        <v>https://miland.ru/api/getInfo/image/6265adb4-1b22-11ea-a237-ac1f6b442184</v>
      </c>
    </row>
    <row r="5145" spans="1:19" s="1" customFormat="1" ht="12" customHeight="1" outlineLevel="3">
      <c r="A5145" s="64" t="s">
        <v>17114</v>
      </c>
      <c r="B5145" s="64"/>
      <c r="C5145" s="64"/>
      <c r="D5145" s="64"/>
      <c r="E5145" s="64"/>
      <c r="F5145" s="64"/>
      <c r="G5145" s="8"/>
      <c r="H5145" s="12"/>
      <c r="I5145" s="2"/>
      <c r="J5145" s="2"/>
      <c r="K5145" s="13"/>
      <c r="L5145" s="2"/>
      <c r="M5145" s="2"/>
      <c r="N5145" s="2"/>
      <c r="O5145" s="2"/>
      <c r="P5145" s="2"/>
      <c r="Q5145" s="2"/>
      <c r="R5145" s="2"/>
      <c r="S5145" s="2"/>
    </row>
    <row r="5146" spans="1:19" s="2" customFormat="1" ht="96.2" customHeight="1" outlineLevel="4">
      <c r="A5146" s="53">
        <v>4071</v>
      </c>
      <c r="B5146" s="10" t="s">
        <v>17115</v>
      </c>
      <c r="C5146" s="65" t="s">
        <v>17116</v>
      </c>
      <c r="D5146" s="65"/>
      <c r="E5146" s="65"/>
      <c r="F5146" s="65"/>
      <c r="G5146" s="11" t="s">
        <v>17117</v>
      </c>
      <c r="H5146" s="14">
        <v>278</v>
      </c>
      <c r="I5146" s="15"/>
      <c r="J5146" s="9">
        <v>1</v>
      </c>
      <c r="K5146" s="16">
        <v>962.74</v>
      </c>
      <c r="L5146" s="17"/>
      <c r="M5146" s="15">
        <f t="shared" ref="M5146:M5160" si="262">K5146*L5146</f>
        <v>0</v>
      </c>
      <c r="N5146" s="18">
        <f>0.552*L5146</f>
        <v>0</v>
      </c>
      <c r="O5146" s="19">
        <f>0.00325*L5146</f>
        <v>0</v>
      </c>
      <c r="P5146" s="24" t="s">
        <v>26</v>
      </c>
      <c r="Q5146" s="15" t="s">
        <v>17118</v>
      </c>
      <c r="R5146" s="15"/>
      <c r="S5146" s="10"/>
    </row>
    <row r="5147" spans="1:19" s="2" customFormat="1" ht="96.2" customHeight="1" outlineLevel="4">
      <c r="A5147" s="52">
        <v>4072</v>
      </c>
      <c r="B5147" s="26" t="s">
        <v>17119</v>
      </c>
      <c r="C5147" s="66" t="s">
        <v>17120</v>
      </c>
      <c r="D5147" s="66"/>
      <c r="E5147" s="66"/>
      <c r="F5147" s="66"/>
      <c r="G5147" s="27" t="s">
        <v>17121</v>
      </c>
      <c r="H5147" s="33">
        <v>475</v>
      </c>
      <c r="I5147" s="29"/>
      <c r="J5147" s="25">
        <v>1</v>
      </c>
      <c r="K5147" s="37">
        <v>1754.33</v>
      </c>
      <c r="L5147" s="17"/>
      <c r="M5147" s="29">
        <f t="shared" si="262"/>
        <v>0</v>
      </c>
      <c r="N5147" s="31">
        <f>1.137*L5147</f>
        <v>0</v>
      </c>
      <c r="O5147" s="32">
        <f>0.00344*L5147</f>
        <v>0</v>
      </c>
      <c r="P5147" s="36"/>
      <c r="Q5147" s="29" t="s">
        <v>17122</v>
      </c>
      <c r="R5147" s="29"/>
      <c r="S5147" s="26" t="str">
        <f>HYPERLINK("https://miland.ru/api/getInfo/image/e8669421-0082-11ef-a25d-00155d82e908")</f>
        <v>https://miland.ru/api/getInfo/image/e8669421-0082-11ef-a25d-00155d82e908</v>
      </c>
    </row>
    <row r="5148" spans="1:19" s="2" customFormat="1" ht="96.2" customHeight="1" outlineLevel="4">
      <c r="A5148" s="52">
        <v>4073</v>
      </c>
      <c r="B5148" s="26" t="s">
        <v>17123</v>
      </c>
      <c r="C5148" s="66" t="s">
        <v>17124</v>
      </c>
      <c r="D5148" s="66"/>
      <c r="E5148" s="66"/>
      <c r="F5148" s="66"/>
      <c r="G5148" s="27" t="s">
        <v>17125</v>
      </c>
      <c r="H5148" s="28" t="s">
        <v>44</v>
      </c>
      <c r="I5148" s="29"/>
      <c r="J5148" s="25">
        <v>1</v>
      </c>
      <c r="K5148" s="37">
        <v>1656.87</v>
      </c>
      <c r="L5148" s="17"/>
      <c r="M5148" s="29">
        <f t="shared" si="262"/>
        <v>0</v>
      </c>
      <c r="N5148" s="31">
        <f>0.759*L5148</f>
        <v>0</v>
      </c>
      <c r="O5148" s="32">
        <f>0.00234*L5148</f>
        <v>0</v>
      </c>
      <c r="P5148" s="36"/>
      <c r="Q5148" s="29" t="s">
        <v>17126</v>
      </c>
      <c r="R5148" s="29"/>
      <c r="S5148" s="26" t="str">
        <f>HYPERLINK("https://miland.ru/api/getInfo/image/d3173fe4-0082-11ef-a25d-00155d82e908")</f>
        <v>https://miland.ru/api/getInfo/image/d3173fe4-0082-11ef-a25d-00155d82e908</v>
      </c>
    </row>
    <row r="5149" spans="1:19" s="2" customFormat="1" ht="96.2" customHeight="1" outlineLevel="4">
      <c r="A5149" s="52">
        <v>4074</v>
      </c>
      <c r="B5149" s="26" t="s">
        <v>17127</v>
      </c>
      <c r="C5149" s="66" t="s">
        <v>17128</v>
      </c>
      <c r="D5149" s="66"/>
      <c r="E5149" s="66"/>
      <c r="F5149" s="66"/>
      <c r="G5149" s="27" t="s">
        <v>17129</v>
      </c>
      <c r="H5149" s="33">
        <v>477</v>
      </c>
      <c r="I5149" s="29"/>
      <c r="J5149" s="25">
        <v>1</v>
      </c>
      <c r="K5149" s="37">
        <v>1754.33</v>
      </c>
      <c r="L5149" s="17"/>
      <c r="M5149" s="29">
        <f t="shared" si="262"/>
        <v>0</v>
      </c>
      <c r="N5149" s="31">
        <f>1.034*L5149</f>
        <v>0</v>
      </c>
      <c r="O5149" s="32">
        <f>0.00333*L5149</f>
        <v>0</v>
      </c>
      <c r="P5149" s="36"/>
      <c r="Q5149" s="29" t="s">
        <v>17130</v>
      </c>
      <c r="R5149" s="29"/>
      <c r="S5149" s="26" t="str">
        <f>HYPERLINK("https://miland.ru/api/getInfo/image/a7fab612-0082-11ef-a25d-00155d82e908")</f>
        <v>https://miland.ru/api/getInfo/image/a7fab612-0082-11ef-a25d-00155d82e908</v>
      </c>
    </row>
    <row r="5150" spans="1:19" s="2" customFormat="1" ht="96.2" customHeight="1" outlineLevel="4">
      <c r="A5150" s="52">
        <v>4075</v>
      </c>
      <c r="B5150" s="26" t="s">
        <v>17131</v>
      </c>
      <c r="C5150" s="66" t="s">
        <v>17132</v>
      </c>
      <c r="D5150" s="66"/>
      <c r="E5150" s="66"/>
      <c r="F5150" s="66"/>
      <c r="G5150" s="27" t="s">
        <v>17133</v>
      </c>
      <c r="H5150" s="33">
        <v>356</v>
      </c>
      <c r="I5150" s="29"/>
      <c r="J5150" s="25">
        <v>1</v>
      </c>
      <c r="K5150" s="37">
        <v>1851.8</v>
      </c>
      <c r="L5150" s="17"/>
      <c r="M5150" s="29">
        <f t="shared" si="262"/>
        <v>0</v>
      </c>
      <c r="N5150" s="31">
        <f>1.085*L5150</f>
        <v>0</v>
      </c>
      <c r="O5150" s="32">
        <f>0.00388*L5150</f>
        <v>0</v>
      </c>
      <c r="P5150" s="36"/>
      <c r="Q5150" s="29" t="s">
        <v>17134</v>
      </c>
      <c r="R5150" s="29"/>
      <c r="S5150" s="26" t="str">
        <f>HYPERLINK("https://miland.ru/api/getInfo/image/736c9419-0082-11ef-a25d-00155d82e908")</f>
        <v>https://miland.ru/api/getInfo/image/736c9419-0082-11ef-a25d-00155d82e908</v>
      </c>
    </row>
    <row r="5151" spans="1:19" s="2" customFormat="1" ht="96.2" customHeight="1" outlineLevel="4">
      <c r="A5151" s="53">
        <v>4076</v>
      </c>
      <c r="B5151" s="10" t="s">
        <v>17135</v>
      </c>
      <c r="C5151" s="65" t="s">
        <v>17136</v>
      </c>
      <c r="D5151" s="65"/>
      <c r="E5151" s="65"/>
      <c r="F5151" s="65"/>
      <c r="G5151" s="11" t="s">
        <v>17137</v>
      </c>
      <c r="H5151" s="14">
        <v>240</v>
      </c>
      <c r="I5151" s="15"/>
      <c r="J5151" s="9">
        <v>1</v>
      </c>
      <c r="K5151" s="22">
        <v>1935.44</v>
      </c>
      <c r="L5151" s="17"/>
      <c r="M5151" s="15">
        <f t="shared" si="262"/>
        <v>0</v>
      </c>
      <c r="N5151" s="18">
        <f>1.057*L5151</f>
        <v>0</v>
      </c>
      <c r="O5151" s="19">
        <f>0.00351*L5151</f>
        <v>0</v>
      </c>
      <c r="P5151" s="24" t="s">
        <v>26</v>
      </c>
      <c r="Q5151" s="15" t="s">
        <v>17138</v>
      </c>
      <c r="R5151" s="15"/>
      <c r="S5151" s="10"/>
    </row>
    <row r="5152" spans="1:19" s="2" customFormat="1" ht="96.2" customHeight="1" outlineLevel="4">
      <c r="A5152" s="53">
        <v>4077</v>
      </c>
      <c r="B5152" s="10" t="s">
        <v>17139</v>
      </c>
      <c r="C5152" s="65" t="s">
        <v>17140</v>
      </c>
      <c r="D5152" s="65"/>
      <c r="E5152" s="65"/>
      <c r="F5152" s="65"/>
      <c r="G5152" s="11" t="s">
        <v>17141</v>
      </c>
      <c r="H5152" s="14">
        <v>240</v>
      </c>
      <c r="I5152" s="15"/>
      <c r="J5152" s="9">
        <v>1</v>
      </c>
      <c r="K5152" s="22">
        <v>1935.44</v>
      </c>
      <c r="L5152" s="17"/>
      <c r="M5152" s="15">
        <f t="shared" si="262"/>
        <v>0</v>
      </c>
      <c r="N5152" s="18">
        <f>1.054*L5152</f>
        <v>0</v>
      </c>
      <c r="O5152" s="19">
        <f>0.00346*L5152</f>
        <v>0</v>
      </c>
      <c r="P5152" s="24" t="s">
        <v>26</v>
      </c>
      <c r="Q5152" s="15" t="s">
        <v>17142</v>
      </c>
      <c r="R5152" s="15"/>
      <c r="S5152" s="10"/>
    </row>
    <row r="5153" spans="1:19" s="2" customFormat="1" ht="96.2" customHeight="1" outlineLevel="4">
      <c r="A5153" s="53">
        <v>4078</v>
      </c>
      <c r="B5153" s="10" t="s">
        <v>17143</v>
      </c>
      <c r="C5153" s="65" t="s">
        <v>17144</v>
      </c>
      <c r="D5153" s="65"/>
      <c r="E5153" s="65"/>
      <c r="F5153" s="65"/>
      <c r="G5153" s="11" t="s">
        <v>17145</v>
      </c>
      <c r="H5153" s="14">
        <v>240</v>
      </c>
      <c r="I5153" s="15"/>
      <c r="J5153" s="9">
        <v>1</v>
      </c>
      <c r="K5153" s="22">
        <v>1935.44</v>
      </c>
      <c r="L5153" s="17"/>
      <c r="M5153" s="15">
        <f t="shared" si="262"/>
        <v>0</v>
      </c>
      <c r="N5153" s="18">
        <f>1.061*L5153</f>
        <v>0</v>
      </c>
      <c r="O5153" s="19">
        <f>0.00326*L5153</f>
        <v>0</v>
      </c>
      <c r="P5153" s="24" t="s">
        <v>26</v>
      </c>
      <c r="Q5153" s="15" t="s">
        <v>17146</v>
      </c>
      <c r="R5153" s="15"/>
      <c r="S5153" s="10"/>
    </row>
    <row r="5154" spans="1:19" s="2" customFormat="1" ht="96.2" customHeight="1" outlineLevel="4">
      <c r="A5154" s="53">
        <v>4079</v>
      </c>
      <c r="B5154" s="10" t="s">
        <v>17147</v>
      </c>
      <c r="C5154" s="65" t="s">
        <v>17148</v>
      </c>
      <c r="D5154" s="65"/>
      <c r="E5154" s="65"/>
      <c r="F5154" s="65"/>
      <c r="G5154" s="11" t="s">
        <v>17149</v>
      </c>
      <c r="H5154" s="14">
        <v>1</v>
      </c>
      <c r="I5154" s="15"/>
      <c r="J5154" s="9">
        <v>1</v>
      </c>
      <c r="K5154" s="22">
        <v>1777.35</v>
      </c>
      <c r="L5154" s="17"/>
      <c r="M5154" s="15">
        <f t="shared" si="262"/>
        <v>0</v>
      </c>
      <c r="N5154" s="18">
        <f>1.084*L5154</f>
        <v>0</v>
      </c>
      <c r="O5154" s="19">
        <f>0.00321*L5154</f>
        <v>0</v>
      </c>
      <c r="P5154" s="24" t="s">
        <v>26</v>
      </c>
      <c r="Q5154" s="15" t="s">
        <v>17150</v>
      </c>
      <c r="R5154" s="15"/>
      <c r="S5154" s="10" t="str">
        <f>HYPERLINK("https://miland.ru/api/getInfo/image/ef2e3de8-b30c-11f0-a286-00155d82e908")</f>
        <v>https://miland.ru/api/getInfo/image/ef2e3de8-b30c-11f0-a286-00155d82e908</v>
      </c>
    </row>
    <row r="5155" spans="1:19" s="2" customFormat="1" ht="96.2" customHeight="1" outlineLevel="4">
      <c r="A5155" s="52">
        <v>4080</v>
      </c>
      <c r="B5155" s="26" t="s">
        <v>17151</v>
      </c>
      <c r="C5155" s="66" t="s">
        <v>17152</v>
      </c>
      <c r="D5155" s="66"/>
      <c r="E5155" s="66"/>
      <c r="F5155" s="66"/>
      <c r="G5155" s="27" t="s">
        <v>17153</v>
      </c>
      <c r="H5155" s="33">
        <v>475</v>
      </c>
      <c r="I5155" s="29"/>
      <c r="J5155" s="25">
        <v>1</v>
      </c>
      <c r="K5155" s="37">
        <v>1705.99</v>
      </c>
      <c r="L5155" s="17"/>
      <c r="M5155" s="29">
        <f t="shared" si="262"/>
        <v>0</v>
      </c>
      <c r="N5155" s="31">
        <f>1.032*L5155</f>
        <v>0</v>
      </c>
      <c r="O5155" s="32">
        <f>0.00353*L5155</f>
        <v>0</v>
      </c>
      <c r="P5155" s="36"/>
      <c r="Q5155" s="29" t="s">
        <v>17154</v>
      </c>
      <c r="R5155" s="29"/>
      <c r="S5155" s="26" t="str">
        <f>HYPERLINK("https://miland.ru/api/getInfo/image/2da9f310-e984-11ed-a233-00155d82e902")</f>
        <v>https://miland.ru/api/getInfo/image/2da9f310-e984-11ed-a233-00155d82e902</v>
      </c>
    </row>
    <row r="5156" spans="1:19" s="2" customFormat="1" ht="96.2" customHeight="1" outlineLevel="4">
      <c r="A5156" s="52">
        <v>4081</v>
      </c>
      <c r="B5156" s="26" t="s">
        <v>17155</v>
      </c>
      <c r="C5156" s="66" t="s">
        <v>17156</v>
      </c>
      <c r="D5156" s="66"/>
      <c r="E5156" s="66"/>
      <c r="F5156" s="66"/>
      <c r="G5156" s="27" t="s">
        <v>17157</v>
      </c>
      <c r="H5156" s="28" t="s">
        <v>44</v>
      </c>
      <c r="I5156" s="29"/>
      <c r="J5156" s="25">
        <v>1</v>
      </c>
      <c r="K5156" s="37">
        <v>1050.67</v>
      </c>
      <c r="L5156" s="17"/>
      <c r="M5156" s="29">
        <f t="shared" si="262"/>
        <v>0</v>
      </c>
      <c r="N5156" s="31">
        <f>0.504*L5156</f>
        <v>0</v>
      </c>
      <c r="O5156" s="32">
        <f>0.00135*L5156</f>
        <v>0</v>
      </c>
      <c r="P5156" s="36"/>
      <c r="Q5156" s="29" t="s">
        <v>17158</v>
      </c>
      <c r="R5156" s="29"/>
      <c r="S5156" s="26" t="str">
        <f>HYPERLINK("https://miland.ru/api/getInfo/image/7a957cf0-e985-11ed-a233-00155d82e902")</f>
        <v>https://miland.ru/api/getInfo/image/7a957cf0-e985-11ed-a233-00155d82e902</v>
      </c>
    </row>
    <row r="5157" spans="1:19" s="2" customFormat="1" ht="96.2" customHeight="1" outlineLevel="4">
      <c r="A5157" s="52">
        <v>4082</v>
      </c>
      <c r="B5157" s="26" t="s">
        <v>17159</v>
      </c>
      <c r="C5157" s="66" t="s">
        <v>17160</v>
      </c>
      <c r="D5157" s="66"/>
      <c r="E5157" s="66"/>
      <c r="F5157" s="66"/>
      <c r="G5157" s="27" t="s">
        <v>17161</v>
      </c>
      <c r="H5157" s="33">
        <v>427</v>
      </c>
      <c r="I5157" s="29"/>
      <c r="J5157" s="25">
        <v>1</v>
      </c>
      <c r="K5157" s="37">
        <v>1050.4100000000001</v>
      </c>
      <c r="L5157" s="17"/>
      <c r="M5157" s="29">
        <f t="shared" si="262"/>
        <v>0</v>
      </c>
      <c r="N5157" s="31">
        <f>0.676*L5157</f>
        <v>0</v>
      </c>
      <c r="O5157" s="32">
        <f>0.00206*L5157</f>
        <v>0</v>
      </c>
      <c r="P5157" s="36"/>
      <c r="Q5157" s="29" t="s">
        <v>17162</v>
      </c>
      <c r="R5157" s="29"/>
      <c r="S5157" s="26" t="str">
        <f>HYPERLINK("https://miland.ru/api/getInfo/image/e34e15ad-e987-11ed-a233-00155d82e902")</f>
        <v>https://miland.ru/api/getInfo/image/e34e15ad-e987-11ed-a233-00155d82e902</v>
      </c>
    </row>
    <row r="5158" spans="1:19" s="2" customFormat="1" ht="96.2" customHeight="1" outlineLevel="4">
      <c r="A5158" s="52">
        <v>4083</v>
      </c>
      <c r="B5158" s="26" t="s">
        <v>17163</v>
      </c>
      <c r="C5158" s="66" t="s">
        <v>17164</v>
      </c>
      <c r="D5158" s="66"/>
      <c r="E5158" s="66"/>
      <c r="F5158" s="66"/>
      <c r="G5158" s="27" t="s">
        <v>17165</v>
      </c>
      <c r="H5158" s="33">
        <v>476</v>
      </c>
      <c r="I5158" s="29"/>
      <c r="J5158" s="25">
        <v>1</v>
      </c>
      <c r="K5158" s="37">
        <v>1935.44</v>
      </c>
      <c r="L5158" s="17"/>
      <c r="M5158" s="29">
        <f t="shared" si="262"/>
        <v>0</v>
      </c>
      <c r="N5158" s="31">
        <f>1.055*L5158</f>
        <v>0</v>
      </c>
      <c r="O5158" s="32">
        <f>0.00335*L5158</f>
        <v>0</v>
      </c>
      <c r="P5158" s="36"/>
      <c r="Q5158" s="29" t="s">
        <v>17166</v>
      </c>
      <c r="R5158" s="29"/>
      <c r="S5158" s="26" t="str">
        <f>HYPERLINK("https://miland.ru/api/getInfo/image/f2568bfd-e984-11ed-a233-00155d82e902")</f>
        <v>https://miland.ru/api/getInfo/image/f2568bfd-e984-11ed-a233-00155d82e902</v>
      </c>
    </row>
    <row r="5159" spans="1:19" s="2" customFormat="1" ht="96.2" customHeight="1" outlineLevel="4">
      <c r="A5159" s="52">
        <v>4084</v>
      </c>
      <c r="B5159" s="26" t="s">
        <v>17167</v>
      </c>
      <c r="C5159" s="66" t="s">
        <v>17168</v>
      </c>
      <c r="D5159" s="66"/>
      <c r="E5159" s="66"/>
      <c r="F5159" s="66"/>
      <c r="G5159" s="27" t="s">
        <v>17169</v>
      </c>
      <c r="H5159" s="28" t="s">
        <v>44</v>
      </c>
      <c r="I5159" s="29"/>
      <c r="J5159" s="25">
        <v>1</v>
      </c>
      <c r="K5159" s="37">
        <v>1121.08</v>
      </c>
      <c r="L5159" s="17"/>
      <c r="M5159" s="29">
        <f t="shared" si="262"/>
        <v>0</v>
      </c>
      <c r="N5159" s="31">
        <f>0.757*L5159</f>
        <v>0</v>
      </c>
      <c r="O5159" s="32">
        <f>0.00255*L5159</f>
        <v>0</v>
      </c>
      <c r="P5159" s="36"/>
      <c r="Q5159" s="29" t="s">
        <v>17170</v>
      </c>
      <c r="R5159" s="29"/>
      <c r="S5159" s="26" t="str">
        <f>HYPERLINK("https://miland.ru/api/getInfo/image/7af77a4c-e983-11ed-a233-00155d82e902")</f>
        <v>https://miland.ru/api/getInfo/image/7af77a4c-e983-11ed-a233-00155d82e902</v>
      </c>
    </row>
    <row r="5160" spans="1:19" s="2" customFormat="1" ht="96.2" customHeight="1" outlineLevel="4">
      <c r="A5160" s="52">
        <v>4085</v>
      </c>
      <c r="B5160" s="26" t="s">
        <v>17171</v>
      </c>
      <c r="C5160" s="66" t="s">
        <v>17172</v>
      </c>
      <c r="D5160" s="66"/>
      <c r="E5160" s="66"/>
      <c r="F5160" s="66"/>
      <c r="G5160" s="27" t="s">
        <v>17173</v>
      </c>
      <c r="H5160" s="33">
        <v>475</v>
      </c>
      <c r="I5160" s="29"/>
      <c r="J5160" s="25">
        <v>1</v>
      </c>
      <c r="K5160" s="30">
        <v>877.16</v>
      </c>
      <c r="L5160" s="17"/>
      <c r="M5160" s="29">
        <f t="shared" si="262"/>
        <v>0</v>
      </c>
      <c r="N5160" s="31">
        <f>0.609*L5160</f>
        <v>0</v>
      </c>
      <c r="O5160" s="32">
        <f>0.00259*L5160</f>
        <v>0</v>
      </c>
      <c r="P5160" s="36"/>
      <c r="Q5160" s="29" t="s">
        <v>17174</v>
      </c>
      <c r="R5160" s="29"/>
      <c r="S5160" s="26" t="str">
        <f>HYPERLINK("https://miland.ru/api/getInfo/image/f4720a66-0081-11ef-a25d-00155d82e908")</f>
        <v>https://miland.ru/api/getInfo/image/f4720a66-0081-11ef-a25d-00155d82e908</v>
      </c>
    </row>
    <row r="5161" spans="1:19" s="1" customFormat="1" ht="12" customHeight="1" outlineLevel="3">
      <c r="A5161" s="64" t="s">
        <v>17175</v>
      </c>
      <c r="B5161" s="64"/>
      <c r="C5161" s="64"/>
      <c r="D5161" s="64"/>
      <c r="E5161" s="64"/>
      <c r="F5161" s="64"/>
      <c r="G5161" s="8"/>
      <c r="H5161" s="12"/>
      <c r="I5161" s="2"/>
      <c r="J5161" s="2"/>
      <c r="K5161" s="13"/>
      <c r="L5161" s="2"/>
      <c r="M5161" s="2"/>
      <c r="N5161" s="2"/>
      <c r="O5161" s="2"/>
      <c r="P5161" s="2"/>
      <c r="Q5161" s="2"/>
      <c r="R5161" s="2"/>
      <c r="S5161" s="2"/>
    </row>
    <row r="5162" spans="1:19" s="2" customFormat="1" ht="96.2" customHeight="1" outlineLevel="4">
      <c r="A5162" s="53">
        <v>4086</v>
      </c>
      <c r="B5162" s="10" t="s">
        <v>17176</v>
      </c>
      <c r="C5162" s="65" t="s">
        <v>17177</v>
      </c>
      <c r="D5162" s="65"/>
      <c r="E5162" s="65"/>
      <c r="F5162" s="65"/>
      <c r="G5162" s="11" t="s">
        <v>17178</v>
      </c>
      <c r="H5162" s="14">
        <v>3</v>
      </c>
      <c r="I5162" s="15"/>
      <c r="J5162" s="9">
        <v>1</v>
      </c>
      <c r="K5162" s="16">
        <v>888.68</v>
      </c>
      <c r="L5162" s="17"/>
      <c r="M5162" s="15">
        <f>K5162*L5162</f>
        <v>0</v>
      </c>
      <c r="N5162" s="18">
        <f>0.408*L5162</f>
        <v>0</v>
      </c>
      <c r="O5162" s="19">
        <f>0.00245*L5162</f>
        <v>0</v>
      </c>
      <c r="P5162" s="24" t="s">
        <v>26</v>
      </c>
      <c r="Q5162" s="15" t="s">
        <v>17179</v>
      </c>
      <c r="R5162" s="15"/>
      <c r="S5162" s="10" t="str">
        <f>HYPERLINK("https://miland.ru/api/getInfo/image/47d2ad11-b30a-11f0-a286-00155d82e908")</f>
        <v>https://miland.ru/api/getInfo/image/47d2ad11-b30a-11f0-a286-00155d82e908</v>
      </c>
    </row>
    <row r="5163" spans="1:19" s="1" customFormat="1" ht="12" customHeight="1" outlineLevel="3">
      <c r="A5163" s="64" t="s">
        <v>17180</v>
      </c>
      <c r="B5163" s="64"/>
      <c r="C5163" s="64"/>
      <c r="D5163" s="64"/>
      <c r="E5163" s="64"/>
      <c r="F5163" s="64"/>
      <c r="G5163" s="8"/>
      <c r="H5163" s="12"/>
      <c r="I5163" s="2"/>
      <c r="J5163" s="2"/>
      <c r="K5163" s="13"/>
      <c r="L5163" s="2"/>
      <c r="M5163" s="2"/>
      <c r="N5163" s="2"/>
      <c r="O5163" s="2"/>
      <c r="P5163" s="2"/>
      <c r="Q5163" s="2"/>
      <c r="R5163" s="2"/>
      <c r="S5163" s="2"/>
    </row>
    <row r="5164" spans="1:19" s="2" customFormat="1" ht="96.2" customHeight="1" outlineLevel="4">
      <c r="A5164" s="53">
        <v>4087</v>
      </c>
      <c r="B5164" s="10" t="s">
        <v>17181</v>
      </c>
      <c r="C5164" s="65" t="s">
        <v>17182</v>
      </c>
      <c r="D5164" s="65"/>
      <c r="E5164" s="65"/>
      <c r="F5164" s="65"/>
      <c r="G5164" s="11" t="s">
        <v>17183</v>
      </c>
      <c r="H5164" s="14">
        <v>220</v>
      </c>
      <c r="I5164" s="15"/>
      <c r="J5164" s="9">
        <v>1</v>
      </c>
      <c r="K5164" s="22">
        <v>1061.49</v>
      </c>
      <c r="L5164" s="17"/>
      <c r="M5164" s="15">
        <f t="shared" ref="M5164:M5170" si="263">K5164*L5164</f>
        <v>0</v>
      </c>
      <c r="N5164" s="18">
        <f>0.457*L5164</f>
        <v>0</v>
      </c>
      <c r="O5164" s="19">
        <f>0.00211*L5164</f>
        <v>0</v>
      </c>
      <c r="P5164" s="24" t="s">
        <v>26</v>
      </c>
      <c r="Q5164" s="15" t="s">
        <v>17184</v>
      </c>
      <c r="R5164" s="15"/>
      <c r="S5164" s="10"/>
    </row>
    <row r="5165" spans="1:19" s="2" customFormat="1" ht="96.2" customHeight="1" outlineLevel="4">
      <c r="A5165" s="52">
        <v>4088</v>
      </c>
      <c r="B5165" s="26" t="s">
        <v>17185</v>
      </c>
      <c r="C5165" s="66" t="s">
        <v>17186</v>
      </c>
      <c r="D5165" s="66"/>
      <c r="E5165" s="66"/>
      <c r="F5165" s="66"/>
      <c r="G5165" s="27" t="s">
        <v>17187</v>
      </c>
      <c r="H5165" s="33">
        <v>91</v>
      </c>
      <c r="I5165" s="29"/>
      <c r="J5165" s="25">
        <v>1</v>
      </c>
      <c r="K5165" s="30">
        <v>845.08</v>
      </c>
      <c r="L5165" s="17"/>
      <c r="M5165" s="29">
        <f t="shared" si="263"/>
        <v>0</v>
      </c>
      <c r="N5165" s="34">
        <f>0.66*L5165</f>
        <v>0</v>
      </c>
      <c r="O5165" s="32">
        <f>0.00272*L5165</f>
        <v>0</v>
      </c>
      <c r="P5165" s="36"/>
      <c r="Q5165" s="29" t="s">
        <v>17188</v>
      </c>
      <c r="R5165" s="29"/>
      <c r="S5165" s="26" t="str">
        <f>HYPERLINK("https://miland.ru/api/getInfo/image/4c92c3a5-e97c-11e8-a214-ac1f6b442184")</f>
        <v>https://miland.ru/api/getInfo/image/4c92c3a5-e97c-11e8-a214-ac1f6b442184</v>
      </c>
    </row>
    <row r="5166" spans="1:19" s="2" customFormat="1" ht="96.2" customHeight="1" outlineLevel="4">
      <c r="A5166" s="53">
        <v>4089</v>
      </c>
      <c r="B5166" s="10" t="s">
        <v>17189</v>
      </c>
      <c r="C5166" s="65" t="s">
        <v>17190</v>
      </c>
      <c r="D5166" s="65"/>
      <c r="E5166" s="65"/>
      <c r="F5166" s="65"/>
      <c r="G5166" s="11" t="s">
        <v>17191</v>
      </c>
      <c r="H5166" s="14">
        <v>270</v>
      </c>
      <c r="I5166" s="15"/>
      <c r="J5166" s="9">
        <v>1</v>
      </c>
      <c r="K5166" s="16">
        <v>617.14</v>
      </c>
      <c r="L5166" s="17"/>
      <c r="M5166" s="15">
        <f t="shared" si="263"/>
        <v>0</v>
      </c>
      <c r="N5166" s="18">
        <f>0.334*L5166</f>
        <v>0</v>
      </c>
      <c r="O5166" s="19">
        <f>0.00143*L5166</f>
        <v>0</v>
      </c>
      <c r="P5166" s="24" t="s">
        <v>26</v>
      </c>
      <c r="Q5166" s="15" t="s">
        <v>17192</v>
      </c>
      <c r="R5166" s="15"/>
      <c r="S5166" s="10"/>
    </row>
    <row r="5167" spans="1:19" s="2" customFormat="1" ht="96.2" customHeight="1" outlineLevel="4">
      <c r="A5167" s="53">
        <v>4090</v>
      </c>
      <c r="B5167" s="10" t="s">
        <v>17193</v>
      </c>
      <c r="C5167" s="65" t="s">
        <v>17194</v>
      </c>
      <c r="D5167" s="65"/>
      <c r="E5167" s="65"/>
      <c r="F5167" s="65"/>
      <c r="G5167" s="11" t="s">
        <v>17195</v>
      </c>
      <c r="H5167" s="14">
        <v>144</v>
      </c>
      <c r="I5167" s="15"/>
      <c r="J5167" s="9">
        <v>1</v>
      </c>
      <c r="K5167" s="16">
        <v>864</v>
      </c>
      <c r="L5167" s="17"/>
      <c r="M5167" s="15">
        <f t="shared" si="263"/>
        <v>0</v>
      </c>
      <c r="N5167" s="18">
        <f>0.517*L5167</f>
        <v>0</v>
      </c>
      <c r="O5167" s="19">
        <f>0.00186*L5167</f>
        <v>0</v>
      </c>
      <c r="P5167" s="24" t="s">
        <v>26</v>
      </c>
      <c r="Q5167" s="15" t="s">
        <v>17196</v>
      </c>
      <c r="R5167" s="15"/>
      <c r="S5167" s="10"/>
    </row>
    <row r="5168" spans="1:19" s="2" customFormat="1" ht="96.2" customHeight="1" outlineLevel="4">
      <c r="A5168" s="52">
        <v>4091</v>
      </c>
      <c r="B5168" s="26" t="s">
        <v>17197</v>
      </c>
      <c r="C5168" s="66" t="s">
        <v>17198</v>
      </c>
      <c r="D5168" s="66"/>
      <c r="E5168" s="66"/>
      <c r="F5168" s="66"/>
      <c r="G5168" s="27" t="s">
        <v>17199</v>
      </c>
      <c r="H5168" s="33">
        <v>295</v>
      </c>
      <c r="I5168" s="29"/>
      <c r="J5168" s="25">
        <v>1</v>
      </c>
      <c r="K5168" s="30">
        <v>648.05999999999995</v>
      </c>
      <c r="L5168" s="17"/>
      <c r="M5168" s="29">
        <f t="shared" si="263"/>
        <v>0</v>
      </c>
      <c r="N5168" s="31">
        <f>0.458*L5168</f>
        <v>0</v>
      </c>
      <c r="O5168" s="32">
        <f>0.00171*L5168</f>
        <v>0</v>
      </c>
      <c r="P5168" s="36"/>
      <c r="Q5168" s="29" t="s">
        <v>17200</v>
      </c>
      <c r="R5168" s="29"/>
      <c r="S5168" s="26" t="str">
        <f>HYPERLINK("https://miland.ru/api/getInfo/image/21eb3f51-2111-11f0-a279-00155d82e908")</f>
        <v>https://miland.ru/api/getInfo/image/21eb3f51-2111-11f0-a279-00155d82e908</v>
      </c>
    </row>
    <row r="5169" spans="1:19" s="2" customFormat="1" ht="96.2" customHeight="1" outlineLevel="4">
      <c r="A5169" s="52">
        <v>4092</v>
      </c>
      <c r="B5169" s="26" t="s">
        <v>17201</v>
      </c>
      <c r="C5169" s="66" t="s">
        <v>17202</v>
      </c>
      <c r="D5169" s="66"/>
      <c r="E5169" s="66"/>
      <c r="F5169" s="66"/>
      <c r="G5169" s="27" t="s">
        <v>17203</v>
      </c>
      <c r="H5169" s="33">
        <v>205</v>
      </c>
      <c r="I5169" s="29"/>
      <c r="J5169" s="25">
        <v>1</v>
      </c>
      <c r="K5169" s="30">
        <v>815.3</v>
      </c>
      <c r="L5169" s="17"/>
      <c r="M5169" s="29">
        <f t="shared" si="263"/>
        <v>0</v>
      </c>
      <c r="N5169" s="34">
        <f>0.58*L5169</f>
        <v>0</v>
      </c>
      <c r="O5169" s="32">
        <f>0.00274*L5169</f>
        <v>0</v>
      </c>
      <c r="P5169" s="36"/>
      <c r="Q5169" s="29" t="s">
        <v>17204</v>
      </c>
      <c r="R5169" s="29"/>
      <c r="S5169" s="26" t="str">
        <f>HYPERLINK("https://miland.ru/api/getInfo/image/66196ed1-2111-11f0-a279-00155d82e908")</f>
        <v>https://miland.ru/api/getInfo/image/66196ed1-2111-11f0-a279-00155d82e908</v>
      </c>
    </row>
    <row r="5170" spans="1:19" s="2" customFormat="1" ht="96.2" customHeight="1" outlineLevel="4">
      <c r="A5170" s="52">
        <v>4093</v>
      </c>
      <c r="B5170" s="26" t="s">
        <v>17205</v>
      </c>
      <c r="C5170" s="66" t="s">
        <v>17206</v>
      </c>
      <c r="D5170" s="66"/>
      <c r="E5170" s="66"/>
      <c r="F5170" s="66"/>
      <c r="G5170" s="27" t="s">
        <v>17207</v>
      </c>
      <c r="H5170" s="33">
        <v>265</v>
      </c>
      <c r="I5170" s="29"/>
      <c r="J5170" s="25">
        <v>1</v>
      </c>
      <c r="K5170" s="30">
        <v>459.91</v>
      </c>
      <c r="L5170" s="17"/>
      <c r="M5170" s="29">
        <f t="shared" si="263"/>
        <v>0</v>
      </c>
      <c r="N5170" s="31">
        <f>0.287*L5170</f>
        <v>0</v>
      </c>
      <c r="O5170" s="32">
        <f>0.00357*L5170</f>
        <v>0</v>
      </c>
      <c r="P5170" s="36"/>
      <c r="Q5170" s="29" t="s">
        <v>17208</v>
      </c>
      <c r="R5170" s="29"/>
      <c r="S5170" s="26" t="str">
        <f>HYPERLINK("https://miland.ru/api/getInfo/image/a0e756b4-2110-11f0-a279-00155d82e908")</f>
        <v>https://miland.ru/api/getInfo/image/a0e756b4-2110-11f0-a279-00155d82e908</v>
      </c>
    </row>
    <row r="5171" spans="1:19" s="1" customFormat="1" ht="12" customHeight="1" outlineLevel="3">
      <c r="A5171" s="64" t="s">
        <v>17209</v>
      </c>
      <c r="B5171" s="64"/>
      <c r="C5171" s="64"/>
      <c r="D5171" s="64"/>
      <c r="E5171" s="64"/>
      <c r="F5171" s="64"/>
      <c r="G5171" s="8"/>
      <c r="H5171" s="12"/>
      <c r="I5171" s="2"/>
      <c r="J5171" s="2"/>
      <c r="K5171" s="13"/>
      <c r="L5171" s="2"/>
      <c r="M5171" s="2"/>
      <c r="N5171" s="2"/>
      <c r="O5171" s="2"/>
      <c r="P5171" s="2"/>
      <c r="Q5171" s="2"/>
      <c r="R5171" s="2"/>
      <c r="S5171" s="2"/>
    </row>
    <row r="5172" spans="1:19" s="2" customFormat="1" ht="96.2" customHeight="1" outlineLevel="4">
      <c r="A5172" s="52">
        <v>4094</v>
      </c>
      <c r="B5172" s="26" t="s">
        <v>17210</v>
      </c>
      <c r="C5172" s="66" t="s">
        <v>17211</v>
      </c>
      <c r="D5172" s="66"/>
      <c r="E5172" s="66"/>
      <c r="F5172" s="66"/>
      <c r="G5172" s="27" t="s">
        <v>17212</v>
      </c>
      <c r="H5172" s="33">
        <v>75</v>
      </c>
      <c r="I5172" s="29"/>
      <c r="J5172" s="25">
        <v>1</v>
      </c>
      <c r="K5172" s="37">
        <v>2298.58</v>
      </c>
      <c r="L5172" s="17"/>
      <c r="M5172" s="29">
        <f t="shared" ref="M5172:M5191" si="264">K5172*L5172</f>
        <v>0</v>
      </c>
      <c r="N5172" s="31">
        <f>1.858*L5172</f>
        <v>0</v>
      </c>
      <c r="O5172" s="32">
        <f>0.00432*L5172</f>
        <v>0</v>
      </c>
      <c r="P5172" s="36"/>
      <c r="Q5172" s="29" t="s">
        <v>17213</v>
      </c>
      <c r="R5172" s="29"/>
      <c r="S5172" s="26" t="str">
        <f>HYPERLINK("https://miland.ru/api/getInfo/image/6ec15c8f-210e-11f0-a279-00155d82e908")</f>
        <v>https://miland.ru/api/getInfo/image/6ec15c8f-210e-11f0-a279-00155d82e908</v>
      </c>
    </row>
    <row r="5173" spans="1:19" s="2" customFormat="1" ht="96.2" customHeight="1" outlineLevel="4">
      <c r="A5173" s="52">
        <v>4095</v>
      </c>
      <c r="B5173" s="26" t="s">
        <v>17214</v>
      </c>
      <c r="C5173" s="66" t="s">
        <v>17215</v>
      </c>
      <c r="D5173" s="66"/>
      <c r="E5173" s="66"/>
      <c r="F5173" s="66"/>
      <c r="G5173" s="27" t="s">
        <v>17216</v>
      </c>
      <c r="H5173" s="33">
        <v>17</v>
      </c>
      <c r="I5173" s="29"/>
      <c r="J5173" s="25">
        <v>1</v>
      </c>
      <c r="K5173" s="37">
        <v>3356.4</v>
      </c>
      <c r="L5173" s="17"/>
      <c r="M5173" s="29">
        <f t="shared" si="264"/>
        <v>0</v>
      </c>
      <c r="N5173" s="31">
        <f>3.223*L5173</f>
        <v>0</v>
      </c>
      <c r="O5173" s="32">
        <f>0.00582*L5173</f>
        <v>0</v>
      </c>
      <c r="P5173" s="36"/>
      <c r="Q5173" s="29" t="s">
        <v>17217</v>
      </c>
      <c r="R5173" s="29"/>
      <c r="S5173" s="26" t="str">
        <f>HYPERLINK("https://miland.ru/api/getInfo/image/ae4c6baf-5d79-11e7-977d-5cf3fc4a2490")</f>
        <v>https://miland.ru/api/getInfo/image/ae4c6baf-5d79-11e7-977d-5cf3fc4a2490</v>
      </c>
    </row>
    <row r="5174" spans="1:19" s="2" customFormat="1" ht="96.2" customHeight="1" outlineLevel="4">
      <c r="A5174" s="52">
        <v>4096</v>
      </c>
      <c r="B5174" s="26" t="s">
        <v>17218</v>
      </c>
      <c r="C5174" s="66" t="s">
        <v>17219</v>
      </c>
      <c r="D5174" s="66"/>
      <c r="E5174" s="66"/>
      <c r="F5174" s="66"/>
      <c r="G5174" s="27" t="s">
        <v>17220</v>
      </c>
      <c r="H5174" s="33">
        <v>46</v>
      </c>
      <c r="I5174" s="29"/>
      <c r="J5174" s="25">
        <v>1</v>
      </c>
      <c r="K5174" s="37">
        <v>5443.07</v>
      </c>
      <c r="L5174" s="17"/>
      <c r="M5174" s="29">
        <f t="shared" si="264"/>
        <v>0</v>
      </c>
      <c r="N5174" s="41">
        <f>4.6*L5174</f>
        <v>0</v>
      </c>
      <c r="O5174" s="32">
        <f>0.07323*L5174</f>
        <v>0</v>
      </c>
      <c r="P5174" s="36"/>
      <c r="Q5174" s="29" t="s">
        <v>17221</v>
      </c>
      <c r="R5174" s="29"/>
      <c r="S5174" s="26" t="str">
        <f>HYPERLINK("https://miland.ru/api/getInfo/image/00974044-0084-11ef-a25d-00155d82e908")</f>
        <v>https://miland.ru/api/getInfo/image/00974044-0084-11ef-a25d-00155d82e908</v>
      </c>
    </row>
    <row r="5175" spans="1:19" s="2" customFormat="1" ht="96.2" customHeight="1" outlineLevel="4">
      <c r="A5175" s="52">
        <v>4097</v>
      </c>
      <c r="B5175" s="26" t="s">
        <v>17222</v>
      </c>
      <c r="C5175" s="66" t="s">
        <v>17223</v>
      </c>
      <c r="D5175" s="66"/>
      <c r="E5175" s="66"/>
      <c r="F5175" s="66"/>
      <c r="G5175" s="27" t="s">
        <v>17224</v>
      </c>
      <c r="H5175" s="33">
        <v>75</v>
      </c>
      <c r="I5175" s="29"/>
      <c r="J5175" s="25">
        <v>1</v>
      </c>
      <c r="K5175" s="37">
        <v>8274.84</v>
      </c>
      <c r="L5175" s="17"/>
      <c r="M5175" s="29">
        <f t="shared" si="264"/>
        <v>0</v>
      </c>
      <c r="N5175" s="31">
        <f>7.312*L5175</f>
        <v>0</v>
      </c>
      <c r="O5175" s="32">
        <f>0.01133*L5175</f>
        <v>0</v>
      </c>
      <c r="P5175" s="36"/>
      <c r="Q5175" s="29" t="s">
        <v>17225</v>
      </c>
      <c r="R5175" s="29"/>
      <c r="S5175" s="26" t="str">
        <f>HYPERLINK("https://miland.ru/api/getInfo/image/2e2e0340-0084-11ef-a25d-00155d82e908")</f>
        <v>https://miland.ru/api/getInfo/image/2e2e0340-0084-11ef-a25d-00155d82e908</v>
      </c>
    </row>
    <row r="5176" spans="1:19" s="2" customFormat="1" ht="96.2" customHeight="1" outlineLevel="4">
      <c r="A5176" s="52">
        <v>4098</v>
      </c>
      <c r="B5176" s="26" t="s">
        <v>17226</v>
      </c>
      <c r="C5176" s="66" t="s">
        <v>17227</v>
      </c>
      <c r="D5176" s="66"/>
      <c r="E5176" s="66"/>
      <c r="F5176" s="66"/>
      <c r="G5176" s="27" t="s">
        <v>17228</v>
      </c>
      <c r="H5176" s="28" t="s">
        <v>44</v>
      </c>
      <c r="I5176" s="29"/>
      <c r="J5176" s="25">
        <v>1</v>
      </c>
      <c r="K5176" s="37">
        <v>1002.38</v>
      </c>
      <c r="L5176" s="17"/>
      <c r="M5176" s="29">
        <f t="shared" si="264"/>
        <v>0</v>
      </c>
      <c r="N5176" s="31">
        <f>1.492*L5176</f>
        <v>0</v>
      </c>
      <c r="O5176" s="32">
        <f>0.00361*L5176</f>
        <v>0</v>
      </c>
      <c r="P5176" s="36"/>
      <c r="Q5176" s="29" t="s">
        <v>17229</v>
      </c>
      <c r="R5176" s="29"/>
      <c r="S5176" s="26" t="str">
        <f>HYPERLINK("https://miland.ru/api/getInfo/image/210ea37c-e98b-11ed-a233-00155d82e902")</f>
        <v>https://miland.ru/api/getInfo/image/210ea37c-e98b-11ed-a233-00155d82e902</v>
      </c>
    </row>
    <row r="5177" spans="1:19" s="2" customFormat="1" ht="96.2" customHeight="1" outlineLevel="4">
      <c r="A5177" s="52">
        <v>4099</v>
      </c>
      <c r="B5177" s="26" t="s">
        <v>17230</v>
      </c>
      <c r="C5177" s="66" t="s">
        <v>17231</v>
      </c>
      <c r="D5177" s="66"/>
      <c r="E5177" s="66"/>
      <c r="F5177" s="66"/>
      <c r="G5177" s="27" t="s">
        <v>17232</v>
      </c>
      <c r="H5177" s="33">
        <v>31</v>
      </c>
      <c r="I5177" s="29"/>
      <c r="J5177" s="25">
        <v>1</v>
      </c>
      <c r="K5177" s="37">
        <v>7826.55</v>
      </c>
      <c r="L5177" s="17"/>
      <c r="M5177" s="29">
        <f t="shared" si="264"/>
        <v>0</v>
      </c>
      <c r="N5177" s="31">
        <f>7.161*L5177</f>
        <v>0</v>
      </c>
      <c r="O5177" s="32">
        <f>0.01136*L5177</f>
        <v>0</v>
      </c>
      <c r="P5177" s="36"/>
      <c r="Q5177" s="29" t="s">
        <v>17233</v>
      </c>
      <c r="R5177" s="29"/>
      <c r="S5177" s="26" t="str">
        <f>HYPERLINK("https://miland.ru/api/getInfo/image/531a6004-e2d4-11ee-a25a-00155d82e908")</f>
        <v>https://miland.ru/api/getInfo/image/531a6004-e2d4-11ee-a25a-00155d82e908</v>
      </c>
    </row>
    <row r="5178" spans="1:19" s="2" customFormat="1" ht="96.2" customHeight="1" outlineLevel="4">
      <c r="A5178" s="52">
        <v>4100</v>
      </c>
      <c r="B5178" s="26" t="s">
        <v>17234</v>
      </c>
      <c r="C5178" s="66" t="s">
        <v>17235</v>
      </c>
      <c r="D5178" s="66"/>
      <c r="E5178" s="66"/>
      <c r="F5178" s="66"/>
      <c r="G5178" s="27" t="s">
        <v>17236</v>
      </c>
      <c r="H5178" s="33">
        <v>295</v>
      </c>
      <c r="I5178" s="29"/>
      <c r="J5178" s="25">
        <v>1</v>
      </c>
      <c r="K5178" s="37">
        <v>4206.76</v>
      </c>
      <c r="L5178" s="17"/>
      <c r="M5178" s="29">
        <f t="shared" si="264"/>
        <v>0</v>
      </c>
      <c r="N5178" s="31">
        <f>3.293*L5178</f>
        <v>0</v>
      </c>
      <c r="O5178" s="32">
        <f>0.00626*L5178</f>
        <v>0</v>
      </c>
      <c r="P5178" s="36"/>
      <c r="Q5178" s="29" t="s">
        <v>17237</v>
      </c>
      <c r="R5178" s="29"/>
      <c r="S5178" s="26" t="str">
        <f>HYPERLINK("https://miland.ru/api/getInfo/image/7b4f2ae4-e2d4-11ee-a25a-00155d82e908")</f>
        <v>https://miland.ru/api/getInfo/image/7b4f2ae4-e2d4-11ee-a25a-00155d82e908</v>
      </c>
    </row>
    <row r="5179" spans="1:19" s="2" customFormat="1" ht="96.2" customHeight="1" outlineLevel="4">
      <c r="A5179" s="52">
        <v>4101</v>
      </c>
      <c r="B5179" s="26" t="s">
        <v>17238</v>
      </c>
      <c r="C5179" s="66" t="s">
        <v>17239</v>
      </c>
      <c r="D5179" s="66"/>
      <c r="E5179" s="66"/>
      <c r="F5179" s="66"/>
      <c r="G5179" s="27" t="s">
        <v>17240</v>
      </c>
      <c r="H5179" s="33">
        <v>25</v>
      </c>
      <c r="I5179" s="29"/>
      <c r="J5179" s="25">
        <v>1</v>
      </c>
      <c r="K5179" s="37">
        <v>3859.87</v>
      </c>
      <c r="L5179" s="17"/>
      <c r="M5179" s="29">
        <f t="shared" si="264"/>
        <v>0</v>
      </c>
      <c r="N5179" s="31">
        <f>3.323*L5179</f>
        <v>0</v>
      </c>
      <c r="O5179" s="32">
        <f>0.00595*L5179</f>
        <v>0</v>
      </c>
      <c r="P5179" s="36"/>
      <c r="Q5179" s="29" t="s">
        <v>17241</v>
      </c>
      <c r="R5179" s="29"/>
      <c r="S5179" s="26" t="str">
        <f>HYPERLINK("https://miland.ru/api/getInfo/image/5ce67a7f-210f-11f0-a279-00155d82e908")</f>
        <v>https://miland.ru/api/getInfo/image/5ce67a7f-210f-11f0-a279-00155d82e908</v>
      </c>
    </row>
    <row r="5180" spans="1:19" s="2" customFormat="1" ht="96.2" customHeight="1" outlineLevel="4">
      <c r="A5180" s="52">
        <v>4102</v>
      </c>
      <c r="B5180" s="26" t="s">
        <v>17242</v>
      </c>
      <c r="C5180" s="66" t="s">
        <v>17243</v>
      </c>
      <c r="D5180" s="66"/>
      <c r="E5180" s="66"/>
      <c r="F5180" s="66"/>
      <c r="G5180" s="27" t="s">
        <v>17244</v>
      </c>
      <c r="H5180" s="33">
        <v>90</v>
      </c>
      <c r="I5180" s="29"/>
      <c r="J5180" s="25">
        <v>1</v>
      </c>
      <c r="K5180" s="37">
        <v>1941.19</v>
      </c>
      <c r="L5180" s="17"/>
      <c r="M5180" s="29">
        <f t="shared" si="264"/>
        <v>0</v>
      </c>
      <c r="N5180" s="31">
        <f>1.885*L5180</f>
        <v>0</v>
      </c>
      <c r="O5180" s="32">
        <f>0.00426*L5180</f>
        <v>0</v>
      </c>
      <c r="P5180" s="36"/>
      <c r="Q5180" s="29" t="s">
        <v>17245</v>
      </c>
      <c r="R5180" s="29"/>
      <c r="S5180" s="26" t="str">
        <f>HYPERLINK("https://miland.ru/api/getInfo/image/b6198e36-5d79-11e7-977d-5cf3fc4a2490")</f>
        <v>https://miland.ru/api/getInfo/image/b6198e36-5d79-11e7-977d-5cf3fc4a2490</v>
      </c>
    </row>
    <row r="5181" spans="1:19" s="2" customFormat="1" ht="96.2" customHeight="1" outlineLevel="4">
      <c r="A5181" s="52">
        <v>4103</v>
      </c>
      <c r="B5181" s="26" t="s">
        <v>17246</v>
      </c>
      <c r="C5181" s="66" t="s">
        <v>17247</v>
      </c>
      <c r="D5181" s="66"/>
      <c r="E5181" s="66"/>
      <c r="F5181" s="66"/>
      <c r="G5181" s="27" t="s">
        <v>17248</v>
      </c>
      <c r="H5181" s="33">
        <v>96</v>
      </c>
      <c r="I5181" s="29"/>
      <c r="J5181" s="25">
        <v>1</v>
      </c>
      <c r="K5181" s="37">
        <v>5185.1000000000004</v>
      </c>
      <c r="L5181" s="17"/>
      <c r="M5181" s="29">
        <f t="shared" si="264"/>
        <v>0</v>
      </c>
      <c r="N5181" s="31">
        <f>4.614*L5181</f>
        <v>0</v>
      </c>
      <c r="O5181" s="32">
        <f>0.00774*L5181</f>
        <v>0</v>
      </c>
      <c r="P5181" s="36"/>
      <c r="Q5181" s="29" t="s">
        <v>17249</v>
      </c>
      <c r="R5181" s="29"/>
      <c r="S5181" s="26" t="str">
        <f>HYPERLINK("https://miland.ru/api/getInfo/image/879a5e7d-e2d4-11ee-a25a-00155d82e908")</f>
        <v>https://miland.ru/api/getInfo/image/879a5e7d-e2d4-11ee-a25a-00155d82e908</v>
      </c>
    </row>
    <row r="5182" spans="1:19" s="2" customFormat="1" ht="96.2" customHeight="1" outlineLevel="4">
      <c r="A5182" s="52">
        <v>4104</v>
      </c>
      <c r="B5182" s="26" t="s">
        <v>17250</v>
      </c>
      <c r="C5182" s="66" t="s">
        <v>17251</v>
      </c>
      <c r="D5182" s="66"/>
      <c r="E5182" s="66"/>
      <c r="F5182" s="66"/>
      <c r="G5182" s="27" t="s">
        <v>17252</v>
      </c>
      <c r="H5182" s="33">
        <v>100</v>
      </c>
      <c r="I5182" s="29"/>
      <c r="J5182" s="25">
        <v>1</v>
      </c>
      <c r="K5182" s="37">
        <v>2125.1</v>
      </c>
      <c r="L5182" s="17"/>
      <c r="M5182" s="29">
        <f t="shared" si="264"/>
        <v>0</v>
      </c>
      <c r="N5182" s="31">
        <f>1.874*L5182</f>
        <v>0</v>
      </c>
      <c r="O5182" s="32">
        <f>0.00437*L5182</f>
        <v>0</v>
      </c>
      <c r="P5182" s="36"/>
      <c r="Q5182" s="29" t="s">
        <v>17253</v>
      </c>
      <c r="R5182" s="29"/>
      <c r="S5182" s="26" t="str">
        <f>HYPERLINK("https://miland.ru/api/getInfo/image/0db3fefd-210f-11f0-a279-00155d82e908")</f>
        <v>https://miland.ru/api/getInfo/image/0db3fefd-210f-11f0-a279-00155d82e908</v>
      </c>
    </row>
    <row r="5183" spans="1:19" s="2" customFormat="1" ht="96.2" customHeight="1" outlineLevel="4">
      <c r="A5183" s="52">
        <v>4105</v>
      </c>
      <c r="B5183" s="26" t="s">
        <v>17254</v>
      </c>
      <c r="C5183" s="66" t="s">
        <v>17255</v>
      </c>
      <c r="D5183" s="66"/>
      <c r="E5183" s="66"/>
      <c r="F5183" s="66"/>
      <c r="G5183" s="27" t="s">
        <v>17256</v>
      </c>
      <c r="H5183" s="28" t="s">
        <v>44</v>
      </c>
      <c r="I5183" s="29"/>
      <c r="J5183" s="25">
        <v>1</v>
      </c>
      <c r="K5183" s="37">
        <v>1084.79</v>
      </c>
      <c r="L5183" s="17"/>
      <c r="M5183" s="29">
        <f t="shared" si="264"/>
        <v>0</v>
      </c>
      <c r="N5183" s="31">
        <f>1.501*L5183</f>
        <v>0</v>
      </c>
      <c r="O5183" s="32">
        <f>0.00358*L5183</f>
        <v>0</v>
      </c>
      <c r="P5183" s="36"/>
      <c r="Q5183" s="29" t="s">
        <v>17257</v>
      </c>
      <c r="R5183" s="29"/>
      <c r="S5183" s="26" t="str">
        <f>HYPERLINK("https://miland.ru/api/getInfo/image/c8afecf9-5d79-11e7-977d-5cf3fc4a2490")</f>
        <v>https://miland.ru/api/getInfo/image/c8afecf9-5d79-11e7-977d-5cf3fc4a2490</v>
      </c>
    </row>
    <row r="5184" spans="1:19" s="2" customFormat="1" ht="96.2" customHeight="1" outlineLevel="4">
      <c r="A5184" s="52">
        <v>4106</v>
      </c>
      <c r="B5184" s="26" t="s">
        <v>17258</v>
      </c>
      <c r="C5184" s="66" t="s">
        <v>17259</v>
      </c>
      <c r="D5184" s="66"/>
      <c r="E5184" s="66"/>
      <c r="F5184" s="66"/>
      <c r="G5184" s="27" t="s">
        <v>17260</v>
      </c>
      <c r="H5184" s="28" t="s">
        <v>44</v>
      </c>
      <c r="I5184" s="29"/>
      <c r="J5184" s="25">
        <v>1</v>
      </c>
      <c r="K5184" s="30">
        <v>491.19</v>
      </c>
      <c r="L5184" s="17"/>
      <c r="M5184" s="29">
        <f t="shared" si="264"/>
        <v>0</v>
      </c>
      <c r="N5184" s="31">
        <f>0.517*L5184</f>
        <v>0</v>
      </c>
      <c r="O5184" s="32">
        <f>0.00131*L5184</f>
        <v>0</v>
      </c>
      <c r="P5184" s="36"/>
      <c r="Q5184" s="29" t="s">
        <v>17261</v>
      </c>
      <c r="R5184" s="29"/>
      <c r="S5184" s="26" t="str">
        <f>HYPERLINK("https://miland.ru/api/getInfo/image/0ed16171-2915-11e8-ba06-5cf3fc4a2490")</f>
        <v>https://miland.ru/api/getInfo/image/0ed16171-2915-11e8-ba06-5cf3fc4a2490</v>
      </c>
    </row>
    <row r="5185" spans="1:19" s="2" customFormat="1" ht="96.2" customHeight="1" outlineLevel="4">
      <c r="A5185" s="52">
        <v>4107</v>
      </c>
      <c r="B5185" s="26" t="s">
        <v>17262</v>
      </c>
      <c r="C5185" s="66" t="s">
        <v>17263</v>
      </c>
      <c r="D5185" s="66"/>
      <c r="E5185" s="66"/>
      <c r="F5185" s="66"/>
      <c r="G5185" s="27" t="s">
        <v>17264</v>
      </c>
      <c r="H5185" s="28" t="s">
        <v>44</v>
      </c>
      <c r="I5185" s="29"/>
      <c r="J5185" s="25">
        <v>1</v>
      </c>
      <c r="K5185" s="30">
        <v>513.59</v>
      </c>
      <c r="L5185" s="17"/>
      <c r="M5185" s="29">
        <f t="shared" si="264"/>
        <v>0</v>
      </c>
      <c r="N5185" s="31">
        <f>0.524*L5185</f>
        <v>0</v>
      </c>
      <c r="O5185" s="32">
        <f>0.00123*L5185</f>
        <v>0</v>
      </c>
      <c r="P5185" s="36"/>
      <c r="Q5185" s="29" t="s">
        <v>17265</v>
      </c>
      <c r="R5185" s="29"/>
      <c r="S5185" s="26" t="str">
        <f>HYPERLINK("https://miland.ru/api/getInfo/image/24ca3292-2915-11e8-ba06-5cf3fc4a2490")</f>
        <v>https://miland.ru/api/getInfo/image/24ca3292-2915-11e8-ba06-5cf3fc4a2490</v>
      </c>
    </row>
    <row r="5186" spans="1:19" s="2" customFormat="1" ht="96.2" customHeight="1" outlineLevel="4">
      <c r="A5186" s="52">
        <v>4108</v>
      </c>
      <c r="B5186" s="26" t="s">
        <v>17266</v>
      </c>
      <c r="C5186" s="66" t="s">
        <v>17267</v>
      </c>
      <c r="D5186" s="66"/>
      <c r="E5186" s="66"/>
      <c r="F5186" s="66"/>
      <c r="G5186" s="27" t="s">
        <v>17268</v>
      </c>
      <c r="H5186" s="33">
        <v>19</v>
      </c>
      <c r="I5186" s="29"/>
      <c r="J5186" s="25">
        <v>1</v>
      </c>
      <c r="K5186" s="37">
        <v>2005.56</v>
      </c>
      <c r="L5186" s="17"/>
      <c r="M5186" s="29">
        <f t="shared" si="264"/>
        <v>0</v>
      </c>
      <c r="N5186" s="31">
        <f>1.756*L5186</f>
        <v>0</v>
      </c>
      <c r="O5186" s="35">
        <f>0.0036*L5186</f>
        <v>0</v>
      </c>
      <c r="P5186" s="36"/>
      <c r="Q5186" s="29" t="s">
        <v>17269</v>
      </c>
      <c r="R5186" s="29"/>
      <c r="S5186" s="26" t="str">
        <f>HYPERLINK("https://miland.ru/api/getInfo/image/69021f4d-e2d4-11ee-a25a-00155d82e908")</f>
        <v>https://miland.ru/api/getInfo/image/69021f4d-e2d4-11ee-a25a-00155d82e908</v>
      </c>
    </row>
    <row r="5187" spans="1:19" s="2" customFormat="1" ht="96.2" customHeight="1" outlineLevel="4">
      <c r="A5187" s="52">
        <v>4109</v>
      </c>
      <c r="B5187" s="26" t="s">
        <v>17270</v>
      </c>
      <c r="C5187" s="66" t="s">
        <v>17271</v>
      </c>
      <c r="D5187" s="66"/>
      <c r="E5187" s="66"/>
      <c r="F5187" s="66"/>
      <c r="G5187" s="27" t="s">
        <v>17272</v>
      </c>
      <c r="H5187" s="33">
        <v>1</v>
      </c>
      <c r="I5187" s="29"/>
      <c r="J5187" s="25">
        <v>1</v>
      </c>
      <c r="K5187" s="37">
        <v>2494.7199999999998</v>
      </c>
      <c r="L5187" s="17"/>
      <c r="M5187" s="29">
        <f t="shared" si="264"/>
        <v>0</v>
      </c>
      <c r="N5187" s="34">
        <f>2.64*L5187</f>
        <v>0</v>
      </c>
      <c r="O5187" s="32">
        <f>0.00742*L5187</f>
        <v>0</v>
      </c>
      <c r="P5187" s="36"/>
      <c r="Q5187" s="29" t="s">
        <v>17273</v>
      </c>
      <c r="R5187" s="29" t="s">
        <v>611</v>
      </c>
      <c r="S5187" s="26" t="str">
        <f>HYPERLINK("https://miland.ru/api/getInfo/image/cc56f96d-e2d3-11ee-a25a-00155d82e908")</f>
        <v>https://miland.ru/api/getInfo/image/cc56f96d-e2d3-11ee-a25a-00155d82e908</v>
      </c>
    </row>
    <row r="5188" spans="1:19" s="2" customFormat="1" ht="96.2" customHeight="1" outlineLevel="4">
      <c r="A5188" s="52">
        <v>4110</v>
      </c>
      <c r="B5188" s="26" t="s">
        <v>17274</v>
      </c>
      <c r="C5188" s="66" t="s">
        <v>17275</v>
      </c>
      <c r="D5188" s="66"/>
      <c r="E5188" s="66"/>
      <c r="F5188" s="66"/>
      <c r="G5188" s="27" t="s">
        <v>17276</v>
      </c>
      <c r="H5188" s="33">
        <v>36</v>
      </c>
      <c r="I5188" s="29"/>
      <c r="J5188" s="25">
        <v>1</v>
      </c>
      <c r="K5188" s="37">
        <v>2211.84</v>
      </c>
      <c r="L5188" s="17"/>
      <c r="M5188" s="29">
        <f t="shared" si="264"/>
        <v>0</v>
      </c>
      <c r="N5188" s="31">
        <f>2.632*L5188</f>
        <v>0</v>
      </c>
      <c r="O5188" s="32">
        <f>0.00691*L5188</f>
        <v>0</v>
      </c>
      <c r="P5188" s="36"/>
      <c r="Q5188" s="29" t="s">
        <v>17277</v>
      </c>
      <c r="R5188" s="29"/>
      <c r="S5188" s="26" t="str">
        <f>HYPERLINK("https://miland.ru/api/getInfo/image/a8be3010-210f-11f0-a279-00155d82e908")</f>
        <v>https://miland.ru/api/getInfo/image/a8be3010-210f-11f0-a279-00155d82e908</v>
      </c>
    </row>
    <row r="5189" spans="1:19" s="2" customFormat="1" ht="96.2" customHeight="1" outlineLevel="4">
      <c r="A5189" s="52">
        <v>4111</v>
      </c>
      <c r="B5189" s="26" t="s">
        <v>17278</v>
      </c>
      <c r="C5189" s="66" t="s">
        <v>17279</v>
      </c>
      <c r="D5189" s="66"/>
      <c r="E5189" s="66"/>
      <c r="F5189" s="66"/>
      <c r="G5189" s="27" t="s">
        <v>17280</v>
      </c>
      <c r="H5189" s="33">
        <v>265</v>
      </c>
      <c r="I5189" s="29"/>
      <c r="J5189" s="25">
        <v>1</v>
      </c>
      <c r="K5189" s="30">
        <v>743.57</v>
      </c>
      <c r="L5189" s="17"/>
      <c r="M5189" s="29">
        <f t="shared" si="264"/>
        <v>0</v>
      </c>
      <c r="N5189" s="31">
        <f>0.796*L5189</f>
        <v>0</v>
      </c>
      <c r="O5189" s="32">
        <f>0.00238*L5189</f>
        <v>0</v>
      </c>
      <c r="P5189" s="36"/>
      <c r="Q5189" s="29" t="s">
        <v>17281</v>
      </c>
      <c r="R5189" s="29"/>
      <c r="S5189" s="26" t="str">
        <f>HYPERLINK("https://miland.ru/api/getInfo/image/08d6400e-e98c-11ed-a233-00155d82e902")</f>
        <v>https://miland.ru/api/getInfo/image/08d6400e-e98c-11ed-a233-00155d82e902</v>
      </c>
    </row>
    <row r="5190" spans="1:19" s="2" customFormat="1" ht="96.2" customHeight="1" outlineLevel="4">
      <c r="A5190" s="52">
        <v>4112</v>
      </c>
      <c r="B5190" s="26" t="s">
        <v>17282</v>
      </c>
      <c r="C5190" s="66" t="s">
        <v>17283</v>
      </c>
      <c r="D5190" s="66"/>
      <c r="E5190" s="66"/>
      <c r="F5190" s="66"/>
      <c r="G5190" s="27" t="s">
        <v>17284</v>
      </c>
      <c r="H5190" s="28" t="s">
        <v>44</v>
      </c>
      <c r="I5190" s="29"/>
      <c r="J5190" s="25">
        <v>1</v>
      </c>
      <c r="K5190" s="30">
        <v>434.22</v>
      </c>
      <c r="L5190" s="17"/>
      <c r="M5190" s="29">
        <f t="shared" si="264"/>
        <v>0</v>
      </c>
      <c r="N5190" s="31">
        <f>0.409*L5190</f>
        <v>0</v>
      </c>
      <c r="O5190" s="32">
        <f>0.00177*L5190</f>
        <v>0</v>
      </c>
      <c r="P5190" s="36"/>
      <c r="Q5190" s="29" t="s">
        <v>17285</v>
      </c>
      <c r="R5190" s="29"/>
      <c r="S5190" s="26" t="str">
        <f>HYPERLINK("https://miland.ru/api/getInfo/image/32ffc811-2916-11e8-ba06-5cf3fc4a2490")</f>
        <v>https://miland.ru/api/getInfo/image/32ffc811-2916-11e8-ba06-5cf3fc4a2490</v>
      </c>
    </row>
    <row r="5191" spans="1:19" s="2" customFormat="1" ht="96.2" customHeight="1" outlineLevel="4">
      <c r="A5191" s="52">
        <v>4113</v>
      </c>
      <c r="B5191" s="26" t="s">
        <v>17286</v>
      </c>
      <c r="C5191" s="66" t="s">
        <v>17287</v>
      </c>
      <c r="D5191" s="66"/>
      <c r="E5191" s="66"/>
      <c r="F5191" s="66"/>
      <c r="G5191" s="27" t="s">
        <v>17288</v>
      </c>
      <c r="H5191" s="33">
        <v>284</v>
      </c>
      <c r="I5191" s="29"/>
      <c r="J5191" s="25">
        <v>1</v>
      </c>
      <c r="K5191" s="30">
        <v>921.73</v>
      </c>
      <c r="L5191" s="17"/>
      <c r="M5191" s="29">
        <f t="shared" si="264"/>
        <v>0</v>
      </c>
      <c r="N5191" s="31">
        <f>0.552*L5191</f>
        <v>0</v>
      </c>
      <c r="O5191" s="32">
        <f>0.00355*L5191</f>
        <v>0</v>
      </c>
      <c r="P5191" s="36"/>
      <c r="Q5191" s="29" t="s">
        <v>17289</v>
      </c>
      <c r="R5191" s="29"/>
      <c r="S5191" s="26" t="str">
        <f>HYPERLINK("https://miland.ru/api/getInfo/image/9cb514fc-e2d4-11ee-a25a-00155d82e908")</f>
        <v>https://miland.ru/api/getInfo/image/9cb514fc-e2d4-11ee-a25a-00155d82e908</v>
      </c>
    </row>
    <row r="5192" spans="1:19" s="1" customFormat="1" ht="12" customHeight="1" outlineLevel="3">
      <c r="A5192" s="64" t="s">
        <v>17290</v>
      </c>
      <c r="B5192" s="64"/>
      <c r="C5192" s="64"/>
      <c r="D5192" s="64"/>
      <c r="E5192" s="64"/>
      <c r="F5192" s="64"/>
      <c r="G5192" s="8"/>
      <c r="H5192" s="12"/>
      <c r="I5192" s="2"/>
      <c r="J5192" s="2"/>
      <c r="K5192" s="13"/>
      <c r="L5192" s="2"/>
      <c r="M5192" s="2"/>
      <c r="N5192" s="2"/>
      <c r="O5192" s="2"/>
      <c r="P5192" s="2"/>
      <c r="Q5192" s="2"/>
      <c r="R5192" s="2"/>
      <c r="S5192" s="2"/>
    </row>
    <row r="5193" spans="1:19" s="2" customFormat="1" ht="96.2" customHeight="1" outlineLevel="4">
      <c r="A5193" s="53">
        <v>4114</v>
      </c>
      <c r="B5193" s="10" t="s">
        <v>17291</v>
      </c>
      <c r="C5193" s="65" t="s">
        <v>17292</v>
      </c>
      <c r="D5193" s="65"/>
      <c r="E5193" s="65"/>
      <c r="F5193" s="65"/>
      <c r="G5193" s="11" t="s">
        <v>17293</v>
      </c>
      <c r="H5193" s="14">
        <v>270</v>
      </c>
      <c r="I5193" s="15"/>
      <c r="J5193" s="9">
        <v>1</v>
      </c>
      <c r="K5193" s="16">
        <v>592.46</v>
      </c>
      <c r="L5193" s="17"/>
      <c r="M5193" s="15">
        <f t="shared" ref="M5193:M5199" si="265">K5193*L5193</f>
        <v>0</v>
      </c>
      <c r="N5193" s="18">
        <f>0.271*L5193</f>
        <v>0</v>
      </c>
      <c r="O5193" s="19">
        <f>0.00081*L5193</f>
        <v>0</v>
      </c>
      <c r="P5193" s="24" t="s">
        <v>26</v>
      </c>
      <c r="Q5193" s="15" t="s">
        <v>17294</v>
      </c>
      <c r="R5193" s="15"/>
      <c r="S5193" s="10"/>
    </row>
    <row r="5194" spans="1:19" s="2" customFormat="1" ht="96.2" customHeight="1" outlineLevel="4">
      <c r="A5194" s="53">
        <v>4115</v>
      </c>
      <c r="B5194" s="10" t="s">
        <v>17295</v>
      </c>
      <c r="C5194" s="65" t="s">
        <v>17296</v>
      </c>
      <c r="D5194" s="65"/>
      <c r="E5194" s="65"/>
      <c r="F5194" s="65"/>
      <c r="G5194" s="11" t="s">
        <v>17297</v>
      </c>
      <c r="H5194" s="14">
        <v>270</v>
      </c>
      <c r="I5194" s="15"/>
      <c r="J5194" s="9">
        <v>1</v>
      </c>
      <c r="K5194" s="16">
        <v>592.46</v>
      </c>
      <c r="L5194" s="17"/>
      <c r="M5194" s="15">
        <f t="shared" si="265"/>
        <v>0</v>
      </c>
      <c r="N5194" s="18">
        <f>0.279*L5194</f>
        <v>0</v>
      </c>
      <c r="O5194" s="19">
        <f>0.00124*L5194</f>
        <v>0</v>
      </c>
      <c r="P5194" s="24" t="s">
        <v>26</v>
      </c>
      <c r="Q5194" s="15" t="s">
        <v>17298</v>
      </c>
      <c r="R5194" s="15"/>
      <c r="S5194" s="10"/>
    </row>
    <row r="5195" spans="1:19" s="2" customFormat="1" ht="96.2" customHeight="1" outlineLevel="4">
      <c r="A5195" s="53">
        <v>4116</v>
      </c>
      <c r="B5195" s="10" t="s">
        <v>17299</v>
      </c>
      <c r="C5195" s="65" t="s">
        <v>17300</v>
      </c>
      <c r="D5195" s="65"/>
      <c r="E5195" s="65"/>
      <c r="F5195" s="65"/>
      <c r="G5195" s="11" t="s">
        <v>17301</v>
      </c>
      <c r="H5195" s="14">
        <v>270</v>
      </c>
      <c r="I5195" s="15"/>
      <c r="J5195" s="9">
        <v>1</v>
      </c>
      <c r="K5195" s="16">
        <v>617.14</v>
      </c>
      <c r="L5195" s="17"/>
      <c r="M5195" s="15">
        <f t="shared" si="265"/>
        <v>0</v>
      </c>
      <c r="N5195" s="18">
        <f>0.329*L5195</f>
        <v>0</v>
      </c>
      <c r="O5195" s="19">
        <f>0.00137*L5195</f>
        <v>0</v>
      </c>
      <c r="P5195" s="24" t="s">
        <v>26</v>
      </c>
      <c r="Q5195" s="15" t="s">
        <v>17302</v>
      </c>
      <c r="R5195" s="15"/>
      <c r="S5195" s="10"/>
    </row>
    <row r="5196" spans="1:19" s="2" customFormat="1" ht="96.2" customHeight="1" outlineLevel="4">
      <c r="A5196" s="53">
        <v>4117</v>
      </c>
      <c r="B5196" s="10" t="s">
        <v>17303</v>
      </c>
      <c r="C5196" s="65" t="s">
        <v>17304</v>
      </c>
      <c r="D5196" s="65"/>
      <c r="E5196" s="65"/>
      <c r="F5196" s="65"/>
      <c r="G5196" s="11" t="s">
        <v>17305</v>
      </c>
      <c r="H5196" s="14">
        <v>360</v>
      </c>
      <c r="I5196" s="15"/>
      <c r="J5196" s="9">
        <v>1</v>
      </c>
      <c r="K5196" s="16">
        <v>592.46</v>
      </c>
      <c r="L5196" s="17"/>
      <c r="M5196" s="15">
        <f t="shared" si="265"/>
        <v>0</v>
      </c>
      <c r="N5196" s="18">
        <f>0.281*L5196</f>
        <v>0</v>
      </c>
      <c r="O5196" s="19">
        <f>0.00081*L5196</f>
        <v>0</v>
      </c>
      <c r="P5196" s="24" t="s">
        <v>26</v>
      </c>
      <c r="Q5196" s="15" t="s">
        <v>17306</v>
      </c>
      <c r="R5196" s="15"/>
      <c r="S5196" s="10"/>
    </row>
    <row r="5197" spans="1:19" s="2" customFormat="1" ht="96.2" customHeight="1" outlineLevel="4">
      <c r="A5197" s="52">
        <v>4118</v>
      </c>
      <c r="B5197" s="26" t="s">
        <v>17307</v>
      </c>
      <c r="C5197" s="66" t="s">
        <v>17308</v>
      </c>
      <c r="D5197" s="66"/>
      <c r="E5197" s="66"/>
      <c r="F5197" s="66"/>
      <c r="G5197" s="27" t="s">
        <v>17309</v>
      </c>
      <c r="H5197" s="33">
        <v>1</v>
      </c>
      <c r="I5197" s="29"/>
      <c r="J5197" s="25">
        <v>1</v>
      </c>
      <c r="K5197" s="30">
        <v>388.02</v>
      </c>
      <c r="L5197" s="17"/>
      <c r="M5197" s="29">
        <f t="shared" si="265"/>
        <v>0</v>
      </c>
      <c r="N5197" s="31">
        <f>0.406*L5197</f>
        <v>0</v>
      </c>
      <c r="O5197" s="32">
        <f>0.00152*L5197</f>
        <v>0</v>
      </c>
      <c r="P5197" s="36"/>
      <c r="Q5197" s="29" t="s">
        <v>17310</v>
      </c>
      <c r="R5197" s="29"/>
      <c r="S5197" s="26" t="str">
        <f>HYPERLINK("https://miland.ru/api/getInfo/image/9e8564e4-e980-11e8-a214-ac1f6b442184")</f>
        <v>https://miland.ru/api/getInfo/image/9e8564e4-e980-11e8-a214-ac1f6b442184</v>
      </c>
    </row>
    <row r="5198" spans="1:19" s="2" customFormat="1" ht="96.2" customHeight="1" outlineLevel="4">
      <c r="A5198" s="53">
        <v>4119</v>
      </c>
      <c r="B5198" s="10" t="s">
        <v>17311</v>
      </c>
      <c r="C5198" s="65" t="s">
        <v>17312</v>
      </c>
      <c r="D5198" s="65"/>
      <c r="E5198" s="65"/>
      <c r="F5198" s="65"/>
      <c r="G5198" s="11" t="s">
        <v>17313</v>
      </c>
      <c r="H5198" s="14">
        <v>240</v>
      </c>
      <c r="I5198" s="15"/>
      <c r="J5198" s="9">
        <v>1</v>
      </c>
      <c r="K5198" s="16">
        <v>666.51</v>
      </c>
      <c r="L5198" s="17"/>
      <c r="M5198" s="15">
        <f t="shared" si="265"/>
        <v>0</v>
      </c>
      <c r="N5198" s="18">
        <f>0.533*L5198</f>
        <v>0</v>
      </c>
      <c r="O5198" s="19">
        <f>0.00247*L5198</f>
        <v>0</v>
      </c>
      <c r="P5198" s="24" t="s">
        <v>26</v>
      </c>
      <c r="Q5198" s="15" t="s">
        <v>17314</v>
      </c>
      <c r="R5198" s="15"/>
      <c r="S5198" s="10"/>
    </row>
    <row r="5199" spans="1:19" s="2" customFormat="1" ht="96.2" customHeight="1" outlineLevel="4">
      <c r="A5199" s="53">
        <v>4120</v>
      </c>
      <c r="B5199" s="10" t="s">
        <v>17315</v>
      </c>
      <c r="C5199" s="65" t="s">
        <v>17316</v>
      </c>
      <c r="D5199" s="65"/>
      <c r="E5199" s="65"/>
      <c r="F5199" s="65"/>
      <c r="G5199" s="11" t="s">
        <v>17317</v>
      </c>
      <c r="H5199" s="14">
        <v>240</v>
      </c>
      <c r="I5199" s="15"/>
      <c r="J5199" s="9">
        <v>1</v>
      </c>
      <c r="K5199" s="16">
        <v>666.51</v>
      </c>
      <c r="L5199" s="17"/>
      <c r="M5199" s="15">
        <f t="shared" si="265"/>
        <v>0</v>
      </c>
      <c r="N5199" s="18">
        <f>0.439*L5199</f>
        <v>0</v>
      </c>
      <c r="O5199" s="19">
        <f>0.00169*L5199</f>
        <v>0</v>
      </c>
      <c r="P5199" s="24" t="s">
        <v>26</v>
      </c>
      <c r="Q5199" s="15" t="s">
        <v>17318</v>
      </c>
      <c r="R5199" s="15"/>
      <c r="S5199" s="10"/>
    </row>
    <row r="5200" spans="1:19" s="1" customFormat="1" ht="15.95" customHeight="1" outlineLevel="1">
      <c r="A5200" s="62" t="s">
        <v>17319</v>
      </c>
      <c r="B5200" s="62"/>
      <c r="C5200" s="62"/>
      <c r="D5200" s="62"/>
      <c r="E5200" s="62"/>
      <c r="F5200" s="62"/>
      <c r="G5200" s="8"/>
      <c r="H5200" s="12"/>
      <c r="I5200" s="2"/>
      <c r="J5200" s="2"/>
      <c r="K5200" s="13"/>
      <c r="L5200" s="2"/>
      <c r="M5200" s="2"/>
      <c r="N5200" s="2"/>
      <c r="O5200" s="2"/>
      <c r="P5200" s="2"/>
      <c r="Q5200" s="2"/>
      <c r="R5200" s="2"/>
      <c r="S5200" s="2"/>
    </row>
    <row r="5201" spans="1:19" s="1" customFormat="1" ht="12" customHeight="1" outlineLevel="2">
      <c r="A5201" s="63" t="s">
        <v>17320</v>
      </c>
      <c r="B5201" s="63"/>
      <c r="C5201" s="63"/>
      <c r="D5201" s="63"/>
      <c r="E5201" s="63"/>
      <c r="F5201" s="63"/>
      <c r="G5201" s="8"/>
      <c r="H5201" s="12"/>
      <c r="I5201" s="2"/>
      <c r="J5201" s="2"/>
      <c r="K5201" s="13"/>
      <c r="L5201" s="2"/>
      <c r="M5201" s="2"/>
      <c r="N5201" s="2"/>
      <c r="O5201" s="2"/>
      <c r="P5201" s="2"/>
      <c r="Q5201" s="2"/>
      <c r="R5201" s="2"/>
      <c r="S5201" s="2"/>
    </row>
    <row r="5202" spans="1:19" s="2" customFormat="1" ht="96.2" customHeight="1" outlineLevel="3">
      <c r="A5202" s="52">
        <v>4121</v>
      </c>
      <c r="B5202" s="26" t="s">
        <v>17321</v>
      </c>
      <c r="C5202" s="66" t="s">
        <v>17322</v>
      </c>
      <c r="D5202" s="66"/>
      <c r="E5202" s="66"/>
      <c r="F5202" s="66"/>
      <c r="G5202" s="27" t="s">
        <v>17323</v>
      </c>
      <c r="H5202" s="28" t="s">
        <v>44</v>
      </c>
      <c r="I5202" s="29"/>
      <c r="J5202" s="25">
        <v>12</v>
      </c>
      <c r="K5202" s="30">
        <v>54.26</v>
      </c>
      <c r="L5202" s="17"/>
      <c r="M5202" s="29">
        <f>K5202*L5202</f>
        <v>0</v>
      </c>
      <c r="N5202" s="31">
        <f>0.013*L5202</f>
        <v>0</v>
      </c>
      <c r="O5202" s="35">
        <f>0.0003*L5202</f>
        <v>0</v>
      </c>
      <c r="P5202" s="36"/>
      <c r="Q5202" s="29" t="s">
        <v>17324</v>
      </c>
      <c r="R5202" s="29"/>
      <c r="S5202" s="26" t="str">
        <f>HYPERLINK("https://miland.ru/api/getInfo/image/d612230b-8d23-11ee-a250-00155d82e908")</f>
        <v>https://miland.ru/api/getInfo/image/d612230b-8d23-11ee-a250-00155d82e908</v>
      </c>
    </row>
    <row r="5203" spans="1:19" s="2" customFormat="1" ht="96.2" customHeight="1" outlineLevel="3">
      <c r="A5203" s="52">
        <v>4122</v>
      </c>
      <c r="B5203" s="26" t="s">
        <v>17325</v>
      </c>
      <c r="C5203" s="66" t="s">
        <v>17326</v>
      </c>
      <c r="D5203" s="66"/>
      <c r="E5203" s="66"/>
      <c r="F5203" s="66"/>
      <c r="G5203" s="27" t="s">
        <v>17327</v>
      </c>
      <c r="H5203" s="28" t="s">
        <v>44</v>
      </c>
      <c r="I5203" s="29"/>
      <c r="J5203" s="25">
        <v>4</v>
      </c>
      <c r="K5203" s="30">
        <v>162.18</v>
      </c>
      <c r="L5203" s="17"/>
      <c r="M5203" s="29">
        <f>K5203*L5203</f>
        <v>0</v>
      </c>
      <c r="N5203" s="31">
        <f>0.057*L5203</f>
        <v>0</v>
      </c>
      <c r="O5203" s="32">
        <f>0.00027*L5203</f>
        <v>0</v>
      </c>
      <c r="P5203" s="36"/>
      <c r="Q5203" s="29" t="s">
        <v>17328</v>
      </c>
      <c r="R5203" s="29"/>
      <c r="S5203" s="26" t="str">
        <f>HYPERLINK("https://miland.ru/api/getInfo/image/32466813-8d25-11ee-a250-00155d82e908")</f>
        <v>https://miland.ru/api/getInfo/image/32466813-8d25-11ee-a250-00155d82e908</v>
      </c>
    </row>
    <row r="5204" spans="1:19" s="2" customFormat="1" ht="96.2" customHeight="1" outlineLevel="3">
      <c r="A5204" s="52">
        <v>4123</v>
      </c>
      <c r="B5204" s="26" t="s">
        <v>17329</v>
      </c>
      <c r="C5204" s="66" t="s">
        <v>17330</v>
      </c>
      <c r="D5204" s="66"/>
      <c r="E5204" s="66"/>
      <c r="F5204" s="66"/>
      <c r="G5204" s="27" t="s">
        <v>17331</v>
      </c>
      <c r="H5204" s="28" t="s">
        <v>44</v>
      </c>
      <c r="I5204" s="29"/>
      <c r="J5204" s="25">
        <v>3</v>
      </c>
      <c r="K5204" s="30">
        <v>237.1</v>
      </c>
      <c r="L5204" s="17"/>
      <c r="M5204" s="29">
        <f>K5204*L5204</f>
        <v>0</v>
      </c>
      <c r="N5204" s="34">
        <f>0.14*L5204</f>
        <v>0</v>
      </c>
      <c r="O5204" s="32">
        <f>0.00059*L5204</f>
        <v>0</v>
      </c>
      <c r="P5204" s="36"/>
      <c r="Q5204" s="29" t="s">
        <v>17332</v>
      </c>
      <c r="R5204" s="29"/>
      <c r="S5204" s="26" t="str">
        <f>HYPERLINK("https://miland.ru/api/getInfo/image/84d30b9a-8d24-11ee-a250-00155d82e908")</f>
        <v>https://miland.ru/api/getInfo/image/84d30b9a-8d24-11ee-a250-00155d82e908</v>
      </c>
    </row>
    <row r="5205" spans="1:19" s="2" customFormat="1" ht="96.2" customHeight="1" outlineLevel="3">
      <c r="A5205" s="52">
        <v>4124</v>
      </c>
      <c r="B5205" s="26" t="s">
        <v>17333</v>
      </c>
      <c r="C5205" s="66" t="s">
        <v>17334</v>
      </c>
      <c r="D5205" s="66"/>
      <c r="E5205" s="66"/>
      <c r="F5205" s="66"/>
      <c r="G5205" s="27" t="s">
        <v>17335</v>
      </c>
      <c r="H5205" s="28" t="s">
        <v>44</v>
      </c>
      <c r="I5205" s="29"/>
      <c r="J5205" s="25">
        <v>2</v>
      </c>
      <c r="K5205" s="30">
        <v>350.27</v>
      </c>
      <c r="L5205" s="17"/>
      <c r="M5205" s="29">
        <f>K5205*L5205</f>
        <v>0</v>
      </c>
      <c r="N5205" s="31">
        <f>0.169*L5205</f>
        <v>0</v>
      </c>
      <c r="O5205" s="32">
        <f>0.00068*L5205</f>
        <v>0</v>
      </c>
      <c r="P5205" s="36"/>
      <c r="Q5205" s="29" t="s">
        <v>17336</v>
      </c>
      <c r="R5205" s="29"/>
      <c r="S5205" s="26" t="str">
        <f>HYPERLINK("https://miland.ru/api/getInfo/image/4855a990-8d24-11ee-a250-00155d82e908")</f>
        <v>https://miland.ru/api/getInfo/image/4855a990-8d24-11ee-a250-00155d82e908</v>
      </c>
    </row>
    <row r="5206" spans="1:19" s="1" customFormat="1" ht="12" customHeight="1" outlineLevel="2">
      <c r="A5206" s="63" t="s">
        <v>17337</v>
      </c>
      <c r="B5206" s="63"/>
      <c r="C5206" s="63"/>
      <c r="D5206" s="63"/>
      <c r="E5206" s="63"/>
      <c r="F5206" s="63"/>
      <c r="G5206" s="8"/>
      <c r="H5206" s="12"/>
      <c r="I5206" s="2"/>
      <c r="J5206" s="2"/>
      <c r="K5206" s="13"/>
      <c r="L5206" s="2"/>
      <c r="M5206" s="2"/>
      <c r="N5206" s="2"/>
      <c r="O5206" s="2"/>
      <c r="P5206" s="2"/>
      <c r="Q5206" s="2"/>
      <c r="R5206" s="2"/>
      <c r="S5206" s="2"/>
    </row>
    <row r="5207" spans="1:19" s="1" customFormat="1" ht="12" customHeight="1" outlineLevel="3">
      <c r="A5207" s="64" t="s">
        <v>17338</v>
      </c>
      <c r="B5207" s="64"/>
      <c r="C5207" s="64"/>
      <c r="D5207" s="64"/>
      <c r="E5207" s="64"/>
      <c r="F5207" s="64"/>
      <c r="G5207" s="8"/>
      <c r="H5207" s="12"/>
      <c r="I5207" s="2"/>
      <c r="J5207" s="2"/>
      <c r="K5207" s="13"/>
      <c r="L5207" s="2"/>
      <c r="M5207" s="2"/>
      <c r="N5207" s="2"/>
      <c r="O5207" s="2"/>
      <c r="P5207" s="2"/>
      <c r="Q5207" s="2"/>
      <c r="R5207" s="2"/>
      <c r="S5207" s="2"/>
    </row>
    <row r="5208" spans="1:19" s="2" customFormat="1" ht="96.2" customHeight="1" outlineLevel="4">
      <c r="A5208" s="52">
        <v>4125</v>
      </c>
      <c r="B5208" s="26" t="s">
        <v>17339</v>
      </c>
      <c r="C5208" s="66" t="s">
        <v>17340</v>
      </c>
      <c r="D5208" s="66"/>
      <c r="E5208" s="66"/>
      <c r="F5208" s="66"/>
      <c r="G5208" s="27" t="s">
        <v>17341</v>
      </c>
      <c r="H5208" s="33">
        <v>2</v>
      </c>
      <c r="I5208" s="29"/>
      <c r="J5208" s="25">
        <v>1</v>
      </c>
      <c r="K5208" s="30">
        <v>785.56</v>
      </c>
      <c r="L5208" s="17"/>
      <c r="M5208" s="29">
        <f>K5208*L5208</f>
        <v>0</v>
      </c>
      <c r="N5208" s="31">
        <f>0.913*L5208</f>
        <v>0</v>
      </c>
      <c r="O5208" s="32">
        <f>0.00241*L5208</f>
        <v>0</v>
      </c>
      <c r="P5208" s="36"/>
      <c r="Q5208" s="29" t="s">
        <v>17342</v>
      </c>
      <c r="R5208" s="29" t="s">
        <v>611</v>
      </c>
      <c r="S5208" s="26" t="str">
        <f>HYPERLINK("https://miland.ru/api/getInfo/image/d2ebd5fa-682e-11ee-a247-00155d82e902")</f>
        <v>https://miland.ru/api/getInfo/image/d2ebd5fa-682e-11ee-a247-00155d82e902</v>
      </c>
    </row>
    <row r="5209" spans="1:19" s="2" customFormat="1" ht="96.2" customHeight="1" outlineLevel="4">
      <c r="A5209" s="52">
        <v>4126</v>
      </c>
      <c r="B5209" s="26" t="s">
        <v>17343</v>
      </c>
      <c r="C5209" s="66" t="s">
        <v>17344</v>
      </c>
      <c r="D5209" s="66"/>
      <c r="E5209" s="66"/>
      <c r="F5209" s="66"/>
      <c r="G5209" s="27" t="s">
        <v>17345</v>
      </c>
      <c r="H5209" s="33">
        <v>4</v>
      </c>
      <c r="I5209" s="29"/>
      <c r="J5209" s="25">
        <v>1</v>
      </c>
      <c r="K5209" s="30">
        <v>785.56</v>
      </c>
      <c r="L5209" s="17"/>
      <c r="M5209" s="29">
        <f>K5209*L5209</f>
        <v>0</v>
      </c>
      <c r="N5209" s="31">
        <f>0.478*L5209</f>
        <v>0</v>
      </c>
      <c r="O5209" s="32">
        <f>0.00642*L5209</f>
        <v>0</v>
      </c>
      <c r="P5209" s="36"/>
      <c r="Q5209" s="29" t="s">
        <v>17346</v>
      </c>
      <c r="R5209" s="29" t="s">
        <v>611</v>
      </c>
      <c r="S5209" s="26" t="str">
        <f>HYPERLINK("https://miland.ru/api/getInfo/image/9f5ef434-6830-11ee-a247-00155d82e902")</f>
        <v>https://miland.ru/api/getInfo/image/9f5ef434-6830-11ee-a247-00155d82e902</v>
      </c>
    </row>
    <row r="5210" spans="1:19" s="2" customFormat="1" ht="96.2" customHeight="1" outlineLevel="4">
      <c r="A5210" s="52">
        <v>4127</v>
      </c>
      <c r="B5210" s="26" t="s">
        <v>17347</v>
      </c>
      <c r="C5210" s="66" t="s">
        <v>17348</v>
      </c>
      <c r="D5210" s="66"/>
      <c r="E5210" s="66"/>
      <c r="F5210" s="66"/>
      <c r="G5210" s="27" t="s">
        <v>17349</v>
      </c>
      <c r="H5210" s="33">
        <v>5</v>
      </c>
      <c r="I5210" s="29"/>
      <c r="J5210" s="25">
        <v>1</v>
      </c>
      <c r="K5210" s="30">
        <v>837.93</v>
      </c>
      <c r="L5210" s="17"/>
      <c r="M5210" s="29">
        <f>K5210*L5210</f>
        <v>0</v>
      </c>
      <c r="N5210" s="31">
        <f>0.369*L5210</f>
        <v>0</v>
      </c>
      <c r="O5210" s="32">
        <f>0.01124*L5210</f>
        <v>0</v>
      </c>
      <c r="P5210" s="36"/>
      <c r="Q5210" s="29" t="s">
        <v>17350</v>
      </c>
      <c r="R5210" s="29" t="s">
        <v>611</v>
      </c>
      <c r="S5210" s="26" t="str">
        <f>HYPERLINK("https://miland.ru/api/getInfo/image/bdf12461-682f-11ee-a247-00155d82e902")</f>
        <v>https://miland.ru/api/getInfo/image/bdf12461-682f-11ee-a247-00155d82e902</v>
      </c>
    </row>
    <row r="5211" spans="1:19" s="2" customFormat="1" ht="96.2" customHeight="1" outlineLevel="4">
      <c r="A5211" s="52">
        <v>4128</v>
      </c>
      <c r="B5211" s="26" t="s">
        <v>17351</v>
      </c>
      <c r="C5211" s="66" t="s">
        <v>17352</v>
      </c>
      <c r="D5211" s="66"/>
      <c r="E5211" s="66"/>
      <c r="F5211" s="66"/>
      <c r="G5211" s="27" t="s">
        <v>17353</v>
      </c>
      <c r="H5211" s="33">
        <v>32</v>
      </c>
      <c r="I5211" s="29"/>
      <c r="J5211" s="25">
        <v>1</v>
      </c>
      <c r="K5211" s="30">
        <v>837.93</v>
      </c>
      <c r="L5211" s="17"/>
      <c r="M5211" s="29">
        <f>K5211*L5211</f>
        <v>0</v>
      </c>
      <c r="N5211" s="31">
        <f>0.369*L5211</f>
        <v>0</v>
      </c>
      <c r="O5211" s="32">
        <f>0.01124*L5211</f>
        <v>0</v>
      </c>
      <c r="P5211" s="36"/>
      <c r="Q5211" s="29" t="s">
        <v>17354</v>
      </c>
      <c r="R5211" s="29" t="s">
        <v>611</v>
      </c>
      <c r="S5211" s="26" t="str">
        <f>HYPERLINK("https://miland.ru/api/getInfo/image/ade2c732-682f-11ee-a247-00155d82e902")</f>
        <v>https://miland.ru/api/getInfo/image/ade2c732-682f-11ee-a247-00155d82e902</v>
      </c>
    </row>
    <row r="5212" spans="1:19" s="2" customFormat="1" ht="96.2" customHeight="1" outlineLevel="4">
      <c r="A5212" s="52">
        <v>4129</v>
      </c>
      <c r="B5212" s="26" t="s">
        <v>17355</v>
      </c>
      <c r="C5212" s="66" t="s">
        <v>17356</v>
      </c>
      <c r="D5212" s="66"/>
      <c r="E5212" s="66"/>
      <c r="F5212" s="66"/>
      <c r="G5212" s="27" t="s">
        <v>17357</v>
      </c>
      <c r="H5212" s="33">
        <v>4</v>
      </c>
      <c r="I5212" s="29"/>
      <c r="J5212" s="25">
        <v>1</v>
      </c>
      <c r="K5212" s="30">
        <v>837.93</v>
      </c>
      <c r="L5212" s="17"/>
      <c r="M5212" s="29">
        <f>K5212*L5212</f>
        <v>0</v>
      </c>
      <c r="N5212" s="31">
        <f>0.369*L5212</f>
        <v>0</v>
      </c>
      <c r="O5212" s="32">
        <f>0.01124*L5212</f>
        <v>0</v>
      </c>
      <c r="P5212" s="36"/>
      <c r="Q5212" s="29" t="s">
        <v>17358</v>
      </c>
      <c r="R5212" s="29" t="s">
        <v>611</v>
      </c>
      <c r="S5212" s="26" t="str">
        <f>HYPERLINK("https://miland.ru/api/getInfo/image/9745f076-682f-11ee-a247-00155d82e902")</f>
        <v>https://miland.ru/api/getInfo/image/9745f076-682f-11ee-a247-00155d82e902</v>
      </c>
    </row>
    <row r="5213" spans="1:19" s="1" customFormat="1" ht="15.95" customHeight="1" outlineLevel="1">
      <c r="A5213" s="62" t="s">
        <v>17359</v>
      </c>
      <c r="B5213" s="62"/>
      <c r="C5213" s="62"/>
      <c r="D5213" s="62"/>
      <c r="E5213" s="62"/>
      <c r="F5213" s="62"/>
      <c r="G5213" s="8"/>
      <c r="H5213" s="12"/>
      <c r="I5213" s="2"/>
      <c r="J5213" s="2"/>
      <c r="K5213" s="13"/>
      <c r="L5213" s="2"/>
      <c r="M5213" s="2"/>
      <c r="N5213" s="2"/>
      <c r="O5213" s="2"/>
      <c r="P5213" s="2"/>
      <c r="Q5213" s="2"/>
      <c r="R5213" s="2"/>
      <c r="S5213" s="2"/>
    </row>
    <row r="5214" spans="1:19" s="1" customFormat="1" ht="12" customHeight="1" outlineLevel="2">
      <c r="A5214" s="63" t="s">
        <v>17360</v>
      </c>
      <c r="B5214" s="63"/>
      <c r="C5214" s="63"/>
      <c r="D5214" s="63"/>
      <c r="E5214" s="63"/>
      <c r="F5214" s="63"/>
      <c r="G5214" s="8"/>
      <c r="H5214" s="12"/>
      <c r="I5214" s="2"/>
      <c r="J5214" s="2"/>
      <c r="K5214" s="13"/>
      <c r="L5214" s="2"/>
      <c r="M5214" s="2"/>
      <c r="N5214" s="2"/>
      <c r="O5214" s="2"/>
      <c r="P5214" s="2"/>
      <c r="Q5214" s="2"/>
      <c r="R5214" s="2"/>
      <c r="S5214" s="2"/>
    </row>
    <row r="5215" spans="1:19" s="1" customFormat="1" ht="12" customHeight="1" outlineLevel="3">
      <c r="A5215" s="64" t="s">
        <v>17361</v>
      </c>
      <c r="B5215" s="64"/>
      <c r="C5215" s="64"/>
      <c r="D5215" s="64"/>
      <c r="E5215" s="64"/>
      <c r="F5215" s="64"/>
      <c r="G5215" s="8"/>
      <c r="H5215" s="12"/>
      <c r="I5215" s="2"/>
      <c r="J5215" s="2"/>
      <c r="K5215" s="13"/>
      <c r="L5215" s="2"/>
      <c r="M5215" s="2"/>
      <c r="N5215" s="2"/>
      <c r="O5215" s="2"/>
      <c r="P5215" s="2"/>
      <c r="Q5215" s="2"/>
      <c r="R5215" s="2"/>
      <c r="S5215" s="2"/>
    </row>
    <row r="5216" spans="1:19" s="2" customFormat="1" ht="96.2" customHeight="1" outlineLevel="4">
      <c r="A5216" s="52">
        <v>4130</v>
      </c>
      <c r="B5216" s="26" t="s">
        <v>17362</v>
      </c>
      <c r="C5216" s="66" t="s">
        <v>17363</v>
      </c>
      <c r="D5216" s="66"/>
      <c r="E5216" s="66"/>
      <c r="F5216" s="66"/>
      <c r="G5216" s="27" t="s">
        <v>17364</v>
      </c>
      <c r="H5216" s="33">
        <v>3</v>
      </c>
      <c r="I5216" s="29"/>
      <c r="J5216" s="25">
        <v>3</v>
      </c>
      <c r="K5216" s="30">
        <v>204.93</v>
      </c>
      <c r="L5216" s="17"/>
      <c r="M5216" s="29">
        <f>K5216*L5216</f>
        <v>0</v>
      </c>
      <c r="N5216" s="31">
        <f>0.051*L5216</f>
        <v>0</v>
      </c>
      <c r="O5216" s="32">
        <f>0.00022*L5216</f>
        <v>0</v>
      </c>
      <c r="P5216" s="36"/>
      <c r="Q5216" s="29" t="s">
        <v>17365</v>
      </c>
      <c r="R5216" s="29" t="s">
        <v>611</v>
      </c>
      <c r="S5216" s="26" t="str">
        <f>HYPERLINK("https://miland.ru/api/getInfo/image/6931a9a7-5304-11ee-a244-00155d82e902")</f>
        <v>https://miland.ru/api/getInfo/image/6931a9a7-5304-11ee-a244-00155d82e902</v>
      </c>
    </row>
    <row r="5217" spans="1:19" s="1" customFormat="1" ht="12" customHeight="1" outlineLevel="3">
      <c r="A5217" s="64" t="s">
        <v>17366</v>
      </c>
      <c r="B5217" s="64"/>
      <c r="C5217" s="64"/>
      <c r="D5217" s="64"/>
      <c r="E5217" s="64"/>
      <c r="F5217" s="64"/>
      <c r="G5217" s="8"/>
      <c r="H5217" s="12"/>
      <c r="I5217" s="2"/>
      <c r="J5217" s="2"/>
      <c r="K5217" s="13"/>
      <c r="L5217" s="2"/>
      <c r="M5217" s="2"/>
      <c r="N5217" s="2"/>
      <c r="O5217" s="2"/>
      <c r="P5217" s="2"/>
      <c r="Q5217" s="2"/>
      <c r="R5217" s="2"/>
      <c r="S5217" s="2"/>
    </row>
    <row r="5218" spans="1:19" s="2" customFormat="1" ht="96.2" customHeight="1" outlineLevel="4">
      <c r="A5218" s="52">
        <v>4131</v>
      </c>
      <c r="B5218" s="26" t="s">
        <v>17367</v>
      </c>
      <c r="C5218" s="66" t="s">
        <v>17368</v>
      </c>
      <c r="D5218" s="66"/>
      <c r="E5218" s="66"/>
      <c r="F5218" s="66"/>
      <c r="G5218" s="27" t="s">
        <v>17369</v>
      </c>
      <c r="H5218" s="28" t="s">
        <v>44</v>
      </c>
      <c r="I5218" s="29"/>
      <c r="J5218" s="25">
        <v>3</v>
      </c>
      <c r="K5218" s="30">
        <v>222.63</v>
      </c>
      <c r="L5218" s="17"/>
      <c r="M5218" s="29">
        <f>K5218*L5218</f>
        <v>0</v>
      </c>
      <c r="N5218" s="31">
        <f>0.016*L5218</f>
        <v>0</v>
      </c>
      <c r="O5218" s="32">
        <f>0.00019*L5218</f>
        <v>0</v>
      </c>
      <c r="P5218" s="36"/>
      <c r="Q5218" s="29" t="s">
        <v>17370</v>
      </c>
      <c r="R5218" s="29"/>
      <c r="S5218" s="26" t="str">
        <f>HYPERLINK("https://miland.ru/api/getInfo/image/90e9e699-2caa-11ef-a261-00155d82e908")</f>
        <v>https://miland.ru/api/getInfo/image/90e9e699-2caa-11ef-a261-00155d82e908</v>
      </c>
    </row>
    <row r="5219" spans="1:19" s="2" customFormat="1" ht="96.2" customHeight="1" outlineLevel="4">
      <c r="A5219" s="52">
        <v>4132</v>
      </c>
      <c r="B5219" s="26" t="s">
        <v>17371</v>
      </c>
      <c r="C5219" s="66" t="s">
        <v>17372</v>
      </c>
      <c r="D5219" s="66"/>
      <c r="E5219" s="66"/>
      <c r="F5219" s="66"/>
      <c r="G5219" s="27" t="s">
        <v>17373</v>
      </c>
      <c r="H5219" s="28" t="s">
        <v>44</v>
      </c>
      <c r="I5219" s="29"/>
      <c r="J5219" s="25">
        <v>3</v>
      </c>
      <c r="K5219" s="30">
        <v>222.63</v>
      </c>
      <c r="L5219" s="17"/>
      <c r="M5219" s="29">
        <f>K5219*L5219</f>
        <v>0</v>
      </c>
      <c r="N5219" s="31">
        <f>0.028*L5219</f>
        <v>0</v>
      </c>
      <c r="O5219" s="32">
        <f>0.00044*L5219</f>
        <v>0</v>
      </c>
      <c r="P5219" s="36"/>
      <c r="Q5219" s="29" t="s">
        <v>17374</v>
      </c>
      <c r="R5219" s="29"/>
      <c r="S5219" s="26" t="str">
        <f>HYPERLINK("https://miland.ru/api/getInfo/image/f62d7c56-2caa-11ef-a261-00155d82e908")</f>
        <v>https://miland.ru/api/getInfo/image/f62d7c56-2caa-11ef-a261-00155d82e908</v>
      </c>
    </row>
    <row r="5220" spans="1:19" s="2" customFormat="1" ht="96.2" customHeight="1" outlineLevel="4">
      <c r="A5220" s="52">
        <v>4133</v>
      </c>
      <c r="B5220" s="26" t="s">
        <v>17375</v>
      </c>
      <c r="C5220" s="66" t="s">
        <v>17376</v>
      </c>
      <c r="D5220" s="66"/>
      <c r="E5220" s="66"/>
      <c r="F5220" s="66"/>
      <c r="G5220" s="27" t="s">
        <v>17377</v>
      </c>
      <c r="H5220" s="28" t="s">
        <v>44</v>
      </c>
      <c r="I5220" s="29"/>
      <c r="J5220" s="25">
        <v>5</v>
      </c>
      <c r="K5220" s="30">
        <v>136.74</v>
      </c>
      <c r="L5220" s="17"/>
      <c r="M5220" s="29">
        <f>K5220*L5220</f>
        <v>0</v>
      </c>
      <c r="N5220" s="31">
        <f>0.025*L5220</f>
        <v>0</v>
      </c>
      <c r="O5220" s="32">
        <f>0.00025*L5220</f>
        <v>0</v>
      </c>
      <c r="P5220" s="36"/>
      <c r="Q5220" s="29" t="s">
        <v>17378</v>
      </c>
      <c r="R5220" s="29"/>
      <c r="S5220" s="26" t="str">
        <f>HYPERLINK("https://miland.ru/api/getInfo/image/bbff4908-2caa-11ef-a261-00155d82e908")</f>
        <v>https://miland.ru/api/getInfo/image/bbff4908-2caa-11ef-a261-00155d82e908</v>
      </c>
    </row>
    <row r="5221" spans="1:19" s="2" customFormat="1" ht="96.2" customHeight="1" outlineLevel="4">
      <c r="A5221" s="52">
        <v>4134</v>
      </c>
      <c r="B5221" s="26" t="s">
        <v>17379</v>
      </c>
      <c r="C5221" s="66" t="s">
        <v>17380</v>
      </c>
      <c r="D5221" s="66"/>
      <c r="E5221" s="66"/>
      <c r="F5221" s="66"/>
      <c r="G5221" s="27" t="s">
        <v>17381</v>
      </c>
      <c r="H5221" s="28" t="s">
        <v>44</v>
      </c>
      <c r="I5221" s="29"/>
      <c r="J5221" s="25">
        <v>5</v>
      </c>
      <c r="K5221" s="30">
        <v>136.74</v>
      </c>
      <c r="L5221" s="17"/>
      <c r="M5221" s="29">
        <f>K5221*L5221</f>
        <v>0</v>
      </c>
      <c r="N5221" s="31">
        <f>0.021*L5221</f>
        <v>0</v>
      </c>
      <c r="O5221" s="32">
        <f>0.00013*L5221</f>
        <v>0</v>
      </c>
      <c r="P5221" s="36"/>
      <c r="Q5221" s="29" t="s">
        <v>17382</v>
      </c>
      <c r="R5221" s="29"/>
      <c r="S5221" s="26" t="str">
        <f>HYPERLINK("https://miland.ru/api/getInfo/image/1d060d54-2cab-11ef-a261-00155d82e908")</f>
        <v>https://miland.ru/api/getInfo/image/1d060d54-2cab-11ef-a261-00155d82e908</v>
      </c>
    </row>
    <row r="5222" spans="1:19" s="1" customFormat="1" ht="12" customHeight="1" outlineLevel="3">
      <c r="A5222" s="64" t="s">
        <v>17383</v>
      </c>
      <c r="B5222" s="64"/>
      <c r="C5222" s="64"/>
      <c r="D5222" s="64"/>
      <c r="E5222" s="64"/>
      <c r="F5222" s="64"/>
      <c r="G5222" s="8"/>
      <c r="H5222" s="12"/>
      <c r="I5222" s="2"/>
      <c r="J5222" s="2"/>
      <c r="K5222" s="13"/>
      <c r="L5222" s="2"/>
      <c r="M5222" s="2"/>
      <c r="N5222" s="2"/>
      <c r="O5222" s="2"/>
      <c r="P5222" s="2"/>
      <c r="Q5222" s="2"/>
      <c r="R5222" s="2"/>
      <c r="S5222" s="2"/>
    </row>
    <row r="5223" spans="1:19" s="2" customFormat="1" ht="96.2" customHeight="1" outlineLevel="4">
      <c r="A5223" s="52">
        <v>4135</v>
      </c>
      <c r="B5223" s="26" t="s">
        <v>17384</v>
      </c>
      <c r="C5223" s="66" t="s">
        <v>17385</v>
      </c>
      <c r="D5223" s="66"/>
      <c r="E5223" s="66"/>
      <c r="F5223" s="66"/>
      <c r="G5223" s="27" t="s">
        <v>17386</v>
      </c>
      <c r="H5223" s="28" t="s">
        <v>44</v>
      </c>
      <c r="I5223" s="29"/>
      <c r="J5223" s="25">
        <v>5</v>
      </c>
      <c r="K5223" s="30">
        <v>142.61000000000001</v>
      </c>
      <c r="L5223" s="17"/>
      <c r="M5223" s="29">
        <f t="shared" ref="M5223:M5228" si="266">K5223*L5223</f>
        <v>0</v>
      </c>
      <c r="N5223" s="34">
        <f>0.19*L5223</f>
        <v>0</v>
      </c>
      <c r="O5223" s="32">
        <f>0.00056*L5223</f>
        <v>0</v>
      </c>
      <c r="P5223" s="36"/>
      <c r="Q5223" s="29" t="s">
        <v>17387</v>
      </c>
      <c r="R5223" s="29"/>
      <c r="S5223" s="26" t="str">
        <f>HYPERLINK("https://miland.ru/api/getInfo/image/56a1df5b-e133-11ee-a25a-00155d82e908")</f>
        <v>https://miland.ru/api/getInfo/image/56a1df5b-e133-11ee-a25a-00155d82e908</v>
      </c>
    </row>
    <row r="5224" spans="1:19" s="2" customFormat="1" ht="96.2" customHeight="1" outlineLevel="4">
      <c r="A5224" s="52">
        <v>4136</v>
      </c>
      <c r="B5224" s="26" t="s">
        <v>17388</v>
      </c>
      <c r="C5224" s="66" t="s">
        <v>17389</v>
      </c>
      <c r="D5224" s="66"/>
      <c r="E5224" s="66"/>
      <c r="F5224" s="66"/>
      <c r="G5224" s="27" t="s">
        <v>17390</v>
      </c>
      <c r="H5224" s="28" t="s">
        <v>44</v>
      </c>
      <c r="I5224" s="29"/>
      <c r="J5224" s="25">
        <v>5</v>
      </c>
      <c r="K5224" s="30">
        <v>141.35</v>
      </c>
      <c r="L5224" s="17"/>
      <c r="M5224" s="29">
        <f t="shared" si="266"/>
        <v>0</v>
      </c>
      <c r="N5224" s="31">
        <f>0.145*L5224</f>
        <v>0</v>
      </c>
      <c r="O5224" s="32">
        <f>0.00046*L5224</f>
        <v>0</v>
      </c>
      <c r="P5224" s="36"/>
      <c r="Q5224" s="29" t="s">
        <v>17391</v>
      </c>
      <c r="R5224" s="29"/>
      <c r="S5224" s="26" t="str">
        <f>HYPERLINK("https://miland.ru/api/getInfo/image/dcce4012-e132-11ee-a25a-00155d82e908")</f>
        <v>https://miland.ru/api/getInfo/image/dcce4012-e132-11ee-a25a-00155d82e908</v>
      </c>
    </row>
    <row r="5225" spans="1:19" s="2" customFormat="1" ht="96.2" customHeight="1" outlineLevel="4">
      <c r="A5225" s="52">
        <v>4137</v>
      </c>
      <c r="B5225" s="26" t="s">
        <v>17392</v>
      </c>
      <c r="C5225" s="66" t="s">
        <v>17393</v>
      </c>
      <c r="D5225" s="66"/>
      <c r="E5225" s="66"/>
      <c r="F5225" s="66"/>
      <c r="G5225" s="27" t="s">
        <v>17394</v>
      </c>
      <c r="H5225" s="28" t="s">
        <v>44</v>
      </c>
      <c r="I5225" s="29"/>
      <c r="J5225" s="25">
        <v>3</v>
      </c>
      <c r="K5225" s="30">
        <v>223.91</v>
      </c>
      <c r="L5225" s="17"/>
      <c r="M5225" s="29">
        <f t="shared" si="266"/>
        <v>0</v>
      </c>
      <c r="N5225" s="31">
        <f>0.206*L5225</f>
        <v>0</v>
      </c>
      <c r="O5225" s="32">
        <f>0.00059*L5225</f>
        <v>0</v>
      </c>
      <c r="P5225" s="36"/>
      <c r="Q5225" s="29" t="s">
        <v>17395</v>
      </c>
      <c r="R5225" s="29"/>
      <c r="S5225" s="26" t="str">
        <f>HYPERLINK("https://miland.ru/api/getInfo/image/8ce8f291-e133-11ee-a25a-00155d82e908")</f>
        <v>https://miland.ru/api/getInfo/image/8ce8f291-e133-11ee-a25a-00155d82e908</v>
      </c>
    </row>
    <row r="5226" spans="1:19" s="2" customFormat="1" ht="96.2" customHeight="1" outlineLevel="4">
      <c r="A5226" s="52">
        <v>4138</v>
      </c>
      <c r="B5226" s="26" t="s">
        <v>17396</v>
      </c>
      <c r="C5226" s="66" t="s">
        <v>17397</v>
      </c>
      <c r="D5226" s="66"/>
      <c r="E5226" s="66"/>
      <c r="F5226" s="66"/>
      <c r="G5226" s="27" t="s">
        <v>17398</v>
      </c>
      <c r="H5226" s="28" t="s">
        <v>44</v>
      </c>
      <c r="I5226" s="29"/>
      <c r="J5226" s="25">
        <v>5</v>
      </c>
      <c r="K5226" s="30">
        <v>141.35</v>
      </c>
      <c r="L5226" s="17"/>
      <c r="M5226" s="29">
        <f t="shared" si="266"/>
        <v>0</v>
      </c>
      <c r="N5226" s="31">
        <f>0.146*L5226</f>
        <v>0</v>
      </c>
      <c r="O5226" s="35">
        <f>0.0015*L5226</f>
        <v>0</v>
      </c>
      <c r="P5226" s="36"/>
      <c r="Q5226" s="29" t="s">
        <v>17399</v>
      </c>
      <c r="R5226" s="29"/>
      <c r="S5226" s="26" t="str">
        <f>HYPERLINK("https://miland.ru/api/getInfo/image/0cc14400-e132-11ee-a25a-00155d82e908")</f>
        <v>https://miland.ru/api/getInfo/image/0cc14400-e132-11ee-a25a-00155d82e908</v>
      </c>
    </row>
    <row r="5227" spans="1:19" s="2" customFormat="1" ht="96.2" customHeight="1" outlineLevel="4">
      <c r="A5227" s="52">
        <v>4139</v>
      </c>
      <c r="B5227" s="26" t="s">
        <v>17400</v>
      </c>
      <c r="C5227" s="66" t="s">
        <v>17401</v>
      </c>
      <c r="D5227" s="66"/>
      <c r="E5227" s="66"/>
      <c r="F5227" s="66"/>
      <c r="G5227" s="27" t="s">
        <v>17402</v>
      </c>
      <c r="H5227" s="28" t="s">
        <v>44</v>
      </c>
      <c r="I5227" s="29"/>
      <c r="J5227" s="25">
        <v>3</v>
      </c>
      <c r="K5227" s="30">
        <v>223.91</v>
      </c>
      <c r="L5227" s="17"/>
      <c r="M5227" s="29">
        <f t="shared" si="266"/>
        <v>0</v>
      </c>
      <c r="N5227" s="31">
        <f>0.217*L5227</f>
        <v>0</v>
      </c>
      <c r="O5227" s="32">
        <f>0.00066*L5227</f>
        <v>0</v>
      </c>
      <c r="P5227" s="36"/>
      <c r="Q5227" s="29" t="s">
        <v>17403</v>
      </c>
      <c r="R5227" s="29"/>
      <c r="S5227" s="26" t="str">
        <f>HYPERLINK("https://miland.ru/api/getInfo/image/71df9d84-e133-11ee-a25a-00155d82e908")</f>
        <v>https://miland.ru/api/getInfo/image/71df9d84-e133-11ee-a25a-00155d82e908</v>
      </c>
    </row>
    <row r="5228" spans="1:19" s="2" customFormat="1" ht="96.2" customHeight="1" outlineLevel="4">
      <c r="A5228" s="52">
        <v>4140</v>
      </c>
      <c r="B5228" s="26" t="s">
        <v>17404</v>
      </c>
      <c r="C5228" s="66" t="s">
        <v>17405</v>
      </c>
      <c r="D5228" s="66"/>
      <c r="E5228" s="66"/>
      <c r="F5228" s="66"/>
      <c r="G5228" s="27" t="s">
        <v>17406</v>
      </c>
      <c r="H5228" s="33">
        <v>5</v>
      </c>
      <c r="I5228" s="29"/>
      <c r="J5228" s="25">
        <v>1</v>
      </c>
      <c r="K5228" s="37">
        <v>1959.85</v>
      </c>
      <c r="L5228" s="17"/>
      <c r="M5228" s="29">
        <f t="shared" si="266"/>
        <v>0</v>
      </c>
      <c r="N5228" s="34">
        <f>0.36*L5228</f>
        <v>0</v>
      </c>
      <c r="O5228" s="32">
        <f>0.00172*L5228</f>
        <v>0</v>
      </c>
      <c r="P5228" s="36"/>
      <c r="Q5228" s="29" t="s">
        <v>17407</v>
      </c>
      <c r="R5228" s="29" t="s">
        <v>611</v>
      </c>
      <c r="S5228" s="26" t="str">
        <f>HYPERLINK("https://miland.ru/api/getInfo/image/76b9b35d-635f-11ee-a245-00155d82e902")</f>
        <v>https://miland.ru/api/getInfo/image/76b9b35d-635f-11ee-a245-00155d82e902</v>
      </c>
    </row>
    <row r="5229" spans="1:19" s="1" customFormat="1" ht="12" customHeight="1" outlineLevel="2">
      <c r="A5229" s="63" t="s">
        <v>17408</v>
      </c>
      <c r="B5229" s="63"/>
      <c r="C5229" s="63"/>
      <c r="D5229" s="63"/>
      <c r="E5229" s="63"/>
      <c r="F5229" s="63"/>
      <c r="G5229" s="8"/>
      <c r="H5229" s="12"/>
      <c r="I5229" s="2"/>
      <c r="J5229" s="2"/>
      <c r="K5229" s="13"/>
      <c r="L5229" s="2"/>
      <c r="M5229" s="2"/>
      <c r="N5229" s="2"/>
      <c r="O5229" s="2"/>
      <c r="P5229" s="2"/>
      <c r="Q5229" s="2"/>
      <c r="R5229" s="2"/>
      <c r="S5229" s="2"/>
    </row>
    <row r="5230" spans="1:19" s="1" customFormat="1" ht="12" customHeight="1" outlineLevel="3">
      <c r="A5230" s="64" t="s">
        <v>17409</v>
      </c>
      <c r="B5230" s="64"/>
      <c r="C5230" s="64"/>
      <c r="D5230" s="64"/>
      <c r="E5230" s="64"/>
      <c r="F5230" s="64"/>
      <c r="G5230" s="8"/>
      <c r="H5230" s="12"/>
      <c r="I5230" s="2"/>
      <c r="J5230" s="2"/>
      <c r="K5230" s="13"/>
      <c r="L5230" s="2"/>
      <c r="M5230" s="2"/>
      <c r="N5230" s="2"/>
      <c r="O5230" s="2"/>
      <c r="P5230" s="2"/>
      <c r="Q5230" s="2"/>
      <c r="R5230" s="2"/>
      <c r="S5230" s="2"/>
    </row>
    <row r="5231" spans="1:19" s="2" customFormat="1" ht="96.2" customHeight="1" outlineLevel="4">
      <c r="A5231" s="52">
        <v>4141</v>
      </c>
      <c r="B5231" s="26" t="s">
        <v>17410</v>
      </c>
      <c r="C5231" s="66" t="s">
        <v>17411</v>
      </c>
      <c r="D5231" s="66"/>
      <c r="E5231" s="66"/>
      <c r="F5231" s="66"/>
      <c r="G5231" s="27" t="s">
        <v>17412</v>
      </c>
      <c r="H5231" s="33">
        <v>195</v>
      </c>
      <c r="I5231" s="29"/>
      <c r="J5231" s="25">
        <v>1</v>
      </c>
      <c r="K5231" s="37">
        <v>2311.75</v>
      </c>
      <c r="L5231" s="17"/>
      <c r="M5231" s="29">
        <f t="shared" ref="M5231:M5239" si="267">K5231*L5231</f>
        <v>0</v>
      </c>
      <c r="N5231" s="31">
        <f>0.463*L5231</f>
        <v>0</v>
      </c>
      <c r="O5231" s="32">
        <f>0.00208*L5231</f>
        <v>0</v>
      </c>
      <c r="P5231" s="36"/>
      <c r="Q5231" s="29" t="s">
        <v>17413</v>
      </c>
      <c r="R5231" s="29"/>
      <c r="S5231" s="26" t="str">
        <f>HYPERLINK("https://miland.ru/api/getInfo/image/d719c309-f968-11ed-a239-00155d82e902")</f>
        <v>https://miland.ru/api/getInfo/image/d719c309-f968-11ed-a239-00155d82e902</v>
      </c>
    </row>
    <row r="5232" spans="1:19" s="2" customFormat="1" ht="96.2" customHeight="1" outlineLevel="4">
      <c r="A5232" s="52">
        <v>4142</v>
      </c>
      <c r="B5232" s="26" t="s">
        <v>17414</v>
      </c>
      <c r="C5232" s="66" t="s">
        <v>17415</v>
      </c>
      <c r="D5232" s="66"/>
      <c r="E5232" s="66"/>
      <c r="F5232" s="66"/>
      <c r="G5232" s="27" t="s">
        <v>17416</v>
      </c>
      <c r="H5232" s="33">
        <v>114</v>
      </c>
      <c r="I5232" s="29"/>
      <c r="J5232" s="25">
        <v>1</v>
      </c>
      <c r="K5232" s="37">
        <v>2425.92</v>
      </c>
      <c r="L5232" s="17"/>
      <c r="M5232" s="29">
        <f t="shared" si="267"/>
        <v>0</v>
      </c>
      <c r="N5232" s="31">
        <f>0.738*L5232</f>
        <v>0</v>
      </c>
      <c r="O5232" s="32">
        <f>0.00353*L5232</f>
        <v>0</v>
      </c>
      <c r="P5232" s="36"/>
      <c r="Q5232" s="29" t="s">
        <v>17417</v>
      </c>
      <c r="R5232" s="29"/>
      <c r="S5232" s="26" t="str">
        <f>HYPERLINK("https://miland.ru/api/getInfo/image/6f576013-f968-11ed-a239-00155d82e902")</f>
        <v>https://miland.ru/api/getInfo/image/6f576013-f968-11ed-a239-00155d82e902</v>
      </c>
    </row>
    <row r="5233" spans="1:19" s="2" customFormat="1" ht="96.2" customHeight="1" outlineLevel="4">
      <c r="A5233" s="52">
        <v>4143</v>
      </c>
      <c r="B5233" s="26" t="s">
        <v>17418</v>
      </c>
      <c r="C5233" s="66" t="s">
        <v>17419</v>
      </c>
      <c r="D5233" s="66"/>
      <c r="E5233" s="66"/>
      <c r="F5233" s="66"/>
      <c r="G5233" s="27" t="s">
        <v>17420</v>
      </c>
      <c r="H5233" s="33">
        <v>94</v>
      </c>
      <c r="I5233" s="29"/>
      <c r="J5233" s="25">
        <v>1</v>
      </c>
      <c r="K5233" s="37">
        <v>3082.34</v>
      </c>
      <c r="L5233" s="17"/>
      <c r="M5233" s="29">
        <f t="shared" si="267"/>
        <v>0</v>
      </c>
      <c r="N5233" s="34">
        <f>1.09*L5233</f>
        <v>0</v>
      </c>
      <c r="O5233" s="32">
        <f>0.00576*L5233</f>
        <v>0</v>
      </c>
      <c r="P5233" s="36"/>
      <c r="Q5233" s="29" t="s">
        <v>17421</v>
      </c>
      <c r="R5233" s="29"/>
      <c r="S5233" s="26" t="str">
        <f>HYPERLINK("https://miland.ru/api/getInfo/image/936d5220-f967-11ed-a239-00155d82e902")</f>
        <v>https://miland.ru/api/getInfo/image/936d5220-f967-11ed-a239-00155d82e902</v>
      </c>
    </row>
    <row r="5234" spans="1:19" s="2" customFormat="1" ht="96.2" customHeight="1" outlineLevel="4">
      <c r="A5234" s="52">
        <v>4144</v>
      </c>
      <c r="B5234" s="26" t="s">
        <v>17422</v>
      </c>
      <c r="C5234" s="66" t="s">
        <v>17423</v>
      </c>
      <c r="D5234" s="66"/>
      <c r="E5234" s="66"/>
      <c r="F5234" s="66"/>
      <c r="G5234" s="27" t="s">
        <v>17424</v>
      </c>
      <c r="H5234" s="33">
        <v>113</v>
      </c>
      <c r="I5234" s="29"/>
      <c r="J5234" s="25">
        <v>1</v>
      </c>
      <c r="K5234" s="37">
        <v>1969.27</v>
      </c>
      <c r="L5234" s="17"/>
      <c r="M5234" s="29">
        <f t="shared" si="267"/>
        <v>0</v>
      </c>
      <c r="N5234" s="31">
        <f>0.446*L5234</f>
        <v>0</v>
      </c>
      <c r="O5234" s="32">
        <f>0.00209*L5234</f>
        <v>0</v>
      </c>
      <c r="P5234" s="36"/>
      <c r="Q5234" s="29" t="s">
        <v>17425</v>
      </c>
      <c r="R5234" s="29"/>
      <c r="S5234" s="26" t="str">
        <f>HYPERLINK("https://miland.ru/api/getInfo/image/63c1a482-f966-11ed-a239-00155d82e902")</f>
        <v>https://miland.ru/api/getInfo/image/63c1a482-f966-11ed-a239-00155d82e902</v>
      </c>
    </row>
    <row r="5235" spans="1:19" s="2" customFormat="1" ht="96.2" customHeight="1" outlineLevel="4">
      <c r="A5235" s="52">
        <v>4145</v>
      </c>
      <c r="B5235" s="26" t="s">
        <v>17426</v>
      </c>
      <c r="C5235" s="66" t="s">
        <v>17427</v>
      </c>
      <c r="D5235" s="66"/>
      <c r="E5235" s="66"/>
      <c r="F5235" s="66"/>
      <c r="G5235" s="27" t="s">
        <v>17428</v>
      </c>
      <c r="H5235" s="33">
        <v>76</v>
      </c>
      <c r="I5235" s="29"/>
      <c r="J5235" s="25">
        <v>1</v>
      </c>
      <c r="K5235" s="37">
        <v>2054.89</v>
      </c>
      <c r="L5235" s="17"/>
      <c r="M5235" s="29">
        <f t="shared" si="267"/>
        <v>0</v>
      </c>
      <c r="N5235" s="31">
        <f>0.436*L5235</f>
        <v>0</v>
      </c>
      <c r="O5235" s="32">
        <f>0.00194*L5235</f>
        <v>0</v>
      </c>
      <c r="P5235" s="36"/>
      <c r="Q5235" s="29" t="s">
        <v>17429</v>
      </c>
      <c r="R5235" s="29"/>
      <c r="S5235" s="26" t="str">
        <f>HYPERLINK("https://miland.ru/api/getInfo/image/f27a6ac1-f965-11ed-a239-00155d82e902")</f>
        <v>https://miland.ru/api/getInfo/image/f27a6ac1-f965-11ed-a239-00155d82e902</v>
      </c>
    </row>
    <row r="5236" spans="1:19" s="2" customFormat="1" ht="96.2" customHeight="1" outlineLevel="4">
      <c r="A5236" s="52">
        <v>4146</v>
      </c>
      <c r="B5236" s="26" t="s">
        <v>17430</v>
      </c>
      <c r="C5236" s="66" t="s">
        <v>17431</v>
      </c>
      <c r="D5236" s="66"/>
      <c r="E5236" s="66"/>
      <c r="F5236" s="66"/>
      <c r="G5236" s="27" t="s">
        <v>17432</v>
      </c>
      <c r="H5236" s="33">
        <v>75</v>
      </c>
      <c r="I5236" s="29"/>
      <c r="J5236" s="25">
        <v>1</v>
      </c>
      <c r="K5236" s="37">
        <v>2283.2199999999998</v>
      </c>
      <c r="L5236" s="17"/>
      <c r="M5236" s="29">
        <f t="shared" si="267"/>
        <v>0</v>
      </c>
      <c r="N5236" s="31">
        <f>0.708*L5236</f>
        <v>0</v>
      </c>
      <c r="O5236" s="32">
        <f>0.00324*L5236</f>
        <v>0</v>
      </c>
      <c r="P5236" s="36"/>
      <c r="Q5236" s="29" t="s">
        <v>17433</v>
      </c>
      <c r="R5236" s="29"/>
      <c r="S5236" s="26" t="str">
        <f>HYPERLINK("https://miland.ru/api/getInfo/image/23a8e08b-82f4-11ee-a248-00155d82e902")</f>
        <v>https://miland.ru/api/getInfo/image/23a8e08b-82f4-11ee-a248-00155d82e902</v>
      </c>
    </row>
    <row r="5237" spans="1:19" s="2" customFormat="1" ht="96.2" customHeight="1" outlineLevel="4">
      <c r="A5237" s="52">
        <v>4147</v>
      </c>
      <c r="B5237" s="26" t="s">
        <v>17434</v>
      </c>
      <c r="C5237" s="66" t="s">
        <v>17435</v>
      </c>
      <c r="D5237" s="66"/>
      <c r="E5237" s="66"/>
      <c r="F5237" s="66"/>
      <c r="G5237" s="27" t="s">
        <v>17436</v>
      </c>
      <c r="H5237" s="33">
        <v>116</v>
      </c>
      <c r="I5237" s="29"/>
      <c r="J5237" s="25">
        <v>1</v>
      </c>
      <c r="K5237" s="37">
        <v>2482.9899999999998</v>
      </c>
      <c r="L5237" s="17"/>
      <c r="M5237" s="29">
        <f t="shared" si="267"/>
        <v>0</v>
      </c>
      <c r="N5237" s="31">
        <f>0.747*L5237</f>
        <v>0</v>
      </c>
      <c r="O5237" s="32">
        <f>0.00402*L5237</f>
        <v>0</v>
      </c>
      <c r="P5237" s="36"/>
      <c r="Q5237" s="29" t="s">
        <v>17437</v>
      </c>
      <c r="R5237" s="29"/>
      <c r="S5237" s="26" t="str">
        <f>HYPERLINK("https://miland.ru/api/getInfo/image/f097c17c-f966-11ed-a239-00155d82e902")</f>
        <v>https://miland.ru/api/getInfo/image/f097c17c-f966-11ed-a239-00155d82e902</v>
      </c>
    </row>
    <row r="5238" spans="1:19" s="2" customFormat="1" ht="96.2" customHeight="1" outlineLevel="4">
      <c r="A5238" s="52">
        <v>4148</v>
      </c>
      <c r="B5238" s="26" t="s">
        <v>17438</v>
      </c>
      <c r="C5238" s="66" t="s">
        <v>17439</v>
      </c>
      <c r="D5238" s="66"/>
      <c r="E5238" s="66"/>
      <c r="F5238" s="66"/>
      <c r="G5238" s="27" t="s">
        <v>17440</v>
      </c>
      <c r="H5238" s="33">
        <v>3</v>
      </c>
      <c r="I5238" s="29"/>
      <c r="J5238" s="25">
        <v>1</v>
      </c>
      <c r="K5238" s="37">
        <v>1465.74</v>
      </c>
      <c r="L5238" s="17"/>
      <c r="M5238" s="29">
        <f t="shared" si="267"/>
        <v>0</v>
      </c>
      <c r="N5238" s="31">
        <f>1.077*L5238</f>
        <v>0</v>
      </c>
      <c r="O5238" s="32">
        <f>0.00962*L5238</f>
        <v>0</v>
      </c>
      <c r="P5238" s="36"/>
      <c r="Q5238" s="29" t="s">
        <v>17441</v>
      </c>
      <c r="R5238" s="29" t="s">
        <v>611</v>
      </c>
      <c r="S5238" s="26" t="str">
        <f>HYPERLINK("https://miland.ru/api/getInfo/image/36fa00ce-2c53-11ee-a23d-00155d82e902")</f>
        <v>https://miland.ru/api/getInfo/image/36fa00ce-2c53-11ee-a23d-00155d82e902</v>
      </c>
    </row>
    <row r="5239" spans="1:19" s="2" customFormat="1" ht="96.2" customHeight="1" outlineLevel="4">
      <c r="A5239" s="52">
        <v>4149</v>
      </c>
      <c r="B5239" s="26" t="s">
        <v>17442</v>
      </c>
      <c r="C5239" s="66" t="s">
        <v>17443</v>
      </c>
      <c r="D5239" s="66"/>
      <c r="E5239" s="66"/>
      <c r="F5239" s="66"/>
      <c r="G5239" s="27" t="s">
        <v>17444</v>
      </c>
      <c r="H5239" s="33">
        <v>14</v>
      </c>
      <c r="I5239" s="29"/>
      <c r="J5239" s="25">
        <v>1</v>
      </c>
      <c r="K5239" s="37">
        <v>1465.74</v>
      </c>
      <c r="L5239" s="17"/>
      <c r="M5239" s="29">
        <f t="shared" si="267"/>
        <v>0</v>
      </c>
      <c r="N5239" s="34">
        <f>1.15*L5239</f>
        <v>0</v>
      </c>
      <c r="O5239" s="32">
        <f>0.00944*L5239</f>
        <v>0</v>
      </c>
      <c r="P5239" s="36"/>
      <c r="Q5239" s="29" t="s">
        <v>17445</v>
      </c>
      <c r="R5239" s="29" t="s">
        <v>611</v>
      </c>
      <c r="S5239" s="26" t="str">
        <f>HYPERLINK("https://miland.ru/api/getInfo/image/f7b16a6e-2c52-11ee-a23d-00155d82e902")</f>
        <v>https://miland.ru/api/getInfo/image/f7b16a6e-2c52-11ee-a23d-00155d82e902</v>
      </c>
    </row>
    <row r="5240" spans="1:19" s="1" customFormat="1" ht="12" customHeight="1" outlineLevel="3">
      <c r="A5240" s="64" t="s">
        <v>17446</v>
      </c>
      <c r="B5240" s="64"/>
      <c r="C5240" s="64"/>
      <c r="D5240" s="64"/>
      <c r="E5240" s="64"/>
      <c r="F5240" s="64"/>
      <c r="G5240" s="8"/>
      <c r="H5240" s="12"/>
      <c r="I5240" s="2"/>
      <c r="J5240" s="2"/>
      <c r="K5240" s="13"/>
      <c r="L5240" s="2"/>
      <c r="M5240" s="2"/>
      <c r="N5240" s="2"/>
      <c r="O5240" s="2"/>
      <c r="P5240" s="2"/>
      <c r="Q5240" s="2"/>
      <c r="R5240" s="2"/>
      <c r="S5240" s="2"/>
    </row>
    <row r="5241" spans="1:19" s="2" customFormat="1" ht="96.2" customHeight="1" outlineLevel="4">
      <c r="A5241" s="52">
        <v>4150</v>
      </c>
      <c r="B5241" s="26" t="s">
        <v>17447</v>
      </c>
      <c r="C5241" s="66" t="s">
        <v>17448</v>
      </c>
      <c r="D5241" s="66"/>
      <c r="E5241" s="66"/>
      <c r="F5241" s="66"/>
      <c r="G5241" s="27" t="s">
        <v>17449</v>
      </c>
      <c r="H5241" s="33">
        <v>1</v>
      </c>
      <c r="I5241" s="29"/>
      <c r="J5241" s="25">
        <v>1</v>
      </c>
      <c r="K5241" s="37">
        <v>1430.26</v>
      </c>
      <c r="L5241" s="17"/>
      <c r="M5241" s="29">
        <f>K5241*L5241</f>
        <v>0</v>
      </c>
      <c r="N5241" s="31">
        <f>0.109*L5241</f>
        <v>0</v>
      </c>
      <c r="O5241" s="32">
        <f>0.00068*L5241</f>
        <v>0</v>
      </c>
      <c r="P5241" s="36"/>
      <c r="Q5241" s="29" t="s">
        <v>17450</v>
      </c>
      <c r="R5241" s="29" t="s">
        <v>611</v>
      </c>
      <c r="S5241" s="26" t="str">
        <f>HYPERLINK("https://miland.ru/api/getInfo/image/b6cde1e6-4d6c-11ee-a244-00155d82e902")</f>
        <v>https://miland.ru/api/getInfo/image/b6cde1e6-4d6c-11ee-a244-00155d82e902</v>
      </c>
    </row>
    <row r="5242" spans="1:19" s="1" customFormat="1" ht="12" customHeight="1" outlineLevel="3">
      <c r="A5242" s="64" t="s">
        <v>17451</v>
      </c>
      <c r="B5242" s="64"/>
      <c r="C5242" s="64"/>
      <c r="D5242" s="64"/>
      <c r="E5242" s="64"/>
      <c r="F5242" s="64"/>
      <c r="G5242" s="8"/>
      <c r="H5242" s="12"/>
      <c r="I5242" s="2"/>
      <c r="J5242" s="2"/>
      <c r="K5242" s="13"/>
      <c r="L5242" s="2"/>
      <c r="M5242" s="2"/>
      <c r="N5242" s="2"/>
      <c r="O5242" s="2"/>
      <c r="P5242" s="2"/>
      <c r="Q5242" s="2"/>
      <c r="R5242" s="2"/>
      <c r="S5242" s="2"/>
    </row>
    <row r="5243" spans="1:19" s="2" customFormat="1" ht="96.2" customHeight="1" outlineLevel="4">
      <c r="A5243" s="52">
        <v>4151</v>
      </c>
      <c r="B5243" s="26" t="s">
        <v>17452</v>
      </c>
      <c r="C5243" s="66" t="s">
        <v>17453</v>
      </c>
      <c r="D5243" s="66"/>
      <c r="E5243" s="66"/>
      <c r="F5243" s="66"/>
      <c r="G5243" s="27" t="s">
        <v>17454</v>
      </c>
      <c r="H5243" s="28" t="s">
        <v>44</v>
      </c>
      <c r="I5243" s="29"/>
      <c r="J5243" s="25">
        <v>3</v>
      </c>
      <c r="K5243" s="30">
        <v>188.71</v>
      </c>
      <c r="L5243" s="17"/>
      <c r="M5243" s="29">
        <f>K5243*L5243</f>
        <v>0</v>
      </c>
      <c r="N5243" s="31">
        <f>0.029*L5243</f>
        <v>0</v>
      </c>
      <c r="O5243" s="32">
        <f>0.00004*L5243</f>
        <v>0</v>
      </c>
      <c r="P5243" s="36"/>
      <c r="Q5243" s="29" t="s">
        <v>17455</v>
      </c>
      <c r="R5243" s="29"/>
      <c r="S5243" s="26" t="str">
        <f>HYPERLINK("https://miland.ru/api/getInfo/image/c3f98383-2cab-11ef-a261-00155d82e908")</f>
        <v>https://miland.ru/api/getInfo/image/c3f98383-2cab-11ef-a261-00155d82e908</v>
      </c>
    </row>
    <row r="5244" spans="1:19" s="1" customFormat="1" ht="12" customHeight="1" outlineLevel="2">
      <c r="A5244" s="63" t="s">
        <v>17456</v>
      </c>
      <c r="B5244" s="63"/>
      <c r="C5244" s="63"/>
      <c r="D5244" s="63"/>
      <c r="E5244" s="63"/>
      <c r="F5244" s="63"/>
      <c r="G5244" s="8"/>
      <c r="H5244" s="12"/>
      <c r="I5244" s="2"/>
      <c r="J5244" s="2"/>
      <c r="K5244" s="13"/>
      <c r="L5244" s="2"/>
      <c r="M5244" s="2"/>
      <c r="N5244" s="2"/>
      <c r="O5244" s="2"/>
      <c r="P5244" s="2"/>
      <c r="Q5244" s="2"/>
      <c r="R5244" s="2"/>
      <c r="S5244" s="2"/>
    </row>
    <row r="5245" spans="1:19" s="2" customFormat="1" ht="96.2" customHeight="1" outlineLevel="3">
      <c r="A5245" s="52">
        <v>4152</v>
      </c>
      <c r="B5245" s="26" t="s">
        <v>17457</v>
      </c>
      <c r="C5245" s="66" t="s">
        <v>17458</v>
      </c>
      <c r="D5245" s="66"/>
      <c r="E5245" s="66"/>
      <c r="F5245" s="66"/>
      <c r="G5245" s="27" t="s">
        <v>17459</v>
      </c>
      <c r="H5245" s="33">
        <v>2</v>
      </c>
      <c r="I5245" s="29"/>
      <c r="J5245" s="25">
        <v>2</v>
      </c>
      <c r="K5245" s="30">
        <v>360.36</v>
      </c>
      <c r="L5245" s="17"/>
      <c r="M5245" s="29">
        <f>K5245*L5245</f>
        <v>0</v>
      </c>
      <c r="N5245" s="31">
        <f>0.196*L5245</f>
        <v>0</v>
      </c>
      <c r="O5245" s="32">
        <f>0.00115*L5245</f>
        <v>0</v>
      </c>
      <c r="P5245" s="36"/>
      <c r="Q5245" s="29" t="s">
        <v>17460</v>
      </c>
      <c r="R5245" s="29" t="s">
        <v>611</v>
      </c>
      <c r="S5245" s="26" t="str">
        <f>HYPERLINK("https://miland.ru/api/getInfo/image/2be18c98-9f32-11ee-a257-00155d82e908")</f>
        <v>https://miland.ru/api/getInfo/image/2be18c98-9f32-11ee-a257-00155d82e908</v>
      </c>
    </row>
    <row r="5246" spans="1:19" s="1" customFormat="1" ht="12" customHeight="1" outlineLevel="2">
      <c r="A5246" s="63" t="s">
        <v>17461</v>
      </c>
      <c r="B5246" s="63"/>
      <c r="C5246" s="63"/>
      <c r="D5246" s="63"/>
      <c r="E5246" s="63"/>
      <c r="F5246" s="63"/>
      <c r="G5246" s="8"/>
      <c r="H5246" s="12"/>
      <c r="I5246" s="2"/>
      <c r="J5246" s="2"/>
      <c r="K5246" s="13"/>
      <c r="L5246" s="2"/>
      <c r="M5246" s="2"/>
      <c r="N5246" s="2"/>
      <c r="O5246" s="2"/>
      <c r="P5246" s="2"/>
      <c r="Q5246" s="2"/>
      <c r="R5246" s="2"/>
      <c r="S5246" s="2"/>
    </row>
    <row r="5247" spans="1:19" s="1" customFormat="1" ht="12" customHeight="1" outlineLevel="3">
      <c r="A5247" s="64" t="s">
        <v>17462</v>
      </c>
      <c r="B5247" s="64"/>
      <c r="C5247" s="64"/>
      <c r="D5247" s="64"/>
      <c r="E5247" s="64"/>
      <c r="F5247" s="64"/>
      <c r="G5247" s="8"/>
      <c r="H5247" s="12"/>
      <c r="I5247" s="2"/>
      <c r="J5247" s="2"/>
      <c r="K5247" s="13"/>
      <c r="L5247" s="2"/>
      <c r="M5247" s="2"/>
      <c r="N5247" s="2"/>
      <c r="O5247" s="2"/>
      <c r="P5247" s="2"/>
      <c r="Q5247" s="2"/>
      <c r="R5247" s="2"/>
      <c r="S5247" s="2"/>
    </row>
    <row r="5248" spans="1:19" s="2" customFormat="1" ht="96.2" customHeight="1" outlineLevel="4">
      <c r="A5248" s="52">
        <v>4153</v>
      </c>
      <c r="B5248" s="26" t="s">
        <v>17463</v>
      </c>
      <c r="C5248" s="66" t="s">
        <v>17464</v>
      </c>
      <c r="D5248" s="66"/>
      <c r="E5248" s="66"/>
      <c r="F5248" s="66"/>
      <c r="G5248" s="27" t="s">
        <v>17465</v>
      </c>
      <c r="H5248" s="33">
        <v>5</v>
      </c>
      <c r="I5248" s="29"/>
      <c r="J5248" s="25">
        <v>1</v>
      </c>
      <c r="K5248" s="37">
        <v>4194.0200000000004</v>
      </c>
      <c r="L5248" s="17"/>
      <c r="M5248" s="29">
        <f>K5248*L5248</f>
        <v>0</v>
      </c>
      <c r="N5248" s="34">
        <f>1.16*L5248</f>
        <v>0</v>
      </c>
      <c r="O5248" s="32">
        <f>0.00908*L5248</f>
        <v>0</v>
      </c>
      <c r="P5248" s="36"/>
      <c r="Q5248" s="29" t="s">
        <v>17466</v>
      </c>
      <c r="R5248" s="29" t="s">
        <v>611</v>
      </c>
      <c r="S5248" s="26" t="str">
        <f>HYPERLINK("https://miland.ru/api/getInfo/image/b6a499ff-852c-11ee-a248-00155d82e902")</f>
        <v>https://miland.ru/api/getInfo/image/b6a499ff-852c-11ee-a248-00155d82e902</v>
      </c>
    </row>
    <row r="5249" spans="1:19" s="2" customFormat="1" ht="96.2" customHeight="1" outlineLevel="4">
      <c r="A5249" s="52">
        <v>4154</v>
      </c>
      <c r="B5249" s="26" t="s">
        <v>17467</v>
      </c>
      <c r="C5249" s="66" t="s">
        <v>17468</v>
      </c>
      <c r="D5249" s="66"/>
      <c r="E5249" s="66"/>
      <c r="F5249" s="66"/>
      <c r="G5249" s="27" t="s">
        <v>17469</v>
      </c>
      <c r="H5249" s="33">
        <v>5</v>
      </c>
      <c r="I5249" s="29"/>
      <c r="J5249" s="25">
        <v>1</v>
      </c>
      <c r="K5249" s="37">
        <v>4194.0200000000004</v>
      </c>
      <c r="L5249" s="17"/>
      <c r="M5249" s="29">
        <f>K5249*L5249</f>
        <v>0</v>
      </c>
      <c r="N5249" s="31">
        <f>1.161*L5249</f>
        <v>0</v>
      </c>
      <c r="O5249" s="32">
        <f>0.00963*L5249</f>
        <v>0</v>
      </c>
      <c r="P5249" s="36"/>
      <c r="Q5249" s="29" t="s">
        <v>17470</v>
      </c>
      <c r="R5249" s="29" t="s">
        <v>611</v>
      </c>
      <c r="S5249" s="26" t="str">
        <f>HYPERLINK("https://miland.ru/api/getInfo/image/65f3e229-852c-11ee-a248-00155d82e902")</f>
        <v>https://miland.ru/api/getInfo/image/65f3e229-852c-11ee-a248-00155d82e902</v>
      </c>
    </row>
    <row r="5250" spans="1:19" s="1" customFormat="1" ht="12" customHeight="1" outlineLevel="2">
      <c r="A5250" s="63" t="s">
        <v>17471</v>
      </c>
      <c r="B5250" s="63"/>
      <c r="C5250" s="63"/>
      <c r="D5250" s="63"/>
      <c r="E5250" s="63"/>
      <c r="F5250" s="63"/>
      <c r="G5250" s="8"/>
      <c r="H5250" s="12"/>
      <c r="I5250" s="2"/>
      <c r="J5250" s="2"/>
      <c r="K5250" s="13"/>
      <c r="L5250" s="2"/>
      <c r="M5250" s="2"/>
      <c r="N5250" s="2"/>
      <c r="O5250" s="2"/>
      <c r="P5250" s="2"/>
      <c r="Q5250" s="2"/>
      <c r="R5250" s="2"/>
      <c r="S5250" s="2"/>
    </row>
    <row r="5251" spans="1:19" s="1" customFormat="1" ht="12" customHeight="1" outlineLevel="3">
      <c r="A5251" s="64" t="s">
        <v>17472</v>
      </c>
      <c r="B5251" s="64"/>
      <c r="C5251" s="64"/>
      <c r="D5251" s="64"/>
      <c r="E5251" s="64"/>
      <c r="F5251" s="64"/>
      <c r="G5251" s="8"/>
      <c r="H5251" s="12"/>
      <c r="I5251" s="2"/>
      <c r="J5251" s="2"/>
      <c r="K5251" s="13"/>
      <c r="L5251" s="2"/>
      <c r="M5251" s="2"/>
      <c r="N5251" s="2"/>
      <c r="O5251" s="2"/>
      <c r="P5251" s="2"/>
      <c r="Q5251" s="2"/>
      <c r="R5251" s="2"/>
      <c r="S5251" s="2"/>
    </row>
    <row r="5252" spans="1:19" s="1" customFormat="1" ht="12" customHeight="1" outlineLevel="4">
      <c r="A5252" s="64" t="s">
        <v>17473</v>
      </c>
      <c r="B5252" s="64"/>
      <c r="C5252" s="64"/>
      <c r="D5252" s="64"/>
      <c r="E5252" s="64"/>
      <c r="F5252" s="64"/>
      <c r="G5252" s="8"/>
      <c r="H5252" s="12"/>
      <c r="I5252" s="2"/>
      <c r="J5252" s="2"/>
      <c r="K5252" s="13"/>
      <c r="L5252" s="2"/>
      <c r="M5252" s="2"/>
      <c r="N5252" s="2"/>
      <c r="O5252" s="2"/>
      <c r="P5252" s="2"/>
      <c r="Q5252" s="2"/>
      <c r="R5252" s="2"/>
      <c r="S5252" s="2"/>
    </row>
    <row r="5253" spans="1:19" s="2" customFormat="1" ht="96.2" customHeight="1" outlineLevel="5">
      <c r="A5253" s="52">
        <v>4155</v>
      </c>
      <c r="B5253" s="26" t="s">
        <v>17474</v>
      </c>
      <c r="C5253" s="66" t="s">
        <v>17475</v>
      </c>
      <c r="D5253" s="66"/>
      <c r="E5253" s="66"/>
      <c r="F5253" s="66"/>
      <c r="G5253" s="27" t="s">
        <v>17476</v>
      </c>
      <c r="H5253" s="33">
        <v>4</v>
      </c>
      <c r="I5253" s="29"/>
      <c r="J5253" s="25">
        <v>1</v>
      </c>
      <c r="K5253" s="37">
        <v>2491.2800000000002</v>
      </c>
      <c r="L5253" s="17"/>
      <c r="M5253" s="29">
        <f t="shared" ref="M5253:M5280" si="268">K5253*L5253</f>
        <v>0</v>
      </c>
      <c r="N5253" s="34">
        <f>2.37*L5253</f>
        <v>0</v>
      </c>
      <c r="O5253" s="35">
        <f>0.0247*L5253</f>
        <v>0</v>
      </c>
      <c r="P5253" s="36"/>
      <c r="Q5253" s="29" t="s">
        <v>17477</v>
      </c>
      <c r="R5253" s="29"/>
      <c r="S5253" s="26" t="str">
        <f>HYPERLINK("https://miland.ru/api/getInfo/image/53d6395f-968b-11ef-a267-00155d82e908")</f>
        <v>https://miland.ru/api/getInfo/image/53d6395f-968b-11ef-a267-00155d82e908</v>
      </c>
    </row>
    <row r="5254" spans="1:19" s="2" customFormat="1" ht="96.2" customHeight="1" outlineLevel="5">
      <c r="A5254" s="52">
        <v>4156</v>
      </c>
      <c r="B5254" s="26" t="s">
        <v>17478</v>
      </c>
      <c r="C5254" s="66" t="s">
        <v>17479</v>
      </c>
      <c r="D5254" s="66"/>
      <c r="E5254" s="66"/>
      <c r="F5254" s="66"/>
      <c r="G5254" s="27" t="s">
        <v>17480</v>
      </c>
      <c r="H5254" s="33">
        <v>17</v>
      </c>
      <c r="I5254" s="29"/>
      <c r="J5254" s="25">
        <v>1</v>
      </c>
      <c r="K5254" s="37">
        <v>2972.68</v>
      </c>
      <c r="L5254" s="17"/>
      <c r="M5254" s="29">
        <f t="shared" si="268"/>
        <v>0</v>
      </c>
      <c r="N5254" s="34">
        <f>2.37*L5254</f>
        <v>0</v>
      </c>
      <c r="O5254" s="32">
        <f>0.02405*L5254</f>
        <v>0</v>
      </c>
      <c r="P5254" s="36"/>
      <c r="Q5254" s="29" t="s">
        <v>17481</v>
      </c>
      <c r="R5254" s="29" t="s">
        <v>611</v>
      </c>
      <c r="S5254" s="26" t="str">
        <f>HYPERLINK("https://miland.ru/api/getInfo/image/9d9183c3-968d-11ef-a267-00155d82e908")</f>
        <v>https://miland.ru/api/getInfo/image/9d9183c3-968d-11ef-a267-00155d82e908</v>
      </c>
    </row>
    <row r="5255" spans="1:19" s="2" customFormat="1" ht="96.2" customHeight="1" outlineLevel="5">
      <c r="A5255" s="52">
        <v>4157</v>
      </c>
      <c r="B5255" s="26" t="s">
        <v>17482</v>
      </c>
      <c r="C5255" s="66" t="s">
        <v>17483</v>
      </c>
      <c r="D5255" s="66"/>
      <c r="E5255" s="66"/>
      <c r="F5255" s="66"/>
      <c r="G5255" s="27" t="s">
        <v>17484</v>
      </c>
      <c r="H5255" s="33">
        <v>5</v>
      </c>
      <c r="I5255" s="29"/>
      <c r="J5255" s="25">
        <v>1</v>
      </c>
      <c r="K5255" s="37">
        <v>6796.25</v>
      </c>
      <c r="L5255" s="17"/>
      <c r="M5255" s="29">
        <f t="shared" si="268"/>
        <v>0</v>
      </c>
      <c r="N5255" s="31">
        <f>4.012*L5255</f>
        <v>0</v>
      </c>
      <c r="O5255" s="32">
        <f>0.03762*L5255</f>
        <v>0</v>
      </c>
      <c r="P5255" s="36"/>
      <c r="Q5255" s="29" t="s">
        <v>17485</v>
      </c>
      <c r="R5255" s="29"/>
      <c r="S5255" s="26" t="str">
        <f>HYPERLINK("https://miland.ru/api/getInfo/image/2a565d8d-9691-11ef-a267-00155d82e908")</f>
        <v>https://miland.ru/api/getInfo/image/2a565d8d-9691-11ef-a267-00155d82e908</v>
      </c>
    </row>
    <row r="5256" spans="1:19" s="2" customFormat="1" ht="96.2" customHeight="1" outlineLevel="5">
      <c r="A5256" s="52">
        <v>4158</v>
      </c>
      <c r="B5256" s="26" t="s">
        <v>17486</v>
      </c>
      <c r="C5256" s="66" t="s">
        <v>17487</v>
      </c>
      <c r="D5256" s="66"/>
      <c r="E5256" s="66"/>
      <c r="F5256" s="66"/>
      <c r="G5256" s="27" t="s">
        <v>17488</v>
      </c>
      <c r="H5256" s="33">
        <v>134</v>
      </c>
      <c r="I5256" s="29"/>
      <c r="J5256" s="25">
        <v>1</v>
      </c>
      <c r="K5256" s="37">
        <v>6450.71</v>
      </c>
      <c r="L5256" s="17"/>
      <c r="M5256" s="29">
        <f t="shared" si="268"/>
        <v>0</v>
      </c>
      <c r="N5256" s="50">
        <f>4*L5256</f>
        <v>0</v>
      </c>
      <c r="O5256" s="32">
        <f>0.03614*L5256</f>
        <v>0</v>
      </c>
      <c r="P5256" s="36"/>
      <c r="Q5256" s="29" t="s">
        <v>17489</v>
      </c>
      <c r="R5256" s="29" t="s">
        <v>611</v>
      </c>
      <c r="S5256" s="26" t="str">
        <f>HYPERLINK("https://miland.ru/api/getInfo/image/b4102a45-9693-11ef-a267-00155d82e908")</f>
        <v>https://miland.ru/api/getInfo/image/b4102a45-9693-11ef-a267-00155d82e908</v>
      </c>
    </row>
    <row r="5257" spans="1:19" s="2" customFormat="1" ht="96.2" customHeight="1" outlineLevel="5">
      <c r="A5257" s="52">
        <v>4159</v>
      </c>
      <c r="B5257" s="26" t="s">
        <v>17490</v>
      </c>
      <c r="C5257" s="66" t="s">
        <v>17491</v>
      </c>
      <c r="D5257" s="66"/>
      <c r="E5257" s="66"/>
      <c r="F5257" s="66"/>
      <c r="G5257" s="27" t="s">
        <v>17492</v>
      </c>
      <c r="H5257" s="33">
        <v>1</v>
      </c>
      <c r="I5257" s="29"/>
      <c r="J5257" s="25">
        <v>1</v>
      </c>
      <c r="K5257" s="37">
        <v>6450.71</v>
      </c>
      <c r="L5257" s="17"/>
      <c r="M5257" s="29">
        <f t="shared" si="268"/>
        <v>0</v>
      </c>
      <c r="N5257" s="41">
        <f>3.9*L5257</f>
        <v>0</v>
      </c>
      <c r="O5257" s="32">
        <f>0.03614*L5257</f>
        <v>0</v>
      </c>
      <c r="P5257" s="36"/>
      <c r="Q5257" s="29" t="s">
        <v>17493</v>
      </c>
      <c r="R5257" s="29" t="s">
        <v>611</v>
      </c>
      <c r="S5257" s="26" t="str">
        <f>HYPERLINK("https://miland.ru/api/getInfo/image/78e01901-9694-11ef-a267-00155d82e908")</f>
        <v>https://miland.ru/api/getInfo/image/78e01901-9694-11ef-a267-00155d82e908</v>
      </c>
    </row>
    <row r="5258" spans="1:19" s="2" customFormat="1" ht="96.2" customHeight="1" outlineLevel="5">
      <c r="A5258" s="52">
        <v>4160</v>
      </c>
      <c r="B5258" s="26" t="s">
        <v>17494</v>
      </c>
      <c r="C5258" s="66" t="s">
        <v>17495</v>
      </c>
      <c r="D5258" s="66"/>
      <c r="E5258" s="66"/>
      <c r="F5258" s="66"/>
      <c r="G5258" s="27" t="s">
        <v>17496</v>
      </c>
      <c r="H5258" s="33">
        <v>10</v>
      </c>
      <c r="I5258" s="29"/>
      <c r="J5258" s="25">
        <v>1</v>
      </c>
      <c r="K5258" s="37">
        <v>3935.36</v>
      </c>
      <c r="L5258" s="17"/>
      <c r="M5258" s="29">
        <f t="shared" si="268"/>
        <v>0</v>
      </c>
      <c r="N5258" s="31">
        <f>2.228*L5258</f>
        <v>0</v>
      </c>
      <c r="O5258" s="32">
        <f>0.01783*L5258</f>
        <v>0</v>
      </c>
      <c r="P5258" s="36"/>
      <c r="Q5258" s="29" t="s">
        <v>17497</v>
      </c>
      <c r="R5258" s="29"/>
      <c r="S5258" s="26" t="str">
        <f>HYPERLINK("https://miland.ru/api/getInfo/image/e03916e6-be98-11ee-a25a-00155d82e908")</f>
        <v>https://miland.ru/api/getInfo/image/e03916e6-be98-11ee-a25a-00155d82e908</v>
      </c>
    </row>
    <row r="5259" spans="1:19" s="2" customFormat="1" ht="96.2" customHeight="1" outlineLevel="5">
      <c r="A5259" s="52">
        <v>4161</v>
      </c>
      <c r="B5259" s="26" t="s">
        <v>17498</v>
      </c>
      <c r="C5259" s="66" t="s">
        <v>17499</v>
      </c>
      <c r="D5259" s="66"/>
      <c r="E5259" s="66"/>
      <c r="F5259" s="66"/>
      <c r="G5259" s="27" t="s">
        <v>17500</v>
      </c>
      <c r="H5259" s="33">
        <v>8</v>
      </c>
      <c r="I5259" s="29"/>
      <c r="J5259" s="25">
        <v>1</v>
      </c>
      <c r="K5259" s="37">
        <v>2924.76</v>
      </c>
      <c r="L5259" s="17"/>
      <c r="M5259" s="29">
        <f t="shared" si="268"/>
        <v>0</v>
      </c>
      <c r="N5259" s="31">
        <f>2.162*L5259</f>
        <v>0</v>
      </c>
      <c r="O5259" s="32">
        <f>0.02443*L5259</f>
        <v>0</v>
      </c>
      <c r="P5259" s="36"/>
      <c r="Q5259" s="29" t="s">
        <v>17501</v>
      </c>
      <c r="R5259" s="29" t="s">
        <v>611</v>
      </c>
      <c r="S5259" s="26" t="str">
        <f>HYPERLINK("https://miland.ru/api/getInfo/image/676d4225-8528-11ee-a248-00155d82e902")</f>
        <v>https://miland.ru/api/getInfo/image/676d4225-8528-11ee-a248-00155d82e902</v>
      </c>
    </row>
    <row r="5260" spans="1:19" s="2" customFormat="1" ht="96.2" customHeight="1" outlineLevel="5">
      <c r="A5260" s="52">
        <v>4162</v>
      </c>
      <c r="B5260" s="26" t="s">
        <v>17502</v>
      </c>
      <c r="C5260" s="66" t="s">
        <v>17503</v>
      </c>
      <c r="D5260" s="66"/>
      <c r="E5260" s="66"/>
      <c r="F5260" s="66"/>
      <c r="G5260" s="27" t="s">
        <v>17504</v>
      </c>
      <c r="H5260" s="33">
        <v>8</v>
      </c>
      <c r="I5260" s="29"/>
      <c r="J5260" s="25">
        <v>1</v>
      </c>
      <c r="K5260" s="37">
        <v>2924.76</v>
      </c>
      <c r="L5260" s="17"/>
      <c r="M5260" s="29">
        <f t="shared" si="268"/>
        <v>0</v>
      </c>
      <c r="N5260" s="31">
        <f>2.162*L5260</f>
        <v>0</v>
      </c>
      <c r="O5260" s="32">
        <f>0.05605*L5260</f>
        <v>0</v>
      </c>
      <c r="P5260" s="36"/>
      <c r="Q5260" s="29" t="s">
        <v>17505</v>
      </c>
      <c r="R5260" s="29"/>
      <c r="S5260" s="26" t="str">
        <f>HYPERLINK("https://miland.ru/api/getInfo/image/7cf7ea3f-8528-11ee-a248-00155d82e902")</f>
        <v>https://miland.ru/api/getInfo/image/7cf7ea3f-8528-11ee-a248-00155d82e902</v>
      </c>
    </row>
    <row r="5261" spans="1:19" s="2" customFormat="1" ht="96.2" customHeight="1" outlineLevel="5">
      <c r="A5261" s="52">
        <v>4163</v>
      </c>
      <c r="B5261" s="26" t="s">
        <v>17506</v>
      </c>
      <c r="C5261" s="66" t="s">
        <v>17507</v>
      </c>
      <c r="D5261" s="66"/>
      <c r="E5261" s="66"/>
      <c r="F5261" s="66"/>
      <c r="G5261" s="27" t="s">
        <v>17508</v>
      </c>
      <c r="H5261" s="33">
        <v>6</v>
      </c>
      <c r="I5261" s="29"/>
      <c r="J5261" s="25">
        <v>1</v>
      </c>
      <c r="K5261" s="37">
        <v>3039.01</v>
      </c>
      <c r="L5261" s="17"/>
      <c r="M5261" s="29">
        <f t="shared" si="268"/>
        <v>0</v>
      </c>
      <c r="N5261" s="41">
        <f>2.2*L5261</f>
        <v>0</v>
      </c>
      <c r="O5261" s="32">
        <f>0.01464*L5261</f>
        <v>0</v>
      </c>
      <c r="P5261" s="36"/>
      <c r="Q5261" s="29"/>
      <c r="R5261" s="29"/>
      <c r="S5261" s="26" t="str">
        <f>HYPERLINK("https://miland.ru/api/getInfo/image/03a8f8b5-be99-11ee-a25a-00155d82e908")</f>
        <v>https://miland.ru/api/getInfo/image/03a8f8b5-be99-11ee-a25a-00155d82e908</v>
      </c>
    </row>
    <row r="5262" spans="1:19" s="2" customFormat="1" ht="96.2" customHeight="1" outlineLevel="5">
      <c r="A5262" s="52">
        <v>4164</v>
      </c>
      <c r="B5262" s="26" t="s">
        <v>17509</v>
      </c>
      <c r="C5262" s="66" t="s">
        <v>17510</v>
      </c>
      <c r="D5262" s="66"/>
      <c r="E5262" s="66"/>
      <c r="F5262" s="66"/>
      <c r="G5262" s="27" t="s">
        <v>17511</v>
      </c>
      <c r="H5262" s="33">
        <v>196</v>
      </c>
      <c r="I5262" s="29"/>
      <c r="J5262" s="25">
        <v>1</v>
      </c>
      <c r="K5262" s="37">
        <v>5047.03</v>
      </c>
      <c r="L5262" s="17"/>
      <c r="M5262" s="29">
        <f t="shared" si="268"/>
        <v>0</v>
      </c>
      <c r="N5262" s="34">
        <f>4.99*L5262</f>
        <v>0</v>
      </c>
      <c r="O5262" s="32">
        <f>0.06082*L5262</f>
        <v>0</v>
      </c>
      <c r="P5262" s="36"/>
      <c r="Q5262" s="29" t="s">
        <v>17512</v>
      </c>
      <c r="R5262" s="29"/>
      <c r="S5262" s="26" t="str">
        <f>HYPERLINK("https://miland.ru/api/getInfo/image/ee043b0c-968a-11ef-a267-00155d82e908")</f>
        <v>https://miland.ru/api/getInfo/image/ee043b0c-968a-11ef-a267-00155d82e908</v>
      </c>
    </row>
    <row r="5263" spans="1:19" s="2" customFormat="1" ht="96.2" customHeight="1" outlineLevel="5">
      <c r="A5263" s="52">
        <v>4165</v>
      </c>
      <c r="B5263" s="26" t="s">
        <v>17513</v>
      </c>
      <c r="C5263" s="66" t="s">
        <v>17514</v>
      </c>
      <c r="D5263" s="66"/>
      <c r="E5263" s="66"/>
      <c r="F5263" s="66"/>
      <c r="G5263" s="27" t="s">
        <v>17515</v>
      </c>
      <c r="H5263" s="33">
        <v>472</v>
      </c>
      <c r="I5263" s="29"/>
      <c r="J5263" s="25">
        <v>1</v>
      </c>
      <c r="K5263" s="37">
        <v>3570.58</v>
      </c>
      <c r="L5263" s="17"/>
      <c r="M5263" s="29">
        <f t="shared" si="268"/>
        <v>0</v>
      </c>
      <c r="N5263" s="31">
        <f>3.121*L5263</f>
        <v>0</v>
      </c>
      <c r="O5263" s="32">
        <f>0.05444*L5263</f>
        <v>0</v>
      </c>
      <c r="P5263" s="36"/>
      <c r="Q5263" s="29" t="s">
        <v>17516</v>
      </c>
      <c r="R5263" s="29" t="s">
        <v>611</v>
      </c>
      <c r="S5263" s="26" t="str">
        <f>HYPERLINK("https://miland.ru/api/getInfo/image/9129f68f-9688-11ef-a267-00155d82e908")</f>
        <v>https://miland.ru/api/getInfo/image/9129f68f-9688-11ef-a267-00155d82e908</v>
      </c>
    </row>
    <row r="5264" spans="1:19" s="2" customFormat="1" ht="96.2" customHeight="1" outlineLevel="5">
      <c r="A5264" s="52">
        <v>4166</v>
      </c>
      <c r="B5264" s="26" t="s">
        <v>17517</v>
      </c>
      <c r="C5264" s="66" t="s">
        <v>17518</v>
      </c>
      <c r="D5264" s="66"/>
      <c r="E5264" s="66"/>
      <c r="F5264" s="66"/>
      <c r="G5264" s="27" t="s">
        <v>17519</v>
      </c>
      <c r="H5264" s="33">
        <v>380</v>
      </c>
      <c r="I5264" s="29"/>
      <c r="J5264" s="25">
        <v>1</v>
      </c>
      <c r="K5264" s="37">
        <v>2062.02</v>
      </c>
      <c r="L5264" s="17"/>
      <c r="M5264" s="29">
        <f t="shared" si="268"/>
        <v>0</v>
      </c>
      <c r="N5264" s="31">
        <f>2.585*L5264</f>
        <v>0</v>
      </c>
      <c r="O5264" s="32">
        <f>0.03138*L5264</f>
        <v>0</v>
      </c>
      <c r="P5264" s="36"/>
      <c r="Q5264" s="29" t="s">
        <v>17520</v>
      </c>
      <c r="R5264" s="29" t="s">
        <v>611</v>
      </c>
      <c r="S5264" s="26" t="str">
        <f>HYPERLINK("https://miland.ru/api/getInfo/image/1226c637-9688-11ef-a267-00155d82e908")</f>
        <v>https://miland.ru/api/getInfo/image/1226c637-9688-11ef-a267-00155d82e908</v>
      </c>
    </row>
    <row r="5265" spans="1:19" s="2" customFormat="1" ht="96.2" customHeight="1" outlineLevel="5">
      <c r="A5265" s="52">
        <v>4167</v>
      </c>
      <c r="B5265" s="26" t="s">
        <v>17521</v>
      </c>
      <c r="C5265" s="66" t="s">
        <v>17522</v>
      </c>
      <c r="D5265" s="66"/>
      <c r="E5265" s="66"/>
      <c r="F5265" s="66"/>
      <c r="G5265" s="27" t="s">
        <v>17523</v>
      </c>
      <c r="H5265" s="33">
        <v>484</v>
      </c>
      <c r="I5265" s="29"/>
      <c r="J5265" s="25">
        <v>1</v>
      </c>
      <c r="K5265" s="37">
        <v>2277.6</v>
      </c>
      <c r="L5265" s="17"/>
      <c r="M5265" s="29">
        <f t="shared" si="268"/>
        <v>0</v>
      </c>
      <c r="N5265" s="31">
        <f>2.406*L5265</f>
        <v>0</v>
      </c>
      <c r="O5265" s="32">
        <f>0.03477*L5265</f>
        <v>0</v>
      </c>
      <c r="P5265" s="36"/>
      <c r="Q5265" s="29" t="s">
        <v>17524</v>
      </c>
      <c r="R5265" s="29" t="s">
        <v>611</v>
      </c>
      <c r="S5265" s="26" t="str">
        <f>HYPERLINK("https://miland.ru/api/getInfo/image/41750805-9687-11ef-a267-00155d82e908")</f>
        <v>https://miland.ru/api/getInfo/image/41750805-9687-11ef-a267-00155d82e908</v>
      </c>
    </row>
    <row r="5266" spans="1:19" s="2" customFormat="1" ht="96.2" customHeight="1" outlineLevel="5">
      <c r="A5266" s="52">
        <v>4168</v>
      </c>
      <c r="B5266" s="26" t="s">
        <v>17525</v>
      </c>
      <c r="C5266" s="66" t="s">
        <v>17526</v>
      </c>
      <c r="D5266" s="66"/>
      <c r="E5266" s="66"/>
      <c r="F5266" s="66"/>
      <c r="G5266" s="27" t="s">
        <v>17527</v>
      </c>
      <c r="H5266" s="33">
        <v>208</v>
      </c>
      <c r="I5266" s="29"/>
      <c r="J5266" s="25">
        <v>1</v>
      </c>
      <c r="K5266" s="37">
        <v>2062.02</v>
      </c>
      <c r="L5266" s="17"/>
      <c r="M5266" s="29">
        <f t="shared" si="268"/>
        <v>0</v>
      </c>
      <c r="N5266" s="31">
        <f>2.508*L5266</f>
        <v>0</v>
      </c>
      <c r="O5266" s="32">
        <f>0.02921*L5266</f>
        <v>0</v>
      </c>
      <c r="P5266" s="36"/>
      <c r="Q5266" s="29" t="s">
        <v>17528</v>
      </c>
      <c r="R5266" s="29" t="s">
        <v>611</v>
      </c>
      <c r="S5266" s="26" t="str">
        <f>HYPERLINK("https://miland.ru/api/getInfo/image/2b8f6a00-9688-11ef-a267-00155d82e908")</f>
        <v>https://miland.ru/api/getInfo/image/2b8f6a00-9688-11ef-a267-00155d82e908</v>
      </c>
    </row>
    <row r="5267" spans="1:19" s="2" customFormat="1" ht="96.2" customHeight="1" outlineLevel="5">
      <c r="A5267" s="52">
        <v>4169</v>
      </c>
      <c r="B5267" s="26" t="s">
        <v>17529</v>
      </c>
      <c r="C5267" s="66" t="s">
        <v>17530</v>
      </c>
      <c r="D5267" s="66"/>
      <c r="E5267" s="66"/>
      <c r="F5267" s="66"/>
      <c r="G5267" s="27" t="s">
        <v>17531</v>
      </c>
      <c r="H5267" s="33">
        <v>329</v>
      </c>
      <c r="I5267" s="29"/>
      <c r="J5267" s="25">
        <v>1</v>
      </c>
      <c r="K5267" s="37">
        <v>2014.09</v>
      </c>
      <c r="L5267" s="17"/>
      <c r="M5267" s="29">
        <f t="shared" si="268"/>
        <v>0</v>
      </c>
      <c r="N5267" s="31">
        <f>2.587*L5267</f>
        <v>0</v>
      </c>
      <c r="O5267" s="32">
        <f>0.02853*L5267</f>
        <v>0</v>
      </c>
      <c r="P5267" s="36"/>
      <c r="Q5267" s="29" t="s">
        <v>17532</v>
      </c>
      <c r="R5267" s="29" t="s">
        <v>611</v>
      </c>
      <c r="S5267" s="26" t="str">
        <f>HYPERLINK("https://miland.ru/api/getInfo/image/90926c2a-9686-11ef-a267-00155d82e908")</f>
        <v>https://miland.ru/api/getInfo/image/90926c2a-9686-11ef-a267-00155d82e908</v>
      </c>
    </row>
    <row r="5268" spans="1:19" s="2" customFormat="1" ht="96.2" customHeight="1" outlineLevel="5">
      <c r="A5268" s="52">
        <v>4170</v>
      </c>
      <c r="B5268" s="26" t="s">
        <v>17533</v>
      </c>
      <c r="C5268" s="66" t="s">
        <v>17534</v>
      </c>
      <c r="D5268" s="66"/>
      <c r="E5268" s="66"/>
      <c r="F5268" s="66"/>
      <c r="G5268" s="27" t="s">
        <v>17535</v>
      </c>
      <c r="H5268" s="33">
        <v>105</v>
      </c>
      <c r="I5268" s="29"/>
      <c r="J5268" s="25">
        <v>1</v>
      </c>
      <c r="K5268" s="37">
        <v>2062.02</v>
      </c>
      <c r="L5268" s="17"/>
      <c r="M5268" s="29">
        <f t="shared" si="268"/>
        <v>0</v>
      </c>
      <c r="N5268" s="31">
        <f>2.517*L5268</f>
        <v>0</v>
      </c>
      <c r="O5268" s="32">
        <f>0.03162*L5268</f>
        <v>0</v>
      </c>
      <c r="P5268" s="36"/>
      <c r="Q5268" s="29" t="s">
        <v>17536</v>
      </c>
      <c r="R5268" s="29" t="s">
        <v>611</v>
      </c>
      <c r="S5268" s="26" t="str">
        <f>HYPERLINK("https://miland.ru/api/getInfo/image/e2105f7c-9687-11ef-a267-00155d82e908")</f>
        <v>https://miland.ru/api/getInfo/image/e2105f7c-9687-11ef-a267-00155d82e908</v>
      </c>
    </row>
    <row r="5269" spans="1:19" s="2" customFormat="1" ht="96.2" customHeight="1" outlineLevel="5">
      <c r="A5269" s="52">
        <v>4171</v>
      </c>
      <c r="B5269" s="26" t="s">
        <v>17537</v>
      </c>
      <c r="C5269" s="66" t="s">
        <v>17538</v>
      </c>
      <c r="D5269" s="66"/>
      <c r="E5269" s="66"/>
      <c r="F5269" s="66"/>
      <c r="G5269" s="27" t="s">
        <v>17539</v>
      </c>
      <c r="H5269" s="33">
        <v>289</v>
      </c>
      <c r="I5269" s="29"/>
      <c r="J5269" s="25">
        <v>1</v>
      </c>
      <c r="K5269" s="37">
        <v>2253.7399999999998</v>
      </c>
      <c r="L5269" s="17"/>
      <c r="M5269" s="29">
        <f t="shared" si="268"/>
        <v>0</v>
      </c>
      <c r="N5269" s="31">
        <f>4.458*L5269</f>
        <v>0</v>
      </c>
      <c r="O5269" s="32">
        <f>0.03529*L5269</f>
        <v>0</v>
      </c>
      <c r="P5269" s="36"/>
      <c r="Q5269" s="29" t="s">
        <v>17540</v>
      </c>
      <c r="R5269" s="29" t="s">
        <v>611</v>
      </c>
      <c r="S5269" s="26" t="str">
        <f>HYPERLINK("https://miland.ru/api/getInfo/image/ff611c36-9687-11ef-a267-00155d82e908")</f>
        <v>https://miland.ru/api/getInfo/image/ff611c36-9687-11ef-a267-00155d82e908</v>
      </c>
    </row>
    <row r="5270" spans="1:19" s="2" customFormat="1" ht="96.2" customHeight="1" outlineLevel="5">
      <c r="A5270" s="52">
        <v>4172</v>
      </c>
      <c r="B5270" s="26" t="s">
        <v>17541</v>
      </c>
      <c r="C5270" s="66" t="s">
        <v>17542</v>
      </c>
      <c r="D5270" s="66"/>
      <c r="E5270" s="66"/>
      <c r="F5270" s="66"/>
      <c r="G5270" s="27" t="s">
        <v>17543</v>
      </c>
      <c r="H5270" s="33">
        <v>31</v>
      </c>
      <c r="I5270" s="29"/>
      <c r="J5270" s="25">
        <v>1</v>
      </c>
      <c r="K5270" s="37">
        <v>2253.7399999999998</v>
      </c>
      <c r="L5270" s="17"/>
      <c r="M5270" s="29">
        <f t="shared" si="268"/>
        <v>0</v>
      </c>
      <c r="N5270" s="31">
        <f>2.767*L5270</f>
        <v>0</v>
      </c>
      <c r="O5270" s="32">
        <f>0.03738*L5270</f>
        <v>0</v>
      </c>
      <c r="P5270" s="36"/>
      <c r="Q5270" s="29" t="s">
        <v>17544</v>
      </c>
      <c r="R5270" s="29"/>
      <c r="S5270" s="26" t="str">
        <f>HYPERLINK("https://miland.ru/api/getInfo/image/44dea3a2-9688-11ef-a267-00155d82e908")</f>
        <v>https://miland.ru/api/getInfo/image/44dea3a2-9688-11ef-a267-00155d82e908</v>
      </c>
    </row>
    <row r="5271" spans="1:19" s="2" customFormat="1" ht="96.2" customHeight="1" outlineLevel="5">
      <c r="A5271" s="52">
        <v>4173</v>
      </c>
      <c r="B5271" s="26" t="s">
        <v>17545</v>
      </c>
      <c r="C5271" s="66" t="s">
        <v>17546</v>
      </c>
      <c r="D5271" s="66"/>
      <c r="E5271" s="66"/>
      <c r="F5271" s="66"/>
      <c r="G5271" s="27" t="s">
        <v>17547</v>
      </c>
      <c r="H5271" s="28" t="s">
        <v>44</v>
      </c>
      <c r="I5271" s="29"/>
      <c r="J5271" s="25">
        <v>1</v>
      </c>
      <c r="K5271" s="37">
        <v>3935.36</v>
      </c>
      <c r="L5271" s="17"/>
      <c r="M5271" s="29">
        <f t="shared" si="268"/>
        <v>0</v>
      </c>
      <c r="N5271" s="31">
        <f>5.057*L5271</f>
        <v>0</v>
      </c>
      <c r="O5271" s="32">
        <f>0.33792*L5271</f>
        <v>0</v>
      </c>
      <c r="P5271" s="36"/>
      <c r="Q5271" s="29"/>
      <c r="R5271" s="29" t="s">
        <v>611</v>
      </c>
      <c r="S5271" s="26" t="str">
        <f>HYPERLINK("https://miland.ru/api/getInfo/image/5a328feb-9688-11ef-a267-00155d82e908")</f>
        <v>https://miland.ru/api/getInfo/image/5a328feb-9688-11ef-a267-00155d82e908</v>
      </c>
    </row>
    <row r="5272" spans="1:19" s="2" customFormat="1" ht="96.2" customHeight="1" outlineLevel="5">
      <c r="A5272" s="52">
        <v>4174</v>
      </c>
      <c r="B5272" s="26" t="s">
        <v>17548</v>
      </c>
      <c r="C5272" s="66" t="s">
        <v>17549</v>
      </c>
      <c r="D5272" s="66"/>
      <c r="E5272" s="66"/>
      <c r="F5272" s="66"/>
      <c r="G5272" s="27" t="s">
        <v>17550</v>
      </c>
      <c r="H5272" s="28" t="s">
        <v>44</v>
      </c>
      <c r="I5272" s="29"/>
      <c r="J5272" s="25">
        <v>1</v>
      </c>
      <c r="K5272" s="37">
        <v>3017.36</v>
      </c>
      <c r="L5272" s="17"/>
      <c r="M5272" s="29">
        <f t="shared" si="268"/>
        <v>0</v>
      </c>
      <c r="N5272" s="31">
        <f>5.057*L5272</f>
        <v>0</v>
      </c>
      <c r="O5272" s="32">
        <f>0.03792*L5272</f>
        <v>0</v>
      </c>
      <c r="P5272" s="36"/>
      <c r="Q5272" s="29"/>
      <c r="R5272" s="29" t="s">
        <v>611</v>
      </c>
      <c r="S5272" s="26" t="str">
        <f>HYPERLINK("https://miland.ru/api/getInfo/image/75e8b49c-9688-11ef-a267-00155d82e908")</f>
        <v>https://miland.ru/api/getInfo/image/75e8b49c-9688-11ef-a267-00155d82e908</v>
      </c>
    </row>
    <row r="5273" spans="1:19" s="2" customFormat="1" ht="96.2" customHeight="1" outlineLevel="5">
      <c r="A5273" s="52">
        <v>4175</v>
      </c>
      <c r="B5273" s="26" t="s">
        <v>17551</v>
      </c>
      <c r="C5273" s="66" t="s">
        <v>17552</v>
      </c>
      <c r="D5273" s="66"/>
      <c r="E5273" s="66"/>
      <c r="F5273" s="66"/>
      <c r="G5273" s="27" t="s">
        <v>17553</v>
      </c>
      <c r="H5273" s="28" t="s">
        <v>44</v>
      </c>
      <c r="I5273" s="29"/>
      <c r="J5273" s="25">
        <v>1</v>
      </c>
      <c r="K5273" s="37">
        <v>3817.09</v>
      </c>
      <c r="L5273" s="17"/>
      <c r="M5273" s="29">
        <f t="shared" si="268"/>
        <v>0</v>
      </c>
      <c r="N5273" s="31">
        <f>3.017*L5273</f>
        <v>0</v>
      </c>
      <c r="O5273" s="35">
        <f>0.0346*L5273</f>
        <v>0</v>
      </c>
      <c r="P5273" s="36"/>
      <c r="Q5273" s="29" t="s">
        <v>17554</v>
      </c>
      <c r="R5273" s="29" t="s">
        <v>611</v>
      </c>
      <c r="S5273" s="26" t="str">
        <f>HYPERLINK("https://miland.ru/api/getInfo/image/47cc82e8-8528-11ee-a248-00155d82e902")</f>
        <v>https://miland.ru/api/getInfo/image/47cc82e8-8528-11ee-a248-00155d82e902</v>
      </c>
    </row>
    <row r="5274" spans="1:19" s="2" customFormat="1" ht="96.2" customHeight="1" outlineLevel="5">
      <c r="A5274" s="52">
        <v>4176</v>
      </c>
      <c r="B5274" s="26" t="s">
        <v>17555</v>
      </c>
      <c r="C5274" s="66" t="s">
        <v>17556</v>
      </c>
      <c r="D5274" s="66"/>
      <c r="E5274" s="66"/>
      <c r="F5274" s="66"/>
      <c r="G5274" s="27" t="s">
        <v>17557</v>
      </c>
      <c r="H5274" s="28" t="s">
        <v>44</v>
      </c>
      <c r="I5274" s="29"/>
      <c r="J5274" s="25">
        <v>1</v>
      </c>
      <c r="K5274" s="37">
        <v>3817.09</v>
      </c>
      <c r="L5274" s="17"/>
      <c r="M5274" s="29">
        <f t="shared" si="268"/>
        <v>0</v>
      </c>
      <c r="N5274" s="31">
        <f>6.793*L5274</f>
        <v>0</v>
      </c>
      <c r="O5274" s="35">
        <f>0.0346*L5274</f>
        <v>0</v>
      </c>
      <c r="P5274" s="36"/>
      <c r="Q5274" s="29" t="s">
        <v>17558</v>
      </c>
      <c r="R5274" s="29" t="s">
        <v>611</v>
      </c>
      <c r="S5274" s="26" t="str">
        <f>HYPERLINK("https://miland.ru/api/getInfo/image/5a209e97-8528-11ee-a248-00155d82e902")</f>
        <v>https://miland.ru/api/getInfo/image/5a209e97-8528-11ee-a248-00155d82e902</v>
      </c>
    </row>
    <row r="5275" spans="1:19" s="2" customFormat="1" ht="96.2" customHeight="1" outlineLevel="5">
      <c r="A5275" s="52">
        <v>4177</v>
      </c>
      <c r="B5275" s="26" t="s">
        <v>17559</v>
      </c>
      <c r="C5275" s="66" t="s">
        <v>17560</v>
      </c>
      <c r="D5275" s="66"/>
      <c r="E5275" s="66"/>
      <c r="F5275" s="66"/>
      <c r="G5275" s="27" t="s">
        <v>17561</v>
      </c>
      <c r="H5275" s="33">
        <v>3</v>
      </c>
      <c r="I5275" s="29"/>
      <c r="J5275" s="25">
        <v>1</v>
      </c>
      <c r="K5275" s="37">
        <v>5496.3</v>
      </c>
      <c r="L5275" s="17"/>
      <c r="M5275" s="29">
        <f t="shared" si="268"/>
        <v>0</v>
      </c>
      <c r="N5275" s="31">
        <f>5.554*L5275</f>
        <v>0</v>
      </c>
      <c r="O5275" s="32">
        <f>0.06998*L5275</f>
        <v>0</v>
      </c>
      <c r="P5275" s="36"/>
      <c r="Q5275" s="29" t="s">
        <v>17562</v>
      </c>
      <c r="R5275" s="29" t="s">
        <v>611</v>
      </c>
      <c r="S5275" s="26" t="str">
        <f>HYPERLINK("https://miland.ru/api/getInfo/image/afa45a7a-8528-11ee-a248-00155d82e902")</f>
        <v>https://miland.ru/api/getInfo/image/afa45a7a-8528-11ee-a248-00155d82e902</v>
      </c>
    </row>
    <row r="5276" spans="1:19" s="2" customFormat="1" ht="96.2" customHeight="1" outlineLevel="5">
      <c r="A5276" s="52">
        <v>4178</v>
      </c>
      <c r="B5276" s="26" t="s">
        <v>17563</v>
      </c>
      <c r="C5276" s="66" t="s">
        <v>17564</v>
      </c>
      <c r="D5276" s="66"/>
      <c r="E5276" s="66"/>
      <c r="F5276" s="66"/>
      <c r="G5276" s="27" t="s">
        <v>17565</v>
      </c>
      <c r="H5276" s="33">
        <v>1</v>
      </c>
      <c r="I5276" s="29"/>
      <c r="J5276" s="25">
        <v>1</v>
      </c>
      <c r="K5276" s="37">
        <v>3914.94</v>
      </c>
      <c r="L5276" s="17"/>
      <c r="M5276" s="29">
        <f t="shared" si="268"/>
        <v>0</v>
      </c>
      <c r="N5276" s="34">
        <f>3.52*L5276</f>
        <v>0</v>
      </c>
      <c r="O5276" s="32">
        <f>0.04436*L5276</f>
        <v>0</v>
      </c>
      <c r="P5276" s="36"/>
      <c r="Q5276" s="29" t="s">
        <v>17566</v>
      </c>
      <c r="R5276" s="29" t="s">
        <v>611</v>
      </c>
      <c r="S5276" s="26" t="str">
        <f>HYPERLINK("https://miland.ru/api/getInfo/image/9541e97f-8528-11ee-a248-00155d82e902")</f>
        <v>https://miland.ru/api/getInfo/image/9541e97f-8528-11ee-a248-00155d82e902</v>
      </c>
    </row>
    <row r="5277" spans="1:19" s="2" customFormat="1" ht="96.2" customHeight="1" outlineLevel="5">
      <c r="A5277" s="52">
        <v>4179</v>
      </c>
      <c r="B5277" s="26" t="s">
        <v>17567</v>
      </c>
      <c r="C5277" s="66" t="s">
        <v>17568</v>
      </c>
      <c r="D5277" s="66"/>
      <c r="E5277" s="66"/>
      <c r="F5277" s="66"/>
      <c r="G5277" s="27" t="s">
        <v>17569</v>
      </c>
      <c r="H5277" s="28" t="s">
        <v>44</v>
      </c>
      <c r="I5277" s="29"/>
      <c r="J5277" s="25">
        <v>1</v>
      </c>
      <c r="K5277" s="37">
        <v>2288.15</v>
      </c>
      <c r="L5277" s="17"/>
      <c r="M5277" s="29">
        <f t="shared" si="268"/>
        <v>0</v>
      </c>
      <c r="N5277" s="41">
        <f>3.7*L5277</f>
        <v>0</v>
      </c>
      <c r="O5277" s="32">
        <f>0.02831*L5277</f>
        <v>0</v>
      </c>
      <c r="P5277" s="36"/>
      <c r="Q5277" s="29" t="s">
        <v>17570</v>
      </c>
      <c r="R5277" s="29" t="s">
        <v>611</v>
      </c>
      <c r="S5277" s="26" t="str">
        <f>HYPERLINK("https://miland.ru/api/getInfo/image/8acbd34d-8527-11ee-a248-00155d82e902")</f>
        <v>https://miland.ru/api/getInfo/image/8acbd34d-8527-11ee-a248-00155d82e902</v>
      </c>
    </row>
    <row r="5278" spans="1:19" s="2" customFormat="1" ht="96.2" customHeight="1" outlineLevel="5">
      <c r="A5278" s="52">
        <v>4180</v>
      </c>
      <c r="B5278" s="26" t="s">
        <v>17571</v>
      </c>
      <c r="C5278" s="66" t="s">
        <v>17572</v>
      </c>
      <c r="D5278" s="66"/>
      <c r="E5278" s="66"/>
      <c r="F5278" s="66"/>
      <c r="G5278" s="27" t="s">
        <v>17573</v>
      </c>
      <c r="H5278" s="28" t="s">
        <v>44</v>
      </c>
      <c r="I5278" s="29"/>
      <c r="J5278" s="25">
        <v>1</v>
      </c>
      <c r="K5278" s="37">
        <v>2014.09</v>
      </c>
      <c r="L5278" s="17"/>
      <c r="M5278" s="29">
        <f t="shared" si="268"/>
        <v>0</v>
      </c>
      <c r="N5278" s="31">
        <f>2.473*L5278</f>
        <v>0</v>
      </c>
      <c r="O5278" s="32">
        <f>0.02707*L5278</f>
        <v>0</v>
      </c>
      <c r="P5278" s="36"/>
      <c r="Q5278" s="29" t="s">
        <v>17574</v>
      </c>
      <c r="R5278" s="29" t="s">
        <v>611</v>
      </c>
      <c r="S5278" s="26" t="str">
        <f>HYPERLINK("https://miland.ru/api/getInfo/image/345f1162-8528-11ee-a248-00155d82e902")</f>
        <v>https://miland.ru/api/getInfo/image/345f1162-8528-11ee-a248-00155d82e902</v>
      </c>
    </row>
    <row r="5279" spans="1:19" s="2" customFormat="1" ht="96.2" customHeight="1" outlineLevel="5">
      <c r="A5279" s="52">
        <v>4181</v>
      </c>
      <c r="B5279" s="26" t="s">
        <v>17575</v>
      </c>
      <c r="C5279" s="66" t="s">
        <v>17576</v>
      </c>
      <c r="D5279" s="66"/>
      <c r="E5279" s="66"/>
      <c r="F5279" s="66"/>
      <c r="G5279" s="27" t="s">
        <v>17577</v>
      </c>
      <c r="H5279" s="33">
        <v>1</v>
      </c>
      <c r="I5279" s="29"/>
      <c r="J5279" s="25">
        <v>1</v>
      </c>
      <c r="K5279" s="37">
        <v>3053.12</v>
      </c>
      <c r="L5279" s="17"/>
      <c r="M5279" s="29">
        <f t="shared" si="268"/>
        <v>0</v>
      </c>
      <c r="N5279" s="34">
        <f>4.08*L5279</f>
        <v>0</v>
      </c>
      <c r="O5279" s="32">
        <f>0.03676*L5279</f>
        <v>0</v>
      </c>
      <c r="P5279" s="36"/>
      <c r="Q5279" s="29" t="s">
        <v>17578</v>
      </c>
      <c r="R5279" s="29" t="s">
        <v>611</v>
      </c>
      <c r="S5279" s="26" t="str">
        <f>HYPERLINK("https://miland.ru/api/getInfo/image/95caa909-be98-11ee-a25a-00155d82e908")</f>
        <v>https://miland.ru/api/getInfo/image/95caa909-be98-11ee-a25a-00155d82e908</v>
      </c>
    </row>
    <row r="5280" spans="1:19" s="2" customFormat="1" ht="96.2" customHeight="1" outlineLevel="5">
      <c r="A5280" s="52">
        <v>4182</v>
      </c>
      <c r="B5280" s="26" t="s">
        <v>17579</v>
      </c>
      <c r="C5280" s="66" t="s">
        <v>17580</v>
      </c>
      <c r="D5280" s="66"/>
      <c r="E5280" s="66"/>
      <c r="F5280" s="66"/>
      <c r="G5280" s="27" t="s">
        <v>17581</v>
      </c>
      <c r="H5280" s="33">
        <v>2</v>
      </c>
      <c r="I5280" s="29"/>
      <c r="J5280" s="25">
        <v>1</v>
      </c>
      <c r="K5280" s="37">
        <v>8679.33</v>
      </c>
      <c r="L5280" s="17"/>
      <c r="M5280" s="29">
        <f t="shared" si="268"/>
        <v>0</v>
      </c>
      <c r="N5280" s="34">
        <f>16.28*L5280</f>
        <v>0</v>
      </c>
      <c r="O5280" s="32">
        <f>0.10512*L5280</f>
        <v>0</v>
      </c>
      <c r="P5280" s="36"/>
      <c r="Q5280" s="29"/>
      <c r="R5280" s="29" t="s">
        <v>611</v>
      </c>
      <c r="S5280" s="26" t="str">
        <f>HYPERLINK("https://miland.ru/api/getInfo/image/c2cb1872-9694-11ef-a267-00155d82e908")</f>
        <v>https://miland.ru/api/getInfo/image/c2cb1872-9694-11ef-a267-00155d82e908</v>
      </c>
    </row>
    <row r="5281" spans="1:19" s="1" customFormat="1" ht="12" customHeight="1" outlineLevel="4">
      <c r="A5281" s="64" t="s">
        <v>17582</v>
      </c>
      <c r="B5281" s="64"/>
      <c r="C5281" s="64"/>
      <c r="D5281" s="64"/>
      <c r="E5281" s="64"/>
      <c r="F5281" s="64"/>
      <c r="G5281" s="8"/>
      <c r="H5281" s="12"/>
      <c r="I5281" s="2"/>
      <c r="J5281" s="2"/>
      <c r="K5281" s="13"/>
      <c r="L5281" s="2"/>
      <c r="M5281" s="2"/>
      <c r="N5281" s="2"/>
      <c r="O5281" s="2"/>
      <c r="P5281" s="2"/>
      <c r="Q5281" s="2"/>
      <c r="R5281" s="2"/>
      <c r="S5281" s="2"/>
    </row>
    <row r="5282" spans="1:19" s="2" customFormat="1" ht="96.2" customHeight="1" outlineLevel="5">
      <c r="A5282" s="52">
        <v>4183</v>
      </c>
      <c r="B5282" s="26" t="s">
        <v>17583</v>
      </c>
      <c r="C5282" s="66" t="s">
        <v>17584</v>
      </c>
      <c r="D5282" s="66"/>
      <c r="E5282" s="66"/>
      <c r="F5282" s="66"/>
      <c r="G5282" s="27" t="s">
        <v>17585</v>
      </c>
      <c r="H5282" s="33">
        <v>453</v>
      </c>
      <c r="I5282" s="29"/>
      <c r="J5282" s="25">
        <v>1</v>
      </c>
      <c r="K5282" s="37">
        <v>1661.81</v>
      </c>
      <c r="L5282" s="17"/>
      <c r="M5282" s="29">
        <f t="shared" ref="M5282:M5292" si="269">K5282*L5282</f>
        <v>0</v>
      </c>
      <c r="N5282" s="31">
        <f>2.027*L5282</f>
        <v>0</v>
      </c>
      <c r="O5282" s="32">
        <f>0.03272*L5282</f>
        <v>0</v>
      </c>
      <c r="P5282" s="36"/>
      <c r="Q5282" s="29"/>
      <c r="R5282" s="29" t="s">
        <v>611</v>
      </c>
      <c r="S5282" s="26" t="str">
        <f>HYPERLINK("https://miland.ru/api/getInfo/image/55875303-9698-11ef-a267-00155d82e908")</f>
        <v>https://miland.ru/api/getInfo/image/55875303-9698-11ef-a267-00155d82e908</v>
      </c>
    </row>
    <row r="5283" spans="1:19" s="2" customFormat="1" ht="96.2" customHeight="1" outlineLevel="5">
      <c r="A5283" s="52">
        <v>4184</v>
      </c>
      <c r="B5283" s="26" t="s">
        <v>17586</v>
      </c>
      <c r="C5283" s="66" t="s">
        <v>17587</v>
      </c>
      <c r="D5283" s="66"/>
      <c r="E5283" s="66"/>
      <c r="F5283" s="66"/>
      <c r="G5283" s="27" t="s">
        <v>17588</v>
      </c>
      <c r="H5283" s="33">
        <v>2</v>
      </c>
      <c r="I5283" s="29"/>
      <c r="J5283" s="25">
        <v>1</v>
      </c>
      <c r="K5283" s="37">
        <v>1503.09</v>
      </c>
      <c r="L5283" s="17"/>
      <c r="M5283" s="29">
        <f t="shared" si="269"/>
        <v>0</v>
      </c>
      <c r="N5283" s="31">
        <f>2.027*L5283</f>
        <v>0</v>
      </c>
      <c r="O5283" s="32">
        <f>0.03272*L5283</f>
        <v>0</v>
      </c>
      <c r="P5283" s="36"/>
      <c r="Q5283" s="29" t="s">
        <v>17589</v>
      </c>
      <c r="R5283" s="29" t="s">
        <v>611</v>
      </c>
      <c r="S5283" s="26" t="str">
        <f>HYPERLINK("https://miland.ru/api/getInfo/image/8006c0ee-9698-11ef-a267-00155d82e908")</f>
        <v>https://miland.ru/api/getInfo/image/8006c0ee-9698-11ef-a267-00155d82e908</v>
      </c>
    </row>
    <row r="5284" spans="1:19" s="2" customFormat="1" ht="96.2" customHeight="1" outlineLevel="5">
      <c r="A5284" s="52">
        <v>4185</v>
      </c>
      <c r="B5284" s="26" t="s">
        <v>17590</v>
      </c>
      <c r="C5284" s="66" t="s">
        <v>17591</v>
      </c>
      <c r="D5284" s="66"/>
      <c r="E5284" s="66"/>
      <c r="F5284" s="66"/>
      <c r="G5284" s="27" t="s">
        <v>17592</v>
      </c>
      <c r="H5284" s="33">
        <v>1</v>
      </c>
      <c r="I5284" s="29"/>
      <c r="J5284" s="25">
        <v>1</v>
      </c>
      <c r="K5284" s="37">
        <v>1546.03</v>
      </c>
      <c r="L5284" s="17"/>
      <c r="M5284" s="29">
        <f t="shared" si="269"/>
        <v>0</v>
      </c>
      <c r="N5284" s="31">
        <f>1.536*L5284</f>
        <v>0</v>
      </c>
      <c r="O5284" s="32">
        <f>0.01599*L5284</f>
        <v>0</v>
      </c>
      <c r="P5284" s="36"/>
      <c r="Q5284" s="29" t="s">
        <v>17593</v>
      </c>
      <c r="R5284" s="29"/>
      <c r="S5284" s="26" t="str">
        <f>HYPERLINK("https://miland.ru/api/getInfo/image/6fb9097d-9696-11ef-a267-00155d82e908")</f>
        <v>https://miland.ru/api/getInfo/image/6fb9097d-9696-11ef-a267-00155d82e908</v>
      </c>
    </row>
    <row r="5285" spans="1:19" s="2" customFormat="1" ht="96.2" customHeight="1" outlineLevel="5">
      <c r="A5285" s="52">
        <v>4186</v>
      </c>
      <c r="B5285" s="26" t="s">
        <v>17594</v>
      </c>
      <c r="C5285" s="66" t="s">
        <v>17595</v>
      </c>
      <c r="D5285" s="66"/>
      <c r="E5285" s="66"/>
      <c r="F5285" s="66"/>
      <c r="G5285" s="27" t="s">
        <v>17596</v>
      </c>
      <c r="H5285" s="33">
        <v>22</v>
      </c>
      <c r="I5285" s="29"/>
      <c r="J5285" s="25">
        <v>1</v>
      </c>
      <c r="K5285" s="30">
        <v>670.95</v>
      </c>
      <c r="L5285" s="17"/>
      <c r="M5285" s="29">
        <f t="shared" si="269"/>
        <v>0</v>
      </c>
      <c r="N5285" s="34">
        <f>0.41*L5285</f>
        <v>0</v>
      </c>
      <c r="O5285" s="32">
        <f>0.00322*L5285</f>
        <v>0</v>
      </c>
      <c r="P5285" s="36"/>
      <c r="Q5285" s="29" t="s">
        <v>17597</v>
      </c>
      <c r="R5285" s="29"/>
      <c r="S5285" s="26" t="str">
        <f>HYPERLINK("https://miland.ru/api/getInfo/image/878a6eab-9697-11ef-a267-00155d82e908")</f>
        <v>https://miland.ru/api/getInfo/image/878a6eab-9697-11ef-a267-00155d82e908</v>
      </c>
    </row>
    <row r="5286" spans="1:19" s="2" customFormat="1" ht="96.2" customHeight="1" outlineLevel="5">
      <c r="A5286" s="52">
        <v>4187</v>
      </c>
      <c r="B5286" s="26" t="s">
        <v>17598</v>
      </c>
      <c r="C5286" s="66" t="s">
        <v>17599</v>
      </c>
      <c r="D5286" s="66"/>
      <c r="E5286" s="66"/>
      <c r="F5286" s="66"/>
      <c r="G5286" s="27" t="s">
        <v>17600</v>
      </c>
      <c r="H5286" s="33">
        <v>3</v>
      </c>
      <c r="I5286" s="29"/>
      <c r="J5286" s="25">
        <v>1</v>
      </c>
      <c r="K5286" s="30">
        <v>670.95</v>
      </c>
      <c r="L5286" s="17"/>
      <c r="M5286" s="29">
        <f t="shared" si="269"/>
        <v>0</v>
      </c>
      <c r="N5286" s="34">
        <f>0.41*L5286</f>
        <v>0</v>
      </c>
      <c r="O5286" s="32">
        <f>0.00322*L5286</f>
        <v>0</v>
      </c>
      <c r="P5286" s="36"/>
      <c r="Q5286" s="29" t="s">
        <v>17601</v>
      </c>
      <c r="R5286" s="29"/>
      <c r="S5286" s="26" t="str">
        <f>HYPERLINK("https://miland.ru/api/getInfo/image/d2388941-9697-11ef-a267-00155d82e908")</f>
        <v>https://miland.ru/api/getInfo/image/d2388941-9697-11ef-a267-00155d82e908</v>
      </c>
    </row>
    <row r="5287" spans="1:19" s="2" customFormat="1" ht="96.2" customHeight="1" outlineLevel="5">
      <c r="A5287" s="52">
        <v>4188</v>
      </c>
      <c r="B5287" s="26" t="s">
        <v>17602</v>
      </c>
      <c r="C5287" s="66" t="s">
        <v>17603</v>
      </c>
      <c r="D5287" s="66"/>
      <c r="E5287" s="66"/>
      <c r="F5287" s="66"/>
      <c r="G5287" s="27" t="s">
        <v>17604</v>
      </c>
      <c r="H5287" s="33">
        <v>5</v>
      </c>
      <c r="I5287" s="29"/>
      <c r="J5287" s="25">
        <v>1</v>
      </c>
      <c r="K5287" s="30">
        <v>712.16</v>
      </c>
      <c r="L5287" s="17"/>
      <c r="M5287" s="29">
        <f t="shared" si="269"/>
        <v>0</v>
      </c>
      <c r="N5287" s="31">
        <f>0.604*L5287</f>
        <v>0</v>
      </c>
      <c r="O5287" s="32">
        <f>0.00495*L5287</f>
        <v>0</v>
      </c>
      <c r="P5287" s="36"/>
      <c r="Q5287" s="29" t="s">
        <v>17605</v>
      </c>
      <c r="R5287" s="29"/>
      <c r="S5287" s="26" t="str">
        <f>HYPERLINK("https://miland.ru/api/getInfo/image/17e5fdde-9698-11ef-a267-00155d82e908")</f>
        <v>https://miland.ru/api/getInfo/image/17e5fdde-9698-11ef-a267-00155d82e908</v>
      </c>
    </row>
    <row r="5288" spans="1:19" s="2" customFormat="1" ht="96.2" customHeight="1" outlineLevel="5">
      <c r="A5288" s="52">
        <v>4189</v>
      </c>
      <c r="B5288" s="26" t="s">
        <v>17606</v>
      </c>
      <c r="C5288" s="66" t="s">
        <v>17607</v>
      </c>
      <c r="D5288" s="66"/>
      <c r="E5288" s="66"/>
      <c r="F5288" s="66"/>
      <c r="G5288" s="27" t="s">
        <v>17608</v>
      </c>
      <c r="H5288" s="33">
        <v>98</v>
      </c>
      <c r="I5288" s="29"/>
      <c r="J5288" s="25">
        <v>1</v>
      </c>
      <c r="K5288" s="30">
        <v>878.89</v>
      </c>
      <c r="L5288" s="17"/>
      <c r="M5288" s="29">
        <f t="shared" si="269"/>
        <v>0</v>
      </c>
      <c r="N5288" s="31">
        <f>0.604*L5288</f>
        <v>0</v>
      </c>
      <c r="O5288" s="32">
        <f>0.00495*L5288</f>
        <v>0</v>
      </c>
      <c r="P5288" s="36"/>
      <c r="Q5288" s="29" t="s">
        <v>17609</v>
      </c>
      <c r="R5288" s="29" t="s">
        <v>611</v>
      </c>
      <c r="S5288" s="26" t="str">
        <f>HYPERLINK("https://miland.ru/api/getInfo/image/abe0635e-9697-11ef-a267-00155d82e908")</f>
        <v>https://miland.ru/api/getInfo/image/abe0635e-9697-11ef-a267-00155d82e908</v>
      </c>
    </row>
    <row r="5289" spans="1:19" s="2" customFormat="1" ht="96.2" customHeight="1" outlineLevel="5">
      <c r="A5289" s="52">
        <v>4190</v>
      </c>
      <c r="B5289" s="26" t="s">
        <v>17610</v>
      </c>
      <c r="C5289" s="66" t="s">
        <v>17611</v>
      </c>
      <c r="D5289" s="66"/>
      <c r="E5289" s="66"/>
      <c r="F5289" s="66"/>
      <c r="G5289" s="27" t="s">
        <v>17612</v>
      </c>
      <c r="H5289" s="33">
        <v>2</v>
      </c>
      <c r="I5289" s="29"/>
      <c r="J5289" s="25">
        <v>1</v>
      </c>
      <c r="K5289" s="37">
        <v>1073.6400000000001</v>
      </c>
      <c r="L5289" s="17"/>
      <c r="M5289" s="29">
        <f t="shared" si="269"/>
        <v>0</v>
      </c>
      <c r="N5289" s="31">
        <f>0.446*L5289</f>
        <v>0</v>
      </c>
      <c r="O5289" s="32">
        <f>0.00242*L5289</f>
        <v>0</v>
      </c>
      <c r="P5289" s="36"/>
      <c r="Q5289" s="29" t="s">
        <v>17613</v>
      </c>
      <c r="R5289" s="29"/>
      <c r="S5289" s="26" t="str">
        <f>HYPERLINK("https://miland.ru/api/getInfo/image/11534a44-9695-11ef-a267-00155d82e908")</f>
        <v>https://miland.ru/api/getInfo/image/11534a44-9695-11ef-a267-00155d82e908</v>
      </c>
    </row>
    <row r="5290" spans="1:19" s="2" customFormat="1" ht="96.2" customHeight="1" outlineLevel="5">
      <c r="A5290" s="52">
        <v>4191</v>
      </c>
      <c r="B5290" s="26" t="s">
        <v>17614</v>
      </c>
      <c r="C5290" s="66" t="s">
        <v>17615</v>
      </c>
      <c r="D5290" s="66"/>
      <c r="E5290" s="66"/>
      <c r="F5290" s="66"/>
      <c r="G5290" s="27" t="s">
        <v>17616</v>
      </c>
      <c r="H5290" s="33">
        <v>4</v>
      </c>
      <c r="I5290" s="29"/>
      <c r="J5290" s="25">
        <v>1</v>
      </c>
      <c r="K5290" s="30">
        <v>498.87</v>
      </c>
      <c r="L5290" s="17"/>
      <c r="M5290" s="29">
        <f t="shared" si="269"/>
        <v>0</v>
      </c>
      <c r="N5290" s="31">
        <f>0.359*L5290</f>
        <v>0</v>
      </c>
      <c r="O5290" s="32">
        <f>0.00377*L5290</f>
        <v>0</v>
      </c>
      <c r="P5290" s="36"/>
      <c r="Q5290" s="29" t="s">
        <v>17617</v>
      </c>
      <c r="R5290" s="29"/>
      <c r="S5290" s="26" t="str">
        <f>HYPERLINK("https://miland.ru/api/getInfo/image/df9a6649-9696-11ef-a267-00155d82e908")</f>
        <v>https://miland.ru/api/getInfo/image/df9a6649-9696-11ef-a267-00155d82e908</v>
      </c>
    </row>
    <row r="5291" spans="1:19" s="2" customFormat="1" ht="96.2" customHeight="1" outlineLevel="5">
      <c r="A5291" s="52">
        <v>4192</v>
      </c>
      <c r="B5291" s="26" t="s">
        <v>17618</v>
      </c>
      <c r="C5291" s="66" t="s">
        <v>17619</v>
      </c>
      <c r="D5291" s="66"/>
      <c r="E5291" s="66"/>
      <c r="F5291" s="66"/>
      <c r="G5291" s="27" t="s">
        <v>17620</v>
      </c>
      <c r="H5291" s="33">
        <v>2</v>
      </c>
      <c r="I5291" s="29"/>
      <c r="J5291" s="25">
        <v>1</v>
      </c>
      <c r="K5291" s="30">
        <v>498.87</v>
      </c>
      <c r="L5291" s="17"/>
      <c r="M5291" s="29">
        <f t="shared" si="269"/>
        <v>0</v>
      </c>
      <c r="N5291" s="31">
        <f>0.359*L5291</f>
        <v>0</v>
      </c>
      <c r="O5291" s="32">
        <f>0.00377*L5291</f>
        <v>0</v>
      </c>
      <c r="P5291" s="36"/>
      <c r="Q5291" s="29" t="s">
        <v>17621</v>
      </c>
      <c r="R5291" s="29"/>
      <c r="S5291" s="26" t="str">
        <f>HYPERLINK("https://miland.ru/api/getInfo/image/c435031b-9696-11ef-a267-00155d82e908")</f>
        <v>https://miland.ru/api/getInfo/image/c435031b-9696-11ef-a267-00155d82e908</v>
      </c>
    </row>
    <row r="5292" spans="1:19" s="2" customFormat="1" ht="96.2" customHeight="1" outlineLevel="5">
      <c r="A5292" s="52">
        <v>4193</v>
      </c>
      <c r="B5292" s="26" t="s">
        <v>17622</v>
      </c>
      <c r="C5292" s="66" t="s">
        <v>17623</v>
      </c>
      <c r="D5292" s="66"/>
      <c r="E5292" s="66"/>
      <c r="F5292" s="66"/>
      <c r="G5292" s="27" t="s">
        <v>17624</v>
      </c>
      <c r="H5292" s="28" t="s">
        <v>44</v>
      </c>
      <c r="I5292" s="29"/>
      <c r="J5292" s="25">
        <v>1</v>
      </c>
      <c r="K5292" s="37">
        <v>1417.2</v>
      </c>
      <c r="L5292" s="17"/>
      <c r="M5292" s="29">
        <f t="shared" si="269"/>
        <v>0</v>
      </c>
      <c r="N5292" s="31">
        <f>0.691*L5292</f>
        <v>0</v>
      </c>
      <c r="O5292" s="32">
        <f>0.00678*L5292</f>
        <v>0</v>
      </c>
      <c r="P5292" s="36"/>
      <c r="Q5292" s="29" t="s">
        <v>17625</v>
      </c>
      <c r="R5292" s="29" t="s">
        <v>611</v>
      </c>
      <c r="S5292" s="26" t="str">
        <f>HYPERLINK("https://miland.ru/api/getInfo/image/9a33e828-9696-11ef-a267-00155d82e908")</f>
        <v>https://miland.ru/api/getInfo/image/9a33e828-9696-11ef-a267-00155d82e908</v>
      </c>
    </row>
    <row r="5293" spans="1:19" s="1" customFormat="1" ht="12" customHeight="1" outlineLevel="4">
      <c r="A5293" s="64" t="s">
        <v>17626</v>
      </c>
      <c r="B5293" s="64"/>
      <c r="C5293" s="64"/>
      <c r="D5293" s="64"/>
      <c r="E5293" s="64"/>
      <c r="F5293" s="64"/>
      <c r="G5293" s="8"/>
      <c r="H5293" s="12"/>
      <c r="I5293" s="2"/>
      <c r="J5293" s="2"/>
      <c r="K5293" s="13"/>
      <c r="L5293" s="2"/>
      <c r="M5293" s="2"/>
      <c r="N5293" s="2"/>
      <c r="O5293" s="2"/>
      <c r="P5293" s="2"/>
      <c r="Q5293" s="2"/>
      <c r="R5293" s="2"/>
      <c r="S5293" s="2"/>
    </row>
    <row r="5294" spans="1:19" s="2" customFormat="1" ht="96.2" customHeight="1" outlineLevel="5">
      <c r="A5294" s="52">
        <v>4194</v>
      </c>
      <c r="B5294" s="26" t="s">
        <v>17627</v>
      </c>
      <c r="C5294" s="66" t="s">
        <v>17628</v>
      </c>
      <c r="D5294" s="66"/>
      <c r="E5294" s="66"/>
      <c r="F5294" s="66"/>
      <c r="G5294" s="27" t="s">
        <v>17629</v>
      </c>
      <c r="H5294" s="33">
        <v>211</v>
      </c>
      <c r="I5294" s="29"/>
      <c r="J5294" s="25">
        <v>1</v>
      </c>
      <c r="K5294" s="37">
        <v>1116.58</v>
      </c>
      <c r="L5294" s="17"/>
      <c r="M5294" s="29">
        <f t="shared" ref="M5294:M5299" si="270">K5294*L5294</f>
        <v>0</v>
      </c>
      <c r="N5294" s="31">
        <f>0.194*L5294</f>
        <v>0</v>
      </c>
      <c r="O5294" s="32">
        <f>0.00066*L5294</f>
        <v>0</v>
      </c>
      <c r="P5294" s="36"/>
      <c r="Q5294" s="29" t="s">
        <v>17630</v>
      </c>
      <c r="R5294" s="29" t="s">
        <v>611</v>
      </c>
      <c r="S5294" s="26" t="str">
        <f>HYPERLINK("https://miland.ru/api/getInfo/image/1c77868a-9697-11ef-a267-00155d82e908")</f>
        <v>https://miland.ru/api/getInfo/image/1c77868a-9697-11ef-a267-00155d82e908</v>
      </c>
    </row>
    <row r="5295" spans="1:19" s="2" customFormat="1" ht="96.2" customHeight="1" outlineLevel="5">
      <c r="A5295" s="52">
        <v>4195</v>
      </c>
      <c r="B5295" s="26" t="s">
        <v>17631</v>
      </c>
      <c r="C5295" s="66" t="s">
        <v>17632</v>
      </c>
      <c r="D5295" s="66"/>
      <c r="E5295" s="66"/>
      <c r="F5295" s="66"/>
      <c r="G5295" s="27" t="s">
        <v>17633</v>
      </c>
      <c r="H5295" s="33">
        <v>206</v>
      </c>
      <c r="I5295" s="29"/>
      <c r="J5295" s="25">
        <v>1</v>
      </c>
      <c r="K5295" s="37">
        <v>1116.58</v>
      </c>
      <c r="L5295" s="17"/>
      <c r="M5295" s="29">
        <f t="shared" si="270"/>
        <v>0</v>
      </c>
      <c r="N5295" s="31">
        <f>0.194*L5295</f>
        <v>0</v>
      </c>
      <c r="O5295" s="32">
        <f>0.00066*L5295</f>
        <v>0</v>
      </c>
      <c r="P5295" s="36"/>
      <c r="Q5295" s="29" t="s">
        <v>17634</v>
      </c>
      <c r="R5295" s="29" t="s">
        <v>611</v>
      </c>
      <c r="S5295" s="26" t="str">
        <f>HYPERLINK("https://miland.ru/api/getInfo/image/46665ba8-9697-11ef-a267-00155d82e908")</f>
        <v>https://miland.ru/api/getInfo/image/46665ba8-9697-11ef-a267-00155d82e908</v>
      </c>
    </row>
    <row r="5296" spans="1:19" s="2" customFormat="1" ht="96.2" customHeight="1" outlineLevel="5">
      <c r="A5296" s="52">
        <v>4196</v>
      </c>
      <c r="B5296" s="26" t="s">
        <v>17635</v>
      </c>
      <c r="C5296" s="66" t="s">
        <v>17636</v>
      </c>
      <c r="D5296" s="66"/>
      <c r="E5296" s="66"/>
      <c r="F5296" s="66"/>
      <c r="G5296" s="27" t="s">
        <v>17637</v>
      </c>
      <c r="H5296" s="33">
        <v>1</v>
      </c>
      <c r="I5296" s="29"/>
      <c r="J5296" s="25">
        <v>1</v>
      </c>
      <c r="K5296" s="37">
        <v>1215.0899999999999</v>
      </c>
      <c r="L5296" s="17"/>
      <c r="M5296" s="29">
        <f t="shared" si="270"/>
        <v>0</v>
      </c>
      <c r="N5296" s="31">
        <f>0.221*L5296</f>
        <v>0</v>
      </c>
      <c r="O5296" s="32">
        <f>0.00071*L5296</f>
        <v>0</v>
      </c>
      <c r="P5296" s="36"/>
      <c r="Q5296" s="29" t="s">
        <v>17638</v>
      </c>
      <c r="R5296" s="29" t="s">
        <v>611</v>
      </c>
      <c r="S5296" s="26" t="str">
        <f>HYPERLINK("https://miland.ru/api/getInfo/image/3d466eca-9696-11ef-a267-00155d82e908")</f>
        <v>https://miland.ru/api/getInfo/image/3d466eca-9696-11ef-a267-00155d82e908</v>
      </c>
    </row>
    <row r="5297" spans="1:19" s="2" customFormat="1" ht="96.2" customHeight="1" outlineLevel="5">
      <c r="A5297" s="52">
        <v>4197</v>
      </c>
      <c r="B5297" s="26" t="s">
        <v>17639</v>
      </c>
      <c r="C5297" s="66" t="s">
        <v>17640</v>
      </c>
      <c r="D5297" s="66"/>
      <c r="E5297" s="66"/>
      <c r="F5297" s="66"/>
      <c r="G5297" s="27" t="s">
        <v>17641</v>
      </c>
      <c r="H5297" s="33">
        <v>2</v>
      </c>
      <c r="I5297" s="29"/>
      <c r="J5297" s="25">
        <v>1</v>
      </c>
      <c r="K5297" s="37">
        <v>1249.7</v>
      </c>
      <c r="L5297" s="17"/>
      <c r="M5297" s="29">
        <f t="shared" si="270"/>
        <v>0</v>
      </c>
      <c r="N5297" s="31">
        <f>0.221*L5297</f>
        <v>0</v>
      </c>
      <c r="O5297" s="32">
        <f>0.00071*L5297</f>
        <v>0</v>
      </c>
      <c r="P5297" s="36"/>
      <c r="Q5297" s="29" t="s">
        <v>17642</v>
      </c>
      <c r="R5297" s="29" t="s">
        <v>611</v>
      </c>
      <c r="S5297" s="26" t="str">
        <f>HYPERLINK("https://miland.ru/api/getInfo/image/11db3fbd-9696-11ef-a267-00155d82e908")</f>
        <v>https://miland.ru/api/getInfo/image/11db3fbd-9696-11ef-a267-00155d82e908</v>
      </c>
    </row>
    <row r="5298" spans="1:19" s="2" customFormat="1" ht="96.2" customHeight="1" outlineLevel="5">
      <c r="A5298" s="52">
        <v>4198</v>
      </c>
      <c r="B5298" s="26" t="s">
        <v>17643</v>
      </c>
      <c r="C5298" s="66" t="s">
        <v>17644</v>
      </c>
      <c r="D5298" s="66"/>
      <c r="E5298" s="66"/>
      <c r="F5298" s="66"/>
      <c r="G5298" s="27" t="s">
        <v>17645</v>
      </c>
      <c r="H5298" s="33">
        <v>3</v>
      </c>
      <c r="I5298" s="29"/>
      <c r="J5298" s="25">
        <v>1</v>
      </c>
      <c r="K5298" s="37">
        <v>1073.6400000000001</v>
      </c>
      <c r="L5298" s="17"/>
      <c r="M5298" s="29">
        <f t="shared" si="270"/>
        <v>0</v>
      </c>
      <c r="N5298" s="34">
        <f>0.17*L5298</f>
        <v>0</v>
      </c>
      <c r="O5298" s="32">
        <f>0.00061*L5298</f>
        <v>0</v>
      </c>
      <c r="P5298" s="36"/>
      <c r="Q5298" s="29" t="s">
        <v>17646</v>
      </c>
      <c r="R5298" s="29" t="s">
        <v>611</v>
      </c>
      <c r="S5298" s="26" t="str">
        <f>HYPERLINK("https://miland.ru/api/getInfo/image/89bd71df-9695-11ef-a267-00155d82e908")</f>
        <v>https://miland.ru/api/getInfo/image/89bd71df-9695-11ef-a267-00155d82e908</v>
      </c>
    </row>
    <row r="5299" spans="1:19" s="2" customFormat="1" ht="96.2" customHeight="1" outlineLevel="5">
      <c r="A5299" s="52">
        <v>4199</v>
      </c>
      <c r="B5299" s="26" t="s">
        <v>17647</v>
      </c>
      <c r="C5299" s="66" t="s">
        <v>17648</v>
      </c>
      <c r="D5299" s="66"/>
      <c r="E5299" s="66"/>
      <c r="F5299" s="66"/>
      <c r="G5299" s="27" t="s">
        <v>17649</v>
      </c>
      <c r="H5299" s="33">
        <v>1</v>
      </c>
      <c r="I5299" s="29"/>
      <c r="J5299" s="25">
        <v>1</v>
      </c>
      <c r="K5299" s="37">
        <v>1073.6400000000001</v>
      </c>
      <c r="L5299" s="17"/>
      <c r="M5299" s="29">
        <f t="shared" si="270"/>
        <v>0</v>
      </c>
      <c r="N5299" s="31">
        <f>0.165*L5299</f>
        <v>0</v>
      </c>
      <c r="O5299" s="32">
        <f>0.00061*L5299</f>
        <v>0</v>
      </c>
      <c r="P5299" s="36"/>
      <c r="Q5299" s="29" t="s">
        <v>17650</v>
      </c>
      <c r="R5299" s="29" t="s">
        <v>611</v>
      </c>
      <c r="S5299" s="26" t="str">
        <f>HYPERLINK("https://miland.ru/api/getInfo/image/b15e02a8-9695-11ef-a267-00155d82e908")</f>
        <v>https://miland.ru/api/getInfo/image/b15e02a8-9695-11ef-a267-00155d82e908</v>
      </c>
    </row>
    <row r="5300" spans="1:19" s="1" customFormat="1" ht="12" customHeight="1" outlineLevel="3">
      <c r="A5300" s="64" t="s">
        <v>17651</v>
      </c>
      <c r="B5300" s="64"/>
      <c r="C5300" s="64"/>
      <c r="D5300" s="64"/>
      <c r="E5300" s="64"/>
      <c r="F5300" s="64"/>
      <c r="G5300" s="8"/>
      <c r="H5300" s="12"/>
      <c r="I5300" s="2"/>
      <c r="J5300" s="2"/>
      <c r="K5300" s="13"/>
      <c r="L5300" s="2"/>
      <c r="M5300" s="2"/>
      <c r="N5300" s="2"/>
      <c r="O5300" s="2"/>
      <c r="P5300" s="2"/>
      <c r="Q5300" s="2"/>
      <c r="R5300" s="2"/>
      <c r="S5300" s="2"/>
    </row>
    <row r="5301" spans="1:19" s="2" customFormat="1" ht="96.2" customHeight="1" outlineLevel="4">
      <c r="A5301" s="52">
        <v>4200</v>
      </c>
      <c r="B5301" s="26" t="s">
        <v>17652</v>
      </c>
      <c r="C5301" s="66" t="s">
        <v>17653</v>
      </c>
      <c r="D5301" s="66"/>
      <c r="E5301" s="66"/>
      <c r="F5301" s="66"/>
      <c r="G5301" s="27" t="s">
        <v>17654</v>
      </c>
      <c r="H5301" s="28" t="s">
        <v>44</v>
      </c>
      <c r="I5301" s="29"/>
      <c r="J5301" s="25">
        <v>1</v>
      </c>
      <c r="K5301" s="37">
        <v>9088.86</v>
      </c>
      <c r="L5301" s="17"/>
      <c r="M5301" s="29">
        <f>K5301*L5301</f>
        <v>0</v>
      </c>
      <c r="N5301" s="31">
        <f>3.609*L5301</f>
        <v>0</v>
      </c>
      <c r="O5301" s="32">
        <f>0.02786*L5301</f>
        <v>0</v>
      </c>
      <c r="P5301" s="36"/>
      <c r="Q5301" s="29" t="s">
        <v>17655</v>
      </c>
      <c r="R5301" s="29"/>
      <c r="S5301" s="26" t="str">
        <f>HYPERLINK("https://miland.ru/api/getInfo/image/ca32da82-3acc-11ef-a261-00155d82e908")</f>
        <v>https://miland.ru/api/getInfo/image/ca32da82-3acc-11ef-a261-00155d82e908</v>
      </c>
    </row>
    <row r="5302" spans="1:19" s="2" customFormat="1" ht="96.2" customHeight="1" outlineLevel="4">
      <c r="A5302" s="52">
        <v>4201</v>
      </c>
      <c r="B5302" s="26" t="s">
        <v>17656</v>
      </c>
      <c r="C5302" s="66" t="s">
        <v>17657</v>
      </c>
      <c r="D5302" s="66"/>
      <c r="E5302" s="66"/>
      <c r="F5302" s="66"/>
      <c r="G5302" s="27" t="s">
        <v>17658</v>
      </c>
      <c r="H5302" s="33">
        <v>3</v>
      </c>
      <c r="I5302" s="29"/>
      <c r="J5302" s="25">
        <v>1</v>
      </c>
      <c r="K5302" s="37">
        <v>2528.2800000000002</v>
      </c>
      <c r="L5302" s="17"/>
      <c r="M5302" s="29">
        <f>K5302*L5302</f>
        <v>0</v>
      </c>
      <c r="N5302" s="31">
        <f>1.386*L5302</f>
        <v>0</v>
      </c>
      <c r="O5302" s="35">
        <f>0.0095*L5302</f>
        <v>0</v>
      </c>
      <c r="P5302" s="36"/>
      <c r="Q5302" s="29" t="s">
        <v>17659</v>
      </c>
      <c r="R5302" s="29" t="s">
        <v>611</v>
      </c>
      <c r="S5302" s="26" t="str">
        <f>HYPERLINK("https://miland.ru/api/getInfo/image/696ec80b-3475-11ef-a261-00155d82e908")</f>
        <v>https://miland.ru/api/getInfo/image/696ec80b-3475-11ef-a261-00155d82e908</v>
      </c>
    </row>
    <row r="5303" spans="1:19" s="2" customFormat="1" ht="96.2" customHeight="1" outlineLevel="4">
      <c r="A5303" s="52">
        <v>4202</v>
      </c>
      <c r="B5303" s="26" t="s">
        <v>17660</v>
      </c>
      <c r="C5303" s="66" t="s">
        <v>17661</v>
      </c>
      <c r="D5303" s="66"/>
      <c r="E5303" s="66"/>
      <c r="F5303" s="66"/>
      <c r="G5303" s="27" t="s">
        <v>17662</v>
      </c>
      <c r="H5303" s="33">
        <v>389</v>
      </c>
      <c r="I5303" s="29"/>
      <c r="J5303" s="25">
        <v>1</v>
      </c>
      <c r="K5303" s="37">
        <v>3196.12</v>
      </c>
      <c r="L5303" s="17"/>
      <c r="M5303" s="29">
        <f>K5303*L5303</f>
        <v>0</v>
      </c>
      <c r="N5303" s="31">
        <f>1.986*L5303</f>
        <v>0</v>
      </c>
      <c r="O5303" s="32">
        <f>0.02421*L5303</f>
        <v>0</v>
      </c>
      <c r="P5303" s="36"/>
      <c r="Q5303" s="29" t="s">
        <v>17663</v>
      </c>
      <c r="R5303" s="29" t="s">
        <v>611</v>
      </c>
      <c r="S5303" s="26" t="str">
        <f>HYPERLINK("https://miland.ru/api/getInfo/image/2c0916b2-3476-11ef-a261-00155d82e908")</f>
        <v>https://miland.ru/api/getInfo/image/2c0916b2-3476-11ef-a261-00155d82e908</v>
      </c>
    </row>
    <row r="5304" spans="1:19" s="1" customFormat="1" ht="12" customHeight="1" outlineLevel="2">
      <c r="A5304" s="63" t="s">
        <v>17664</v>
      </c>
      <c r="B5304" s="63"/>
      <c r="C5304" s="63"/>
      <c r="D5304" s="63"/>
      <c r="E5304" s="63"/>
      <c r="F5304" s="63"/>
      <c r="G5304" s="8"/>
      <c r="H5304" s="12"/>
      <c r="I5304" s="2"/>
      <c r="J5304" s="2"/>
      <c r="K5304" s="13"/>
      <c r="L5304" s="2"/>
      <c r="M5304" s="2"/>
      <c r="N5304" s="2"/>
      <c r="O5304" s="2"/>
      <c r="P5304" s="2"/>
      <c r="Q5304" s="2"/>
      <c r="R5304" s="2"/>
      <c r="S5304" s="2"/>
    </row>
    <row r="5305" spans="1:19" s="2" customFormat="1" ht="96.2" customHeight="1" outlineLevel="3">
      <c r="A5305" s="52">
        <v>4203</v>
      </c>
      <c r="B5305" s="26" t="s">
        <v>17665</v>
      </c>
      <c r="C5305" s="66" t="s">
        <v>17666</v>
      </c>
      <c r="D5305" s="66"/>
      <c r="E5305" s="66"/>
      <c r="F5305" s="66"/>
      <c r="G5305" s="27" t="s">
        <v>17667</v>
      </c>
      <c r="H5305" s="33">
        <v>10</v>
      </c>
      <c r="I5305" s="29"/>
      <c r="J5305" s="25">
        <v>1</v>
      </c>
      <c r="K5305" s="37">
        <v>2038.28</v>
      </c>
      <c r="L5305" s="17"/>
      <c r="M5305" s="29">
        <f>K5305*L5305</f>
        <v>0</v>
      </c>
      <c r="N5305" s="31">
        <f>0.303*L5305</f>
        <v>0</v>
      </c>
      <c r="O5305" s="32">
        <f>0.00192*L5305</f>
        <v>0</v>
      </c>
      <c r="P5305" s="36"/>
      <c r="Q5305" s="29" t="s">
        <v>17668</v>
      </c>
      <c r="R5305" s="29" t="s">
        <v>611</v>
      </c>
      <c r="S5305" s="26" t="str">
        <f>HYPERLINK("https://miland.ru/api/getInfo/image/06ff614a-a485-11ee-a258-00155d82e908")</f>
        <v>https://miland.ru/api/getInfo/image/06ff614a-a485-11ee-a258-00155d82e908</v>
      </c>
    </row>
    <row r="5306" spans="1:19" s="1" customFormat="1" ht="12" customHeight="1" outlineLevel="2">
      <c r="A5306" s="63" t="s">
        <v>17669</v>
      </c>
      <c r="B5306" s="63"/>
      <c r="C5306" s="63"/>
      <c r="D5306" s="63"/>
      <c r="E5306" s="63"/>
      <c r="F5306" s="63"/>
      <c r="G5306" s="8"/>
      <c r="H5306" s="12"/>
      <c r="I5306" s="2"/>
      <c r="J5306" s="2"/>
      <c r="K5306" s="13"/>
      <c r="L5306" s="2"/>
      <c r="M5306" s="2"/>
      <c r="N5306" s="2"/>
      <c r="O5306" s="2"/>
      <c r="P5306" s="2"/>
      <c r="Q5306" s="2"/>
      <c r="R5306" s="2"/>
      <c r="S5306" s="2"/>
    </row>
    <row r="5307" spans="1:19" s="2" customFormat="1" ht="96.2" customHeight="1" outlineLevel="3">
      <c r="A5307" s="52">
        <v>4204</v>
      </c>
      <c r="B5307" s="26" t="s">
        <v>17670</v>
      </c>
      <c r="C5307" s="66" t="s">
        <v>17671</v>
      </c>
      <c r="D5307" s="66"/>
      <c r="E5307" s="66"/>
      <c r="F5307" s="66"/>
      <c r="G5307" s="27" t="s">
        <v>17672</v>
      </c>
      <c r="H5307" s="33">
        <v>2</v>
      </c>
      <c r="I5307" s="29"/>
      <c r="J5307" s="25">
        <v>1</v>
      </c>
      <c r="K5307" s="37">
        <v>1198.3699999999999</v>
      </c>
      <c r="L5307" s="17"/>
      <c r="M5307" s="29">
        <f>K5307*L5307</f>
        <v>0</v>
      </c>
      <c r="N5307" s="31">
        <f>0.276*L5307</f>
        <v>0</v>
      </c>
      <c r="O5307" s="32">
        <f>0.00141*L5307</f>
        <v>0</v>
      </c>
      <c r="P5307" s="36"/>
      <c r="Q5307" s="29" t="s">
        <v>17673</v>
      </c>
      <c r="R5307" s="29" t="s">
        <v>611</v>
      </c>
      <c r="S5307" s="26" t="str">
        <f>HYPERLINK("https://miland.ru/api/getInfo/image/0d2cee15-5203-11ee-a244-00155d82e902")</f>
        <v>https://miland.ru/api/getInfo/image/0d2cee15-5203-11ee-a244-00155d82e902</v>
      </c>
    </row>
  </sheetData>
  <mergeCells count="5321">
    <mergeCell ref="C5307:F5307"/>
    <mergeCell ref="A4:A5"/>
    <mergeCell ref="B4:B5"/>
    <mergeCell ref="G4:G5"/>
    <mergeCell ref="H4:H5"/>
    <mergeCell ref="I4:I5"/>
    <mergeCell ref="J4:J5"/>
    <mergeCell ref="K4:K5"/>
    <mergeCell ref="L4:L5"/>
    <mergeCell ref="M4:M5"/>
    <mergeCell ref="N4:N5"/>
    <mergeCell ref="O4:O5"/>
    <mergeCell ref="P4:P5"/>
    <mergeCell ref="Q4:Q5"/>
    <mergeCell ref="R4:R5"/>
    <mergeCell ref="S4:S5"/>
    <mergeCell ref="C4:F5"/>
    <mergeCell ref="C5290:F5290"/>
    <mergeCell ref="C5291:F5291"/>
    <mergeCell ref="C5292:F5292"/>
    <mergeCell ref="A5293:F5293"/>
    <mergeCell ref="C5294:F5294"/>
    <mergeCell ref="C5295:F5295"/>
    <mergeCell ref="C5296:F5296"/>
    <mergeCell ref="C5297:F5297"/>
    <mergeCell ref="C5298:F5298"/>
    <mergeCell ref="C5299:F5299"/>
    <mergeCell ref="A5300:F5300"/>
    <mergeCell ref="C5301:F5301"/>
    <mergeCell ref="C5302:F5302"/>
    <mergeCell ref="C5303:F5303"/>
    <mergeCell ref="A5304:F5304"/>
    <mergeCell ref="C5305:F5305"/>
    <mergeCell ref="A5306:F5306"/>
    <mergeCell ref="C5273:F5273"/>
    <mergeCell ref="C5274:F5274"/>
    <mergeCell ref="C5275:F5275"/>
    <mergeCell ref="C5276:F5276"/>
    <mergeCell ref="C5277:F5277"/>
    <mergeCell ref="C5278:F5278"/>
    <mergeCell ref="C5279:F5279"/>
    <mergeCell ref="C5280:F5280"/>
    <mergeCell ref="A5281:F5281"/>
    <mergeCell ref="C5282:F5282"/>
    <mergeCell ref="C5283:F5283"/>
    <mergeCell ref="C5284:F5284"/>
    <mergeCell ref="C5285:F5285"/>
    <mergeCell ref="C5286:F5286"/>
    <mergeCell ref="C5287:F5287"/>
    <mergeCell ref="C5288:F5288"/>
    <mergeCell ref="C5289:F5289"/>
    <mergeCell ref="C5256:F5256"/>
    <mergeCell ref="C5257:F5257"/>
    <mergeCell ref="C5258:F5258"/>
    <mergeCell ref="C5259:F5259"/>
    <mergeCell ref="C5260:F5260"/>
    <mergeCell ref="C5261:F5261"/>
    <mergeCell ref="C5262:F5262"/>
    <mergeCell ref="C5263:F5263"/>
    <mergeCell ref="C5264:F5264"/>
    <mergeCell ref="C5265:F5265"/>
    <mergeCell ref="C5266:F5266"/>
    <mergeCell ref="C5267:F5267"/>
    <mergeCell ref="C5268:F5268"/>
    <mergeCell ref="C5269:F5269"/>
    <mergeCell ref="C5270:F5270"/>
    <mergeCell ref="C5271:F5271"/>
    <mergeCell ref="C5272:F5272"/>
    <mergeCell ref="C5239:F5239"/>
    <mergeCell ref="A5240:F5240"/>
    <mergeCell ref="C5241:F5241"/>
    <mergeCell ref="A5242:F5242"/>
    <mergeCell ref="C5243:F5243"/>
    <mergeCell ref="A5244:F5244"/>
    <mergeCell ref="C5245:F5245"/>
    <mergeCell ref="A5246:F5246"/>
    <mergeCell ref="A5247:F5247"/>
    <mergeCell ref="C5248:F5248"/>
    <mergeCell ref="C5249:F5249"/>
    <mergeCell ref="A5250:F5250"/>
    <mergeCell ref="A5251:F5251"/>
    <mergeCell ref="A5252:F5252"/>
    <mergeCell ref="C5253:F5253"/>
    <mergeCell ref="C5254:F5254"/>
    <mergeCell ref="C5255:F5255"/>
    <mergeCell ref="A5222:F5222"/>
    <mergeCell ref="C5223:F5223"/>
    <mergeCell ref="C5224:F5224"/>
    <mergeCell ref="C5225:F5225"/>
    <mergeCell ref="C5226:F5226"/>
    <mergeCell ref="C5227:F5227"/>
    <mergeCell ref="C5228:F5228"/>
    <mergeCell ref="A5229:F5229"/>
    <mergeCell ref="A5230:F5230"/>
    <mergeCell ref="C5231:F5231"/>
    <mergeCell ref="C5232:F5232"/>
    <mergeCell ref="C5233:F5233"/>
    <mergeCell ref="C5234:F5234"/>
    <mergeCell ref="C5235:F5235"/>
    <mergeCell ref="C5236:F5236"/>
    <mergeCell ref="C5237:F5237"/>
    <mergeCell ref="C5238:F5238"/>
    <mergeCell ref="C5205:F5205"/>
    <mergeCell ref="A5206:F5206"/>
    <mergeCell ref="A5207:F5207"/>
    <mergeCell ref="C5208:F5208"/>
    <mergeCell ref="C5209:F5209"/>
    <mergeCell ref="C5210:F5210"/>
    <mergeCell ref="C5211:F5211"/>
    <mergeCell ref="C5212:F5212"/>
    <mergeCell ref="A5213:F5213"/>
    <mergeCell ref="A5214:F5214"/>
    <mergeCell ref="A5215:F5215"/>
    <mergeCell ref="C5216:F5216"/>
    <mergeCell ref="A5217:F5217"/>
    <mergeCell ref="C5218:F5218"/>
    <mergeCell ref="C5219:F5219"/>
    <mergeCell ref="C5220:F5220"/>
    <mergeCell ref="C5221:F5221"/>
    <mergeCell ref="C5188:F5188"/>
    <mergeCell ref="C5189:F5189"/>
    <mergeCell ref="C5190:F5190"/>
    <mergeCell ref="C5191:F5191"/>
    <mergeCell ref="A5192:F5192"/>
    <mergeCell ref="C5193:F5193"/>
    <mergeCell ref="C5194:F5194"/>
    <mergeCell ref="C5195:F5195"/>
    <mergeCell ref="C5196:F5196"/>
    <mergeCell ref="C5197:F5197"/>
    <mergeCell ref="C5198:F5198"/>
    <mergeCell ref="C5199:F5199"/>
    <mergeCell ref="A5200:F5200"/>
    <mergeCell ref="A5201:F5201"/>
    <mergeCell ref="C5202:F5202"/>
    <mergeCell ref="C5203:F5203"/>
    <mergeCell ref="C5204:F5204"/>
    <mergeCell ref="A5171:F5171"/>
    <mergeCell ref="C5172:F5172"/>
    <mergeCell ref="C5173:F5173"/>
    <mergeCell ref="C5174:F5174"/>
    <mergeCell ref="C5175:F5175"/>
    <mergeCell ref="C5176:F5176"/>
    <mergeCell ref="C5177:F5177"/>
    <mergeCell ref="C5178:F5178"/>
    <mergeCell ref="C5179:F5179"/>
    <mergeCell ref="C5180:F5180"/>
    <mergeCell ref="C5181:F5181"/>
    <mergeCell ref="C5182:F5182"/>
    <mergeCell ref="C5183:F5183"/>
    <mergeCell ref="C5184:F5184"/>
    <mergeCell ref="C5185:F5185"/>
    <mergeCell ref="C5186:F5186"/>
    <mergeCell ref="C5187:F5187"/>
    <mergeCell ref="C5154:F5154"/>
    <mergeCell ref="C5155:F5155"/>
    <mergeCell ref="C5156:F5156"/>
    <mergeCell ref="C5157:F5157"/>
    <mergeCell ref="C5158:F5158"/>
    <mergeCell ref="C5159:F5159"/>
    <mergeCell ref="C5160:F5160"/>
    <mergeCell ref="A5161:F5161"/>
    <mergeCell ref="C5162:F5162"/>
    <mergeCell ref="A5163:F5163"/>
    <mergeCell ref="C5164:F5164"/>
    <mergeCell ref="C5165:F5165"/>
    <mergeCell ref="C5166:F5166"/>
    <mergeCell ref="C5167:F5167"/>
    <mergeCell ref="C5168:F5168"/>
    <mergeCell ref="C5169:F5169"/>
    <mergeCell ref="C5170:F5170"/>
    <mergeCell ref="C5137:F5137"/>
    <mergeCell ref="C5138:F5138"/>
    <mergeCell ref="C5139:F5139"/>
    <mergeCell ref="C5140:F5140"/>
    <mergeCell ref="C5141:F5141"/>
    <mergeCell ref="C5142:F5142"/>
    <mergeCell ref="C5143:F5143"/>
    <mergeCell ref="C5144:F5144"/>
    <mergeCell ref="A5145:F5145"/>
    <mergeCell ref="C5146:F5146"/>
    <mergeCell ref="C5147:F5147"/>
    <mergeCell ref="C5148:F5148"/>
    <mergeCell ref="C5149:F5149"/>
    <mergeCell ref="C5150:F5150"/>
    <mergeCell ref="C5151:F5151"/>
    <mergeCell ref="C5152:F5152"/>
    <mergeCell ref="C5153:F5153"/>
    <mergeCell ref="A5120:F5120"/>
    <mergeCell ref="C5121:F5121"/>
    <mergeCell ref="A5122:F5122"/>
    <mergeCell ref="A5123:F5123"/>
    <mergeCell ref="C5124:F5124"/>
    <mergeCell ref="A5125:F5125"/>
    <mergeCell ref="A5126:F5126"/>
    <mergeCell ref="C5127:F5127"/>
    <mergeCell ref="C5128:F5128"/>
    <mergeCell ref="A5129:F5129"/>
    <mergeCell ref="C5130:F5130"/>
    <mergeCell ref="C5131:F5131"/>
    <mergeCell ref="A5132:F5132"/>
    <mergeCell ref="C5133:F5133"/>
    <mergeCell ref="C5134:F5134"/>
    <mergeCell ref="C5135:F5135"/>
    <mergeCell ref="C5136:F5136"/>
    <mergeCell ref="A5103:F5103"/>
    <mergeCell ref="C5104:F5104"/>
    <mergeCell ref="C5105:F5105"/>
    <mergeCell ref="A5106:F5106"/>
    <mergeCell ref="C5107:F5107"/>
    <mergeCell ref="A5108:F5108"/>
    <mergeCell ref="A5109:F5109"/>
    <mergeCell ref="A5110:F5110"/>
    <mergeCell ref="C5111:F5111"/>
    <mergeCell ref="A5112:F5112"/>
    <mergeCell ref="C5113:F5113"/>
    <mergeCell ref="C5114:F5114"/>
    <mergeCell ref="C5115:F5115"/>
    <mergeCell ref="C5116:F5116"/>
    <mergeCell ref="C5117:F5117"/>
    <mergeCell ref="C5118:F5118"/>
    <mergeCell ref="C5119:F5119"/>
    <mergeCell ref="C5086:F5086"/>
    <mergeCell ref="A5087:F5087"/>
    <mergeCell ref="C5088:F5088"/>
    <mergeCell ref="A5089:F5089"/>
    <mergeCell ref="C5090:F5090"/>
    <mergeCell ref="C5091:F5091"/>
    <mergeCell ref="C5092:F5092"/>
    <mergeCell ref="C5093:F5093"/>
    <mergeCell ref="C5094:F5094"/>
    <mergeCell ref="C5095:F5095"/>
    <mergeCell ref="C5096:F5096"/>
    <mergeCell ref="C5097:F5097"/>
    <mergeCell ref="C5098:F5098"/>
    <mergeCell ref="C5099:F5099"/>
    <mergeCell ref="A5100:F5100"/>
    <mergeCell ref="A5101:F5101"/>
    <mergeCell ref="A5102:F5102"/>
    <mergeCell ref="C5069:F5069"/>
    <mergeCell ref="C5070:F5070"/>
    <mergeCell ref="C5071:F5071"/>
    <mergeCell ref="C5072:F5072"/>
    <mergeCell ref="C5073:F5073"/>
    <mergeCell ref="A5074:F5074"/>
    <mergeCell ref="A5075:F5075"/>
    <mergeCell ref="C5076:F5076"/>
    <mergeCell ref="C5077:F5077"/>
    <mergeCell ref="C5078:F5078"/>
    <mergeCell ref="C5079:F5079"/>
    <mergeCell ref="C5080:F5080"/>
    <mergeCell ref="C5081:F5081"/>
    <mergeCell ref="C5082:F5082"/>
    <mergeCell ref="C5083:F5083"/>
    <mergeCell ref="C5084:F5084"/>
    <mergeCell ref="C5085:F5085"/>
    <mergeCell ref="C5052:F5052"/>
    <mergeCell ref="A5053:F5053"/>
    <mergeCell ref="C5054:F5054"/>
    <mergeCell ref="C5055:F5055"/>
    <mergeCell ref="C5056:F5056"/>
    <mergeCell ref="C5057:F5057"/>
    <mergeCell ref="C5058:F5058"/>
    <mergeCell ref="C5059:F5059"/>
    <mergeCell ref="A5060:F5060"/>
    <mergeCell ref="C5061:F5061"/>
    <mergeCell ref="C5062:F5062"/>
    <mergeCell ref="A5063:F5063"/>
    <mergeCell ref="C5064:F5064"/>
    <mergeCell ref="C5065:F5065"/>
    <mergeCell ref="C5066:F5066"/>
    <mergeCell ref="C5067:F5067"/>
    <mergeCell ref="C5068:F5068"/>
    <mergeCell ref="C5035:F5035"/>
    <mergeCell ref="C5036:F5036"/>
    <mergeCell ref="C5037:F5037"/>
    <mergeCell ref="C5038:F5038"/>
    <mergeCell ref="C5039:F5039"/>
    <mergeCell ref="C5040:F5040"/>
    <mergeCell ref="A5041:F5041"/>
    <mergeCell ref="A5042:F5042"/>
    <mergeCell ref="C5043:F5043"/>
    <mergeCell ref="C5044:F5044"/>
    <mergeCell ref="C5045:F5045"/>
    <mergeCell ref="C5046:F5046"/>
    <mergeCell ref="C5047:F5047"/>
    <mergeCell ref="C5048:F5048"/>
    <mergeCell ref="C5049:F5049"/>
    <mergeCell ref="C5050:F5050"/>
    <mergeCell ref="C5051:F5051"/>
    <mergeCell ref="C5018:F5018"/>
    <mergeCell ref="A5019:F5019"/>
    <mergeCell ref="C5020:F5020"/>
    <mergeCell ref="C5021:F5021"/>
    <mergeCell ref="A5022:F5022"/>
    <mergeCell ref="C5023:F5023"/>
    <mergeCell ref="C5024:F5024"/>
    <mergeCell ref="A5025:F5025"/>
    <mergeCell ref="C5026:F5026"/>
    <mergeCell ref="C5027:F5027"/>
    <mergeCell ref="C5028:F5028"/>
    <mergeCell ref="C5029:F5029"/>
    <mergeCell ref="C5030:F5030"/>
    <mergeCell ref="C5031:F5031"/>
    <mergeCell ref="A5032:F5032"/>
    <mergeCell ref="C5033:F5033"/>
    <mergeCell ref="C5034:F5034"/>
    <mergeCell ref="C5001:F5001"/>
    <mergeCell ref="C5002:F5002"/>
    <mergeCell ref="C5003:F5003"/>
    <mergeCell ref="C5004:F5004"/>
    <mergeCell ref="C5005:F5005"/>
    <mergeCell ref="C5006:F5006"/>
    <mergeCell ref="C5007:F5007"/>
    <mergeCell ref="C5008:F5008"/>
    <mergeCell ref="C5009:F5009"/>
    <mergeCell ref="C5010:F5010"/>
    <mergeCell ref="A5011:F5011"/>
    <mergeCell ref="A5012:F5012"/>
    <mergeCell ref="C5013:F5013"/>
    <mergeCell ref="C5014:F5014"/>
    <mergeCell ref="C5015:F5015"/>
    <mergeCell ref="A5016:F5016"/>
    <mergeCell ref="C5017:F5017"/>
    <mergeCell ref="C4984:F4984"/>
    <mergeCell ref="C4985:F4985"/>
    <mergeCell ref="C4986:F4986"/>
    <mergeCell ref="C4987:F4987"/>
    <mergeCell ref="C4988:F4988"/>
    <mergeCell ref="C4989:F4989"/>
    <mergeCell ref="C4990:F4990"/>
    <mergeCell ref="C4991:F4991"/>
    <mergeCell ref="C4992:F4992"/>
    <mergeCell ref="A4993:F4993"/>
    <mergeCell ref="C4994:F4994"/>
    <mergeCell ref="C4995:F4995"/>
    <mergeCell ref="C4996:F4996"/>
    <mergeCell ref="C4997:F4997"/>
    <mergeCell ref="C4998:F4998"/>
    <mergeCell ref="C4999:F4999"/>
    <mergeCell ref="C5000:F5000"/>
    <mergeCell ref="C4967:F4967"/>
    <mergeCell ref="C4968:F4968"/>
    <mergeCell ref="C4969:F4969"/>
    <mergeCell ref="C4970:F4970"/>
    <mergeCell ref="C4971:F4971"/>
    <mergeCell ref="C4972:F4972"/>
    <mergeCell ref="C4973:F4973"/>
    <mergeCell ref="C4974:F4974"/>
    <mergeCell ref="C4975:F4975"/>
    <mergeCell ref="C4976:F4976"/>
    <mergeCell ref="C4977:F4977"/>
    <mergeCell ref="C4978:F4978"/>
    <mergeCell ref="C4979:F4979"/>
    <mergeCell ref="C4980:F4980"/>
    <mergeCell ref="C4981:F4981"/>
    <mergeCell ref="C4982:F4982"/>
    <mergeCell ref="C4983:F4983"/>
    <mergeCell ref="C4950:F4950"/>
    <mergeCell ref="C4951:F4951"/>
    <mergeCell ref="C4952:F4952"/>
    <mergeCell ref="C4953:F4953"/>
    <mergeCell ref="C4954:F4954"/>
    <mergeCell ref="C4955:F4955"/>
    <mergeCell ref="C4956:F4956"/>
    <mergeCell ref="C4957:F4957"/>
    <mergeCell ref="A4958:F4958"/>
    <mergeCell ref="C4959:F4959"/>
    <mergeCell ref="C4960:F4960"/>
    <mergeCell ref="C4961:F4961"/>
    <mergeCell ref="C4962:F4962"/>
    <mergeCell ref="C4963:F4963"/>
    <mergeCell ref="A4964:F4964"/>
    <mergeCell ref="C4965:F4965"/>
    <mergeCell ref="C4966:F4966"/>
    <mergeCell ref="C4933:F4933"/>
    <mergeCell ref="A4934:F4934"/>
    <mergeCell ref="C4935:F4935"/>
    <mergeCell ref="C4936:F4936"/>
    <mergeCell ref="C4937:F4937"/>
    <mergeCell ref="C4938:F4938"/>
    <mergeCell ref="C4939:F4939"/>
    <mergeCell ref="C4940:F4940"/>
    <mergeCell ref="C4941:F4941"/>
    <mergeCell ref="C4942:F4942"/>
    <mergeCell ref="C4943:F4943"/>
    <mergeCell ref="C4944:F4944"/>
    <mergeCell ref="C4945:F4945"/>
    <mergeCell ref="C4946:F4946"/>
    <mergeCell ref="C4947:F4947"/>
    <mergeCell ref="C4948:F4948"/>
    <mergeCell ref="C4949:F4949"/>
    <mergeCell ref="C4916:F4916"/>
    <mergeCell ref="C4917:F4917"/>
    <mergeCell ref="C4918:F4918"/>
    <mergeCell ref="C4919:F4919"/>
    <mergeCell ref="C4920:F4920"/>
    <mergeCell ref="C4921:F4921"/>
    <mergeCell ref="C4922:F4922"/>
    <mergeCell ref="C4923:F4923"/>
    <mergeCell ref="C4924:F4924"/>
    <mergeCell ref="C4925:F4925"/>
    <mergeCell ref="C4926:F4926"/>
    <mergeCell ref="C4927:F4927"/>
    <mergeCell ref="C4928:F4928"/>
    <mergeCell ref="C4929:F4929"/>
    <mergeCell ref="C4930:F4930"/>
    <mergeCell ref="C4931:F4931"/>
    <mergeCell ref="C4932:F4932"/>
    <mergeCell ref="A4899:F4899"/>
    <mergeCell ref="A4900:F4900"/>
    <mergeCell ref="C4901:F4901"/>
    <mergeCell ref="C4902:F4902"/>
    <mergeCell ref="C4903:F4903"/>
    <mergeCell ref="C4904:F4904"/>
    <mergeCell ref="C4905:F4905"/>
    <mergeCell ref="C4906:F4906"/>
    <mergeCell ref="C4907:F4907"/>
    <mergeCell ref="C4908:F4908"/>
    <mergeCell ref="C4909:F4909"/>
    <mergeCell ref="C4910:F4910"/>
    <mergeCell ref="C4911:F4911"/>
    <mergeCell ref="C4912:F4912"/>
    <mergeCell ref="C4913:F4913"/>
    <mergeCell ref="C4914:F4914"/>
    <mergeCell ref="C4915:F4915"/>
    <mergeCell ref="A4882:F4882"/>
    <mergeCell ref="C4883:F4883"/>
    <mergeCell ref="A4884:F4884"/>
    <mergeCell ref="A4885:F4885"/>
    <mergeCell ref="C4886:F4886"/>
    <mergeCell ref="C4887:F4887"/>
    <mergeCell ref="A4888:F4888"/>
    <mergeCell ref="C4889:F4889"/>
    <mergeCell ref="C4890:F4890"/>
    <mergeCell ref="A4891:F4891"/>
    <mergeCell ref="A4892:F4892"/>
    <mergeCell ref="C4893:F4893"/>
    <mergeCell ref="C4894:F4894"/>
    <mergeCell ref="C4895:F4895"/>
    <mergeCell ref="C4896:F4896"/>
    <mergeCell ref="C4897:F4897"/>
    <mergeCell ref="C4898:F4898"/>
    <mergeCell ref="A4865:F4865"/>
    <mergeCell ref="C4866:F4866"/>
    <mergeCell ref="C4867:F4867"/>
    <mergeCell ref="C4868:F4868"/>
    <mergeCell ref="C4869:F4869"/>
    <mergeCell ref="C4870:F4870"/>
    <mergeCell ref="A4871:F4871"/>
    <mergeCell ref="C4872:F4872"/>
    <mergeCell ref="C4873:F4873"/>
    <mergeCell ref="C4874:F4874"/>
    <mergeCell ref="A4875:F4875"/>
    <mergeCell ref="A4876:F4876"/>
    <mergeCell ref="A4877:F4877"/>
    <mergeCell ref="C4878:F4878"/>
    <mergeCell ref="A4879:F4879"/>
    <mergeCell ref="A4880:F4880"/>
    <mergeCell ref="A4881:F4881"/>
    <mergeCell ref="C4848:F4848"/>
    <mergeCell ref="C4849:F4849"/>
    <mergeCell ref="A4850:F4850"/>
    <mergeCell ref="C4851:F4851"/>
    <mergeCell ref="C4852:F4852"/>
    <mergeCell ref="A4853:F4853"/>
    <mergeCell ref="C4854:F4854"/>
    <mergeCell ref="C4855:F4855"/>
    <mergeCell ref="C4856:F4856"/>
    <mergeCell ref="C4857:F4857"/>
    <mergeCell ref="C4858:F4858"/>
    <mergeCell ref="C4859:F4859"/>
    <mergeCell ref="C4860:F4860"/>
    <mergeCell ref="C4861:F4861"/>
    <mergeCell ref="C4862:F4862"/>
    <mergeCell ref="C4863:F4863"/>
    <mergeCell ref="C4864:F4864"/>
    <mergeCell ref="C4831:F4831"/>
    <mergeCell ref="C4832:F4832"/>
    <mergeCell ref="C4833:F4833"/>
    <mergeCell ref="C4834:F4834"/>
    <mergeCell ref="C4835:F4835"/>
    <mergeCell ref="C4836:F4836"/>
    <mergeCell ref="C4837:F4837"/>
    <mergeCell ref="C4838:F4838"/>
    <mergeCell ref="A4839:F4839"/>
    <mergeCell ref="A4840:F4840"/>
    <mergeCell ref="A4841:F4841"/>
    <mergeCell ref="C4842:F4842"/>
    <mergeCell ref="C4843:F4843"/>
    <mergeCell ref="C4844:F4844"/>
    <mergeCell ref="C4845:F4845"/>
    <mergeCell ref="C4846:F4846"/>
    <mergeCell ref="C4847:F4847"/>
    <mergeCell ref="C4814:F4814"/>
    <mergeCell ref="C4815:F4815"/>
    <mergeCell ref="A4816:F4816"/>
    <mergeCell ref="C4817:F4817"/>
    <mergeCell ref="C4818:F4818"/>
    <mergeCell ref="A4819:F4819"/>
    <mergeCell ref="C4820:F4820"/>
    <mergeCell ref="C4821:F4821"/>
    <mergeCell ref="C4822:F4822"/>
    <mergeCell ref="C4823:F4823"/>
    <mergeCell ref="C4824:F4824"/>
    <mergeCell ref="A4825:F4825"/>
    <mergeCell ref="A4826:F4826"/>
    <mergeCell ref="C4827:F4827"/>
    <mergeCell ref="C4828:F4828"/>
    <mergeCell ref="C4829:F4829"/>
    <mergeCell ref="C4830:F4830"/>
    <mergeCell ref="A4797:F4797"/>
    <mergeCell ref="C4798:F4798"/>
    <mergeCell ref="C4799:F4799"/>
    <mergeCell ref="C4800:F4800"/>
    <mergeCell ref="A4801:F4801"/>
    <mergeCell ref="C4802:F4802"/>
    <mergeCell ref="A4803:F4803"/>
    <mergeCell ref="C4804:F4804"/>
    <mergeCell ref="C4805:F4805"/>
    <mergeCell ref="C4806:F4806"/>
    <mergeCell ref="C4807:F4807"/>
    <mergeCell ref="C4808:F4808"/>
    <mergeCell ref="C4809:F4809"/>
    <mergeCell ref="C4810:F4810"/>
    <mergeCell ref="C4811:F4811"/>
    <mergeCell ref="C4812:F4812"/>
    <mergeCell ref="C4813:F4813"/>
    <mergeCell ref="C4780:F4780"/>
    <mergeCell ref="C4781:F4781"/>
    <mergeCell ref="C4782:F4782"/>
    <mergeCell ref="C4783:F4783"/>
    <mergeCell ref="A4784:F4784"/>
    <mergeCell ref="C4785:F4785"/>
    <mergeCell ref="C4786:F4786"/>
    <mergeCell ref="C4787:F4787"/>
    <mergeCell ref="C4788:F4788"/>
    <mergeCell ref="C4789:F4789"/>
    <mergeCell ref="C4790:F4790"/>
    <mergeCell ref="C4791:F4791"/>
    <mergeCell ref="C4792:F4792"/>
    <mergeCell ref="C4793:F4793"/>
    <mergeCell ref="C4794:F4794"/>
    <mergeCell ref="C4795:F4795"/>
    <mergeCell ref="C4796:F4796"/>
    <mergeCell ref="C4763:F4763"/>
    <mergeCell ref="A4764:F4764"/>
    <mergeCell ref="A4765:F4765"/>
    <mergeCell ref="C4766:F4766"/>
    <mergeCell ref="C4767:F4767"/>
    <mergeCell ref="A4768:F4768"/>
    <mergeCell ref="C4769:F4769"/>
    <mergeCell ref="C4770:F4770"/>
    <mergeCell ref="A4771:F4771"/>
    <mergeCell ref="C4772:F4772"/>
    <mergeCell ref="C4773:F4773"/>
    <mergeCell ref="C4774:F4774"/>
    <mergeCell ref="C4775:F4775"/>
    <mergeCell ref="C4776:F4776"/>
    <mergeCell ref="C4777:F4777"/>
    <mergeCell ref="C4778:F4778"/>
    <mergeCell ref="C4779:F4779"/>
    <mergeCell ref="C4746:F4746"/>
    <mergeCell ref="C4747:F4747"/>
    <mergeCell ref="A4748:F4748"/>
    <mergeCell ref="C4749:F4749"/>
    <mergeCell ref="A4750:F4750"/>
    <mergeCell ref="C4751:F4751"/>
    <mergeCell ref="C4752:F4752"/>
    <mergeCell ref="A4753:F4753"/>
    <mergeCell ref="C4754:F4754"/>
    <mergeCell ref="A4755:F4755"/>
    <mergeCell ref="C4756:F4756"/>
    <mergeCell ref="C4757:F4757"/>
    <mergeCell ref="C4758:F4758"/>
    <mergeCell ref="C4759:F4759"/>
    <mergeCell ref="C4760:F4760"/>
    <mergeCell ref="C4761:F4761"/>
    <mergeCell ref="C4762:F4762"/>
    <mergeCell ref="C4729:F4729"/>
    <mergeCell ref="C4730:F4730"/>
    <mergeCell ref="C4731:F4731"/>
    <mergeCell ref="C4732:F4732"/>
    <mergeCell ref="C4733:F4733"/>
    <mergeCell ref="C4734:F4734"/>
    <mergeCell ref="C4735:F4735"/>
    <mergeCell ref="C4736:F4736"/>
    <mergeCell ref="C4737:F4737"/>
    <mergeCell ref="A4738:F4738"/>
    <mergeCell ref="C4739:F4739"/>
    <mergeCell ref="C4740:F4740"/>
    <mergeCell ref="C4741:F4741"/>
    <mergeCell ref="C4742:F4742"/>
    <mergeCell ref="C4743:F4743"/>
    <mergeCell ref="C4744:F4744"/>
    <mergeCell ref="A4745:F4745"/>
    <mergeCell ref="C4712:F4712"/>
    <mergeCell ref="C4713:F4713"/>
    <mergeCell ref="A4714:F4714"/>
    <mergeCell ref="C4715:F4715"/>
    <mergeCell ref="C4716:F4716"/>
    <mergeCell ref="C4717:F4717"/>
    <mergeCell ref="C4718:F4718"/>
    <mergeCell ref="A4719:F4719"/>
    <mergeCell ref="A4720:F4720"/>
    <mergeCell ref="C4721:F4721"/>
    <mergeCell ref="A4722:F4722"/>
    <mergeCell ref="A4723:F4723"/>
    <mergeCell ref="C4724:F4724"/>
    <mergeCell ref="C4725:F4725"/>
    <mergeCell ref="C4726:F4726"/>
    <mergeCell ref="C4727:F4727"/>
    <mergeCell ref="C4728:F4728"/>
    <mergeCell ref="C4695:F4695"/>
    <mergeCell ref="C4696:F4696"/>
    <mergeCell ref="C4697:F4697"/>
    <mergeCell ref="C4698:F4698"/>
    <mergeCell ref="A4699:F4699"/>
    <mergeCell ref="A4700:F4700"/>
    <mergeCell ref="C4701:F4701"/>
    <mergeCell ref="C4702:F4702"/>
    <mergeCell ref="C4703:F4703"/>
    <mergeCell ref="C4704:F4704"/>
    <mergeCell ref="A4705:F4705"/>
    <mergeCell ref="A4706:F4706"/>
    <mergeCell ref="C4707:F4707"/>
    <mergeCell ref="C4708:F4708"/>
    <mergeCell ref="C4709:F4709"/>
    <mergeCell ref="C4710:F4710"/>
    <mergeCell ref="C4711:F4711"/>
    <mergeCell ref="C4678:F4678"/>
    <mergeCell ref="C4679:F4679"/>
    <mergeCell ref="C4680:F4680"/>
    <mergeCell ref="C4681:F4681"/>
    <mergeCell ref="C4682:F4682"/>
    <mergeCell ref="C4683:F4683"/>
    <mergeCell ref="C4684:F4684"/>
    <mergeCell ref="C4685:F4685"/>
    <mergeCell ref="C4686:F4686"/>
    <mergeCell ref="C4687:F4687"/>
    <mergeCell ref="C4688:F4688"/>
    <mergeCell ref="C4689:F4689"/>
    <mergeCell ref="C4690:F4690"/>
    <mergeCell ref="A4691:F4691"/>
    <mergeCell ref="C4692:F4692"/>
    <mergeCell ref="C4693:F4693"/>
    <mergeCell ref="C4694:F4694"/>
    <mergeCell ref="C4661:F4661"/>
    <mergeCell ref="C4662:F4662"/>
    <mergeCell ref="C4663:F4663"/>
    <mergeCell ref="C4664:F4664"/>
    <mergeCell ref="C4665:F4665"/>
    <mergeCell ref="C4666:F4666"/>
    <mergeCell ref="C4667:F4667"/>
    <mergeCell ref="C4668:F4668"/>
    <mergeCell ref="C4669:F4669"/>
    <mergeCell ref="C4670:F4670"/>
    <mergeCell ref="C4671:F4671"/>
    <mergeCell ref="C4672:F4672"/>
    <mergeCell ref="C4673:F4673"/>
    <mergeCell ref="C4674:F4674"/>
    <mergeCell ref="C4675:F4675"/>
    <mergeCell ref="C4676:F4676"/>
    <mergeCell ref="C4677:F4677"/>
    <mergeCell ref="C4644:F4644"/>
    <mergeCell ref="C4645:F4645"/>
    <mergeCell ref="C4646:F4646"/>
    <mergeCell ref="C4647:F4647"/>
    <mergeCell ref="C4648:F4648"/>
    <mergeCell ref="C4649:F4649"/>
    <mergeCell ref="C4650:F4650"/>
    <mergeCell ref="C4651:F4651"/>
    <mergeCell ref="C4652:F4652"/>
    <mergeCell ref="C4653:F4653"/>
    <mergeCell ref="A4654:F4654"/>
    <mergeCell ref="C4655:F4655"/>
    <mergeCell ref="C4656:F4656"/>
    <mergeCell ref="A4657:F4657"/>
    <mergeCell ref="C4658:F4658"/>
    <mergeCell ref="C4659:F4659"/>
    <mergeCell ref="C4660:F4660"/>
    <mergeCell ref="C4627:F4627"/>
    <mergeCell ref="C4628:F4628"/>
    <mergeCell ref="C4629:F4629"/>
    <mergeCell ref="C4630:F4630"/>
    <mergeCell ref="C4631:F4631"/>
    <mergeCell ref="C4632:F4632"/>
    <mergeCell ref="C4633:F4633"/>
    <mergeCell ref="C4634:F4634"/>
    <mergeCell ref="C4635:F4635"/>
    <mergeCell ref="C4636:F4636"/>
    <mergeCell ref="C4637:F4637"/>
    <mergeCell ref="C4638:F4638"/>
    <mergeCell ref="C4639:F4639"/>
    <mergeCell ref="C4640:F4640"/>
    <mergeCell ref="C4641:F4641"/>
    <mergeCell ref="C4642:F4642"/>
    <mergeCell ref="C4643:F4643"/>
    <mergeCell ref="C4610:F4610"/>
    <mergeCell ref="C4611:F4611"/>
    <mergeCell ref="C4612:F4612"/>
    <mergeCell ref="C4613:F4613"/>
    <mergeCell ref="C4614:F4614"/>
    <mergeCell ref="C4615:F4615"/>
    <mergeCell ref="C4616:F4616"/>
    <mergeCell ref="A4617:F4617"/>
    <mergeCell ref="A4618:F4618"/>
    <mergeCell ref="C4619:F4619"/>
    <mergeCell ref="C4620:F4620"/>
    <mergeCell ref="C4621:F4621"/>
    <mergeCell ref="C4622:F4622"/>
    <mergeCell ref="C4623:F4623"/>
    <mergeCell ref="C4624:F4624"/>
    <mergeCell ref="C4625:F4625"/>
    <mergeCell ref="C4626:F4626"/>
    <mergeCell ref="C4593:F4593"/>
    <mergeCell ref="C4594:F4594"/>
    <mergeCell ref="C4595:F4595"/>
    <mergeCell ref="C4596:F4596"/>
    <mergeCell ref="C4597:F4597"/>
    <mergeCell ref="A4598:F4598"/>
    <mergeCell ref="C4599:F4599"/>
    <mergeCell ref="C4600:F4600"/>
    <mergeCell ref="C4601:F4601"/>
    <mergeCell ref="C4602:F4602"/>
    <mergeCell ref="C4603:F4603"/>
    <mergeCell ref="C4604:F4604"/>
    <mergeCell ref="C4605:F4605"/>
    <mergeCell ref="C4606:F4606"/>
    <mergeCell ref="C4607:F4607"/>
    <mergeCell ref="A4608:F4608"/>
    <mergeCell ref="C4609:F4609"/>
    <mergeCell ref="C4576:F4576"/>
    <mergeCell ref="C4577:F4577"/>
    <mergeCell ref="C4578:F4578"/>
    <mergeCell ref="C4579:F4579"/>
    <mergeCell ref="C4580:F4580"/>
    <mergeCell ref="C4581:F4581"/>
    <mergeCell ref="C4582:F4582"/>
    <mergeCell ref="C4583:F4583"/>
    <mergeCell ref="C4584:F4584"/>
    <mergeCell ref="A4585:F4585"/>
    <mergeCell ref="A4586:F4586"/>
    <mergeCell ref="C4587:F4587"/>
    <mergeCell ref="C4588:F4588"/>
    <mergeCell ref="C4589:F4589"/>
    <mergeCell ref="A4590:F4590"/>
    <mergeCell ref="A4591:F4591"/>
    <mergeCell ref="A4592:F4592"/>
    <mergeCell ref="A4559:F4559"/>
    <mergeCell ref="A4560:F4560"/>
    <mergeCell ref="A4561:F4561"/>
    <mergeCell ref="A4562:F4562"/>
    <mergeCell ref="A4563:F4563"/>
    <mergeCell ref="C4564:F4564"/>
    <mergeCell ref="C4565:F4565"/>
    <mergeCell ref="A4566:F4566"/>
    <mergeCell ref="C4567:F4567"/>
    <mergeCell ref="C4568:F4568"/>
    <mergeCell ref="C4569:F4569"/>
    <mergeCell ref="C4570:F4570"/>
    <mergeCell ref="C4571:F4571"/>
    <mergeCell ref="C4572:F4572"/>
    <mergeCell ref="C4573:F4573"/>
    <mergeCell ref="C4574:F4574"/>
    <mergeCell ref="A4575:F4575"/>
    <mergeCell ref="C4542:F4542"/>
    <mergeCell ref="C4543:F4543"/>
    <mergeCell ref="C4544:F4544"/>
    <mergeCell ref="C4545:F4545"/>
    <mergeCell ref="C4546:F4546"/>
    <mergeCell ref="C4547:F4547"/>
    <mergeCell ref="C4548:F4548"/>
    <mergeCell ref="C4549:F4549"/>
    <mergeCell ref="A4550:F4550"/>
    <mergeCell ref="C4551:F4551"/>
    <mergeCell ref="C4552:F4552"/>
    <mergeCell ref="A4553:F4553"/>
    <mergeCell ref="C4554:F4554"/>
    <mergeCell ref="C4555:F4555"/>
    <mergeCell ref="C4556:F4556"/>
    <mergeCell ref="C4557:F4557"/>
    <mergeCell ref="C4558:F4558"/>
    <mergeCell ref="C4525:F4525"/>
    <mergeCell ref="A4526:F4526"/>
    <mergeCell ref="C4527:F4527"/>
    <mergeCell ref="C4528:F4528"/>
    <mergeCell ref="C4529:F4529"/>
    <mergeCell ref="C4530:F4530"/>
    <mergeCell ref="A4531:F4531"/>
    <mergeCell ref="A4532:F4532"/>
    <mergeCell ref="C4533:F4533"/>
    <mergeCell ref="C4534:F4534"/>
    <mergeCell ref="C4535:F4535"/>
    <mergeCell ref="C4536:F4536"/>
    <mergeCell ref="C4537:F4537"/>
    <mergeCell ref="C4538:F4538"/>
    <mergeCell ref="C4539:F4539"/>
    <mergeCell ref="C4540:F4540"/>
    <mergeCell ref="C4541:F4541"/>
    <mergeCell ref="C4508:F4508"/>
    <mergeCell ref="C4509:F4509"/>
    <mergeCell ref="A4510:F4510"/>
    <mergeCell ref="C4511:F4511"/>
    <mergeCell ref="C4512:F4512"/>
    <mergeCell ref="C4513:F4513"/>
    <mergeCell ref="C4514:F4514"/>
    <mergeCell ref="C4515:F4515"/>
    <mergeCell ref="C4516:F4516"/>
    <mergeCell ref="C4517:F4517"/>
    <mergeCell ref="C4518:F4518"/>
    <mergeCell ref="C4519:F4519"/>
    <mergeCell ref="C4520:F4520"/>
    <mergeCell ref="C4521:F4521"/>
    <mergeCell ref="A4522:F4522"/>
    <mergeCell ref="C4523:F4523"/>
    <mergeCell ref="C4524:F4524"/>
    <mergeCell ref="C4491:F4491"/>
    <mergeCell ref="A4492:F4492"/>
    <mergeCell ref="C4493:F4493"/>
    <mergeCell ref="C4494:F4494"/>
    <mergeCell ref="A4495:F4495"/>
    <mergeCell ref="A4496:F4496"/>
    <mergeCell ref="C4497:F4497"/>
    <mergeCell ref="C4498:F4498"/>
    <mergeCell ref="C4499:F4499"/>
    <mergeCell ref="C4500:F4500"/>
    <mergeCell ref="C4501:F4501"/>
    <mergeCell ref="A4502:F4502"/>
    <mergeCell ref="A4503:F4503"/>
    <mergeCell ref="C4504:F4504"/>
    <mergeCell ref="C4505:F4505"/>
    <mergeCell ref="C4506:F4506"/>
    <mergeCell ref="C4507:F4507"/>
    <mergeCell ref="C4474:F4474"/>
    <mergeCell ref="C4475:F4475"/>
    <mergeCell ref="C4476:F4476"/>
    <mergeCell ref="A4477:F4477"/>
    <mergeCell ref="C4478:F4478"/>
    <mergeCell ref="C4479:F4479"/>
    <mergeCell ref="C4480:F4480"/>
    <mergeCell ref="C4481:F4481"/>
    <mergeCell ref="C4482:F4482"/>
    <mergeCell ref="C4483:F4483"/>
    <mergeCell ref="C4484:F4484"/>
    <mergeCell ref="C4485:F4485"/>
    <mergeCell ref="C4486:F4486"/>
    <mergeCell ref="C4487:F4487"/>
    <mergeCell ref="C4488:F4488"/>
    <mergeCell ref="C4489:F4489"/>
    <mergeCell ref="C4490:F4490"/>
    <mergeCell ref="A4457:F4457"/>
    <mergeCell ref="A4458:F4458"/>
    <mergeCell ref="A4459:F4459"/>
    <mergeCell ref="C4460:F4460"/>
    <mergeCell ref="C4461:F4461"/>
    <mergeCell ref="C4462:F4462"/>
    <mergeCell ref="A4463:F4463"/>
    <mergeCell ref="C4464:F4464"/>
    <mergeCell ref="C4465:F4465"/>
    <mergeCell ref="C4466:F4466"/>
    <mergeCell ref="C4467:F4467"/>
    <mergeCell ref="C4468:F4468"/>
    <mergeCell ref="C4469:F4469"/>
    <mergeCell ref="C4470:F4470"/>
    <mergeCell ref="C4471:F4471"/>
    <mergeCell ref="A4472:F4472"/>
    <mergeCell ref="C4473:F4473"/>
    <mergeCell ref="A4440:F4440"/>
    <mergeCell ref="A4441:F4441"/>
    <mergeCell ref="A4442:F4442"/>
    <mergeCell ref="A4443:F4443"/>
    <mergeCell ref="C4444:F4444"/>
    <mergeCell ref="A4445:F4445"/>
    <mergeCell ref="C4446:F4446"/>
    <mergeCell ref="C4447:F4447"/>
    <mergeCell ref="C4448:F4448"/>
    <mergeCell ref="A4449:F4449"/>
    <mergeCell ref="A4450:F4450"/>
    <mergeCell ref="A4451:F4451"/>
    <mergeCell ref="C4452:F4452"/>
    <mergeCell ref="A4453:F4453"/>
    <mergeCell ref="A4454:F4454"/>
    <mergeCell ref="C4455:F4455"/>
    <mergeCell ref="A4456:F4456"/>
    <mergeCell ref="C4423:F4423"/>
    <mergeCell ref="C4424:F4424"/>
    <mergeCell ref="C4425:F4425"/>
    <mergeCell ref="C4426:F4426"/>
    <mergeCell ref="C4427:F4427"/>
    <mergeCell ref="C4428:F4428"/>
    <mergeCell ref="C4429:F4429"/>
    <mergeCell ref="C4430:F4430"/>
    <mergeCell ref="A4431:F4431"/>
    <mergeCell ref="C4432:F4432"/>
    <mergeCell ref="C4433:F4433"/>
    <mergeCell ref="C4434:F4434"/>
    <mergeCell ref="A4435:F4435"/>
    <mergeCell ref="A4436:F4436"/>
    <mergeCell ref="C4437:F4437"/>
    <mergeCell ref="C4438:F4438"/>
    <mergeCell ref="C4439:F4439"/>
    <mergeCell ref="C4406:F4406"/>
    <mergeCell ref="C4407:F4407"/>
    <mergeCell ref="C4408:F4408"/>
    <mergeCell ref="C4409:F4409"/>
    <mergeCell ref="C4410:F4410"/>
    <mergeCell ref="C4411:F4411"/>
    <mergeCell ref="C4412:F4412"/>
    <mergeCell ref="C4413:F4413"/>
    <mergeCell ref="C4414:F4414"/>
    <mergeCell ref="C4415:F4415"/>
    <mergeCell ref="C4416:F4416"/>
    <mergeCell ref="C4417:F4417"/>
    <mergeCell ref="C4418:F4418"/>
    <mergeCell ref="C4419:F4419"/>
    <mergeCell ref="A4420:F4420"/>
    <mergeCell ref="A4421:F4421"/>
    <mergeCell ref="A4422:F4422"/>
    <mergeCell ref="C4389:F4389"/>
    <mergeCell ref="C4390:F4390"/>
    <mergeCell ref="C4391:F4391"/>
    <mergeCell ref="A4392:F4392"/>
    <mergeCell ref="C4393:F4393"/>
    <mergeCell ref="C4394:F4394"/>
    <mergeCell ref="C4395:F4395"/>
    <mergeCell ref="C4396:F4396"/>
    <mergeCell ref="C4397:F4397"/>
    <mergeCell ref="C4398:F4398"/>
    <mergeCell ref="C4399:F4399"/>
    <mergeCell ref="A4400:F4400"/>
    <mergeCell ref="A4401:F4401"/>
    <mergeCell ref="A4402:F4402"/>
    <mergeCell ref="C4403:F4403"/>
    <mergeCell ref="C4404:F4404"/>
    <mergeCell ref="C4405:F4405"/>
    <mergeCell ref="A4372:F4372"/>
    <mergeCell ref="C4373:F4373"/>
    <mergeCell ref="C4374:F4374"/>
    <mergeCell ref="C4375:F4375"/>
    <mergeCell ref="A4376:F4376"/>
    <mergeCell ref="A4377:F4377"/>
    <mergeCell ref="C4378:F4378"/>
    <mergeCell ref="C4379:F4379"/>
    <mergeCell ref="C4380:F4380"/>
    <mergeCell ref="C4381:F4381"/>
    <mergeCell ref="C4382:F4382"/>
    <mergeCell ref="C4383:F4383"/>
    <mergeCell ref="C4384:F4384"/>
    <mergeCell ref="A4385:F4385"/>
    <mergeCell ref="C4386:F4386"/>
    <mergeCell ref="C4387:F4387"/>
    <mergeCell ref="C4388:F4388"/>
    <mergeCell ref="C4355:F4355"/>
    <mergeCell ref="C4356:F4356"/>
    <mergeCell ref="C4357:F4357"/>
    <mergeCell ref="C4358:F4358"/>
    <mergeCell ref="C4359:F4359"/>
    <mergeCell ref="A4360:F4360"/>
    <mergeCell ref="C4361:F4361"/>
    <mergeCell ref="C4362:F4362"/>
    <mergeCell ref="C4363:F4363"/>
    <mergeCell ref="A4364:F4364"/>
    <mergeCell ref="C4365:F4365"/>
    <mergeCell ref="C4366:F4366"/>
    <mergeCell ref="C4367:F4367"/>
    <mergeCell ref="A4368:F4368"/>
    <mergeCell ref="C4369:F4369"/>
    <mergeCell ref="A4370:F4370"/>
    <mergeCell ref="C4371:F4371"/>
    <mergeCell ref="C4338:F4338"/>
    <mergeCell ref="C4339:F4339"/>
    <mergeCell ref="C4340:F4340"/>
    <mergeCell ref="C4341:F4341"/>
    <mergeCell ref="C4342:F4342"/>
    <mergeCell ref="C4343:F4343"/>
    <mergeCell ref="C4344:F4344"/>
    <mergeCell ref="C4345:F4345"/>
    <mergeCell ref="A4346:F4346"/>
    <mergeCell ref="C4347:F4347"/>
    <mergeCell ref="A4348:F4348"/>
    <mergeCell ref="A4349:F4349"/>
    <mergeCell ref="C4350:F4350"/>
    <mergeCell ref="C4351:F4351"/>
    <mergeCell ref="C4352:F4352"/>
    <mergeCell ref="C4353:F4353"/>
    <mergeCell ref="A4354:F4354"/>
    <mergeCell ref="C4321:F4321"/>
    <mergeCell ref="C4322:F4322"/>
    <mergeCell ref="C4323:F4323"/>
    <mergeCell ref="C4324:F4324"/>
    <mergeCell ref="C4325:F4325"/>
    <mergeCell ref="A4326:F4326"/>
    <mergeCell ref="A4327:F4327"/>
    <mergeCell ref="C4328:F4328"/>
    <mergeCell ref="A4329:F4329"/>
    <mergeCell ref="C4330:F4330"/>
    <mergeCell ref="C4331:F4331"/>
    <mergeCell ref="A4332:F4332"/>
    <mergeCell ref="C4333:F4333"/>
    <mergeCell ref="C4334:F4334"/>
    <mergeCell ref="C4335:F4335"/>
    <mergeCell ref="C4336:F4336"/>
    <mergeCell ref="C4337:F4337"/>
    <mergeCell ref="C4304:F4304"/>
    <mergeCell ref="C4305:F4305"/>
    <mergeCell ref="C4306:F4306"/>
    <mergeCell ref="C4307:F4307"/>
    <mergeCell ref="C4308:F4308"/>
    <mergeCell ref="C4309:F4309"/>
    <mergeCell ref="C4310:F4310"/>
    <mergeCell ref="C4311:F4311"/>
    <mergeCell ref="C4312:F4312"/>
    <mergeCell ref="C4313:F4313"/>
    <mergeCell ref="C4314:F4314"/>
    <mergeCell ref="C4315:F4315"/>
    <mergeCell ref="C4316:F4316"/>
    <mergeCell ref="C4317:F4317"/>
    <mergeCell ref="C4318:F4318"/>
    <mergeCell ref="C4319:F4319"/>
    <mergeCell ref="C4320:F4320"/>
    <mergeCell ref="A4287:F4287"/>
    <mergeCell ref="C4288:F4288"/>
    <mergeCell ref="C4289:F4289"/>
    <mergeCell ref="C4290:F4290"/>
    <mergeCell ref="C4291:F4291"/>
    <mergeCell ref="C4292:F4292"/>
    <mergeCell ref="C4293:F4293"/>
    <mergeCell ref="C4294:F4294"/>
    <mergeCell ref="C4295:F4295"/>
    <mergeCell ref="C4296:F4296"/>
    <mergeCell ref="C4297:F4297"/>
    <mergeCell ref="C4298:F4298"/>
    <mergeCell ref="C4299:F4299"/>
    <mergeCell ref="A4300:F4300"/>
    <mergeCell ref="C4301:F4301"/>
    <mergeCell ref="C4302:F4302"/>
    <mergeCell ref="C4303:F4303"/>
    <mergeCell ref="C4270:F4270"/>
    <mergeCell ref="C4271:F4271"/>
    <mergeCell ref="C4272:F4272"/>
    <mergeCell ref="C4273:F4273"/>
    <mergeCell ref="C4274:F4274"/>
    <mergeCell ref="C4275:F4275"/>
    <mergeCell ref="C4276:F4276"/>
    <mergeCell ref="C4277:F4277"/>
    <mergeCell ref="A4278:F4278"/>
    <mergeCell ref="A4279:F4279"/>
    <mergeCell ref="C4280:F4280"/>
    <mergeCell ref="A4281:F4281"/>
    <mergeCell ref="C4282:F4282"/>
    <mergeCell ref="C4283:F4283"/>
    <mergeCell ref="C4284:F4284"/>
    <mergeCell ref="C4285:F4285"/>
    <mergeCell ref="C4286:F4286"/>
    <mergeCell ref="A4253:F4253"/>
    <mergeCell ref="C4254:F4254"/>
    <mergeCell ref="C4255:F4255"/>
    <mergeCell ref="A4256:F4256"/>
    <mergeCell ref="C4257:F4257"/>
    <mergeCell ref="C4258:F4258"/>
    <mergeCell ref="C4259:F4259"/>
    <mergeCell ref="C4260:F4260"/>
    <mergeCell ref="C4261:F4261"/>
    <mergeCell ref="C4262:F4262"/>
    <mergeCell ref="C4263:F4263"/>
    <mergeCell ref="C4264:F4264"/>
    <mergeCell ref="C4265:F4265"/>
    <mergeCell ref="C4266:F4266"/>
    <mergeCell ref="C4267:F4267"/>
    <mergeCell ref="C4268:F4268"/>
    <mergeCell ref="C4269:F4269"/>
    <mergeCell ref="A4236:F4236"/>
    <mergeCell ref="C4237:F4237"/>
    <mergeCell ref="C4238:F4238"/>
    <mergeCell ref="C4239:F4239"/>
    <mergeCell ref="A4240:F4240"/>
    <mergeCell ref="C4241:F4241"/>
    <mergeCell ref="C4242:F4242"/>
    <mergeCell ref="A4243:F4243"/>
    <mergeCell ref="C4244:F4244"/>
    <mergeCell ref="C4245:F4245"/>
    <mergeCell ref="A4246:F4246"/>
    <mergeCell ref="C4247:F4247"/>
    <mergeCell ref="C4248:F4248"/>
    <mergeCell ref="C4249:F4249"/>
    <mergeCell ref="C4250:F4250"/>
    <mergeCell ref="A4251:F4251"/>
    <mergeCell ref="A4252:F4252"/>
    <mergeCell ref="C4219:F4219"/>
    <mergeCell ref="C4220:F4220"/>
    <mergeCell ref="C4221:F4221"/>
    <mergeCell ref="C4222:F4222"/>
    <mergeCell ref="C4223:F4223"/>
    <mergeCell ref="C4224:F4224"/>
    <mergeCell ref="C4225:F4225"/>
    <mergeCell ref="C4226:F4226"/>
    <mergeCell ref="C4227:F4227"/>
    <mergeCell ref="C4228:F4228"/>
    <mergeCell ref="C4229:F4229"/>
    <mergeCell ref="A4230:F4230"/>
    <mergeCell ref="A4231:F4231"/>
    <mergeCell ref="A4232:F4232"/>
    <mergeCell ref="C4233:F4233"/>
    <mergeCell ref="C4234:F4234"/>
    <mergeCell ref="A4235:F4235"/>
    <mergeCell ref="C4202:F4202"/>
    <mergeCell ref="A4203:F4203"/>
    <mergeCell ref="A4204:F4204"/>
    <mergeCell ref="C4205:F4205"/>
    <mergeCell ref="A4206:F4206"/>
    <mergeCell ref="C4207:F4207"/>
    <mergeCell ref="C4208:F4208"/>
    <mergeCell ref="C4209:F4209"/>
    <mergeCell ref="C4210:F4210"/>
    <mergeCell ref="C4211:F4211"/>
    <mergeCell ref="C4212:F4212"/>
    <mergeCell ref="C4213:F4213"/>
    <mergeCell ref="C4214:F4214"/>
    <mergeCell ref="C4215:F4215"/>
    <mergeCell ref="C4216:F4216"/>
    <mergeCell ref="C4217:F4217"/>
    <mergeCell ref="C4218:F4218"/>
    <mergeCell ref="C4185:F4185"/>
    <mergeCell ref="A4186:F4186"/>
    <mergeCell ref="A4187:F4187"/>
    <mergeCell ref="A4188:F4188"/>
    <mergeCell ref="C4189:F4189"/>
    <mergeCell ref="A4190:F4190"/>
    <mergeCell ref="C4191:F4191"/>
    <mergeCell ref="A4192:F4192"/>
    <mergeCell ref="C4193:F4193"/>
    <mergeCell ref="A4194:F4194"/>
    <mergeCell ref="C4195:F4195"/>
    <mergeCell ref="C4196:F4196"/>
    <mergeCell ref="C4197:F4197"/>
    <mergeCell ref="A4198:F4198"/>
    <mergeCell ref="C4199:F4199"/>
    <mergeCell ref="C4200:F4200"/>
    <mergeCell ref="C4201:F4201"/>
    <mergeCell ref="C4168:F4168"/>
    <mergeCell ref="A4169:F4169"/>
    <mergeCell ref="C4170:F4170"/>
    <mergeCell ref="C4171:F4171"/>
    <mergeCell ref="C4172:F4172"/>
    <mergeCell ref="A4173:F4173"/>
    <mergeCell ref="A4174:F4174"/>
    <mergeCell ref="C4175:F4175"/>
    <mergeCell ref="C4176:F4176"/>
    <mergeCell ref="C4177:F4177"/>
    <mergeCell ref="A4178:F4178"/>
    <mergeCell ref="A4179:F4179"/>
    <mergeCell ref="A4180:F4180"/>
    <mergeCell ref="C4181:F4181"/>
    <mergeCell ref="C4182:F4182"/>
    <mergeCell ref="C4183:F4183"/>
    <mergeCell ref="C4184:F4184"/>
    <mergeCell ref="C4151:F4151"/>
    <mergeCell ref="A4152:F4152"/>
    <mergeCell ref="A4153:F4153"/>
    <mergeCell ref="C4154:F4154"/>
    <mergeCell ref="C4155:F4155"/>
    <mergeCell ref="C4156:F4156"/>
    <mergeCell ref="A4157:F4157"/>
    <mergeCell ref="C4158:F4158"/>
    <mergeCell ref="C4159:F4159"/>
    <mergeCell ref="C4160:F4160"/>
    <mergeCell ref="C4161:F4161"/>
    <mergeCell ref="A4162:F4162"/>
    <mergeCell ref="A4163:F4163"/>
    <mergeCell ref="C4164:F4164"/>
    <mergeCell ref="C4165:F4165"/>
    <mergeCell ref="C4166:F4166"/>
    <mergeCell ref="C4167:F4167"/>
    <mergeCell ref="C4134:F4134"/>
    <mergeCell ref="C4135:F4135"/>
    <mergeCell ref="C4136:F4136"/>
    <mergeCell ref="A4137:F4137"/>
    <mergeCell ref="A4138:F4138"/>
    <mergeCell ref="A4139:F4139"/>
    <mergeCell ref="C4140:F4140"/>
    <mergeCell ref="C4141:F4141"/>
    <mergeCell ref="C4142:F4142"/>
    <mergeCell ref="C4143:F4143"/>
    <mergeCell ref="A4144:F4144"/>
    <mergeCell ref="C4145:F4145"/>
    <mergeCell ref="C4146:F4146"/>
    <mergeCell ref="A4147:F4147"/>
    <mergeCell ref="C4148:F4148"/>
    <mergeCell ref="C4149:F4149"/>
    <mergeCell ref="C4150:F4150"/>
    <mergeCell ref="C4117:F4117"/>
    <mergeCell ref="C4118:F4118"/>
    <mergeCell ref="C4119:F4119"/>
    <mergeCell ref="C4120:F4120"/>
    <mergeCell ref="A4121:F4121"/>
    <mergeCell ref="A4122:F4122"/>
    <mergeCell ref="C4123:F4123"/>
    <mergeCell ref="C4124:F4124"/>
    <mergeCell ref="A4125:F4125"/>
    <mergeCell ref="A4126:F4126"/>
    <mergeCell ref="C4127:F4127"/>
    <mergeCell ref="C4128:F4128"/>
    <mergeCell ref="C4129:F4129"/>
    <mergeCell ref="C4130:F4130"/>
    <mergeCell ref="C4131:F4131"/>
    <mergeCell ref="A4132:F4132"/>
    <mergeCell ref="C4133:F4133"/>
    <mergeCell ref="C4100:F4100"/>
    <mergeCell ref="C4101:F4101"/>
    <mergeCell ref="C4102:F4102"/>
    <mergeCell ref="C4103:F4103"/>
    <mergeCell ref="A4104:F4104"/>
    <mergeCell ref="C4105:F4105"/>
    <mergeCell ref="C4106:F4106"/>
    <mergeCell ref="C4107:F4107"/>
    <mergeCell ref="A4108:F4108"/>
    <mergeCell ref="A4109:F4109"/>
    <mergeCell ref="A4110:F4110"/>
    <mergeCell ref="C4111:F4111"/>
    <mergeCell ref="C4112:F4112"/>
    <mergeCell ref="C4113:F4113"/>
    <mergeCell ref="C4114:F4114"/>
    <mergeCell ref="C4115:F4115"/>
    <mergeCell ref="C4116:F4116"/>
    <mergeCell ref="A4083:F4083"/>
    <mergeCell ref="C4084:F4084"/>
    <mergeCell ref="C4085:F4085"/>
    <mergeCell ref="C4086:F4086"/>
    <mergeCell ref="C4087:F4087"/>
    <mergeCell ref="C4088:F4088"/>
    <mergeCell ref="A4089:F4089"/>
    <mergeCell ref="A4090:F4090"/>
    <mergeCell ref="C4091:F4091"/>
    <mergeCell ref="C4092:F4092"/>
    <mergeCell ref="A4093:F4093"/>
    <mergeCell ref="A4094:F4094"/>
    <mergeCell ref="C4095:F4095"/>
    <mergeCell ref="C4096:F4096"/>
    <mergeCell ref="C4097:F4097"/>
    <mergeCell ref="C4098:F4098"/>
    <mergeCell ref="C4099:F4099"/>
    <mergeCell ref="A4066:F4066"/>
    <mergeCell ref="A4067:F4067"/>
    <mergeCell ref="C4068:F4068"/>
    <mergeCell ref="C4069:F4069"/>
    <mergeCell ref="C4070:F4070"/>
    <mergeCell ref="A4071:F4071"/>
    <mergeCell ref="C4072:F4072"/>
    <mergeCell ref="A4073:F4073"/>
    <mergeCell ref="A4074:F4074"/>
    <mergeCell ref="A4075:F4075"/>
    <mergeCell ref="C4076:F4076"/>
    <mergeCell ref="C4077:F4077"/>
    <mergeCell ref="C4078:F4078"/>
    <mergeCell ref="C4079:F4079"/>
    <mergeCell ref="A4080:F4080"/>
    <mergeCell ref="C4081:F4081"/>
    <mergeCell ref="C4082:F4082"/>
    <mergeCell ref="C4049:F4049"/>
    <mergeCell ref="C4050:F4050"/>
    <mergeCell ref="C4051:F4051"/>
    <mergeCell ref="C4052:F4052"/>
    <mergeCell ref="C4053:F4053"/>
    <mergeCell ref="C4054:F4054"/>
    <mergeCell ref="C4055:F4055"/>
    <mergeCell ref="A4056:F4056"/>
    <mergeCell ref="A4057:F4057"/>
    <mergeCell ref="C4058:F4058"/>
    <mergeCell ref="C4059:F4059"/>
    <mergeCell ref="C4060:F4060"/>
    <mergeCell ref="A4061:F4061"/>
    <mergeCell ref="A4062:F4062"/>
    <mergeCell ref="A4063:F4063"/>
    <mergeCell ref="C4064:F4064"/>
    <mergeCell ref="A4065:F4065"/>
    <mergeCell ref="C4032:F4032"/>
    <mergeCell ref="C4033:F4033"/>
    <mergeCell ref="C4034:F4034"/>
    <mergeCell ref="C4035:F4035"/>
    <mergeCell ref="C4036:F4036"/>
    <mergeCell ref="C4037:F4037"/>
    <mergeCell ref="C4038:F4038"/>
    <mergeCell ref="C4039:F4039"/>
    <mergeCell ref="C4040:F4040"/>
    <mergeCell ref="C4041:F4041"/>
    <mergeCell ref="C4042:F4042"/>
    <mergeCell ref="C4043:F4043"/>
    <mergeCell ref="C4044:F4044"/>
    <mergeCell ref="C4045:F4045"/>
    <mergeCell ref="C4046:F4046"/>
    <mergeCell ref="C4047:F4047"/>
    <mergeCell ref="C4048:F4048"/>
    <mergeCell ref="C4015:F4015"/>
    <mergeCell ref="C4016:F4016"/>
    <mergeCell ref="C4017:F4017"/>
    <mergeCell ref="C4018:F4018"/>
    <mergeCell ref="C4019:F4019"/>
    <mergeCell ref="C4020:F4020"/>
    <mergeCell ref="C4021:F4021"/>
    <mergeCell ref="C4022:F4022"/>
    <mergeCell ref="C4023:F4023"/>
    <mergeCell ref="C4024:F4024"/>
    <mergeCell ref="C4025:F4025"/>
    <mergeCell ref="C4026:F4026"/>
    <mergeCell ref="C4027:F4027"/>
    <mergeCell ref="C4028:F4028"/>
    <mergeCell ref="C4029:F4029"/>
    <mergeCell ref="A4030:F4030"/>
    <mergeCell ref="A4031:F4031"/>
    <mergeCell ref="C3998:F3998"/>
    <mergeCell ref="C3999:F3999"/>
    <mergeCell ref="C4000:F4000"/>
    <mergeCell ref="C4001:F4001"/>
    <mergeCell ref="C4002:F4002"/>
    <mergeCell ref="C4003:F4003"/>
    <mergeCell ref="C4004:F4004"/>
    <mergeCell ref="C4005:F4005"/>
    <mergeCell ref="C4006:F4006"/>
    <mergeCell ref="C4007:F4007"/>
    <mergeCell ref="C4008:F4008"/>
    <mergeCell ref="A4009:F4009"/>
    <mergeCell ref="A4010:F4010"/>
    <mergeCell ref="C4011:F4011"/>
    <mergeCell ref="C4012:F4012"/>
    <mergeCell ref="C4013:F4013"/>
    <mergeCell ref="C4014:F4014"/>
    <mergeCell ref="A3981:F3981"/>
    <mergeCell ref="A3982:F3982"/>
    <mergeCell ref="C3983:F3983"/>
    <mergeCell ref="C3984:F3984"/>
    <mergeCell ref="C3985:F3985"/>
    <mergeCell ref="C3986:F3986"/>
    <mergeCell ref="C3987:F3987"/>
    <mergeCell ref="C3988:F3988"/>
    <mergeCell ref="C3989:F3989"/>
    <mergeCell ref="C3990:F3990"/>
    <mergeCell ref="C3991:F3991"/>
    <mergeCell ref="C3992:F3992"/>
    <mergeCell ref="C3993:F3993"/>
    <mergeCell ref="C3994:F3994"/>
    <mergeCell ref="C3995:F3995"/>
    <mergeCell ref="A3996:F3996"/>
    <mergeCell ref="C3997:F3997"/>
    <mergeCell ref="A3964:F3964"/>
    <mergeCell ref="C3965:F3965"/>
    <mergeCell ref="A3966:F3966"/>
    <mergeCell ref="C3967:F3967"/>
    <mergeCell ref="A3968:F3968"/>
    <mergeCell ref="C3969:F3969"/>
    <mergeCell ref="A3970:F3970"/>
    <mergeCell ref="A3971:F3971"/>
    <mergeCell ref="A3972:F3972"/>
    <mergeCell ref="A3973:F3973"/>
    <mergeCell ref="A3974:F3974"/>
    <mergeCell ref="C3975:F3975"/>
    <mergeCell ref="A3976:F3976"/>
    <mergeCell ref="C3977:F3977"/>
    <mergeCell ref="A3978:F3978"/>
    <mergeCell ref="C3979:F3979"/>
    <mergeCell ref="A3980:F3980"/>
    <mergeCell ref="C3947:F3947"/>
    <mergeCell ref="C3948:F3948"/>
    <mergeCell ref="C3949:F3949"/>
    <mergeCell ref="A3950:F3950"/>
    <mergeCell ref="A3951:F3951"/>
    <mergeCell ref="C3952:F3952"/>
    <mergeCell ref="A3953:F3953"/>
    <mergeCell ref="C3954:F3954"/>
    <mergeCell ref="C3955:F3955"/>
    <mergeCell ref="C3956:F3956"/>
    <mergeCell ref="C3957:F3957"/>
    <mergeCell ref="A3958:F3958"/>
    <mergeCell ref="C3959:F3959"/>
    <mergeCell ref="A3960:F3960"/>
    <mergeCell ref="C3961:F3961"/>
    <mergeCell ref="C3962:F3962"/>
    <mergeCell ref="C3963:F3963"/>
    <mergeCell ref="C3930:F3930"/>
    <mergeCell ref="C3931:F3931"/>
    <mergeCell ref="C3932:F3932"/>
    <mergeCell ref="C3933:F3933"/>
    <mergeCell ref="C3934:F3934"/>
    <mergeCell ref="C3935:F3935"/>
    <mergeCell ref="A3936:F3936"/>
    <mergeCell ref="C3937:F3937"/>
    <mergeCell ref="A3938:F3938"/>
    <mergeCell ref="C3939:F3939"/>
    <mergeCell ref="C3940:F3940"/>
    <mergeCell ref="C3941:F3941"/>
    <mergeCell ref="C3942:F3942"/>
    <mergeCell ref="C3943:F3943"/>
    <mergeCell ref="C3944:F3944"/>
    <mergeCell ref="C3945:F3945"/>
    <mergeCell ref="C3946:F3946"/>
    <mergeCell ref="C3913:F3913"/>
    <mergeCell ref="C3914:F3914"/>
    <mergeCell ref="C3915:F3915"/>
    <mergeCell ref="C3916:F3916"/>
    <mergeCell ref="C3917:F3917"/>
    <mergeCell ref="C3918:F3918"/>
    <mergeCell ref="A3919:F3919"/>
    <mergeCell ref="A3920:F3920"/>
    <mergeCell ref="C3921:F3921"/>
    <mergeCell ref="A3922:F3922"/>
    <mergeCell ref="C3923:F3923"/>
    <mergeCell ref="C3924:F3924"/>
    <mergeCell ref="C3925:F3925"/>
    <mergeCell ref="C3926:F3926"/>
    <mergeCell ref="C3927:F3927"/>
    <mergeCell ref="C3928:F3928"/>
    <mergeCell ref="C3929:F3929"/>
    <mergeCell ref="A3896:F3896"/>
    <mergeCell ref="C3897:F3897"/>
    <mergeCell ref="C3898:F3898"/>
    <mergeCell ref="A3899:F3899"/>
    <mergeCell ref="C3900:F3900"/>
    <mergeCell ref="A3901:F3901"/>
    <mergeCell ref="A3902:F3902"/>
    <mergeCell ref="C3903:F3903"/>
    <mergeCell ref="C3904:F3904"/>
    <mergeCell ref="C3905:F3905"/>
    <mergeCell ref="C3906:F3906"/>
    <mergeCell ref="C3907:F3907"/>
    <mergeCell ref="C3908:F3908"/>
    <mergeCell ref="A3909:F3909"/>
    <mergeCell ref="C3910:F3910"/>
    <mergeCell ref="C3911:F3911"/>
    <mergeCell ref="C3912:F3912"/>
    <mergeCell ref="C3879:F3879"/>
    <mergeCell ref="C3880:F3880"/>
    <mergeCell ref="C3881:F3881"/>
    <mergeCell ref="C3882:F3882"/>
    <mergeCell ref="C3883:F3883"/>
    <mergeCell ref="C3884:F3884"/>
    <mergeCell ref="C3885:F3885"/>
    <mergeCell ref="C3886:F3886"/>
    <mergeCell ref="C3887:F3887"/>
    <mergeCell ref="A3888:F3888"/>
    <mergeCell ref="C3889:F3889"/>
    <mergeCell ref="C3890:F3890"/>
    <mergeCell ref="C3891:F3891"/>
    <mergeCell ref="A3892:F3892"/>
    <mergeCell ref="A3893:F3893"/>
    <mergeCell ref="C3894:F3894"/>
    <mergeCell ref="C3895:F3895"/>
    <mergeCell ref="C3862:F3862"/>
    <mergeCell ref="C3863:F3863"/>
    <mergeCell ref="A3864:F3864"/>
    <mergeCell ref="C3865:F3865"/>
    <mergeCell ref="C3866:F3866"/>
    <mergeCell ref="C3867:F3867"/>
    <mergeCell ref="A3868:F3868"/>
    <mergeCell ref="A3869:F3869"/>
    <mergeCell ref="C3870:F3870"/>
    <mergeCell ref="C3871:F3871"/>
    <mergeCell ref="C3872:F3872"/>
    <mergeCell ref="C3873:F3873"/>
    <mergeCell ref="C3874:F3874"/>
    <mergeCell ref="C3875:F3875"/>
    <mergeCell ref="C3876:F3876"/>
    <mergeCell ref="C3877:F3877"/>
    <mergeCell ref="C3878:F3878"/>
    <mergeCell ref="C3845:F3845"/>
    <mergeCell ref="C3846:F3846"/>
    <mergeCell ref="C3847:F3847"/>
    <mergeCell ref="C3848:F3848"/>
    <mergeCell ref="A3849:F3849"/>
    <mergeCell ref="C3850:F3850"/>
    <mergeCell ref="C3851:F3851"/>
    <mergeCell ref="C3852:F3852"/>
    <mergeCell ref="C3853:F3853"/>
    <mergeCell ref="C3854:F3854"/>
    <mergeCell ref="C3855:F3855"/>
    <mergeCell ref="C3856:F3856"/>
    <mergeCell ref="C3857:F3857"/>
    <mergeCell ref="A3858:F3858"/>
    <mergeCell ref="C3859:F3859"/>
    <mergeCell ref="A3860:F3860"/>
    <mergeCell ref="A3861:F3861"/>
    <mergeCell ref="C3828:F3828"/>
    <mergeCell ref="C3829:F3829"/>
    <mergeCell ref="C3830:F3830"/>
    <mergeCell ref="C3831:F3831"/>
    <mergeCell ref="C3832:F3832"/>
    <mergeCell ref="C3833:F3833"/>
    <mergeCell ref="A3834:F3834"/>
    <mergeCell ref="A3835:F3835"/>
    <mergeCell ref="A3836:F3836"/>
    <mergeCell ref="C3837:F3837"/>
    <mergeCell ref="C3838:F3838"/>
    <mergeCell ref="A3839:F3839"/>
    <mergeCell ref="C3840:F3840"/>
    <mergeCell ref="C3841:F3841"/>
    <mergeCell ref="A3842:F3842"/>
    <mergeCell ref="C3843:F3843"/>
    <mergeCell ref="A3844:F3844"/>
    <mergeCell ref="C3811:F3811"/>
    <mergeCell ref="C3812:F3812"/>
    <mergeCell ref="C3813:F3813"/>
    <mergeCell ref="C3814:F3814"/>
    <mergeCell ref="C3815:F3815"/>
    <mergeCell ref="C3816:F3816"/>
    <mergeCell ref="C3817:F3817"/>
    <mergeCell ref="C3818:F3818"/>
    <mergeCell ref="C3819:F3819"/>
    <mergeCell ref="C3820:F3820"/>
    <mergeCell ref="C3821:F3821"/>
    <mergeCell ref="C3822:F3822"/>
    <mergeCell ref="C3823:F3823"/>
    <mergeCell ref="A3824:F3824"/>
    <mergeCell ref="C3825:F3825"/>
    <mergeCell ref="C3826:F3826"/>
    <mergeCell ref="C3827:F3827"/>
    <mergeCell ref="C3794:F3794"/>
    <mergeCell ref="A3795:F3795"/>
    <mergeCell ref="C3796:F3796"/>
    <mergeCell ref="C3797:F3797"/>
    <mergeCell ref="C3798:F3798"/>
    <mergeCell ref="C3799:F3799"/>
    <mergeCell ref="C3800:F3800"/>
    <mergeCell ref="C3801:F3801"/>
    <mergeCell ref="C3802:F3802"/>
    <mergeCell ref="C3803:F3803"/>
    <mergeCell ref="C3804:F3804"/>
    <mergeCell ref="C3805:F3805"/>
    <mergeCell ref="C3806:F3806"/>
    <mergeCell ref="C3807:F3807"/>
    <mergeCell ref="C3808:F3808"/>
    <mergeCell ref="C3809:F3809"/>
    <mergeCell ref="C3810:F3810"/>
    <mergeCell ref="C3777:F3777"/>
    <mergeCell ref="C3778:F3778"/>
    <mergeCell ref="C3779:F3779"/>
    <mergeCell ref="C3780:F3780"/>
    <mergeCell ref="C3781:F3781"/>
    <mergeCell ref="C3782:F3782"/>
    <mergeCell ref="C3783:F3783"/>
    <mergeCell ref="C3784:F3784"/>
    <mergeCell ref="C3785:F3785"/>
    <mergeCell ref="C3786:F3786"/>
    <mergeCell ref="C3787:F3787"/>
    <mergeCell ref="C3788:F3788"/>
    <mergeCell ref="C3789:F3789"/>
    <mergeCell ref="C3790:F3790"/>
    <mergeCell ref="C3791:F3791"/>
    <mergeCell ref="C3792:F3792"/>
    <mergeCell ref="C3793:F3793"/>
    <mergeCell ref="C3760:F3760"/>
    <mergeCell ref="C3761:F3761"/>
    <mergeCell ref="C3762:F3762"/>
    <mergeCell ref="A3763:F3763"/>
    <mergeCell ref="C3764:F3764"/>
    <mergeCell ref="C3765:F3765"/>
    <mergeCell ref="A3766:F3766"/>
    <mergeCell ref="A3767:F3767"/>
    <mergeCell ref="C3768:F3768"/>
    <mergeCell ref="C3769:F3769"/>
    <mergeCell ref="C3770:F3770"/>
    <mergeCell ref="C3771:F3771"/>
    <mergeCell ref="C3772:F3772"/>
    <mergeCell ref="C3773:F3773"/>
    <mergeCell ref="C3774:F3774"/>
    <mergeCell ref="C3775:F3775"/>
    <mergeCell ref="A3776:F3776"/>
    <mergeCell ref="C3743:F3743"/>
    <mergeCell ref="C3744:F3744"/>
    <mergeCell ref="C3745:F3745"/>
    <mergeCell ref="C3746:F3746"/>
    <mergeCell ref="C3747:F3747"/>
    <mergeCell ref="C3748:F3748"/>
    <mergeCell ref="C3749:F3749"/>
    <mergeCell ref="C3750:F3750"/>
    <mergeCell ref="C3751:F3751"/>
    <mergeCell ref="C3752:F3752"/>
    <mergeCell ref="A3753:F3753"/>
    <mergeCell ref="C3754:F3754"/>
    <mergeCell ref="C3755:F3755"/>
    <mergeCell ref="C3756:F3756"/>
    <mergeCell ref="C3757:F3757"/>
    <mergeCell ref="A3758:F3758"/>
    <mergeCell ref="C3759:F3759"/>
    <mergeCell ref="C3726:F3726"/>
    <mergeCell ref="C3727:F3727"/>
    <mergeCell ref="C3728:F3728"/>
    <mergeCell ref="C3729:F3729"/>
    <mergeCell ref="C3730:F3730"/>
    <mergeCell ref="C3731:F3731"/>
    <mergeCell ref="C3732:F3732"/>
    <mergeCell ref="C3733:F3733"/>
    <mergeCell ref="C3734:F3734"/>
    <mergeCell ref="C3735:F3735"/>
    <mergeCell ref="C3736:F3736"/>
    <mergeCell ref="C3737:F3737"/>
    <mergeCell ref="C3738:F3738"/>
    <mergeCell ref="C3739:F3739"/>
    <mergeCell ref="C3740:F3740"/>
    <mergeCell ref="C3741:F3741"/>
    <mergeCell ref="C3742:F3742"/>
    <mergeCell ref="A3709:F3709"/>
    <mergeCell ref="C3710:F3710"/>
    <mergeCell ref="C3711:F3711"/>
    <mergeCell ref="C3712:F3712"/>
    <mergeCell ref="C3713:F3713"/>
    <mergeCell ref="C3714:F3714"/>
    <mergeCell ref="C3715:F3715"/>
    <mergeCell ref="C3716:F3716"/>
    <mergeCell ref="C3717:F3717"/>
    <mergeCell ref="C3718:F3718"/>
    <mergeCell ref="C3719:F3719"/>
    <mergeCell ref="A3720:F3720"/>
    <mergeCell ref="C3721:F3721"/>
    <mergeCell ref="C3722:F3722"/>
    <mergeCell ref="A3723:F3723"/>
    <mergeCell ref="A3724:F3724"/>
    <mergeCell ref="A3725:F3725"/>
    <mergeCell ref="A3692:F3692"/>
    <mergeCell ref="A3693:F3693"/>
    <mergeCell ref="C3694:F3694"/>
    <mergeCell ref="C3695:F3695"/>
    <mergeCell ref="C3696:F3696"/>
    <mergeCell ref="C3697:F3697"/>
    <mergeCell ref="C3698:F3698"/>
    <mergeCell ref="A3699:F3699"/>
    <mergeCell ref="C3700:F3700"/>
    <mergeCell ref="C3701:F3701"/>
    <mergeCell ref="C3702:F3702"/>
    <mergeCell ref="C3703:F3703"/>
    <mergeCell ref="C3704:F3704"/>
    <mergeCell ref="C3705:F3705"/>
    <mergeCell ref="C3706:F3706"/>
    <mergeCell ref="C3707:F3707"/>
    <mergeCell ref="C3708:F3708"/>
    <mergeCell ref="C3675:F3675"/>
    <mergeCell ref="C3676:F3676"/>
    <mergeCell ref="C3677:F3677"/>
    <mergeCell ref="C3678:F3678"/>
    <mergeCell ref="C3679:F3679"/>
    <mergeCell ref="C3680:F3680"/>
    <mergeCell ref="C3681:F3681"/>
    <mergeCell ref="C3682:F3682"/>
    <mergeCell ref="C3683:F3683"/>
    <mergeCell ref="C3684:F3684"/>
    <mergeCell ref="C3685:F3685"/>
    <mergeCell ref="C3686:F3686"/>
    <mergeCell ref="A3687:F3687"/>
    <mergeCell ref="C3688:F3688"/>
    <mergeCell ref="C3689:F3689"/>
    <mergeCell ref="C3690:F3690"/>
    <mergeCell ref="C3691:F3691"/>
    <mergeCell ref="C3658:F3658"/>
    <mergeCell ref="C3659:F3659"/>
    <mergeCell ref="C3660:F3660"/>
    <mergeCell ref="C3661:F3661"/>
    <mergeCell ref="C3662:F3662"/>
    <mergeCell ref="C3663:F3663"/>
    <mergeCell ref="C3664:F3664"/>
    <mergeCell ref="C3665:F3665"/>
    <mergeCell ref="C3666:F3666"/>
    <mergeCell ref="C3667:F3667"/>
    <mergeCell ref="C3668:F3668"/>
    <mergeCell ref="C3669:F3669"/>
    <mergeCell ref="C3670:F3670"/>
    <mergeCell ref="C3671:F3671"/>
    <mergeCell ref="C3672:F3672"/>
    <mergeCell ref="A3673:F3673"/>
    <mergeCell ref="C3674:F3674"/>
    <mergeCell ref="C3641:F3641"/>
    <mergeCell ref="C3642:F3642"/>
    <mergeCell ref="C3643:F3643"/>
    <mergeCell ref="A3644:F3644"/>
    <mergeCell ref="C3645:F3645"/>
    <mergeCell ref="C3646:F3646"/>
    <mergeCell ref="C3647:F3647"/>
    <mergeCell ref="C3648:F3648"/>
    <mergeCell ref="C3649:F3649"/>
    <mergeCell ref="C3650:F3650"/>
    <mergeCell ref="C3651:F3651"/>
    <mergeCell ref="C3652:F3652"/>
    <mergeCell ref="C3653:F3653"/>
    <mergeCell ref="A3654:F3654"/>
    <mergeCell ref="C3655:F3655"/>
    <mergeCell ref="C3656:F3656"/>
    <mergeCell ref="A3657:F3657"/>
    <mergeCell ref="C3624:F3624"/>
    <mergeCell ref="A3625:F3625"/>
    <mergeCell ref="A3626:F3626"/>
    <mergeCell ref="C3627:F3627"/>
    <mergeCell ref="C3628:F3628"/>
    <mergeCell ref="A3629:F3629"/>
    <mergeCell ref="C3630:F3630"/>
    <mergeCell ref="C3631:F3631"/>
    <mergeCell ref="C3632:F3632"/>
    <mergeCell ref="C3633:F3633"/>
    <mergeCell ref="C3634:F3634"/>
    <mergeCell ref="C3635:F3635"/>
    <mergeCell ref="C3636:F3636"/>
    <mergeCell ref="C3637:F3637"/>
    <mergeCell ref="C3638:F3638"/>
    <mergeCell ref="C3639:F3639"/>
    <mergeCell ref="C3640:F3640"/>
    <mergeCell ref="A3607:F3607"/>
    <mergeCell ref="C3608:F3608"/>
    <mergeCell ref="C3609:F3609"/>
    <mergeCell ref="A3610:F3610"/>
    <mergeCell ref="A3611:F3611"/>
    <mergeCell ref="C3612:F3612"/>
    <mergeCell ref="C3613:F3613"/>
    <mergeCell ref="A3614:F3614"/>
    <mergeCell ref="C3615:F3615"/>
    <mergeCell ref="C3616:F3616"/>
    <mergeCell ref="C3617:F3617"/>
    <mergeCell ref="C3618:F3618"/>
    <mergeCell ref="C3619:F3619"/>
    <mergeCell ref="C3620:F3620"/>
    <mergeCell ref="C3621:F3621"/>
    <mergeCell ref="C3622:F3622"/>
    <mergeCell ref="C3623:F3623"/>
    <mergeCell ref="C3590:F3590"/>
    <mergeCell ref="C3591:F3591"/>
    <mergeCell ref="C3592:F3592"/>
    <mergeCell ref="A3593:F3593"/>
    <mergeCell ref="A3594:F3594"/>
    <mergeCell ref="C3595:F3595"/>
    <mergeCell ref="C3596:F3596"/>
    <mergeCell ref="C3597:F3597"/>
    <mergeCell ref="A3598:F3598"/>
    <mergeCell ref="A3599:F3599"/>
    <mergeCell ref="C3600:F3600"/>
    <mergeCell ref="C3601:F3601"/>
    <mergeCell ref="A3602:F3602"/>
    <mergeCell ref="A3603:F3603"/>
    <mergeCell ref="C3604:F3604"/>
    <mergeCell ref="C3605:F3605"/>
    <mergeCell ref="C3606:F3606"/>
    <mergeCell ref="C3573:F3573"/>
    <mergeCell ref="C3574:F3574"/>
    <mergeCell ref="C3575:F3575"/>
    <mergeCell ref="C3576:F3576"/>
    <mergeCell ref="C3577:F3577"/>
    <mergeCell ref="C3578:F3578"/>
    <mergeCell ref="C3579:F3579"/>
    <mergeCell ref="C3580:F3580"/>
    <mergeCell ref="A3581:F3581"/>
    <mergeCell ref="A3582:F3582"/>
    <mergeCell ref="A3583:F3583"/>
    <mergeCell ref="A3584:F3584"/>
    <mergeCell ref="C3585:F3585"/>
    <mergeCell ref="A3586:F3586"/>
    <mergeCell ref="C3587:F3587"/>
    <mergeCell ref="C3588:F3588"/>
    <mergeCell ref="C3589:F3589"/>
    <mergeCell ref="C3556:F3556"/>
    <mergeCell ref="C3557:F3557"/>
    <mergeCell ref="C3558:F3558"/>
    <mergeCell ref="C3559:F3559"/>
    <mergeCell ref="C3560:F3560"/>
    <mergeCell ref="C3561:F3561"/>
    <mergeCell ref="C3562:F3562"/>
    <mergeCell ref="C3563:F3563"/>
    <mergeCell ref="C3564:F3564"/>
    <mergeCell ref="C3565:F3565"/>
    <mergeCell ref="C3566:F3566"/>
    <mergeCell ref="C3567:F3567"/>
    <mergeCell ref="C3568:F3568"/>
    <mergeCell ref="C3569:F3569"/>
    <mergeCell ref="C3570:F3570"/>
    <mergeCell ref="C3571:F3571"/>
    <mergeCell ref="C3572:F3572"/>
    <mergeCell ref="A3539:F3539"/>
    <mergeCell ref="C3540:F3540"/>
    <mergeCell ref="C3541:F3541"/>
    <mergeCell ref="C3542:F3542"/>
    <mergeCell ref="C3543:F3543"/>
    <mergeCell ref="C3544:F3544"/>
    <mergeCell ref="C3545:F3545"/>
    <mergeCell ref="C3546:F3546"/>
    <mergeCell ref="A3547:F3547"/>
    <mergeCell ref="C3548:F3548"/>
    <mergeCell ref="C3549:F3549"/>
    <mergeCell ref="C3550:F3550"/>
    <mergeCell ref="C3551:F3551"/>
    <mergeCell ref="C3552:F3552"/>
    <mergeCell ref="A3553:F3553"/>
    <mergeCell ref="C3554:F3554"/>
    <mergeCell ref="A3555:F3555"/>
    <mergeCell ref="C3522:F3522"/>
    <mergeCell ref="C3523:F3523"/>
    <mergeCell ref="C3524:F3524"/>
    <mergeCell ref="C3525:F3525"/>
    <mergeCell ref="C3526:F3526"/>
    <mergeCell ref="C3527:F3527"/>
    <mergeCell ref="C3528:F3528"/>
    <mergeCell ref="C3529:F3529"/>
    <mergeCell ref="C3530:F3530"/>
    <mergeCell ref="C3531:F3531"/>
    <mergeCell ref="C3532:F3532"/>
    <mergeCell ref="C3533:F3533"/>
    <mergeCell ref="C3534:F3534"/>
    <mergeCell ref="C3535:F3535"/>
    <mergeCell ref="C3536:F3536"/>
    <mergeCell ref="C3537:F3537"/>
    <mergeCell ref="C3538:F3538"/>
    <mergeCell ref="C3505:F3505"/>
    <mergeCell ref="C3506:F3506"/>
    <mergeCell ref="C3507:F3507"/>
    <mergeCell ref="C3508:F3508"/>
    <mergeCell ref="C3509:F3509"/>
    <mergeCell ref="C3510:F3510"/>
    <mergeCell ref="C3511:F3511"/>
    <mergeCell ref="C3512:F3512"/>
    <mergeCell ref="C3513:F3513"/>
    <mergeCell ref="C3514:F3514"/>
    <mergeCell ref="C3515:F3515"/>
    <mergeCell ref="C3516:F3516"/>
    <mergeCell ref="C3517:F3517"/>
    <mergeCell ref="C3518:F3518"/>
    <mergeCell ref="C3519:F3519"/>
    <mergeCell ref="C3520:F3520"/>
    <mergeCell ref="C3521:F3521"/>
    <mergeCell ref="C3488:F3488"/>
    <mergeCell ref="C3489:F3489"/>
    <mergeCell ref="C3490:F3490"/>
    <mergeCell ref="A3491:F3491"/>
    <mergeCell ref="C3492:F3492"/>
    <mergeCell ref="C3493:F3493"/>
    <mergeCell ref="C3494:F3494"/>
    <mergeCell ref="C3495:F3495"/>
    <mergeCell ref="C3496:F3496"/>
    <mergeCell ref="C3497:F3497"/>
    <mergeCell ref="C3498:F3498"/>
    <mergeCell ref="C3499:F3499"/>
    <mergeCell ref="C3500:F3500"/>
    <mergeCell ref="C3501:F3501"/>
    <mergeCell ref="C3502:F3502"/>
    <mergeCell ref="C3503:F3503"/>
    <mergeCell ref="C3504:F3504"/>
    <mergeCell ref="A3471:F3471"/>
    <mergeCell ref="A3472:F3472"/>
    <mergeCell ref="C3473:F3473"/>
    <mergeCell ref="C3474:F3474"/>
    <mergeCell ref="C3475:F3475"/>
    <mergeCell ref="C3476:F3476"/>
    <mergeCell ref="C3477:F3477"/>
    <mergeCell ref="A3478:F3478"/>
    <mergeCell ref="C3479:F3479"/>
    <mergeCell ref="C3480:F3480"/>
    <mergeCell ref="C3481:F3481"/>
    <mergeCell ref="C3482:F3482"/>
    <mergeCell ref="C3483:F3483"/>
    <mergeCell ref="C3484:F3484"/>
    <mergeCell ref="C3485:F3485"/>
    <mergeCell ref="C3486:F3486"/>
    <mergeCell ref="C3487:F3487"/>
    <mergeCell ref="C3454:F3454"/>
    <mergeCell ref="A3455:F3455"/>
    <mergeCell ref="C3456:F3456"/>
    <mergeCell ref="C3457:F3457"/>
    <mergeCell ref="C3458:F3458"/>
    <mergeCell ref="A3459:F3459"/>
    <mergeCell ref="C3460:F3460"/>
    <mergeCell ref="C3461:F3461"/>
    <mergeCell ref="C3462:F3462"/>
    <mergeCell ref="C3463:F3463"/>
    <mergeCell ref="C3464:F3464"/>
    <mergeCell ref="C3465:F3465"/>
    <mergeCell ref="C3466:F3466"/>
    <mergeCell ref="C3467:F3467"/>
    <mergeCell ref="A3468:F3468"/>
    <mergeCell ref="A3469:F3469"/>
    <mergeCell ref="C3470:F3470"/>
    <mergeCell ref="C3437:F3437"/>
    <mergeCell ref="C3438:F3438"/>
    <mergeCell ref="C3439:F3439"/>
    <mergeCell ref="C3440:F3440"/>
    <mergeCell ref="C3441:F3441"/>
    <mergeCell ref="C3442:F3442"/>
    <mergeCell ref="C3443:F3443"/>
    <mergeCell ref="C3444:F3444"/>
    <mergeCell ref="C3445:F3445"/>
    <mergeCell ref="C3446:F3446"/>
    <mergeCell ref="C3447:F3447"/>
    <mergeCell ref="C3448:F3448"/>
    <mergeCell ref="C3449:F3449"/>
    <mergeCell ref="C3450:F3450"/>
    <mergeCell ref="C3451:F3451"/>
    <mergeCell ref="C3452:F3452"/>
    <mergeCell ref="C3453:F3453"/>
    <mergeCell ref="C3420:F3420"/>
    <mergeCell ref="C3421:F3421"/>
    <mergeCell ref="C3422:F3422"/>
    <mergeCell ref="C3423:F3423"/>
    <mergeCell ref="C3424:F3424"/>
    <mergeCell ref="C3425:F3425"/>
    <mergeCell ref="C3426:F3426"/>
    <mergeCell ref="C3427:F3427"/>
    <mergeCell ref="C3428:F3428"/>
    <mergeCell ref="A3429:F3429"/>
    <mergeCell ref="C3430:F3430"/>
    <mergeCell ref="C3431:F3431"/>
    <mergeCell ref="C3432:F3432"/>
    <mergeCell ref="C3433:F3433"/>
    <mergeCell ref="C3434:F3434"/>
    <mergeCell ref="C3435:F3435"/>
    <mergeCell ref="C3436:F3436"/>
    <mergeCell ref="C3403:F3403"/>
    <mergeCell ref="C3404:F3404"/>
    <mergeCell ref="C3405:F3405"/>
    <mergeCell ref="A3406:F3406"/>
    <mergeCell ref="A3407:F3407"/>
    <mergeCell ref="C3408:F3408"/>
    <mergeCell ref="A3409:F3409"/>
    <mergeCell ref="C3410:F3410"/>
    <mergeCell ref="C3411:F3411"/>
    <mergeCell ref="C3412:F3412"/>
    <mergeCell ref="C3413:F3413"/>
    <mergeCell ref="C3414:F3414"/>
    <mergeCell ref="C3415:F3415"/>
    <mergeCell ref="C3416:F3416"/>
    <mergeCell ref="C3417:F3417"/>
    <mergeCell ref="C3418:F3418"/>
    <mergeCell ref="C3419:F3419"/>
    <mergeCell ref="C3386:F3386"/>
    <mergeCell ref="C3387:F3387"/>
    <mergeCell ref="C3388:F3388"/>
    <mergeCell ref="C3389:F3389"/>
    <mergeCell ref="C3390:F3390"/>
    <mergeCell ref="A3391:F3391"/>
    <mergeCell ref="A3392:F3392"/>
    <mergeCell ref="C3393:F3393"/>
    <mergeCell ref="C3394:F3394"/>
    <mergeCell ref="A3395:F3395"/>
    <mergeCell ref="C3396:F3396"/>
    <mergeCell ref="C3397:F3397"/>
    <mergeCell ref="C3398:F3398"/>
    <mergeCell ref="C3399:F3399"/>
    <mergeCell ref="C3400:F3400"/>
    <mergeCell ref="C3401:F3401"/>
    <mergeCell ref="C3402:F3402"/>
    <mergeCell ref="C3369:F3369"/>
    <mergeCell ref="C3370:F3370"/>
    <mergeCell ref="C3371:F3371"/>
    <mergeCell ref="C3372:F3372"/>
    <mergeCell ref="C3373:F3373"/>
    <mergeCell ref="A3374:F3374"/>
    <mergeCell ref="C3375:F3375"/>
    <mergeCell ref="A3376:F3376"/>
    <mergeCell ref="C3377:F3377"/>
    <mergeCell ref="C3378:F3378"/>
    <mergeCell ref="C3379:F3379"/>
    <mergeCell ref="C3380:F3380"/>
    <mergeCell ref="C3381:F3381"/>
    <mergeCell ref="A3382:F3382"/>
    <mergeCell ref="C3383:F3383"/>
    <mergeCell ref="A3384:F3384"/>
    <mergeCell ref="C3385:F3385"/>
    <mergeCell ref="C3352:F3352"/>
    <mergeCell ref="C3353:F3353"/>
    <mergeCell ref="C3354:F3354"/>
    <mergeCell ref="C3355:F3355"/>
    <mergeCell ref="A3356:F3356"/>
    <mergeCell ref="C3357:F3357"/>
    <mergeCell ref="C3358:F3358"/>
    <mergeCell ref="C3359:F3359"/>
    <mergeCell ref="C3360:F3360"/>
    <mergeCell ref="C3361:F3361"/>
    <mergeCell ref="C3362:F3362"/>
    <mergeCell ref="A3363:F3363"/>
    <mergeCell ref="C3364:F3364"/>
    <mergeCell ref="C3365:F3365"/>
    <mergeCell ref="C3366:F3366"/>
    <mergeCell ref="C3367:F3367"/>
    <mergeCell ref="A3368:F3368"/>
    <mergeCell ref="C3335:F3335"/>
    <mergeCell ref="C3336:F3336"/>
    <mergeCell ref="C3337:F3337"/>
    <mergeCell ref="A3338:F3338"/>
    <mergeCell ref="C3339:F3339"/>
    <mergeCell ref="C3340:F3340"/>
    <mergeCell ref="A3341:F3341"/>
    <mergeCell ref="C3342:F3342"/>
    <mergeCell ref="C3343:F3343"/>
    <mergeCell ref="C3344:F3344"/>
    <mergeCell ref="A3345:F3345"/>
    <mergeCell ref="C3346:F3346"/>
    <mergeCell ref="C3347:F3347"/>
    <mergeCell ref="C3348:F3348"/>
    <mergeCell ref="C3349:F3349"/>
    <mergeCell ref="A3350:F3350"/>
    <mergeCell ref="C3351:F3351"/>
    <mergeCell ref="C3318:F3318"/>
    <mergeCell ref="A3319:F3319"/>
    <mergeCell ref="C3320:F3320"/>
    <mergeCell ref="C3321:F3321"/>
    <mergeCell ref="C3322:F3322"/>
    <mergeCell ref="C3323:F3323"/>
    <mergeCell ref="C3324:F3324"/>
    <mergeCell ref="C3325:F3325"/>
    <mergeCell ref="C3326:F3326"/>
    <mergeCell ref="A3327:F3327"/>
    <mergeCell ref="C3328:F3328"/>
    <mergeCell ref="C3329:F3329"/>
    <mergeCell ref="C3330:F3330"/>
    <mergeCell ref="A3331:F3331"/>
    <mergeCell ref="A3332:F3332"/>
    <mergeCell ref="A3333:F3333"/>
    <mergeCell ref="C3334:F3334"/>
    <mergeCell ref="A3301:F3301"/>
    <mergeCell ref="A3302:F3302"/>
    <mergeCell ref="C3303:F3303"/>
    <mergeCell ref="C3304:F3304"/>
    <mergeCell ref="C3305:F3305"/>
    <mergeCell ref="C3306:F3306"/>
    <mergeCell ref="C3307:F3307"/>
    <mergeCell ref="C3308:F3308"/>
    <mergeCell ref="C3309:F3309"/>
    <mergeCell ref="A3310:F3310"/>
    <mergeCell ref="C3311:F3311"/>
    <mergeCell ref="C3312:F3312"/>
    <mergeCell ref="C3313:F3313"/>
    <mergeCell ref="C3314:F3314"/>
    <mergeCell ref="C3315:F3315"/>
    <mergeCell ref="C3316:F3316"/>
    <mergeCell ref="C3317:F3317"/>
    <mergeCell ref="C3284:F3284"/>
    <mergeCell ref="C3285:F3285"/>
    <mergeCell ref="C3286:F3286"/>
    <mergeCell ref="C3287:F3287"/>
    <mergeCell ref="C3288:F3288"/>
    <mergeCell ref="C3289:F3289"/>
    <mergeCell ref="C3290:F3290"/>
    <mergeCell ref="C3291:F3291"/>
    <mergeCell ref="C3292:F3292"/>
    <mergeCell ref="C3293:F3293"/>
    <mergeCell ref="C3294:F3294"/>
    <mergeCell ref="C3295:F3295"/>
    <mergeCell ref="C3296:F3296"/>
    <mergeCell ref="C3297:F3297"/>
    <mergeCell ref="C3298:F3298"/>
    <mergeCell ref="C3299:F3299"/>
    <mergeCell ref="C3300:F3300"/>
    <mergeCell ref="C3267:F3267"/>
    <mergeCell ref="C3268:F3268"/>
    <mergeCell ref="A3269:F3269"/>
    <mergeCell ref="C3270:F3270"/>
    <mergeCell ref="C3271:F3271"/>
    <mergeCell ref="A3272:F3272"/>
    <mergeCell ref="C3273:F3273"/>
    <mergeCell ref="C3274:F3274"/>
    <mergeCell ref="C3275:F3275"/>
    <mergeCell ref="C3276:F3276"/>
    <mergeCell ref="C3277:F3277"/>
    <mergeCell ref="C3278:F3278"/>
    <mergeCell ref="C3279:F3279"/>
    <mergeCell ref="C3280:F3280"/>
    <mergeCell ref="C3281:F3281"/>
    <mergeCell ref="C3282:F3282"/>
    <mergeCell ref="C3283:F3283"/>
    <mergeCell ref="A3250:F3250"/>
    <mergeCell ref="A3251:F3251"/>
    <mergeCell ref="C3252:F3252"/>
    <mergeCell ref="C3253:F3253"/>
    <mergeCell ref="A3254:F3254"/>
    <mergeCell ref="C3255:F3255"/>
    <mergeCell ref="A3256:F3256"/>
    <mergeCell ref="C3257:F3257"/>
    <mergeCell ref="C3258:F3258"/>
    <mergeCell ref="C3259:F3259"/>
    <mergeCell ref="A3260:F3260"/>
    <mergeCell ref="C3261:F3261"/>
    <mergeCell ref="C3262:F3262"/>
    <mergeCell ref="C3263:F3263"/>
    <mergeCell ref="A3264:F3264"/>
    <mergeCell ref="A3265:F3265"/>
    <mergeCell ref="C3266:F3266"/>
    <mergeCell ref="C3233:F3233"/>
    <mergeCell ref="C3234:F3234"/>
    <mergeCell ref="C3235:F3235"/>
    <mergeCell ref="C3236:F3236"/>
    <mergeCell ref="C3237:F3237"/>
    <mergeCell ref="C3238:F3238"/>
    <mergeCell ref="C3239:F3239"/>
    <mergeCell ref="C3240:F3240"/>
    <mergeCell ref="C3241:F3241"/>
    <mergeCell ref="C3242:F3242"/>
    <mergeCell ref="C3243:F3243"/>
    <mergeCell ref="C3244:F3244"/>
    <mergeCell ref="C3245:F3245"/>
    <mergeCell ref="C3246:F3246"/>
    <mergeCell ref="C3247:F3247"/>
    <mergeCell ref="C3248:F3248"/>
    <mergeCell ref="C3249:F3249"/>
    <mergeCell ref="C3216:F3216"/>
    <mergeCell ref="C3217:F3217"/>
    <mergeCell ref="A3218:F3218"/>
    <mergeCell ref="C3219:F3219"/>
    <mergeCell ref="C3220:F3220"/>
    <mergeCell ref="C3221:F3221"/>
    <mergeCell ref="C3222:F3222"/>
    <mergeCell ref="C3223:F3223"/>
    <mergeCell ref="C3224:F3224"/>
    <mergeCell ref="C3225:F3225"/>
    <mergeCell ref="C3226:F3226"/>
    <mergeCell ref="C3227:F3227"/>
    <mergeCell ref="C3228:F3228"/>
    <mergeCell ref="A3229:F3229"/>
    <mergeCell ref="C3230:F3230"/>
    <mergeCell ref="C3231:F3231"/>
    <mergeCell ref="C3232:F3232"/>
    <mergeCell ref="C3199:F3199"/>
    <mergeCell ref="C3200:F3200"/>
    <mergeCell ref="C3201:F3201"/>
    <mergeCell ref="C3202:F3202"/>
    <mergeCell ref="C3203:F3203"/>
    <mergeCell ref="C3204:F3204"/>
    <mergeCell ref="C3205:F3205"/>
    <mergeCell ref="A3206:F3206"/>
    <mergeCell ref="C3207:F3207"/>
    <mergeCell ref="C3208:F3208"/>
    <mergeCell ref="C3209:F3209"/>
    <mergeCell ref="C3210:F3210"/>
    <mergeCell ref="A3211:F3211"/>
    <mergeCell ref="A3212:F3212"/>
    <mergeCell ref="C3213:F3213"/>
    <mergeCell ref="C3214:F3214"/>
    <mergeCell ref="C3215:F3215"/>
    <mergeCell ref="C3182:F3182"/>
    <mergeCell ref="C3183:F3183"/>
    <mergeCell ref="C3184:F3184"/>
    <mergeCell ref="C3185:F3185"/>
    <mergeCell ref="C3186:F3186"/>
    <mergeCell ref="C3187:F3187"/>
    <mergeCell ref="C3188:F3188"/>
    <mergeCell ref="A3189:F3189"/>
    <mergeCell ref="C3190:F3190"/>
    <mergeCell ref="C3191:F3191"/>
    <mergeCell ref="A3192:F3192"/>
    <mergeCell ref="A3193:F3193"/>
    <mergeCell ref="C3194:F3194"/>
    <mergeCell ref="C3195:F3195"/>
    <mergeCell ref="C3196:F3196"/>
    <mergeCell ref="C3197:F3197"/>
    <mergeCell ref="C3198:F3198"/>
    <mergeCell ref="C3165:F3165"/>
    <mergeCell ref="C3166:F3166"/>
    <mergeCell ref="C3167:F3167"/>
    <mergeCell ref="C3168:F3168"/>
    <mergeCell ref="C3169:F3169"/>
    <mergeCell ref="C3170:F3170"/>
    <mergeCell ref="A3171:F3171"/>
    <mergeCell ref="C3172:F3172"/>
    <mergeCell ref="A3173:F3173"/>
    <mergeCell ref="A3174:F3174"/>
    <mergeCell ref="C3175:F3175"/>
    <mergeCell ref="C3176:F3176"/>
    <mergeCell ref="C3177:F3177"/>
    <mergeCell ref="C3178:F3178"/>
    <mergeCell ref="C3179:F3179"/>
    <mergeCell ref="A3180:F3180"/>
    <mergeCell ref="C3181:F3181"/>
    <mergeCell ref="A3148:F3148"/>
    <mergeCell ref="C3149:F3149"/>
    <mergeCell ref="C3150:F3150"/>
    <mergeCell ref="C3151:F3151"/>
    <mergeCell ref="C3152:F3152"/>
    <mergeCell ref="C3153:F3153"/>
    <mergeCell ref="A3154:F3154"/>
    <mergeCell ref="C3155:F3155"/>
    <mergeCell ref="C3156:F3156"/>
    <mergeCell ref="C3157:F3157"/>
    <mergeCell ref="A3158:F3158"/>
    <mergeCell ref="A3159:F3159"/>
    <mergeCell ref="C3160:F3160"/>
    <mergeCell ref="C3161:F3161"/>
    <mergeCell ref="C3162:F3162"/>
    <mergeCell ref="C3163:F3163"/>
    <mergeCell ref="A3164:F3164"/>
    <mergeCell ref="A3131:F3131"/>
    <mergeCell ref="C3132:F3132"/>
    <mergeCell ref="A3133:F3133"/>
    <mergeCell ref="A3134:F3134"/>
    <mergeCell ref="C3135:F3135"/>
    <mergeCell ref="C3136:F3136"/>
    <mergeCell ref="C3137:F3137"/>
    <mergeCell ref="A3138:F3138"/>
    <mergeCell ref="C3139:F3139"/>
    <mergeCell ref="A3140:F3140"/>
    <mergeCell ref="A3141:F3141"/>
    <mergeCell ref="A3142:F3142"/>
    <mergeCell ref="C3143:F3143"/>
    <mergeCell ref="C3144:F3144"/>
    <mergeCell ref="C3145:F3145"/>
    <mergeCell ref="C3146:F3146"/>
    <mergeCell ref="C3147:F3147"/>
    <mergeCell ref="A3114:F3114"/>
    <mergeCell ref="C3115:F3115"/>
    <mergeCell ref="C3116:F3116"/>
    <mergeCell ref="C3117:F3117"/>
    <mergeCell ref="C3118:F3118"/>
    <mergeCell ref="C3119:F3119"/>
    <mergeCell ref="C3120:F3120"/>
    <mergeCell ref="C3121:F3121"/>
    <mergeCell ref="C3122:F3122"/>
    <mergeCell ref="A3123:F3123"/>
    <mergeCell ref="C3124:F3124"/>
    <mergeCell ref="C3125:F3125"/>
    <mergeCell ref="C3126:F3126"/>
    <mergeCell ref="A3127:F3127"/>
    <mergeCell ref="C3128:F3128"/>
    <mergeCell ref="C3129:F3129"/>
    <mergeCell ref="A3130:F3130"/>
    <mergeCell ref="C3097:F3097"/>
    <mergeCell ref="C3098:F3098"/>
    <mergeCell ref="C3099:F3099"/>
    <mergeCell ref="C3100:F3100"/>
    <mergeCell ref="C3101:F3101"/>
    <mergeCell ref="C3102:F3102"/>
    <mergeCell ref="C3103:F3103"/>
    <mergeCell ref="C3104:F3104"/>
    <mergeCell ref="C3105:F3105"/>
    <mergeCell ref="C3106:F3106"/>
    <mergeCell ref="C3107:F3107"/>
    <mergeCell ref="A3108:F3108"/>
    <mergeCell ref="A3109:F3109"/>
    <mergeCell ref="A3110:F3110"/>
    <mergeCell ref="A3111:F3111"/>
    <mergeCell ref="C3112:F3112"/>
    <mergeCell ref="A3113:F3113"/>
    <mergeCell ref="C3080:F3080"/>
    <mergeCell ref="C3081:F3081"/>
    <mergeCell ref="C3082:F3082"/>
    <mergeCell ref="C3083:F3083"/>
    <mergeCell ref="C3084:F3084"/>
    <mergeCell ref="A3085:F3085"/>
    <mergeCell ref="A3086:F3086"/>
    <mergeCell ref="A3087:F3087"/>
    <mergeCell ref="C3088:F3088"/>
    <mergeCell ref="C3089:F3089"/>
    <mergeCell ref="C3090:F3090"/>
    <mergeCell ref="C3091:F3091"/>
    <mergeCell ref="C3092:F3092"/>
    <mergeCell ref="C3093:F3093"/>
    <mergeCell ref="C3094:F3094"/>
    <mergeCell ref="C3095:F3095"/>
    <mergeCell ref="C3096:F3096"/>
    <mergeCell ref="C3063:F3063"/>
    <mergeCell ref="C3064:F3064"/>
    <mergeCell ref="C3065:F3065"/>
    <mergeCell ref="A3066:F3066"/>
    <mergeCell ref="A3067:F3067"/>
    <mergeCell ref="A3068:F3068"/>
    <mergeCell ref="C3069:F3069"/>
    <mergeCell ref="C3070:F3070"/>
    <mergeCell ref="C3071:F3071"/>
    <mergeCell ref="A3072:F3072"/>
    <mergeCell ref="C3073:F3073"/>
    <mergeCell ref="C3074:F3074"/>
    <mergeCell ref="C3075:F3075"/>
    <mergeCell ref="C3076:F3076"/>
    <mergeCell ref="C3077:F3077"/>
    <mergeCell ref="A3078:F3078"/>
    <mergeCell ref="C3079:F3079"/>
    <mergeCell ref="C3046:F3046"/>
    <mergeCell ref="C3047:F3047"/>
    <mergeCell ref="C3048:F3048"/>
    <mergeCell ref="C3049:F3049"/>
    <mergeCell ref="A3050:F3050"/>
    <mergeCell ref="C3051:F3051"/>
    <mergeCell ref="C3052:F3052"/>
    <mergeCell ref="C3053:F3053"/>
    <mergeCell ref="C3054:F3054"/>
    <mergeCell ref="A3055:F3055"/>
    <mergeCell ref="C3056:F3056"/>
    <mergeCell ref="C3057:F3057"/>
    <mergeCell ref="C3058:F3058"/>
    <mergeCell ref="C3059:F3059"/>
    <mergeCell ref="C3060:F3060"/>
    <mergeCell ref="C3061:F3061"/>
    <mergeCell ref="C3062:F3062"/>
    <mergeCell ref="C3029:F3029"/>
    <mergeCell ref="C3030:F3030"/>
    <mergeCell ref="C3031:F3031"/>
    <mergeCell ref="C3032:F3032"/>
    <mergeCell ref="C3033:F3033"/>
    <mergeCell ref="C3034:F3034"/>
    <mergeCell ref="C3035:F3035"/>
    <mergeCell ref="C3036:F3036"/>
    <mergeCell ref="A3037:F3037"/>
    <mergeCell ref="C3038:F3038"/>
    <mergeCell ref="C3039:F3039"/>
    <mergeCell ref="C3040:F3040"/>
    <mergeCell ref="C3041:F3041"/>
    <mergeCell ref="C3042:F3042"/>
    <mergeCell ref="C3043:F3043"/>
    <mergeCell ref="C3044:F3044"/>
    <mergeCell ref="C3045:F3045"/>
    <mergeCell ref="A3012:F3012"/>
    <mergeCell ref="A3013:F3013"/>
    <mergeCell ref="C3014:F3014"/>
    <mergeCell ref="C3015:F3015"/>
    <mergeCell ref="C3016:F3016"/>
    <mergeCell ref="C3017:F3017"/>
    <mergeCell ref="A3018:F3018"/>
    <mergeCell ref="C3019:F3019"/>
    <mergeCell ref="C3020:F3020"/>
    <mergeCell ref="A3021:F3021"/>
    <mergeCell ref="C3022:F3022"/>
    <mergeCell ref="C3023:F3023"/>
    <mergeCell ref="C3024:F3024"/>
    <mergeCell ref="C3025:F3025"/>
    <mergeCell ref="C3026:F3026"/>
    <mergeCell ref="C3027:F3027"/>
    <mergeCell ref="C3028:F3028"/>
    <mergeCell ref="C2995:F2995"/>
    <mergeCell ref="C2996:F2996"/>
    <mergeCell ref="A2997:F2997"/>
    <mergeCell ref="C2998:F2998"/>
    <mergeCell ref="A2999:F2999"/>
    <mergeCell ref="A3000:F3000"/>
    <mergeCell ref="A3001:F3001"/>
    <mergeCell ref="C3002:F3002"/>
    <mergeCell ref="C3003:F3003"/>
    <mergeCell ref="C3004:F3004"/>
    <mergeCell ref="C3005:F3005"/>
    <mergeCell ref="C3006:F3006"/>
    <mergeCell ref="C3007:F3007"/>
    <mergeCell ref="C3008:F3008"/>
    <mergeCell ref="C3009:F3009"/>
    <mergeCell ref="C3010:F3010"/>
    <mergeCell ref="C3011:F3011"/>
    <mergeCell ref="C2978:F2978"/>
    <mergeCell ref="A2979:F2979"/>
    <mergeCell ref="A2980:F2980"/>
    <mergeCell ref="A2981:F2981"/>
    <mergeCell ref="A2982:F2982"/>
    <mergeCell ref="C2983:F2983"/>
    <mergeCell ref="A2984:F2984"/>
    <mergeCell ref="A2985:F2985"/>
    <mergeCell ref="A2986:F2986"/>
    <mergeCell ref="C2987:F2987"/>
    <mergeCell ref="A2988:F2988"/>
    <mergeCell ref="A2989:F2989"/>
    <mergeCell ref="A2990:F2990"/>
    <mergeCell ref="C2991:F2991"/>
    <mergeCell ref="A2992:F2992"/>
    <mergeCell ref="A2993:F2993"/>
    <mergeCell ref="A2994:F2994"/>
    <mergeCell ref="C2961:F2961"/>
    <mergeCell ref="A2962:F2962"/>
    <mergeCell ref="C2963:F2963"/>
    <mergeCell ref="C2964:F2964"/>
    <mergeCell ref="C2965:F2965"/>
    <mergeCell ref="C2966:F2966"/>
    <mergeCell ref="C2967:F2967"/>
    <mergeCell ref="A2968:F2968"/>
    <mergeCell ref="A2969:F2969"/>
    <mergeCell ref="A2970:F2970"/>
    <mergeCell ref="A2971:F2971"/>
    <mergeCell ref="C2972:F2972"/>
    <mergeCell ref="A2973:F2973"/>
    <mergeCell ref="A2974:F2974"/>
    <mergeCell ref="A2975:F2975"/>
    <mergeCell ref="C2976:F2976"/>
    <mergeCell ref="A2977:F2977"/>
    <mergeCell ref="C2944:F2944"/>
    <mergeCell ref="C2945:F2945"/>
    <mergeCell ref="C2946:F2946"/>
    <mergeCell ref="C2947:F2947"/>
    <mergeCell ref="C2948:F2948"/>
    <mergeCell ref="C2949:F2949"/>
    <mergeCell ref="C2950:F2950"/>
    <mergeCell ref="A2951:F2951"/>
    <mergeCell ref="C2952:F2952"/>
    <mergeCell ref="C2953:F2953"/>
    <mergeCell ref="A2954:F2954"/>
    <mergeCell ref="A2955:F2955"/>
    <mergeCell ref="C2956:F2956"/>
    <mergeCell ref="C2957:F2957"/>
    <mergeCell ref="C2958:F2958"/>
    <mergeCell ref="C2959:F2959"/>
    <mergeCell ref="C2960:F2960"/>
    <mergeCell ref="C2927:F2927"/>
    <mergeCell ref="C2928:F2928"/>
    <mergeCell ref="C2929:F2929"/>
    <mergeCell ref="C2930:F2930"/>
    <mergeCell ref="C2931:F2931"/>
    <mergeCell ref="C2932:F2932"/>
    <mergeCell ref="C2933:F2933"/>
    <mergeCell ref="A2934:F2934"/>
    <mergeCell ref="C2935:F2935"/>
    <mergeCell ref="A2936:F2936"/>
    <mergeCell ref="C2937:F2937"/>
    <mergeCell ref="C2938:F2938"/>
    <mergeCell ref="C2939:F2939"/>
    <mergeCell ref="C2940:F2940"/>
    <mergeCell ref="C2941:F2941"/>
    <mergeCell ref="C2942:F2942"/>
    <mergeCell ref="C2943:F2943"/>
    <mergeCell ref="C2910:F2910"/>
    <mergeCell ref="C2911:F2911"/>
    <mergeCell ref="C2912:F2912"/>
    <mergeCell ref="C2913:F2913"/>
    <mergeCell ref="C2914:F2914"/>
    <mergeCell ref="C2915:F2915"/>
    <mergeCell ref="C2916:F2916"/>
    <mergeCell ref="C2917:F2917"/>
    <mergeCell ref="C2918:F2918"/>
    <mergeCell ref="C2919:F2919"/>
    <mergeCell ref="A2920:F2920"/>
    <mergeCell ref="A2921:F2921"/>
    <mergeCell ref="A2922:F2922"/>
    <mergeCell ref="C2923:F2923"/>
    <mergeCell ref="C2924:F2924"/>
    <mergeCell ref="A2925:F2925"/>
    <mergeCell ref="C2926:F2926"/>
    <mergeCell ref="C2893:F2893"/>
    <mergeCell ref="C2894:F2894"/>
    <mergeCell ref="C2895:F2895"/>
    <mergeCell ref="C2896:F2896"/>
    <mergeCell ref="C2897:F2897"/>
    <mergeCell ref="C2898:F2898"/>
    <mergeCell ref="C2899:F2899"/>
    <mergeCell ref="C2900:F2900"/>
    <mergeCell ref="C2901:F2901"/>
    <mergeCell ref="A2902:F2902"/>
    <mergeCell ref="C2903:F2903"/>
    <mergeCell ref="C2904:F2904"/>
    <mergeCell ref="C2905:F2905"/>
    <mergeCell ref="C2906:F2906"/>
    <mergeCell ref="C2907:F2907"/>
    <mergeCell ref="C2908:F2908"/>
    <mergeCell ref="C2909:F2909"/>
    <mergeCell ref="A2876:F2876"/>
    <mergeCell ref="C2877:F2877"/>
    <mergeCell ref="C2878:F2878"/>
    <mergeCell ref="C2879:F2879"/>
    <mergeCell ref="C2880:F2880"/>
    <mergeCell ref="A2881:F2881"/>
    <mergeCell ref="C2882:F2882"/>
    <mergeCell ref="C2883:F2883"/>
    <mergeCell ref="C2884:F2884"/>
    <mergeCell ref="C2885:F2885"/>
    <mergeCell ref="C2886:F2886"/>
    <mergeCell ref="C2887:F2887"/>
    <mergeCell ref="C2888:F2888"/>
    <mergeCell ref="C2889:F2889"/>
    <mergeCell ref="C2890:F2890"/>
    <mergeCell ref="C2891:F2891"/>
    <mergeCell ref="C2892:F2892"/>
    <mergeCell ref="C2859:F2859"/>
    <mergeCell ref="C2860:F2860"/>
    <mergeCell ref="C2861:F2861"/>
    <mergeCell ref="A2862:F2862"/>
    <mergeCell ref="C2863:F2863"/>
    <mergeCell ref="C2864:F2864"/>
    <mergeCell ref="C2865:F2865"/>
    <mergeCell ref="A2866:F2866"/>
    <mergeCell ref="C2867:F2867"/>
    <mergeCell ref="C2868:F2868"/>
    <mergeCell ref="C2869:F2869"/>
    <mergeCell ref="A2870:F2870"/>
    <mergeCell ref="C2871:F2871"/>
    <mergeCell ref="C2872:F2872"/>
    <mergeCell ref="C2873:F2873"/>
    <mergeCell ref="C2874:F2874"/>
    <mergeCell ref="A2875:F2875"/>
    <mergeCell ref="C2842:F2842"/>
    <mergeCell ref="C2843:F2843"/>
    <mergeCell ref="A2844:F2844"/>
    <mergeCell ref="A2845:F2845"/>
    <mergeCell ref="C2846:F2846"/>
    <mergeCell ref="C2847:F2847"/>
    <mergeCell ref="C2848:F2848"/>
    <mergeCell ref="A2849:F2849"/>
    <mergeCell ref="C2850:F2850"/>
    <mergeCell ref="C2851:F2851"/>
    <mergeCell ref="C2852:F2852"/>
    <mergeCell ref="A2853:F2853"/>
    <mergeCell ref="C2854:F2854"/>
    <mergeCell ref="C2855:F2855"/>
    <mergeCell ref="C2856:F2856"/>
    <mergeCell ref="A2857:F2857"/>
    <mergeCell ref="A2858:F2858"/>
    <mergeCell ref="C2825:F2825"/>
    <mergeCell ref="C2826:F2826"/>
    <mergeCell ref="A2827:F2827"/>
    <mergeCell ref="A2828:F2828"/>
    <mergeCell ref="C2829:F2829"/>
    <mergeCell ref="C2830:F2830"/>
    <mergeCell ref="C2831:F2831"/>
    <mergeCell ref="A2832:F2832"/>
    <mergeCell ref="C2833:F2833"/>
    <mergeCell ref="C2834:F2834"/>
    <mergeCell ref="C2835:F2835"/>
    <mergeCell ref="A2836:F2836"/>
    <mergeCell ref="C2837:F2837"/>
    <mergeCell ref="C2838:F2838"/>
    <mergeCell ref="C2839:F2839"/>
    <mergeCell ref="A2840:F2840"/>
    <mergeCell ref="C2841:F2841"/>
    <mergeCell ref="C2808:F2808"/>
    <mergeCell ref="C2809:F2809"/>
    <mergeCell ref="A2810:F2810"/>
    <mergeCell ref="A2811:F2811"/>
    <mergeCell ref="C2812:F2812"/>
    <mergeCell ref="C2813:F2813"/>
    <mergeCell ref="C2814:F2814"/>
    <mergeCell ref="A2815:F2815"/>
    <mergeCell ref="C2816:F2816"/>
    <mergeCell ref="C2817:F2817"/>
    <mergeCell ref="C2818:F2818"/>
    <mergeCell ref="A2819:F2819"/>
    <mergeCell ref="C2820:F2820"/>
    <mergeCell ref="C2821:F2821"/>
    <mergeCell ref="C2822:F2822"/>
    <mergeCell ref="A2823:F2823"/>
    <mergeCell ref="C2824:F2824"/>
    <mergeCell ref="C2791:F2791"/>
    <mergeCell ref="C2792:F2792"/>
    <mergeCell ref="C2793:F2793"/>
    <mergeCell ref="A2794:F2794"/>
    <mergeCell ref="C2795:F2795"/>
    <mergeCell ref="C2796:F2796"/>
    <mergeCell ref="C2797:F2797"/>
    <mergeCell ref="C2798:F2798"/>
    <mergeCell ref="C2799:F2799"/>
    <mergeCell ref="C2800:F2800"/>
    <mergeCell ref="C2801:F2801"/>
    <mergeCell ref="A2802:F2802"/>
    <mergeCell ref="A2803:F2803"/>
    <mergeCell ref="A2804:F2804"/>
    <mergeCell ref="A2805:F2805"/>
    <mergeCell ref="C2806:F2806"/>
    <mergeCell ref="C2807:F2807"/>
    <mergeCell ref="C2774:F2774"/>
    <mergeCell ref="C2775:F2775"/>
    <mergeCell ref="C2776:F2776"/>
    <mergeCell ref="A2777:F2777"/>
    <mergeCell ref="C2778:F2778"/>
    <mergeCell ref="C2779:F2779"/>
    <mergeCell ref="A2780:F2780"/>
    <mergeCell ref="C2781:F2781"/>
    <mergeCell ref="C2782:F2782"/>
    <mergeCell ref="C2783:F2783"/>
    <mergeCell ref="C2784:F2784"/>
    <mergeCell ref="C2785:F2785"/>
    <mergeCell ref="C2786:F2786"/>
    <mergeCell ref="C2787:F2787"/>
    <mergeCell ref="C2788:F2788"/>
    <mergeCell ref="C2789:F2789"/>
    <mergeCell ref="A2790:F2790"/>
    <mergeCell ref="C2757:F2757"/>
    <mergeCell ref="C2758:F2758"/>
    <mergeCell ref="C2759:F2759"/>
    <mergeCell ref="C2760:F2760"/>
    <mergeCell ref="A2761:F2761"/>
    <mergeCell ref="A2762:F2762"/>
    <mergeCell ref="C2763:F2763"/>
    <mergeCell ref="A2764:F2764"/>
    <mergeCell ref="A2765:F2765"/>
    <mergeCell ref="C2766:F2766"/>
    <mergeCell ref="C2767:F2767"/>
    <mergeCell ref="C2768:F2768"/>
    <mergeCell ref="C2769:F2769"/>
    <mergeCell ref="C2770:F2770"/>
    <mergeCell ref="C2771:F2771"/>
    <mergeCell ref="C2772:F2772"/>
    <mergeCell ref="C2773:F2773"/>
    <mergeCell ref="C2740:F2740"/>
    <mergeCell ref="C2741:F2741"/>
    <mergeCell ref="C2742:F2742"/>
    <mergeCell ref="C2743:F2743"/>
    <mergeCell ref="C2744:F2744"/>
    <mergeCell ref="C2745:F2745"/>
    <mergeCell ref="C2746:F2746"/>
    <mergeCell ref="A2747:F2747"/>
    <mergeCell ref="A2748:F2748"/>
    <mergeCell ref="A2749:F2749"/>
    <mergeCell ref="C2750:F2750"/>
    <mergeCell ref="C2751:F2751"/>
    <mergeCell ref="A2752:F2752"/>
    <mergeCell ref="C2753:F2753"/>
    <mergeCell ref="C2754:F2754"/>
    <mergeCell ref="C2755:F2755"/>
    <mergeCell ref="C2756:F2756"/>
    <mergeCell ref="C2723:F2723"/>
    <mergeCell ref="C2724:F2724"/>
    <mergeCell ref="C2725:F2725"/>
    <mergeCell ref="C2726:F2726"/>
    <mergeCell ref="C2727:F2727"/>
    <mergeCell ref="C2728:F2728"/>
    <mergeCell ref="C2729:F2729"/>
    <mergeCell ref="C2730:F2730"/>
    <mergeCell ref="C2731:F2731"/>
    <mergeCell ref="C2732:F2732"/>
    <mergeCell ref="C2733:F2733"/>
    <mergeCell ref="C2734:F2734"/>
    <mergeCell ref="C2735:F2735"/>
    <mergeCell ref="C2736:F2736"/>
    <mergeCell ref="C2737:F2737"/>
    <mergeCell ref="A2738:F2738"/>
    <mergeCell ref="C2739:F2739"/>
    <mergeCell ref="A2706:F2706"/>
    <mergeCell ref="A2707:F2707"/>
    <mergeCell ref="C2708:F2708"/>
    <mergeCell ref="C2709:F2709"/>
    <mergeCell ref="C2710:F2710"/>
    <mergeCell ref="C2711:F2711"/>
    <mergeCell ref="C2712:F2712"/>
    <mergeCell ref="A2713:F2713"/>
    <mergeCell ref="C2714:F2714"/>
    <mergeCell ref="C2715:F2715"/>
    <mergeCell ref="A2716:F2716"/>
    <mergeCell ref="C2717:F2717"/>
    <mergeCell ref="C2718:F2718"/>
    <mergeCell ref="C2719:F2719"/>
    <mergeCell ref="C2720:F2720"/>
    <mergeCell ref="C2721:F2721"/>
    <mergeCell ref="A2722:F2722"/>
    <mergeCell ref="A2689:F2689"/>
    <mergeCell ref="A2690:F2690"/>
    <mergeCell ref="C2691:F2691"/>
    <mergeCell ref="A2692:F2692"/>
    <mergeCell ref="A2693:F2693"/>
    <mergeCell ref="A2694:F2694"/>
    <mergeCell ref="C2695:F2695"/>
    <mergeCell ref="C2696:F2696"/>
    <mergeCell ref="C2697:F2697"/>
    <mergeCell ref="C2698:F2698"/>
    <mergeCell ref="C2699:F2699"/>
    <mergeCell ref="C2700:F2700"/>
    <mergeCell ref="A2701:F2701"/>
    <mergeCell ref="C2702:F2702"/>
    <mergeCell ref="C2703:F2703"/>
    <mergeCell ref="C2704:F2704"/>
    <mergeCell ref="C2705:F2705"/>
    <mergeCell ref="C2672:F2672"/>
    <mergeCell ref="C2673:F2673"/>
    <mergeCell ref="C2674:F2674"/>
    <mergeCell ref="C2675:F2675"/>
    <mergeCell ref="C2676:F2676"/>
    <mergeCell ref="C2677:F2677"/>
    <mergeCell ref="C2678:F2678"/>
    <mergeCell ref="C2679:F2679"/>
    <mergeCell ref="C2680:F2680"/>
    <mergeCell ref="C2681:F2681"/>
    <mergeCell ref="A2682:F2682"/>
    <mergeCell ref="A2683:F2683"/>
    <mergeCell ref="C2684:F2684"/>
    <mergeCell ref="C2685:F2685"/>
    <mergeCell ref="C2686:F2686"/>
    <mergeCell ref="A2687:F2687"/>
    <mergeCell ref="C2688:F2688"/>
    <mergeCell ref="C2655:F2655"/>
    <mergeCell ref="C2656:F2656"/>
    <mergeCell ref="C2657:F2657"/>
    <mergeCell ref="C2658:F2658"/>
    <mergeCell ref="C2659:F2659"/>
    <mergeCell ref="C2660:F2660"/>
    <mergeCell ref="C2661:F2661"/>
    <mergeCell ref="C2662:F2662"/>
    <mergeCell ref="C2663:F2663"/>
    <mergeCell ref="C2664:F2664"/>
    <mergeCell ref="C2665:F2665"/>
    <mergeCell ref="C2666:F2666"/>
    <mergeCell ref="C2667:F2667"/>
    <mergeCell ref="A2668:F2668"/>
    <mergeCell ref="C2669:F2669"/>
    <mergeCell ref="C2670:F2670"/>
    <mergeCell ref="C2671:F2671"/>
    <mergeCell ref="C2638:F2638"/>
    <mergeCell ref="A2639:F2639"/>
    <mergeCell ref="A2640:F2640"/>
    <mergeCell ref="C2641:F2641"/>
    <mergeCell ref="C2642:F2642"/>
    <mergeCell ref="A2643:F2643"/>
    <mergeCell ref="C2644:F2644"/>
    <mergeCell ref="A2645:F2645"/>
    <mergeCell ref="C2646:F2646"/>
    <mergeCell ref="C2647:F2647"/>
    <mergeCell ref="A2648:F2648"/>
    <mergeCell ref="A2649:F2649"/>
    <mergeCell ref="C2650:F2650"/>
    <mergeCell ref="A2651:F2651"/>
    <mergeCell ref="A2652:F2652"/>
    <mergeCell ref="A2653:F2653"/>
    <mergeCell ref="C2654:F2654"/>
    <mergeCell ref="C2621:F2621"/>
    <mergeCell ref="C2622:F2622"/>
    <mergeCell ref="A2623:F2623"/>
    <mergeCell ref="A2624:F2624"/>
    <mergeCell ref="C2625:F2625"/>
    <mergeCell ref="A2626:F2626"/>
    <mergeCell ref="C2627:F2627"/>
    <mergeCell ref="A2628:F2628"/>
    <mergeCell ref="C2629:F2629"/>
    <mergeCell ref="A2630:F2630"/>
    <mergeCell ref="C2631:F2631"/>
    <mergeCell ref="C2632:F2632"/>
    <mergeCell ref="C2633:F2633"/>
    <mergeCell ref="C2634:F2634"/>
    <mergeCell ref="C2635:F2635"/>
    <mergeCell ref="A2636:F2636"/>
    <mergeCell ref="C2637:F2637"/>
    <mergeCell ref="C2604:F2604"/>
    <mergeCell ref="A2605:F2605"/>
    <mergeCell ref="A2606:F2606"/>
    <mergeCell ref="C2607:F2607"/>
    <mergeCell ref="C2608:F2608"/>
    <mergeCell ref="C2609:F2609"/>
    <mergeCell ref="A2610:F2610"/>
    <mergeCell ref="A2611:F2611"/>
    <mergeCell ref="C2612:F2612"/>
    <mergeCell ref="A2613:F2613"/>
    <mergeCell ref="C2614:F2614"/>
    <mergeCell ref="A2615:F2615"/>
    <mergeCell ref="C2616:F2616"/>
    <mergeCell ref="C2617:F2617"/>
    <mergeCell ref="C2618:F2618"/>
    <mergeCell ref="C2619:F2619"/>
    <mergeCell ref="C2620:F2620"/>
    <mergeCell ref="C2587:F2587"/>
    <mergeCell ref="A2588:F2588"/>
    <mergeCell ref="A2589:F2589"/>
    <mergeCell ref="C2590:F2590"/>
    <mergeCell ref="A2591:F2591"/>
    <mergeCell ref="A2592:F2592"/>
    <mergeCell ref="C2593:F2593"/>
    <mergeCell ref="C2594:F2594"/>
    <mergeCell ref="C2595:F2595"/>
    <mergeCell ref="C2596:F2596"/>
    <mergeCell ref="A2597:F2597"/>
    <mergeCell ref="C2598:F2598"/>
    <mergeCell ref="C2599:F2599"/>
    <mergeCell ref="C2600:F2600"/>
    <mergeCell ref="A2601:F2601"/>
    <mergeCell ref="A2602:F2602"/>
    <mergeCell ref="A2603:F2603"/>
    <mergeCell ref="C2570:F2570"/>
    <mergeCell ref="C2571:F2571"/>
    <mergeCell ref="C2572:F2572"/>
    <mergeCell ref="C2573:F2573"/>
    <mergeCell ref="C2574:F2574"/>
    <mergeCell ref="A2575:F2575"/>
    <mergeCell ref="C2576:F2576"/>
    <mergeCell ref="C2577:F2577"/>
    <mergeCell ref="A2578:F2578"/>
    <mergeCell ref="C2579:F2579"/>
    <mergeCell ref="C2580:F2580"/>
    <mergeCell ref="C2581:F2581"/>
    <mergeCell ref="C2582:F2582"/>
    <mergeCell ref="C2583:F2583"/>
    <mergeCell ref="C2584:F2584"/>
    <mergeCell ref="C2585:F2585"/>
    <mergeCell ref="C2586:F2586"/>
    <mergeCell ref="C2553:F2553"/>
    <mergeCell ref="C2554:F2554"/>
    <mergeCell ref="C2555:F2555"/>
    <mergeCell ref="C2556:F2556"/>
    <mergeCell ref="C2557:F2557"/>
    <mergeCell ref="C2558:F2558"/>
    <mergeCell ref="C2559:F2559"/>
    <mergeCell ref="C2560:F2560"/>
    <mergeCell ref="C2561:F2561"/>
    <mergeCell ref="C2562:F2562"/>
    <mergeCell ref="C2563:F2563"/>
    <mergeCell ref="C2564:F2564"/>
    <mergeCell ref="C2565:F2565"/>
    <mergeCell ref="C2566:F2566"/>
    <mergeCell ref="A2567:F2567"/>
    <mergeCell ref="C2568:F2568"/>
    <mergeCell ref="C2569:F2569"/>
    <mergeCell ref="C2536:F2536"/>
    <mergeCell ref="A2537:F2537"/>
    <mergeCell ref="C2538:F2538"/>
    <mergeCell ref="C2539:F2539"/>
    <mergeCell ref="C2540:F2540"/>
    <mergeCell ref="A2541:F2541"/>
    <mergeCell ref="C2542:F2542"/>
    <mergeCell ref="C2543:F2543"/>
    <mergeCell ref="A2544:F2544"/>
    <mergeCell ref="A2545:F2545"/>
    <mergeCell ref="A2546:F2546"/>
    <mergeCell ref="C2547:F2547"/>
    <mergeCell ref="C2548:F2548"/>
    <mergeCell ref="C2549:F2549"/>
    <mergeCell ref="C2550:F2550"/>
    <mergeCell ref="C2551:F2551"/>
    <mergeCell ref="C2552:F2552"/>
    <mergeCell ref="A2519:F2519"/>
    <mergeCell ref="C2520:F2520"/>
    <mergeCell ref="C2521:F2521"/>
    <mergeCell ref="C2522:F2522"/>
    <mergeCell ref="C2523:F2523"/>
    <mergeCell ref="C2524:F2524"/>
    <mergeCell ref="C2525:F2525"/>
    <mergeCell ref="C2526:F2526"/>
    <mergeCell ref="C2527:F2527"/>
    <mergeCell ref="C2528:F2528"/>
    <mergeCell ref="C2529:F2529"/>
    <mergeCell ref="C2530:F2530"/>
    <mergeCell ref="C2531:F2531"/>
    <mergeCell ref="A2532:F2532"/>
    <mergeCell ref="A2533:F2533"/>
    <mergeCell ref="C2534:F2534"/>
    <mergeCell ref="A2535:F2535"/>
    <mergeCell ref="C2502:F2502"/>
    <mergeCell ref="C2503:F2503"/>
    <mergeCell ref="C2504:F2504"/>
    <mergeCell ref="C2505:F2505"/>
    <mergeCell ref="C2506:F2506"/>
    <mergeCell ref="C2507:F2507"/>
    <mergeCell ref="C2508:F2508"/>
    <mergeCell ref="C2509:F2509"/>
    <mergeCell ref="C2510:F2510"/>
    <mergeCell ref="C2511:F2511"/>
    <mergeCell ref="C2512:F2512"/>
    <mergeCell ref="C2513:F2513"/>
    <mergeCell ref="C2514:F2514"/>
    <mergeCell ref="C2515:F2515"/>
    <mergeCell ref="C2516:F2516"/>
    <mergeCell ref="C2517:F2517"/>
    <mergeCell ref="C2518:F2518"/>
    <mergeCell ref="C2485:F2485"/>
    <mergeCell ref="C2486:F2486"/>
    <mergeCell ref="C2487:F2487"/>
    <mergeCell ref="C2488:F2488"/>
    <mergeCell ref="C2489:F2489"/>
    <mergeCell ref="C2490:F2490"/>
    <mergeCell ref="C2491:F2491"/>
    <mergeCell ref="C2492:F2492"/>
    <mergeCell ref="C2493:F2493"/>
    <mergeCell ref="C2494:F2494"/>
    <mergeCell ref="C2495:F2495"/>
    <mergeCell ref="C2496:F2496"/>
    <mergeCell ref="A2497:F2497"/>
    <mergeCell ref="C2498:F2498"/>
    <mergeCell ref="C2499:F2499"/>
    <mergeCell ref="C2500:F2500"/>
    <mergeCell ref="C2501:F2501"/>
    <mergeCell ref="C2468:F2468"/>
    <mergeCell ref="A2469:F2469"/>
    <mergeCell ref="C2470:F2470"/>
    <mergeCell ref="C2471:F2471"/>
    <mergeCell ref="C2472:F2472"/>
    <mergeCell ref="C2473:F2473"/>
    <mergeCell ref="C2474:F2474"/>
    <mergeCell ref="C2475:F2475"/>
    <mergeCell ref="A2476:F2476"/>
    <mergeCell ref="C2477:F2477"/>
    <mergeCell ref="A2478:F2478"/>
    <mergeCell ref="C2479:F2479"/>
    <mergeCell ref="A2480:F2480"/>
    <mergeCell ref="C2481:F2481"/>
    <mergeCell ref="C2482:F2482"/>
    <mergeCell ref="C2483:F2483"/>
    <mergeCell ref="C2484:F2484"/>
    <mergeCell ref="A2451:F2451"/>
    <mergeCell ref="C2452:F2452"/>
    <mergeCell ref="C2453:F2453"/>
    <mergeCell ref="C2454:F2454"/>
    <mergeCell ref="A2455:F2455"/>
    <mergeCell ref="C2456:F2456"/>
    <mergeCell ref="A2457:F2457"/>
    <mergeCell ref="A2458:F2458"/>
    <mergeCell ref="A2459:F2459"/>
    <mergeCell ref="C2460:F2460"/>
    <mergeCell ref="C2461:F2461"/>
    <mergeCell ref="C2462:F2462"/>
    <mergeCell ref="C2463:F2463"/>
    <mergeCell ref="A2464:F2464"/>
    <mergeCell ref="C2465:F2465"/>
    <mergeCell ref="C2466:F2466"/>
    <mergeCell ref="C2467:F2467"/>
    <mergeCell ref="C2434:F2434"/>
    <mergeCell ref="C2435:F2435"/>
    <mergeCell ref="A2436:F2436"/>
    <mergeCell ref="C2437:F2437"/>
    <mergeCell ref="C2438:F2438"/>
    <mergeCell ref="C2439:F2439"/>
    <mergeCell ref="C2440:F2440"/>
    <mergeCell ref="C2441:F2441"/>
    <mergeCell ref="C2442:F2442"/>
    <mergeCell ref="A2443:F2443"/>
    <mergeCell ref="A2444:F2444"/>
    <mergeCell ref="C2445:F2445"/>
    <mergeCell ref="A2446:F2446"/>
    <mergeCell ref="C2447:F2447"/>
    <mergeCell ref="C2448:F2448"/>
    <mergeCell ref="C2449:F2449"/>
    <mergeCell ref="A2450:F2450"/>
    <mergeCell ref="C2417:F2417"/>
    <mergeCell ref="A2418:F2418"/>
    <mergeCell ref="C2419:F2419"/>
    <mergeCell ref="C2420:F2420"/>
    <mergeCell ref="C2421:F2421"/>
    <mergeCell ref="C2422:F2422"/>
    <mergeCell ref="C2423:F2423"/>
    <mergeCell ref="C2424:F2424"/>
    <mergeCell ref="C2425:F2425"/>
    <mergeCell ref="C2426:F2426"/>
    <mergeCell ref="C2427:F2427"/>
    <mergeCell ref="C2428:F2428"/>
    <mergeCell ref="C2429:F2429"/>
    <mergeCell ref="C2430:F2430"/>
    <mergeCell ref="C2431:F2431"/>
    <mergeCell ref="C2432:F2432"/>
    <mergeCell ref="C2433:F2433"/>
    <mergeCell ref="A2400:F2400"/>
    <mergeCell ref="C2401:F2401"/>
    <mergeCell ref="C2402:F2402"/>
    <mergeCell ref="C2403:F2403"/>
    <mergeCell ref="C2404:F2404"/>
    <mergeCell ref="C2405:F2405"/>
    <mergeCell ref="C2406:F2406"/>
    <mergeCell ref="C2407:F2407"/>
    <mergeCell ref="C2408:F2408"/>
    <mergeCell ref="C2409:F2409"/>
    <mergeCell ref="C2410:F2410"/>
    <mergeCell ref="C2411:F2411"/>
    <mergeCell ref="C2412:F2412"/>
    <mergeCell ref="C2413:F2413"/>
    <mergeCell ref="C2414:F2414"/>
    <mergeCell ref="C2415:F2415"/>
    <mergeCell ref="C2416:F2416"/>
    <mergeCell ref="C2383:F2383"/>
    <mergeCell ref="C2384:F2384"/>
    <mergeCell ref="C2385:F2385"/>
    <mergeCell ref="C2386:F2386"/>
    <mergeCell ref="C2387:F2387"/>
    <mergeCell ref="C2388:F2388"/>
    <mergeCell ref="C2389:F2389"/>
    <mergeCell ref="C2390:F2390"/>
    <mergeCell ref="C2391:F2391"/>
    <mergeCell ref="C2392:F2392"/>
    <mergeCell ref="C2393:F2393"/>
    <mergeCell ref="C2394:F2394"/>
    <mergeCell ref="C2395:F2395"/>
    <mergeCell ref="C2396:F2396"/>
    <mergeCell ref="C2397:F2397"/>
    <mergeCell ref="C2398:F2398"/>
    <mergeCell ref="C2399:F2399"/>
    <mergeCell ref="A2366:F2366"/>
    <mergeCell ref="C2367:F2367"/>
    <mergeCell ref="A2368:F2368"/>
    <mergeCell ref="C2369:F2369"/>
    <mergeCell ref="C2370:F2370"/>
    <mergeCell ref="C2371:F2371"/>
    <mergeCell ref="C2372:F2372"/>
    <mergeCell ref="C2373:F2373"/>
    <mergeCell ref="A2374:F2374"/>
    <mergeCell ref="A2375:F2375"/>
    <mergeCell ref="A2376:F2376"/>
    <mergeCell ref="C2377:F2377"/>
    <mergeCell ref="C2378:F2378"/>
    <mergeCell ref="A2379:F2379"/>
    <mergeCell ref="C2380:F2380"/>
    <mergeCell ref="C2381:F2381"/>
    <mergeCell ref="C2382:F2382"/>
    <mergeCell ref="C2349:F2349"/>
    <mergeCell ref="C2350:F2350"/>
    <mergeCell ref="A2351:F2351"/>
    <mergeCell ref="C2352:F2352"/>
    <mergeCell ref="A2353:F2353"/>
    <mergeCell ref="A2354:F2354"/>
    <mergeCell ref="C2355:F2355"/>
    <mergeCell ref="C2356:F2356"/>
    <mergeCell ref="C2357:F2357"/>
    <mergeCell ref="A2358:F2358"/>
    <mergeCell ref="A2359:F2359"/>
    <mergeCell ref="A2360:F2360"/>
    <mergeCell ref="C2361:F2361"/>
    <mergeCell ref="C2362:F2362"/>
    <mergeCell ref="C2363:F2363"/>
    <mergeCell ref="C2364:F2364"/>
    <mergeCell ref="C2365:F2365"/>
    <mergeCell ref="A2332:F2332"/>
    <mergeCell ref="A2333:F2333"/>
    <mergeCell ref="C2334:F2334"/>
    <mergeCell ref="C2335:F2335"/>
    <mergeCell ref="C2336:F2336"/>
    <mergeCell ref="C2337:F2337"/>
    <mergeCell ref="C2338:F2338"/>
    <mergeCell ref="C2339:F2339"/>
    <mergeCell ref="C2340:F2340"/>
    <mergeCell ref="C2341:F2341"/>
    <mergeCell ref="C2342:F2342"/>
    <mergeCell ref="C2343:F2343"/>
    <mergeCell ref="C2344:F2344"/>
    <mergeCell ref="C2345:F2345"/>
    <mergeCell ref="C2346:F2346"/>
    <mergeCell ref="C2347:F2347"/>
    <mergeCell ref="C2348:F2348"/>
    <mergeCell ref="C2315:F2315"/>
    <mergeCell ref="C2316:F2316"/>
    <mergeCell ref="C2317:F2317"/>
    <mergeCell ref="A2318:F2318"/>
    <mergeCell ref="C2319:F2319"/>
    <mergeCell ref="C2320:F2320"/>
    <mergeCell ref="C2321:F2321"/>
    <mergeCell ref="C2322:F2322"/>
    <mergeCell ref="C2323:F2323"/>
    <mergeCell ref="C2324:F2324"/>
    <mergeCell ref="C2325:F2325"/>
    <mergeCell ref="C2326:F2326"/>
    <mergeCell ref="C2327:F2327"/>
    <mergeCell ref="C2328:F2328"/>
    <mergeCell ref="C2329:F2329"/>
    <mergeCell ref="C2330:F2330"/>
    <mergeCell ref="C2331:F2331"/>
    <mergeCell ref="A2298:F2298"/>
    <mergeCell ref="C2299:F2299"/>
    <mergeCell ref="C2300:F2300"/>
    <mergeCell ref="C2301:F2301"/>
    <mergeCell ref="C2302:F2302"/>
    <mergeCell ref="C2303:F2303"/>
    <mergeCell ref="C2304:F2304"/>
    <mergeCell ref="C2305:F2305"/>
    <mergeCell ref="A2306:F2306"/>
    <mergeCell ref="C2307:F2307"/>
    <mergeCell ref="C2308:F2308"/>
    <mergeCell ref="A2309:F2309"/>
    <mergeCell ref="A2310:F2310"/>
    <mergeCell ref="A2311:F2311"/>
    <mergeCell ref="A2312:F2312"/>
    <mergeCell ref="A2313:F2313"/>
    <mergeCell ref="C2314:F2314"/>
    <mergeCell ref="C2281:F2281"/>
    <mergeCell ref="A2282:F2282"/>
    <mergeCell ref="C2283:F2283"/>
    <mergeCell ref="C2284:F2284"/>
    <mergeCell ref="C2285:F2285"/>
    <mergeCell ref="C2286:F2286"/>
    <mergeCell ref="A2287:F2287"/>
    <mergeCell ref="C2288:F2288"/>
    <mergeCell ref="A2289:F2289"/>
    <mergeCell ref="C2290:F2290"/>
    <mergeCell ref="A2291:F2291"/>
    <mergeCell ref="C2292:F2292"/>
    <mergeCell ref="C2293:F2293"/>
    <mergeCell ref="C2294:F2294"/>
    <mergeCell ref="C2295:F2295"/>
    <mergeCell ref="C2296:F2296"/>
    <mergeCell ref="C2297:F2297"/>
    <mergeCell ref="C2264:F2264"/>
    <mergeCell ref="C2265:F2265"/>
    <mergeCell ref="A2266:F2266"/>
    <mergeCell ref="C2267:F2267"/>
    <mergeCell ref="C2268:F2268"/>
    <mergeCell ref="C2269:F2269"/>
    <mergeCell ref="C2270:F2270"/>
    <mergeCell ref="C2271:F2271"/>
    <mergeCell ref="C2272:F2272"/>
    <mergeCell ref="A2273:F2273"/>
    <mergeCell ref="C2274:F2274"/>
    <mergeCell ref="C2275:F2275"/>
    <mergeCell ref="C2276:F2276"/>
    <mergeCell ref="C2277:F2277"/>
    <mergeCell ref="A2278:F2278"/>
    <mergeCell ref="A2279:F2279"/>
    <mergeCell ref="C2280:F2280"/>
    <mergeCell ref="C2247:F2247"/>
    <mergeCell ref="C2248:F2248"/>
    <mergeCell ref="C2249:F2249"/>
    <mergeCell ref="C2250:F2250"/>
    <mergeCell ref="C2251:F2251"/>
    <mergeCell ref="C2252:F2252"/>
    <mergeCell ref="C2253:F2253"/>
    <mergeCell ref="A2254:F2254"/>
    <mergeCell ref="C2255:F2255"/>
    <mergeCell ref="C2256:F2256"/>
    <mergeCell ref="C2257:F2257"/>
    <mergeCell ref="C2258:F2258"/>
    <mergeCell ref="A2259:F2259"/>
    <mergeCell ref="A2260:F2260"/>
    <mergeCell ref="C2261:F2261"/>
    <mergeCell ref="C2262:F2262"/>
    <mergeCell ref="A2263:F2263"/>
    <mergeCell ref="C2230:F2230"/>
    <mergeCell ref="A2231:F2231"/>
    <mergeCell ref="C2232:F2232"/>
    <mergeCell ref="C2233:F2233"/>
    <mergeCell ref="C2234:F2234"/>
    <mergeCell ref="C2235:F2235"/>
    <mergeCell ref="C2236:F2236"/>
    <mergeCell ref="C2237:F2237"/>
    <mergeCell ref="A2238:F2238"/>
    <mergeCell ref="C2239:F2239"/>
    <mergeCell ref="A2240:F2240"/>
    <mergeCell ref="C2241:F2241"/>
    <mergeCell ref="A2242:F2242"/>
    <mergeCell ref="A2243:F2243"/>
    <mergeCell ref="A2244:F2244"/>
    <mergeCell ref="C2245:F2245"/>
    <mergeCell ref="C2246:F2246"/>
    <mergeCell ref="C2213:F2213"/>
    <mergeCell ref="C2214:F2214"/>
    <mergeCell ref="C2215:F2215"/>
    <mergeCell ref="C2216:F2216"/>
    <mergeCell ref="C2217:F2217"/>
    <mergeCell ref="C2218:F2218"/>
    <mergeCell ref="A2219:F2219"/>
    <mergeCell ref="C2220:F2220"/>
    <mergeCell ref="A2221:F2221"/>
    <mergeCell ref="C2222:F2222"/>
    <mergeCell ref="A2223:F2223"/>
    <mergeCell ref="A2224:F2224"/>
    <mergeCell ref="C2225:F2225"/>
    <mergeCell ref="A2226:F2226"/>
    <mergeCell ref="C2227:F2227"/>
    <mergeCell ref="C2228:F2228"/>
    <mergeCell ref="C2229:F2229"/>
    <mergeCell ref="C2196:F2196"/>
    <mergeCell ref="C2197:F2197"/>
    <mergeCell ref="C2198:F2198"/>
    <mergeCell ref="C2199:F2199"/>
    <mergeCell ref="C2200:F2200"/>
    <mergeCell ref="C2201:F2201"/>
    <mergeCell ref="C2202:F2202"/>
    <mergeCell ref="C2203:F2203"/>
    <mergeCell ref="C2204:F2204"/>
    <mergeCell ref="C2205:F2205"/>
    <mergeCell ref="A2206:F2206"/>
    <mergeCell ref="C2207:F2207"/>
    <mergeCell ref="A2208:F2208"/>
    <mergeCell ref="A2209:F2209"/>
    <mergeCell ref="C2210:F2210"/>
    <mergeCell ref="C2211:F2211"/>
    <mergeCell ref="A2212:F2212"/>
    <mergeCell ref="C2179:F2179"/>
    <mergeCell ref="C2180:F2180"/>
    <mergeCell ref="C2181:F2181"/>
    <mergeCell ref="C2182:F2182"/>
    <mergeCell ref="A2183:F2183"/>
    <mergeCell ref="C2184:F2184"/>
    <mergeCell ref="C2185:F2185"/>
    <mergeCell ref="C2186:F2186"/>
    <mergeCell ref="A2187:F2187"/>
    <mergeCell ref="C2188:F2188"/>
    <mergeCell ref="A2189:F2189"/>
    <mergeCell ref="A2190:F2190"/>
    <mergeCell ref="C2191:F2191"/>
    <mergeCell ref="C2192:F2192"/>
    <mergeCell ref="C2193:F2193"/>
    <mergeCell ref="C2194:F2194"/>
    <mergeCell ref="A2195:F2195"/>
    <mergeCell ref="C2162:F2162"/>
    <mergeCell ref="C2163:F2163"/>
    <mergeCell ref="A2164:F2164"/>
    <mergeCell ref="C2165:F2165"/>
    <mergeCell ref="C2166:F2166"/>
    <mergeCell ref="C2167:F2167"/>
    <mergeCell ref="C2168:F2168"/>
    <mergeCell ref="C2169:F2169"/>
    <mergeCell ref="C2170:F2170"/>
    <mergeCell ref="C2171:F2171"/>
    <mergeCell ref="A2172:F2172"/>
    <mergeCell ref="C2173:F2173"/>
    <mergeCell ref="C2174:F2174"/>
    <mergeCell ref="C2175:F2175"/>
    <mergeCell ref="C2176:F2176"/>
    <mergeCell ref="C2177:F2177"/>
    <mergeCell ref="C2178:F2178"/>
    <mergeCell ref="C2145:F2145"/>
    <mergeCell ref="C2146:F2146"/>
    <mergeCell ref="C2147:F2147"/>
    <mergeCell ref="C2148:F2148"/>
    <mergeCell ref="C2149:F2149"/>
    <mergeCell ref="C2150:F2150"/>
    <mergeCell ref="A2151:F2151"/>
    <mergeCell ref="A2152:F2152"/>
    <mergeCell ref="C2153:F2153"/>
    <mergeCell ref="A2154:F2154"/>
    <mergeCell ref="C2155:F2155"/>
    <mergeCell ref="A2156:F2156"/>
    <mergeCell ref="A2157:F2157"/>
    <mergeCell ref="C2158:F2158"/>
    <mergeCell ref="C2159:F2159"/>
    <mergeCell ref="C2160:F2160"/>
    <mergeCell ref="A2161:F2161"/>
    <mergeCell ref="C2128:F2128"/>
    <mergeCell ref="C2129:F2129"/>
    <mergeCell ref="C2130:F2130"/>
    <mergeCell ref="C2131:F2131"/>
    <mergeCell ref="C2132:F2132"/>
    <mergeCell ref="C2133:F2133"/>
    <mergeCell ref="C2134:F2134"/>
    <mergeCell ref="C2135:F2135"/>
    <mergeCell ref="C2136:F2136"/>
    <mergeCell ref="A2137:F2137"/>
    <mergeCell ref="C2138:F2138"/>
    <mergeCell ref="C2139:F2139"/>
    <mergeCell ref="C2140:F2140"/>
    <mergeCell ref="C2141:F2141"/>
    <mergeCell ref="C2142:F2142"/>
    <mergeCell ref="C2143:F2143"/>
    <mergeCell ref="C2144:F2144"/>
    <mergeCell ref="C2111:F2111"/>
    <mergeCell ref="C2112:F2112"/>
    <mergeCell ref="A2113:F2113"/>
    <mergeCell ref="C2114:F2114"/>
    <mergeCell ref="C2115:F2115"/>
    <mergeCell ref="C2116:F2116"/>
    <mergeCell ref="C2117:F2117"/>
    <mergeCell ref="C2118:F2118"/>
    <mergeCell ref="C2119:F2119"/>
    <mergeCell ref="C2120:F2120"/>
    <mergeCell ref="C2121:F2121"/>
    <mergeCell ref="C2122:F2122"/>
    <mergeCell ref="C2123:F2123"/>
    <mergeCell ref="A2124:F2124"/>
    <mergeCell ref="C2125:F2125"/>
    <mergeCell ref="C2126:F2126"/>
    <mergeCell ref="C2127:F2127"/>
    <mergeCell ref="C2094:F2094"/>
    <mergeCell ref="C2095:F2095"/>
    <mergeCell ref="C2096:F2096"/>
    <mergeCell ref="A2097:F2097"/>
    <mergeCell ref="A2098:F2098"/>
    <mergeCell ref="A2099:F2099"/>
    <mergeCell ref="A2100:F2100"/>
    <mergeCell ref="C2101:F2101"/>
    <mergeCell ref="C2102:F2102"/>
    <mergeCell ref="C2103:F2103"/>
    <mergeCell ref="C2104:F2104"/>
    <mergeCell ref="C2105:F2105"/>
    <mergeCell ref="C2106:F2106"/>
    <mergeCell ref="C2107:F2107"/>
    <mergeCell ref="C2108:F2108"/>
    <mergeCell ref="C2109:F2109"/>
    <mergeCell ref="C2110:F2110"/>
    <mergeCell ref="C2077:F2077"/>
    <mergeCell ref="C2078:F2078"/>
    <mergeCell ref="C2079:F2079"/>
    <mergeCell ref="C2080:F2080"/>
    <mergeCell ref="C2081:F2081"/>
    <mergeCell ref="C2082:F2082"/>
    <mergeCell ref="C2083:F2083"/>
    <mergeCell ref="C2084:F2084"/>
    <mergeCell ref="C2085:F2085"/>
    <mergeCell ref="C2086:F2086"/>
    <mergeCell ref="C2087:F2087"/>
    <mergeCell ref="C2088:F2088"/>
    <mergeCell ref="C2089:F2089"/>
    <mergeCell ref="C2090:F2090"/>
    <mergeCell ref="C2091:F2091"/>
    <mergeCell ref="C2092:F2092"/>
    <mergeCell ref="C2093:F2093"/>
    <mergeCell ref="C2060:F2060"/>
    <mergeCell ref="C2061:F2061"/>
    <mergeCell ref="C2062:F2062"/>
    <mergeCell ref="C2063:F2063"/>
    <mergeCell ref="C2064:F2064"/>
    <mergeCell ref="C2065:F2065"/>
    <mergeCell ref="C2066:F2066"/>
    <mergeCell ref="C2067:F2067"/>
    <mergeCell ref="C2068:F2068"/>
    <mergeCell ref="C2069:F2069"/>
    <mergeCell ref="C2070:F2070"/>
    <mergeCell ref="C2071:F2071"/>
    <mergeCell ref="A2072:F2072"/>
    <mergeCell ref="C2073:F2073"/>
    <mergeCell ref="C2074:F2074"/>
    <mergeCell ref="C2075:F2075"/>
    <mergeCell ref="C2076:F2076"/>
    <mergeCell ref="C2043:F2043"/>
    <mergeCell ref="C2044:F2044"/>
    <mergeCell ref="C2045:F2045"/>
    <mergeCell ref="C2046:F2046"/>
    <mergeCell ref="C2047:F2047"/>
    <mergeCell ref="C2048:F2048"/>
    <mergeCell ref="C2049:F2049"/>
    <mergeCell ref="C2050:F2050"/>
    <mergeCell ref="C2051:F2051"/>
    <mergeCell ref="A2052:F2052"/>
    <mergeCell ref="C2053:F2053"/>
    <mergeCell ref="C2054:F2054"/>
    <mergeCell ref="C2055:F2055"/>
    <mergeCell ref="A2056:F2056"/>
    <mergeCell ref="A2057:F2057"/>
    <mergeCell ref="C2058:F2058"/>
    <mergeCell ref="C2059:F2059"/>
    <mergeCell ref="C2026:F2026"/>
    <mergeCell ref="C2027:F2027"/>
    <mergeCell ref="C2028:F2028"/>
    <mergeCell ref="A2029:F2029"/>
    <mergeCell ref="C2030:F2030"/>
    <mergeCell ref="C2031:F2031"/>
    <mergeCell ref="C2032:F2032"/>
    <mergeCell ref="C2033:F2033"/>
    <mergeCell ref="A2034:F2034"/>
    <mergeCell ref="C2035:F2035"/>
    <mergeCell ref="C2036:F2036"/>
    <mergeCell ref="C2037:F2037"/>
    <mergeCell ref="C2038:F2038"/>
    <mergeCell ref="C2039:F2039"/>
    <mergeCell ref="C2040:F2040"/>
    <mergeCell ref="C2041:F2041"/>
    <mergeCell ref="C2042:F2042"/>
    <mergeCell ref="C2009:F2009"/>
    <mergeCell ref="A2010:F2010"/>
    <mergeCell ref="C2011:F2011"/>
    <mergeCell ref="C2012:F2012"/>
    <mergeCell ref="C2013:F2013"/>
    <mergeCell ref="C2014:F2014"/>
    <mergeCell ref="C2015:F2015"/>
    <mergeCell ref="C2016:F2016"/>
    <mergeCell ref="C2017:F2017"/>
    <mergeCell ref="C2018:F2018"/>
    <mergeCell ref="C2019:F2019"/>
    <mergeCell ref="C2020:F2020"/>
    <mergeCell ref="C2021:F2021"/>
    <mergeCell ref="C2022:F2022"/>
    <mergeCell ref="A2023:F2023"/>
    <mergeCell ref="A2024:F2024"/>
    <mergeCell ref="C2025:F2025"/>
    <mergeCell ref="C1992:F1992"/>
    <mergeCell ref="C1993:F1993"/>
    <mergeCell ref="C1994:F1994"/>
    <mergeCell ref="C1995:F1995"/>
    <mergeCell ref="C1996:F1996"/>
    <mergeCell ref="C1997:F1997"/>
    <mergeCell ref="A1998:F1998"/>
    <mergeCell ref="A1999:F1999"/>
    <mergeCell ref="A2000:F2000"/>
    <mergeCell ref="C2001:F2001"/>
    <mergeCell ref="C2002:F2002"/>
    <mergeCell ref="C2003:F2003"/>
    <mergeCell ref="C2004:F2004"/>
    <mergeCell ref="C2005:F2005"/>
    <mergeCell ref="C2006:F2006"/>
    <mergeCell ref="C2007:F2007"/>
    <mergeCell ref="C2008:F2008"/>
    <mergeCell ref="C1975:F1975"/>
    <mergeCell ref="C1976:F1976"/>
    <mergeCell ref="C1977:F1977"/>
    <mergeCell ref="A1978:F1978"/>
    <mergeCell ref="C1979:F1979"/>
    <mergeCell ref="A1980:F1980"/>
    <mergeCell ref="C1981:F1981"/>
    <mergeCell ref="C1982:F1982"/>
    <mergeCell ref="A1983:F1983"/>
    <mergeCell ref="C1984:F1984"/>
    <mergeCell ref="C1985:F1985"/>
    <mergeCell ref="C1986:F1986"/>
    <mergeCell ref="A1987:F1987"/>
    <mergeCell ref="C1988:F1988"/>
    <mergeCell ref="A1989:F1989"/>
    <mergeCell ref="C1990:F1990"/>
    <mergeCell ref="C1991:F1991"/>
    <mergeCell ref="C1958:F1958"/>
    <mergeCell ref="C1959:F1959"/>
    <mergeCell ref="C1960:F1960"/>
    <mergeCell ref="C1961:F1961"/>
    <mergeCell ref="C1962:F1962"/>
    <mergeCell ref="C1963:F1963"/>
    <mergeCell ref="C1964:F1964"/>
    <mergeCell ref="A1965:F1965"/>
    <mergeCell ref="A1966:F1966"/>
    <mergeCell ref="A1967:F1967"/>
    <mergeCell ref="A1968:F1968"/>
    <mergeCell ref="A1969:F1969"/>
    <mergeCell ref="C1970:F1970"/>
    <mergeCell ref="C1971:F1971"/>
    <mergeCell ref="A1972:F1972"/>
    <mergeCell ref="C1973:F1973"/>
    <mergeCell ref="C1974:F1974"/>
    <mergeCell ref="C1941:F1941"/>
    <mergeCell ref="C1942:F1942"/>
    <mergeCell ref="C1943:F1943"/>
    <mergeCell ref="C1944:F1944"/>
    <mergeCell ref="A1945:F1945"/>
    <mergeCell ref="C1946:F1946"/>
    <mergeCell ref="A1947:F1947"/>
    <mergeCell ref="C1948:F1948"/>
    <mergeCell ref="C1949:F1949"/>
    <mergeCell ref="C1950:F1950"/>
    <mergeCell ref="C1951:F1951"/>
    <mergeCell ref="A1952:F1952"/>
    <mergeCell ref="C1953:F1953"/>
    <mergeCell ref="C1954:F1954"/>
    <mergeCell ref="C1955:F1955"/>
    <mergeCell ref="C1956:F1956"/>
    <mergeCell ref="C1957:F1957"/>
    <mergeCell ref="C1924:F1924"/>
    <mergeCell ref="A1925:F1925"/>
    <mergeCell ref="C1926:F1926"/>
    <mergeCell ref="C1927:F1927"/>
    <mergeCell ref="C1928:F1928"/>
    <mergeCell ref="C1929:F1929"/>
    <mergeCell ref="C1930:F1930"/>
    <mergeCell ref="C1931:F1931"/>
    <mergeCell ref="C1932:F1932"/>
    <mergeCell ref="C1933:F1933"/>
    <mergeCell ref="C1934:F1934"/>
    <mergeCell ref="C1935:F1935"/>
    <mergeCell ref="C1936:F1936"/>
    <mergeCell ref="C1937:F1937"/>
    <mergeCell ref="C1938:F1938"/>
    <mergeCell ref="C1939:F1939"/>
    <mergeCell ref="A1940:F1940"/>
    <mergeCell ref="C1907:F1907"/>
    <mergeCell ref="C1908:F1908"/>
    <mergeCell ref="C1909:F1909"/>
    <mergeCell ref="A1910:F1910"/>
    <mergeCell ref="C1911:F1911"/>
    <mergeCell ref="A1912:F1912"/>
    <mergeCell ref="C1913:F1913"/>
    <mergeCell ref="C1914:F1914"/>
    <mergeCell ref="C1915:F1915"/>
    <mergeCell ref="C1916:F1916"/>
    <mergeCell ref="A1917:F1917"/>
    <mergeCell ref="C1918:F1918"/>
    <mergeCell ref="C1919:F1919"/>
    <mergeCell ref="C1920:F1920"/>
    <mergeCell ref="C1921:F1921"/>
    <mergeCell ref="A1922:F1922"/>
    <mergeCell ref="C1923:F1923"/>
    <mergeCell ref="A1890:F1890"/>
    <mergeCell ref="C1891:F1891"/>
    <mergeCell ref="C1892:F1892"/>
    <mergeCell ref="C1893:F1893"/>
    <mergeCell ref="C1894:F1894"/>
    <mergeCell ref="A1895:F1895"/>
    <mergeCell ref="C1896:F1896"/>
    <mergeCell ref="C1897:F1897"/>
    <mergeCell ref="A1898:F1898"/>
    <mergeCell ref="C1899:F1899"/>
    <mergeCell ref="A1900:F1900"/>
    <mergeCell ref="A1901:F1901"/>
    <mergeCell ref="C1902:F1902"/>
    <mergeCell ref="A1903:F1903"/>
    <mergeCell ref="C1904:F1904"/>
    <mergeCell ref="C1905:F1905"/>
    <mergeCell ref="C1906:F1906"/>
    <mergeCell ref="C1873:F1873"/>
    <mergeCell ref="C1874:F1874"/>
    <mergeCell ref="C1875:F1875"/>
    <mergeCell ref="C1876:F1876"/>
    <mergeCell ref="C1877:F1877"/>
    <mergeCell ref="C1878:F1878"/>
    <mergeCell ref="A1879:F1879"/>
    <mergeCell ref="C1880:F1880"/>
    <mergeCell ref="C1881:F1881"/>
    <mergeCell ref="C1882:F1882"/>
    <mergeCell ref="C1883:F1883"/>
    <mergeCell ref="A1884:F1884"/>
    <mergeCell ref="A1885:F1885"/>
    <mergeCell ref="C1886:F1886"/>
    <mergeCell ref="C1887:F1887"/>
    <mergeCell ref="C1888:F1888"/>
    <mergeCell ref="C1889:F1889"/>
    <mergeCell ref="C1856:F1856"/>
    <mergeCell ref="C1857:F1857"/>
    <mergeCell ref="C1858:F1858"/>
    <mergeCell ref="C1859:F1859"/>
    <mergeCell ref="A1860:F1860"/>
    <mergeCell ref="A1861:F1861"/>
    <mergeCell ref="C1862:F1862"/>
    <mergeCell ref="C1863:F1863"/>
    <mergeCell ref="C1864:F1864"/>
    <mergeCell ref="C1865:F1865"/>
    <mergeCell ref="C1866:F1866"/>
    <mergeCell ref="C1867:F1867"/>
    <mergeCell ref="C1868:F1868"/>
    <mergeCell ref="C1869:F1869"/>
    <mergeCell ref="A1870:F1870"/>
    <mergeCell ref="C1871:F1871"/>
    <mergeCell ref="A1872:F1872"/>
    <mergeCell ref="C1839:F1839"/>
    <mergeCell ref="C1840:F1840"/>
    <mergeCell ref="C1841:F1841"/>
    <mergeCell ref="C1842:F1842"/>
    <mergeCell ref="A1843:F1843"/>
    <mergeCell ref="C1844:F1844"/>
    <mergeCell ref="C1845:F1845"/>
    <mergeCell ref="C1846:F1846"/>
    <mergeCell ref="A1847:F1847"/>
    <mergeCell ref="C1848:F1848"/>
    <mergeCell ref="C1849:F1849"/>
    <mergeCell ref="C1850:F1850"/>
    <mergeCell ref="A1851:F1851"/>
    <mergeCell ref="C1852:F1852"/>
    <mergeCell ref="A1853:F1853"/>
    <mergeCell ref="C1854:F1854"/>
    <mergeCell ref="A1855:F1855"/>
    <mergeCell ref="C1822:F1822"/>
    <mergeCell ref="A1823:F1823"/>
    <mergeCell ref="C1824:F1824"/>
    <mergeCell ref="A1825:F1825"/>
    <mergeCell ref="A1826:F1826"/>
    <mergeCell ref="C1827:F1827"/>
    <mergeCell ref="C1828:F1828"/>
    <mergeCell ref="C1829:F1829"/>
    <mergeCell ref="C1830:F1830"/>
    <mergeCell ref="C1831:F1831"/>
    <mergeCell ref="A1832:F1832"/>
    <mergeCell ref="C1833:F1833"/>
    <mergeCell ref="A1834:F1834"/>
    <mergeCell ref="C1835:F1835"/>
    <mergeCell ref="C1836:F1836"/>
    <mergeCell ref="C1837:F1837"/>
    <mergeCell ref="A1838:F1838"/>
    <mergeCell ref="A1805:F1805"/>
    <mergeCell ref="A1806:F1806"/>
    <mergeCell ref="C1807:F1807"/>
    <mergeCell ref="C1808:F1808"/>
    <mergeCell ref="C1809:F1809"/>
    <mergeCell ref="C1810:F1810"/>
    <mergeCell ref="A1811:F1811"/>
    <mergeCell ref="C1812:F1812"/>
    <mergeCell ref="C1813:F1813"/>
    <mergeCell ref="C1814:F1814"/>
    <mergeCell ref="C1815:F1815"/>
    <mergeCell ref="A1816:F1816"/>
    <mergeCell ref="C1817:F1817"/>
    <mergeCell ref="C1818:F1818"/>
    <mergeCell ref="C1819:F1819"/>
    <mergeCell ref="A1820:F1820"/>
    <mergeCell ref="C1821:F1821"/>
    <mergeCell ref="C1788:F1788"/>
    <mergeCell ref="A1789:F1789"/>
    <mergeCell ref="C1790:F1790"/>
    <mergeCell ref="C1791:F1791"/>
    <mergeCell ref="C1792:F1792"/>
    <mergeCell ref="C1793:F1793"/>
    <mergeCell ref="C1794:F1794"/>
    <mergeCell ref="C1795:F1795"/>
    <mergeCell ref="C1796:F1796"/>
    <mergeCell ref="C1797:F1797"/>
    <mergeCell ref="A1798:F1798"/>
    <mergeCell ref="C1799:F1799"/>
    <mergeCell ref="A1800:F1800"/>
    <mergeCell ref="C1801:F1801"/>
    <mergeCell ref="C1802:F1802"/>
    <mergeCell ref="C1803:F1803"/>
    <mergeCell ref="A1804:F1804"/>
    <mergeCell ref="A1771:F1771"/>
    <mergeCell ref="C1772:F1772"/>
    <mergeCell ref="C1773:F1773"/>
    <mergeCell ref="C1774:F1774"/>
    <mergeCell ref="C1775:F1775"/>
    <mergeCell ref="C1776:F1776"/>
    <mergeCell ref="C1777:F1777"/>
    <mergeCell ref="C1778:F1778"/>
    <mergeCell ref="C1779:F1779"/>
    <mergeCell ref="C1780:F1780"/>
    <mergeCell ref="A1781:F1781"/>
    <mergeCell ref="A1782:F1782"/>
    <mergeCell ref="C1783:F1783"/>
    <mergeCell ref="C1784:F1784"/>
    <mergeCell ref="C1785:F1785"/>
    <mergeCell ref="C1786:F1786"/>
    <mergeCell ref="C1787:F1787"/>
    <mergeCell ref="C1754:F1754"/>
    <mergeCell ref="C1755:F1755"/>
    <mergeCell ref="A1756:F1756"/>
    <mergeCell ref="C1757:F1757"/>
    <mergeCell ref="A1758:F1758"/>
    <mergeCell ref="A1759:F1759"/>
    <mergeCell ref="A1760:F1760"/>
    <mergeCell ref="A1761:F1761"/>
    <mergeCell ref="C1762:F1762"/>
    <mergeCell ref="C1763:F1763"/>
    <mergeCell ref="C1764:F1764"/>
    <mergeCell ref="C1765:F1765"/>
    <mergeCell ref="C1766:F1766"/>
    <mergeCell ref="C1767:F1767"/>
    <mergeCell ref="C1768:F1768"/>
    <mergeCell ref="C1769:F1769"/>
    <mergeCell ref="C1770:F1770"/>
    <mergeCell ref="C1737:F1737"/>
    <mergeCell ref="C1738:F1738"/>
    <mergeCell ref="A1739:F1739"/>
    <mergeCell ref="C1740:F1740"/>
    <mergeCell ref="C1741:F1741"/>
    <mergeCell ref="C1742:F1742"/>
    <mergeCell ref="C1743:F1743"/>
    <mergeCell ref="C1744:F1744"/>
    <mergeCell ref="C1745:F1745"/>
    <mergeCell ref="A1746:F1746"/>
    <mergeCell ref="C1747:F1747"/>
    <mergeCell ref="C1748:F1748"/>
    <mergeCell ref="C1749:F1749"/>
    <mergeCell ref="C1750:F1750"/>
    <mergeCell ref="C1751:F1751"/>
    <mergeCell ref="C1752:F1752"/>
    <mergeCell ref="C1753:F1753"/>
    <mergeCell ref="C1720:F1720"/>
    <mergeCell ref="A1721:F1721"/>
    <mergeCell ref="C1722:F1722"/>
    <mergeCell ref="C1723:F1723"/>
    <mergeCell ref="C1724:F1724"/>
    <mergeCell ref="C1725:F1725"/>
    <mergeCell ref="C1726:F1726"/>
    <mergeCell ref="C1727:F1727"/>
    <mergeCell ref="A1728:F1728"/>
    <mergeCell ref="C1729:F1729"/>
    <mergeCell ref="C1730:F1730"/>
    <mergeCell ref="C1731:F1731"/>
    <mergeCell ref="C1732:F1732"/>
    <mergeCell ref="C1733:F1733"/>
    <mergeCell ref="C1734:F1734"/>
    <mergeCell ref="A1735:F1735"/>
    <mergeCell ref="C1736:F1736"/>
    <mergeCell ref="C1703:F1703"/>
    <mergeCell ref="C1704:F1704"/>
    <mergeCell ref="C1705:F1705"/>
    <mergeCell ref="C1706:F1706"/>
    <mergeCell ref="C1707:F1707"/>
    <mergeCell ref="C1708:F1708"/>
    <mergeCell ref="C1709:F1709"/>
    <mergeCell ref="C1710:F1710"/>
    <mergeCell ref="C1711:F1711"/>
    <mergeCell ref="C1712:F1712"/>
    <mergeCell ref="C1713:F1713"/>
    <mergeCell ref="C1714:F1714"/>
    <mergeCell ref="C1715:F1715"/>
    <mergeCell ref="C1716:F1716"/>
    <mergeCell ref="C1717:F1717"/>
    <mergeCell ref="C1718:F1718"/>
    <mergeCell ref="C1719:F1719"/>
    <mergeCell ref="C1686:F1686"/>
    <mergeCell ref="C1687:F1687"/>
    <mergeCell ref="C1688:F1688"/>
    <mergeCell ref="C1689:F1689"/>
    <mergeCell ref="C1690:F1690"/>
    <mergeCell ref="C1691:F1691"/>
    <mergeCell ref="A1692:F1692"/>
    <mergeCell ref="A1693:F1693"/>
    <mergeCell ref="A1694:F1694"/>
    <mergeCell ref="C1695:F1695"/>
    <mergeCell ref="C1696:F1696"/>
    <mergeCell ref="C1697:F1697"/>
    <mergeCell ref="C1698:F1698"/>
    <mergeCell ref="C1699:F1699"/>
    <mergeCell ref="C1700:F1700"/>
    <mergeCell ref="C1701:F1701"/>
    <mergeCell ref="C1702:F1702"/>
    <mergeCell ref="C1669:F1669"/>
    <mergeCell ref="C1670:F1670"/>
    <mergeCell ref="C1671:F1671"/>
    <mergeCell ref="C1672:F1672"/>
    <mergeCell ref="C1673:F1673"/>
    <mergeCell ref="C1674:F1674"/>
    <mergeCell ref="C1675:F1675"/>
    <mergeCell ref="C1676:F1676"/>
    <mergeCell ref="C1677:F1677"/>
    <mergeCell ref="C1678:F1678"/>
    <mergeCell ref="C1679:F1679"/>
    <mergeCell ref="A1680:F1680"/>
    <mergeCell ref="C1681:F1681"/>
    <mergeCell ref="C1682:F1682"/>
    <mergeCell ref="C1683:F1683"/>
    <mergeCell ref="C1684:F1684"/>
    <mergeCell ref="C1685:F1685"/>
    <mergeCell ref="C1652:F1652"/>
    <mergeCell ref="C1653:F1653"/>
    <mergeCell ref="C1654:F1654"/>
    <mergeCell ref="C1655:F1655"/>
    <mergeCell ref="C1656:F1656"/>
    <mergeCell ref="A1657:F1657"/>
    <mergeCell ref="C1658:F1658"/>
    <mergeCell ref="C1659:F1659"/>
    <mergeCell ref="C1660:F1660"/>
    <mergeCell ref="C1661:F1661"/>
    <mergeCell ref="C1662:F1662"/>
    <mergeCell ref="C1663:F1663"/>
    <mergeCell ref="C1664:F1664"/>
    <mergeCell ref="C1665:F1665"/>
    <mergeCell ref="C1666:F1666"/>
    <mergeCell ref="C1667:F1667"/>
    <mergeCell ref="C1668:F1668"/>
    <mergeCell ref="A1635:F1635"/>
    <mergeCell ref="C1636:F1636"/>
    <mergeCell ref="C1637:F1637"/>
    <mergeCell ref="C1638:F1638"/>
    <mergeCell ref="C1639:F1639"/>
    <mergeCell ref="C1640:F1640"/>
    <mergeCell ref="C1641:F1641"/>
    <mergeCell ref="C1642:F1642"/>
    <mergeCell ref="C1643:F1643"/>
    <mergeCell ref="C1644:F1644"/>
    <mergeCell ref="C1645:F1645"/>
    <mergeCell ref="A1646:F1646"/>
    <mergeCell ref="A1647:F1647"/>
    <mergeCell ref="C1648:F1648"/>
    <mergeCell ref="C1649:F1649"/>
    <mergeCell ref="C1650:F1650"/>
    <mergeCell ref="C1651:F1651"/>
    <mergeCell ref="C1618:F1618"/>
    <mergeCell ref="C1619:F1619"/>
    <mergeCell ref="C1620:F1620"/>
    <mergeCell ref="C1621:F1621"/>
    <mergeCell ref="C1622:F1622"/>
    <mergeCell ref="C1623:F1623"/>
    <mergeCell ref="C1624:F1624"/>
    <mergeCell ref="C1625:F1625"/>
    <mergeCell ref="C1626:F1626"/>
    <mergeCell ref="C1627:F1627"/>
    <mergeCell ref="C1628:F1628"/>
    <mergeCell ref="C1629:F1629"/>
    <mergeCell ref="C1630:F1630"/>
    <mergeCell ref="C1631:F1631"/>
    <mergeCell ref="C1632:F1632"/>
    <mergeCell ref="C1633:F1633"/>
    <mergeCell ref="C1634:F1634"/>
    <mergeCell ref="C1601:F1601"/>
    <mergeCell ref="C1602:F1602"/>
    <mergeCell ref="C1603:F1603"/>
    <mergeCell ref="C1604:F1604"/>
    <mergeCell ref="C1605:F1605"/>
    <mergeCell ref="C1606:F1606"/>
    <mergeCell ref="C1607:F1607"/>
    <mergeCell ref="C1608:F1608"/>
    <mergeCell ref="C1609:F1609"/>
    <mergeCell ref="C1610:F1610"/>
    <mergeCell ref="A1611:F1611"/>
    <mergeCell ref="C1612:F1612"/>
    <mergeCell ref="C1613:F1613"/>
    <mergeCell ref="C1614:F1614"/>
    <mergeCell ref="C1615:F1615"/>
    <mergeCell ref="C1616:F1616"/>
    <mergeCell ref="C1617:F1617"/>
    <mergeCell ref="C1584:F1584"/>
    <mergeCell ref="C1585:F1585"/>
    <mergeCell ref="A1586:F1586"/>
    <mergeCell ref="A1587:F1587"/>
    <mergeCell ref="C1588:F1588"/>
    <mergeCell ref="C1589:F1589"/>
    <mergeCell ref="C1590:F1590"/>
    <mergeCell ref="C1591:F1591"/>
    <mergeCell ref="C1592:F1592"/>
    <mergeCell ref="C1593:F1593"/>
    <mergeCell ref="C1594:F1594"/>
    <mergeCell ref="C1595:F1595"/>
    <mergeCell ref="C1596:F1596"/>
    <mergeCell ref="C1597:F1597"/>
    <mergeCell ref="C1598:F1598"/>
    <mergeCell ref="C1599:F1599"/>
    <mergeCell ref="C1600:F1600"/>
    <mergeCell ref="C1567:F1567"/>
    <mergeCell ref="C1568:F1568"/>
    <mergeCell ref="C1569:F1569"/>
    <mergeCell ref="C1570:F1570"/>
    <mergeCell ref="C1571:F1571"/>
    <mergeCell ref="C1572:F1572"/>
    <mergeCell ref="C1573:F1573"/>
    <mergeCell ref="C1574:F1574"/>
    <mergeCell ref="C1575:F1575"/>
    <mergeCell ref="C1576:F1576"/>
    <mergeCell ref="C1577:F1577"/>
    <mergeCell ref="C1578:F1578"/>
    <mergeCell ref="C1579:F1579"/>
    <mergeCell ref="C1580:F1580"/>
    <mergeCell ref="C1581:F1581"/>
    <mergeCell ref="C1582:F1582"/>
    <mergeCell ref="C1583:F1583"/>
    <mergeCell ref="C1550:F1550"/>
    <mergeCell ref="C1551:F1551"/>
    <mergeCell ref="C1552:F1552"/>
    <mergeCell ref="C1553:F1553"/>
    <mergeCell ref="A1554:F1554"/>
    <mergeCell ref="C1555:F1555"/>
    <mergeCell ref="C1556:F1556"/>
    <mergeCell ref="C1557:F1557"/>
    <mergeCell ref="C1558:F1558"/>
    <mergeCell ref="C1559:F1559"/>
    <mergeCell ref="C1560:F1560"/>
    <mergeCell ref="A1561:F1561"/>
    <mergeCell ref="C1562:F1562"/>
    <mergeCell ref="C1563:F1563"/>
    <mergeCell ref="C1564:F1564"/>
    <mergeCell ref="C1565:F1565"/>
    <mergeCell ref="C1566:F1566"/>
    <mergeCell ref="C1533:F1533"/>
    <mergeCell ref="C1534:F1534"/>
    <mergeCell ref="C1535:F1535"/>
    <mergeCell ref="C1536:F1536"/>
    <mergeCell ref="C1537:F1537"/>
    <mergeCell ref="C1538:F1538"/>
    <mergeCell ref="C1539:F1539"/>
    <mergeCell ref="C1540:F1540"/>
    <mergeCell ref="C1541:F1541"/>
    <mergeCell ref="A1542:F1542"/>
    <mergeCell ref="C1543:F1543"/>
    <mergeCell ref="C1544:F1544"/>
    <mergeCell ref="C1545:F1545"/>
    <mergeCell ref="C1546:F1546"/>
    <mergeCell ref="C1547:F1547"/>
    <mergeCell ref="C1548:F1548"/>
    <mergeCell ref="C1549:F1549"/>
    <mergeCell ref="C1516:F1516"/>
    <mergeCell ref="C1517:F1517"/>
    <mergeCell ref="C1518:F1518"/>
    <mergeCell ref="C1519:F1519"/>
    <mergeCell ref="C1520:F1520"/>
    <mergeCell ref="C1521:F1521"/>
    <mergeCell ref="C1522:F1522"/>
    <mergeCell ref="C1523:F1523"/>
    <mergeCell ref="C1524:F1524"/>
    <mergeCell ref="A1525:F1525"/>
    <mergeCell ref="A1526:F1526"/>
    <mergeCell ref="C1527:F1527"/>
    <mergeCell ref="C1528:F1528"/>
    <mergeCell ref="C1529:F1529"/>
    <mergeCell ref="C1530:F1530"/>
    <mergeCell ref="C1531:F1531"/>
    <mergeCell ref="A1532:F1532"/>
    <mergeCell ref="C1499:F1499"/>
    <mergeCell ref="C1500:F1500"/>
    <mergeCell ref="A1501:F1501"/>
    <mergeCell ref="A1502:F1502"/>
    <mergeCell ref="C1503:F1503"/>
    <mergeCell ref="C1504:F1504"/>
    <mergeCell ref="A1505:F1505"/>
    <mergeCell ref="A1506:F1506"/>
    <mergeCell ref="C1507:F1507"/>
    <mergeCell ref="C1508:F1508"/>
    <mergeCell ref="C1509:F1509"/>
    <mergeCell ref="A1510:F1510"/>
    <mergeCell ref="A1511:F1511"/>
    <mergeCell ref="C1512:F1512"/>
    <mergeCell ref="C1513:F1513"/>
    <mergeCell ref="A1514:F1514"/>
    <mergeCell ref="C1515:F1515"/>
    <mergeCell ref="C1482:F1482"/>
    <mergeCell ref="C1483:F1483"/>
    <mergeCell ref="C1484:F1484"/>
    <mergeCell ref="C1485:F1485"/>
    <mergeCell ref="A1486:F1486"/>
    <mergeCell ref="C1487:F1487"/>
    <mergeCell ref="C1488:F1488"/>
    <mergeCell ref="C1489:F1489"/>
    <mergeCell ref="C1490:F1490"/>
    <mergeCell ref="A1491:F1491"/>
    <mergeCell ref="C1492:F1492"/>
    <mergeCell ref="C1493:F1493"/>
    <mergeCell ref="C1494:F1494"/>
    <mergeCell ref="C1495:F1495"/>
    <mergeCell ref="C1496:F1496"/>
    <mergeCell ref="C1497:F1497"/>
    <mergeCell ref="C1498:F1498"/>
    <mergeCell ref="C1465:F1465"/>
    <mergeCell ref="C1466:F1466"/>
    <mergeCell ref="C1467:F1467"/>
    <mergeCell ref="C1468:F1468"/>
    <mergeCell ref="C1469:F1469"/>
    <mergeCell ref="C1470:F1470"/>
    <mergeCell ref="C1471:F1471"/>
    <mergeCell ref="C1472:F1472"/>
    <mergeCell ref="C1473:F1473"/>
    <mergeCell ref="C1474:F1474"/>
    <mergeCell ref="C1475:F1475"/>
    <mergeCell ref="C1476:F1476"/>
    <mergeCell ref="C1477:F1477"/>
    <mergeCell ref="A1478:F1478"/>
    <mergeCell ref="C1479:F1479"/>
    <mergeCell ref="C1480:F1480"/>
    <mergeCell ref="C1481:F1481"/>
    <mergeCell ref="C1448:F1448"/>
    <mergeCell ref="A1449:F1449"/>
    <mergeCell ref="A1450:F1450"/>
    <mergeCell ref="C1451:F1451"/>
    <mergeCell ref="C1452:F1452"/>
    <mergeCell ref="C1453:F1453"/>
    <mergeCell ref="C1454:F1454"/>
    <mergeCell ref="C1455:F1455"/>
    <mergeCell ref="A1456:F1456"/>
    <mergeCell ref="C1457:F1457"/>
    <mergeCell ref="C1458:F1458"/>
    <mergeCell ref="C1459:F1459"/>
    <mergeCell ref="C1460:F1460"/>
    <mergeCell ref="C1461:F1461"/>
    <mergeCell ref="C1462:F1462"/>
    <mergeCell ref="C1463:F1463"/>
    <mergeCell ref="C1464:F1464"/>
    <mergeCell ref="C1431:F1431"/>
    <mergeCell ref="C1432:F1432"/>
    <mergeCell ref="C1433:F1433"/>
    <mergeCell ref="C1434:F1434"/>
    <mergeCell ref="A1435:F1435"/>
    <mergeCell ref="C1436:F1436"/>
    <mergeCell ref="C1437:F1437"/>
    <mergeCell ref="C1438:F1438"/>
    <mergeCell ref="C1439:F1439"/>
    <mergeCell ref="C1440:F1440"/>
    <mergeCell ref="C1441:F1441"/>
    <mergeCell ref="C1442:F1442"/>
    <mergeCell ref="C1443:F1443"/>
    <mergeCell ref="C1444:F1444"/>
    <mergeCell ref="C1445:F1445"/>
    <mergeCell ref="C1446:F1446"/>
    <mergeCell ref="C1447:F1447"/>
    <mergeCell ref="A1414:F1414"/>
    <mergeCell ref="C1415:F1415"/>
    <mergeCell ref="C1416:F1416"/>
    <mergeCell ref="C1417:F1417"/>
    <mergeCell ref="C1418:F1418"/>
    <mergeCell ref="C1419:F1419"/>
    <mergeCell ref="C1420:F1420"/>
    <mergeCell ref="A1421:F1421"/>
    <mergeCell ref="A1422:F1422"/>
    <mergeCell ref="C1423:F1423"/>
    <mergeCell ref="C1424:F1424"/>
    <mergeCell ref="C1425:F1425"/>
    <mergeCell ref="C1426:F1426"/>
    <mergeCell ref="C1427:F1427"/>
    <mergeCell ref="C1428:F1428"/>
    <mergeCell ref="A1429:F1429"/>
    <mergeCell ref="C1430:F1430"/>
    <mergeCell ref="C1397:F1397"/>
    <mergeCell ref="C1398:F1398"/>
    <mergeCell ref="C1399:F1399"/>
    <mergeCell ref="C1400:F1400"/>
    <mergeCell ref="C1401:F1401"/>
    <mergeCell ref="C1402:F1402"/>
    <mergeCell ref="C1403:F1403"/>
    <mergeCell ref="C1404:F1404"/>
    <mergeCell ref="C1405:F1405"/>
    <mergeCell ref="C1406:F1406"/>
    <mergeCell ref="C1407:F1407"/>
    <mergeCell ref="C1408:F1408"/>
    <mergeCell ref="C1409:F1409"/>
    <mergeCell ref="C1410:F1410"/>
    <mergeCell ref="C1411:F1411"/>
    <mergeCell ref="A1412:F1412"/>
    <mergeCell ref="C1413:F1413"/>
    <mergeCell ref="A1380:F1380"/>
    <mergeCell ref="C1381:F1381"/>
    <mergeCell ref="C1382:F1382"/>
    <mergeCell ref="C1383:F1383"/>
    <mergeCell ref="C1384:F1384"/>
    <mergeCell ref="A1385:F1385"/>
    <mergeCell ref="A1386:F1386"/>
    <mergeCell ref="C1387:F1387"/>
    <mergeCell ref="A1388:F1388"/>
    <mergeCell ref="C1389:F1389"/>
    <mergeCell ref="C1390:F1390"/>
    <mergeCell ref="C1391:F1391"/>
    <mergeCell ref="A1392:F1392"/>
    <mergeCell ref="C1393:F1393"/>
    <mergeCell ref="C1394:F1394"/>
    <mergeCell ref="C1395:F1395"/>
    <mergeCell ref="C1396:F1396"/>
    <mergeCell ref="C1363:F1363"/>
    <mergeCell ref="C1364:F1364"/>
    <mergeCell ref="C1365:F1365"/>
    <mergeCell ref="C1366:F1366"/>
    <mergeCell ref="C1367:F1367"/>
    <mergeCell ref="A1368:F1368"/>
    <mergeCell ref="C1369:F1369"/>
    <mergeCell ref="C1370:F1370"/>
    <mergeCell ref="C1371:F1371"/>
    <mergeCell ref="A1372:F1372"/>
    <mergeCell ref="C1373:F1373"/>
    <mergeCell ref="C1374:F1374"/>
    <mergeCell ref="A1375:F1375"/>
    <mergeCell ref="C1376:F1376"/>
    <mergeCell ref="C1377:F1377"/>
    <mergeCell ref="A1378:F1378"/>
    <mergeCell ref="C1379:F1379"/>
    <mergeCell ref="C1346:F1346"/>
    <mergeCell ref="C1347:F1347"/>
    <mergeCell ref="C1348:F1348"/>
    <mergeCell ref="C1349:F1349"/>
    <mergeCell ref="C1350:F1350"/>
    <mergeCell ref="C1351:F1351"/>
    <mergeCell ref="C1352:F1352"/>
    <mergeCell ref="C1353:F1353"/>
    <mergeCell ref="C1354:F1354"/>
    <mergeCell ref="A1355:F1355"/>
    <mergeCell ref="C1356:F1356"/>
    <mergeCell ref="C1357:F1357"/>
    <mergeCell ref="C1358:F1358"/>
    <mergeCell ref="C1359:F1359"/>
    <mergeCell ref="C1360:F1360"/>
    <mergeCell ref="C1361:F1361"/>
    <mergeCell ref="C1362:F1362"/>
    <mergeCell ref="C1329:F1329"/>
    <mergeCell ref="A1330:F1330"/>
    <mergeCell ref="A1331:F1331"/>
    <mergeCell ref="C1332:F1332"/>
    <mergeCell ref="C1333:F1333"/>
    <mergeCell ref="C1334:F1334"/>
    <mergeCell ref="C1335:F1335"/>
    <mergeCell ref="A1336:F1336"/>
    <mergeCell ref="C1337:F1337"/>
    <mergeCell ref="A1338:F1338"/>
    <mergeCell ref="A1339:F1339"/>
    <mergeCell ref="C1340:F1340"/>
    <mergeCell ref="C1341:F1341"/>
    <mergeCell ref="C1342:F1342"/>
    <mergeCell ref="C1343:F1343"/>
    <mergeCell ref="C1344:F1344"/>
    <mergeCell ref="C1345:F1345"/>
    <mergeCell ref="C1312:F1312"/>
    <mergeCell ref="C1313:F1313"/>
    <mergeCell ref="C1314:F1314"/>
    <mergeCell ref="C1315:F1315"/>
    <mergeCell ref="C1316:F1316"/>
    <mergeCell ref="C1317:F1317"/>
    <mergeCell ref="C1318:F1318"/>
    <mergeCell ref="C1319:F1319"/>
    <mergeCell ref="A1320:F1320"/>
    <mergeCell ref="C1321:F1321"/>
    <mergeCell ref="C1322:F1322"/>
    <mergeCell ref="C1323:F1323"/>
    <mergeCell ref="C1324:F1324"/>
    <mergeCell ref="A1325:F1325"/>
    <mergeCell ref="C1326:F1326"/>
    <mergeCell ref="C1327:F1327"/>
    <mergeCell ref="C1328:F1328"/>
    <mergeCell ref="C1295:F1295"/>
    <mergeCell ref="C1296:F1296"/>
    <mergeCell ref="A1297:F1297"/>
    <mergeCell ref="A1298:F1298"/>
    <mergeCell ref="C1299:F1299"/>
    <mergeCell ref="C1300:F1300"/>
    <mergeCell ref="C1301:F1301"/>
    <mergeCell ref="C1302:F1302"/>
    <mergeCell ref="C1303:F1303"/>
    <mergeCell ref="C1304:F1304"/>
    <mergeCell ref="C1305:F1305"/>
    <mergeCell ref="C1306:F1306"/>
    <mergeCell ref="C1307:F1307"/>
    <mergeCell ref="C1308:F1308"/>
    <mergeCell ref="A1309:F1309"/>
    <mergeCell ref="A1310:F1310"/>
    <mergeCell ref="C1311:F1311"/>
    <mergeCell ref="C1278:F1278"/>
    <mergeCell ref="C1279:F1279"/>
    <mergeCell ref="C1280:F1280"/>
    <mergeCell ref="A1281:F1281"/>
    <mergeCell ref="C1282:F1282"/>
    <mergeCell ref="C1283:F1283"/>
    <mergeCell ref="C1284:F1284"/>
    <mergeCell ref="C1285:F1285"/>
    <mergeCell ref="C1286:F1286"/>
    <mergeCell ref="A1287:F1287"/>
    <mergeCell ref="C1288:F1288"/>
    <mergeCell ref="C1289:F1289"/>
    <mergeCell ref="C1290:F1290"/>
    <mergeCell ref="C1291:F1291"/>
    <mergeCell ref="A1292:F1292"/>
    <mergeCell ref="C1293:F1293"/>
    <mergeCell ref="C1294:F1294"/>
    <mergeCell ref="C1261:F1261"/>
    <mergeCell ref="C1262:F1262"/>
    <mergeCell ref="C1263:F1263"/>
    <mergeCell ref="A1264:F1264"/>
    <mergeCell ref="C1265:F1265"/>
    <mergeCell ref="C1266:F1266"/>
    <mergeCell ref="C1267:F1267"/>
    <mergeCell ref="C1268:F1268"/>
    <mergeCell ref="A1269:F1269"/>
    <mergeCell ref="C1270:F1270"/>
    <mergeCell ref="C1271:F1271"/>
    <mergeCell ref="C1272:F1272"/>
    <mergeCell ref="C1273:F1273"/>
    <mergeCell ref="C1274:F1274"/>
    <mergeCell ref="A1275:F1275"/>
    <mergeCell ref="C1276:F1276"/>
    <mergeCell ref="C1277:F1277"/>
    <mergeCell ref="C1244:F1244"/>
    <mergeCell ref="C1245:F1245"/>
    <mergeCell ref="C1246:F1246"/>
    <mergeCell ref="C1247:F1247"/>
    <mergeCell ref="A1248:F1248"/>
    <mergeCell ref="C1249:F1249"/>
    <mergeCell ref="A1250:F1250"/>
    <mergeCell ref="C1251:F1251"/>
    <mergeCell ref="C1252:F1252"/>
    <mergeCell ref="C1253:F1253"/>
    <mergeCell ref="C1254:F1254"/>
    <mergeCell ref="A1255:F1255"/>
    <mergeCell ref="C1256:F1256"/>
    <mergeCell ref="C1257:F1257"/>
    <mergeCell ref="A1258:F1258"/>
    <mergeCell ref="C1259:F1259"/>
    <mergeCell ref="A1260:F1260"/>
    <mergeCell ref="C1227:F1227"/>
    <mergeCell ref="C1228:F1228"/>
    <mergeCell ref="C1229:F1229"/>
    <mergeCell ref="C1230:F1230"/>
    <mergeCell ref="A1231:F1231"/>
    <mergeCell ref="C1232:F1232"/>
    <mergeCell ref="C1233:F1233"/>
    <mergeCell ref="C1234:F1234"/>
    <mergeCell ref="C1235:F1235"/>
    <mergeCell ref="A1236:F1236"/>
    <mergeCell ref="C1237:F1237"/>
    <mergeCell ref="C1238:F1238"/>
    <mergeCell ref="C1239:F1239"/>
    <mergeCell ref="C1240:F1240"/>
    <mergeCell ref="C1241:F1241"/>
    <mergeCell ref="A1242:F1242"/>
    <mergeCell ref="C1243:F1243"/>
    <mergeCell ref="C1210:F1210"/>
    <mergeCell ref="C1211:F1211"/>
    <mergeCell ref="C1212:F1212"/>
    <mergeCell ref="C1213:F1213"/>
    <mergeCell ref="A1214:F1214"/>
    <mergeCell ref="C1215:F1215"/>
    <mergeCell ref="C1216:F1216"/>
    <mergeCell ref="C1217:F1217"/>
    <mergeCell ref="C1218:F1218"/>
    <mergeCell ref="C1219:F1219"/>
    <mergeCell ref="A1220:F1220"/>
    <mergeCell ref="C1221:F1221"/>
    <mergeCell ref="C1222:F1222"/>
    <mergeCell ref="C1223:F1223"/>
    <mergeCell ref="C1224:F1224"/>
    <mergeCell ref="A1225:F1225"/>
    <mergeCell ref="C1226:F1226"/>
    <mergeCell ref="C1193:F1193"/>
    <mergeCell ref="C1194:F1194"/>
    <mergeCell ref="A1195:F1195"/>
    <mergeCell ref="C1196:F1196"/>
    <mergeCell ref="C1197:F1197"/>
    <mergeCell ref="C1198:F1198"/>
    <mergeCell ref="A1199:F1199"/>
    <mergeCell ref="C1200:F1200"/>
    <mergeCell ref="C1201:F1201"/>
    <mergeCell ref="C1202:F1202"/>
    <mergeCell ref="A1203:F1203"/>
    <mergeCell ref="C1204:F1204"/>
    <mergeCell ref="C1205:F1205"/>
    <mergeCell ref="C1206:F1206"/>
    <mergeCell ref="C1207:F1207"/>
    <mergeCell ref="C1208:F1208"/>
    <mergeCell ref="A1209:F1209"/>
    <mergeCell ref="C1176:F1176"/>
    <mergeCell ref="A1177:F1177"/>
    <mergeCell ref="C1178:F1178"/>
    <mergeCell ref="C1179:F1179"/>
    <mergeCell ref="C1180:F1180"/>
    <mergeCell ref="C1181:F1181"/>
    <mergeCell ref="C1182:F1182"/>
    <mergeCell ref="A1183:F1183"/>
    <mergeCell ref="C1184:F1184"/>
    <mergeCell ref="A1185:F1185"/>
    <mergeCell ref="C1186:F1186"/>
    <mergeCell ref="C1187:F1187"/>
    <mergeCell ref="C1188:F1188"/>
    <mergeCell ref="A1189:F1189"/>
    <mergeCell ref="C1190:F1190"/>
    <mergeCell ref="C1191:F1191"/>
    <mergeCell ref="C1192:F1192"/>
    <mergeCell ref="C1159:F1159"/>
    <mergeCell ref="C1160:F1160"/>
    <mergeCell ref="A1161:F1161"/>
    <mergeCell ref="C1162:F1162"/>
    <mergeCell ref="C1163:F1163"/>
    <mergeCell ref="C1164:F1164"/>
    <mergeCell ref="C1165:F1165"/>
    <mergeCell ref="C1166:F1166"/>
    <mergeCell ref="A1167:F1167"/>
    <mergeCell ref="C1168:F1168"/>
    <mergeCell ref="C1169:F1169"/>
    <mergeCell ref="C1170:F1170"/>
    <mergeCell ref="C1171:F1171"/>
    <mergeCell ref="C1172:F1172"/>
    <mergeCell ref="A1173:F1173"/>
    <mergeCell ref="A1174:F1174"/>
    <mergeCell ref="C1175:F1175"/>
    <mergeCell ref="C1142:F1142"/>
    <mergeCell ref="C1143:F1143"/>
    <mergeCell ref="C1144:F1144"/>
    <mergeCell ref="A1145:F1145"/>
    <mergeCell ref="C1146:F1146"/>
    <mergeCell ref="C1147:F1147"/>
    <mergeCell ref="C1148:F1148"/>
    <mergeCell ref="C1149:F1149"/>
    <mergeCell ref="A1150:F1150"/>
    <mergeCell ref="C1151:F1151"/>
    <mergeCell ref="C1152:F1152"/>
    <mergeCell ref="C1153:F1153"/>
    <mergeCell ref="C1154:F1154"/>
    <mergeCell ref="C1155:F1155"/>
    <mergeCell ref="A1156:F1156"/>
    <mergeCell ref="C1157:F1157"/>
    <mergeCell ref="C1158:F1158"/>
    <mergeCell ref="C1125:F1125"/>
    <mergeCell ref="C1126:F1126"/>
    <mergeCell ref="A1127:F1127"/>
    <mergeCell ref="C1128:F1128"/>
    <mergeCell ref="C1129:F1129"/>
    <mergeCell ref="C1130:F1130"/>
    <mergeCell ref="A1131:F1131"/>
    <mergeCell ref="A1132:F1132"/>
    <mergeCell ref="A1133:F1133"/>
    <mergeCell ref="A1134:F1134"/>
    <mergeCell ref="C1135:F1135"/>
    <mergeCell ref="C1136:F1136"/>
    <mergeCell ref="C1137:F1137"/>
    <mergeCell ref="C1138:F1138"/>
    <mergeCell ref="C1139:F1139"/>
    <mergeCell ref="A1140:F1140"/>
    <mergeCell ref="C1141:F1141"/>
    <mergeCell ref="C1108:F1108"/>
    <mergeCell ref="C1109:F1109"/>
    <mergeCell ref="C1110:F1110"/>
    <mergeCell ref="C1111:F1111"/>
    <mergeCell ref="C1112:F1112"/>
    <mergeCell ref="C1113:F1113"/>
    <mergeCell ref="C1114:F1114"/>
    <mergeCell ref="C1115:F1115"/>
    <mergeCell ref="C1116:F1116"/>
    <mergeCell ref="C1117:F1117"/>
    <mergeCell ref="A1118:F1118"/>
    <mergeCell ref="C1119:F1119"/>
    <mergeCell ref="C1120:F1120"/>
    <mergeCell ref="A1121:F1121"/>
    <mergeCell ref="C1122:F1122"/>
    <mergeCell ref="C1123:F1123"/>
    <mergeCell ref="C1124:F1124"/>
    <mergeCell ref="A1091:F1091"/>
    <mergeCell ref="C1092:F1092"/>
    <mergeCell ref="C1093:F1093"/>
    <mergeCell ref="C1094:F1094"/>
    <mergeCell ref="C1095:F1095"/>
    <mergeCell ref="C1096:F1096"/>
    <mergeCell ref="C1097:F1097"/>
    <mergeCell ref="C1098:F1098"/>
    <mergeCell ref="C1099:F1099"/>
    <mergeCell ref="C1100:F1100"/>
    <mergeCell ref="C1101:F1101"/>
    <mergeCell ref="C1102:F1102"/>
    <mergeCell ref="C1103:F1103"/>
    <mergeCell ref="C1104:F1104"/>
    <mergeCell ref="A1105:F1105"/>
    <mergeCell ref="C1106:F1106"/>
    <mergeCell ref="C1107:F1107"/>
    <mergeCell ref="C1074:F1074"/>
    <mergeCell ref="C1075:F1075"/>
    <mergeCell ref="C1076:F1076"/>
    <mergeCell ref="C1077:F1077"/>
    <mergeCell ref="C1078:F1078"/>
    <mergeCell ref="C1079:F1079"/>
    <mergeCell ref="C1080:F1080"/>
    <mergeCell ref="C1081:F1081"/>
    <mergeCell ref="C1082:F1082"/>
    <mergeCell ref="C1083:F1083"/>
    <mergeCell ref="C1084:F1084"/>
    <mergeCell ref="C1085:F1085"/>
    <mergeCell ref="A1086:F1086"/>
    <mergeCell ref="A1087:F1087"/>
    <mergeCell ref="C1088:F1088"/>
    <mergeCell ref="C1089:F1089"/>
    <mergeCell ref="C1090:F1090"/>
    <mergeCell ref="C1057:F1057"/>
    <mergeCell ref="C1058:F1058"/>
    <mergeCell ref="C1059:F1059"/>
    <mergeCell ref="C1060:F1060"/>
    <mergeCell ref="C1061:F1061"/>
    <mergeCell ref="C1062:F1062"/>
    <mergeCell ref="C1063:F1063"/>
    <mergeCell ref="C1064:F1064"/>
    <mergeCell ref="C1065:F1065"/>
    <mergeCell ref="C1066:F1066"/>
    <mergeCell ref="C1067:F1067"/>
    <mergeCell ref="A1068:F1068"/>
    <mergeCell ref="C1069:F1069"/>
    <mergeCell ref="C1070:F1070"/>
    <mergeCell ref="C1071:F1071"/>
    <mergeCell ref="C1072:F1072"/>
    <mergeCell ref="C1073:F1073"/>
    <mergeCell ref="C1040:F1040"/>
    <mergeCell ref="C1041:F1041"/>
    <mergeCell ref="C1042:F1042"/>
    <mergeCell ref="C1043:F1043"/>
    <mergeCell ref="C1044:F1044"/>
    <mergeCell ref="C1045:F1045"/>
    <mergeCell ref="C1046:F1046"/>
    <mergeCell ref="C1047:F1047"/>
    <mergeCell ref="C1048:F1048"/>
    <mergeCell ref="C1049:F1049"/>
    <mergeCell ref="C1050:F1050"/>
    <mergeCell ref="C1051:F1051"/>
    <mergeCell ref="C1052:F1052"/>
    <mergeCell ref="C1053:F1053"/>
    <mergeCell ref="A1054:F1054"/>
    <mergeCell ref="A1055:F1055"/>
    <mergeCell ref="C1056:F1056"/>
    <mergeCell ref="C1023:F1023"/>
    <mergeCell ref="C1024:F1024"/>
    <mergeCell ref="C1025:F1025"/>
    <mergeCell ref="C1026:F1026"/>
    <mergeCell ref="C1027:F1027"/>
    <mergeCell ref="C1028:F1028"/>
    <mergeCell ref="C1029:F1029"/>
    <mergeCell ref="C1030:F1030"/>
    <mergeCell ref="C1031:F1031"/>
    <mergeCell ref="C1032:F1032"/>
    <mergeCell ref="C1033:F1033"/>
    <mergeCell ref="C1034:F1034"/>
    <mergeCell ref="C1035:F1035"/>
    <mergeCell ref="C1036:F1036"/>
    <mergeCell ref="C1037:F1037"/>
    <mergeCell ref="C1038:F1038"/>
    <mergeCell ref="A1039:F1039"/>
    <mergeCell ref="C1006:F1006"/>
    <mergeCell ref="C1007:F1007"/>
    <mergeCell ref="A1008:F1008"/>
    <mergeCell ref="C1009:F1009"/>
    <mergeCell ref="C1010:F1010"/>
    <mergeCell ref="C1011:F1011"/>
    <mergeCell ref="C1012:F1012"/>
    <mergeCell ref="C1013:F1013"/>
    <mergeCell ref="C1014:F1014"/>
    <mergeCell ref="C1015:F1015"/>
    <mergeCell ref="C1016:F1016"/>
    <mergeCell ref="C1017:F1017"/>
    <mergeCell ref="C1018:F1018"/>
    <mergeCell ref="C1019:F1019"/>
    <mergeCell ref="C1020:F1020"/>
    <mergeCell ref="C1021:F1021"/>
    <mergeCell ref="C1022:F1022"/>
    <mergeCell ref="C989:F989"/>
    <mergeCell ref="C990:F990"/>
    <mergeCell ref="C991:F991"/>
    <mergeCell ref="C992:F992"/>
    <mergeCell ref="C993:F993"/>
    <mergeCell ref="C994:F994"/>
    <mergeCell ref="C995:F995"/>
    <mergeCell ref="C996:F996"/>
    <mergeCell ref="C997:F997"/>
    <mergeCell ref="A998:F998"/>
    <mergeCell ref="A999:F999"/>
    <mergeCell ref="C1000:F1000"/>
    <mergeCell ref="C1001:F1001"/>
    <mergeCell ref="A1002:F1002"/>
    <mergeCell ref="C1003:F1003"/>
    <mergeCell ref="C1004:F1004"/>
    <mergeCell ref="C1005:F1005"/>
    <mergeCell ref="A972:F972"/>
    <mergeCell ref="C973:F973"/>
    <mergeCell ref="C974:F974"/>
    <mergeCell ref="C975:F975"/>
    <mergeCell ref="C976:F976"/>
    <mergeCell ref="C977:F977"/>
    <mergeCell ref="C978:F978"/>
    <mergeCell ref="C979:F979"/>
    <mergeCell ref="C980:F980"/>
    <mergeCell ref="C981:F981"/>
    <mergeCell ref="C982:F982"/>
    <mergeCell ref="C983:F983"/>
    <mergeCell ref="C984:F984"/>
    <mergeCell ref="C985:F985"/>
    <mergeCell ref="C986:F986"/>
    <mergeCell ref="C987:F987"/>
    <mergeCell ref="C988:F988"/>
    <mergeCell ref="C955:F955"/>
    <mergeCell ref="A956:F956"/>
    <mergeCell ref="C957:F957"/>
    <mergeCell ref="C958:F958"/>
    <mergeCell ref="C959:F959"/>
    <mergeCell ref="C960:F960"/>
    <mergeCell ref="A961:F961"/>
    <mergeCell ref="C962:F962"/>
    <mergeCell ref="C963:F963"/>
    <mergeCell ref="A964:F964"/>
    <mergeCell ref="C965:F965"/>
    <mergeCell ref="C966:F966"/>
    <mergeCell ref="A967:F967"/>
    <mergeCell ref="C968:F968"/>
    <mergeCell ref="C969:F969"/>
    <mergeCell ref="C970:F970"/>
    <mergeCell ref="A971:F971"/>
    <mergeCell ref="C938:F938"/>
    <mergeCell ref="C939:F939"/>
    <mergeCell ref="C940:F940"/>
    <mergeCell ref="C941:F941"/>
    <mergeCell ref="C942:F942"/>
    <mergeCell ref="C943:F943"/>
    <mergeCell ref="A944:F944"/>
    <mergeCell ref="A945:F945"/>
    <mergeCell ref="A946:F946"/>
    <mergeCell ref="C947:F947"/>
    <mergeCell ref="C948:F948"/>
    <mergeCell ref="C949:F949"/>
    <mergeCell ref="C950:F950"/>
    <mergeCell ref="C951:F951"/>
    <mergeCell ref="C952:F952"/>
    <mergeCell ref="C953:F953"/>
    <mergeCell ref="C954:F954"/>
    <mergeCell ref="A921:F921"/>
    <mergeCell ref="C922:F922"/>
    <mergeCell ref="C923:F923"/>
    <mergeCell ref="C924:F924"/>
    <mergeCell ref="C925:F925"/>
    <mergeCell ref="C926:F926"/>
    <mergeCell ref="C927:F927"/>
    <mergeCell ref="C928:F928"/>
    <mergeCell ref="C929:F929"/>
    <mergeCell ref="C930:F930"/>
    <mergeCell ref="C931:F931"/>
    <mergeCell ref="C932:F932"/>
    <mergeCell ref="C933:F933"/>
    <mergeCell ref="C934:F934"/>
    <mergeCell ref="C935:F935"/>
    <mergeCell ref="C936:F936"/>
    <mergeCell ref="C937:F937"/>
    <mergeCell ref="C904:F904"/>
    <mergeCell ref="C905:F905"/>
    <mergeCell ref="C906:F906"/>
    <mergeCell ref="C907:F907"/>
    <mergeCell ref="A908:F908"/>
    <mergeCell ref="A909:F909"/>
    <mergeCell ref="C910:F910"/>
    <mergeCell ref="A911:F911"/>
    <mergeCell ref="C912:F912"/>
    <mergeCell ref="C913:F913"/>
    <mergeCell ref="C914:F914"/>
    <mergeCell ref="C915:F915"/>
    <mergeCell ref="C916:F916"/>
    <mergeCell ref="A917:F917"/>
    <mergeCell ref="C918:F918"/>
    <mergeCell ref="A919:F919"/>
    <mergeCell ref="C920:F920"/>
    <mergeCell ref="C887:F887"/>
    <mergeCell ref="C888:F888"/>
    <mergeCell ref="A889:F889"/>
    <mergeCell ref="A890:F890"/>
    <mergeCell ref="A891:F891"/>
    <mergeCell ref="C892:F892"/>
    <mergeCell ref="C893:F893"/>
    <mergeCell ref="C894:F894"/>
    <mergeCell ref="C895:F895"/>
    <mergeCell ref="A896:F896"/>
    <mergeCell ref="C897:F897"/>
    <mergeCell ref="C898:F898"/>
    <mergeCell ref="C899:F899"/>
    <mergeCell ref="A900:F900"/>
    <mergeCell ref="A901:F901"/>
    <mergeCell ref="A902:F902"/>
    <mergeCell ref="A903:F903"/>
    <mergeCell ref="C870:F870"/>
    <mergeCell ref="A871:F871"/>
    <mergeCell ref="C872:F872"/>
    <mergeCell ref="C873:F873"/>
    <mergeCell ref="A874:F874"/>
    <mergeCell ref="C875:F875"/>
    <mergeCell ref="C876:F876"/>
    <mergeCell ref="C877:F877"/>
    <mergeCell ref="C878:F878"/>
    <mergeCell ref="A879:F879"/>
    <mergeCell ref="C880:F880"/>
    <mergeCell ref="C881:F881"/>
    <mergeCell ref="C882:F882"/>
    <mergeCell ref="C883:F883"/>
    <mergeCell ref="A884:F884"/>
    <mergeCell ref="C885:F885"/>
    <mergeCell ref="C886:F886"/>
    <mergeCell ref="C853:F853"/>
    <mergeCell ref="A854:F854"/>
    <mergeCell ref="C855:F855"/>
    <mergeCell ref="C856:F856"/>
    <mergeCell ref="C857:F857"/>
    <mergeCell ref="C858:F858"/>
    <mergeCell ref="A859:F859"/>
    <mergeCell ref="C860:F860"/>
    <mergeCell ref="C861:F861"/>
    <mergeCell ref="C862:F862"/>
    <mergeCell ref="C863:F863"/>
    <mergeCell ref="A864:F864"/>
    <mergeCell ref="C865:F865"/>
    <mergeCell ref="C866:F866"/>
    <mergeCell ref="C867:F867"/>
    <mergeCell ref="C868:F868"/>
    <mergeCell ref="A869:F869"/>
    <mergeCell ref="C836:F836"/>
    <mergeCell ref="C837:F837"/>
    <mergeCell ref="A838:F838"/>
    <mergeCell ref="C839:F839"/>
    <mergeCell ref="C840:F840"/>
    <mergeCell ref="C841:F841"/>
    <mergeCell ref="C842:F842"/>
    <mergeCell ref="C843:F843"/>
    <mergeCell ref="C844:F844"/>
    <mergeCell ref="C845:F845"/>
    <mergeCell ref="C846:F846"/>
    <mergeCell ref="A847:F847"/>
    <mergeCell ref="C848:F848"/>
    <mergeCell ref="C849:F849"/>
    <mergeCell ref="C850:F850"/>
    <mergeCell ref="C851:F851"/>
    <mergeCell ref="C852:F852"/>
    <mergeCell ref="C819:F819"/>
    <mergeCell ref="C820:F820"/>
    <mergeCell ref="C821:F821"/>
    <mergeCell ref="C822:F822"/>
    <mergeCell ref="C823:F823"/>
    <mergeCell ref="C824:F824"/>
    <mergeCell ref="C825:F825"/>
    <mergeCell ref="C826:F826"/>
    <mergeCell ref="C827:F827"/>
    <mergeCell ref="C828:F828"/>
    <mergeCell ref="C829:F829"/>
    <mergeCell ref="C830:F830"/>
    <mergeCell ref="C831:F831"/>
    <mergeCell ref="A832:F832"/>
    <mergeCell ref="C833:F833"/>
    <mergeCell ref="C834:F834"/>
    <mergeCell ref="C835:F835"/>
    <mergeCell ref="C802:F802"/>
    <mergeCell ref="C803:F803"/>
    <mergeCell ref="C804:F804"/>
    <mergeCell ref="C805:F805"/>
    <mergeCell ref="A806:F806"/>
    <mergeCell ref="C807:F807"/>
    <mergeCell ref="C808:F808"/>
    <mergeCell ref="C809:F809"/>
    <mergeCell ref="C810:F810"/>
    <mergeCell ref="C811:F811"/>
    <mergeCell ref="A812:F812"/>
    <mergeCell ref="C813:F813"/>
    <mergeCell ref="C814:F814"/>
    <mergeCell ref="C815:F815"/>
    <mergeCell ref="C816:F816"/>
    <mergeCell ref="A817:F817"/>
    <mergeCell ref="C818:F818"/>
    <mergeCell ref="C785:F785"/>
    <mergeCell ref="C786:F786"/>
    <mergeCell ref="C787:F787"/>
    <mergeCell ref="C788:F788"/>
    <mergeCell ref="C789:F789"/>
    <mergeCell ref="C790:F790"/>
    <mergeCell ref="C791:F791"/>
    <mergeCell ref="C792:F792"/>
    <mergeCell ref="C793:F793"/>
    <mergeCell ref="C794:F794"/>
    <mergeCell ref="C795:F795"/>
    <mergeCell ref="C796:F796"/>
    <mergeCell ref="C797:F797"/>
    <mergeCell ref="A798:F798"/>
    <mergeCell ref="A799:F799"/>
    <mergeCell ref="C800:F800"/>
    <mergeCell ref="C801:F801"/>
    <mergeCell ref="C768:F768"/>
    <mergeCell ref="C769:F769"/>
    <mergeCell ref="C770:F770"/>
    <mergeCell ref="C771:F771"/>
    <mergeCell ref="A772:F772"/>
    <mergeCell ref="C773:F773"/>
    <mergeCell ref="C774:F774"/>
    <mergeCell ref="C775:F775"/>
    <mergeCell ref="C776:F776"/>
    <mergeCell ref="C777:F777"/>
    <mergeCell ref="C778:F778"/>
    <mergeCell ref="C779:F779"/>
    <mergeCell ref="C780:F780"/>
    <mergeCell ref="C781:F781"/>
    <mergeCell ref="A782:F782"/>
    <mergeCell ref="A783:F783"/>
    <mergeCell ref="A784:F784"/>
    <mergeCell ref="C751:F751"/>
    <mergeCell ref="C752:F752"/>
    <mergeCell ref="C753:F753"/>
    <mergeCell ref="C754:F754"/>
    <mergeCell ref="C755:F755"/>
    <mergeCell ref="A756:F756"/>
    <mergeCell ref="C757:F757"/>
    <mergeCell ref="C758:F758"/>
    <mergeCell ref="C759:F759"/>
    <mergeCell ref="C760:F760"/>
    <mergeCell ref="C761:F761"/>
    <mergeCell ref="C762:F762"/>
    <mergeCell ref="C763:F763"/>
    <mergeCell ref="C764:F764"/>
    <mergeCell ref="C765:F765"/>
    <mergeCell ref="C766:F766"/>
    <mergeCell ref="C767:F767"/>
    <mergeCell ref="C734:F734"/>
    <mergeCell ref="C735:F735"/>
    <mergeCell ref="A736:F736"/>
    <mergeCell ref="C737:F737"/>
    <mergeCell ref="C738:F738"/>
    <mergeCell ref="C739:F739"/>
    <mergeCell ref="A740:F740"/>
    <mergeCell ref="C741:F741"/>
    <mergeCell ref="C742:F742"/>
    <mergeCell ref="C743:F743"/>
    <mergeCell ref="C744:F744"/>
    <mergeCell ref="C745:F745"/>
    <mergeCell ref="C746:F746"/>
    <mergeCell ref="C747:F747"/>
    <mergeCell ref="C748:F748"/>
    <mergeCell ref="C749:F749"/>
    <mergeCell ref="C750:F750"/>
    <mergeCell ref="C717:F717"/>
    <mergeCell ref="C718:F718"/>
    <mergeCell ref="C719:F719"/>
    <mergeCell ref="C720:F720"/>
    <mergeCell ref="C721:F721"/>
    <mergeCell ref="C722:F722"/>
    <mergeCell ref="C723:F723"/>
    <mergeCell ref="C724:F724"/>
    <mergeCell ref="C725:F725"/>
    <mergeCell ref="C726:F726"/>
    <mergeCell ref="C727:F727"/>
    <mergeCell ref="A728:F728"/>
    <mergeCell ref="C729:F729"/>
    <mergeCell ref="A730:F730"/>
    <mergeCell ref="C731:F731"/>
    <mergeCell ref="C732:F732"/>
    <mergeCell ref="C733:F733"/>
    <mergeCell ref="C700:F700"/>
    <mergeCell ref="A701:F701"/>
    <mergeCell ref="C702:F702"/>
    <mergeCell ref="C703:F703"/>
    <mergeCell ref="C704:F704"/>
    <mergeCell ref="C705:F705"/>
    <mergeCell ref="C706:F706"/>
    <mergeCell ref="C707:F707"/>
    <mergeCell ref="C708:F708"/>
    <mergeCell ref="A709:F709"/>
    <mergeCell ref="A710:F710"/>
    <mergeCell ref="C711:F711"/>
    <mergeCell ref="A712:F712"/>
    <mergeCell ref="C713:F713"/>
    <mergeCell ref="C714:F714"/>
    <mergeCell ref="C715:F715"/>
    <mergeCell ref="C716:F716"/>
    <mergeCell ref="C683:F683"/>
    <mergeCell ref="C684:F684"/>
    <mergeCell ref="A685:F685"/>
    <mergeCell ref="A686:F686"/>
    <mergeCell ref="C687:F687"/>
    <mergeCell ref="A688:F688"/>
    <mergeCell ref="C689:F689"/>
    <mergeCell ref="A690:F690"/>
    <mergeCell ref="C691:F691"/>
    <mergeCell ref="A692:F692"/>
    <mergeCell ref="C693:F693"/>
    <mergeCell ref="A694:F694"/>
    <mergeCell ref="A695:F695"/>
    <mergeCell ref="C696:F696"/>
    <mergeCell ref="A697:F697"/>
    <mergeCell ref="C698:F698"/>
    <mergeCell ref="C699:F699"/>
    <mergeCell ref="A666:F666"/>
    <mergeCell ref="A667:F667"/>
    <mergeCell ref="C668:F668"/>
    <mergeCell ref="C669:F669"/>
    <mergeCell ref="C670:F670"/>
    <mergeCell ref="A671:F671"/>
    <mergeCell ref="C672:F672"/>
    <mergeCell ref="A673:F673"/>
    <mergeCell ref="C674:F674"/>
    <mergeCell ref="C675:F675"/>
    <mergeCell ref="A676:F676"/>
    <mergeCell ref="C677:F677"/>
    <mergeCell ref="C678:F678"/>
    <mergeCell ref="C679:F679"/>
    <mergeCell ref="C680:F680"/>
    <mergeCell ref="C681:F681"/>
    <mergeCell ref="C682:F682"/>
    <mergeCell ref="C649:F649"/>
    <mergeCell ref="C650:F650"/>
    <mergeCell ref="C651:F651"/>
    <mergeCell ref="A652:F652"/>
    <mergeCell ref="C653:F653"/>
    <mergeCell ref="C654:F654"/>
    <mergeCell ref="C655:F655"/>
    <mergeCell ref="A656:F656"/>
    <mergeCell ref="C657:F657"/>
    <mergeCell ref="C658:F658"/>
    <mergeCell ref="C659:F659"/>
    <mergeCell ref="C660:F660"/>
    <mergeCell ref="A661:F661"/>
    <mergeCell ref="C662:F662"/>
    <mergeCell ref="C663:F663"/>
    <mergeCell ref="C664:F664"/>
    <mergeCell ref="C665:F665"/>
    <mergeCell ref="C632:F632"/>
    <mergeCell ref="C633:F633"/>
    <mergeCell ref="C634:F634"/>
    <mergeCell ref="C635:F635"/>
    <mergeCell ref="C636:F636"/>
    <mergeCell ref="A637:F637"/>
    <mergeCell ref="A638:F638"/>
    <mergeCell ref="C639:F639"/>
    <mergeCell ref="A640:F640"/>
    <mergeCell ref="C641:F641"/>
    <mergeCell ref="C642:F642"/>
    <mergeCell ref="C643:F643"/>
    <mergeCell ref="C644:F644"/>
    <mergeCell ref="A645:F645"/>
    <mergeCell ref="C646:F646"/>
    <mergeCell ref="C647:F647"/>
    <mergeCell ref="C648:F648"/>
    <mergeCell ref="C615:F615"/>
    <mergeCell ref="C616:F616"/>
    <mergeCell ref="C617:F617"/>
    <mergeCell ref="C618:F618"/>
    <mergeCell ref="C619:F619"/>
    <mergeCell ref="C620:F620"/>
    <mergeCell ref="A621:F621"/>
    <mergeCell ref="A622:F622"/>
    <mergeCell ref="C623:F623"/>
    <mergeCell ref="C624:F624"/>
    <mergeCell ref="C625:F625"/>
    <mergeCell ref="C626:F626"/>
    <mergeCell ref="C627:F627"/>
    <mergeCell ref="C628:F628"/>
    <mergeCell ref="A629:F629"/>
    <mergeCell ref="C630:F630"/>
    <mergeCell ref="C631:F631"/>
    <mergeCell ref="C598:F598"/>
    <mergeCell ref="C599:F599"/>
    <mergeCell ref="C600:F600"/>
    <mergeCell ref="C601:F601"/>
    <mergeCell ref="C602:F602"/>
    <mergeCell ref="C603:F603"/>
    <mergeCell ref="C604:F604"/>
    <mergeCell ref="C605:F605"/>
    <mergeCell ref="C606:F606"/>
    <mergeCell ref="C607:F607"/>
    <mergeCell ref="C608:F608"/>
    <mergeCell ref="C609:F609"/>
    <mergeCell ref="C610:F610"/>
    <mergeCell ref="C611:F611"/>
    <mergeCell ref="C612:F612"/>
    <mergeCell ref="A613:F613"/>
    <mergeCell ref="C614:F614"/>
    <mergeCell ref="C581:F581"/>
    <mergeCell ref="A582:F582"/>
    <mergeCell ref="A583:F583"/>
    <mergeCell ref="C584:F584"/>
    <mergeCell ref="C585:F585"/>
    <mergeCell ref="C586:F586"/>
    <mergeCell ref="C587:F587"/>
    <mergeCell ref="C588:F588"/>
    <mergeCell ref="C589:F589"/>
    <mergeCell ref="C590:F590"/>
    <mergeCell ref="C591:F591"/>
    <mergeCell ref="C592:F592"/>
    <mergeCell ref="C593:F593"/>
    <mergeCell ref="C594:F594"/>
    <mergeCell ref="C595:F595"/>
    <mergeCell ref="C596:F596"/>
    <mergeCell ref="C597:F597"/>
    <mergeCell ref="C564:F564"/>
    <mergeCell ref="A565:F565"/>
    <mergeCell ref="C566:F566"/>
    <mergeCell ref="C567:F567"/>
    <mergeCell ref="A568:F568"/>
    <mergeCell ref="C569:F569"/>
    <mergeCell ref="A570:F570"/>
    <mergeCell ref="C571:F571"/>
    <mergeCell ref="C572:F572"/>
    <mergeCell ref="C573:F573"/>
    <mergeCell ref="C574:F574"/>
    <mergeCell ref="C575:F575"/>
    <mergeCell ref="C576:F576"/>
    <mergeCell ref="A577:F577"/>
    <mergeCell ref="C578:F578"/>
    <mergeCell ref="C579:F579"/>
    <mergeCell ref="C580:F580"/>
    <mergeCell ref="C547:F547"/>
    <mergeCell ref="C548:F548"/>
    <mergeCell ref="C549:F549"/>
    <mergeCell ref="C550:F550"/>
    <mergeCell ref="C551:F551"/>
    <mergeCell ref="C552:F552"/>
    <mergeCell ref="A553:F553"/>
    <mergeCell ref="A554:F554"/>
    <mergeCell ref="C555:F555"/>
    <mergeCell ref="C556:F556"/>
    <mergeCell ref="C557:F557"/>
    <mergeCell ref="C558:F558"/>
    <mergeCell ref="A559:F559"/>
    <mergeCell ref="C560:F560"/>
    <mergeCell ref="C561:F561"/>
    <mergeCell ref="C562:F562"/>
    <mergeCell ref="A563:F563"/>
    <mergeCell ref="C530:F530"/>
    <mergeCell ref="C531:F531"/>
    <mergeCell ref="C532:F532"/>
    <mergeCell ref="C533:F533"/>
    <mergeCell ref="C534:F534"/>
    <mergeCell ref="C535:F535"/>
    <mergeCell ref="C536:F536"/>
    <mergeCell ref="C537:F537"/>
    <mergeCell ref="C538:F538"/>
    <mergeCell ref="C539:F539"/>
    <mergeCell ref="C540:F540"/>
    <mergeCell ref="C541:F541"/>
    <mergeCell ref="C542:F542"/>
    <mergeCell ref="A543:F543"/>
    <mergeCell ref="C544:F544"/>
    <mergeCell ref="C545:F545"/>
    <mergeCell ref="C546:F546"/>
    <mergeCell ref="C513:F513"/>
    <mergeCell ref="C514:F514"/>
    <mergeCell ref="A515:F515"/>
    <mergeCell ref="A516:F516"/>
    <mergeCell ref="C517:F517"/>
    <mergeCell ref="C518:F518"/>
    <mergeCell ref="C519:F519"/>
    <mergeCell ref="C520:F520"/>
    <mergeCell ref="C521:F521"/>
    <mergeCell ref="C522:F522"/>
    <mergeCell ref="C523:F523"/>
    <mergeCell ref="C524:F524"/>
    <mergeCell ref="C525:F525"/>
    <mergeCell ref="A526:F526"/>
    <mergeCell ref="C527:F527"/>
    <mergeCell ref="C528:F528"/>
    <mergeCell ref="C529:F529"/>
    <mergeCell ref="C496:F496"/>
    <mergeCell ref="C497:F497"/>
    <mergeCell ref="C498:F498"/>
    <mergeCell ref="A499:F499"/>
    <mergeCell ref="C500:F500"/>
    <mergeCell ref="C501:F501"/>
    <mergeCell ref="C502:F502"/>
    <mergeCell ref="C503:F503"/>
    <mergeCell ref="C504:F504"/>
    <mergeCell ref="C505:F505"/>
    <mergeCell ref="A506:F506"/>
    <mergeCell ref="C507:F507"/>
    <mergeCell ref="C508:F508"/>
    <mergeCell ref="C509:F509"/>
    <mergeCell ref="C510:F510"/>
    <mergeCell ref="C511:F511"/>
    <mergeCell ref="C512:F512"/>
    <mergeCell ref="C479:F479"/>
    <mergeCell ref="A480:F480"/>
    <mergeCell ref="C481:F481"/>
    <mergeCell ref="C482:F482"/>
    <mergeCell ref="C483:F483"/>
    <mergeCell ref="C484:F484"/>
    <mergeCell ref="C485:F485"/>
    <mergeCell ref="C486:F486"/>
    <mergeCell ref="C487:F487"/>
    <mergeCell ref="C488:F488"/>
    <mergeCell ref="C489:F489"/>
    <mergeCell ref="C490:F490"/>
    <mergeCell ref="C491:F491"/>
    <mergeCell ref="C492:F492"/>
    <mergeCell ref="C493:F493"/>
    <mergeCell ref="C494:F494"/>
    <mergeCell ref="C495:F495"/>
    <mergeCell ref="C462:F462"/>
    <mergeCell ref="C463:F463"/>
    <mergeCell ref="A464:F464"/>
    <mergeCell ref="A465:F465"/>
    <mergeCell ref="A466:F466"/>
    <mergeCell ref="A467:F467"/>
    <mergeCell ref="C468:F468"/>
    <mergeCell ref="C469:F469"/>
    <mergeCell ref="C470:F470"/>
    <mergeCell ref="A471:F471"/>
    <mergeCell ref="C472:F472"/>
    <mergeCell ref="C473:F473"/>
    <mergeCell ref="C474:F474"/>
    <mergeCell ref="C475:F475"/>
    <mergeCell ref="C476:F476"/>
    <mergeCell ref="C477:F477"/>
    <mergeCell ref="C478:F478"/>
    <mergeCell ref="C445:F445"/>
    <mergeCell ref="A446:F446"/>
    <mergeCell ref="A447:F447"/>
    <mergeCell ref="A448:F448"/>
    <mergeCell ref="A449:F449"/>
    <mergeCell ref="C450:F450"/>
    <mergeCell ref="C451:F451"/>
    <mergeCell ref="C452:F452"/>
    <mergeCell ref="C453:F453"/>
    <mergeCell ref="C454:F454"/>
    <mergeCell ref="A455:F455"/>
    <mergeCell ref="C456:F456"/>
    <mergeCell ref="C457:F457"/>
    <mergeCell ref="C458:F458"/>
    <mergeCell ref="C459:F459"/>
    <mergeCell ref="C460:F460"/>
    <mergeCell ref="C461:F461"/>
    <mergeCell ref="C428:F428"/>
    <mergeCell ref="C429:F429"/>
    <mergeCell ref="C430:F430"/>
    <mergeCell ref="C431:F431"/>
    <mergeCell ref="A432:F432"/>
    <mergeCell ref="A433:F433"/>
    <mergeCell ref="C434:F434"/>
    <mergeCell ref="C435:F435"/>
    <mergeCell ref="C436:F436"/>
    <mergeCell ref="A437:F437"/>
    <mergeCell ref="C438:F438"/>
    <mergeCell ref="C439:F439"/>
    <mergeCell ref="C440:F440"/>
    <mergeCell ref="C441:F441"/>
    <mergeCell ref="C442:F442"/>
    <mergeCell ref="C443:F443"/>
    <mergeCell ref="C444:F444"/>
    <mergeCell ref="A411:F411"/>
    <mergeCell ref="C412:F412"/>
    <mergeCell ref="C413:F413"/>
    <mergeCell ref="C414:F414"/>
    <mergeCell ref="C415:F415"/>
    <mergeCell ref="C416:F416"/>
    <mergeCell ref="C417:F417"/>
    <mergeCell ref="C418:F418"/>
    <mergeCell ref="A419:F419"/>
    <mergeCell ref="C420:F420"/>
    <mergeCell ref="C421:F421"/>
    <mergeCell ref="C422:F422"/>
    <mergeCell ref="C423:F423"/>
    <mergeCell ref="C424:F424"/>
    <mergeCell ref="C425:F425"/>
    <mergeCell ref="A426:F426"/>
    <mergeCell ref="C427:F427"/>
    <mergeCell ref="C394:F394"/>
    <mergeCell ref="C395:F395"/>
    <mergeCell ref="C396:F396"/>
    <mergeCell ref="C397:F397"/>
    <mergeCell ref="C398:F398"/>
    <mergeCell ref="C399:F399"/>
    <mergeCell ref="C400:F400"/>
    <mergeCell ref="A401:F401"/>
    <mergeCell ref="C402:F402"/>
    <mergeCell ref="C403:F403"/>
    <mergeCell ref="C404:F404"/>
    <mergeCell ref="A405:F405"/>
    <mergeCell ref="C406:F406"/>
    <mergeCell ref="C407:F407"/>
    <mergeCell ref="C408:F408"/>
    <mergeCell ref="A409:F409"/>
    <mergeCell ref="A410:F410"/>
    <mergeCell ref="A377:F377"/>
    <mergeCell ref="A378:F378"/>
    <mergeCell ref="A379:F379"/>
    <mergeCell ref="A380:F380"/>
    <mergeCell ref="A381:F381"/>
    <mergeCell ref="C382:F382"/>
    <mergeCell ref="A383:F383"/>
    <mergeCell ref="C384:F384"/>
    <mergeCell ref="C385:F385"/>
    <mergeCell ref="C386:F386"/>
    <mergeCell ref="C387:F387"/>
    <mergeCell ref="C388:F388"/>
    <mergeCell ref="A389:F389"/>
    <mergeCell ref="A390:F390"/>
    <mergeCell ref="A391:F391"/>
    <mergeCell ref="C392:F392"/>
    <mergeCell ref="A393:F393"/>
    <mergeCell ref="C360:F360"/>
    <mergeCell ref="C361:F361"/>
    <mergeCell ref="A362:F362"/>
    <mergeCell ref="C363:F363"/>
    <mergeCell ref="A364:F364"/>
    <mergeCell ref="C365:F365"/>
    <mergeCell ref="C366:F366"/>
    <mergeCell ref="C367:F367"/>
    <mergeCell ref="C368:F368"/>
    <mergeCell ref="C369:F369"/>
    <mergeCell ref="A370:F370"/>
    <mergeCell ref="C371:F371"/>
    <mergeCell ref="C372:F372"/>
    <mergeCell ref="A373:F373"/>
    <mergeCell ref="C374:F374"/>
    <mergeCell ref="C375:F375"/>
    <mergeCell ref="C376:F376"/>
    <mergeCell ref="A343:F343"/>
    <mergeCell ref="C344:F344"/>
    <mergeCell ref="C345:F345"/>
    <mergeCell ref="A346:F346"/>
    <mergeCell ref="C347:F347"/>
    <mergeCell ref="A348:F348"/>
    <mergeCell ref="A349:F349"/>
    <mergeCell ref="C350:F350"/>
    <mergeCell ref="A351:F351"/>
    <mergeCell ref="A352:F352"/>
    <mergeCell ref="C353:F353"/>
    <mergeCell ref="C354:F354"/>
    <mergeCell ref="C355:F355"/>
    <mergeCell ref="C356:F356"/>
    <mergeCell ref="C357:F357"/>
    <mergeCell ref="C358:F358"/>
    <mergeCell ref="C359:F359"/>
    <mergeCell ref="C326:F326"/>
    <mergeCell ref="C327:F327"/>
    <mergeCell ref="C328:F328"/>
    <mergeCell ref="A329:F329"/>
    <mergeCell ref="C330:F330"/>
    <mergeCell ref="A331:F331"/>
    <mergeCell ref="A332:F332"/>
    <mergeCell ref="A333:F333"/>
    <mergeCell ref="C334:F334"/>
    <mergeCell ref="C335:F335"/>
    <mergeCell ref="C336:F336"/>
    <mergeCell ref="C337:F337"/>
    <mergeCell ref="C338:F338"/>
    <mergeCell ref="C339:F339"/>
    <mergeCell ref="C340:F340"/>
    <mergeCell ref="C341:F341"/>
    <mergeCell ref="A342:F342"/>
    <mergeCell ref="C309:F309"/>
    <mergeCell ref="C310:F310"/>
    <mergeCell ref="C311:F311"/>
    <mergeCell ref="C312:F312"/>
    <mergeCell ref="C313:F313"/>
    <mergeCell ref="A314:F314"/>
    <mergeCell ref="C315:F315"/>
    <mergeCell ref="A316:F316"/>
    <mergeCell ref="A317:F317"/>
    <mergeCell ref="C318:F318"/>
    <mergeCell ref="A319:F319"/>
    <mergeCell ref="A320:F320"/>
    <mergeCell ref="C321:F321"/>
    <mergeCell ref="C322:F322"/>
    <mergeCell ref="C323:F323"/>
    <mergeCell ref="C324:F324"/>
    <mergeCell ref="C325:F325"/>
    <mergeCell ref="C292:F292"/>
    <mergeCell ref="C293:F293"/>
    <mergeCell ref="C294:F294"/>
    <mergeCell ref="C295:F295"/>
    <mergeCell ref="C296:F296"/>
    <mergeCell ref="A297:F297"/>
    <mergeCell ref="C298:F298"/>
    <mergeCell ref="A299:F299"/>
    <mergeCell ref="A300:F300"/>
    <mergeCell ref="C301:F301"/>
    <mergeCell ref="A302:F302"/>
    <mergeCell ref="A303:F303"/>
    <mergeCell ref="A304:F304"/>
    <mergeCell ref="C305:F305"/>
    <mergeCell ref="A306:F306"/>
    <mergeCell ref="C307:F307"/>
    <mergeCell ref="C308:F308"/>
    <mergeCell ref="A275:F275"/>
    <mergeCell ref="C276:F276"/>
    <mergeCell ref="A277:F277"/>
    <mergeCell ref="A278:F278"/>
    <mergeCell ref="A279:F279"/>
    <mergeCell ref="C280:F280"/>
    <mergeCell ref="A281:F281"/>
    <mergeCell ref="C282:F282"/>
    <mergeCell ref="C283:F283"/>
    <mergeCell ref="C284:F284"/>
    <mergeCell ref="A285:F285"/>
    <mergeCell ref="A286:F286"/>
    <mergeCell ref="C287:F287"/>
    <mergeCell ref="A288:F288"/>
    <mergeCell ref="A289:F289"/>
    <mergeCell ref="A290:F290"/>
    <mergeCell ref="C291:F291"/>
    <mergeCell ref="C258:F258"/>
    <mergeCell ref="A259:F259"/>
    <mergeCell ref="C260:F260"/>
    <mergeCell ref="C261:F261"/>
    <mergeCell ref="C262:F262"/>
    <mergeCell ref="C263:F263"/>
    <mergeCell ref="A264:F264"/>
    <mergeCell ref="C265:F265"/>
    <mergeCell ref="A266:F266"/>
    <mergeCell ref="C267:F267"/>
    <mergeCell ref="A268:F268"/>
    <mergeCell ref="A269:F269"/>
    <mergeCell ref="C270:F270"/>
    <mergeCell ref="A271:F271"/>
    <mergeCell ref="A272:F272"/>
    <mergeCell ref="C273:F273"/>
    <mergeCell ref="C274:F274"/>
    <mergeCell ref="C241:F241"/>
    <mergeCell ref="A242:F242"/>
    <mergeCell ref="C243:F243"/>
    <mergeCell ref="C244:F244"/>
    <mergeCell ref="A245:F245"/>
    <mergeCell ref="A246:F246"/>
    <mergeCell ref="C247:F247"/>
    <mergeCell ref="A248:F248"/>
    <mergeCell ref="A249:F249"/>
    <mergeCell ref="C250:F250"/>
    <mergeCell ref="A251:F251"/>
    <mergeCell ref="C252:F252"/>
    <mergeCell ref="A253:F253"/>
    <mergeCell ref="A254:F254"/>
    <mergeCell ref="C255:F255"/>
    <mergeCell ref="C256:F256"/>
    <mergeCell ref="A257:F257"/>
    <mergeCell ref="C224:F224"/>
    <mergeCell ref="A225:F225"/>
    <mergeCell ref="A226:F226"/>
    <mergeCell ref="C227:F227"/>
    <mergeCell ref="C228:F228"/>
    <mergeCell ref="C229:F229"/>
    <mergeCell ref="C230:F230"/>
    <mergeCell ref="A231:F231"/>
    <mergeCell ref="C232:F232"/>
    <mergeCell ref="A233:F233"/>
    <mergeCell ref="C234:F234"/>
    <mergeCell ref="C235:F235"/>
    <mergeCell ref="C236:F236"/>
    <mergeCell ref="A237:F237"/>
    <mergeCell ref="C238:F238"/>
    <mergeCell ref="C239:F239"/>
    <mergeCell ref="A240:F240"/>
    <mergeCell ref="C207:F207"/>
    <mergeCell ref="A208:F208"/>
    <mergeCell ref="A209:F209"/>
    <mergeCell ref="A210:F210"/>
    <mergeCell ref="C211:F211"/>
    <mergeCell ref="C212:F212"/>
    <mergeCell ref="C213:F213"/>
    <mergeCell ref="A214:F214"/>
    <mergeCell ref="A215:F215"/>
    <mergeCell ref="C216:F216"/>
    <mergeCell ref="A217:F217"/>
    <mergeCell ref="C218:F218"/>
    <mergeCell ref="C219:F219"/>
    <mergeCell ref="A220:F220"/>
    <mergeCell ref="A221:F221"/>
    <mergeCell ref="C222:F222"/>
    <mergeCell ref="A223:F223"/>
    <mergeCell ref="A190:F190"/>
    <mergeCell ref="C191:F191"/>
    <mergeCell ref="C192:F192"/>
    <mergeCell ref="A193:F193"/>
    <mergeCell ref="A194:F194"/>
    <mergeCell ref="A195:F195"/>
    <mergeCell ref="A196:F196"/>
    <mergeCell ref="C197:F197"/>
    <mergeCell ref="A198:F198"/>
    <mergeCell ref="A199:F199"/>
    <mergeCell ref="C200:F200"/>
    <mergeCell ref="A201:F201"/>
    <mergeCell ref="C202:F202"/>
    <mergeCell ref="C203:F203"/>
    <mergeCell ref="C204:F204"/>
    <mergeCell ref="A205:F205"/>
    <mergeCell ref="C206:F206"/>
    <mergeCell ref="C173:F173"/>
    <mergeCell ref="A174:F174"/>
    <mergeCell ref="A175:F175"/>
    <mergeCell ref="C176:F176"/>
    <mergeCell ref="A177:F177"/>
    <mergeCell ref="C178:F178"/>
    <mergeCell ref="C179:F179"/>
    <mergeCell ref="A180:F180"/>
    <mergeCell ref="A181:F181"/>
    <mergeCell ref="C182:F182"/>
    <mergeCell ref="C183:F183"/>
    <mergeCell ref="C184:F184"/>
    <mergeCell ref="A185:F185"/>
    <mergeCell ref="C186:F186"/>
    <mergeCell ref="A187:F187"/>
    <mergeCell ref="C188:F188"/>
    <mergeCell ref="C189:F189"/>
    <mergeCell ref="C156:F156"/>
    <mergeCell ref="A157:F157"/>
    <mergeCell ref="C158:F158"/>
    <mergeCell ref="C159:F159"/>
    <mergeCell ref="C160:F160"/>
    <mergeCell ref="C161:F161"/>
    <mergeCell ref="C162:F162"/>
    <mergeCell ref="C163:F163"/>
    <mergeCell ref="C164:F164"/>
    <mergeCell ref="A165:F165"/>
    <mergeCell ref="A166:F166"/>
    <mergeCell ref="C167:F167"/>
    <mergeCell ref="A168:F168"/>
    <mergeCell ref="A169:F169"/>
    <mergeCell ref="A170:F170"/>
    <mergeCell ref="C171:F171"/>
    <mergeCell ref="A172:F172"/>
    <mergeCell ref="C139:F139"/>
    <mergeCell ref="A140:F140"/>
    <mergeCell ref="C141:F141"/>
    <mergeCell ref="C142:F142"/>
    <mergeCell ref="A143:F143"/>
    <mergeCell ref="C144:F144"/>
    <mergeCell ref="C145:F145"/>
    <mergeCell ref="C146:F146"/>
    <mergeCell ref="C147:F147"/>
    <mergeCell ref="C148:F148"/>
    <mergeCell ref="A149:F149"/>
    <mergeCell ref="C150:F150"/>
    <mergeCell ref="A151:F151"/>
    <mergeCell ref="A152:F152"/>
    <mergeCell ref="C153:F153"/>
    <mergeCell ref="C154:F154"/>
    <mergeCell ref="C155:F155"/>
    <mergeCell ref="C122:F122"/>
    <mergeCell ref="A123:F123"/>
    <mergeCell ref="C124:F124"/>
    <mergeCell ref="C125:F125"/>
    <mergeCell ref="C126:F126"/>
    <mergeCell ref="C127:F127"/>
    <mergeCell ref="C128:F128"/>
    <mergeCell ref="A129:F129"/>
    <mergeCell ref="C130:F130"/>
    <mergeCell ref="C131:F131"/>
    <mergeCell ref="C132:F132"/>
    <mergeCell ref="C133:F133"/>
    <mergeCell ref="C134:F134"/>
    <mergeCell ref="C135:F135"/>
    <mergeCell ref="C136:F136"/>
    <mergeCell ref="C137:F137"/>
    <mergeCell ref="C138:F138"/>
    <mergeCell ref="A105:F105"/>
    <mergeCell ref="C106:F106"/>
    <mergeCell ref="C107:F107"/>
    <mergeCell ref="C108:F108"/>
    <mergeCell ref="C109:F109"/>
    <mergeCell ref="C110:F110"/>
    <mergeCell ref="C111:F111"/>
    <mergeCell ref="C112:F112"/>
    <mergeCell ref="C113:F113"/>
    <mergeCell ref="A114:F114"/>
    <mergeCell ref="A115:F115"/>
    <mergeCell ref="C116:F116"/>
    <mergeCell ref="C117:F117"/>
    <mergeCell ref="C118:F118"/>
    <mergeCell ref="C119:F119"/>
    <mergeCell ref="C120:F120"/>
    <mergeCell ref="C121:F121"/>
    <mergeCell ref="C88:F88"/>
    <mergeCell ref="C89:F89"/>
    <mergeCell ref="C90:F90"/>
    <mergeCell ref="C91:F91"/>
    <mergeCell ref="C92:F92"/>
    <mergeCell ref="C93:F93"/>
    <mergeCell ref="C94:F94"/>
    <mergeCell ref="C95:F95"/>
    <mergeCell ref="A96:F96"/>
    <mergeCell ref="C97:F97"/>
    <mergeCell ref="A98:F98"/>
    <mergeCell ref="C99:F99"/>
    <mergeCell ref="A100:F100"/>
    <mergeCell ref="C101:F101"/>
    <mergeCell ref="C102:F102"/>
    <mergeCell ref="A103:F103"/>
    <mergeCell ref="A104:F104"/>
    <mergeCell ref="C71:F71"/>
    <mergeCell ref="A72:F72"/>
    <mergeCell ref="A73:F73"/>
    <mergeCell ref="C74:F74"/>
    <mergeCell ref="A75:F75"/>
    <mergeCell ref="C76:F76"/>
    <mergeCell ref="C77:F77"/>
    <mergeCell ref="A78:F78"/>
    <mergeCell ref="C79:F79"/>
    <mergeCell ref="A80:F80"/>
    <mergeCell ref="C81:F81"/>
    <mergeCell ref="C82:F82"/>
    <mergeCell ref="C83:F83"/>
    <mergeCell ref="C84:F84"/>
    <mergeCell ref="C85:F85"/>
    <mergeCell ref="C86:F86"/>
    <mergeCell ref="C87:F87"/>
    <mergeCell ref="C54:F54"/>
    <mergeCell ref="A55:F55"/>
    <mergeCell ref="C56:F56"/>
    <mergeCell ref="A57:F57"/>
    <mergeCell ref="C58:F58"/>
    <mergeCell ref="A59:F59"/>
    <mergeCell ref="C60:F60"/>
    <mergeCell ref="C61:F61"/>
    <mergeCell ref="C62:F62"/>
    <mergeCell ref="C63:F63"/>
    <mergeCell ref="C64:F64"/>
    <mergeCell ref="A65:F65"/>
    <mergeCell ref="C66:F66"/>
    <mergeCell ref="C67:F67"/>
    <mergeCell ref="C68:F68"/>
    <mergeCell ref="C69:F69"/>
    <mergeCell ref="C70:F70"/>
    <mergeCell ref="C37:F37"/>
    <mergeCell ref="A38:F38"/>
    <mergeCell ref="C39:F39"/>
    <mergeCell ref="C40:F40"/>
    <mergeCell ref="C41:F41"/>
    <mergeCell ref="C42:F42"/>
    <mergeCell ref="C43:F43"/>
    <mergeCell ref="C44:F44"/>
    <mergeCell ref="A45:F45"/>
    <mergeCell ref="C46:F46"/>
    <mergeCell ref="C47:F47"/>
    <mergeCell ref="C48:F48"/>
    <mergeCell ref="A49:F49"/>
    <mergeCell ref="C50:F50"/>
    <mergeCell ref="C51:F51"/>
    <mergeCell ref="C52:F52"/>
    <mergeCell ref="C53:F53"/>
    <mergeCell ref="A20:F20"/>
    <mergeCell ref="A21:F21"/>
    <mergeCell ref="C22:F22"/>
    <mergeCell ref="A23:F23"/>
    <mergeCell ref="C24:F24"/>
    <mergeCell ref="C25:F25"/>
    <mergeCell ref="C26:F26"/>
    <mergeCell ref="C27:F27"/>
    <mergeCell ref="A28:F28"/>
    <mergeCell ref="A29:F29"/>
    <mergeCell ref="A30:F30"/>
    <mergeCell ref="C31:F31"/>
    <mergeCell ref="C32:F32"/>
    <mergeCell ref="C33:F33"/>
    <mergeCell ref="C34:F34"/>
    <mergeCell ref="C35:F35"/>
    <mergeCell ref="C36:F36"/>
    <mergeCell ref="A3:B3"/>
    <mergeCell ref="C3:F3"/>
    <mergeCell ref="L3:M3"/>
    <mergeCell ref="A6:F6"/>
    <mergeCell ref="A7:F7"/>
    <mergeCell ref="A8:F8"/>
    <mergeCell ref="A9:F9"/>
    <mergeCell ref="C10:F10"/>
    <mergeCell ref="C11:F11"/>
    <mergeCell ref="C12:F12"/>
    <mergeCell ref="C13:F13"/>
    <mergeCell ref="A14:F14"/>
    <mergeCell ref="C15:F15"/>
    <mergeCell ref="A16:F16"/>
    <mergeCell ref="C17:F17"/>
    <mergeCell ref="C18:F18"/>
    <mergeCell ref="C19:F19"/>
  </mergeCells>
  <dataValidations count="1187">
    <dataValidation type="decimal" allowBlank="1" showErrorMessage="1" errorTitle="Неверно указано Количество" error="минимальное количество для заказа = 2" sqref="L10">
      <formula1>2</formula1>
      <formula2>107</formula2>
    </dataValidation>
    <dataValidation type="decimal" allowBlank="1" showErrorMessage="1" errorTitle="Неверно указано Количество" error="минимальное количество для заказа = 2" sqref="L11 L1191 L1289">
      <formula1>2</formula1>
      <formula2>162</formula2>
    </dataValidation>
    <dataValidation type="decimal" allowBlank="1" showErrorMessage="1" errorTitle="Неверно указано Количество" error="минимальное количество для заказа = 2" sqref="L12">
      <formula1>2</formula1>
      <formula2>166</formula2>
    </dataValidation>
    <dataValidation type="decimal" allowBlank="1" showErrorMessage="1" errorTitle="Неверно указано Количество" error="минимальное количество для заказа = 2" sqref="L13">
      <formula1>2</formula1>
      <formula2>217</formula2>
    </dataValidation>
    <dataValidation type="decimal" operator="equal" allowBlank="1" showErrorMessage="1" errorTitle="Не нужно менять минимальное количество для заказа:" error="минимальное количество для заказа = 12" sqref="J15 J99 J171 J173 J176 J347 J398 J400 J672 J1598 J1600 J1604 J1606 J1608 J1654 J2337 J2367 J2421 J2445 J2447 J2449 J2456 J2477 J2479 J2493 J2534 J2536 J2551 J2559 J2570 J2572 J2590 J2965 J4189 J4191 J4193 J4205 J4656 J4659 J4682 J5202 J24:J27 J101:J102 J178:J179 J218:J219 J243:J244 J876:J878 J2314:J2317 J2319:J2331 J2361:J2365 J2369:J2373 J2377:J2378 J2380:J2399 J2401:J2417 J2424:J2429 J2437:J2442 J2452:J2454 J2460:J2463 J2465:J2468 J2470:J2475 J2481:J2482 J2484:J2485 J2487:J2491 J2495:J2496 J2498:J2506 J2526:J2529 J2538:J2540 J2542:J2543 J2547:J2548 J2563:J2566 J2576:J2577 J2581:J2583 J2585:J2587 J2593:J2596 J2598:J2600 J2959:J2961 J3983:J3995 J3997:J4008 J4011:J4029 J4032:J4055 J4058:J4060 J4068:J4070 J4076:J4079 J4081:J4082 J4084:J4088 J4095:J4103 J4111:J4120 J4123:J4124 J4127:J4131 J4133:J4136 J4140:J4143 J4145:J4146 J4148:J4151 J4154:J4156 J4158:J4161 J4164:J4168 J4170:J4172 J4175:J4177 J4181:J4185 J4195:J4197 J4199:J4202 J4207:J4229 J4233:J4234 J4237:J4239 J4241:J4242 J4244:J4245 J4527:J4528 J4620:J4634 J4642:J4645 J4648:J4653 J4684:J4685 J4687:J4690">
      <formula1>12</formula1>
    </dataValidation>
    <dataValidation type="decimal" operator="greaterThanOrEqual" allowBlank="1" showErrorMessage="1" errorTitle="Нельзя заказать меньше чем :" error="минимальное количество для заказа = 12" sqref="L15 L99 L347 L398 L672 L1598 L1600 L1604 L1606 L1608 L2319 L2377 L2413 L2421 L2437 L2439 L2442 L2445 L2447 L2456 L2463 L2484 L2491 L2493 L2534 L2536 L2551 L2559 L2570 L3995 L4058 L4082 L4085 L4087 L4148 L4151 L4205 L4208 L4659 L4682 L5202 L24:L27 L101:L102 L178:L179 L243:L244 L876:L877 L2314:L2316 L2322:L2324 L2326:L2330 L2361:L2362 L2364:L2365 L2369:L2370 L2380:L2381 L2383:L2386 L2389:L2392 L2394:L2399 L2401:L2402 L2407:L2411 L2415:L2417 L2427:L2428 L2452:L2454 L2465:L2467 L2470:L2474 L2481:L2482 L2487:L2489 L2495:L2496 L2498:L2506 L2539:L2540 L2547:L2548 L2563:L2566 L2576:L2577 L2581:L2583 L2586:L2587 L2595:L2596 L2598:L2599 L2959:L2961 L3983:L3993 L3997:L4008 L4011:L4029 L4032:L4054 L4076:L4079 L4095:L4103 L4111:L4120 L4123:L4124 L4127:L4130 L4133:L4136 L4140:L4143 L4154:L4156 L4158:L4160 L4164:L4167 L4170:L4172 L4175:L4177 L4181:L4184 L4195:L4197 L4199:L4202 L4210:L4229 L4233:L4234 L4237:L4238 L4241:L4242 L4244:L4245 L4527:L4528 L4620:L4629 L4631:L4634 L4642:L4645 L4648:L4653 L4684:L4685 L4687:L4690">
      <formula1>12</formula1>
    </dataValidation>
    <dataValidation type="decimal" operator="equal" allowBlank="1" showErrorMessage="1" errorTitle="Не нужно менять минимальное количество для заказа:" error="минимальное количество для заказа = 60" sqref="J17 J693 J2561">
      <formula1>60</formula1>
    </dataValidation>
    <dataValidation type="decimal" operator="greaterThanOrEqual" allowBlank="1" showErrorMessage="1" errorTitle="Нельзя заказать меньше чем :" error="минимальное количество для заказа = 60" sqref="L17 L693">
      <formula1>60</formula1>
    </dataValidation>
    <dataValidation type="decimal" operator="equal" allowBlank="1" showErrorMessage="1" errorTitle="Не нужно менять минимальное количество для заказа:" error="минимальное количество для заказа = 20" sqref="J22 J650 J689 J711 J729 J761 J2422 J2434 J2483 J2486 J2784 J4864 J4911 J5024 J713:J727 J731:J735 J2766:J2776 J2778:J2779 J2781:J2782 J2788:J2789 J2791:J2793 J3002:J3004 J3006:J3011 J4857:J4861 J4886:J4887 J4889:J4890 J4994:J5008 J5033:J5040 J5043:J5052 J5054:J5059 J5061:J5062 J5064:J5073">
      <formula1>20</formula1>
    </dataValidation>
    <dataValidation type="decimal" operator="greaterThanOrEqual" allowBlank="1" showErrorMessage="1" errorTitle="Нельзя заказать меньше чем :" error="минимальное количество для заказа = 20" sqref="L22 L650 L689 L711 L729 L2770 L2773 L2775 L2791 L3002 L4889 L5061 L713:L727 L731:L734 L4857:L4861 L4886:L4887 L4994:L5008 L5034:L5039 L5044:L5052 L5057:L5059 L5064:L5073">
      <formula1>20</formula1>
    </dataValidation>
    <dataValidation type="decimal" allowBlank="1" showErrorMessage="1" errorTitle="Неверно указано Количество" error="минимальное количество для заказа = 1" sqref="L31 L1997 L4486">
      <formula1>1</formula1>
      <formula2>164</formula2>
    </dataValidation>
    <dataValidation type="decimal" allowBlank="1" showErrorMessage="1" errorTitle="Неверно указано Количество" error="минимальное количество для заказа = 1" sqref="L32 L904 L1909 L3362">
      <formula1>1</formula1>
      <formula2>152</formula2>
    </dataValidation>
    <dataValidation type="decimal" allowBlank="1" showErrorMessage="1" errorTitle="Неверно указано Количество" error="минимальное количество для заказа = 1" sqref="L33 L2218">
      <formula1>1</formula1>
      <formula2>125</formula2>
    </dataValidation>
    <dataValidation type="decimal" allowBlank="1" showErrorMessage="1" errorTitle="Неверно указано Количество" error="минимальное количество для заказа = 1" sqref="L34 L1529 L1803 L3793">
      <formula1>1</formula1>
      <formula2>218</formula2>
    </dataValidation>
    <dataValidation type="decimal" allowBlank="1" showErrorMessage="1" errorTitle="Неверно указано Количество" error="минимальное количество для заказа = 1" sqref="L35 L493 L1504 L3792 L5188">
      <formula1>1</formula1>
      <formula2>36</formula2>
    </dataValidation>
    <dataValidation type="decimal" allowBlank="1" showErrorMessage="1" errorTitle="Неверно указано Количество" error="минимальное количество для заказа = 1" sqref="L36 L4734">
      <formula1>1</formula1>
      <formula2>255</formula2>
    </dataValidation>
    <dataValidation type="decimal" allowBlank="1" showErrorMessage="1" errorTitle="Неверно указано Количество" error="минимальное количество для заказа = 1" sqref="L37 L797 L3789">
      <formula1>1</formula1>
      <formula2>99</formula2>
    </dataValidation>
    <dataValidation type="decimal" operator="greaterThanOrEqual" allowBlank="1" showErrorMessage="1" errorTitle="Нельзя заказать меньше чем :" error="минимальное количество для заказа = 2" sqref="L39 L148 L222 L270 L301 L318 L350 L402 L630 L635 L691 L813 L933 L950 L963 L1007 L1015 L1017 L1020 L1034 L1044 L1090 L1120 L1143 L1178 L1321 L1406 L1623 L1704 L2165 L2176 L2178 L2191 L2929 L2932 L2935 L2940 L2942 L2953 L3187 L3232 L3242 L3245 L3248 L3370 L3399 L3415 L3423 L3473 L3617 L3711 L3965 L4758 L4778 L4814 L5205 L18:L19 L473:L475 L544:L546 L807:L810 L815:L816 L825:L830 L839:L846 L848:L851 L968:L969 L1029:L1030 L1323:L1324 L1617:L1619 L1628:L1629 L1633:L1634 L2168:L2170 L2227:L2229 L2926:L2927 L3290:L3291 L3482:L3486 L3578:L3579 L3955:L3956 L4609:L4616 L4716:L4717">
      <formula1>2</formula1>
    </dataValidation>
    <dataValidation type="decimal" allowBlank="1" showErrorMessage="1" errorTitle="Неверно указано Количество" error="минимальное количество для заказа = 2" sqref="L40 L1243">
      <formula1>2</formula1>
      <formula2>401</formula2>
    </dataValidation>
    <dataValidation type="decimal" allowBlank="1" showErrorMessage="1" errorTitle="Неверно указано Количество" error="минимальное количество для заказа = 2" sqref="L41 L870 L940 L1051 L1277 L1357 L2011 L2171 L2175 L2753 L3279 L3543">
      <formula1>2</formula1>
      <formula2>5</formula2>
    </dataValidation>
    <dataValidation type="decimal" allowBlank="1" showErrorMessage="1" errorTitle="Неверно указано Количество" error="минимальное количество для заказа = 2" sqref="L42">
      <formula1>2</formula1>
      <formula2>32</formula2>
    </dataValidation>
    <dataValidation type="decimal" allowBlank="1" showErrorMessage="1" errorTitle="Неверно указано Количество" error="минимальное количество для заказа = 2" sqref="L43">
      <formula1>2</formula1>
      <formula2>236</formula2>
    </dataValidation>
    <dataValidation type="decimal" allowBlank="1" showErrorMessage="1" errorTitle="Неверно указано Количество" error="минимальное количество для заказа = 2" sqref="L44">
      <formula1>2</formula1>
      <formula2>103</formula2>
    </dataValidation>
    <dataValidation type="decimal" operator="equal" allowBlank="1" showErrorMessage="1" errorTitle="Не нужно менять минимальное количество для заказа:" error="минимальное количество для заказа = 5" sqref="J50 J53 J576 J633 J739 J778 J922 J928 J934 J936 J981 J991 J995 J1059 J1088 J1099 J1416 J1500 J1545 J1562 J1564 J1566 J1568 J1571 J1582 J1601 J1609 J1616 J1681 J1690 J1697 J1719 J2153 J2215 J2225 J2253 J2268 J2290 J2650 J2688 J2750 J2763 J3041 J3049 J3479 J3481 J3487 J3900 J3967 J4387 J4509 J4658 J4668 J4698 J4729 J4732 J4781 J4783 J4796 J4843 J4870 J5226 J76:J77 J130:J137 J413:J418 J924:J925 J986:J987 J1063:J1064 J1069:J1070 J1108:J1114 J1116:J1117 J1123:J1125 J1418:J1419 J1436:J1438 J1574:J1575 J1577:J1580 J1641:J1642 J1650:J1651 J1661:J1662 J2101:J2112 J2114:J2123 J2274:J2275 J2292:J2297 J3045:J3046 J3069:J3071 J4389:J4391 J4523:J4525 J4534:J4541 J4576:J4584 J5013:J5015 J5220:J5221 J5223:J5224">
      <formula1>5</formula1>
    </dataValidation>
    <dataValidation type="decimal" operator="greaterThanOrEqual" allowBlank="1" showErrorMessage="1" errorTitle="Нельзя заказать меньше чем :" error="минимальное количество для заказа = 5" sqref="L50 L53 L76 L413 L418 L633 L739 L922 L934 L936 L995 L1059 L1110 L1117 L1419 L1438 L1545 L1562 L1568 L1571 L1577 L1601 L1609 L1616 L1681 L1690 L1719 L2153 L2215 L2290 L2688 L3049 L3479 L3481 L3487 L3900 L4668 L4698 L4729 L4732 L4781 L5226 L986:L987 L1063:L1064 L1112:L1113 L1579:L1580 L1641:L1642 L2101:L2104 L2106:L2107 L2110:L2111 L2114:L2123 L2274:L2275 L2293:L2297 L3045:L3046 L4523:L4525 L5013:L5015 L5220:L5221 L5223:L5224">
      <formula1>5</formula1>
    </dataValidation>
    <dataValidation type="decimal" operator="equal" allowBlank="1" showErrorMessage="1" errorTitle="Не нужно менять минимальное количество для заказа:" error="минимальное количество для заказа = 4" sqref="J54 J197 J216 J229 J247 J571 J634 J923 J932 J976 J980 J988 J990 J1057 J1084 J1115 J1305 J1344 J1346 J1350 J1536 J1540 J1621 J1626 J1631 J1668 J1677 J1695 J1699 J2155 J2214 J2217 J2241 J2252 J2751 J3397 J3917 J3921 J3969 J4667 J4725 J4727 J4733 J4754 J4760 J4868 J5203 J108:J113 J344:J345 J394:J397 J494:J496 J737:J738 J745:J749 J751:J755 J973:J974 J982:J984 J992:J994 J1081:J1082 J1095:J1097 J1488:J1490 J1498:J1499 J1543:J1544 J1547:J1551 J1588:J1590 J1663:J1664 J2125:J2136 J2138:J2149 J2162:J2163 J2270:J2272 J2276:J2277 J2300:J2305 J2307:J2308 J3073:J3076 J3160:J3163 J3175:J3179 J4520:J4521 J4554:J4558 J4692:J4693 J4817:J4818">
      <formula1>4</formula1>
    </dataValidation>
    <dataValidation type="decimal" operator="greaterThanOrEqual" allowBlank="1" showErrorMessage="1" errorTitle="Нельзя заказать меньше чем :" error="минимальное количество для заказа = 4" sqref="L54 L197 L216 L394 L634 L923 L932 L973 L980 L988 L990 L993 L1081 L1344 L1350 L1589 L1621 L1626 L1631 L1668 L1695 L1699 L2155 L2214 L2217 L2252 L2303 L3076 L3179 L3397 L3917 L3969 L4520 L4725 L4760 L5203 L108:L113 L344:L345 L396:L397 L494:L496 L737:L738 L745:L748 L752:L755 L1549:L1550 L1663:L1664 L2125:L2131 L2133:L2136 L2139:L2149 L2162:L2163 L2276:L2277 L2307:L2308 L3160:L3163 L4692:L4693 L4817:L4818">
      <formula1>4</formula1>
    </dataValidation>
    <dataValidation type="decimal" operator="equal" allowBlank="1" showErrorMessage="1" errorTitle="Не нужно менять минимальное количество для заказа:" error="минимальное количество для заказа = 1" sqref="J56 J68 J74 J116 J150 J192 J200 J227 J232 J241 J255 J258 J265 J267 J280 J287 J298 J305 J307 J315 J330 J363 J382 J412 J436 J441 J445 J481 J555 J564 J566 J620 J639 J653 J742 J781 J805 J918 J920 J942 J970 J979 J1019 J1028 J1033 J1060 J1089 J1119 J1139 J1155 J1160 J1166 J1172 J1182 J1184 J1186 J1194 J1208 J1219 J1230 J1235 J1241 J1247 J1259 J1272 J1274 J1280 J1286 J1293 J1326 J1337 J1356 J1379 J1390 J1413 J1487 J1497 J1614 J1620 J1624 J1630 J1696 J1698 J1722 J1724 J1757 J1799 J1824 J1833 J1852 J1854 J1871 J1899 J1902 J1911 J1946 J1979 J1988 J2012 J2076 J2082 J2160 J2177 J2207 J2210 J2218 J2222 J2264 J2280 J2655 J2715 J2754 J2903 J2933 J2937 J2952 J2967 J2972 J2976 J2978 J2995 J2998 J3014 J3139 J3186 J3234 J3238 J3240 J3255 J3280 J3284 J3295 J3300 J3326 J3383 J3396 J3408 J3410 J3470 J3474 J3480 J3488 J3540 J3542 J3554 J3580 J3620 J3710 J3760 J3762 J3799 J3820 J3859 J3918 J3937 J3947 J3952 J3954 J3957 J4444 J4452 J4455 J4513 J4515 J4518 J4564 J4595 J4744 J4746 J4763 J4772 J4779 J4782 J4786 J4798 J4805 J4812 J5107 J5121 J5124 J5162 J5228 J5241 J5305 J5307 J31:J37 J62:J63 J70:J71 J106:J107 J153:J156 J158:J164 J188:J189 J202:J204 J206:J207 J211:J213 J234:J236 J260:J263 J273:J274 J282:J284 J291:J292 J321:J322 J334:J341 J354:J355 J365:J369 J371:J372 J374:J376 J384:J385 J406:J408 J420:J425 J427:J431 J438:J439 J450:J454 J456:J463 J469:J470 J476:J479 J485:J493 J497:J498 J500:J505 J507:J514 J517:J525 J527:J542 J547:J552 J557:J558 J560:J562 J572:J575 J578:J581 J584:J612 J614:J618 J631:J632 J674:J675 J677:J684 J785:J797 J800:J802 J855:J858 J860:J863 J865:J868 J872:J873 J885:J888 J904:J907 J948:J949 J951:J955 J957:J960 J965:J966 J1010:J1011 J1052:J1053 J1106:J1107 J1128:J1130 J1175:J1176 J1196:J1198 J1200:J1202 J1210:J1213 J1256:J1257 J1265:J1268 J1302:J1304 J1328:J1329 J1332:J1335 J1358:J1367 J1369:J1371 J1373:J1374 J1376:J1377 J1381:J1384 J1393:J1394 J1396:J1397 J1407:J1411 J1430:J1434 J1439:J1448 J1451:J1455 J1464:J1477 J1479:J1485 J1493:J1495 J1503:J1504 J1507:J1509 J1512:J1513 J1515:J1524 J1527:J1531 J1533:J1535 J1636:J1637 J1666:J1667 J1700:J1703 J1708:J1718 J1726:J1727 J1729:J1734 J1740:J1745 J1747:J1751 J1753:J1755 J1762:J1770 J1772:J1780 J1783:J1788 J1790:J1797 J1801:J1803 J1807:J1810 J1812:J1815 J1817:J1819 J1821:J1822 J1827:J1831 J1835:J1837 J1839:J1842 J1844:J1846 J1848:J1850 J1856:J1859 J1862:J1869 J1873:J1878 J1880:J1883 J1886:J1889 J1891:J1894 J1896:J1897 J1904:J1909 J1913:J1916 J1918:J1921 J1923:J1924 J1926:J1939 J1941:J1944 J1948:J1951 J1953:J1964 J1970:J1971 J1973:J1977 J1981:J1982 J1985:J1986 J1990:J1997 J2001:J2009 J2014:J2022 J2025:J2028 J2030:J2033 J2035:J2051 J2053:J2055 J2058:J2071 J2073:J2074 J2086:J2088 J2090:J2091 J2093:J2096 J2192:J2194 J2196:J2205 J2255:J2258 J2669:J2681 J2695:J2700 J2702:J2705 J2708:J2712 J2717:J2721 J2723:J2737 J2739:J2746 J2758:J2759 J2806:J2809 J2812:J2814 J2816:J2818 J2820:J2822 J2824:J2826 J2829:J2831 J2833:J2835 J2837:J2839 J2841:J2843 J2846:J2848 J2850:J2852 J2854:J2856 J2859:J2861 J2863:J2865 J2867:J2869 J2871:J2874 J2877:J2880 J2882:J2901 J2923:J2924 J2930:J2931 J3056:J3062 J3064:J3065 J3079:J3084 J3088:J3107 J3115:J3121 J3124:J3126 J3128:J3129 J3135:J3137 J3155:J3157 J3190:J3191 J3194:J3205 J3213:J3217 J3252:J3253 J3257:J3259 J3261:J3263 J3266:J3268 J3270:J3271 J3273:J3278 J3303:J3309 J3311:J3318 J3320:J3323 J3328:J3330 J3334:J3337 J3339:J3340 J3342:J3344 J3346:J3349 J3351:J3355 J3357:J3362 J3364:J3367 J3371:J3373 J3377:J3381 J3385:J3390 J3393:J3394 J3412:J3414 J3416:J3418 J3420:J3422 J3424:J3428 J3430:J3454 J3456:J3458 J3460:J3467 J3492:J3538 J3544:J3546 J3548:J3552 J3556:J3573 J3576:J3577 J3604:J3606 J3612:J3613 J3627:J3628 J3630:J3643 J3645:J3653 J3655:J3656 J3658:J3672 J3674:J3686 J3688:J3691 J3694:J3698 J3700:J3708 J3712:J3719 J3726:J3752 J3754:J3757 J3764:J3765 J3768:J3775 J3777:J3794 J3804:J3805 J3825:J3833 J3837:J3838 J3845:J3848 J3850:J3857 J3862:J3863 J3870:J3887 J3889:J3891 J3894:J3895 J3897:J3898 J3903:J3908 J3911:J3912 J3914:J3916 J3923:J3928 J3939:J3945 J4432:J4434 J4446:J4448 J4460:J4462 J4464:J4471 J4473:J4476 J4478:J4491 J4493:J4494 J4646:J4647 J4734:J4736 J4739:J4742 J4766:J4767 J4774:J4775 J4872:J4874 J5127:J5128 J5130:J5131 J5133:J5144 J5146:J5160 J5164:J5170 J5172:J5191 J5193:J5199 J5208:J5212 J5231:J5239 J5248:J5249 J5253:J5280 J5282:J5292 J5294:J5299 J5301:J5303">
      <formula1>1</formula1>
    </dataValidation>
    <dataValidation type="decimal" allowBlank="1" showErrorMessage="1" errorTitle="Неверно указано Количество" error="минимальное количество для заказа = 1" sqref="L56 L2028">
      <formula1>1</formula1>
      <formula2>251</formula2>
    </dataValidation>
    <dataValidation type="decimal" operator="equal" allowBlank="1" showErrorMessage="1" errorTitle="Не нужно менять минимальное количество для заказа:" error="минимальное количество для заказа = 3" sqref="J58 J64 J97 J142 J224 J252 J353 J403 J567 J624 J741 J750 J804 J931 J943 J975 J989 J1026 J1031 J1036 J1050 J1072 J1083 J1085 J1098 J1138 J1157 J1159 J1345 J1353 J1389 J1391 J1415 J1420 J1496 J1537 J1591 J1613 J1622 J1627 J1632 J1649 J1652 J1707 J1720 J2211 J2220 J2248 J2267 J2269 J2604 J2906 J2908 J2941 J2956 J2983 J2987 J2991 J2996 J3051 J3112 J3132 J3172 J3207 J3369 J3398 J3419 J3475 J3585 J3595 J3597 J3759 J3761 J3803 J3843 J3867 J3962 J4512 J4514 J4519 J4552 J4686 J4721 J4752 J4759 J4761 J4773 J4804 J4815 J4824 J4842 J4844 J4854 J4856 J4867 J4878 J5204 J5216 J5225 J5227 J5243 J46:J48 J138:J139 J434:J435 J657:J660 J668:J670 J743:J744 J833:J837 J880:J883 J913:J914 J977:J978 J996:J997 J1000:J1001 J1005:J1006 J1021:J1022 J1077:J1080 J1135:J1136 J1151:J1154 J1307:J1308 J1311:J1319 J1340:J1343 J1347:J1349 J1423:J1428 J1552:J1553 J1737:J1738 J2232:J2237 J2245:J2246 J2250:J2251 J2261:J2262 J2910:J2916 J2918:J2919 J2938:J2939 J2943:J2944 J2947:J2950 J3047:J3048 J3143:J3147 J3149:J3153 J3165:J3170 J3181:J3185 J3219:J3228 J3281:J3283 J3288:J3289 J3400:J3405 J3600:J3601 J3721:J3722 J3796:J3798 J3800:J3801 J3806:J3819 J3821:J3823 J3840:J3841 J4403:J4419 J4516:J4517 J4756:J4757 J4776:J4777 J4787:J4788 J4799:J4800 J4806:J4807 J4810:J4811 J5218:J5219">
      <formula1>3</formula1>
    </dataValidation>
    <dataValidation type="decimal" allowBlank="1" showErrorMessage="1" errorTitle="Неверно указано Количество" error="минимальное количество для заказа = 3" sqref="L58">
      <formula1>3</formula1>
      <formula2>28</formula2>
    </dataValidation>
    <dataValidation type="decimal" allowBlank="1" showErrorMessage="1" errorTitle="Неверно указано Количество" error="минимальное количество для заказа = 2" sqref="L60 L1163 L2714">
      <formula1>2</formula1>
      <formula2>165</formula2>
    </dataValidation>
    <dataValidation type="decimal" allowBlank="1" showErrorMessage="1" errorTitle="Неверно указано Количество" error="минимальное количество для заказа = 2" sqref="L61 L4427">
      <formula1>2</formula1>
      <formula2>257</formula2>
    </dataValidation>
    <dataValidation type="decimal" allowBlank="1" showErrorMessage="1" errorTitle="Неверно указано Количество" error="минимальное количество для заказа = 1" sqref="L62 L555 L558 L560 L597 L599 L617 L873 L906 L1213 L1280 L1509 L1518 L1708 L1848 L1944 L2032 L2053 L2082 L2087 L2091 L2093 L2222 L2718 L2898 L3100 L3103 L3195 L3304 L3311 L3317 L3326 L3381 L3390 L3493 L3496 L3508 L3512 L3517 L3527 L3538 L3548 L3567 L3670 L3728 L3733 L3742 L3748 L3775 L3790 L3887 L3903 L4460 L5208 L5280 L5283 L5289 L5291 L5297 L5307 L1533:L1534 L3385:L3386 L3464:L3465 L3531:L3533 L3632:L3633 L3854:L3856 L3906:L3908">
      <formula1>1</formula1>
      <formula2>2</formula2>
    </dataValidation>
    <dataValidation type="decimal" allowBlank="1" showErrorMessage="1" errorTitle="Неверно указано Количество" error="минимальное количество для заказа = 1" sqref="L63 L562 L605 L607 L616 L1335 L1497 L1742 L1956 L2054 L2698 L2710 L2734 L2758 L3280 L3365 L3734 L3825 L3927">
      <formula1>1</formula1>
      <formula2>7</formula2>
    </dataValidation>
    <dataValidation type="decimal" allowBlank="1" showErrorMessage="1" errorTitle="Неверно указано Количество" error="минимальное количество для заказа = 3" sqref="L64 L4552">
      <formula1>3</formula1>
      <formula2>16</formula2>
    </dataValidation>
    <dataValidation type="decimal" allowBlank="1" showErrorMessage="1" errorTitle="Неверно указано Количество" error="минимальное количество для заказа = 2" sqref="L66">
      <formula1>2</formula1>
      <formula2>351</formula2>
    </dataValidation>
    <dataValidation type="decimal" allowBlank="1" showErrorMessage="1" errorTitle="Неверно указано Количество" error="минимальное количество для заказа = 2" sqref="L67 L1040">
      <formula1>2</formula1>
      <formula2>490</formula2>
    </dataValidation>
    <dataValidation type="decimal" operator="greaterThanOrEqual" allowBlank="1" showErrorMessage="1" errorTitle="Нельзя заказать меньше чем :" error="минимальное количество для заказа = 1" sqref="L68 L74 L116 L153 L156 L159 L161 L164 L227 L255 L280 L284 L287 L298 L305 L315 L321 L330 L363 L382 L385 L406 L408 L412 L441 L450 L453 L462 L477 L479 L505 L538 L542 L561 L639 L682 L805 L965 L1019 L1028 L1033 L1089 L1119 L1184 L1259 L1272 L1328 L1430 L1470 L1481 L1484 L1519 L1624 L1750 L1775 L1783 L1795 L1819 L1863 L1865 L1867 L1891 L2019 L2061 L2192 L2205 L2264 L2672 L2900 L2933 L2937 L2972 L2976 L2978 L2995 L2998 L3088 L3096 L3240 L3321 L3359 L3408 L3428 L3474 L3480 L3710 L3799 L3820 L3875 L3877 L3885 L3954 L3957 L5131 L5144 L5148 L5156 L5159 L5176 L5190 L5292 L5301 L70:L71 L106:L107 L202:L203 L206:L207 L212:L213 L234:L236 L261:L262 L273:L274 L334:L341 L354:L355 L365:L369 L371:L372 L374:L376 L420:L425 L427:L431 L438:L439 L457:L460 L485:L486 L488:L490 L497:L498 L500:L502 L507:L508 L510:L514 L524:L525 L527:L535 L549:L552 L573:L574 L631:L632 L855:L858 L861:L863 L865:L867 L886:L888 L948:L949 L952:L954 L957:L960 L1128:L1130 L1175:L1176 L1256:L1257 L1265:L1268 L1493:L1495 L1512:L1513 L1777:L1780 L1790:L1791 L1830:L1831 L1886:L1887 L1973:L1977 L2058:L2059 L2063:L2067 L2069:L2070 L2806:L2809 L2812:L2814 L2816:L2818 L2820:L2822 L2824:L2826 L2829:L2831 L2833:L2835 L2837:L2839 L2841:L2843 L2846:L2848 L2850:L2852 L2855:L2856 L2859:L2861 L2863:L2865 L2867:L2869 L2878:L2880 L2930:L2931 L3155:L3157 L3196:L3198 L3306:L3307 L3313:L3316 L3334:L3337 L3339:L3340 L3342:L3344 L3346:L3349 L3393:L3394 L3571:L3572 L3576:L3577 L3712:L3719 L3880:L3881 L3889:L3891 L3894:L3895 L4872:L4873 L5183:L5185 L5271:L5274 L5277:L5278">
      <formula1>1</formula1>
    </dataValidation>
    <dataValidation type="decimal" operator="equal" allowBlank="1" showErrorMessage="1" errorTitle="Не нужно менять минимальное количество для заказа:" error="минимальное количество для заказа = 2" sqref="J69 J141 J222 J250 J270 J276 J301 J318 J350 J402 J440 J468 J556 J569 J619 J630 J687 J691 J760 J803 J870 J933 J935 J947 J950 J1007 J1009 J1020 J1027 J1032 J1051 J1090 J1104 J1120 J1137 J1158 J1249 J1273 J1306 J1327 J1354 J1357 J1387 J1395 J1492 J1541 J1570 J1612 J1615 J1623 J1625 J1665 J1723 J1725 J1736 J1752 J1984 J2011 J2013 J2075 J2089 J2092 J2150 J2191 J2216 J2265 J2299 J2654 J2714 J2753 J2760 J2907 J2909 J2917 J2932 J2935 J2940 J2942 J2945 J2953 J3063 J3077 J3122 J3239 J3279 J3370 J3375 J3399 J3411 J3415 J3423 J3473 J3541 J3543 J3589 J3596 J3711 J3802 J3910 J3913 J3946 J3959 J3961 J3963 J3965 J4511 J4551 J4588 J4619 J4683 J4726 J4728 J4737 J4743 J4747 J4751 J4758 J4762 J4778 J4780 J4802 J4845 J5205 J5245 J10:J13 J18:J19 J39:J44 J60:J61 J66:J67 J144:J148 J238:J239 J442:J444 J472:J475 J482:J484 J544:J546 J625:J626 J635:J636 J662:J665 J807:J811 J813:J816 J818:J831 J839:J846 J848:J853 J892:J895 J897:J899 J926:J927 J939:J940 J962:J963 J968:J969 J1003:J1004 J1012:J1018 J1023:J1025 J1029:J1030 J1034:J1035 J1037:J1038 J1040:J1049 J1073:J1075 J1141:J1144 J1146:J1149 J1162:J1165 J1168:J1171 J1178:J1181 J1187:J1188 J1190:J1193 J1204:J1207 J1215:J1218 J1221:J1224 J1226:J1229 J1232:J1234 J1237:J1240 J1243:J1246 J1251:J1254 J1261:J1263 J1270:J1271 J1276:J1279 J1282:J1285 J1288:J1291 J1294:J1296 J1299:J1301 J1321:J1324 J1351:J1352 J1398:J1406 J1457:J1463 J1538:J1539 J1617:J1619 J1628:J1629 J1633:J1634 J1704:J1706 J2077:J2081 J2083:J2085 J2165:J2171 J2173:J2176 J2178:J2182 J2184:J2186 J2227:J2230 J2656:J2667 J2755:J2757 J2904:J2905 J2926:J2929 J3015:J3017 J3187:J3188 J3208:J3209 J3230:J3233 J3235:J3237 J3241:J3249 J3285:J3287 J3290:J3294 J3296:J3299 J3324:J3325 J3476:J3477 J3482:J3486 J3489:J3490 J3574:J3575 J3578:J3579 J3608:J3609 J3615:J3619 J3621:J3624 J3865:J3866 J3929:J3935 J3948:J3949 J3955:J3956 J4423:J4430 J4609:J4616 J4715:J4718 J4769:J4770 J4808:J4809 J4813:J4814">
      <formula1>2</formula1>
    </dataValidation>
    <dataValidation type="decimal" allowBlank="1" showErrorMessage="1" errorTitle="Неверно указано Количество" error="минимальное количество для заказа = 2" sqref="L69 L2663">
      <formula1>2</formula1>
      <formula2>283</formula2>
    </dataValidation>
    <dataValidation type="decimal" allowBlank="1" showErrorMessage="1" errorTitle="Неверно указано Количество" error="минимальное количество для заказа = 5" sqref="L77">
      <formula1>5</formula1>
      <formula2>179</formula2>
    </dataValidation>
    <dataValidation type="decimal" operator="equal" allowBlank="1" showErrorMessage="1" errorTitle="Не нужно менять минимальное количество для заказа:" error="минимальное количество для заказа = 10" sqref="J79 J167 J404 J875 J910 J912 J1058 J1092 J1094 J1417 J1563 J1565 J1567 J1569 J1581 J1639 J1648 J1653 J1656 J1669 J2188 J2213 J2247 J2249 J2783 J2786 J2946 J3005 J3210 J4386 J4388 J4587 J4589 J4655 J4666 J4731 J4793 J4795 J4866 J4869 J4925 J5088 J82:J95 J124:J128 J654:J655 J915:J916 J1061:J1062 J1100:J1102 J1555:J1560 J1572:J1573 J1583:J1585 J1643:J1644 J1658:J1659 J1671:J1676 J1678:J1679 J1682:J1684 J1686:J1688 J2795:J2801 J3019:J3020 J3038:J3040 J3042:J3044 J4378:J4384 J4504:J4508 J4567:J4574 J4599:J4607 J4660:J4664 J4669:J4681 J4701:J4704 J4789:J4791 J4820:J4823 J4846:J4849 J4851:J4852 J4862:J4863 J5009:J5010 J5076:J5086 J5090:J5099">
      <formula1>10</formula1>
    </dataValidation>
    <dataValidation type="decimal" operator="greaterThanOrEqual" allowBlank="1" showErrorMessage="1" errorTitle="Нельзя заказать меньше чем :" error="минимальное количество для заказа = 10" sqref="L79 L90 L94 L167 L404 L654 L875 L1058 L1061 L1417 L1565 L1567 L1569 L1581 L1639 L1648 L1653 L1656 L1669 L1671 L1679 L1682 L2213 L3038 L3210 L4383 L4587 L4599 L4601 L4603 L4605 L4607 L4655 L4666 L4669 L4731 L4789 L4791 L4793 L4866 L4869 L5086 L5091 L5096 L5098 L1555:L1560 L1572:L1573 L1583:L1585 L1643:L1644 L1658:L1659 L1674:L1676 L1687:L1688 L2795:L2801 L4507:L4508 L4660:L4664 L4671:L4672 L4674:L4681 L4702:L4704 L4820:L4823 L4846:L4849 L4851:L4852 L4862:L4863">
      <formula1>10</formula1>
    </dataValidation>
    <dataValidation type="decimal" operator="equal" allowBlank="1" showErrorMessage="1" errorTitle="Не нужно менять минимальное количество для заказа:" error="минимальное количество для заказа = 18" sqref="J81 J646:J648">
      <formula1>18</formula1>
    </dataValidation>
    <dataValidation type="decimal" operator="greaterThanOrEqual" allowBlank="1" showErrorMessage="1" errorTitle="Нельзя заказать меньше чем :" error="минимальное количество для заказа = 18" sqref="L81 L646:L648">
      <formula1>18</formula1>
    </dataValidation>
    <dataValidation type="decimal" allowBlank="1" showErrorMessage="1" errorTitle="Неверно указано Количество" error="минимальное количество для заказа = 10" sqref="L82">
      <formula1>10</formula1>
      <formula2>411</formula2>
    </dataValidation>
    <dataValidation type="decimal" allowBlank="1" showErrorMessage="1" errorTitle="Неверно указано Количество" error="минимальное количество для заказа = 10" sqref="L83">
      <formula1>10</formula1>
      <formula2>99</formula2>
    </dataValidation>
    <dataValidation type="decimal" allowBlank="1" showErrorMessage="1" errorTitle="Неверно указано Количество" error="минимальное количество для заказа = 10" sqref="L84">
      <formula1>10</formula1>
      <formula2>115</formula2>
    </dataValidation>
    <dataValidation type="decimal" allowBlank="1" showErrorMessage="1" errorTitle="Неверно указано Количество" error="минимальное количество для заказа = 10" sqref="L85">
      <formula1>10</formula1>
      <formula2>276</formula2>
    </dataValidation>
    <dataValidation type="decimal" allowBlank="1" showErrorMessage="1" errorTitle="Неверно указано Количество" error="минимальное количество для заказа = 10" sqref="L86">
      <formula1>10</formula1>
      <formula2>108</formula2>
    </dataValidation>
    <dataValidation type="decimal" allowBlank="1" showErrorMessage="1" errorTitle="Неверно указано Количество" error="минимальное количество для заказа = 10" sqref="L87">
      <formula1>10</formula1>
      <formula2>101</formula2>
    </dataValidation>
    <dataValidation type="decimal" allowBlank="1" showErrorMessage="1" errorTitle="Неверно указано Количество" error="минимальное количество для заказа = 10" sqref="L88">
      <formula1>10</formula1>
      <formula2>391</formula2>
    </dataValidation>
    <dataValidation type="decimal" allowBlank="1" showErrorMessage="1" errorTitle="Неверно указано Количество" error="минимальное количество для заказа = 10" sqref="L89">
      <formula1>10</formula1>
      <formula2>182</formula2>
    </dataValidation>
    <dataValidation type="decimal" allowBlank="1" showErrorMessage="1" errorTitle="Неверно указано Количество" error="минимальное количество для заказа = 10" sqref="L91">
      <formula1>10</formula1>
      <formula2>185</formula2>
    </dataValidation>
    <dataValidation type="decimal" allowBlank="1" showErrorMessage="1" errorTitle="Неверно указано Количество" error="минимальное количество для заказа = 10" sqref="L92 L4573">
      <formula1>10</formula1>
      <formula2>408</formula2>
    </dataValidation>
    <dataValidation type="decimal" allowBlank="1" showErrorMessage="1" errorTitle="Неверно указано Количество" error="минимальное количество для заказа = 10" sqref="L93">
      <formula1>10</formula1>
      <formula2>356</formula2>
    </dataValidation>
    <dataValidation type="decimal" allowBlank="1" showErrorMessage="1" errorTitle="Неверно указано Количество" error="минимальное количество для заказа = 10" sqref="L95">
      <formula1>10</formula1>
      <formula2>106</formula2>
    </dataValidation>
    <dataValidation type="decimal" operator="greaterThanOrEqual" allowBlank="1" showErrorMessage="1" errorTitle="Нельзя заказать меньше чем :" error="минимальное количество для заказа = 3" sqref="L97 L142 L224 L252 L353 L403 L744 L834 L943 L1021 L1031 L1072 L1083 L1085 L1307 L1340 L1426 L1537 L1552 L1591 L1622 L1632 L1652 L2220 L2246 L2248 L2604 L2938 L2947 L2950 L2956 L2983 L2987 L2991 L2996 L3172 L3219 L3224 L3398 L3419 L3475 L3803 L4413 L4757 L4759 L4804 L4806 L4811 L4842 L4844 L4854 L4856 L5204 L5225 L5227 L5243 L46:L48 L657:L660 L836:L837 L881:L883 L1005:L1006 L1312:L1313 L1316:L1317 L1347:L1349 L2250:L2251 L2261:L2262 L2943:L2944 L3047:L3048 L3143:L3147 L3149:L3153 L3165:L3170 L3221:L3222 L3227:L3228 L3282:L3283 L3400:L3405 L3796:L3798 L3800:L3801 L3806:L3810 L3814:L3818 L3821:L3822 L4403:L4411 L4415:L4419 L4799:L4800 L5218:L5219">
      <formula1>3</formula1>
    </dataValidation>
    <dataValidation type="decimal" allowBlank="1" showErrorMessage="1" errorTitle="Неверно указано Количество" error="минимальное количество для заказа = 6" sqref="L117">
      <formula1>6</formula1>
      <formula2>277</formula2>
    </dataValidation>
    <dataValidation type="decimal" allowBlank="1" showErrorMessage="1" errorTitle="Неверно указано Количество" error="минимальное количество для заказа = 6" sqref="L118">
      <formula1>6</formula1>
      <formula2>42</formula2>
    </dataValidation>
    <dataValidation type="decimal" allowBlank="1" showErrorMessage="1" errorTitle="Неверно указано Количество" error="минимальное количество для заказа = 6" sqref="L119">
      <formula1>6</formula1>
      <formula2>30</formula2>
    </dataValidation>
    <dataValidation type="decimal" allowBlank="1" showErrorMessage="1" errorTitle="Неверно указано Количество" error="минимальное количество для заказа = 6" sqref="L120">
      <formula1>6</formula1>
      <formula2>437</formula2>
    </dataValidation>
    <dataValidation type="decimal" allowBlank="1" showErrorMessage="1" errorTitle="Неверно указано Количество" error="минимальное количество для заказа = 6" sqref="L121">
      <formula1>6</formula1>
      <formula2>79</formula2>
    </dataValidation>
    <dataValidation type="decimal" allowBlank="1" showErrorMessage="1" errorTitle="Неверно указано Количество" error="минимальное количество для заказа = 6" sqref="L122">
      <formula1>6</formula1>
      <formula2>125</formula2>
    </dataValidation>
    <dataValidation type="decimal" allowBlank="1" showErrorMessage="1" errorTitle="Неверно указано Количество" error="минимальное количество для заказа = 10" sqref="L124">
      <formula1>10</formula1>
      <formula2>50</formula2>
    </dataValidation>
    <dataValidation type="decimal" allowBlank="1" showErrorMessage="1" errorTitle="Неверно указано Количество" error="минимальное количество для заказа = 10" sqref="L125">
      <formula1>10</formula1>
      <formula2>65</formula2>
    </dataValidation>
    <dataValidation type="decimal" allowBlank="1" showErrorMessage="1" errorTitle="Неверно указано Количество" error="минимальное количество для заказа = 10" sqref="L126">
      <formula1>10</formula1>
      <formula2>308</formula2>
    </dataValidation>
    <dataValidation type="decimal" allowBlank="1" showErrorMessage="1" errorTitle="Неверно указано Количество" error="минимальное количество для заказа = 10" sqref="L127">
      <formula1>10</formula1>
      <formula2>189</formula2>
    </dataValidation>
    <dataValidation type="decimal" allowBlank="1" showErrorMessage="1" errorTitle="Неверно указано Количество" error="минимальное количество для заказа = 10" sqref="L128">
      <formula1>10</formula1>
      <formula2>129</formula2>
    </dataValidation>
    <dataValidation type="decimal" allowBlank="1" showErrorMessage="1" errorTitle="Неверно указано Количество" error="минимальное количество для заказа = 5" sqref="L130 L928">
      <formula1>5</formula1>
      <formula2>150</formula2>
    </dataValidation>
    <dataValidation type="decimal" allowBlank="1" showErrorMessage="1" errorTitle="Неверно указано Количество" error="минимальное количество для заказа = 5" sqref="L131">
      <formula1>5</formula1>
      <formula2>103</formula2>
    </dataValidation>
    <dataValidation type="decimal" allowBlank="1" showErrorMessage="1" errorTitle="Неверно указано Количество" error="минимальное количество для заказа = 5" sqref="L132 L134">
      <formula1>5</formula1>
      <formula2>142</formula2>
    </dataValidation>
    <dataValidation type="decimal" allowBlank="1" showErrorMessage="1" errorTitle="Неверно указано Количество" error="минимальное количество для заказа = 5" sqref="L133">
      <formula1>5</formula1>
      <formula2>155</formula2>
    </dataValidation>
    <dataValidation type="decimal" allowBlank="1" showErrorMessage="1" errorTitle="Неверно указано Количество" error="минимальное количество для заказа = 5" sqref="L135">
      <formula1>5</formula1>
      <formula2>58</formula2>
    </dataValidation>
    <dataValidation type="decimal" allowBlank="1" showErrorMessage="1" errorTitle="Неверно указано Количество" error="минимальное количество для заказа = 5" sqref="L136 L416">
      <formula1>5</formula1>
      <formula2>122</formula2>
    </dataValidation>
    <dataValidation type="decimal" allowBlank="1" showErrorMessage="1" errorTitle="Неверно указано Количество" error="минимальное количество для заказа = 5" sqref="L137">
      <formula1>5</formula1>
      <formula2>83</formula2>
    </dataValidation>
    <dataValidation type="decimal" allowBlank="1" showErrorMessage="1" errorTitle="Неверно указано Количество" error="минимальное количество для заказа = 3" sqref="L138">
      <formula1>3</formula1>
      <formula2>43</formula2>
    </dataValidation>
    <dataValidation type="decimal" allowBlank="1" showErrorMessage="1" errorTitle="Неверно указано Количество" error="минимальное количество для заказа = 3" sqref="L139 L1649 L2918">
      <formula1>3</formula1>
      <formula2>254</formula2>
    </dataValidation>
    <dataValidation type="decimal" allowBlank="1" showErrorMessage="1" errorTitle="Неверно указано Количество" error="минимальное количество для заказа = 2" sqref="L141">
      <formula1>2</formula1>
      <formula2>267</formula2>
    </dataValidation>
    <dataValidation type="decimal" allowBlank="1" showErrorMessage="1" errorTitle="Неверно указано Количество" error="минимальное количество для заказа = 2" sqref="L144 L814 L818 L1009 L1073 L1192 L2757 L4769:L4770">
      <formula1>2</formula1>
      <formula2>6</formula2>
    </dataValidation>
    <dataValidation type="decimal" allowBlank="1" showErrorMessage="1" errorTitle="Неверно указано Количество" error="минимальное количество для заказа = 2" sqref="L145">
      <formula1>2</formula1>
      <formula2>428</formula2>
    </dataValidation>
    <dataValidation type="decimal" allowBlank="1" showErrorMessage="1" errorTitle="Неверно указано Количество" error="минимальное количество для заказа = 2" sqref="L146">
      <formula1>2</formula1>
      <formula2>281</formula2>
    </dataValidation>
    <dataValidation type="decimal" allowBlank="1" showErrorMessage="1" errorTitle="Неверно указано Количество" error="минимальное количество для заказа = 2" sqref="L147">
      <formula1>2</formula1>
      <formula2>363</formula2>
    </dataValidation>
    <dataValidation type="decimal" allowBlank="1" showErrorMessage="1" errorTitle="Неверно указано Количество" error="минимальное количество для заказа = 1" sqref="L150 L1875">
      <formula1>1</formula1>
      <formula2>157</formula2>
    </dataValidation>
    <dataValidation type="decimal" allowBlank="1" showErrorMessage="1" errorTitle="Неверно указано Количество" error="минимальное количество для заказа = 1" sqref="L154 L1702 L1878">
      <formula1>1</formula1>
      <formula2>183</formula2>
    </dataValidation>
    <dataValidation type="decimal" allowBlank="1" showErrorMessage="1" errorTitle="Неверно указано Количество" error="минимальное количество для заказа = 1" sqref="L155 L790 L1444 L1516">
      <formula1>1</formula1>
      <formula2>276</formula2>
    </dataValidation>
    <dataValidation type="decimal" allowBlank="1" showErrorMessage="1" errorTitle="Неверно указано Количество" error="минимальное количество для заказа = 1" sqref="L158 L1667 L1857 L5282">
      <formula1>1</formula1>
      <formula2>453</formula2>
    </dataValidation>
    <dataValidation type="decimal" allowBlank="1" showErrorMessage="1" errorTitle="Неверно указано Количество" error="минимальное количество для заказа = 1" sqref="L160 L683">
      <formula1>1</formula1>
      <formula2>479</formula2>
    </dataValidation>
    <dataValidation type="decimal" allowBlank="1" showErrorMessage="1" errorTitle="Неверно указано Количество" error="минимальное количество для заказа = 1" sqref="L162 L1523">
      <formula1>1</formula1>
      <formula2>222</formula2>
    </dataValidation>
    <dataValidation type="decimal" allowBlank="1" showErrorMessage="1" errorTitle="Неверно указано Количество" error="минимальное количество для заказа = 1" sqref="L163 L1776">
      <formula1>1</formula1>
      <formula2>376</formula2>
    </dataValidation>
    <dataValidation type="decimal" allowBlank="1" showErrorMessage="1" errorTitle="Неверно указано Количество" error="минимальное количество для заказа = 12" sqref="L171 L2387 L2538">
      <formula1>12</formula1>
      <formula2>84</formula2>
    </dataValidation>
    <dataValidation type="decimal" allowBlank="1" showErrorMessage="1" errorTitle="Неверно указано Количество" error="минимальное количество для заказа = 12" sqref="L173 L2331 L2414 L2424 L4070">
      <formula1>12</formula1>
      <formula2>132</formula2>
    </dataValidation>
    <dataValidation type="decimal" allowBlank="1" showErrorMessage="1" errorTitle="Неверно указано Количество" error="минимальное количество для заказа = 12" sqref="L176">
      <formula1>12</formula1>
      <formula2>396</formula2>
    </dataValidation>
    <dataValidation type="decimal" allowBlank="1" showErrorMessage="1" errorTitle="Неверно указано Количество" error="минимальное количество для заказа = 50" sqref="L182 L4352">
      <formula1>50</formula1>
      <formula2>200</formula2>
    </dataValidation>
    <dataValidation type="decimal" allowBlank="1" showErrorMessage="1" errorTitle="Неверно указано Количество" error="минимальное количество для заказа = 50" sqref="L183 L186 L4323 L4350">
      <formula1>50</formula1>
      <formula2>50</formula2>
    </dataValidation>
    <dataValidation type="decimal" operator="equal" allowBlank="1" showErrorMessage="1" errorTitle="Не нужно менять минимальное количество для заказа:" error="минимальное количество для заказа = 100" sqref="J184 J2612 J2614 J2966 J4280 J2607:J2609 J4254:J4255 J4257:J4263 J4265:J4269 J4271:J4273 J4275:J4277 J4497:J4498 J4827:J4838">
      <formula1>100</formula1>
    </dataValidation>
    <dataValidation type="decimal" operator="greaterThanOrEqual" allowBlank="1" showErrorMessage="1" errorTitle="Нельзя заказать меньше чем :" error="минимальное количество для заказа = 100" sqref="L184 L2607 L2609 L2612 L2614 L2966 L4280 L4254:L4255 L4257:L4263 L4265:L4269 L4271:L4273 L4275:L4277 L4497:L4498 L4827:L4832 L4834:L4838">
      <formula1>100</formula1>
    </dataValidation>
    <dataValidation type="decimal" operator="equal" allowBlank="1" showErrorMessage="1" errorTitle="Не нужно менять минимальное количество для заказа:" error="минимальное количество для заказа = 50" sqref="J186 J191 J2622 J2625 J2627 J2644 J4299 J4325 J4328 J4347 J4369 J4371 J4373 J4375 J4393 J182:J183 J2616:J2620 J2637:J2638 J2641:J2642 J2684:J2686 J2957:J2958 J2963:J2964 J4290:J4291 J4295:J4296 J4303:J4323 J4334:J4339 J4341:J4345 J4350:J4353 J4355:J4359 J4361:J4363 J4437:J4439 J4893:J4898">
      <formula1>50</formula1>
    </dataValidation>
    <dataValidation type="decimal" allowBlank="1" showErrorMessage="1" errorTitle="Неверно указано Количество" error="минимальное количество для заказа = 1" sqref="L188 L566 L575 L594 L609 L611 L653 L742 L781 L885 L1060 L1186 L1367 L1465 L1487 L1637 L1713 L1722 L1797 L1812 L1854 L2001 L2012 L2015 L2033 L2050 L2074 L2094 L2160 L2177 L2210 L2280 L2655 L2728 L2754 L2759 L2885 L2903 L3014 L3098 L3116 L3129 L3257 L3259 L3270 L3278 L3284 L3323 L3371 L3389 L3396 L3433 L3466 L3495 L3497 L3502 L3504 L3509 L3525 L3528 L3534 L3537 L3542 L3550 L3552 L3554 L3620 L3634 L3655 L3663 L3672 L3691 L3752 L3760 L3762 L3771 L3805 L3838 L3846 L3924 L3926 L3928 L4444 L4485 L4513 L4515 L4518 L4564 L4595 L4798 L5107 L5121 L5154 L5187 L5197 L5241 L5257 L5276 L5279 L5284 L5296 L5299 L1476:L1477 L1507:L1508 L1985:L1986 L2887:L2888 L3061:L3062 L3120:L3121 L3378:L3380 L3460:L3462 L3521:L3522 L3544:L3546 L3738:L3739 L3779:L3780 L3787:L3788 L3852:L3853 L3862:L3863 L4646:L4647">
      <formula1>1</formula1>
      <formula2>1</formula2>
    </dataValidation>
    <dataValidation type="decimal" allowBlank="1" showErrorMessage="1" errorTitle="Неверно указано Количество" error="минимальное количество для заказа = 1" sqref="L189 L1485">
      <formula1>1</formula1>
      <formula2>142</formula2>
    </dataValidation>
    <dataValidation type="decimal" operator="greaterThanOrEqual" allowBlank="1" showErrorMessage="1" errorTitle="Нельзя заказать меньше чем :" error="минимальное количество для заказа = 50" sqref="L191 L2622 L2625 L2627 L2637 L2644 L4290 L4304 L4328 L4339 L4341 L4347 L4351 L4353 L4357 L4359 L4361 L4371 L4375 L2617:L2620 L2641:L2642 L2684:L2685 L2957:L2958 L2963:L2964 L4295:L4296 L4306:L4314 L4317:L4318 L4320:L4322 L4334:L4336 L4343:L4345 L4437:L4439 L4893:L4898">
      <formula1>50</formula1>
    </dataValidation>
    <dataValidation type="decimal" allowBlank="1" showErrorMessage="1" errorTitle="Неверно указано Количество" error="минимальное количество для заказа = 1" sqref="L192 L540 L3434">
      <formula1>1</formula1>
      <formula2>297</formula2>
    </dataValidation>
    <dataValidation type="decimal" allowBlank="1" showErrorMessage="1" errorTitle="Неверно указано Количество" error="минимальное количество для заказа = 1" sqref="L200 L1360">
      <formula1>1</formula1>
      <formula2>81</formula2>
    </dataValidation>
    <dataValidation type="decimal" allowBlank="1" showErrorMessage="1" errorTitle="Неверно указано Количество" error="минимальное количество для заказа = 1" sqref="L204 L942 L1362 L3453">
      <formula1>1</formula1>
      <formula2>82</formula2>
    </dataValidation>
    <dataValidation type="decimal" allowBlank="1" showErrorMessage="1" errorTitle="Неверно указано Количество" error="минимальное количество для заказа = 1" sqref="L211 L509 L3424 L5267">
      <formula1>1</formula1>
      <formula2>329</formula2>
    </dataValidation>
    <dataValidation type="decimal" allowBlank="1" showErrorMessage="1" errorTitle="Неверно указано Количество" error="минимальное количество для заказа = 12" sqref="L218">
      <formula1>12</formula1>
      <formula2>299</formula2>
    </dataValidation>
    <dataValidation type="decimal" allowBlank="1" showErrorMessage="1" errorTitle="Неверно указано Количество" error="минимальное количество для заказа = 12" sqref="L219">
      <formula1>12</formula1>
      <formula2>253</formula2>
    </dataValidation>
    <dataValidation type="decimal" operator="equal" allowBlank="1" showErrorMessage="1" errorTitle="Не нужно менять минимальное количество для заказа:" error="минимальное количество для заказа = 7" sqref="J228 J230 J256 J627 J759 J938 J985 J1067 J1546 J3023 J4533 J4549 J4724 J5111 J51:J52 J293:J296 J308:J313 J323:J328 J356:J361 J386:J388 J4694:J4696">
      <formula1>7</formula1>
    </dataValidation>
    <dataValidation type="decimal" allowBlank="1" showErrorMessage="1" errorTitle="Неверно указано Количество" error="минимальное количество для заказа = 7" sqref="L228 L230">
      <formula1>7</formula1>
      <formula2>20</formula2>
    </dataValidation>
    <dataValidation type="decimal" allowBlank="1" showErrorMessage="1" errorTitle="Неверно указано Количество" error="минимальное количество для заказа = 4" sqref="L229 L2138 L2305">
      <formula1>4</formula1>
      <formula2>10</formula2>
    </dataValidation>
    <dataValidation type="decimal" allowBlank="1" showErrorMessage="1" errorTitle="Неверно указано Количество" error="минимальное количество для заказа = 1" sqref="L232">
      <formula1>1</formula1>
      <formula2>224</formula2>
    </dataValidation>
    <dataValidation type="decimal" allowBlank="1" showErrorMessage="1" errorTitle="Неверно указано Количество" error="минимальное количество для заказа = 2" sqref="L238">
      <formula1>2</formula1>
      <formula2>230</formula2>
    </dataValidation>
    <dataValidation type="decimal" allowBlank="1" showErrorMessage="1" errorTitle="Неверно указано Количество" error="минимальное количество для заказа = 2" sqref="L239">
      <formula1>2</formula1>
      <formula2>152</formula2>
    </dataValidation>
    <dataValidation type="decimal" allowBlank="1" showErrorMessage="1" errorTitle="Неверно указано Количество" error="минимальное количество для заказа = 1" sqref="L241">
      <formula1>1</formula1>
      <formula2>361</formula2>
    </dataValidation>
    <dataValidation type="decimal" allowBlank="1" showErrorMessage="1" errorTitle="Неверно указано Количество" error="минимальное количество для заказа = 4" sqref="L247">
      <formula1>4</formula1>
      <formula2>79</formula2>
    </dataValidation>
    <dataValidation type="decimal" allowBlank="1" showErrorMessage="1" errorTitle="Неверно указано Количество" error="минимальное количество для заказа = 2" sqref="L250">
      <formula1>2</formula1>
      <formula2>371</formula2>
    </dataValidation>
    <dataValidation type="decimal" operator="greaterThanOrEqual" allowBlank="1" showErrorMessage="1" errorTitle="Нельзя заказать меньше чем :" error="минимальное количество для заказа = 7" sqref="L256 L309 L938 L1546 L4533 L4549 L51:L52 L293:L296 L312:L313 L323:L327 L356:L361 L386:L387 L4695:L4696">
      <formula1>7</formula1>
    </dataValidation>
    <dataValidation type="decimal" allowBlank="1" showErrorMessage="1" errorTitle="Неверно указано Количество" error="минимальное количество для заказа = 1" sqref="L258 L4742">
      <formula1>1</formula1>
      <formula2>294</formula2>
    </dataValidation>
    <dataValidation type="decimal" allowBlank="1" showErrorMessage="1" errorTitle="Неверно указано Количество" error="минимальное количество для заказа = 1" sqref="L260 L537 L1377 L3252 L3451 L3794 L3831 L5130">
      <formula1>1</formula1>
      <formula2>160</formula2>
    </dataValidation>
    <dataValidation type="decimal" allowBlank="1" showErrorMessage="1" errorTitle="Неверно указано Количество" error="минимальное количество для заказа = 1" sqref="L263 L1194 L1369 L1905 L3234 L3432 L3563 L3772">
      <formula1>1</formula1>
      <formula2>109</formula2>
    </dataValidation>
    <dataValidation type="decimal" allowBlank="1" showErrorMessage="1" errorTitle="Неверно указано Количество" error="минимальное количество для заказа = 1" sqref="L265 L476 L481 L519 L564 L579 L584 L592 L608 L1361 L1363 L1531 L1703 L1971 L1981 L2002 L3057 L3102 L3124 L3126 L3271 L3467 L3500 L3510 L3514 L3526 L3549 L3559 L3627 L3636 L3638 L3702 L3740 L3757 L3764 L3848 L3850 L3857 L3872 L3952 L4455 L5209 L5212 L5253 L5290 L3261:L3263 L3267:L3268 L3630:L3631">
      <formula1>1</formula1>
      <formula2>4</formula2>
    </dataValidation>
    <dataValidation type="decimal" allowBlank="1" showErrorMessage="1" errorTitle="Неверно указано Количество" error="минимальное количество для заказа = 1" sqref="L267 L1467 L1714 L2731 L2890">
      <formula1>1</formula1>
      <formula2>29</formula2>
    </dataValidation>
    <dataValidation type="decimal" allowBlank="1" showErrorMessage="1" errorTitle="Неверно указано Количество" error="минимальное количество для заказа = 2" sqref="L276">
      <formula1>2</formula1>
      <formula2>229</formula2>
    </dataValidation>
    <dataValidation type="decimal" allowBlank="1" showErrorMessage="1" errorTitle="Неверно указано Количество" error="минимальное количество для заказа = 1" sqref="L282 L868">
      <formula1>1</formula1>
      <formula2>445</formula2>
    </dataValidation>
    <dataValidation type="decimal" allowBlank="1" showErrorMessage="1" errorTitle="Неверно указано Количество" error="минимальное количество для заказа = 1" sqref="L283">
      <formula1>1</formula1>
      <formula2>425</formula2>
    </dataValidation>
    <dataValidation type="decimal" allowBlank="1" showErrorMessage="1" errorTitle="Неверно указано Количество" error="минимальное количество для заказа = 1" sqref="L291">
      <formula1>1</formula1>
      <formula2>406</formula2>
    </dataValidation>
    <dataValidation type="decimal" allowBlank="1" showErrorMessage="1" errorTitle="Неверно указано Количество" error="минимальное количество для заказа = 1" sqref="L292 L1700 L1907 L3202 L3701 L4874 L5232">
      <formula1>1</formula1>
      <formula2>114</formula2>
    </dataValidation>
    <dataValidation type="decimal" allowBlank="1" showErrorMessage="1" errorTitle="Неверно указано Количество" error="минимальное количество для заказа = 1" sqref="L307 L2068 L3416 L3731 L3735 L3747">
      <formula1>1</formula1>
      <formula2>287</formula2>
    </dataValidation>
    <dataValidation type="decimal" allowBlank="1" showErrorMessage="1" errorTitle="Неверно указано Количество" error="минимальное количество для заказа = 7" sqref="L308">
      <formula1>7</formula1>
      <formula2>453</formula2>
    </dataValidation>
    <dataValidation type="decimal" allowBlank="1" showErrorMessage="1" errorTitle="Неверно указано Количество" error="минимальное количество для заказа = 7" sqref="L310">
      <formula1>7</formula1>
      <formula2>483</formula2>
    </dataValidation>
    <dataValidation type="decimal" allowBlank="1" showErrorMessage="1" errorTitle="Неверно указано Количество" error="минимальное количество для заказа = 7" sqref="L311">
      <formula1>7</formula1>
      <formula2>464</formula2>
    </dataValidation>
    <dataValidation type="decimal" allowBlank="1" showErrorMessage="1" errorTitle="Неверно указано Количество" error="минимальное количество для заказа = 1" sqref="L322 L1201">
      <formula1>1</formula1>
      <formula2>355</formula2>
    </dataValidation>
    <dataValidation type="decimal" allowBlank="1" showErrorMessage="1" errorTitle="Неверно указано Количество" error="минимальное количество для заказа = 7" sqref="L328">
      <formula1>7</formula1>
      <formula2>131</formula2>
    </dataValidation>
    <dataValidation type="decimal" allowBlank="1" showErrorMessage="1" errorTitle="Неверно указано Количество" error="минимальное количество для заказа = 1" sqref="L384">
      <formula1>1</formula1>
      <formula2>245</formula2>
    </dataValidation>
    <dataValidation type="decimal" allowBlank="1" showErrorMessage="1" errorTitle="Неверно указано Количество" error="минимальное количество для заказа = 7" sqref="L388">
      <formula1>7</formula1>
      <formula2>382</formula2>
    </dataValidation>
    <dataValidation type="decimal" operator="equal" allowBlank="1" showErrorMessage="1" errorTitle="Не нужно менять минимальное количество для заказа:" error="минимальное количество для заказа = 24" sqref="J392 J2288 J2352 J2423 J2435 J2448 J2492 J2494 J4064 J4072 J4250 J2283:J2286 J2338:J2341 J2355:J2357 J2419:J2420 J2430:J2433 J2521:J2525 J2530:J2531 J3052:J3054 J4091:J4092 J4105:J4107 J4529:J4530 J4635:J4641">
      <formula1>24</formula1>
    </dataValidation>
    <dataValidation type="decimal" allowBlank="1" showErrorMessage="1" errorTitle="Неверно указано Количество" error="минимальное количество для заказа = 24" sqref="L392">
      <formula1>24</formula1>
      <formula2>52</formula2>
    </dataValidation>
    <dataValidation type="decimal" allowBlank="1" showErrorMessage="1" errorTitle="Неверно указано Количество" error="минимальное количество для заказа = 4" sqref="L395">
      <formula1>4</formula1>
      <formula2>177</formula2>
    </dataValidation>
    <dataValidation type="decimal" operator="equal" allowBlank="1" showErrorMessage="1" errorTitle="Не нужно менять минимальное количество для заказа:" error="минимальное количество для заказа = 8" sqref="J399 J941 J4749">
      <formula1>8</formula1>
    </dataValidation>
    <dataValidation type="decimal" allowBlank="1" showErrorMessage="1" errorTitle="Неверно указано Количество" error="минимальное количество для заказа = 8" sqref="L399">
      <formula1>8</formula1>
      <formula2>62</formula2>
    </dataValidation>
    <dataValidation type="decimal" allowBlank="1" showErrorMessage="1" errorTitle="Неверно указано Количество" error="минимальное количество для заказа = 12" sqref="L400">
      <formula1>12</formula1>
      <formula2>274</formula2>
    </dataValidation>
    <dataValidation type="decimal" allowBlank="1" showErrorMessage="1" errorTitle="Неверно указано Количество" error="минимальное количество для заказа = 1" sqref="L407 L3656">
      <formula1>1</formula1>
      <formula2>493</formula2>
    </dataValidation>
    <dataValidation type="decimal" allowBlank="1" showErrorMessage="1" errorTitle="Неверно указано Количество" error="минимальное количество для заказа = 5" sqref="L414">
      <formula1>5</formula1>
      <formula2>469</formula2>
    </dataValidation>
    <dataValidation type="decimal" allowBlank="1" showErrorMessage="1" errorTitle="Неверно указано Количество" error="минимальное количество для заказа = 5" sqref="L415">
      <formula1>5</formula1>
      <formula2>490</formula2>
    </dataValidation>
    <dataValidation type="decimal" allowBlank="1" showErrorMessage="1" errorTitle="Неверно указано Количество" error="минимальное количество для заказа = 5" sqref="L417">
      <formula1>5</formula1>
      <formula2>91</formula2>
    </dataValidation>
    <dataValidation type="decimal" allowBlank="1" showErrorMessage="1" errorTitle="Неверно указано Количество" error="минимальное количество для заказа = 3" sqref="L434">
      <formula1>3</formula1>
      <formula2>119</formula2>
    </dataValidation>
    <dataValidation type="decimal" allowBlank="1" showErrorMessage="1" errorTitle="Неверно указано Количество" error="минимальное количество для заказа = 3" sqref="L435">
      <formula1>3</formula1>
      <formula2>213</formula2>
    </dataValidation>
    <dataValidation type="decimal" allowBlank="1" showErrorMessage="1" errorTitle="Неверно указано Количество" error="минимальное количество для заказа = 1" sqref="L436 L1859 L3435">
      <formula1>1</formula1>
      <formula2>212</formula2>
    </dataValidation>
    <dataValidation type="decimal" allowBlank="1" showErrorMessage="1" errorTitle="Неверно указано Количество" error="минимальное количество для заказа = 2" sqref="L440">
      <formula1>2</formula1>
      <formula2>101</formula2>
    </dataValidation>
    <dataValidation type="decimal" allowBlank="1" showErrorMessage="1" errorTitle="Неверно указано Количество" error="минимальное количество для заказа = 2" sqref="L442 L2661">
      <formula1>2</formula1>
      <formula2>69</formula2>
    </dataValidation>
    <dataValidation type="decimal" allowBlank="1" showErrorMessage="1" errorTitle="Неверно указано Количество" error="минимальное количество для заказа = 2" sqref="L443 L556 L1013">
      <formula1>2</formula1>
      <formula2>19</formula2>
    </dataValidation>
    <dataValidation type="decimal" allowBlank="1" showErrorMessage="1" errorTitle="Неверно указано Количество" error="минимальное количество для заказа = 2" sqref="L444 L811 L1158">
      <formula1>2</formula1>
      <formula2>54</formula2>
    </dataValidation>
    <dataValidation type="decimal" allowBlank="1" showErrorMessage="1" errorTitle="Неверно указано Количество" error="минимальное количество для заказа = 1" sqref="L445 L3295 L3300 L3730 L3736">
      <formula1>1</formula1>
      <formula2>191</formula2>
    </dataValidation>
    <dataValidation type="decimal" allowBlank="1" showErrorMessage="1" errorTitle="Неверно указано Количество" error="минимальное количество для заказа = 1" sqref="L451 L1439 L3645">
      <formula1>1</formula1>
      <formula2>228</formula2>
    </dataValidation>
    <dataValidation type="decimal" allowBlank="1" showErrorMessage="1" errorTitle="Неверно указано Количество" error="минимальное количество для заказа = 1" sqref="L452 L1964">
      <formula1>1</formula1>
      <formula2>333</formula2>
    </dataValidation>
    <dataValidation type="decimal" allowBlank="1" showErrorMessage="1" errorTitle="Неверно указано Количество" error="минимальное количество для заказа = 1" sqref="L454 L1773 L4479">
      <formula1>1</formula1>
      <formula2>307</formula2>
    </dataValidation>
    <dataValidation type="decimal" allowBlank="1" showErrorMessage="1" errorTitle="Неверно указано Количество" error="минимальное количество для заказа = 1" sqref="L456 L491 L548 L595 L598 L614 L872 L1211 L1464 L1468 L1474 L1727 L1784 L1809 L1842 L1871 L1991 L2055 L2086 L2096 L2729 L2746 L2874 L3115 L3125 L3128 L3137 L3201 L3258 L3366 L3494 L3499 L3516 L3520 L3529 L3551 L3568 L3604 L3666 L3765 L3847 L3851 L3904 L3912 L3923 L4466 L5210 L5228 L5255 L5287 L586:L589 L3118:L3119 L3505:L3507 L3535:L3536 L3640:L3641 L4446:L4447 L5248:L5249">
      <formula1>1</formula1>
      <formula2>5</formula2>
    </dataValidation>
    <dataValidation type="decimal" allowBlank="1" showErrorMessage="1" errorTitle="Неверно указано Количество" error="минимальное количество для заказа = 1" sqref="L461 L539 L4432">
      <formula1>1</formula1>
      <formula2>370</formula2>
    </dataValidation>
    <dataValidation type="decimal" allowBlank="1" showErrorMessage="1" errorTitle="Неверно указано Количество" error="минимальное количество для заказа = 1" sqref="L463">
      <formula1>1</formula1>
      <formula2>85</formula2>
    </dataValidation>
    <dataValidation type="decimal" allowBlank="1" showErrorMessage="1" errorTitle="Неверно указано Количество" error="минимальное количество для заказа = 2" sqref="L468 L1403 L2216">
      <formula1>2</formula1>
      <formula2>18</formula2>
    </dataValidation>
    <dataValidation type="decimal" allowBlank="1" showErrorMessage="1" errorTitle="Неверно указано Количество" error="минимальное количество для заказа = 1" sqref="L469 L2736 L3065 L3768 L4468">
      <formula1>1</formula1>
      <formula2>27</formula2>
    </dataValidation>
    <dataValidation type="decimal" allowBlank="1" showErrorMessage="1" errorTitle="Неверно указано Количество" error="минимальное количество для заказа = 1" sqref="L470 L604 L1846 L2025 L2060 L2196">
      <formula1>1</formula1>
      <formula2>15</formula2>
    </dataValidation>
    <dataValidation type="decimal" allowBlank="1" showErrorMessage="1" errorTitle="Неверно указано Количество" error="минимальное количество для заказа = 2" sqref="L472">
      <formula1>2</formula1>
      <formula2>460</formula2>
    </dataValidation>
    <dataValidation type="decimal" allowBlank="1" showErrorMessage="1" errorTitle="Неверно указано Количество" error="минимальное количество для заказа = 1" sqref="L478 L4741 L5196">
      <formula1>1</formula1>
      <formula2>360</formula2>
    </dataValidation>
    <dataValidation type="decimal" allowBlank="1" showErrorMessage="1" errorTitle="Неверно указано Количество" error="минимальное количество для заказа = 2" sqref="L482 L819 L3016">
      <formula1>2</formula1>
      <formula2>95</formula2>
    </dataValidation>
    <dataValidation type="decimal" allowBlank="1" showErrorMessage="1" errorTitle="Неверно указано Количество" error="минимальное количество для заказа = 2" sqref="L483">
      <formula1>2</formula1>
      <formula2>46</formula2>
    </dataValidation>
    <dataValidation type="decimal" allowBlank="1" showErrorMessage="1" errorTitle="Неверно указано Количество" error="минимальное количество для заказа = 2" sqref="L484">
      <formula1>2</formula1>
      <formula2>463</formula2>
    </dataValidation>
    <dataValidation type="decimal" allowBlank="1" showErrorMessage="1" errorTitle="Неверно указано Количество" error="минимальное количество для заказа = 1" sqref="L487 L1858 L3443 L5266">
      <formula1>1</formula1>
      <formula2>208</formula2>
    </dataValidation>
    <dataValidation type="decimal" allowBlank="1" showErrorMessage="1" errorTitle="Неверно указано Количество" error="минимальное количество для заказа = 1" sqref="L492 L1747 L3276">
      <formula1>1</formula1>
      <formula2>229</formula2>
    </dataValidation>
    <dataValidation type="decimal" allowBlank="1" showErrorMessage="1" errorTitle="Неверно указано Количество" error="минимальное количество для заказа = 1" sqref="L503 L3215 L3354 L3882">
      <formula1>1</formula1>
      <formula2>343</formula2>
    </dataValidation>
    <dataValidation type="decimal" allowBlank="1" showErrorMessage="1" errorTitle="Неверно указано Количество" error="минимальное количество для заказа = 1" sqref="L504 L1520 L3358">
      <formula1>1</formula1>
      <formula2>58</formula2>
    </dataValidation>
    <dataValidation type="decimal" allowBlank="1" showErrorMessage="1" errorTitle="Неверно указано Количество" error="минимальное количество для заказа = 1" sqref="L517 L785 L1828 L2027 L2697 L2709 L2741 L2871">
      <formula1>1</formula1>
      <formula2>12</formula2>
    </dataValidation>
    <dataValidation type="decimal" allowBlank="1" showErrorMessage="1" errorTitle="Неверно указано Количество" error="минимальное количество для заказа = 1" sqref="L518 L802 L1381">
      <formula1>1</formula1>
      <formula2>296</formula2>
    </dataValidation>
    <dataValidation type="decimal" allowBlank="1" showErrorMessage="1" errorTitle="Неверно указано Количество" error="минимальное количество для заказа = 1" sqref="L520 L1815">
      <formula1>1</formula1>
      <formula2>215</formula2>
    </dataValidation>
    <dataValidation type="decimal" allowBlank="1" showErrorMessage="1" errorTitle="Неверно указано Количество" error="минимальное количество для заказа = 1" sqref="L521 L979">
      <formula1>1</formula1>
      <formula2>202</formula2>
    </dataValidation>
    <dataValidation type="decimal" allowBlank="1" showErrorMessage="1" errorTitle="Неверно указано Количество" error="минимальное количество для заказа = 1" sqref="L522 L1724 L1864">
      <formula1>1</formula1>
      <formula2>482</formula2>
    </dataValidation>
    <dataValidation type="decimal" allowBlank="1" showErrorMessage="1" errorTitle="Неверно указано Количество" error="минимальное количество для заказа = 1" sqref="L523 L557 L580 L615 L1160 L1182 L1235 L1359 L1522 L1636 L1753 L1794 L1801 L1955 L1979 L2031 L2076 L2088 L2193 L2207 L2725 L2737 L2883 L2886 L2901 L3099 L3117 L3194 L3199 L3318 L3364 L3377 L3449 L3492 L3498 L3501 L3511 L3513 L3523 L3530 L3659 L3726 L3741 L3859 L3876 L5162 L5238 L5275 L5286 L5298 L5302 L600:L601 L2719:L2720 L3387:L3388 L3456:L3457 L3688:L3690">
      <formula1>1</formula1>
      <formula2>3</formula2>
    </dataValidation>
    <dataValidation type="decimal" allowBlank="1" showErrorMessage="1" errorTitle="Неверно указано Количество" error="минимальное количество для заказа = 1" sqref="L536 L3442">
      <formula1>1</formula1>
      <formula2>272</formula2>
    </dataValidation>
    <dataValidation type="decimal" allowBlank="1" showErrorMessage="1" errorTitle="Неверно указано Количество" error="минимальное количество для заказа = 1" sqref="L541 L4736">
      <formula1>1</formula1>
      <formula2>117</formula2>
    </dataValidation>
    <dataValidation type="decimal" allowBlank="1" showErrorMessage="1" errorTitle="Неверно указано Количество" error="минимальное количество для заказа = 1" sqref="L547 L1011 L1701 L1741 L2732 L5186">
      <formula1>1</formula1>
      <formula2>19</formula2>
    </dataValidation>
    <dataValidation type="decimal" allowBlank="1" showErrorMessage="1" errorTitle="Неверно указано Количество" error="минимальное количество для заказа = 3" sqref="L567 L668 L880 L978 L1001 L3761">
      <formula1>3</formula1>
      <formula2>5</formula2>
    </dataValidation>
    <dataValidation type="decimal" allowBlank="1" showErrorMessage="1" errorTitle="Неверно указано Количество" error="минимальное количество для заказа = 2" sqref="L569 L831 L853 L2080 L2083 L2089 L2092 L2755 L3929 L3932 L3959 L1401:L1402">
      <formula1>2</formula1>
      <formula2>4</formula2>
    </dataValidation>
    <dataValidation type="decimal" allowBlank="1" showErrorMessage="1" errorTitle="Неверно указано Количество" error="минимальное количество для заказа = 4" sqref="L571 L749">
      <formula1>4</formula1>
      <formula2>7</formula2>
    </dataValidation>
    <dataValidation type="decimal" allowBlank="1" showErrorMessage="1" errorTitle="Неверно указано Количество" error="минимальное количество для заказа = 1" sqref="L572 L620 L793 L3253">
      <formula1>1</formula1>
      <formula2>20</formula2>
    </dataValidation>
    <dataValidation type="decimal" allowBlank="1" showErrorMessage="1" errorTitle="Неверно указано Количество" error="минимальное количество для заказа = 5" sqref="L576">
      <formula1>5</formula1>
      <formula2>327</formula2>
    </dataValidation>
    <dataValidation type="decimal" allowBlank="1" showErrorMessage="1" errorTitle="Неверно указано Количество" error="минимальное количество для заказа = 1" sqref="L578 L585 L596 L606 L970 L1364 L1473 L1475 L1530 L1744 L2090 L2255 L2257 L2721 L2745 L2896 L3056 L3671 L3937 L4774 L5259:L5260">
      <formula1>1</formula1>
      <formula2>8</formula2>
    </dataValidation>
    <dataValidation type="decimal" allowBlank="1" showErrorMessage="1" errorTitle="Неверно указано Количество" error="минимальное количество для заказа = 1" sqref="L581">
      <formula1>1</formula1>
      <formula2>256</formula2>
    </dataValidation>
    <dataValidation type="decimal" allowBlank="1" showErrorMessage="1" errorTitle="Неверно указано Количество" error="минимальное количество для заказа = 1" sqref="L590 L2676 L2708 L2712 L3743 L3791 L5285">
      <formula1>1</formula1>
      <formula2>22</formula2>
    </dataValidation>
    <dataValidation type="decimal" allowBlank="1" showErrorMessage="1" errorTitle="Неверно указано Количество" error="минимальное количество для заказа = 1" sqref="L591 L593 L602 L1743 L1821 L1839 L1943 L2007 L2727 L3097 L3355 L3463 L3515 L3769 L4448 L4452 L5261 L3518:L3519">
      <formula1>1</formula1>
      <formula2>6</formula2>
    </dataValidation>
    <dataValidation type="decimal" allowBlank="1" showErrorMessage="1" errorTitle="Неверно указано Количество" error="минимальное количество для заказа = 1" sqref="L603 L796 L5124">
      <formula1>1</formula1>
      <formula2>21</formula2>
    </dataValidation>
    <dataValidation type="decimal" allowBlank="1" showErrorMessage="1" errorTitle="Неверно указано Количество" error="минимальное количество для заказа = 1" sqref="L610 L1959">
      <formula1>1</formula1>
      <formula2>176</formula2>
    </dataValidation>
    <dataValidation type="decimal" allowBlank="1" showErrorMessage="1" errorTitle="Неверно указано Количество" error="минимальное количество для заказа = 1" sqref="L612 L1837 L3436 L5173 L5254">
      <formula1>1</formula1>
      <formula2>17</formula2>
    </dataValidation>
    <dataValidation type="decimal" allowBlank="1" showErrorMessage="1" errorTitle="Неверно указано Количество" error="минимальное количество для заказа = 1" sqref="L618 L1139 L1326 L1432 L1503 L2695 L3727">
      <formula1>1</formula1>
      <formula2>13</formula2>
    </dataValidation>
    <dataValidation type="decimal" allowBlank="1" showErrorMessage="1" errorTitle="Неверно указано Количество" error="минимальное количество для заказа = 2" sqref="L619 L1273 L2084 L3931 L1204:L1206">
      <formula1>2</formula1>
      <formula2>10</formula2>
    </dataValidation>
    <dataValidation type="decimal" operator="equal" allowBlank="1" showErrorMessage="1" errorTitle="Не нужно менять минимальное количество для заказа:" error="минимальное количество для заказа = 9" sqref="J623">
      <formula1>9</formula1>
    </dataValidation>
    <dataValidation type="decimal" operator="greaterThanOrEqual" allowBlank="1" showErrorMessage="1" errorTitle="Нельзя заказать меньше чем :" error="минимальное количество для заказа = 9" sqref="L623">
      <formula1>9</formula1>
    </dataValidation>
    <dataValidation type="decimal" allowBlank="1" showErrorMessage="1" errorTitle="Неверно указано Количество" error="минимальное количество для заказа = 3" sqref="L624 L1153">
      <formula1>3</formula1>
      <formula2>15</formula2>
    </dataValidation>
    <dataValidation type="decimal" allowBlank="1" showErrorMessage="1" errorTitle="Неверно указано Количество" error="минимальное количество для заказа = 2" sqref="L625">
      <formula1>2</formula1>
      <formula2>180</formula2>
    </dataValidation>
    <dataValidation type="decimal" allowBlank="1" showErrorMessage="1" errorTitle="Неверно указано Количество" error="минимальное количество для заказа = 2" sqref="L626 L664 L1004 L1014 L1188 L1299 L2077 L2085 L2756 L2760 L3015 L3541 L4802">
      <formula1>2</formula1>
      <formula2>3</formula2>
    </dataValidation>
    <dataValidation type="decimal" allowBlank="1" showErrorMessage="1" errorTitle="Неверно указано Количество" error="минимальное количество для заказа = 7" sqref="L627">
      <formula1>7</formula1>
      <formula2>460</formula2>
    </dataValidation>
    <dataValidation type="decimal" operator="equal" allowBlank="1" showErrorMessage="1" errorTitle="Не нужно менять минимальное количество для заказа:" error="минимальное количество для заказа = 6" sqref="J628 J937 J1056 J1071 J1076 J1093 J1103 J1122 J1126 J1576 J1599 J1605 J1607 J1610 J1638 J1640 J1645 J1655 J1660 J1670 J1685 J1689 J1691 J2239 J2691 J3022 J4697 J4785 J4792 J4855 J117:J122 J641:J644 J773:J777 J779:J780 J929:J930 J1065:J1066 J1592:J1597 J1602:J1603 J2158:J2159 J3024:J3036 J3587:J3588 J3590:J3592 J4542:J4548 J4707:J4713 J5113:J5119">
      <formula1>6</formula1>
    </dataValidation>
    <dataValidation type="decimal" operator="greaterThanOrEqual" allowBlank="1" showErrorMessage="1" errorTitle="Нельзя заказать меньше чем :" error="минимальное количество для заказа = 6" sqref="L628 L773 L776 L780 L930 L937 L1056 L1071 L1093 L1103 L1599 L1605 L1607 L1610 L1638 L1640 L1645 L1660 L1670 L1689 L1691 L2158 L3590 L4697 L4707 L4785 L4792 L4855 L641:L644 L1592:L1594 L1602:L1603 L4710:L4711 L5113:L5119">
      <formula1>6</formula1>
    </dataValidation>
    <dataValidation type="decimal" allowBlank="1" showErrorMessage="1" errorTitle="Неверно указано Количество" error="минимальное количество для заказа = 2" sqref="L636 L760 L803 L935 L1187 L1306 L1459 L1570 L1665 L2150 L2179 L2299 L2907 L2909 L2917 L3017 L3239 L3375 L3589 L3596 L3865 L3946 L4430 L4511 L4588 L4619 L4683 L4726 L4728 L4747 L4751 L4845 L5245 L2904:L2905 L3324:L3325">
      <formula1>2</formula1>
      <formula2>2</formula2>
    </dataValidation>
    <dataValidation type="decimal" operator="equal" allowBlank="1" showErrorMessage="1" errorTitle="Не нужно менять минимальное количество для заказа:" error="минимальное количество для заказа = 15" sqref="J649 J651">
      <formula1>15</formula1>
    </dataValidation>
    <dataValidation type="decimal" operator="greaterThanOrEqual" allowBlank="1" showErrorMessage="1" errorTitle="Нельзя заказать меньше чем :" error="минимальное количество для заказа = 15" sqref="L649 L651">
      <formula1>15</formula1>
    </dataValidation>
    <dataValidation type="decimal" allowBlank="1" showErrorMessage="1" errorTitle="Неверно указано Количество" error="минимальное количество для заказа = 10" sqref="L655">
      <formula1>10</formula1>
      <formula2>140</formula2>
    </dataValidation>
    <dataValidation type="decimal" allowBlank="1" showErrorMessage="1" errorTitle="Неверно указано Количество" error="минимальное количество для заказа = 2" sqref="L662 L3490">
      <formula1>2</formula1>
      <formula2>179</formula2>
    </dataValidation>
    <dataValidation type="decimal" allowBlank="1" showErrorMessage="1" errorTitle="Неверно указано Количество" error="минимальное количество для заказа = 2" sqref="L663 L3477">
      <formula1>2</formula1>
      <formula2>294</formula2>
    </dataValidation>
    <dataValidation type="decimal" allowBlank="1" showErrorMessage="1" errorTitle="Неверно указано Количество" error="минимальное количество для заказа = 2" sqref="L665">
      <formula1>2</formula1>
      <formula2>309</formula2>
    </dataValidation>
    <dataValidation type="decimal" allowBlank="1" showErrorMessage="1" errorTitle="Неверно указано Количество" error="минимальное количество для заказа = 3" sqref="L669">
      <formula1>3</formula1>
      <formula2>170</formula2>
    </dataValidation>
    <dataValidation type="decimal" allowBlank="1" showErrorMessage="1" errorTitle="Неверно указано Количество" error="минимальное количество для заказа = 3" sqref="L670 L3132">
      <formula1>3</formula1>
      <formula2>4</formula2>
    </dataValidation>
    <dataValidation type="decimal" allowBlank="1" showErrorMessage="1" errorTitle="Неверно указано Количество" error="минимальное количество для заказа = 1" sqref="L674">
      <formula1>1</formula1>
      <formula2>474</formula2>
    </dataValidation>
    <dataValidation type="decimal" allowBlank="1" showErrorMessage="1" errorTitle="Неверно указано Количество" error="минимальное количество для заказа = 1" sqref="L675 L3686 L5146">
      <formula1>1</formula1>
      <formula2>278</formula2>
    </dataValidation>
    <dataValidation type="decimal" allowBlank="1" showErrorMessage="1" errorTitle="Неверно указано Количество" error="минимальное количество для заказа = 1" sqref="L677">
      <formula1>1</formula1>
      <formula2>423</formula2>
    </dataValidation>
    <dataValidation type="decimal" allowBlank="1" showErrorMessage="1" errorTitle="Неверно указано Количество" error="минимальное количество для заказа = 1" sqref="L678 L1666">
      <formula1>1</formula1>
      <formula2>364</formula2>
    </dataValidation>
    <dataValidation type="decimal" allowBlank="1" showErrorMessage="1" errorTitle="Неверно указано Количество" error="минимальное количество для заказа = 1" sqref="L679 L1930">
      <formula1>1</formula1>
      <formula2>411</formula2>
    </dataValidation>
    <dataValidation type="decimal" allowBlank="1" showErrorMessage="1" errorTitle="Неверно указано Количество" error="минимальное количество для заказа = 1" sqref="L680">
      <formula1>1</formula1>
      <formula2>253</formula2>
    </dataValidation>
    <dataValidation type="decimal" allowBlank="1" showErrorMessage="1" errorTitle="Неверно указано Количество" error="минимальное количество для заказа = 1" sqref="L681">
      <formula1>1</formula1>
      <formula2>435</formula2>
    </dataValidation>
    <dataValidation type="decimal" allowBlank="1" showErrorMessage="1" errorTitle="Неверно указано Количество" error="минимальное количество для заказа = 1" sqref="L684">
      <formula1>1</formula1>
      <formula2>385</formula2>
    </dataValidation>
    <dataValidation type="decimal" allowBlank="1" showErrorMessage="1" errorTitle="Неверно указано Количество" error="минимальное количество для заказа = 2" sqref="L687 L1262 L1395 L3802">
      <formula1>2</formula1>
      <formula2>268</formula2>
    </dataValidation>
    <dataValidation type="decimal" operator="equal" allowBlank="1" showErrorMessage="1" errorTitle="Не нужно менять минимальное количество для заказа:" error="минимальное количество для заказа = 40" sqref="J696 J4883 J698:J700 J702:J708 J4901:J4910 J4912:J4924 J4926:J4933 J4935:J4957 J5017:J5018">
      <formula1>40</formula1>
    </dataValidation>
    <dataValidation type="decimal" allowBlank="1" showErrorMessage="1" errorTitle="Неверно указано Количество" error="минимальное количество для заказа = 40" sqref="L696">
      <formula1>40</formula1>
      <formula2>270</formula2>
    </dataValidation>
    <dataValidation type="decimal" operator="greaterThanOrEqual" allowBlank="1" showErrorMessage="1" errorTitle="Нельзя заказать меньше чем :" error="минимальное количество для заказа = 40" sqref="L698 L702 L4883 L5018 L704:L707 L4901:L4905 L4907:L4910 L4912:L4924 L4926:L4933 L4935:L4957">
      <formula1>40</formula1>
    </dataValidation>
    <dataValidation type="decimal" allowBlank="1" showErrorMessage="1" errorTitle="Неверно указано Количество" error="минимальное количество для заказа = 40" sqref="L699">
      <formula1>40</formula1>
      <formula2>140</formula2>
    </dataValidation>
    <dataValidation type="decimal" allowBlank="1" showErrorMessage="1" errorTitle="Неверно указано Количество" error="минимальное количество для заказа = 40" sqref="L700">
      <formula1>40</formula1>
      <formula2>450</formula2>
    </dataValidation>
    <dataValidation type="decimal" allowBlank="1" showErrorMessage="1" errorTitle="Неверно указано Количество" error="минимальное количество для заказа = 40" sqref="L703">
      <formula1>40</formula1>
      <formula2>100</formula2>
    </dataValidation>
    <dataValidation type="decimal" allowBlank="1" showErrorMessage="1" errorTitle="Неверно указано Количество" error="минимальное количество для заказа = 40" sqref="L708">
      <formula1>40</formula1>
      <formula2>120</formula2>
    </dataValidation>
    <dataValidation type="decimal" allowBlank="1" showErrorMessage="1" errorTitle="Неверно указано Количество" error="минимальное количество для заказа = 20" sqref="L735 L2781">
      <formula1>20</formula1>
      <formula2>100</formula2>
    </dataValidation>
    <dataValidation type="decimal" allowBlank="1" showErrorMessage="1" errorTitle="Неверно указано Количество" error="минимальное количество для заказа = 3" sqref="L741 L743 L750 L1415 L2910 L2919 L3051 L3823 L4686 L4721 L4752 L4776 L4788 L4867 L5216 L913:L914">
      <formula1>3</formula1>
      <formula2>3</formula2>
    </dataValidation>
    <dataValidation type="decimal" allowBlank="1" showErrorMessage="1" errorTitle="Неверно указано Количество" error="минимальное количество для заказа = 4" sqref="L751">
      <formula1>4</formula1>
      <formula2>12</formula2>
    </dataValidation>
    <dataValidation type="decimal" allowBlank="1" showErrorMessage="1" errorTitle="Неверно указано Количество" error="минимальное количество для заказа = 7" sqref="L759">
      <formula1>7</formula1>
      <formula2>7</formula2>
    </dataValidation>
    <dataValidation type="decimal" allowBlank="1" showErrorMessage="1" errorTitle="Неверно указано Количество" error="минимальное количество для заказа = 20" sqref="L761 L2486 L2768 L2778 L2782 L2784 L2789 L3006 L3009 L4890 L4911 L5024 L5043">
      <formula1>20</formula1>
      <formula2>20</formula2>
    </dataValidation>
    <dataValidation type="decimal" allowBlank="1" showErrorMessage="1" errorTitle="Неверно указано Количество" error="минимальное количество для заказа = 30" sqref="L762">
      <formula1>30</formula1>
      <formula2>260</formula2>
    </dataValidation>
    <dataValidation type="decimal" allowBlank="1" showErrorMessage="1" errorTitle="Неверно указано Количество" error="минимальное количество для заказа = 30" sqref="L771">
      <formula1>30</formula1>
      <formula2>200</formula2>
    </dataValidation>
    <dataValidation type="decimal" allowBlank="1" showErrorMessage="1" errorTitle="Неверно указано Количество" error="минимальное количество для заказа = 6" sqref="L774">
      <formula1>6</formula1>
      <formula2>7</formula2>
    </dataValidation>
    <dataValidation type="decimal" allowBlank="1" showErrorMessage="1" errorTitle="Неверно указано Количество" error="минимальное количество для заказа = 6" sqref="L775">
      <formula1>6</formula1>
      <formula2>131</formula2>
    </dataValidation>
    <dataValidation type="decimal" allowBlank="1" showErrorMessage="1" errorTitle="Неверно указано Количество" error="минимальное количество для заказа = 6" sqref="L777">
      <formula1>6</formula1>
      <formula2>116</formula2>
    </dataValidation>
    <dataValidation type="decimal" allowBlank="1" showErrorMessage="1" errorTitle="Неверно указано Количество" error="минимальное количество для заказа = 5" sqref="L778 L1582 L1651 L2253 L2268 L2650 L1574:L1575">
      <formula1>5</formula1>
      <formula2>5</formula2>
    </dataValidation>
    <dataValidation type="decimal" allowBlank="1" showErrorMessage="1" errorTitle="Неверно указано Количество" error="минимальное количество для заказа = 6" sqref="L779">
      <formula1>6</formula1>
      <formula2>403</formula2>
    </dataValidation>
    <dataValidation type="decimal" allowBlank="1" showErrorMessage="1" errorTitle="Неверно указано Количество" error="минимальное количество для заказа = 1" sqref="L786 L1897 L4471">
      <formula1>1</formula1>
      <formula2>168</formula2>
    </dataValidation>
    <dataValidation type="decimal" allowBlank="1" showErrorMessage="1" errorTitle="Неверно указано Количество" error="минимальное количество для заказа = 1" sqref="L787 L3754 L5294">
      <formula1>1</formula1>
      <formula2>211</formula2>
    </dataValidation>
    <dataValidation type="decimal" allowBlank="1" showErrorMessage="1" errorTitle="Неверно указано Количество" error="минимальное количество для заказа = 1" sqref="L788 L3328 L3832">
      <formula1>1</formula1>
      <formula2>155</formula2>
    </dataValidation>
    <dataValidation type="decimal" allowBlank="1" showErrorMessage="1" errorTitle="Неверно указано Количество" error="минимальное количество для заказа = 1" sqref="L789 L1849 L2022 L3438">
      <formula1>1</formula1>
      <formula2>248</formula2>
    </dataValidation>
    <dataValidation type="decimal" allowBlank="1" showErrorMessage="1" errorTitle="Неверно указано Количество" error="минимальное количество для заказа = 1" sqref="L791 L2703">
      <formula1>1</formula1>
      <formula2>124</formula2>
    </dataValidation>
    <dataValidation type="decimal" allowBlank="1" showErrorMessage="1" errorTitle="Неверно указано Количество" error="минимальное количество для заказа = 1" sqref="L792 L1447 L1902 L3605">
      <formula1>1</formula1>
      <formula2>354</formula2>
    </dataValidation>
    <dataValidation type="decimal" allowBlank="1" showErrorMessage="1" errorTitle="Неверно указано Количество" error="минимальное количество для заказа = 1" sqref="L794 L1914 L1929 L3308 L4763">
      <formula1>1</formula1>
      <formula2>324</formula2>
    </dataValidation>
    <dataValidation type="decimal" allowBlank="1" showErrorMessage="1" errorTitle="Неверно указано Количество" error="минимальное количество для заказа = 1" sqref="L795 L3662">
      <formula1>1</formula1>
      <formula2>227</formula2>
    </dataValidation>
    <dataValidation type="decimal" allowBlank="1" showErrorMessage="1" errorTitle="Неверно указано Количество" error="минимальное количество для заказа = 1" sqref="L800">
      <formula1>1</formula1>
      <formula2>437</formula2>
    </dataValidation>
    <dataValidation type="decimal" allowBlank="1" showErrorMessage="1" errorTitle="Неверно указано Количество" error="минимальное количество для заказа = 1" sqref="L801 L3081 L5138">
      <formula1>1</formula1>
      <formula2>429</formula2>
    </dataValidation>
    <dataValidation type="decimal" allowBlank="1" showErrorMessage="1" errorTitle="Неверно указано Количество" error="минимальное количество для заказа = 3" sqref="L804 L3112">
      <formula1>3</formula1>
      <formula2>7</formula2>
    </dataValidation>
    <dataValidation type="decimal" allowBlank="1" showErrorMessage="1" errorTitle="Неверно указано Количество" error="минимальное количество для заказа = 2" sqref="L820">
      <formula1>2</formula1>
      <formula2>183</formula2>
    </dataValidation>
    <dataValidation type="decimal" allowBlank="1" showErrorMessage="1" errorTitle="Неверно указано Количество" error="минимальное количество для заказа = 2" sqref="L821 L1227">
      <formula1>2</formula1>
      <formula2>372</formula2>
    </dataValidation>
    <dataValidation type="decimal" allowBlank="1" showErrorMessage="1" errorTitle="Неверно указано Количество" error="минимальное количество для заказа = 2" sqref="L822">
      <formula1>2</formula1>
      <formula2>87</formula2>
    </dataValidation>
    <dataValidation type="decimal" allowBlank="1" showErrorMessage="1" errorTitle="Неверно указано Количество" error="минимальное количество для заказа = 2" sqref="L823">
      <formula1>2</formula1>
      <formula2>80</formula2>
    </dataValidation>
    <dataValidation type="decimal" allowBlank="1" showErrorMessage="1" errorTitle="Неверно указано Количество" error="минимальное количество для заказа = 2" sqref="L824 L3621">
      <formula1>2</formula1>
      <formula2>415</formula2>
    </dataValidation>
    <dataValidation type="decimal" allowBlank="1" showErrorMessage="1" errorTitle="Неверно указано Количество" error="минимальное количество для заказа = 3" sqref="L833">
      <formula1>3</formula1>
      <formula2>301</formula2>
    </dataValidation>
    <dataValidation type="decimal" allowBlank="1" showErrorMessage="1" errorTitle="Неверно указано Количество" error="минимальное количество для заказа = 3" sqref="L835 L1078">
      <formula1>3</formula1>
      <formula2>338</formula2>
    </dataValidation>
    <dataValidation type="decimal" allowBlank="1" showErrorMessage="1" errorTitle="Неверно указано Количество" error="минимальное количество для заказа = 2" sqref="L852 L1144">
      <formula1>2</formula1>
      <formula2>430</formula2>
    </dataValidation>
    <dataValidation type="decimal" allowBlank="1" showErrorMessage="1" errorTitle="Неверно указано Количество" error="минимальное количество для заказа = 1" sqref="L860">
      <formula1>1</formula1>
      <formula2>226</formula2>
    </dataValidation>
    <dataValidation type="decimal" allowBlank="1" showErrorMessage="1" errorTitle="Неверно указано Количество" error="минимальное количество для заказа = 12" sqref="L878">
      <formula1>12</formula1>
      <formula2>149</formula2>
    </dataValidation>
    <dataValidation type="decimal" allowBlank="1" showErrorMessage="1" errorTitle="Неверно указано Количество" error="минимальное количество для заказа = 2" sqref="L892 L1279">
      <formula1>2</formula1>
      <formula2>174</formula2>
    </dataValidation>
    <dataValidation type="decimal" allowBlank="1" showErrorMessage="1" errorTitle="Неверно указано Количество" error="минимальное количество для заказа = 2" sqref="L893">
      <formula1>2</formula1>
      <formula2>312</formula2>
    </dataValidation>
    <dataValidation type="decimal" allowBlank="1" showErrorMessage="1" errorTitle="Неверно указано Количество" error="минимальное количество для заказа = 2" sqref="L894">
      <formula1>2</formula1>
      <formula2>291</formula2>
    </dataValidation>
    <dataValidation type="decimal" allowBlank="1" showErrorMessage="1" errorTitle="Неверно указано Количество" error="минимальное количество для заказа = 2" sqref="L895">
      <formula1>2</formula1>
      <formula2>330</formula2>
    </dataValidation>
    <dataValidation type="decimal" allowBlank="1" showErrorMessage="1" errorTitle="Неверно указано Количество" error="минимальное количество для заказа = 2" sqref="L897 L1492">
      <formula1>2</formula1>
      <formula2>214</formula2>
    </dataValidation>
    <dataValidation type="decimal" allowBlank="1" showErrorMessage="1" errorTitle="Неверно указано Количество" error="минимальное количество для заказа = 2" sqref="L898">
      <formula1>2</formula1>
      <formula2>225</formula2>
    </dataValidation>
    <dataValidation type="decimal" allowBlank="1" showErrorMessage="1" errorTitle="Неверно указано Количество" error="минимальное количество для заказа = 2" sqref="L899">
      <formula1>2</formula1>
      <formula2>150</formula2>
    </dataValidation>
    <dataValidation type="decimal" allowBlank="1" showErrorMessage="1" errorTitle="Неверно указано Количество" error="минимальное количество для заказа = 1" sqref="L905 L1527 L2967">
      <formula1>1</formula1>
      <formula2>495</formula2>
    </dataValidation>
    <dataValidation type="decimal" allowBlank="1" showErrorMessage="1" errorTitle="Неверно указано Количество" error="минимальное количество для заказа = 1" sqref="L907 L1517">
      <formula1>1</formula1>
      <formula2>438</formula2>
    </dataValidation>
    <dataValidation type="decimal" allowBlank="1" showErrorMessage="1" errorTitle="Неверно указано Количество" error="минимальное количество для заказа = 10" sqref="L910">
      <formula1>10</formula1>
      <formula2>372</formula2>
    </dataValidation>
    <dataValidation type="decimal" allowBlank="1" showErrorMessage="1" errorTitle="Неверно указано Количество" error="минимальное количество для заказа = 10" sqref="L912">
      <formula1>10</formula1>
      <formula2>19</formula2>
    </dataValidation>
    <dataValidation type="decimal" allowBlank="1" showErrorMessage="1" errorTitle="Неверно указано Количество" error="минимальное количество для заказа = 10" sqref="L915 L5082">
      <formula1>10</formula1>
      <formula2>30</formula2>
    </dataValidation>
    <dataValidation type="decimal" allowBlank="1" showErrorMessage="1" errorTitle="Неверно указано Количество" error="минимальное количество для заказа = 10" sqref="L916">
      <formula1>10</formula1>
      <formula2>35</formula2>
    </dataValidation>
    <dataValidation type="decimal" allowBlank="1" showErrorMessage="1" errorTitle="Неверно указано Количество" error="минимальное количество для заказа = 1" sqref="L918 L1787 L3351">
      <formula1>1</formula1>
      <formula2>326</formula2>
    </dataValidation>
    <dataValidation type="decimal" allowBlank="1" showErrorMessage="1" errorTitle="Неверно указано Количество" error="минимальное количество для заказа = 1" sqref="L920">
      <formula1>1</formula1>
      <formula2>434</formula2>
    </dataValidation>
    <dataValidation type="decimal" allowBlank="1" showErrorMessage="1" errorTitle="Неверно указано Количество" error="минимальное количество для заказа = 5" sqref="L924 L1436">
      <formula1>5</formula1>
      <formula2>252</formula2>
    </dataValidation>
    <dataValidation type="decimal" allowBlank="1" showErrorMessage="1" errorTitle="Неверно указано Количество" error="минимальное количество для заказа = 5" sqref="L925">
      <formula1>5</formula1>
      <formula2>212</formula2>
    </dataValidation>
    <dataValidation type="decimal" allowBlank="1" showErrorMessage="1" errorTitle="Неверно указано Количество" error="минимальное количество для заказа = 2" sqref="L926">
      <formula1>2</formula1>
      <formula2>63</formula2>
    </dataValidation>
    <dataValidation type="decimal" allowBlank="1" showErrorMessage="1" errorTitle="Неверно указано Количество" error="минимальное количество для заказа = 2" sqref="L927 L2182">
      <formula1>2</formula1>
      <formula2>30</formula2>
    </dataValidation>
    <dataValidation type="decimal" allowBlank="1" showErrorMessage="1" errorTitle="Неверно указано Количество" error="минимальное количество для заказа = 6" sqref="L929">
      <formula1>6</formula1>
      <formula2>13</formula2>
    </dataValidation>
    <dataValidation type="decimal" allowBlank="1" showErrorMessage="1" errorTitle="Неверно указано Количество" error="минимальное количество для заказа = 3" sqref="L931">
      <formula1>3</formula1>
      <formula2>74</formula2>
    </dataValidation>
    <dataValidation type="decimal" allowBlank="1" showErrorMessage="1" errorTitle="Неверно указано Количество" error="минимальное количество для заказа = 2" sqref="L939">
      <formula1>2</formula1>
      <formula2>241</formula2>
    </dataValidation>
    <dataValidation type="decimal" allowBlank="1" showErrorMessage="1" errorTitle="Неверно указано Количество" error="минимальное количество для заказа = 8" sqref="L941 L4749">
      <formula1>8</formula1>
      <formula2>8</formula2>
    </dataValidation>
    <dataValidation type="decimal" allowBlank="1" showErrorMessage="1" errorTitle="Неверно указано Количество" error="минимальное количество для заказа = 2" sqref="L947">
      <formula1>2</formula1>
      <formula2>219</formula2>
    </dataValidation>
    <dataValidation type="decimal" allowBlank="1" showErrorMessage="1" errorTitle="Неверно указано Количество" error="минимальное количество для заказа = 1" sqref="L951 L2669">
      <formula1>1</formula1>
      <formula2>345</formula2>
    </dataValidation>
    <dataValidation type="decimal" allowBlank="1" showErrorMessage="1" errorTitle="Неверно указано Количество" error="минимальное количество для заказа = 1" sqref="L955 L1396 L1850">
      <formula1>1</formula1>
      <formula2>26</formula2>
    </dataValidation>
    <dataValidation type="decimal" allowBlank="1" showErrorMessage="1" errorTitle="Неверно указано Количество" error="минимальное количество для заказа = 2" sqref="L962 L1541">
      <formula1>2</formula1>
      <formula2>343</formula2>
    </dataValidation>
    <dataValidation type="decimal" allowBlank="1" showErrorMessage="1" errorTitle="Неверно указано Количество" error="минимальное количество для заказа = 1" sqref="L966">
      <formula1>1</formula1>
      <formula2>398</formula2>
    </dataValidation>
    <dataValidation type="decimal" allowBlank="1" showErrorMessage="1" errorTitle="Неверно указано Количество" error="минимальное количество для заказа = 4" sqref="L974">
      <formula1>4</formula1>
      <formula2>213</formula2>
    </dataValidation>
    <dataValidation type="decimal" allowBlank="1" showErrorMessage="1" errorTitle="Неверно указано Количество" error="минимальное количество для заказа = 3" sqref="L975">
      <formula1>3</formula1>
      <formula2>35</formula2>
    </dataValidation>
    <dataValidation type="decimal" allowBlank="1" showErrorMessage="1" errorTitle="Неверно указано Количество" error="минимальное количество для заказа = 4" sqref="L976">
      <formula1>4</formula1>
      <formula2>40</formula2>
    </dataValidation>
    <dataValidation type="decimal" allowBlank="1" showErrorMessage="1" errorTitle="Неверно указано Количество" error="минимальное количество для заказа = 3" sqref="L977">
      <formula1>3</formula1>
      <formula2>131</formula2>
    </dataValidation>
    <dataValidation type="decimal" allowBlank="1" showErrorMessage="1" errorTitle="Неверно указано Количество" error="минимальное количество для заказа = 5" sqref="L981">
      <formula1>5</formula1>
      <formula2>29</formula2>
    </dataValidation>
    <dataValidation type="decimal" allowBlank="1" showErrorMessage="1" errorTitle="Неверно указано Количество" error="минимальное количество для заказа = 4" sqref="L982">
      <formula1>4</formula1>
      <formula2>106</formula2>
    </dataValidation>
    <dataValidation type="decimal" allowBlank="1" showErrorMessage="1" errorTitle="Неверно указано Количество" error="минимальное количество для заказа = 4" sqref="L983">
      <formula1>4</formula1>
      <formula2>253</formula2>
    </dataValidation>
    <dataValidation type="decimal" allowBlank="1" showErrorMessage="1" errorTitle="Неверно указано Количество" error="минимальное количество для заказа = 4" sqref="L984">
      <formula1>4</formula1>
      <formula2>178</formula2>
    </dataValidation>
    <dataValidation type="decimal" allowBlank="1" showErrorMessage="1" errorTitle="Неверно указано Количество" error="минимальное количество для заказа = 7" sqref="L985">
      <formula1>7</formula1>
      <formula2>142</formula2>
    </dataValidation>
    <dataValidation type="decimal" allowBlank="1" showErrorMessage="1" errorTitle="Неверно указано Количество" error="минимальное количество для заказа = 3" sqref="L989">
      <formula1>3</formula1>
      <formula2>339</formula2>
    </dataValidation>
    <dataValidation type="decimal" allowBlank="1" showErrorMessage="1" errorTitle="Неверно указано Количество" error="минимальное количество для заказа = 5" sqref="L991">
      <formula1>5</formula1>
      <formula2>57</formula2>
    </dataValidation>
    <dataValidation type="decimal" allowBlank="1" showErrorMessage="1" errorTitle="Неверно указано Количество" error="минимальное количество для заказа = 4" sqref="L992">
      <formula1>4</formula1>
      <formula2>15</formula2>
    </dataValidation>
    <dataValidation type="decimal" allowBlank="1" showErrorMessage="1" errorTitle="Неверно указано Количество" error="минимальное количество для заказа = 4" sqref="L994">
      <formula1>4</formula1>
      <formula2>48</formula2>
    </dataValidation>
    <dataValidation type="decimal" allowBlank="1" showErrorMessage="1" errorTitle="Неверно указано Количество" error="минимальное количество для заказа = 3" sqref="L996">
      <formula1>3</formula1>
      <formula2>385</formula2>
    </dataValidation>
    <dataValidation type="decimal" allowBlank="1" showErrorMessage="1" errorTitle="Неверно указано Количество" error="минимальное количество для заказа = 3" sqref="L997 L1098 L3595">
      <formula1>3</formula1>
      <formula2>10</formula2>
    </dataValidation>
    <dataValidation type="decimal" allowBlank="1" showErrorMessage="1" errorTitle="Неверно указано Количество" error="минимальное количество для заказа = 3" sqref="L1000">
      <formula1>3</formula1>
      <formula2>323</formula2>
    </dataValidation>
    <dataValidation type="decimal" allowBlank="1" showErrorMessage="1" errorTitle="Неверно указано Количество" error="минимальное количество для заказа = 2" sqref="L1003">
      <formula1>2</formula1>
      <formula2>126</formula2>
    </dataValidation>
    <dataValidation type="decimal" allowBlank="1" showErrorMessage="1" errorTitle="Неверно указано Количество" error="минимальное количество для заказа = 1" sqref="L1010">
      <formula1>1</formula1>
      <formula2>132</formula2>
    </dataValidation>
    <dataValidation type="decimal" allowBlank="1" showErrorMessage="1" errorTitle="Неверно указано Количество" error="минимальное количество для заказа = 2" sqref="L1012">
      <formula1>2</formula1>
      <formula2>102</formula2>
    </dataValidation>
    <dataValidation type="decimal" allowBlank="1" showErrorMessage="1" errorTitle="Неверно указано Количество" error="минимальное количество для заказа = 2" sqref="L1016">
      <formula1>2</formula1>
      <formula2>373</formula2>
    </dataValidation>
    <dataValidation type="decimal" allowBlank="1" showErrorMessage="1" errorTitle="Неверно указано Количество" error="минимальное количество для заказа = 2" sqref="L1018">
      <formula1>2</formula1>
      <formula2>58</formula2>
    </dataValidation>
    <dataValidation type="decimal" allowBlank="1" showErrorMessage="1" errorTitle="Неверно указано Количество" error="минимальное количество для заказа = 3" sqref="L1022 L3597 L4412">
      <formula1>3</formula1>
      <formula2>412</formula2>
    </dataValidation>
    <dataValidation type="decimal" allowBlank="1" showErrorMessage="1" errorTitle="Неверно указано Количество" error="минимальное количество для заказа = 2" sqref="L1023 L4426">
      <formula1>2</formula1>
      <formula2>286</formula2>
    </dataValidation>
    <dataValidation type="decimal" allowBlank="1" showErrorMessage="1" errorTitle="Неверно указано Количество" error="минимальное количество для заказа = 2" sqref="L1024 L4762">
      <formula1>2</formula1>
      <formula2>206</formula2>
    </dataValidation>
    <dataValidation type="decimal" allowBlank="1" showErrorMessage="1" errorTitle="Неверно указано Количество" error="минимальное количество для заказа = 2" sqref="L1025 L3230 L4429">
      <formula1>2</formula1>
      <formula2>275</formula2>
    </dataValidation>
    <dataValidation type="decimal" allowBlank="1" showErrorMessage="1" errorTitle="Неверно указано Количество" error="минимальное количество для заказа = 3" sqref="L1026">
      <formula1>3</formula1>
      <formula2>387</formula2>
    </dataValidation>
    <dataValidation type="decimal" allowBlank="1" showErrorMessage="1" errorTitle="Неверно указано Количество" error="минимальное количество для заказа = 2" sqref="L1027 L3063">
      <formula1>2</formula1>
      <formula2>459</formula2>
    </dataValidation>
    <dataValidation type="decimal" allowBlank="1" showErrorMessage="1" errorTitle="Неверно указано Количество" error="минимальное количество для заказа = 2" sqref="L1032">
      <formula1>2</formula1>
      <formula2>455</formula2>
    </dataValidation>
    <dataValidation type="decimal" allowBlank="1" showErrorMessage="1" errorTitle="Неверно указано Количество" error="минимальное количество для заказа = 2" sqref="L1035 L1612 L4813">
      <formula1>2</formula1>
      <formula2>321</formula2>
    </dataValidation>
    <dataValidation type="decimal" allowBlank="1" showErrorMessage="1" errorTitle="Неверно указано Количество" error="минимальное количество для заказа = 3" sqref="L1036">
      <formula1>3</formula1>
      <formula2>285</formula2>
    </dataValidation>
    <dataValidation type="decimal" allowBlank="1" showErrorMessage="1" errorTitle="Неверно указано Количество" error="минимальное количество для заказа = 2" sqref="L1037">
      <formula1>2</formula1>
      <formula2>375</formula2>
    </dataValidation>
    <dataValidation type="decimal" allowBlank="1" showErrorMessage="1" errorTitle="Неверно указано Количество" error="минимальное количество для заказа = 2" sqref="L1038 L3411">
      <formula1>2</formula1>
      <formula2>479</formula2>
    </dataValidation>
    <dataValidation type="decimal" allowBlank="1" showErrorMessage="1" errorTitle="Неверно указано Количество" error="минимальное количество для заказа = 2" sqref="L1041 L1461">
      <formula1>2</formula1>
      <formula2>421</formula2>
    </dataValidation>
    <dataValidation type="decimal" allowBlank="1" showErrorMessage="1" errorTitle="Неверно указано Количество" error="минимальное количество для заказа = 2" sqref="L1042 L1300">
      <formula1>2</formula1>
      <formula2>420</formula2>
    </dataValidation>
    <dataValidation type="decimal" allowBlank="1" showErrorMessage="1" errorTitle="Неверно указано Количество" error="минимальное количество для заказа = 2" sqref="L1043">
      <formula1>2</formula1>
      <formula2>439</formula2>
    </dataValidation>
    <dataValidation type="decimal" allowBlank="1" showErrorMessage="1" errorTitle="Неверно указано Количество" error="минимальное количество для заказа = 2" sqref="L1045">
      <formula1>2</formula1>
      <formula2>328</formula2>
    </dataValidation>
    <dataValidation type="decimal" allowBlank="1" showErrorMessage="1" errorTitle="Неверно указано Количество" error="минимальное количество для заказа = 2" sqref="L1046 L4424">
      <formula1>2</formula1>
      <formula2>284</formula2>
    </dataValidation>
    <dataValidation type="decimal" allowBlank="1" showErrorMessage="1" errorTitle="Неверно указано Количество" error="минимальное количество для заказа = 2" sqref="L1047 L3948">
      <formula1>2</formula1>
      <formula2>394</formula2>
    </dataValidation>
    <dataValidation type="decimal" allowBlank="1" showErrorMessage="1" errorTitle="Неверно указано Количество" error="минимальное количество для заказа = 2" sqref="L1048 L1228">
      <formula1>2</formula1>
      <formula2>316</formula2>
    </dataValidation>
    <dataValidation type="decimal" allowBlank="1" showErrorMessage="1" errorTitle="Неверно указано Количество" error="минимальное количество для заказа = 2" sqref="L1049">
      <formula1>2</formula1>
      <formula2>498</formula2>
    </dataValidation>
    <dataValidation type="decimal" allowBlank="1" showErrorMessage="1" errorTitle="Неверно указано Количество" error="минимальное количество для заказа = 3" sqref="L1050">
      <formula1>3</formula1>
      <formula2>52</formula2>
    </dataValidation>
    <dataValidation type="decimal" allowBlank="1" showErrorMessage="1" errorTitle="Неверно указано Количество" error="минимальное количество для заказа = 1" sqref="L1052 L3312">
      <formula1>1</formula1>
      <formula2>45</formula2>
    </dataValidation>
    <dataValidation type="decimal" allowBlank="1" showErrorMessage="1" errorTitle="Неверно указано Количество" error="минимальное количество для заказа = 1" sqref="L1053 L1793 L1896 L3697">
      <formula1>1</formula1>
      <formula2>48</formula2>
    </dataValidation>
    <dataValidation type="decimal" allowBlank="1" showErrorMessage="1" errorTitle="Неверно указано Количество" error="минимальное количество для заказа = 4" sqref="L1057 L1677 L2751 L4667">
      <formula1>4</formula1>
      <formula2>4</formula2>
    </dataValidation>
    <dataValidation type="decimal" allowBlank="1" showErrorMessage="1" errorTitle="Неверно указано Количество" error="минимальное количество для заказа = 10" sqref="L1062 L5078">
      <formula1>10</formula1>
      <formula2>20</formula2>
    </dataValidation>
    <dataValidation type="decimal" allowBlank="1" showErrorMessage="1" errorTitle="Неверно указано Количество" error="минимальное количество для заказа = 6" sqref="L1065">
      <formula1>6</formula1>
      <formula2>450</formula2>
    </dataValidation>
    <dataValidation type="decimal" allowBlank="1" showErrorMessage="1" errorTitle="Неверно указано Количество" error="минимальное количество для заказа = 6" sqref="L1066">
      <formula1>6</formula1>
      <formula2>251</formula2>
    </dataValidation>
    <dataValidation type="decimal" allowBlank="1" showErrorMessage="1" errorTitle="Неверно указано Количество" error="минимальное количество для заказа = 7" sqref="L1067">
      <formula1>7</formula1>
      <formula2>259</formula2>
    </dataValidation>
    <dataValidation type="decimal" allowBlank="1" showErrorMessage="1" errorTitle="Неверно указано Количество" error="минимальное количество для заказа = 5" sqref="L1069">
      <formula1>5</formula1>
      <formula2>341</formula2>
    </dataValidation>
    <dataValidation type="decimal" allowBlank="1" showErrorMessage="1" errorTitle="Неверно указано Количество" error="минимальное количество для заказа = 5" sqref="L1070">
      <formula1>5</formula1>
      <formula2>182</formula2>
    </dataValidation>
    <dataValidation type="decimal" allowBlank="1" showErrorMessage="1" errorTitle="Неверно указано Количество" error="минимальное количество для заказа = 2" sqref="L1074">
      <formula1>2</formula1>
      <formula2>37</formula2>
    </dataValidation>
    <dataValidation type="decimal" allowBlank="1" showErrorMessage="1" errorTitle="Неверно указано Количество" error="минимальное количество для заказа = 2" sqref="L1075 L2079">
      <formula1>2</formula1>
      <formula2>17</formula2>
    </dataValidation>
    <dataValidation type="decimal" allowBlank="1" showErrorMessage="1" errorTitle="Неверно указано Количество" error="минимальное количество для заказа = 6" sqref="L1076">
      <formula1>6</formula1>
      <formula2>185</formula2>
    </dataValidation>
    <dataValidation type="decimal" allowBlank="1" showErrorMessage="1" errorTitle="Неверно указано Количество" error="минимальное количество для заказа = 3" sqref="L1077">
      <formula1>3</formula1>
      <formula2>370</formula2>
    </dataValidation>
    <dataValidation type="decimal" allowBlank="1" showErrorMessage="1" errorTitle="Неверно указано Количество" error="минимальное количество для заказа = 3" sqref="L1079">
      <formula1>3</formula1>
      <formula2>193</formula2>
    </dataValidation>
    <dataValidation type="decimal" allowBlank="1" showErrorMessage="1" errorTitle="Неверно указано Количество" error="минимальное количество для заказа = 3" sqref="L1080">
      <formula1>3</formula1>
      <formula2>429</formula2>
    </dataValidation>
    <dataValidation type="decimal" allowBlank="1" showErrorMessage="1" errorTitle="Неверно указано Количество" error="минимальное количество для заказа = 4" sqref="L1082">
      <formula1>4</formula1>
      <formula2>318</formula2>
    </dataValidation>
    <dataValidation type="decimal" allowBlank="1" showErrorMessage="1" errorTitle="Неверно указано Количество" error="минимальное количество для заказа = 4" sqref="L1084">
      <formula1>4</formula1>
      <formula2>498</formula2>
    </dataValidation>
    <dataValidation type="decimal" allowBlank="1" showErrorMessage="1" errorTitle="Неверно указано Количество" error="минимальное количество для заказа = 5" sqref="L1088">
      <formula1>5</formula1>
      <formula2>62</formula2>
    </dataValidation>
    <dataValidation type="decimal" allowBlank="1" showErrorMessage="1" errorTitle="Неверно указано Количество" error="минимальное количество для заказа = 10" sqref="L1092">
      <formula1>10</formula1>
      <formula2>40</formula2>
    </dataValidation>
    <dataValidation type="decimal" allowBlank="1" showErrorMessage="1" errorTitle="Неверно указано Количество" error="минимальное количество для заказа = 10" sqref="L1094">
      <formula1>10</formula1>
      <formula2>320</formula2>
    </dataValidation>
    <dataValidation type="decimal" allowBlank="1" showErrorMessage="1" errorTitle="Неверно указано Количество" error="минимальное количество для заказа = 4" sqref="L1095 L4556">
      <formula1>4</formula1>
      <formula2>30</formula2>
    </dataValidation>
    <dataValidation type="decimal" allowBlank="1" showErrorMessage="1" errorTitle="Неверно указано Количество" error="минимальное количество для заказа = 4" sqref="L1096">
      <formula1>4</formula1>
      <formula2>67</formula2>
    </dataValidation>
    <dataValidation type="decimal" allowBlank="1" showErrorMessage="1" errorTitle="Неверно указано Количество" error="минимальное количество для заказа = 4" sqref="L1097">
      <formula1>4</formula1>
      <formula2>101</formula2>
    </dataValidation>
    <dataValidation type="decimal" allowBlank="1" showErrorMessage="1" errorTitle="Неверно указано Количество" error="минимальное количество для заказа = 5" sqref="L1099">
      <formula1>5</formula1>
      <formula2>307</formula2>
    </dataValidation>
    <dataValidation type="decimal" allowBlank="1" showErrorMessage="1" errorTitle="Неверно указано Количество" error="минимальное количество для заказа = 10" sqref="L1100">
      <formula1>10</formula1>
      <formula2>141</formula2>
    </dataValidation>
    <dataValidation type="decimal" allowBlank="1" showErrorMessage="1" errorTitle="Неверно указано Количество" error="минимальное количество для заказа = 10" sqref="L1101">
      <formula1>10</formula1>
      <formula2>100</formula2>
    </dataValidation>
    <dataValidation type="decimal" allowBlank="1" showErrorMessage="1" errorTitle="Неверно указано Количество" error="минимальное количество для заказа = 10" sqref="L1102">
      <formula1>10</formula1>
      <formula2>148</formula2>
    </dataValidation>
    <dataValidation type="decimal" allowBlank="1" showErrorMessage="1" errorTitle="Неверно указано Количество" error="минимальное количество для заказа = 2" sqref="L1104 L1278">
      <formula1>2</formula1>
      <formula2>12</formula2>
    </dataValidation>
    <dataValidation type="decimal" allowBlank="1" showErrorMessage="1" errorTitle="Неверно указано Количество" error="минимальное количество для заказа = 1" sqref="L1106 L1829">
      <formula1>1</formula1>
      <formula2>204</formula2>
    </dataValidation>
    <dataValidation type="decimal" allowBlank="1" showErrorMessage="1" errorTitle="Неверно указано Количество" error="минимальное количество для заказа = 1" sqref="L1107 L1786">
      <formula1>1</formula1>
      <formula2>410</formula2>
    </dataValidation>
    <dataValidation type="decimal" allowBlank="1" showErrorMessage="1" errorTitle="Неверно указано Количество" error="минимальное количество для заказа = 5" sqref="L1108">
      <formula1>5</formula1>
      <formula2>357</formula2>
    </dataValidation>
    <dataValidation type="decimal" allowBlank="1" showErrorMessage="1" errorTitle="Неверно указано Количество" error="минимальное количество для заказа = 5" sqref="L1109">
      <formula1>5</formula1>
      <formula2>423</formula2>
    </dataValidation>
    <dataValidation type="decimal" allowBlank="1" showErrorMessage="1" errorTitle="Неверно указано Количество" error="минимальное количество для заказа = 5" sqref="L1111">
      <formula1>5</formula1>
      <formula2>466</formula2>
    </dataValidation>
    <dataValidation type="decimal" allowBlank="1" showErrorMessage="1" errorTitle="Неверно указано Количество" error="минимальное количество для заказа = 5" sqref="L1114">
      <formula1>5</formula1>
      <formula2>431</formula2>
    </dataValidation>
    <dataValidation type="decimal" allowBlank="1" showErrorMessage="1" errorTitle="Неверно указано Количество" error="минимальное количество для заказа = 4" sqref="L1115">
      <formula1>4</formula1>
      <formula2>281</formula2>
    </dataValidation>
    <dataValidation type="decimal" allowBlank="1" showErrorMessage="1" errorTitle="Неверно указано Количество" error="минимальное количество для заказа = 5" sqref="L1116">
      <formula1>5</formula1>
      <formula2>408</formula2>
    </dataValidation>
    <dataValidation type="decimal" allowBlank="1" showErrorMessage="1" errorTitle="Неверно указано Количество" error="минимальное количество для заказа = 6" sqref="L1122">
      <formula1>6</formula1>
      <formula2>97</formula2>
    </dataValidation>
    <dataValidation type="decimal" allowBlank="1" showErrorMessage="1" errorTitle="Неверно указано Количество" error="минимальное количество для заказа = 5" sqref="L1123">
      <formula1>5</formula1>
      <formula2>38</formula2>
    </dataValidation>
    <dataValidation type="decimal" allowBlank="1" showErrorMessage="1" errorTitle="Неверно указано Количество" error="минимальное количество для заказа = 5" sqref="L1124">
      <formula1>5</formula1>
      <formula2>273</formula2>
    </dataValidation>
    <dataValidation type="decimal" allowBlank="1" showErrorMessage="1" errorTitle="Неверно указано Количество" error="минимальное количество для заказа = 5" sqref="L1125">
      <formula1>5</formula1>
      <formula2>378</formula2>
    </dataValidation>
    <dataValidation type="decimal" allowBlank="1" showErrorMessage="1" errorTitle="Неверно указано Количество" error="минимальное количество для заказа = 6" sqref="L1126">
      <formula1>6</formula1>
      <formula2>156</formula2>
    </dataValidation>
    <dataValidation type="decimal" allowBlank="1" showErrorMessage="1" errorTitle="Неверно указано Количество" error="минимальное количество для заказа = 3" sqref="L1135">
      <formula1>3</formula1>
      <formula2>284</formula2>
    </dataValidation>
    <dataValidation type="decimal" allowBlank="1" showErrorMessage="1" errorTitle="Неверно указано Количество" error="минимальное количество для заказа = 3" sqref="L1136">
      <formula1>3</formula1>
      <formula2>174</formula2>
    </dataValidation>
    <dataValidation type="decimal" allowBlank="1" showErrorMessage="1" errorTitle="Неверно указано Количество" error="минимальное количество для заказа = 2" sqref="L1137">
      <formula1>2</formula1>
      <formula2>154</formula2>
    </dataValidation>
    <dataValidation type="decimal" allowBlank="1" showErrorMessage="1" errorTitle="Неверно указано Количество" error="минимальное количество для заказа = 3" sqref="L1138">
      <formula1>3</formula1>
      <formula2>164</formula2>
    </dataValidation>
    <dataValidation type="decimal" allowBlank="1" showErrorMessage="1" errorTitle="Неверно указано Количество" error="минимальное количество для заказа = 2" sqref="L1141 L1253">
      <formula1>2</formula1>
      <formula2>477</formula2>
    </dataValidation>
    <dataValidation type="decimal" allowBlank="1" showErrorMessage="1" errorTitle="Неверно указано Количество" error="минимальное количество для заказа = 2" sqref="L1142">
      <formula1>2</formula1>
      <formula2>482</formula2>
    </dataValidation>
    <dataValidation type="decimal" allowBlank="1" showErrorMessage="1" errorTitle="Неверно указано Количество" error="минимальное количество для заказа = 2" sqref="L1146">
      <formula1>2</formula1>
      <formula2>81</formula2>
    </dataValidation>
    <dataValidation type="decimal" allowBlank="1" showErrorMessage="1" errorTitle="Неверно указано Количество" error="минимальное количество для заказа = 2" sqref="L1147 L1322">
      <formula1>2</formula1>
      <formula2>79</formula2>
    </dataValidation>
    <dataValidation type="decimal" allowBlank="1" showErrorMessage="1" errorTitle="Неверно указано Количество" error="минимальное количество для заказа = 2" sqref="L1148">
      <formula1>2</formula1>
      <formula2>155</formula2>
    </dataValidation>
    <dataValidation type="decimal" allowBlank="1" showErrorMessage="1" errorTitle="Неверно указано Количество" error="минимальное количество для заказа = 2" sqref="L1149 L1234">
      <formula1>2</formula1>
      <formula2>123</formula2>
    </dataValidation>
    <dataValidation type="decimal" allowBlank="1" showErrorMessage="1" errorTitle="Неверно указано Количество" error="минимальное количество для заказа = 3" sqref="L1151 L4878">
      <formula1>3</formula1>
      <formula2>19</formula2>
    </dataValidation>
    <dataValidation type="decimal" allowBlank="1" showErrorMessage="1" errorTitle="Неверно указано Количество" error="минимальное количество для заказа = 3" sqref="L1152">
      <formula1>3</formula1>
      <formula2>9</formula2>
    </dataValidation>
    <dataValidation type="decimal" allowBlank="1" showErrorMessage="1" errorTitle="Неверно указано Количество" error="минимальное количество для заказа = 3" sqref="L1154">
      <formula1>3</formula1>
      <formula2>129</formula2>
    </dataValidation>
    <dataValidation type="decimal" allowBlank="1" showErrorMessage="1" errorTitle="Неверно указано Количество" error="минимальное количество для заказа = 1" sqref="L1155 L1356 L3732 L3745">
      <formula1>1</formula1>
      <formula2>71</formula2>
    </dataValidation>
    <dataValidation type="decimal" allowBlank="1" showErrorMessage="1" errorTitle="Неверно указано Количество" error="минимальное количество для заказа = 3" sqref="L1157">
      <formula1>3</formula1>
      <formula2>87</formula2>
    </dataValidation>
    <dataValidation type="decimal" allowBlank="1" showErrorMessage="1" errorTitle="Неверно указано Количество" error="минимальное количество для заказа = 3" sqref="L1159 L1737">
      <formula1>3</formula1>
      <formula2>78</formula2>
    </dataValidation>
    <dataValidation type="decimal" allowBlank="1" showErrorMessage="1" errorTitle="Неверно указано Количество" error="минимальное количество для заказа = 2" sqref="L1162 L1263 L1723">
      <formula1>2</formula1>
      <formula2>272</formula2>
    </dataValidation>
    <dataValidation type="decimal" allowBlank="1" showErrorMessage="1" errorTitle="Неверно указано Количество" error="минимальное количество для заказа = 2" sqref="L1164">
      <formula1>2</formula1>
      <formula2>255</formula2>
    </dataValidation>
    <dataValidation type="decimal" allowBlank="1" showErrorMessage="1" errorTitle="Неверно указано Количество" error="минимальное количество для заказа = 2" sqref="L1165">
      <formula1>2</formula1>
      <formula2>251</formula2>
    </dataValidation>
    <dataValidation type="decimal" allowBlank="1" showErrorMessage="1" errorTitle="Неверно указано Количество" error="минимальное количество для заказа = 1" sqref="L1166 L5235">
      <formula1>1</formula1>
      <formula2>76</formula2>
    </dataValidation>
    <dataValidation type="decimal" allowBlank="1" showErrorMessage="1" errorTitle="Неверно указано Количество" error="минимальное количество для заказа = 2" sqref="L1168">
      <formula1>2</formula1>
      <formula2>34</formula2>
    </dataValidation>
    <dataValidation type="decimal" allowBlank="1" showErrorMessage="1" errorTitle="Неверно указано Количество" error="минимальное количество для заказа = 2" sqref="L1169 L1354 L2075 L2185 L3935">
      <formula1>2</formula1>
      <formula2>8</formula2>
    </dataValidation>
    <dataValidation type="decimal" allowBlank="1" showErrorMessage="1" errorTitle="Неверно указано Количество" error="минимальное количество для заказа = 2" sqref="L1170">
      <formula1>2</formula1>
      <formula2>62</formula2>
    </dataValidation>
    <dataValidation type="decimal" allowBlank="1" showErrorMessage="1" errorTitle="Неверно указано Количество" error="минимальное количество для заказа = 2" sqref="L1171">
      <formula1>2</formula1>
      <formula2>23</formula2>
    </dataValidation>
    <dataValidation type="decimal" allowBlank="1" showErrorMessage="1" errorTitle="Неверно указано Количество" error="минимальное количество для заказа = 1" sqref="L1172 L1230 L1382 L1394 L1535 L1833 L1866 L1954 L2004 L2020 L2889 L2895 L3266 L3309 L3845 L3925 L5128">
      <formula1>1</formula1>
      <formula2>9</formula2>
    </dataValidation>
    <dataValidation type="decimal" allowBlank="1" showErrorMessage="1" errorTitle="Неверно указано Количество" error="минимальное количество для заказа = 2" sqref="L1179">
      <formula1>2</formula1>
      <formula2>442</formula2>
    </dataValidation>
    <dataValidation type="decimal" allowBlank="1" showErrorMessage="1" errorTitle="Неверно указано Количество" error="минимальное количество для заказа = 2" sqref="L1180">
      <formula1>2</formula1>
      <formula2>72</formula2>
    </dataValidation>
    <dataValidation type="decimal" allowBlank="1" showErrorMessage="1" errorTitle="Неверно указано Количество" error="минимальное количество для заказа = 2" sqref="L1181 L1223 L1284">
      <formula1>2</formula1>
      <formula2>317</formula2>
    </dataValidation>
    <dataValidation type="decimal" allowBlank="1" showErrorMessage="1" errorTitle="Неверно указано Количество" error="минимальное количество для заказа = 2" sqref="L1190">
      <formula1>2</formula1>
      <formula2>181</formula2>
    </dataValidation>
    <dataValidation type="decimal" allowBlank="1" showErrorMessage="1" errorTitle="Неверно указано Количество" error="минимальное количество для заказа = 2" sqref="L1193">
      <formula1>2</formula1>
      <formula2>242</formula2>
    </dataValidation>
    <dataValidation type="decimal" allowBlank="1" showErrorMessage="1" errorTitle="Неверно указано Количество" error="минимальное количество для заказа = 1" sqref="L1196">
      <formula1>1</formula1>
      <formula2>409</formula2>
    </dataValidation>
    <dataValidation type="decimal" allowBlank="1" showErrorMessage="1" errorTitle="Неверно указано Количество" error="минимальное количество для заказа = 1" sqref="L1197 L3704">
      <formula1>1</formula1>
      <formula2>203</formula2>
    </dataValidation>
    <dataValidation type="decimal" allowBlank="1" showErrorMessage="1" errorTitle="Неверно указано Количество" error="минимальное количество для заказа = 1" sqref="L1198 L2924 L3573 L5191">
      <formula1>1</formula1>
      <formula2>284</formula2>
    </dataValidation>
    <dataValidation type="decimal" allowBlank="1" showErrorMessage="1" errorTitle="Неверно указано Количество" error="минимальное количество для заказа = 1" sqref="L1200 L1696 L1841 L3698 L5179">
      <formula1>1</formula1>
      <formula2>25</formula2>
    </dataValidation>
    <dataValidation type="decimal" allowBlank="1" showErrorMessage="1" errorTitle="Неверно указано Количество" error="минимальное количество для заказа = 1" sqref="L1202 L5158">
      <formula1>1</formula1>
      <formula2>476</formula2>
    </dataValidation>
    <dataValidation type="decimal" allowBlank="1" showErrorMessage="1" errorTitle="Неверно указано Количество" error="минимальное количество для заказа = 2" sqref="L1207">
      <formula1>2</formula1>
      <formula2>196</formula2>
    </dataValidation>
    <dataValidation type="decimal" allowBlank="1" showErrorMessage="1" errorTitle="Неверно указано Количество" error="минимальное количество для заказа = 1" sqref="L1208 L1807 L2016 L4475 L4484">
      <formula1>1</formula1>
      <formula2>84</formula2>
    </dataValidation>
    <dataValidation type="decimal" allowBlank="1" showErrorMessage="1" errorTitle="Неверно указано Количество" error="минимальное количество для заказа = 1" sqref="L1210">
      <formula1>1</formula1>
      <formula2>365</formula2>
    </dataValidation>
    <dataValidation type="decimal" allowBlank="1" showErrorMessage="1" errorTitle="Неверно указано Количество" error="минимальное количество для заказа = 1" sqref="L1212">
      <formula1>1</formula1>
      <formula2>261</formula2>
    </dataValidation>
    <dataValidation type="decimal" allowBlank="1" showErrorMessage="1" errorTitle="Неверно указано Количество" error="минимальное количество для заказа = 2" sqref="L1215 L2658:L2659">
      <formula1>2</formula1>
      <formula2>306</formula2>
    </dataValidation>
    <dataValidation type="decimal" allowBlank="1" showErrorMessage="1" errorTitle="Неверно указано Количество" error="минимальное количество для заказа = 2" sqref="L1216">
      <formula1>2</formula1>
      <formula2>279</formula2>
    </dataValidation>
    <dataValidation type="decimal" allowBlank="1" showErrorMessage="1" errorTitle="Неверно указано Количество" error="минимальное количество для заказа = 2" sqref="L1217 L1387 L1615">
      <formula1>2</formula1>
      <formula2>249</formula2>
    </dataValidation>
    <dataValidation type="decimal" allowBlank="1" showErrorMessage="1" errorTitle="Неверно указано Количество" error="минимальное количество для заказа = 2" sqref="L1218">
      <formula1>2</formula1>
      <formula2>458</formula2>
    </dataValidation>
    <dataValidation type="decimal" allowBlank="1" showErrorMessage="1" errorTitle="Неверно указано Количество" error="минимальное количество для заказа = 1" sqref="L1219 L2740">
      <formula1>1</formula1>
      <formula2>44</formula2>
    </dataValidation>
    <dataValidation type="decimal" allowBlank="1" showErrorMessage="1" errorTitle="Неверно указано Количество" error="минимальное количество для заказа = 2" sqref="L1221">
      <formula1>2</formula1>
      <formula2>496</formula2>
    </dataValidation>
    <dataValidation type="decimal" allowBlank="1" showErrorMessage="1" errorTitle="Неверно указано Количество" error="минимальное количество для заказа = 2" sqref="L1222">
      <formula1>2</formula1>
      <formula2>426</formula2>
    </dataValidation>
    <dataValidation type="decimal" allowBlank="1" showErrorMessage="1" errorTitle="Неверно указано Количество" error="минимальное количество для заказа = 2" sqref="L1224">
      <formula1>2</formula1>
      <formula2>444</formula2>
    </dataValidation>
    <dataValidation type="decimal" allowBlank="1" showErrorMessage="1" errorTitle="Неверно указано Количество" error="минимальное количество для заказа = 2" sqref="L1226 L2656 L3622">
      <formula1>2</formula1>
      <formula2>290</formula2>
    </dataValidation>
    <dataValidation type="decimal" allowBlank="1" showErrorMessage="1" errorTitle="Неверно указано Количество" error="минимальное количество для заказа = 2" sqref="L1229">
      <formula1>2</formula1>
      <formula2>452</formula2>
    </dataValidation>
    <dataValidation type="decimal" allowBlank="1" showErrorMessage="1" errorTitle="Неверно указано Количество" error="минимальное количество для заказа = 2" sqref="L1232">
      <formula1>2</formula1>
      <formula2>7</formula2>
    </dataValidation>
    <dataValidation type="decimal" allowBlank="1" showErrorMessage="1" errorTitle="Неверно указано Количество" error="минимальное количество для заказа = 2" sqref="L1233">
      <formula1>2</formula1>
      <formula2>98</formula2>
    </dataValidation>
    <dataValidation type="decimal" allowBlank="1" showErrorMessage="1" errorTitle="Неверно указано Количество" error="минимальное количество для заказа = 2" sqref="L1239 L1249">
      <formula1>2</formula1>
      <formula2>9</formula2>
    </dataValidation>
    <dataValidation type="decimal" allowBlank="1" showErrorMessage="1" errorTitle="Неверно указано Количество" error="минимальное количество для заказа = 2" sqref="L1240">
      <formula1>2</formula1>
      <formula2>161</formula2>
    </dataValidation>
    <dataValidation type="decimal" allowBlank="1" showErrorMessage="1" errorTitle="Неверно указано Количество" error="минимальное количество для заказа = 1" sqref="L1241 L1731 L3106">
      <formula1>1</formula1>
      <formula2>28</formula2>
    </dataValidation>
    <dataValidation type="decimal" allowBlank="1" showErrorMessage="1" errorTitle="Неверно указано Количество" error="минимальное количество для заказа = 2" sqref="L1244">
      <formula1>2</formula1>
      <formula2>416</formula2>
    </dataValidation>
    <dataValidation type="decimal" allowBlank="1" showErrorMessage="1" errorTitle="Неверно указано Количество" error="минимальное количество для заказа = 2" sqref="L1245">
      <formula1>2</formula1>
      <formula2>138</formula2>
    </dataValidation>
    <dataValidation type="decimal" allowBlank="1" showErrorMessage="1" errorTitle="Неверно указано Количество" error="минимальное количество для заказа = 2" sqref="L1246">
      <formula1>2</formula1>
      <formula2>278</formula2>
    </dataValidation>
    <dataValidation type="decimal" allowBlank="1" showErrorMessage="1" errorTitle="Неверно указано Количество" error="минимальное количество для заказа = 1" sqref="L1247 L1774 L1874 L2699 L4746">
      <formula1>1</formula1>
      <formula2>23</formula2>
    </dataValidation>
    <dataValidation type="decimal" allowBlank="1" showErrorMessage="1" errorTitle="Неверно указано Количество" error="минимальное количество для заказа = 2" sqref="L1251">
      <formula1>2</formula1>
      <formula2>399</formula2>
    </dataValidation>
    <dataValidation type="decimal" allowBlank="1" showErrorMessage="1" errorTitle="Неверно указано Количество" error="минимальное количество для заказа = 2" sqref="L1252">
      <formula1>2</formula1>
      <formula2>263</formula2>
    </dataValidation>
    <dataValidation type="decimal" allowBlank="1" showErrorMessage="1" errorTitle="Неверно указано Количество" error="минимальное количество для заказа = 2" sqref="L1254">
      <formula1>2</formula1>
      <formula2>26</formula2>
    </dataValidation>
    <dataValidation type="decimal" allowBlank="1" showErrorMessage="1" errorTitle="Неверно указано Количество" error="минимальное количество для заказа = 2" sqref="L1261">
      <formula1>2</formula1>
      <formula2>243</formula2>
    </dataValidation>
    <dataValidation type="decimal" allowBlank="1" showErrorMessage="1" errorTitle="Неверно указано Количество" error="минимальное количество для заказа = 2" sqref="L1270">
      <formula1>2</formula1>
      <formula2>319</formula2>
    </dataValidation>
    <dataValidation type="decimal" allowBlank="1" showErrorMessage="1" errorTitle="Неверно указано Количество" error="минимальное количество для заказа = 2" sqref="L1271">
      <formula1>2</formula1>
      <formula2>355</formula2>
    </dataValidation>
    <dataValidation type="decimal" allowBlank="1" showErrorMessage="1" errorTitle="Неверно указано Количество" error="минимальное количество для заказа = 1" sqref="L1274">
      <formula1>1</formula1>
      <formula2>87</formula2>
    </dataValidation>
    <dataValidation type="decimal" allowBlank="1" showErrorMessage="1" errorTitle="Неверно указано Количество" error="минимальное количество для заказа = 2" sqref="L1276">
      <formula1>2</formula1>
      <formula2>302</formula2>
    </dataValidation>
    <dataValidation type="decimal" allowBlank="1" showErrorMessage="1" errorTitle="Неверно указано Количество" error="минимальное количество для заказа = 2" sqref="L1282">
      <formula1>2</formula1>
      <formula2>149</formula2>
    </dataValidation>
    <dataValidation type="decimal" allowBlank="1" showErrorMessage="1" errorTitle="Неверно указано Количество" error="минимальное количество для заказа = 2" sqref="L1283">
      <formula1>2</formula1>
      <formula2>352</formula2>
    </dataValidation>
    <dataValidation type="decimal" allowBlank="1" showErrorMessage="1" errorTitle="Неверно указано Количество" error="минимальное количество для заказа = 2" sqref="L1285">
      <formula1>2</formula1>
      <formula2>175</formula2>
    </dataValidation>
    <dataValidation type="decimal" allowBlank="1" showErrorMessage="1" errorTitle="Неверно указано Количество" error="минимальное количество для заказа = 1" sqref="L1286 L2046">
      <formula1>1</formula1>
      <formula2>170</formula2>
    </dataValidation>
    <dataValidation type="decimal" allowBlank="1" showErrorMessage="1" errorTitle="Неверно указано Количество" error="минимальное количество для заказа = 2" sqref="L1288 L1405">
      <formula1>2</formula1>
      <formula2>303</formula2>
    </dataValidation>
    <dataValidation type="decimal" allowBlank="1" showErrorMessage="1" errorTitle="Неверно указано Количество" error="минимальное количество для заказа = 2" sqref="L1290">
      <formula1>2</formula1>
      <formula2>148</formula2>
    </dataValidation>
    <dataValidation type="decimal" allowBlank="1" showErrorMessage="1" errorTitle="Неверно указано Количество" error="минимальное количество для заказа = 2" sqref="L1291 L3963">
      <formula1>2</formula1>
      <formula2>382</formula2>
    </dataValidation>
    <dataValidation type="decimal" allowBlank="1" showErrorMessage="1" errorTitle="Неверно указано Количество" error="минимальное количество для заказа = 1" sqref="L1293 L5137">
      <formula1>1</formula1>
      <formula2>463</formula2>
    </dataValidation>
    <dataValidation type="decimal" allowBlank="1" showErrorMessage="1" errorTitle="Неверно указано Количество" error="минимальное количество для заказа = 2" sqref="L1294">
      <formula1>2</formula1>
      <formula2>122</formula2>
    </dataValidation>
    <dataValidation type="decimal" allowBlank="1" showErrorMessage="1" errorTitle="Неверно указано Количество" error="минимальное количество для заказа = 2" sqref="L1295 L1705 L3913">
      <formula1>2</formula1>
      <formula2>94</formula2>
    </dataValidation>
    <dataValidation type="decimal" allowBlank="1" showErrorMessage="1" errorTitle="Неверно указано Количество" error="минимальное количество для заказа = 2" sqref="L1296">
      <formula1>2</formula1>
      <formula2>204</formula2>
    </dataValidation>
    <dataValidation type="decimal" allowBlank="1" showErrorMessage="1" errorTitle="Неверно указано Количество" error="минимальное количество для заказа = 2" sqref="L1301 L2078 L1237:L1238">
      <formula1>2</formula1>
      <formula2>20</formula2>
    </dataValidation>
    <dataValidation type="decimal" allowBlank="1" showErrorMessage="1" errorTitle="Неверно указано Количество" error="минимальное количество для заказа = 1" sqref="L1302 L5295">
      <formula1>1</formula1>
      <formula2>206</formula2>
    </dataValidation>
    <dataValidation type="decimal" allowBlank="1" showErrorMessage="1" errorTitle="Неверно указано Количество" error="минимальное количество для заказа = 1" sqref="L1303 L1528 L1953 L2048">
      <formula1>1</formula1>
      <formula2>225</formula2>
    </dataValidation>
    <dataValidation type="decimal" allowBlank="1" showErrorMessage="1" errorTitle="Неверно указано Количество" error="минимальное количество для заказа = 1" sqref="L1304 L1374 L1521 L1844 L2062 L2726 L5258 L5305">
      <formula1>1</formula1>
      <formula2>10</formula2>
    </dataValidation>
    <dataValidation type="decimal" allowBlank="1" showErrorMessage="1" errorTitle="Неверно указано Количество" error="минимальное количество для заказа = 4" sqref="L1305">
      <formula1>4</formula1>
      <formula2>316</formula2>
    </dataValidation>
    <dataValidation type="decimal" allowBlank="1" showErrorMessage="1" errorTitle="Неверно указано Количество" error="минимальное количество для заказа = 3" sqref="L1308">
      <formula1>3</formula1>
      <formula2>489</formula2>
    </dataValidation>
    <dataValidation type="decimal" allowBlank="1" showErrorMessage="1" errorTitle="Неверно указано Количество" error="минимальное количество для заказа = 3" sqref="L1311">
      <formula1>3</formula1>
      <formula2>23</formula2>
    </dataValidation>
    <dataValidation type="decimal" allowBlank="1" showErrorMessage="1" errorTitle="Неверно указано Количество" error="минимальное количество для заказа = 3" sqref="L1314">
      <formula1>3</formula1>
      <formula2>306</formula2>
    </dataValidation>
    <dataValidation type="decimal" allowBlank="1" showErrorMessage="1" errorTitle="Неверно указано Количество" error="минимальное количество для заказа = 3" sqref="L1315">
      <formula1>3</formula1>
      <formula2>271</formula2>
    </dataValidation>
    <dataValidation type="decimal" allowBlank="1" showErrorMessage="1" errorTitle="Неверно указано Количество" error="минимальное количество для заказа = 3" sqref="L1318">
      <formula1>3</formula1>
      <formula2>349</formula2>
    </dataValidation>
    <dataValidation type="decimal" allowBlank="1" showErrorMessage="1" errorTitle="Неверно указано Количество" error="минимальное количество для заказа = 3" sqref="L1319">
      <formula1>3</formula1>
      <formula2>216</formula2>
    </dataValidation>
    <dataValidation type="decimal" allowBlank="1" showErrorMessage="1" errorTitle="Неверно указано Количество" error="минимальное количество для заказа = 2" sqref="L1327 L1725 L3249">
      <formula1>2</formula1>
      <formula2>113</formula2>
    </dataValidation>
    <dataValidation type="decimal" allowBlank="1" showErrorMessage="1" errorTitle="Неверно указано Количество" error="минимальное количество для заказа = 1" sqref="L1329 L1862">
      <formula1>1</formula1>
      <formula2>393</formula2>
    </dataValidation>
    <dataValidation type="decimal" allowBlank="1" showErrorMessage="1" errorTitle="Неверно указано Количество" error="минимальное количество для заказа = 1" sqref="L1332 L1715 L1840 L2744 L3255 L3372 L3677">
      <formula1>1</formula1>
      <formula2>43</formula2>
    </dataValidation>
    <dataValidation type="decimal" allowBlank="1" showErrorMessage="1" errorTitle="Неверно указано Количество" error="минимальное количество для заказа = 1" sqref="L1333 L1920:L1921">
      <formula1>1</formula1>
      <formula2>327</formula2>
    </dataValidation>
    <dataValidation type="decimal" allowBlank="1" showErrorMessage="1" errorTitle="Неверно указано Количество" error="минимальное количество для заказа = 1" sqref="L1334 L1836 L3213">
      <formula1>1</formula1>
      <formula2>122</formula2>
    </dataValidation>
    <dataValidation type="decimal" allowBlank="1" showErrorMessage="1" errorTitle="Неверно указано Количество" error="минимальное количество для заказа = 1" sqref="L1337 L2194">
      <formula1>1</formula1>
      <formula2>101</formula2>
    </dataValidation>
    <dataValidation type="decimal" allowBlank="1" showErrorMessage="1" errorTitle="Неверно указано Количество" error="минимальное количество для заказа = 3" sqref="L1341">
      <formula1>3</formula1>
      <formula2>220</formula2>
    </dataValidation>
    <dataValidation type="decimal" allowBlank="1" showErrorMessage="1" errorTitle="Неверно указано Количество" error="минимальное количество для заказа = 3" sqref="L1342">
      <formula1>3</formula1>
      <formula2>214</formula2>
    </dataValidation>
    <dataValidation type="decimal" allowBlank="1" showErrorMessage="1" errorTitle="Неверно указано Количество" error="минимальное количество для заказа = 3" sqref="L1343 L3759 L4516">
      <formula1>3</formula1>
      <formula2>6</formula2>
    </dataValidation>
    <dataValidation type="decimal" allowBlank="1" showErrorMessage="1" errorTitle="Неверно указано Количество" error="минимальное количество для заказа = 3" sqref="L1345">
      <formula1>3</formula1>
      <formula2>124</formula2>
    </dataValidation>
    <dataValidation type="decimal" allowBlank="1" showErrorMessage="1" errorTitle="Неверно указано Количество" error="минимальное количество для заказа = 4" sqref="L1346">
      <formula1>4</formula1>
      <formula2>410</formula2>
    </dataValidation>
    <dataValidation type="decimal" allowBlank="1" showErrorMessage="1" errorTitle="Неверно указано Количество" error="минимальное количество для заказа = 2" sqref="L1351">
      <formula1>2</formula1>
      <formula2>173</formula2>
    </dataValidation>
    <dataValidation type="decimal" allowBlank="1" showErrorMessage="1" errorTitle="Неверно указано Количество" error="минимальное количество для заказа = 2" sqref="L1352">
      <formula1>2</formula1>
      <formula2>211</formula2>
    </dataValidation>
    <dataValidation type="decimal" allowBlank="1" showErrorMessage="1" errorTitle="Неверно указано Количество" error="минимальное количество для заказа = 3" sqref="L1353">
      <formula1>3</formula1>
      <formula2>472</formula2>
    </dataValidation>
    <dataValidation type="decimal" allowBlank="1" showErrorMessage="1" errorTitle="Неверно указано Количество" error="минимальное количество для заказа = 1" sqref="L1358">
      <formula1>1</formula1>
      <formula2>243</formula2>
    </dataValidation>
    <dataValidation type="decimal" allowBlank="1" showErrorMessage="1" errorTitle="Неверно указано Количество" error="минимальное количество для заказа = 1" sqref="L1365 L1852 L2009 L4467 L5180">
      <formula1>1</formula1>
      <formula2>90</formula2>
    </dataValidation>
    <dataValidation type="decimal" allowBlank="1" showErrorMessage="1" errorTitle="Неверно указано Количество" error="минимальное количество для заказа = 1" sqref="L1366 L4779 L5288">
      <formula1>1</formula1>
      <formula2>98</formula2>
    </dataValidation>
    <dataValidation type="decimal" allowBlank="1" showErrorMessage="1" errorTitle="Неверно указано Количество" error="минимальное количество для заказа = 1" sqref="L1370">
      <formula1>1</formula1>
      <formula2>104</formula2>
    </dataValidation>
    <dataValidation type="decimal" allowBlank="1" showErrorMessage="1" errorTitle="Неверно указано Количество" error="минимальное количество для заказа = 1" sqref="L1371 L1948 L3749 L3829">
      <formula1>1</formula1>
      <formula2>93</formula2>
    </dataValidation>
    <dataValidation type="decimal" allowBlank="1" showErrorMessage="1" errorTitle="Неверно указано Количество" error="минимальное количество для заказа = 1" sqref="L1373 L5231">
      <formula1>1</formula1>
      <formula2>195</formula2>
    </dataValidation>
    <dataValidation type="decimal" allowBlank="1" showErrorMessage="1" errorTitle="Неверно указано Количество" error="минимальное количество для заказа = 1" sqref="L1376 L1957 L1982 L2717 L2723 L3830">
      <formula1>1</formula1>
      <formula2>24</formula2>
    </dataValidation>
    <dataValidation type="decimal" allowBlank="1" showErrorMessage="1" errorTitle="Неверно указано Количество" error="минимальное количество для заказа = 1" sqref="L1379 L3064">
      <formula1>1</formula1>
      <formula2>50</formula2>
    </dataValidation>
    <dataValidation type="decimal" allowBlank="1" showErrorMessage="1" errorTitle="Неверно указано Количество" error="минимальное количество для заказа = 1" sqref="L1383 L4782">
      <formula1>1</formula1>
      <formula2>34</formula2>
    </dataValidation>
    <dataValidation type="decimal" allowBlank="1" showErrorMessage="1" errorTitle="Неверно указано Количество" error="минимальное количество для заказа = 1" sqref="L1384 L1716 L3458">
      <formula1>1</formula1>
      <formula2>60</formula2>
    </dataValidation>
    <dataValidation type="decimal" allowBlank="1" showErrorMessage="1" errorTitle="Неверно указано Количество" error="минимальное количество для заказа = 3" sqref="L1389">
      <formula1>3</formula1>
      <formula2>218</formula2>
    </dataValidation>
    <dataValidation type="decimal" allowBlank="1" showErrorMessage="1" errorTitle="Неверно указано Количество" error="минимальное количество для заказа = 1" sqref="L1390">
      <formula1>1</formula1>
      <formula2>236</formula2>
    </dataValidation>
    <dataValidation type="decimal" allowBlank="1" showErrorMessage="1" errorTitle="Неверно указано Количество" error="минимальное количество для заказа = 3" sqref="L1391">
      <formula1>3</formula1>
      <formula2>426</formula2>
    </dataValidation>
    <dataValidation type="decimal" allowBlank="1" showErrorMessage="1" errorTitle="Неверно указано Количество" error="минимальное количество для заказа = 1" sqref="L1393 L2026 L2696 L3105 L3628">
      <formula1>1</formula1>
      <formula2>30</formula2>
    </dataValidation>
    <dataValidation type="decimal" allowBlank="1" showErrorMessage="1" errorTitle="Неверно указано Количество" error="минимальное количество для заказа = 1" sqref="L1397 L2038 L2899">
      <formula1>1</formula1>
      <formula2>279</formula2>
    </dataValidation>
    <dataValidation type="decimal" allowBlank="1" showErrorMessage="1" errorTitle="Неверно указано Количество" error="минимальное количество для заказа = 2" sqref="L1398">
      <formula1>2</formula1>
      <formula2>88</formula2>
    </dataValidation>
    <dataValidation type="decimal" allowBlank="1" showErrorMessage="1" errorTitle="Неверно указано Количество" error="минимальное количество для заказа = 2" sqref="L1399 L3235">
      <formula1>2</formula1>
      <formula2>359</formula2>
    </dataValidation>
    <dataValidation type="decimal" allowBlank="1" showErrorMessage="1" errorTitle="Неверно указано Количество" error="минимальное количество для заказа = 2" sqref="L1400">
      <formula1>2</formula1>
      <formula2>240</formula2>
    </dataValidation>
    <dataValidation type="decimal" allowBlank="1" showErrorMessage="1" errorTitle="Неверно указано Количество" error="минимальное количество для заказа = 2" sqref="L1404">
      <formula1>2</formula1>
      <formula2>224</formula2>
    </dataValidation>
    <dataValidation type="decimal" allowBlank="1" showErrorMessage="1" errorTitle="Неверно указано Количество" error="минимальное количество для заказа = 1" sqref="L1407 L1906 L3273 L3275">
      <formula1>1</formula1>
      <formula2>115</formula2>
    </dataValidation>
    <dataValidation type="decimal" allowBlank="1" showErrorMessage="1" errorTitle="Неверно указано Количество" error="минимальное количество для заказа = 1" sqref="L1410 L4482">
      <formula1>1</formula1>
      <formula2>123</formula2>
    </dataValidation>
    <dataValidation type="decimal" allowBlank="1" showErrorMessage="1" errorTitle="Неверно указано Количество" error="минимальное количество для заказа = 1" sqref="L1411">
      <formula1>1</formula1>
      <formula2>78</formula2>
    </dataValidation>
    <dataValidation type="decimal" allowBlank="1" showErrorMessage="1" errorTitle="Неверно указано Количество" error="минимальное количество для заказа = 1" sqref="L1413 L3440 L3784">
      <formula1>1</formula1>
      <formula2>102</formula2>
    </dataValidation>
    <dataValidation type="decimal" allowBlank="1" showErrorMessage="1" errorTitle="Неверно указано Количество" error="минимальное количество для заказа = 5" sqref="L1416">
      <formula1>5</formula1>
      <formula2>100</formula2>
    </dataValidation>
    <dataValidation type="decimal" allowBlank="1" showErrorMessage="1" errorTitle="Неверно указано Количество" error="минимальное количество для заказа = 5" sqref="L1418">
      <formula1>5</formula1>
      <formula2>192</formula2>
    </dataValidation>
    <dataValidation type="decimal" allowBlank="1" showErrorMessage="1" errorTitle="Неверно указано Количество" error="минимальное количество для заказа = 3" sqref="L1420">
      <formula1>3</formula1>
      <formula2>30</formula2>
    </dataValidation>
    <dataValidation type="decimal" allowBlank="1" showErrorMessage="1" errorTitle="Неверно указано Количество" error="минимальное количество для заказа = 3" sqref="L1423 L4414">
      <formula1>3</formula1>
      <formula2>199</formula2>
    </dataValidation>
    <dataValidation type="decimal" allowBlank="1" showErrorMessage="1" errorTitle="Неверно указано Количество" error="минимальное количество для заказа = 3" sqref="L1424">
      <formula1>3</formula1>
      <formula2>326</formula2>
    </dataValidation>
    <dataValidation type="decimal" allowBlank="1" showErrorMessage="1" errorTitle="Неверно указано Количество" error="минимальное количество для заказа = 3" sqref="L1425">
      <formula1>3</formula1>
      <formula2>486</formula2>
    </dataValidation>
    <dataValidation type="decimal" allowBlank="1" showErrorMessage="1" errorTitle="Неверно указано Количество" error="минимальное количество для заказа = 3" sqref="L1427">
      <formula1>3</formula1>
      <formula2>258</formula2>
    </dataValidation>
    <dataValidation type="decimal" allowBlank="1" showErrorMessage="1" errorTitle="Неверно указано Количество" error="минимальное количество для заказа = 3" sqref="L1428">
      <formula1>3</formula1>
      <formula2>50</formula2>
    </dataValidation>
    <dataValidation type="decimal" allowBlank="1" showErrorMessage="1" errorTitle="Неверно указано Количество" error="минимальное количество для заказа = 1" sqref="L1431 L1433 L3737">
      <formula1>1</formula1>
      <formula2>42</formula2>
    </dataValidation>
    <dataValidation type="decimal" allowBlank="1" showErrorMessage="1" errorTitle="Неверно указано Количество" error="минимальное количество для заказа = 1" sqref="L1434">
      <formula1>1</formula1>
      <formula2>133</formula2>
    </dataValidation>
    <dataValidation type="decimal" allowBlank="1" showErrorMessage="1" errorTitle="Неверно указано Количество" error="минимальное количество для заказа = 5" sqref="L1437">
      <formula1>5</formula1>
      <formula2>332</formula2>
    </dataValidation>
    <dataValidation type="decimal" allowBlank="1" showErrorMessage="1" errorTitle="Неверно указано Количество" error="минимальное количество для заказа = 1" sqref="L1440 L1745 L1768 L1988 L2021 L2730 L3470">
      <formula1>1</formula1>
      <formula2>11</formula2>
    </dataValidation>
    <dataValidation type="decimal" allowBlank="1" showErrorMessage="1" errorTitle="Неверно указано Количество" error="минимальное количество для заказа = 1" sqref="L1441 L3914 L3947 L1408:L1409 L3939:L3945">
      <formula1>1</formula1>
      <formula2>194</formula2>
    </dataValidation>
    <dataValidation type="decimal" allowBlank="1" showErrorMessage="1" errorTitle="Неверно указано Количество" error="минимальное количество для заказа = 1" sqref="L1442 L4433">
      <formula1>1</formula1>
      <formula2>304</formula2>
    </dataValidation>
    <dataValidation type="decimal" allowBlank="1" showErrorMessage="1" errorTitle="Неверно указано Количество" error="минимальное количество для заказа = 1" sqref="L1443">
      <formula1>1</formula1>
      <formula2>346</formula2>
    </dataValidation>
    <dataValidation type="decimal" allowBlank="1" showErrorMessage="1" errorTitle="Неверно указано Количество" error="минимальное количество для заказа = 1" sqref="L1445 L3058 L3826:L3827">
      <formula1>1</formula1>
      <formula2>158</formula2>
    </dataValidation>
    <dataValidation type="decimal" allowBlank="1" showErrorMessage="1" errorTitle="Неверно указано Количество" error="минимальное количество для заказа = 1" sqref="L1446">
      <formula1>1</formula1>
      <formula2>352</formula2>
    </dataValidation>
    <dataValidation type="decimal" allowBlank="1" showErrorMessage="1" errorTitle="Неверно указано Количество" error="минимальное количество для заказа = 1" sqref="L1448 L4489">
      <formula1>1</formula1>
      <formula2>199</formula2>
    </dataValidation>
    <dataValidation type="decimal" allowBlank="1" showErrorMessage="1" errorTitle="Неверно указано Количество" error="минимальное количество для заказа = 1" sqref="L1451">
      <formula1>1</formula1>
      <formula2>268</formula2>
    </dataValidation>
    <dataValidation type="decimal" allowBlank="1" showErrorMessage="1" errorTitle="Неверно указано Количество" error="минимальное количество для заказа = 1" sqref="L1452 L2872">
      <formula1>1</formula1>
      <formula2>235</formula2>
    </dataValidation>
    <dataValidation type="decimal" allowBlank="1" showErrorMessage="1" errorTitle="Неверно указано Количество" error="минимальное количество для заказа = 1" sqref="L1453 L1799 L4478">
      <formula1>1</formula1>
      <formula2>174</formula2>
    </dataValidation>
    <dataValidation type="decimal" allowBlank="1" showErrorMessage="1" errorTitle="Неверно указано Количество" error="минимальное количество для заказа = 1" sqref="L1454 L3883">
      <formula1>1</formula1>
      <formula2>388</formula2>
    </dataValidation>
    <dataValidation type="decimal" allowBlank="1" showErrorMessage="1" errorTitle="Неверно указано Количество" error="минимальное количество для заказа = 1" sqref="L1455 L4473">
      <formula1>1</formula1>
      <formula2>136</formula2>
    </dataValidation>
    <dataValidation type="decimal" allowBlank="1" showErrorMessage="1" errorTitle="Неверно указано Количество" error="минимальное количество для заказа = 2" sqref="L1457">
      <formula1>2</formula1>
      <formula2>39</formula2>
    </dataValidation>
    <dataValidation type="decimal" allowBlank="1" showErrorMessage="1" errorTitle="Неверно указано Количество" error="минимальное количество для заказа = 2" sqref="L1458">
      <formula1>2</formula1>
      <formula2>85</formula2>
    </dataValidation>
    <dataValidation type="decimal" allowBlank="1" showErrorMessage="1" errorTitle="Неверно указано Количество" error="минимальное количество для заказа = 2" sqref="L1460">
      <formula1>2</formula1>
      <formula2>203</formula2>
    </dataValidation>
    <dataValidation type="decimal" allowBlank="1" showErrorMessage="1" errorTitle="Неверно указано Количество" error="минимальное количество для заказа = 2" sqref="L1462">
      <formula1>2</formula1>
      <formula2>357</formula2>
    </dataValidation>
    <dataValidation type="decimal" allowBlank="1" showErrorMessage="1" errorTitle="Неверно указано Количество" error="минимальное количество для заказа = 2" sqref="L1463">
      <formula1>2</formula1>
      <formula2>14</formula2>
    </dataValidation>
    <dataValidation type="decimal" allowBlank="1" showErrorMessage="1" errorTitle="Неверно указано Количество" error="минимальное количество для заказа = 1" sqref="L1466 L1712">
      <formula1>1</formula1>
      <formula2>56</formula2>
    </dataValidation>
    <dataValidation type="decimal" allowBlank="1" showErrorMessage="1" errorTitle="Неверно указано Количество" error="минимальное количество для заказа = 1" sqref="L1469 L1927 L3488">
      <formula1>1</formula1>
      <formula2>299</formula2>
    </dataValidation>
    <dataValidation type="decimal" allowBlank="1" showErrorMessage="1" errorTitle="Неверно указано Количество" error="минимальное количество для заказа = 1" sqref="L1471">
      <formula1>1</formula1>
      <formula2>130</formula2>
    </dataValidation>
    <dataValidation type="decimal" allowBlank="1" showErrorMessage="1" errorTitle="Неверно указано Количество" error="минимальное количество для заказа = 1" sqref="L1472 L1524 L1899">
      <formula1>1</formula1>
      <formula2>77</formula2>
    </dataValidation>
    <dataValidation type="decimal" allowBlank="1" showErrorMessage="1" errorTitle="Неверно указано Количество" error="минимальное количество для заказа = 1" sqref="L1479 L1726 L1732 L2073 L2711 L5239">
      <formula1>1</formula1>
      <formula2>14</formula2>
    </dataValidation>
    <dataValidation type="decimal" allowBlank="1" showErrorMessage="1" errorTitle="Неверно указано Количество" error="минимальное количество для заказа = 1" sqref="L1480 L1873 L2030">
      <formula1>1</formula1>
      <formula2>49</formula2>
    </dataValidation>
    <dataValidation type="decimal" allowBlank="1" showErrorMessage="1" errorTitle="Неверно указано Количество" error="минимальное количество для заказа = 1" sqref="L1482">
      <formula1>1</formula1>
      <formula2>341</formula2>
    </dataValidation>
    <dataValidation type="decimal" allowBlank="1" showErrorMessage="1" errorTitle="Неверно указано Количество" error="минимальное количество для заказа = 1" sqref="L1483 L2200">
      <formula1>1</formula1>
      <formula2>447</formula2>
    </dataValidation>
    <dataValidation type="decimal" allowBlank="1" showErrorMessage="1" errorTitle="Неверно указано Количество" error="минимальное количество для заказа = 4" sqref="L1488 L4754">
      <formula1>4</formula1>
      <formula2>5</formula2>
    </dataValidation>
    <dataValidation type="decimal" allowBlank="1" showErrorMessage="1" errorTitle="Неверно указано Количество" error="минимальное количество для заказа = 3" sqref="L1496">
      <formula1>3</formula1>
      <formula2>44</formula2>
    </dataValidation>
    <dataValidation type="decimal" allowBlank="1" showErrorMessage="1" errorTitle="Неверно указано Количество" error="минимальное количество для заказа = 4" sqref="L1498">
      <formula1>4</formula1>
      <formula2>294</formula2>
    </dataValidation>
    <dataValidation type="decimal" allowBlank="1" showErrorMessage="1" errorTitle="Неверно указано Количество" error="минимальное количество для заказа = 4" sqref="L1499 L4555">
      <formula1>4</formula1>
      <formula2>90</formula2>
    </dataValidation>
    <dataValidation type="decimal" allowBlank="1" showErrorMessage="1" errorTitle="Неверно указано Количество" error="минимальное количество для заказа = 5" sqref="L1500">
      <formula1>5</formula1>
      <formula2>191</formula2>
    </dataValidation>
    <dataValidation type="decimal" allowBlank="1" showErrorMessage="1" errorTitle="Неверно указано Количество" error="минимальное количество для заказа = 1" sqref="L1515 L1889 L3101">
      <formula1>1</formula1>
      <formula2>179</formula2>
    </dataValidation>
    <dataValidation type="decimal" allowBlank="1" showErrorMessage="1" errorTitle="Неверно указано Количество" error="минимальное количество для заказа = 4" sqref="L1536 L3921">
      <formula1>4</formula1>
      <formula2>6</formula2>
    </dataValidation>
    <dataValidation type="decimal" allowBlank="1" showErrorMessage="1" errorTitle="Неверно указано Количество" error="минимальное количество для заказа = 2" sqref="L1538">
      <formula1>2</formula1>
      <formula2>424</formula2>
    </dataValidation>
    <dataValidation type="decimal" allowBlank="1" showErrorMessage="1" errorTitle="Неверно указано Количество" error="минимальное количество для заказа = 2" sqref="L1539 L3575">
      <formula1>2</formula1>
      <formula2>295</formula2>
    </dataValidation>
    <dataValidation type="decimal" allowBlank="1" showErrorMessage="1" errorTitle="Неверно указано Количество" error="минимальное количество для заказа = 4" sqref="L1540">
      <formula1>4</formula1>
      <formula2>45</formula2>
    </dataValidation>
    <dataValidation type="decimal" allowBlank="1" showErrorMessage="1" errorTitle="Неверно указано Количество" error="минимальное количество для заказа = 4" sqref="L1543">
      <formula1>4</formula1>
      <formula2>77</formula2>
    </dataValidation>
    <dataValidation type="decimal" allowBlank="1" showErrorMessage="1" errorTitle="Неверно указано Количество" error="минимальное количество для заказа = 4" sqref="L1544">
      <formula1>4</formula1>
      <formula2>300</formula2>
    </dataValidation>
    <dataValidation type="decimal" allowBlank="1" showErrorMessage="1" errorTitle="Неверно указано Количество" error="минимальное количество для заказа = 4" sqref="L1547">
      <formula1>4</formula1>
      <formula2>435</formula2>
    </dataValidation>
    <dataValidation type="decimal" allowBlank="1" showErrorMessage="1" errorTitle="Неверно указано Количество" error="минимальное количество для заказа = 4" sqref="L1548">
      <formula1>4</formula1>
      <formula2>332</formula2>
    </dataValidation>
    <dataValidation type="decimal" allowBlank="1" showErrorMessage="1" errorTitle="Неверно указано Количество" error="минимальное количество для заказа = 4" sqref="L1551">
      <formula1>4</formula1>
      <formula2>207</formula2>
    </dataValidation>
    <dataValidation type="decimal" allowBlank="1" showErrorMessage="1" errorTitle="Неверно указано Количество" error="минимальное количество для заказа = 3" sqref="L1553">
      <formula1>3</formula1>
      <formula2>190</formula2>
    </dataValidation>
    <dataValidation type="decimal" allowBlank="1" showErrorMessage="1" errorTitle="Неверно указано Количество" error="минимальное количество для заказа = 10" sqref="L1563">
      <formula1>10</formula1>
      <formula2>109</formula2>
    </dataValidation>
    <dataValidation type="decimal" allowBlank="1" showErrorMessage="1" errorTitle="Неверно указано Количество" error="минимальное количество для заказа = 5" sqref="L1564">
      <formula1>5</formula1>
      <formula2>28</formula2>
    </dataValidation>
    <dataValidation type="decimal" allowBlank="1" showErrorMessage="1" errorTitle="Неверно указано Количество" error="минимальное количество для заказа = 5" sqref="L1566">
      <formula1>5</formula1>
      <formula2>111</formula2>
    </dataValidation>
    <dataValidation type="decimal" allowBlank="1" showErrorMessage="1" errorTitle="Неверно указано Количество" error="минимальное количество для заказа = 6" sqref="L1576">
      <formula1>6</formula1>
      <formula2>6</formula2>
    </dataValidation>
    <dataValidation type="decimal" allowBlank="1" showErrorMessage="1" errorTitle="Неверно указано Количество" error="минимальное количество для заказа = 5" sqref="L1578">
      <formula1>5</formula1>
      <formula2>416</formula2>
    </dataValidation>
    <dataValidation type="decimal" allowBlank="1" showErrorMessage="1" errorTitle="Неверно указано Количество" error="минимальное количество для заказа = 4" sqref="L1588">
      <formula1>4</formula1>
      <formula2>345</formula2>
    </dataValidation>
    <dataValidation type="decimal" allowBlank="1" showErrorMessage="1" errorTitle="Неверно указано Количество" error="минимальное количество для заказа = 4" sqref="L1590">
      <formula1>4</formula1>
      <formula2>311</formula2>
    </dataValidation>
    <dataValidation type="decimal" allowBlank="1" showErrorMessage="1" errorTitle="Неверно указано Количество" error="минимальное количество для заказа = 6" sqref="L1595">
      <formula1>6</formula1>
      <formula2>303</formula2>
    </dataValidation>
    <dataValidation type="decimal" allowBlank="1" showErrorMessage="1" errorTitle="Неверно указано Количество" error="минимальное количество для заказа = 6" sqref="L1596">
      <formula1>6</formula1>
      <formula2>487</formula2>
    </dataValidation>
    <dataValidation type="decimal" allowBlank="1" showErrorMessage="1" errorTitle="Неверно указано Количество" error="минимальное количество для заказа = 6" sqref="L1597">
      <formula1>6</formula1>
      <formula2>446</formula2>
    </dataValidation>
    <dataValidation type="decimal" allowBlank="1" showErrorMessage="1" errorTitle="Неверно указано Количество" error="минимальное количество для заказа = 3" sqref="L1613">
      <formula1>3</formula1>
      <formula2>422</formula2>
    </dataValidation>
    <dataValidation type="decimal" allowBlank="1" showErrorMessage="1" errorTitle="Неверно указано Количество" error="минимальное количество для заказа = 1" sqref="L1614">
      <formula1>1</formula1>
      <formula2>498</formula2>
    </dataValidation>
    <dataValidation type="decimal" allowBlank="1" showErrorMessage="1" errorTitle="Неверно указано Количество" error="минимальное количество для заказа = 1" sqref="L1620">
      <formula1>1</formula1>
      <formula2>448</formula2>
    </dataValidation>
    <dataValidation type="decimal" allowBlank="1" showErrorMessage="1" errorTitle="Неверно указано Количество" error="минимальное количество для заказа = 2" sqref="L1625 L3298:L3299">
      <formula1>2</formula1>
      <formula2>209</formula2>
    </dataValidation>
    <dataValidation type="decimal" allowBlank="1" showErrorMessage="1" errorTitle="Неверно указано Количество" error="минимальное количество для заказа = 3" sqref="L1627">
      <formula1>3</formula1>
      <formula2>420</formula2>
    </dataValidation>
    <dataValidation type="decimal" allowBlank="1" showErrorMessage="1" errorTitle="Неверно указано Количество" error="минимальное количество для заказа = 1" sqref="L1630 L1785 L3524">
      <formula1>1</formula1>
      <formula2>39</formula2>
    </dataValidation>
    <dataValidation type="decimal" allowBlank="1" showErrorMessage="1" errorTitle="Неверно указано Количество" error="минимальное количество для заказа = 5" sqref="L1650">
      <formula1>5</formula1>
      <formula2>337</formula2>
    </dataValidation>
    <dataValidation type="decimal" allowBlank="1" showErrorMessage="1" errorTitle="Неверно указано Количество" error="минимальное количество для заказа = 12" sqref="L1654 L2317 L2367 L2490 L4191 L2440:L2441">
      <formula1>12</formula1>
      <formula2>12</formula2>
    </dataValidation>
    <dataValidation type="decimal" allowBlank="1" showErrorMessage="1" errorTitle="Неверно указано Количество" error="минимальное количество для заказа = 6" sqref="L1655">
      <formula1>6</formula1>
      <formula2>349</formula2>
    </dataValidation>
    <dataValidation type="decimal" allowBlank="1" showErrorMessage="1" errorTitle="Неверно указано Количество" error="минимальное количество для заказа = 5" sqref="L1661">
      <formula1>5</formula1>
      <formula2>403</formula2>
    </dataValidation>
    <dataValidation type="decimal" allowBlank="1" showErrorMessage="1" errorTitle="Неверно указано Количество" error="минимальное количество для заказа = 5" sqref="L1662">
      <formula1>5</formula1>
      <formula2>364</formula2>
    </dataValidation>
    <dataValidation type="decimal" allowBlank="1" showErrorMessage="1" errorTitle="Неверно указано Количество" error="минимальное количество для заказа = 10" sqref="L1672">
      <formula1>10</formula1>
      <formula2>493</formula2>
    </dataValidation>
    <dataValidation type="decimal" allowBlank="1" showErrorMessage="1" errorTitle="Неверно указано Количество" error="минимальное количество для заказа = 10" sqref="L1673 L2946">
      <formula1>10</formula1>
      <formula2>150</formula2>
    </dataValidation>
    <dataValidation type="decimal" allowBlank="1" showErrorMessage="1" errorTitle="Неверно указано Количество" error="минимальное количество для заказа = 10" sqref="L1678">
      <formula1>10</formula1>
      <formula2>221</formula2>
    </dataValidation>
    <dataValidation type="decimal" allowBlank="1" showErrorMessage="1" errorTitle="Неверно указано Количество" error="минимальное количество для заказа = 10" sqref="L1683">
      <formula1>10</formula1>
      <formula2>310</formula2>
    </dataValidation>
    <dataValidation type="decimal" allowBlank="1" showErrorMessage="1" errorTitle="Неверно указано Количество" error="минимальное количество для заказа = 10" sqref="L1684">
      <formula1>10</formula1>
      <formula2>113</formula2>
    </dataValidation>
    <dataValidation type="decimal" allowBlank="1" showErrorMessage="1" errorTitle="Неверно указано Количество" error="минимальное количество для заказа = 6" sqref="L1685">
      <formula1>6</formula1>
      <formula2>454</formula2>
    </dataValidation>
    <dataValidation type="decimal" allowBlank="1" showErrorMessage="1" errorTitle="Неверно указано Количество" error="минимальное количество для заказа = 10" sqref="L1686">
      <formula1>10</formula1>
      <formula2>336</formula2>
    </dataValidation>
    <dataValidation type="decimal" allowBlank="1" showErrorMessage="1" errorTitle="Неверно указано Количество" error="минимальное количество для заказа = 5" sqref="L1697">
      <formula1>5</formula1>
      <formula2>90</formula2>
    </dataValidation>
    <dataValidation type="decimal" allowBlank="1" showErrorMessage="1" errorTitle="Неверно указано Количество" error="минимальное количество для заказа = 1" sqref="L1698 L1814 L3729">
      <formula1>1</formula1>
      <formula2>141</formula2>
    </dataValidation>
    <dataValidation type="decimal" allowBlank="1" showErrorMessage="1" errorTitle="Неверно указано Количество" error="минимальное количество для заказа = 2" sqref="L1706">
      <formula1>2</formula1>
      <formula2>118</formula2>
    </dataValidation>
    <dataValidation type="decimal" allowBlank="1" showErrorMessage="1" errorTitle="Неверно указано Количество" error="минимальное количество для заказа = 3" sqref="L1707 L3843">
      <formula1>3</formula1>
      <formula2>38</formula2>
    </dataValidation>
    <dataValidation type="decimal" allowBlank="1" showErrorMessage="1" errorTitle="Неверно указано Количество" error="минимальное количество для заказа = 1" sqref="L1709">
      <formula1>1</formula1>
      <formula2>106</formula2>
    </dataValidation>
    <dataValidation type="decimal" allowBlank="1" showErrorMessage="1" errorTitle="Неверно указано Количество" error="минимальное количество для заказа = 1" sqref="L1710 L1827 L1970">
      <formula1>1</formula1>
      <formula2>79</formula2>
    </dataValidation>
    <dataValidation type="decimal" allowBlank="1" showErrorMessage="1" errorTitle="Неверно указано Количество" error="минимальное количество для заказа = 1" sqref="L1711 L1908 L5237">
      <formula1>1</formula1>
      <formula2>116</formula2>
    </dataValidation>
    <dataValidation type="decimal" allowBlank="1" showErrorMessage="1" errorTitle="Неверно указано Количество" error="минимальное количество для заказа = 1" sqref="L1717 L4464">
      <formula1>1</formula1>
      <formula2>53</formula2>
    </dataValidation>
    <dataValidation type="decimal" allowBlank="1" showErrorMessage="1" errorTitle="Неверно указано Количество" error="минимальное количество для заказа = 1" sqref="L1718 L3274 L3837 L5234">
      <formula1>1</formula1>
      <formula2>113</formula2>
    </dataValidation>
    <dataValidation type="decimal" allowBlank="1" showErrorMessage="1" errorTitle="Неверно указано Количество" error="минимальное количество для заказа = 3" sqref="L1720">
      <formula1>3</formula1>
      <formula2>378</formula2>
    </dataValidation>
    <dataValidation type="decimal" allowBlank="1" showErrorMessage="1" errorTitle="Неверно указано Количество" error="минимальное количество для заказа = 1" sqref="L1729 L2256 L2258 L3104 L3107 L3696 L5177 L5270">
      <formula1>1</formula1>
      <formula2>31</formula2>
    </dataValidation>
    <dataValidation type="decimal" allowBlank="1" showErrorMessage="1" errorTitle="Неверно указано Количество" error="минимальное количество для заказа = 1" sqref="L1730 L3060">
      <formula1>1</formula1>
      <formula2>40</formula2>
    </dataValidation>
    <dataValidation type="decimal" allowBlank="1" showErrorMessage="1" errorTitle="Неверно указано Количество" error="минимальное количество для заказа = 1" sqref="L1733">
      <formula1>1</formula1>
      <formula2>190</formula2>
    </dataValidation>
    <dataValidation type="decimal" allowBlank="1" showErrorMessage="1" errorTitle="Неверно указано Количество" error="минимальное количество для заказа = 1" sqref="L1734">
      <formula1>1</formula1>
      <formula2>216</formula2>
    </dataValidation>
    <dataValidation type="decimal" allowBlank="1" showErrorMessage="1" errorTitle="Неверно указано Количество" error="минимальное количество для заказа = 2" sqref="L1736 L2167">
      <formula1>2</formula1>
      <formula2>296</formula2>
    </dataValidation>
    <dataValidation type="decimal" allowBlank="1" showErrorMessage="1" errorTitle="Неверно указано Количество" error="минимальное количество для заказа = 3" sqref="L1738 L3220 L3819">
      <formula1>3</formula1>
      <formula2>410</formula2>
    </dataValidation>
    <dataValidation type="decimal" allowBlank="1" showErrorMessage="1" errorTitle="Неверно указано Количество" error="минимальное количество для заказа = 1" sqref="L1740">
      <formula1>1</formula1>
      <formula2>451</formula2>
    </dataValidation>
    <dataValidation type="decimal" allowBlank="1" showErrorMessage="1" errorTitle="Неверно указано Количество" error="минимальное количество для заказа = 1" sqref="L1748 L1960 L5169">
      <formula1>1</formula1>
      <formula2>205</formula2>
    </dataValidation>
    <dataValidation type="decimal" allowBlank="1" showErrorMessage="1" errorTitle="Неверно указано Количество" error="минимальное количество для заказа = 1" sqref="L1749 L1763">
      <formula1>1</formula1>
      <formula2>61</formula2>
    </dataValidation>
    <dataValidation type="decimal" allowBlank="1" showErrorMessage="1" errorTitle="Неверно указано Количество" error="минимальное количество для заказа = 1" sqref="L1751 L3642">
      <formula1>1</formula1>
      <formula2>237</formula2>
    </dataValidation>
    <dataValidation type="decimal" allowBlank="1" showErrorMessage="1" errorTitle="Неверно указано Количество" error="минимальное количество для заказа = 2" sqref="L1752">
      <formula1>2</formula1>
      <formula2>153</formula2>
    </dataValidation>
    <dataValidation type="decimal" allowBlank="1" showErrorMessage="1" errorTitle="Неверно указано Количество" error="минимальное количество для заказа = 1" sqref="L1754 L1883">
      <formula1>1</formula1>
      <formula2>319</formula2>
    </dataValidation>
    <dataValidation type="decimal" allowBlank="1" showErrorMessage="1" errorTitle="Неверно указано Количество" error="минимальное количество для заказа = 1" sqref="L1755 L3558">
      <formula1>1</formula1>
      <formula2>161</formula2>
    </dataValidation>
    <dataValidation type="decimal" allowBlank="1" showErrorMessage="1" errorTitle="Неверно указано Количество" error="минимальное количество для заказа = 1" sqref="L1757">
      <formula1>1</formula1>
      <formula2>334</formula2>
    </dataValidation>
    <dataValidation type="decimal" allowBlank="1" showErrorMessage="1" errorTitle="Неверно указано Количество" error="минимальное количество для заказа = 1" sqref="L1762 L2049 L3562 L4461">
      <formula1>1</formula1>
      <formula2>103</formula2>
    </dataValidation>
    <dataValidation type="decimal" allowBlank="1" showErrorMessage="1" errorTitle="Неверно указано Количество" error="минимальное количество для заказа = 1" sqref="L1764 L3089 L3095 L3352 L3503 L5133 L5135">
      <formula1>1</formula1>
      <formula2>232</formula2>
    </dataValidation>
    <dataValidation type="decimal" allowBlank="1" showErrorMessage="1" errorTitle="Неверно указано Количество" error="минимальное количество для заказа = 1" sqref="L1765">
      <formula1>1</formula1>
      <formula2>241</formula2>
    </dataValidation>
    <dataValidation type="decimal" allowBlank="1" showErrorMessage="1" errorTitle="Неверно указано Количество" error="минимальное количество для заказа = 1" sqref="L1766 L3139">
      <formula1>1</formula1>
      <formula2>162</formula2>
    </dataValidation>
    <dataValidation type="decimal" allowBlank="1" showErrorMessage="1" errorTitle="Неверно указано Количество" error="минимальное количество для заказа = 1" sqref="L1767">
      <formula1>1</formula1>
      <formula2>316</formula2>
    </dataValidation>
    <dataValidation type="decimal" allowBlank="1" showErrorMessage="1" errorTitle="Неверно указано Количество" error="минимальное количество для заказа = 1" sqref="L1769 L4494 L3444:L3445">
      <formula1>1</formula1>
      <formula2>310</formula2>
    </dataValidation>
    <dataValidation type="decimal" allowBlank="1" showErrorMessage="1" errorTitle="Неверно указано Количество" error="минимальное количество для заказа = 1" sqref="L1770">
      <formula1>1</formula1>
      <formula2>494</formula2>
    </dataValidation>
    <dataValidation type="decimal" allowBlank="1" showErrorMessage="1" errorTitle="Неверно указано Количество" error="минимальное количество для заказа = 1" sqref="L1772">
      <formula1>1</formula1>
      <formula2>119</formula2>
    </dataValidation>
    <dataValidation type="decimal" allowBlank="1" showErrorMessage="1" errorTitle="Неверно указано Количество" error="минимальное количество для заказа = 1" sqref="L1788 L3651 L5170 L5189">
      <formula1>1</formula1>
      <formula2>265</formula2>
    </dataValidation>
    <dataValidation type="decimal" allowBlank="1" showErrorMessage="1" errorTitle="Неверно указано Количество" error="минимальное количество для заказа = 1" sqref="L1792 L3214">
      <formula1>1</formula1>
      <formula2>89</formula2>
    </dataValidation>
    <dataValidation type="decimal" allowBlank="1" showErrorMessage="1" errorTitle="Неверно указано Количество" error="минимальное количество для заказа = 1" sqref="L1796">
      <formula1>1</formula1>
      <formula2>172</formula2>
    </dataValidation>
    <dataValidation type="decimal" allowBlank="1" showErrorMessage="1" errorTitle="Неверно указано Количество" error="минимальное количество для заказа = 1" sqref="L1802">
      <formula1>1</formula1>
      <formula2>467</formula2>
    </dataValidation>
    <dataValidation type="decimal" allowBlank="1" showErrorMessage="1" errorTitle="Неверно указано Количество" error="минимальное количество для заказа = 1" sqref="L1808">
      <formula1>1</formula1>
      <formula2>68</formula2>
    </dataValidation>
    <dataValidation type="decimal" allowBlank="1" showErrorMessage="1" errorTitle="Неверно указано Количество" error="минимальное количество для заказа = 1" sqref="L1810">
      <formula1>1</formula1>
      <formula2>421</formula2>
    </dataValidation>
    <dataValidation type="decimal" allowBlank="1" showErrorMessage="1" errorTitle="Неверно указано Количество" error="минимальное количество для заказа = 1" sqref="L1813 L1932">
      <formula1>1</formula1>
      <formula2>313</formula2>
    </dataValidation>
    <dataValidation type="decimal" allowBlank="1" showErrorMessage="1" errorTitle="Неверно указано Количество" error="минимальное количество для заказа = 1" sqref="L1817">
      <formula1>1</formula1>
      <formula2>271</formula2>
    </dataValidation>
    <dataValidation type="decimal" allowBlank="1" showErrorMessage="1" errorTitle="Неверно указано Количество" error="минимальное количество для заказа = 1" sqref="L1818 L1877 L3773 L3833">
      <formula1>1</formula1>
      <formula2>69</formula2>
    </dataValidation>
    <dataValidation type="decimal" allowBlank="1" showErrorMessage="1" errorTitle="Неверно указано Количество" error="минимальное количество для заказа = 1" sqref="L1822">
      <formula1>1</formula1>
      <formula2>182</formula2>
    </dataValidation>
    <dataValidation type="decimal" allowBlank="1" showErrorMessage="1" errorTitle="Неверно указано Количество" error="минимальное количество для заказа = 1" sqref="L1824 L1941 L2017">
      <formula1>1</formula1>
      <formula2>153</formula2>
    </dataValidation>
    <dataValidation type="decimal" allowBlank="1" showErrorMessage="1" errorTitle="Неверно указано Количество" error="минимальное количество для заказа = 1" sqref="L1835 L2700 L3426 L3785 L4469 L5172 L5175 L5236">
      <formula1>1</formula1>
      <formula2>75</formula2>
    </dataValidation>
    <dataValidation type="decimal" allowBlank="1" showErrorMessage="1" errorTitle="Неверно указано Количество" error="минимальное количество для заказа = 1" sqref="L1845 L3373 L3705">
      <formula1>1</formula1>
      <formula2>62</formula2>
    </dataValidation>
    <dataValidation type="decimal" allowBlank="1" showErrorMessage="1" errorTitle="Неверно указано Количество" error="минимальное количество для заказа = 1" sqref="L1856">
      <formula1>1</formula1>
      <formula2>383</formula2>
    </dataValidation>
    <dataValidation type="decimal" allowBlank="1" showErrorMessage="1" errorTitle="Неверно указано Количество" error="минимальное количество для заказа = 1" sqref="L1868 L3191 L3649 L3676">
      <formula1>1</formula1>
      <formula2>377</formula2>
    </dataValidation>
    <dataValidation type="decimal" allowBlank="1" showErrorMessage="1" errorTitle="Неверно указано Количество" error="минимальное количество для заказа = 1" sqref="L1869 L1876 L4465">
      <formula1>1</formula1>
      <formula2>184</formula2>
    </dataValidation>
    <dataValidation type="decimal" allowBlank="1" showErrorMessage="1" errorTitle="Неверно указано Количество" error="минимальное количество для заказа = 1" sqref="L1880 L2035 L2047 L3427">
      <formula1>1</formula1>
      <formula2>188</formula2>
    </dataValidation>
    <dataValidation type="decimal" allowBlank="1" showErrorMessage="1" errorTitle="Неверно указано Количество" error="минимальное количество для заказа = 1" sqref="L1881 L2040 L3361 L3897">
      <formula1>1</formula1>
      <formula2>277</formula2>
    </dataValidation>
    <dataValidation type="decimal" allowBlank="1" showErrorMessage="1" errorTitle="Неверно указано Количество" error="минимальное количество для заказа = 1" sqref="L1882 L1946 L3447 L4493">
      <formula1>1</formula1>
      <formula2>309</formula2>
    </dataValidation>
    <dataValidation type="decimal" allowBlank="1" showErrorMessage="1" errorTitle="Неверно указано Количество" error="минимальное количество для заказа = 1" sqref="L1888 L3204 L3778 L4491">
      <formula1>1</formula1>
      <formula2>189</formula2>
    </dataValidation>
    <dataValidation type="decimal" allowBlank="1" showErrorMessage="1" errorTitle="Неверно указано Количество" error="минимальное количество для заказа = 1" sqref="L1892">
      <formula1>1</formula1>
      <formula2>456</formula2>
    </dataValidation>
    <dataValidation type="decimal" allowBlank="1" showErrorMessage="1" errorTitle="Неверно указано Количество" error="минимальное количество для заказа = 1" sqref="L1893 L3708">
      <formula1>1</formula1>
      <formula2>173</formula2>
    </dataValidation>
    <dataValidation type="decimal" allowBlank="1" showErrorMessage="1" errorTitle="Неверно указано Количество" error="минимальное количество для заказа = 1" sqref="L1894">
      <formula1>1</formula1>
      <formula2>140</formula2>
    </dataValidation>
    <dataValidation type="decimal" allowBlank="1" showErrorMessage="1" errorTitle="Неверно указано Количество" error="минимальное количество для заказа = 1" sqref="L1904 L3093 L3665 L4766">
      <formula1>1</formula1>
      <formula2>264</formula2>
    </dataValidation>
    <dataValidation type="decimal" allowBlank="1" showErrorMessage="1" errorTitle="Неверно указано Количество" error="минимальное количество для заказа = 1" sqref="L1911">
      <formula1>1</formula1>
      <formula2>353</formula2>
    </dataValidation>
    <dataValidation type="decimal" allowBlank="1" showErrorMessage="1" errorTitle="Неверно указано Количество" error="минимальное количество для заказа = 1" sqref="L1913">
      <formula1>1</formula1>
      <formula2>348</formula2>
    </dataValidation>
    <dataValidation type="decimal" allowBlank="1" showErrorMessage="1" errorTitle="Неверно указано Количество" error="минимальное количество для заказа = 1" sqref="L1918 L2042 L3203">
      <formula1>1</formula1>
      <formula2>186</formula2>
    </dataValidation>
    <dataValidation type="decimal" allowBlank="1" showErrorMessage="1" errorTitle="Неверно указано Количество" error="минимальное количество для заказа = 1" sqref="L1919">
      <formula1>1</formula1>
      <formula2>217</formula2>
    </dataValidation>
    <dataValidation type="decimal" allowBlank="1" showErrorMessage="1" errorTitle="Неверно указано Количество" error="минимальное количество для заказа = 1" sqref="L1923">
      <formula1>1</formula1>
      <formula2>362</formula2>
    </dataValidation>
    <dataValidation type="decimal" allowBlank="1" showErrorMessage="1" errorTitle="Неверно указано Количество" error="минимальное количество для заказа = 1" sqref="L1924 L5150">
      <formula1>1</formula1>
      <formula2>356</formula2>
    </dataValidation>
    <dataValidation type="decimal" allowBlank="1" showErrorMessage="1" errorTitle="Неверно указано Количество" error="минимальное количество для заказа = 1" sqref="L1926 L2037 L2679">
      <formula1>1</formula1>
      <formula2>254</formula2>
    </dataValidation>
    <dataValidation type="decimal" allowBlank="1" showErrorMessage="1" errorTitle="Неверно указано Количество" error="минимальное количество для заказа = 1" sqref="L1928 L2005">
      <formula1>1</formula1>
      <formula2>52</formula2>
    </dataValidation>
    <dataValidation type="decimal" allowBlank="1" showErrorMessage="1" errorTitle="Неверно указано Количество" error="минимальное количество для заказа = 1" sqref="L1931">
      <formula1>1</formula1>
      <formula2>418</formula2>
    </dataValidation>
    <dataValidation type="decimal" allowBlank="1" showErrorMessage="1" errorTitle="Неверно указано Количество" error="минимальное количество для заказа = 1" sqref="L1933">
      <formula1>1</formula1>
      <formula2>325</formula2>
    </dataValidation>
    <dataValidation type="decimal" allowBlank="1" showErrorMessage="1" errorTitle="Неверно указано Количество" error="минимальное количество для заказа = 1" sqref="L1934">
      <formula1>1</formula1>
      <formula2>391</formula2>
    </dataValidation>
    <dataValidation type="decimal" allowBlank="1" showErrorMessage="1" errorTitle="Неверно указано Количество" error="минимальное количество для заказа = 1" sqref="L1935">
      <formula1>1</formula1>
      <formula2>337</formula2>
    </dataValidation>
    <dataValidation type="decimal" allowBlank="1" showErrorMessage="1" errorTitle="Неверно указано Количество" error="минимальное количество для заказа = 1" sqref="L1936">
      <formula1>1</formula1>
      <formula2>64</formula2>
    </dataValidation>
    <dataValidation type="decimal" allowBlank="1" showErrorMessage="1" errorTitle="Неверно указано Количество" error="минимальное количество для заказа = 1" sqref="L1937 L2680 L3874">
      <formula1>1</formula1>
      <formula2>358</formula2>
    </dataValidation>
    <dataValidation type="decimal" allowBlank="1" showErrorMessage="1" errorTitle="Неверно указано Количество" error="минимальное количество для заказа = 1" sqref="L1938">
      <formula1>1</formula1>
      <formula2>258</formula2>
    </dataValidation>
    <dataValidation type="decimal" allowBlank="1" showErrorMessage="1" errorTitle="Неверно указано Количество" error="минимальное количество для заказа = 1" sqref="L1939">
      <formula1>1</formula1>
      <formula2>336</formula2>
    </dataValidation>
    <dataValidation type="decimal" allowBlank="1" showErrorMessage="1" errorTitle="Неверно указано Количество" error="минимальное количество для заказа = 1" sqref="L1942 L2008 L2735 L2742">
      <formula1>1</formula1>
      <formula2>18</formula2>
    </dataValidation>
    <dataValidation type="decimal" allowBlank="1" showErrorMessage="1" errorTitle="Неверно указано Количество" error="минимальное количество для заказа = 1" sqref="L1949 L5256">
      <formula1>1</formula1>
      <formula2>134</formula2>
    </dataValidation>
    <dataValidation type="decimal" allowBlank="1" showErrorMessage="1" errorTitle="Неверно указано Количество" error="минимальное количество для заказа = 1" sqref="L1950">
      <formula1>1</formula1>
      <formula2>74</formula2>
    </dataValidation>
    <dataValidation type="decimal" allowBlank="1" showErrorMessage="1" errorTitle="Неверно указано Количество" error="минимальное количество для заказа = 1" sqref="L1951 L4775">
      <formula1>1</formula1>
      <formula2>80</formula2>
    </dataValidation>
    <dataValidation type="decimal" allowBlank="1" showErrorMessage="1" errorTitle="Неверно указано Количество" error="минимальное количество для заказа = 1" sqref="L1958 L3418 L3700">
      <formula1>1</formula1>
      <formula2>59</formula2>
    </dataValidation>
    <dataValidation type="decimal" allowBlank="1" showErrorMessage="1" errorTitle="Неверно указано Количество" error="минимальное количество для заказа = 1" sqref="L1961">
      <formula1>1</formula1>
      <formula2>349</formula2>
    </dataValidation>
    <dataValidation type="decimal" allowBlank="1" showErrorMessage="1" errorTitle="Неверно указано Количество" error="минимальное количество для заказа = 1" sqref="L1962 L4474">
      <formula1>1</formula1>
      <formula2>201</formula2>
    </dataValidation>
    <dataValidation type="decimal" allowBlank="1" showErrorMessage="1" errorTitle="Неверно указано Количество" error="минимальное количество для заказа = 1" sqref="L1963 L4490">
      <formula1>1</formula1>
      <formula2>150</formula2>
    </dataValidation>
    <dataValidation type="decimal" allowBlank="1" showErrorMessage="1" errorTitle="Неверно указано Количество" error="минимальное количество для заказа = 2" sqref="L1984 L3609">
      <formula1>2</formula1>
      <formula2>35</formula2>
    </dataValidation>
    <dataValidation type="decimal" allowBlank="1" showErrorMessage="1" errorTitle="Неверно указано Количество" error="минимальное количество для заказа = 1" sqref="L1990">
      <formula1>1</formula1>
      <formula2>436</formula2>
    </dataValidation>
    <dataValidation type="decimal" allowBlank="1" showErrorMessage="1" errorTitle="Неверно указано Количество" error="минимальное количество для заказа = 1" sqref="L1992 L2873">
      <formula1>1</formula1>
      <formula2>239</formula2>
    </dataValidation>
    <dataValidation type="decimal" allowBlank="1" showErrorMessage="1" errorTitle="Неверно указано Количество" error="минимальное количество для заказа = 1" sqref="L1993 L2674">
      <formula1>1</formula1>
      <formula2>433</formula2>
    </dataValidation>
    <dataValidation type="decimal" allowBlank="1" showErrorMessage="1" errorTitle="Неверно указано Количество" error="минимальное количество для заказа = 1" sqref="L1994 L3915:L3916">
      <formula1>1</formula1>
      <formula2>394</formula2>
    </dataValidation>
    <dataValidation type="decimal" allowBlank="1" showErrorMessage="1" errorTitle="Неверно указано Количество" error="минимальное количество для заказа = 1" sqref="L1995 L4805">
      <formula1>1</formula1>
      <formula2>51</formula2>
    </dataValidation>
    <dataValidation type="decimal" allowBlank="1" showErrorMessage="1" errorTitle="Неверно указано Количество" error="минимальное количество для заказа = 1" sqref="L1996 L3200 L3413">
      <formula1>1</formula1>
      <formula2>95</formula2>
    </dataValidation>
    <dataValidation type="decimal" allowBlank="1" showErrorMessage="1" errorTitle="Неверно указано Количество" error="минимальное количество для заказа = 1" sqref="L2003 L3452 L3647 L5233">
      <formula1>1</formula1>
      <formula2>94</formula2>
    </dataValidation>
    <dataValidation type="decimal" allowBlank="1" showErrorMessage="1" errorTitle="Неверно указано Количество" error="минимальное количество для заказа = 1" sqref="L2006 L3786 L3828">
      <formula1>1</formula1>
      <formula2>65</formula2>
    </dataValidation>
    <dataValidation type="decimal" allowBlank="1" showErrorMessage="1" errorTitle="Неверно указано Количество" error="минимальное количество для заказа = 2" sqref="L2013 L3866">
      <formula1>2</formula1>
      <formula2>11</formula2>
    </dataValidation>
    <dataValidation type="decimal" allowBlank="1" showErrorMessage="1" errorTitle="Неверно указано Количество" error="минимальное количество для заказа = 1" sqref="L2014 L2201">
      <formula1>1</formula1>
      <formula2>440</formula2>
    </dataValidation>
    <dataValidation type="decimal" allowBlank="1" showErrorMessage="1" errorTitle="Неверно указано Количество" error="минимальное количество для заказа = 1" sqref="L2018">
      <formula1>1</formula1>
      <formula2>282</formula2>
    </dataValidation>
    <dataValidation type="decimal" allowBlank="1" showErrorMessage="1" errorTitle="Неверно указано Количество" error="минимальное количество для заказа = 1" sqref="L2036 L3094 L3186 L3439">
      <formula1>1</formula1>
      <formula2>250</formula2>
    </dataValidation>
    <dataValidation type="decimal" allowBlank="1" showErrorMessage="1" errorTitle="Неверно указано Количество" error="минимальное количество для заказа = 1" sqref="L2039">
      <formula1>1</formula1>
      <formula2>167</formula2>
    </dataValidation>
    <dataValidation type="decimal" allowBlank="1" showErrorMessage="1" errorTitle="Неверно указано Количество" error="минимальное количество для заказа = 1" sqref="L2041 L3635">
      <formula1>1</formula1>
      <formula2>260</formula2>
    </dataValidation>
    <dataValidation type="decimal" allowBlank="1" showErrorMessage="1" errorTitle="Неверно указано Количество" error="минимальное количество для заказа = 1" sqref="L2043">
      <formula1>1</formula1>
      <formula2>163</formula2>
    </dataValidation>
    <dataValidation type="decimal" allowBlank="1" showErrorMessage="1" errorTitle="Неверно указано Количество" error="минимальное количество для заказа = 1" sqref="L2044 L3357 L3557">
      <formula1>1</formula1>
      <formula2>285</formula2>
    </dataValidation>
    <dataValidation type="decimal" allowBlank="1" showErrorMessage="1" errorTitle="Неверно указано Количество" error="минимальное количество для заказа = 1" sqref="L2045">
      <formula1>1</formula1>
      <formula2>242</formula2>
    </dataValidation>
    <dataValidation type="decimal" allowBlank="1" showErrorMessage="1" errorTitle="Неверно указано Количество" error="минимальное количество для заказа = 1" sqref="L2051">
      <formula1>1</formula1>
      <formula2>210</formula2>
    </dataValidation>
    <dataValidation type="decimal" allowBlank="1" showErrorMessage="1" errorTitle="Неверно указано Количество" error="минимальное количество для заказа = 1" sqref="L2071">
      <formula1>1</formula1>
      <formula2>403</formula2>
    </dataValidation>
    <dataValidation type="decimal" allowBlank="1" showErrorMessage="1" errorTitle="Неверно указано Количество" error="минимальное количество для заказа = 2" sqref="L2081">
      <formula1>2</formula1>
      <formula2>13</formula2>
    </dataValidation>
    <dataValidation type="decimal" allowBlank="1" showErrorMessage="1" errorTitle="Неверно указано Количество" error="минимальное количество для заказа = 1" sqref="L2095 L3205 L3330">
      <formula1>1</formula1>
      <formula2>41</formula2>
    </dataValidation>
    <dataValidation type="decimal" allowBlank="1" showErrorMessage="1" errorTitle="Неверно указано Количество" error="минимальное количество для заказа = 5" sqref="L2105">
      <formula1>5</formula1>
      <formula2>53</formula2>
    </dataValidation>
    <dataValidation type="decimal" allowBlank="1" showErrorMessage="1" errorTitle="Неверно указано Количество" error="минимальное количество для заказа = 5" sqref="L2108">
      <formula1>5</formula1>
      <formula2>459</formula2>
    </dataValidation>
    <dataValidation type="decimal" allowBlank="1" showErrorMessage="1" errorTitle="Неверно указано Количество" error="минимальное количество для заказа = 5" sqref="L2109">
      <formula1>5</formula1>
      <formula2>402</formula2>
    </dataValidation>
    <dataValidation type="decimal" allowBlank="1" showErrorMessage="1" errorTitle="Неверно указано Количество" error="минимальное количество для заказа = 5" sqref="L2112">
      <formula1>5</formula1>
      <formula2>107</formula2>
    </dataValidation>
    <dataValidation type="decimal" allowBlank="1" showErrorMessage="1" errorTitle="Неверно указано Количество" error="минимальное количество для заказа = 4" sqref="L2132">
      <formula1>4</formula1>
      <formula2>244</formula2>
    </dataValidation>
    <dataValidation type="decimal" allowBlank="1" showErrorMessage="1" errorTitle="Неверно указано Количество" error="минимальное количество для заказа = 6" sqref="L2159">
      <formula1>6</formula1>
      <formula2>416</formula2>
    </dataValidation>
    <dataValidation type="decimal" allowBlank="1" showErrorMessage="1" errorTitle="Неверно указано Количество" error="минимальное количество для заказа = 2" sqref="L2166">
      <formula1>2</formula1>
      <formula2>77</formula2>
    </dataValidation>
    <dataValidation type="decimal" allowBlank="1" showErrorMessage="1" errorTitle="Неверно указано Количество" error="минимальное количество для заказа = 2" sqref="L2173">
      <formula1>2</formula1>
      <formula2>467</formula2>
    </dataValidation>
    <dataValidation type="decimal" allowBlank="1" showErrorMessage="1" errorTitle="Неверно указано Количество" error="минимальное количество для заказа = 2" sqref="L2174 L3910">
      <formula1>2</formula1>
      <formula2>93</formula2>
    </dataValidation>
    <dataValidation type="decimal" allowBlank="1" showErrorMessage="1" errorTitle="Неверно указано Количество" error="минимальное количество для заказа = 2" sqref="L2180">
      <formula1>2</formula1>
      <formula2>425</formula2>
    </dataValidation>
    <dataValidation type="decimal" allowBlank="1" showErrorMessage="1" errorTitle="Неверно указано Количество" error="минимальное количество для заказа = 2" sqref="L2181 L3233">
      <formula1>2</formula1>
      <formula2>51</formula2>
    </dataValidation>
    <dataValidation type="decimal" allowBlank="1" showErrorMessage="1" errorTitle="Неверно указано Количество" error="минимальное количество для заказа = 2" sqref="L2184">
      <formula1>2</formula1>
      <formula2>172</formula2>
    </dataValidation>
    <dataValidation type="decimal" allowBlank="1" showErrorMessage="1" errorTitle="Неверно указано Количество" error="минимальное количество для заказа = 2" sqref="L2186">
      <formula1>2</formula1>
      <formula2>144</formula2>
    </dataValidation>
    <dataValidation type="decimal" allowBlank="1" showErrorMessage="1" errorTitle="Неверно указано Количество" error="минимальное количество для заказа = 10" sqref="L2188">
      <formula1>10</formula1>
      <formula2>181</formula2>
    </dataValidation>
    <dataValidation type="decimal" allowBlank="1" showErrorMessage="1" errorTitle="Неверно указано Количество" error="минимальное количество для заказа = 1" sqref="L2197 L3305 L4487">
      <formula1>1</formula1>
      <formula2>312</formula2>
    </dataValidation>
    <dataValidation type="decimal" allowBlank="1" showErrorMessage="1" errorTitle="Неверно указано Количество" error="минимальное количество для заказа = 1" sqref="L2198 L4483">
      <formula1>1</formula1>
      <formula2>430</formula2>
    </dataValidation>
    <dataValidation type="decimal" allowBlank="1" showErrorMessage="1" errorTitle="Неверно указано Количество" error="минимальное количество для заказа = 1" sqref="L2199 L2677">
      <formula1>1</formula1>
      <formula2>288</formula2>
    </dataValidation>
    <dataValidation type="decimal" allowBlank="1" showErrorMessage="1" errorTitle="Неверно указано Количество" error="минимальное количество для заказа = 1" sqref="L2202 L3417 L3422 L3669 L3703">
      <formula1>1</formula1>
      <formula2>97</formula2>
    </dataValidation>
    <dataValidation type="decimal" allowBlank="1" showErrorMessage="1" errorTitle="Неверно указано Количество" error="минимальное количество для заказа = 1" sqref="L2203">
      <formula1>1</formula1>
      <formula2>259</formula2>
    </dataValidation>
    <dataValidation type="decimal" allowBlank="1" showErrorMessage="1" errorTitle="Неверно указано Количество" error="минимальное количество для заказа = 1" sqref="L2204">
      <formula1>1</formula1>
      <formula2>443</formula2>
    </dataValidation>
    <dataValidation type="decimal" allowBlank="1" showErrorMessage="1" errorTitle="Неверно указано Количество" error="минимальное количество для заказа = 3" sqref="L2211">
      <formula1>3</formula1>
      <formula2>425</formula2>
    </dataValidation>
    <dataValidation type="decimal" allowBlank="1" showErrorMessage="1" errorTitle="Неверно указано Количество" error="минимальное количество для заказа = 5" sqref="L2225">
      <formula1>5</formula1>
      <formula2>400</formula2>
    </dataValidation>
    <dataValidation type="decimal" allowBlank="1" showErrorMessage="1" errorTitle="Неверно указано Количество" error="минимальное количество для заказа = 2" sqref="L2230">
      <formula1>2</formula1>
      <formula2>336</formula2>
    </dataValidation>
    <dataValidation type="decimal" allowBlank="1" showErrorMessage="1" errorTitle="Неверно указано Количество" error="минимальное количество для заказа = 3" sqref="L2232">
      <formula1>3</formula1>
      <formula2>357</formula2>
    </dataValidation>
    <dataValidation type="decimal" allowBlank="1" showErrorMessage="1" errorTitle="Неверно указано Количество" error="минимальное количество для заказа = 3" sqref="L2233">
      <formula1>3</formula1>
      <formula2>383</formula2>
    </dataValidation>
    <dataValidation type="decimal" allowBlank="1" showErrorMessage="1" errorTitle="Неверно указано Количество" error="минимальное количество для заказа = 3" sqref="L2234">
      <formula1>3</formula1>
      <formula2>491</formula2>
    </dataValidation>
    <dataValidation type="decimal" allowBlank="1" showErrorMessage="1" errorTitle="Неверно указано Количество" error="минимальное количество для заказа = 3" sqref="L2235">
      <formula1>3</formula1>
      <formula2>336</formula2>
    </dataValidation>
    <dataValidation type="decimal" allowBlank="1" showErrorMessage="1" errorTitle="Неверно указано Количество" error="минимальное количество для заказа = 3" sqref="L2236">
      <formula1>3</formula1>
      <formula2>348</formula2>
    </dataValidation>
    <dataValidation type="decimal" allowBlank="1" showErrorMessage="1" errorTitle="Неверно указано Количество" error="минимальное количество для заказа = 3" sqref="L2237">
      <formula1>3</formula1>
      <formula2>399</formula2>
    </dataValidation>
    <dataValidation type="decimal" allowBlank="1" showErrorMessage="1" errorTitle="Неверно указано Количество" error="минимальное количество для заказа = 6" sqref="L2239">
      <formula1>6</formula1>
      <formula2>56</formula2>
    </dataValidation>
    <dataValidation type="decimal" allowBlank="1" showErrorMessage="1" errorTitle="Неверно указано Количество" error="минимальное количество для заказа = 4" sqref="L2241">
      <formula1>4</formula1>
      <formula2>137</formula2>
    </dataValidation>
    <dataValidation type="decimal" allowBlank="1" showErrorMessage="1" errorTitle="Неверно указано Количество" error="минимальное количество для заказа = 3" sqref="L2245">
      <formula1>3</formula1>
      <formula2>471</formula2>
    </dataValidation>
    <dataValidation type="decimal" allowBlank="1" showErrorMessage="1" errorTitle="Неверно указано Количество" error="минимальное количество для заказа = 10" sqref="L2247 L5079">
      <formula1>10</formula1>
      <formula2>274</formula2>
    </dataValidation>
    <dataValidation type="decimal" allowBlank="1" showErrorMessage="1" errorTitle="Неверно указано Количество" error="минимальное количество для заказа = 10" sqref="L2249">
      <formula1>10</formula1>
      <formula2>44</formula2>
    </dataValidation>
    <dataValidation type="decimal" allowBlank="1" showErrorMessage="1" errorTitle="Неверно указано Количество" error="минимальное количество для заказа = 2" sqref="L2265">
      <formula1>2</formula1>
      <formula2>57</formula2>
    </dataValidation>
    <dataValidation type="decimal" allowBlank="1" showErrorMessage="1" errorTitle="Неверно указано Количество" error="минимальное количество для заказа = 3" sqref="L2267">
      <formula1>3</formula1>
      <formula2>280</formula2>
    </dataValidation>
    <dataValidation type="decimal" allowBlank="1" showErrorMessage="1" errorTitle="Неверно указано Количество" error="минимальное количество для заказа = 3" sqref="L2269">
      <formula1>3</formula1>
      <formula2>49</formula2>
    </dataValidation>
    <dataValidation type="decimal" allowBlank="1" showErrorMessage="1" errorTitle="Неверно указано Количество" error="минимальное количество для заказа = 4" sqref="L2270">
      <formula1>4</formula1>
      <formula2>298</formula2>
    </dataValidation>
    <dataValidation type="decimal" allowBlank="1" showErrorMessage="1" errorTitle="Неверно указано Количество" error="минимальное количество для заказа = 4" sqref="L2271">
      <formula1>4</formula1>
      <formula2>78</formula2>
    </dataValidation>
    <dataValidation type="decimal" allowBlank="1" showErrorMessage="1" errorTitle="Неверно указано Количество" error="минимальное количество для заказа = 4" sqref="L2272">
      <formula1>4</formula1>
      <formula2>46</formula2>
    </dataValidation>
    <dataValidation type="decimal" operator="equal" allowBlank="1" showErrorMessage="1" errorTitle="Не нужно менять минимальное количество для заказа:" error="минимальное количество для заказа = 17" sqref="J2281">
      <formula1>17</formula1>
    </dataValidation>
    <dataValidation type="decimal" allowBlank="1" showErrorMessage="1" errorTitle="Неверно указано Количество" error="минимальное количество для заказа = 17" sqref="L2281">
      <formula1>17</formula1>
      <formula2>17</formula2>
    </dataValidation>
    <dataValidation type="decimal" allowBlank="1" showErrorMessage="1" errorTitle="Неверно указано Количество" error="минимальное количество для заказа = 24" sqref="L2285 L4250">
      <formula1>24</formula1>
      <formula2>240</formula2>
    </dataValidation>
    <dataValidation type="decimal" operator="greaterThanOrEqual" allowBlank="1" showErrorMessage="1" errorTitle="Нельзя заказать меньше чем :" error="минимальное количество для заказа = 24" sqref="L2286 L2288 L2338 L2340 L2448 L4072 L2283:L2284 L2355:L2357 L2521:L2522 L3053:L3054 L4091:L4092 L4105:L4107 L4529:L4530 L4635:L4641">
      <formula1>24</formula1>
    </dataValidation>
    <dataValidation type="decimal" allowBlank="1" showErrorMessage="1" errorTitle="Неверно указано Количество" error="минимальное количество для заказа = 5" sqref="L2292 L4783">
      <formula1>5</formula1>
      <formula2>10</formula2>
    </dataValidation>
    <dataValidation type="decimal" allowBlank="1" showErrorMessage="1" errorTitle="Неверно указано Количество" error="минимальное количество для заказа = 4" sqref="L2300">
      <formula1>4</formula1>
      <formula2>140</formula2>
    </dataValidation>
    <dataValidation type="decimal" allowBlank="1" showErrorMessage="1" errorTitle="Неверно указано Количество" error="минимальное количество для заказа = 4" sqref="L2301">
      <formula1>4</formula1>
      <formula2>462</formula2>
    </dataValidation>
    <dataValidation type="decimal" allowBlank="1" showErrorMessage="1" errorTitle="Неверно указано Количество" error="минимальное количество для заказа = 4" sqref="L2302">
      <formula1>4</formula1>
      <formula2>74</formula2>
    </dataValidation>
    <dataValidation type="decimal" allowBlank="1" showErrorMessage="1" errorTitle="Неверно указано Количество" error="минимальное количество для заказа = 4" sqref="L2304">
      <formula1>4</formula1>
      <formula2>19</formula2>
    </dataValidation>
    <dataValidation type="decimal" allowBlank="1" showErrorMessage="1" errorTitle="Неверно указано Количество" error="минимальное количество для заказа = 12" sqref="L2320 L2426 L2429">
      <formula1>12</formula1>
      <formula2>204</formula2>
    </dataValidation>
    <dataValidation type="decimal" allowBlank="1" showErrorMessage="1" errorTitle="Неверно указано Количество" error="минимальное количество для заказа = 12" sqref="L2321 L2371 L2406 L2477 L4168">
      <formula1>12</formula1>
      <formula2>24</formula2>
    </dataValidation>
    <dataValidation type="decimal" allowBlank="1" showErrorMessage="1" errorTitle="Неверно указано Количество" error="минимальное количество для заказа = 12" sqref="L2325 L2527 L3994">
      <formula1>12</formula1>
      <formula2>240</formula2>
    </dataValidation>
    <dataValidation type="decimal" allowBlank="1" showErrorMessage="1" errorTitle="Неверно указано Количество" error="минимальное количество для заказа = 12" sqref="L2337 L2403 L4185">
      <formula1>12</formula1>
      <formula2>420</formula2>
    </dataValidation>
    <dataValidation type="decimal" allowBlank="1" showErrorMessage="1" errorTitle="Неверно указано Количество" error="минимальное количество для заказа = 24" sqref="L2339 L2352 L2430 L2492 L2531">
      <formula1>24</formula1>
      <formula2>48</formula2>
    </dataValidation>
    <dataValidation type="decimal" allowBlank="1" showErrorMessage="1" errorTitle="Неверно указано Количество" error="минимальное количество для заказа = 24" sqref="L2341 L2432">
      <formula1>24</formula1>
      <formula2>264</formula2>
    </dataValidation>
    <dataValidation type="decimal" allowBlank="1" showErrorMessage="1" errorTitle="Неверно указано Количество" error="минимальное количество для заказа = 36" sqref="L2345 L2573">
      <formula1>36</formula1>
      <formula2>156</formula2>
    </dataValidation>
    <dataValidation type="decimal" allowBlank="1" showErrorMessage="1" errorTitle="Неверно указано Количество" error="минимальное количество для заказа = 36" sqref="L2346">
      <formula1>36</formula1>
      <formula2>384</formula2>
    </dataValidation>
    <dataValidation type="decimal" operator="greaterThanOrEqual" allowBlank="1" showErrorMessage="1" errorTitle="Нельзя заказать меньше чем :" error="минимальное количество для заказа = 36" sqref="L2347 L2350 L2342:L2344">
      <formula1>36</formula1>
    </dataValidation>
    <dataValidation type="decimal" allowBlank="1" showErrorMessage="1" errorTitle="Неверно указано Количество" error="минимальное количество для заказа = 36" sqref="L2348 L2516">
      <formula1>36</formula1>
      <formula2>276</formula2>
    </dataValidation>
    <dataValidation type="decimal" allowBlank="1" showErrorMessage="1" errorTitle="Неверно указано Количество" error="минимальное количество для заказа = 36" sqref="L2349 L2550">
      <formula1>36</formula1>
      <formula2>144</formula2>
    </dataValidation>
    <dataValidation type="decimal" allowBlank="1" showErrorMessage="1" errorTitle="Неверно указано Количество" error="минимальное количество для заказа = 12" sqref="L2363">
      <formula1>12</formula1>
      <formula2>384</formula2>
    </dataValidation>
    <dataValidation type="decimal" allowBlank="1" showErrorMessage="1" errorTitle="Неверно указано Количество" error="минимальное количество для заказа = 12" sqref="L2372 L2572 L4055 L4189">
      <formula1>12</formula1>
      <formula2>60</formula2>
    </dataValidation>
    <dataValidation type="decimal" allowBlank="1" showErrorMessage="1" errorTitle="Неверно указано Количество" error="минимальное количество для заказа = 12" sqref="L2373 L4630">
      <formula1>12</formula1>
      <formula2>216</formula2>
    </dataValidation>
    <dataValidation type="decimal" allowBlank="1" showErrorMessage="1" errorTitle="Неверно указано Количество" error="минимальное количество для заказа = 12" sqref="L2378">
      <formula1>12</formula1>
      <formula2>492</formula2>
    </dataValidation>
    <dataValidation type="decimal" allowBlank="1" showErrorMessage="1" errorTitle="Неверно указано Количество" error="минимальное количество для заказа = 12" sqref="L2382 L2479 L4149 L4207">
      <formula1>12</formula1>
      <formula2>276</formula2>
    </dataValidation>
    <dataValidation type="decimal" allowBlank="1" showErrorMessage="1" errorTitle="Неверно указано Количество" error="минимальное количество для заказа = 12" sqref="L2388 L2528 L2594 L2600 L4145">
      <formula1>12</formula1>
      <formula2>36</formula2>
    </dataValidation>
    <dataValidation type="decimal" allowBlank="1" showErrorMessage="1" errorTitle="Неверно указано Количество" error="минимальное количество для заказа = 12" sqref="L2393 L2404">
      <formula1>12</formula1>
      <formula2>324</formula2>
    </dataValidation>
    <dataValidation type="decimal" allowBlank="1" showErrorMessage="1" errorTitle="Неверно указано Количество" error="минимальное количество для заказа = 12" sqref="L2405 L4086">
      <formula1>12</formula1>
      <formula2>312</formula2>
    </dataValidation>
    <dataValidation type="decimal" allowBlank="1" showErrorMessage="1" errorTitle="Неверно указано Количество" error="минимальное количество для заказа = 12" sqref="L2412">
      <formula1>12</formula1>
      <formula2>408</formula2>
    </dataValidation>
    <dataValidation type="decimal" allowBlank="1" showErrorMessage="1" errorTitle="Неверно указано Количество" error="минимальное количество для заказа = 24" sqref="L2419">
      <formula1>24</formula1>
      <formula2>276</formula2>
    </dataValidation>
    <dataValidation type="decimal" allowBlank="1" showErrorMessage="1" errorTitle="Неверно указано Количество" error="минимальное количество для заказа = 24" sqref="L2420">
      <formula1>24</formula1>
      <formula2>180</formula2>
    </dataValidation>
    <dataValidation type="decimal" allowBlank="1" showErrorMessage="1" errorTitle="Неверно указано Количество" error="минимальное количество для заказа = 20" sqref="L2422 L2434">
      <formula1>20</formula1>
      <formula2>120</formula2>
    </dataValidation>
    <dataValidation type="decimal" allowBlank="1" showErrorMessage="1" errorTitle="Неверно указано Количество" error="минимальное количество для заказа = 24" sqref="L2423">
      <formula1>24</formula1>
      <formula2>252</formula2>
    </dataValidation>
    <dataValidation type="decimal" allowBlank="1" showErrorMessage="1" errorTitle="Неверно указано Количество" error="минимальное количество для заказа = 12" sqref="L2425 L2449 L2529">
      <formula1>12</formula1>
      <formula2>192</formula2>
    </dataValidation>
    <dataValidation type="decimal" allowBlank="1" showErrorMessage="1" errorTitle="Неверно указано Количество" error="минимальное количество для заказа = 24" sqref="L2431">
      <formula1>24</formula1>
      <formula2>132</formula2>
    </dataValidation>
    <dataValidation type="decimal" allowBlank="1" showErrorMessage="1" errorTitle="Неверно указано Количество" error="минимальное количество для заказа = 24" sqref="L2433">
      <formula1>24</formula1>
      <formula2>36</formula2>
    </dataValidation>
    <dataValidation type="decimal" allowBlank="1" showErrorMessage="1" errorTitle="Неверно указано Количество" error="минимальное количество для заказа = 24" sqref="L2435">
      <formula1>24</formula1>
      <formula2>192</formula2>
    </dataValidation>
    <dataValidation type="decimal" allowBlank="1" showErrorMessage="1" errorTitle="Неверно указано Количество" error="минимальное количество для заказа = 12" sqref="L2438 L4239 L2542:L2543">
      <formula1>12</formula1>
      <formula2>228</formula2>
    </dataValidation>
    <dataValidation type="decimal" allowBlank="1" showErrorMessage="1" errorTitle="Неверно указано Количество" error="минимальное количество для заказа = 12" sqref="L2460">
      <formula1>12</formula1>
      <formula2>432</formula2>
    </dataValidation>
    <dataValidation type="decimal" allowBlank="1" showErrorMessage="1" errorTitle="Неверно указано Количество" error="минимальное количество для заказа = 12" sqref="L2461">
      <formula1>12</formula1>
      <formula2>348</formula2>
    </dataValidation>
    <dataValidation type="decimal" allowBlank="1" showErrorMessage="1" errorTitle="Неверно указано Количество" error="минимальное количество для заказа = 12" sqref="L2462 L2585 L4146">
      <formula1>12</formula1>
      <formula2>48</formula2>
    </dataValidation>
    <dataValidation type="decimal" allowBlank="1" showErrorMessage="1" errorTitle="Неверно указано Количество" error="минимальное количество для заказа = 12" sqref="L2468">
      <formula1>12</formula1>
      <formula2>180</formula2>
    </dataValidation>
    <dataValidation type="decimal" allowBlank="1" showErrorMessage="1" errorTitle="Неверно указано Количество" error="минимальное количество для заказа = 12" sqref="L2475 L4060 L4193">
      <formula1>12</formula1>
      <formula2>480</formula2>
    </dataValidation>
    <dataValidation type="decimal" allowBlank="1" showErrorMessage="1" errorTitle="Неверно указано Количество" error="минимальное количество для заказа = 20" sqref="L2483 L2766 L2792 L3010 L5054 L2771:L2772">
      <formula1>20</formula1>
      <formula2>40</formula2>
    </dataValidation>
    <dataValidation type="decimal" allowBlank="1" showErrorMessage="1" errorTitle="Неверно указано Количество" error="минимальное количество для заказа = 12" sqref="L2485">
      <formula1>12</formula1>
      <formula2>72</formula2>
    </dataValidation>
    <dataValidation type="decimal" allowBlank="1" showErrorMessage="1" errorTitle="Неверно указано Количество" error="минимальное количество для заказа = 24" sqref="L2494">
      <formula1>24</formula1>
      <formula2>156</formula2>
    </dataValidation>
    <dataValidation type="decimal" operator="equal" allowBlank="1" showErrorMessage="1" errorTitle="Не нужно менять минимальное количество для заказа:" error="минимальное количество для заказа = 36" sqref="J2507 J2509 J2514 J2516 J2518 J2550 J2556 J2558 J2571 J2580 J2342:J2350 J2511:J2512 J2552:J2554 J2573:J2574">
      <formula1>36</formula1>
    </dataValidation>
    <dataValidation type="decimal" allowBlank="1" showErrorMessage="1" errorTitle="Неверно указано Количество" error="минимальное количество для заказа = 36" sqref="L2507 L2553">
      <formula1>36</formula1>
      <formula2>120</formula2>
    </dataValidation>
    <dataValidation type="decimal" operator="equal" allowBlank="1" showErrorMessage="1" errorTitle="Не нужно менять минимальное количество для заказа:" error="минимальное количество для заказа = 48" sqref="J2508 J2510 J2513 J2515 J2517 J2555 J2557">
      <formula1>48</formula1>
    </dataValidation>
    <dataValidation type="decimal" allowBlank="1" showErrorMessage="1" errorTitle="Неверно указано Количество" error="минимальное количество для заказа = 48" sqref="L2508">
      <formula1>48</formula1>
      <formula2>360</formula2>
    </dataValidation>
    <dataValidation type="decimal" allowBlank="1" showErrorMessage="1" errorTitle="Неверно указано Количество" error="минимальное количество для заказа = 36" sqref="L2509 L2574">
      <formula1>36</formula1>
      <formula2>180</formula2>
    </dataValidation>
    <dataValidation type="decimal" operator="greaterThanOrEqual" allowBlank="1" showErrorMessage="1" errorTitle="Нельзя заказать меньше чем :" error="минимальное количество для заказа = 48" sqref="L2510 L2517 L2557">
      <formula1>48</formula1>
    </dataValidation>
    <dataValidation type="decimal" allowBlank="1" showErrorMessage="1" errorTitle="Неверно указано Количество" error="минимальное количество для заказа = 48" sqref="L2513">
      <formula1>48</formula1>
      <formula2>336</formula2>
    </dataValidation>
    <dataValidation type="decimal" allowBlank="1" showErrorMessage="1" errorTitle="Неверно указано Количество" error="минимальное количество для заказа = 36" sqref="L2514 L2552">
      <formula1>36</formula1>
      <formula2>396</formula2>
    </dataValidation>
    <dataValidation type="decimal" allowBlank="1" showErrorMessage="1" errorTitle="Неверно указано Количество" error="минимальное количество для заказа = 48" sqref="L2515">
      <formula1>48</formula1>
      <formula2>420</formula2>
    </dataValidation>
    <dataValidation type="decimal" allowBlank="1" showErrorMessage="1" errorTitle="Неверно указано Количество" error="минимальное количество для заказа = 36" sqref="L2518">
      <formula1>36</formula1>
      <formula2>192</formula2>
    </dataValidation>
    <dataValidation type="decimal" operator="equal" allowBlank="1" showErrorMessage="1" errorTitle="Не нужно менять минимальное количество для заказа:" error="минимальное количество для заказа = 19" sqref="J2520">
      <formula1>19</formula1>
    </dataValidation>
    <dataValidation type="decimal" allowBlank="1" showErrorMessage="1" errorTitle="Неверно указано Количество" error="минимальное количество для заказа = 19" sqref="L2520">
      <formula1>19</formula1>
      <formula2>19</formula2>
    </dataValidation>
    <dataValidation type="decimal" allowBlank="1" showErrorMessage="1" errorTitle="Неверно указано Количество" error="минимальное количество для заказа = 24" sqref="L2523">
      <formula1>24</formula1>
      <formula2>408</formula2>
    </dataValidation>
    <dataValidation type="decimal" allowBlank="1" showErrorMessage="1" errorTitle="Неверно указано Количество" error="минимальное количество для заказа = 24" sqref="L2524">
      <formula1>24</formula1>
      <formula2>120</formula2>
    </dataValidation>
    <dataValidation type="decimal" allowBlank="1" showErrorMessage="1" errorTitle="Неверно указано Количество" error="минимальное количество для заказа = 24" sqref="L2525">
      <formula1>24</formula1>
      <formula2>24</formula2>
    </dataValidation>
    <dataValidation type="decimal" allowBlank="1" showErrorMessage="1" errorTitle="Неверно указано Количество" error="минимальное количество для заказа = 12" sqref="L2526 L2593">
      <formula1>12</formula1>
      <formula2>264</formula2>
    </dataValidation>
    <dataValidation type="decimal" allowBlank="1" showErrorMessage="1" errorTitle="Неверно указано Количество" error="минимальное количество для заказа = 24" sqref="L2530">
      <formula1>24</formula1>
      <formula2>492</formula2>
    </dataValidation>
    <dataValidation type="decimal" operator="equal" allowBlank="1" showErrorMessage="1" errorTitle="Не нужно менять минимальное количество для заказа:" error="минимальное количество для заказа = 30" sqref="J2549 J2560 J2562 J2579 J2584 J2785 J2787 J5023 J5104 J757:J758 J762:J771 J2334:J2336 J2568:J2569 J4959:J4963 J4965:J4992 J5020:J5021 J5026:J5031">
      <formula1>30</formula1>
    </dataValidation>
    <dataValidation type="decimal" allowBlank="1" showErrorMessage="1" errorTitle="Неверно указано Количество" error="минимальное количество для заказа = 30" sqref="L2549 L2560 L2568 L2334:L2336">
      <formula1>30</formula1>
      <formula2>30</formula2>
    </dataValidation>
    <dataValidation type="decimal" allowBlank="1" showErrorMessage="1" errorTitle="Неверно указано Количество" error="минимальное количество для заказа = 36" sqref="L2554">
      <formula1>36</formula1>
      <formula2>108</formula2>
    </dataValidation>
    <dataValidation type="decimal" allowBlank="1" showErrorMessage="1" errorTitle="Неверно указано Количество" error="минимальное количество для заказа = 48" sqref="L2555">
      <formula1>48</formula1>
      <formula2>216</formula2>
    </dataValidation>
    <dataValidation type="decimal" allowBlank="1" showErrorMessage="1" errorTitle="Неверно указано Количество" error="минимальное количество для заказа = 36" sqref="L2556">
      <formula1>36</formula1>
      <formula2>468</formula2>
    </dataValidation>
    <dataValidation type="decimal" allowBlank="1" showErrorMessage="1" errorTitle="Неверно указано Количество" error="минимальное количество для заказа = 36" sqref="L2558">
      <formula1>36</formula1>
      <formula2>324</formula2>
    </dataValidation>
    <dataValidation type="decimal" allowBlank="1" showErrorMessage="1" errorTitle="Неверно указано Количество" error="минимальное количество для заказа = 60" sqref="L2561">
      <formula1>60</formula1>
      <formula2>132</formula2>
    </dataValidation>
    <dataValidation type="decimal" allowBlank="1" showErrorMessage="1" errorTitle="Неверно указано Количество" error="минимальное количество для заказа = 30" sqref="L2562 L2569 L2579">
      <formula1>30</formula1>
      <formula2>90</formula2>
    </dataValidation>
    <dataValidation type="decimal" allowBlank="1" showErrorMessage="1" errorTitle="Неверно указано Количество" error="минимальное количество для заказа = 36" sqref="L2571">
      <formula1>36</formula1>
      <formula2>90</formula2>
    </dataValidation>
    <dataValidation type="decimal" allowBlank="1" showErrorMessage="1" errorTitle="Неверно указано Количество" error="минимальное количество для заказа = 36" sqref="L2580">
      <formula1>36</formula1>
      <formula2>48</formula2>
    </dataValidation>
    <dataValidation type="decimal" allowBlank="1" showErrorMessage="1" errorTitle="Неверно указано Количество" error="минимальное количество для заказа = 30" sqref="L2584">
      <formula1>30</formula1>
      <formula2>240</formula2>
    </dataValidation>
    <dataValidation type="decimal" allowBlank="1" showErrorMessage="1" errorTitle="Неверно указано Количество" error="минимальное количество для заказа = 12" sqref="L2590 L4068 L4081">
      <formula1>12</formula1>
      <formula2>96</formula2>
    </dataValidation>
    <dataValidation type="decimal" allowBlank="1" showErrorMessage="1" errorTitle="Неверно указано Количество" error="минимальное количество для заказа = 100" sqref="L2608">
      <formula1>100</formula1>
      <formula2>100</formula2>
    </dataValidation>
    <dataValidation type="decimal" allowBlank="1" showErrorMessage="1" errorTitle="Неверно указано Количество" error="минимальное количество для заказа = 50" sqref="L2616 L4305">
      <formula1>50</formula1>
      <formula2>150</formula2>
    </dataValidation>
    <dataValidation type="decimal" operator="equal" allowBlank="1" showErrorMessage="1" errorTitle="Не нужно менять минимальное количество для заказа:" error="минимальное количество для заказа = 25" sqref="J2621 J2629 J3975 J3977 J3979 J4324 J4333 J4340 J4374 J5105 J2631:J2635 J2646:J2647 J4282:J4286 J4288:J4289 J4292:J4294 J4297:J4298 J4301:J4302 J4330:J4331 J4365:J4367 J4394:J4399">
      <formula1>25</formula1>
    </dataValidation>
    <dataValidation type="decimal" operator="greaterThanOrEqual" allowBlank="1" showErrorMessage="1" errorTitle="Нельзя заказать меньше чем :" error="минимальное количество для заказа = 25" sqref="L2621 L2629 L3975 L3977 L3979 L4282 L4284 L4324 L4333 L4374 L5105 L2631:L2635 L2646:L2647 L4288:L4289 L4292:L4294 L4297:L4298 L4301:L4302 L4330:L4331 L4366:L4367">
      <formula1>25</formula1>
    </dataValidation>
    <dataValidation type="decimal" allowBlank="1" showErrorMessage="1" errorTitle="Неверно указано Количество" error="минимальное количество для заказа = 50" sqref="L2638 L4393">
      <formula1>50</formula1>
      <formula2>250</formula2>
    </dataValidation>
    <dataValidation type="decimal" allowBlank="1" showErrorMessage="1" errorTitle="Неверно указано Количество" error="минимальное количество для заказа = 2" sqref="L2654">
      <formula1>2</formula1>
      <formula2>288</formula2>
    </dataValidation>
    <dataValidation type="decimal" allowBlank="1" showErrorMessage="1" errorTitle="Неверно указано Количество" error="минимальное количество для заказа = 2" sqref="L2657">
      <formula1>2</formula1>
      <formula2>16</formula2>
    </dataValidation>
    <dataValidation type="decimal" allowBlank="1" showErrorMessage="1" errorTitle="Неверно указано Количество" error="минимальное количество для заказа = 2" sqref="L2660">
      <formula1>2</formula1>
      <formula2>334</formula2>
    </dataValidation>
    <dataValidation type="decimal" allowBlank="1" showErrorMessage="1" errorTitle="Неверно указано Количество" error="минимальное количество для заказа = 2" sqref="L2662">
      <formula1>2</formula1>
      <formula2>324</formula2>
    </dataValidation>
    <dataValidation type="decimal" allowBlank="1" showErrorMessage="1" errorTitle="Неверно указано Количество" error="минимальное количество для заказа = 2" sqref="L2664">
      <formula1>2</formula1>
      <formula2>135</formula2>
    </dataValidation>
    <dataValidation type="decimal" allowBlank="1" showErrorMessage="1" errorTitle="Неверно указано Количество" error="минимальное количество для заказа = 2" sqref="L2665">
      <formula1>2</formula1>
      <formula2>304</formula2>
    </dataValidation>
    <dataValidation type="decimal" allowBlank="1" showErrorMessage="1" errorTitle="Неверно указано Количество" error="минимальное количество для заказа = 2" sqref="L2666">
      <formula1>2</formula1>
      <formula2>289</formula2>
    </dataValidation>
    <dataValidation type="decimal" allowBlank="1" showErrorMessage="1" errorTitle="Неверно указано Количество" error="минимальное количество для заказа = 2" sqref="L2667">
      <formula1>2</formula1>
      <formula2>60</formula2>
    </dataValidation>
    <dataValidation type="decimal" allowBlank="1" showErrorMessage="1" errorTitle="Неверно указано Количество" error="минимальное количество для заказа = 1" sqref="L2670">
      <formula1>1</formula1>
      <formula2>369</formula2>
    </dataValidation>
    <dataValidation type="decimal" allowBlank="1" showErrorMessage="1" errorTitle="Неверно указано Количество" error="минимальное количество для заказа = 1" sqref="L2671">
      <formula1>1</formula1>
      <formula2>340</formula2>
    </dataValidation>
    <dataValidation type="decimal" allowBlank="1" showErrorMessage="1" errorTitle="Неверно указано Количество" error="минимальное количество для заказа = 1" sqref="L2673">
      <formula1>1</formula1>
      <formula2>462</formula2>
    </dataValidation>
    <dataValidation type="decimal" allowBlank="1" showErrorMessage="1" errorTitle="Неверно указано Количество" error="минимальное количество для заказа = 1" sqref="L2675">
      <formula1>1</formula1>
      <formula2>156</formula2>
    </dataValidation>
    <dataValidation type="decimal" allowBlank="1" showErrorMessage="1" errorTitle="Неверно указано Количество" error="минимальное количество для заказа = 1" sqref="L2678 L3082">
      <formula1>1</formula1>
      <formula2>419</formula2>
    </dataValidation>
    <dataValidation type="decimal" allowBlank="1" showErrorMessage="1" errorTitle="Неверно указано Количество" error="минимальное количество для заказа = 1" sqref="L2681 L3383">
      <formula1>1</formula1>
      <formula2>322</formula2>
    </dataValidation>
    <dataValidation type="decimal" allowBlank="1" showErrorMessage="1" errorTitle="Неверно указано Количество" error="минимальное количество для заказа = 50" sqref="L2686 L4291 L4363">
      <formula1>50</formula1>
      <formula2>100</formula2>
    </dataValidation>
    <dataValidation type="decimal" allowBlank="1" showErrorMessage="1" errorTitle="Неверно указано Количество" error="минимальное количество для заказа = 6" sqref="L2691">
      <formula1>6</formula1>
      <formula2>159</formula2>
    </dataValidation>
    <dataValidation type="decimal" allowBlank="1" showErrorMessage="1" errorTitle="Неверно указано Количество" error="минимальное количество для заказа = 1" sqref="L2702 L3414 L3744 L4476">
      <formula1>1</formula1>
      <formula2>143</formula2>
    </dataValidation>
    <dataValidation type="decimal" allowBlank="1" showErrorMessage="1" errorTitle="Неверно указано Количество" error="минимальное количество для заказа = 1" sqref="L2704 L3059">
      <formula1>1</formula1>
      <formula2>181</formula2>
    </dataValidation>
    <dataValidation type="decimal" allowBlank="1" showErrorMessage="1" errorTitle="Неверно указано Количество" error="минимальное количество для заказа = 1" sqref="L2705">
      <formula1>1</formula1>
      <formula2>131</formula2>
    </dataValidation>
    <dataValidation type="decimal" allowBlank="1" showErrorMessage="1" errorTitle="Неверно указано Количество" error="минимальное количество для заказа = 1" sqref="L2715 L3911">
      <formula1>1</formula1>
      <formula2>127</formula2>
    </dataValidation>
    <dataValidation type="decimal" allowBlank="1" showErrorMessage="1" errorTitle="Неверно указано Количество" error="минимальное количество для заказа = 1" sqref="L2724">
      <formula1>1</formula1>
      <formula2>38</formula2>
    </dataValidation>
    <dataValidation type="decimal" allowBlank="1" showErrorMessage="1" errorTitle="Неверно указано Количество" error="минимальное количество для заказа = 1" sqref="L2733 L3421 L3637 L3746 L3777 L5268">
      <formula1>1</formula1>
      <formula2>105</formula2>
    </dataValidation>
    <dataValidation type="decimal" allowBlank="1" showErrorMessage="1" errorTitle="Неверно указано Количество" error="минимальное количество для заказа = 1" sqref="L2739 L2884">
      <formula1>1</formula1>
      <formula2>47</formula2>
    </dataValidation>
    <dataValidation type="decimal" allowBlank="1" showErrorMessage="1" errorTitle="Неверно указано Количество" error="минимальное количество для заказа = 1" sqref="L2743 L5127">
      <formula1>1</formula1>
      <formula2>16</formula2>
    </dataValidation>
    <dataValidation type="decimal" allowBlank="1" showErrorMessage="1" errorTitle="Неверно указано Количество" error="минимальное количество для заказа = 5" sqref="L2750">
      <formula1>5</formula1>
      <formula2>13</formula2>
    </dataValidation>
    <dataValidation type="decimal" allowBlank="1" showErrorMessage="1" errorTitle="Неверно указано Количество" error="минимальное количество для заказа = 5" sqref="L2763 L3967">
      <formula1>5</formula1>
      <formula2>9</formula2>
    </dataValidation>
    <dataValidation type="decimal" allowBlank="1" showErrorMessage="1" errorTitle="Неверно указано Количество" error="минимальное количество для заказа = 20" sqref="L2767 L2793 L3011">
      <formula1>20</formula1>
      <formula2>60</formula2>
    </dataValidation>
    <dataValidation type="decimal" allowBlank="1" showErrorMessage="1" errorTitle="Неверно указано Количество" error="минимальное количество для заказа = 20" sqref="L2769 L2774 L3008">
      <formula1>20</formula1>
      <formula2>80</formula2>
    </dataValidation>
    <dataValidation type="decimal" allowBlank="1" showErrorMessage="1" errorTitle="Неверно указано Количество" error="минимальное количество для заказа = 20" sqref="L2776">
      <formula1>20</formula1>
      <formula2>420</formula2>
    </dataValidation>
    <dataValidation type="decimal" allowBlank="1" showErrorMessage="1" errorTitle="Неверно указано Количество" error="минимальное количество для заказа = 20" sqref="L2779">
      <formula1>20</formula1>
      <formula2>200</formula2>
    </dataValidation>
    <dataValidation type="decimal" allowBlank="1" showErrorMessage="1" errorTitle="Неверно указано Количество" error="минимальное количество для заказа = 10" sqref="L2783 L2786 L3005 L4925 L4378:L4379 L5009:L5010">
      <formula1>10</formula1>
      <formula2>10</formula2>
    </dataValidation>
    <dataValidation type="decimal" allowBlank="1" showErrorMessage="1" errorTitle="Неверно указано Количество" error="минимальное количество для заказа = 30" sqref="L2785">
      <formula1>30</formula1>
      <formula2>100</formula2>
    </dataValidation>
    <dataValidation type="decimal" allowBlank="1" showErrorMessage="1" errorTitle="Неверно указано Количество" error="минимальное количество для заказа = 30" sqref="L2787">
      <formula1>30</formula1>
      <formula2>160</formula2>
    </dataValidation>
    <dataValidation type="decimal" allowBlank="1" showErrorMessage="1" errorTitle="Неверно указано Количество" error="минимальное количество для заказа = 20" sqref="L2788">
      <formula1>20</formula1>
      <formula2>90</formula2>
    </dataValidation>
    <dataValidation type="decimal" allowBlank="1" showErrorMessage="1" errorTitle="Неверно указано Количество" error="минимальное количество для заказа = 1" sqref="L2854">
      <formula1>1</formula1>
      <formula2>408</formula2>
    </dataValidation>
    <dataValidation type="decimal" allowBlank="1" showErrorMessage="1" errorTitle="Неверно указано Количество" error="минимальное количество для заказа = 1" sqref="L2877">
      <formula1>1</formula1>
      <formula2>332</formula2>
    </dataValidation>
    <dataValidation type="decimal" allowBlank="1" showErrorMessage="1" errorTitle="Неверно указано Количество" error="минимальное количество для заказа = 1" sqref="L2882">
      <formula1>1</formula1>
      <formula2>198</formula2>
    </dataValidation>
    <dataValidation type="decimal" allowBlank="1" showErrorMessage="1" errorTitle="Неверно указано Количество" error="минимальное количество для заказа = 1" sqref="L2891 L3277 L3781">
      <formula1>1</formula1>
      <formula2>233</formula2>
    </dataValidation>
    <dataValidation type="decimal" allowBlank="1" showErrorMessage="1" errorTitle="Неверно указано Количество" error="минимальное количество для заказа = 1" sqref="L2892 L3680">
      <formula1>1</formula1>
      <formula2>283</formula2>
    </dataValidation>
    <dataValidation type="decimal" allowBlank="1" showErrorMessage="1" errorTitle="Неверно указано Количество" error="минимальное количество для заказа = 1" sqref="L2893">
      <formula1>1</formula1>
      <formula2>267</formula2>
    </dataValidation>
    <dataValidation type="decimal" allowBlank="1" showErrorMessage="1" errorTitle="Неверно указано Количество" error="минимальное количество для заказа = 1" sqref="L2894 L4772">
      <formula1>1</formula1>
      <formula2>145</formula2>
    </dataValidation>
    <dataValidation type="decimal" allowBlank="1" showErrorMessage="1" errorTitle="Неверно указано Количество" error="минимальное количество для заказа = 1" sqref="L2897 L5182">
      <formula1>1</formula1>
      <formula2>100</formula2>
    </dataValidation>
    <dataValidation type="decimal" allowBlank="1" showErrorMessage="1" errorTitle="Неверно указано Количество" error="минимальное количество для заказа = 3" sqref="L2906 L2948 L3288:L3289">
      <formula1>3</formula1>
      <formula2>359</formula2>
    </dataValidation>
    <dataValidation type="decimal" allowBlank="1" showErrorMessage="1" errorTitle="Неверно указано Количество" error="минимальное количество для заказа = 3" sqref="L2908">
      <formula1>3</formula1>
      <formula2>88</formula2>
    </dataValidation>
    <dataValidation type="decimal" allowBlank="1" showErrorMessage="1" errorTitle="Неверно указано Количество" error="минимальное количество для заказа = 3" sqref="L2911">
      <formula1>3</formula1>
      <formula2>118</formula2>
    </dataValidation>
    <dataValidation type="decimal" allowBlank="1" showErrorMessage="1" errorTitle="Неверно указано Количество" error="минимальное количество для заказа = 3" sqref="L2912">
      <formula1>3</formula1>
      <formula2>165</formula2>
    </dataValidation>
    <dataValidation type="decimal" allowBlank="1" showErrorMessage="1" errorTitle="Неверно указано Количество" error="минимальное количество для заказа = 3" sqref="L2913 L3185">
      <formula1>3</formula1>
      <formula2>180</formula2>
    </dataValidation>
    <dataValidation type="decimal" allowBlank="1" showErrorMessage="1" errorTitle="Неверно указано Количество" error="минимальное количество для заказа = 3" sqref="L2914">
      <formula1>3</formula1>
      <formula2>228</formula2>
    </dataValidation>
    <dataValidation type="decimal" allowBlank="1" showErrorMessage="1" errorTitle="Неверно указано Количество" error="минимальное количество для заказа = 3" sqref="L2915">
      <formula1>3</formula1>
      <formula2>159</formula2>
    </dataValidation>
    <dataValidation type="decimal" allowBlank="1" showErrorMessage="1" errorTitle="Неверно указано Количество" error="минимальное количество для заказа = 3" sqref="L2916">
      <formula1>3</formula1>
      <formula2>342</formula2>
    </dataValidation>
    <dataValidation type="decimal" allowBlank="1" showErrorMessage="1" errorTitle="Неверно указано Количество" error="минимальное количество для заказа = 1" sqref="L2923">
      <formula1>1</formula1>
      <formula2>338</formula2>
    </dataValidation>
    <dataValidation type="decimal" allowBlank="1" showErrorMessage="1" errorTitle="Неверно указано Количество" error="минимальное количество для заказа = 2" sqref="L2928">
      <formula1>2</formula1>
      <formula2>495</formula2>
    </dataValidation>
    <dataValidation type="decimal" allowBlank="1" showErrorMessage="1" errorTitle="Неверно указано Количество" error="минимальное количество для заказа = 3" sqref="L2939">
      <formula1>3</formula1>
      <formula2>33</formula2>
    </dataValidation>
    <dataValidation type="decimal" allowBlank="1" showErrorMessage="1" errorTitle="Неверно указано Количество" error="минимальное количество для заказа = 3" sqref="L2941">
      <formula1>3</formula1>
      <formula2>61</formula2>
    </dataValidation>
    <dataValidation type="decimal" allowBlank="1" showErrorMessage="1" errorTitle="Неверно указано Количество" error="минимальное количество для заказа = 2" sqref="L2945">
      <formula1>2</formula1>
      <formula2>184</formula2>
    </dataValidation>
    <dataValidation type="decimal" allowBlank="1" showErrorMessage="1" errorTitle="Неверно указано Количество" error="минимальное количество для заказа = 3" sqref="L2949">
      <formula1>3</formula1>
      <formula2>294</formula2>
    </dataValidation>
    <dataValidation type="decimal" allowBlank="1" showErrorMessage="1" errorTitle="Неверно указано Количество" error="минимальное количество для заказа = 1" sqref="L2952 L3560">
      <formula1>1</formula1>
      <formula2>415</formula2>
    </dataValidation>
    <dataValidation type="decimal" allowBlank="1" showErrorMessage="1" errorTitle="Неверно указано Количество" error="минимальное количество для заказа = 12" sqref="L2965 L4088">
      <formula1>12</formula1>
      <formula2>444</formula2>
    </dataValidation>
    <dataValidation type="decimal" allowBlank="1" showErrorMessage="1" errorTitle="Неверно указано Количество" error="минимальное количество для заказа = 20" sqref="L3003">
      <formula1>20</formula1>
      <formula2>50</formula2>
    </dataValidation>
    <dataValidation type="decimal" allowBlank="1" showErrorMessage="1" errorTitle="Неверно указано Количество" error="минимальное количество для заказа = 20" sqref="L3004">
      <formula1>20</formula1>
      <formula2>390</formula2>
    </dataValidation>
    <dataValidation type="decimal" allowBlank="1" showErrorMessage="1" errorTitle="Неверно указано Количество" error="минимальное количество для заказа = 20" sqref="L3007">
      <formula1>20</formula1>
      <formula2>310</formula2>
    </dataValidation>
    <dataValidation type="decimal" allowBlank="1" showErrorMessage="1" errorTitle="Неверно указано Количество" error="минимальное количество для заказа = 10" sqref="L3019">
      <formula1>10</formula1>
      <formula2>464</formula2>
    </dataValidation>
    <dataValidation type="decimal" allowBlank="1" showErrorMessage="1" errorTitle="Неверно указано Количество" error="минимальное количество для заказа = 10" sqref="L3020">
      <formula1>10</formula1>
      <formula2>302</formula2>
    </dataValidation>
    <dataValidation type="decimal" allowBlank="1" showErrorMessage="1" errorTitle="Неверно указано Количество" error="минимальное количество для заказа = 6" sqref="L3022">
      <formula1>6</formula1>
      <formula2>17</formula2>
    </dataValidation>
    <dataValidation type="decimal" allowBlank="1" showErrorMessage="1" errorTitle="Неверно указано Количество" error="минимальное количество для заказа = 7" sqref="L3023">
      <formula1>7</formula1>
      <formula2>15</formula2>
    </dataValidation>
    <dataValidation type="decimal" allowBlank="1" showErrorMessage="1" errorTitle="Неверно указано Количество" error="минимальное количество для заказа = 6" sqref="L3024">
      <formula1>6</formula1>
      <formula2>272</formula2>
    </dataValidation>
    <dataValidation type="decimal" allowBlank="1" showErrorMessage="1" errorTitle="Неверно указано Количество" error="минимальное количество для заказа = 6" sqref="L3025">
      <formula1>6</formula1>
      <formula2>296</formula2>
    </dataValidation>
    <dataValidation type="decimal" allowBlank="1" showErrorMessage="1" errorTitle="Неверно указано Количество" error="минимальное количество для заказа = 6" sqref="L3026">
      <formula1>6</formula1>
      <formula2>138</formula2>
    </dataValidation>
    <dataValidation type="decimal" allowBlank="1" showErrorMessage="1" errorTitle="Неверно указано Количество" error="минимальное количество для заказа = 6" sqref="L3027">
      <formula1>6</formula1>
      <formula2>166</formula2>
    </dataValidation>
    <dataValidation type="decimal" allowBlank="1" showErrorMessage="1" errorTitle="Неверно указано Количество" error="минимальное количество для заказа = 6" sqref="L3028">
      <formula1>6</formula1>
      <formula2>206</formula2>
    </dataValidation>
    <dataValidation type="decimal" allowBlank="1" showErrorMessage="1" errorTitle="Неверно указано Количество" error="минимальное количество для заказа = 6" sqref="L3029">
      <formula1>6</formula1>
      <formula2>14</formula2>
    </dataValidation>
    <dataValidation type="decimal" allowBlank="1" showErrorMessage="1" errorTitle="Неверно указано Количество" error="минимальное количество для заказа = 6" sqref="L3030">
      <formula1>6</formula1>
      <formula2>201</formula2>
    </dataValidation>
    <dataValidation type="decimal" allowBlank="1" showErrorMessage="1" errorTitle="Неверно указано Количество" error="минимальное количество для заказа = 6" sqref="L3031">
      <formula1>6</formula1>
      <formula2>141</formula2>
    </dataValidation>
    <dataValidation type="decimal" allowBlank="1" showErrorMessage="1" errorTitle="Неверно указано Количество" error="минимальное количество для заказа = 6" sqref="L3032">
      <formula1>6</formula1>
      <formula2>192</formula2>
    </dataValidation>
    <dataValidation type="decimal" allowBlank="1" showErrorMessage="1" errorTitle="Неверно указано Количество" error="минимальное количество для заказа = 6" sqref="L3033">
      <formula1>6</formula1>
      <formula2>200</formula2>
    </dataValidation>
    <dataValidation type="decimal" allowBlank="1" showErrorMessage="1" errorTitle="Неверно указано Количество" error="минимальное количество для заказа = 6" sqref="L3034">
      <formula1>6</formula1>
      <formula2>304</formula2>
    </dataValidation>
    <dataValidation type="decimal" allowBlank="1" showErrorMessage="1" errorTitle="Неверно указано Количество" error="минимальное количество для заказа = 6" sqref="L3035">
      <formula1>6</formula1>
      <formula2>91</formula2>
    </dataValidation>
    <dataValidation type="decimal" allowBlank="1" showErrorMessage="1" errorTitle="Неверно указано Количество" error="минимальное количество для заказа = 6" sqref="L3036">
      <formula1>6</formula1>
      <formula2>253</formula2>
    </dataValidation>
    <dataValidation type="decimal" allowBlank="1" showErrorMessage="1" errorTitle="Неверно указано Количество" error="минимальное количество для заказа = 10" sqref="L3039">
      <formula1>10</formula1>
      <formula2>460</formula2>
    </dataValidation>
    <dataValidation type="decimal" allowBlank="1" showErrorMessage="1" errorTitle="Неверно указано Количество" error="минимальное количество для заказа = 10" sqref="L3040">
      <formula1>10</formula1>
      <formula2>361</formula2>
    </dataValidation>
    <dataValidation type="decimal" allowBlank="1" showErrorMessage="1" errorTitle="Неверно указано Количество" error="минимальное количество для заказа = 5" sqref="L3041">
      <formula1>5</formula1>
      <formula2>125</formula2>
    </dataValidation>
    <dataValidation type="decimal" allowBlank="1" showErrorMessage="1" errorTitle="Неверно указано Количество" error="минимальное количество для заказа = 10" sqref="L3042">
      <formula1>10</formula1>
      <formula2>479</formula2>
    </dataValidation>
    <dataValidation type="decimal" allowBlank="1" showErrorMessage="1" errorTitle="Неверно указано Количество" error="минимальное количество для заказа = 10" sqref="L3043">
      <formula1>10</formula1>
      <formula2>153</formula2>
    </dataValidation>
    <dataValidation type="decimal" allowBlank="1" showErrorMessage="1" errorTitle="Неверно указано Количество" error="минимальное количество для заказа = 10" sqref="L3044">
      <formula1>10</formula1>
      <formula2>179</formula2>
    </dataValidation>
    <dataValidation type="decimal" allowBlank="1" showErrorMessage="1" errorTitle="Неверно указано Количество" error="минимальное количество для заказа = 24" sqref="L3052">
      <formula1>24</formula1>
      <formula2>135</formula2>
    </dataValidation>
    <dataValidation type="decimal" allowBlank="1" showErrorMessage="1" errorTitle="Неверно указано Количество" error="минимальное количество для заказа = 5" sqref="L3069">
      <formula1>5</formula1>
      <formula2>36</formula2>
    </dataValidation>
    <dataValidation type="decimal" allowBlank="1" showErrorMessage="1" errorTitle="Неверно указано Количество" error="минимальное количество для заказа = 5" sqref="L3070">
      <formula1>5</formula1>
      <formula2>30</formula2>
    </dataValidation>
    <dataValidation type="decimal" allowBlank="1" showErrorMessage="1" errorTitle="Неверно указано Количество" error="минимальное количество для заказа = 5" sqref="L3071">
      <formula1>5</formula1>
      <formula2>7</formula2>
    </dataValidation>
    <dataValidation type="decimal" allowBlank="1" showErrorMessage="1" errorTitle="Неверно указано Количество" error="минимальное количество для заказа = 4" sqref="L3073">
      <formula1>4</formula1>
      <formula2>477</formula2>
    </dataValidation>
    <dataValidation type="decimal" allowBlank="1" showErrorMessage="1" errorTitle="Неверно указано Количество" error="минимальное количество для заказа = 4" sqref="L3074">
      <formula1>4</formula1>
      <formula2>371</formula2>
    </dataValidation>
    <dataValidation type="decimal" allowBlank="1" showErrorMessage="1" errorTitle="Неверно указано Количество" error="минимальное количество для заказа = 4" sqref="L3075">
      <formula1>4</formula1>
      <formula2>41</formula2>
    </dataValidation>
    <dataValidation type="decimal" allowBlank="1" showErrorMessage="1" errorTitle="Неверно указано Количество" error="минимальное количество для заказа = 2" sqref="L3077">
      <formula1>2</formula1>
      <formula2>410</formula2>
    </dataValidation>
    <dataValidation type="decimal" allowBlank="1" showErrorMessage="1" errorTitle="Неверно указано Количество" error="минимальное количество для заказа = 1" sqref="L3079">
      <formula1>1</formula1>
      <formula2>464</formula2>
    </dataValidation>
    <dataValidation type="decimal" allowBlank="1" showErrorMessage="1" errorTitle="Неверно указано Количество" error="минимальное количество для заказа = 1" sqref="L3080 L3083">
      <formula1>1</formula1>
      <formula2>459</formula2>
    </dataValidation>
    <dataValidation type="decimal" allowBlank="1" showErrorMessage="1" errorTitle="Неверно указано Количество" error="минимальное количество для заказа = 1" sqref="L3084">
      <formula1>1</formula1>
      <formula2>449</formula2>
    </dataValidation>
    <dataValidation type="decimal" allowBlank="1" showErrorMessage="1" errorTitle="Неверно указано Количество" error="минимальное количество для заказа = 1" sqref="L3090">
      <formula1>1</formula1>
      <formula2>335</formula2>
    </dataValidation>
    <dataValidation type="decimal" allowBlank="1" showErrorMessage="1" errorTitle="Неверно указано Количество" error="минимальное количество для заказа = 1" sqref="L3091 L3135 L3804 L5142">
      <formula1>1</formula1>
      <formula2>120</formula2>
    </dataValidation>
    <dataValidation type="decimal" allowBlank="1" showErrorMessage="1" errorTitle="Неверно указано Количество" error="минимальное количество для заказа = 1" sqref="L3092 L4470">
      <formula1>1</formula1>
      <formula2>171</formula2>
    </dataValidation>
    <dataValidation type="decimal" allowBlank="1" showErrorMessage="1" errorTitle="Неверно указано Количество" error="минимальное количество для заказа = 2" sqref="L3122">
      <formula1>2</formula1>
      <formula2>44</formula2>
    </dataValidation>
    <dataValidation type="decimal" allowBlank="1" showErrorMessage="1" errorTitle="Неверно указано Количество" error="минимальное количество для заказа = 1" sqref="L3136">
      <formula1>1</formula1>
      <formula2>281</formula2>
    </dataValidation>
    <dataValidation type="decimal" allowBlank="1" showErrorMessage="1" errorTitle="Неверно указано Количество" error="минимальное количество для заказа = 3" sqref="L3181 L3184">
      <formula1>3</formula1>
      <formula2>300</formula2>
    </dataValidation>
    <dataValidation type="decimal" allowBlank="1" showErrorMessage="1" errorTitle="Неверно указано Количество" error="минимальное количество для заказа = 3" sqref="L3182">
      <formula1>3</formula1>
      <formula2>360</formula2>
    </dataValidation>
    <dataValidation type="decimal" allowBlank="1" showErrorMessage="1" errorTitle="Неверно указано Количество" error="минимальное количество для заказа = 3" sqref="L3183">
      <formula1>3</formula1>
      <formula2>179</formula2>
    </dataValidation>
    <dataValidation type="decimal" allowBlank="1" showErrorMessage="1" errorTitle="Неверно указано Количество" error="минимальное количество для заказа = 2" sqref="L3188">
      <formula1>2</formula1>
      <formula2>380</formula2>
    </dataValidation>
    <dataValidation type="decimal" allowBlank="1" showErrorMessage="1" errorTitle="Неверно указано Количество" error="минимальное количество для заказа = 1" sqref="L3190">
      <formula1>1</formula1>
      <formula2>458</formula2>
    </dataValidation>
    <dataValidation type="decimal" allowBlank="1" showErrorMessage="1" errorTitle="Неверно указано Количество" error="минимальное количество для заказа = 3" sqref="L3207">
      <formula1>3</formula1>
      <formula2>243</formula2>
    </dataValidation>
    <dataValidation type="decimal" allowBlank="1" showErrorMessage="1" errorTitle="Неверно указано Количество" error="минимальное количество для заказа = 2" sqref="L3208">
      <formula1>2</formula1>
      <formula2>253</formula2>
    </dataValidation>
    <dataValidation type="decimal" allowBlank="1" showErrorMessage="1" errorTitle="Неверно указано Количество" error="минимальное количество для заказа = 2" sqref="L3209">
      <formula1>2</formula1>
      <formula2>254</formula2>
    </dataValidation>
    <dataValidation type="decimal" allowBlank="1" showErrorMessage="1" errorTitle="Неверно указано Количество" error="минимальное количество для заказа = 1" sqref="L3216 L4480 L5164">
      <formula1>1</formula1>
      <formula2>220</formula2>
    </dataValidation>
    <dataValidation type="decimal" allowBlank="1" showErrorMessage="1" errorTitle="Неверно указано Количество" error="минимальное количество для заказа = 1" sqref="L3217">
      <formula1>1</formula1>
      <formula2>187</formula2>
    </dataValidation>
    <dataValidation type="decimal" allowBlank="1" showErrorMessage="1" errorTitle="Неверно указано Количество" error="минимальное количество для заказа = 3" sqref="L3223">
      <formula1>3</formula1>
      <formula2>130</formula2>
    </dataValidation>
    <dataValidation type="decimal" allowBlank="1" showErrorMessage="1" errorTitle="Неверно указано Количество" error="минимальное количество для заказа = 3" sqref="L3225">
      <formula1>3</formula1>
      <formula2>377</formula2>
    </dataValidation>
    <dataValidation type="decimal" allowBlank="1" showErrorMessage="1" errorTitle="Неверно указано Количество" error="минимальное количество для заказа = 3" sqref="L3226">
      <formula1>3</formula1>
      <formula2>441</formula2>
    </dataValidation>
    <dataValidation type="decimal" allowBlank="1" showErrorMessage="1" errorTitle="Неверно указано Количество" error="минимальное количество для заказа = 2" sqref="L3231">
      <formula1>2</formula1>
      <formula2>362</formula2>
    </dataValidation>
    <dataValidation type="decimal" allowBlank="1" showErrorMessage="1" errorTitle="Неверно указано Количество" error="минимальное количество для заказа = 2" sqref="L3236">
      <formula1>2</formula1>
      <formula2>456</formula2>
    </dataValidation>
    <dataValidation type="decimal" allowBlank="1" showErrorMessage="1" errorTitle="Неверно указано Количество" error="минимальное количество для заказа = 2" sqref="L3237">
      <formula1>2</formula1>
      <formula2>448</formula2>
    </dataValidation>
    <dataValidation type="decimal" allowBlank="1" showErrorMessage="1" errorTitle="Неверно указано Количество" error="минимальное количество для заказа = 1" sqref="L3238 L5262">
      <formula1>1</formula1>
      <formula2>196</formula2>
    </dataValidation>
    <dataValidation type="decimal" allowBlank="1" showErrorMessage="1" errorTitle="Неверно указано Количество" error="минимальное количество для заказа = 2" sqref="L3241">
      <formula1>2</formula1>
      <formula2>484</formula2>
    </dataValidation>
    <dataValidation type="decimal" allowBlank="1" showErrorMessage="1" errorTitle="Неверно указано Количество" error="минимальное количество для заказа = 2" sqref="L3243">
      <formula1>2</formula1>
      <formula2>436</formula2>
    </dataValidation>
    <dataValidation type="decimal" allowBlank="1" showErrorMessage="1" errorTitle="Неверно указано Количество" error="минимальное количество для заказа = 2" sqref="L3244">
      <formula1>2</formula1>
      <formula2>274</formula2>
    </dataValidation>
    <dataValidation type="decimal" allowBlank="1" showErrorMessage="1" errorTitle="Неверно указано Количество" error="минимальное количество для заказа = 2" sqref="L3246">
      <formula1>2</formula1>
      <formula2>350</formula2>
    </dataValidation>
    <dataValidation type="decimal" allowBlank="1" showErrorMessage="1" errorTitle="Неверно указано Количество" error="минимальное количество для заказа = 2" sqref="L3247">
      <formula1>2</formula1>
      <formula2>52</formula2>
    </dataValidation>
    <dataValidation type="decimal" allowBlank="1" showErrorMessage="1" errorTitle="Неверно указано Количество" error="минимальное количество для заказа = 3" sqref="L3281">
      <formula1>3</formula1>
      <formula2>202</formula2>
    </dataValidation>
    <dataValidation type="decimal" allowBlank="1" showErrorMessage="1" errorTitle="Неверно указано Количество" error="минимальное количество для заказа = 2" sqref="L3287 L3292">
      <formula1>2</formula1>
      <formula2>413</formula2>
    </dataValidation>
    <dataValidation type="decimal" allowBlank="1" showErrorMessage="1" errorTitle="Неверно указано Количество" error="минимальное количество для заказа = 2" sqref="L3296 L3608 L3293:L3294">
      <formula1>2</formula1>
      <formula2>167</formula2>
    </dataValidation>
    <dataValidation type="decimal" allowBlank="1" showErrorMessage="1" errorTitle="Неверно указано Количество" error="минимальное количество для заказа = 2" sqref="L3297">
      <formula1>2</formula1>
      <formula2>143</formula2>
    </dataValidation>
    <dataValidation type="decimal" allowBlank="1" showErrorMessage="1" errorTitle="Неверно указано Количество" error="минимальное количество для заказа = 1" sqref="L3303">
      <formula1>1</formula1>
      <formula2>486</formula2>
    </dataValidation>
    <dataValidation type="decimal" allowBlank="1" showErrorMessage="1" errorTitle="Неверно указано Количество" error="минимальное количество для заказа = 1" sqref="L3320">
      <formula1>1</formula1>
      <formula2>317</formula2>
    </dataValidation>
    <dataValidation type="decimal" allowBlank="1" showErrorMessage="1" errorTitle="Неверно указано Количество" error="минимальное количество для заказа = 1" sqref="L3322">
      <formula1>1</formula1>
      <formula2>487</formula2>
    </dataValidation>
    <dataValidation type="decimal" allowBlank="1" showErrorMessage="1" errorTitle="Неверно указано Количество" error="минимальное количество для заказа = 1" sqref="L3329">
      <formula1>1</formula1>
      <formula2>366</formula2>
    </dataValidation>
    <dataValidation type="decimal" allowBlank="1" showErrorMessage="1" errorTitle="Неверно указано Количество" error="минимальное количество для заказа = 1" sqref="L3353">
      <formula1>1</formula1>
      <formula2>426</formula2>
    </dataValidation>
    <dataValidation type="decimal" allowBlank="1" showErrorMessage="1" errorTitle="Неверно указано Количество" error="минимальное количество для заказа = 1" sqref="L3360">
      <formula1>1</formula1>
      <formula2>350</formula2>
    </dataValidation>
    <dataValidation type="decimal" allowBlank="1" showErrorMessage="1" errorTitle="Неверно указано Количество" error="минимальное количество для заказа = 1" sqref="L3367">
      <formula1>1</formula1>
      <formula2>88</formula2>
    </dataValidation>
    <dataValidation type="decimal" allowBlank="1" showErrorMessage="1" errorTitle="Неверно указано Количество" error="минимальное количество для заказа = 3" sqref="L3369">
      <formula1>3</formula1>
      <formula2>32</formula2>
    </dataValidation>
    <dataValidation type="decimal" allowBlank="1" showErrorMessage="1" errorTitle="Неверно указано Количество" error="минимальное количество для заказа = 1" sqref="L3410 L3750">
      <formula1>1</formula1>
      <formula2>107</formula2>
    </dataValidation>
    <dataValidation type="decimal" allowBlank="1" showErrorMessage="1" errorTitle="Неверно указано Количество" error="минимальное количество для заказа = 1" sqref="L3412 L3540 L4462">
      <formula1>1</formula1>
      <formula2>92</formula2>
    </dataValidation>
    <dataValidation type="decimal" allowBlank="1" showErrorMessage="1" errorTitle="Неверно указано Количество" error="минимальное количество для заказа = 1" sqref="L3420">
      <formula1>1</formula1>
      <formula2>298</formula2>
    </dataValidation>
    <dataValidation type="decimal" allowBlank="1" showErrorMessage="1" errorTitle="Неверно указано Количество" error="минимальное количество для заказа = 1" sqref="L3425">
      <formula1>1</formula1>
      <formula2>244</formula2>
    </dataValidation>
    <dataValidation type="decimal" allowBlank="1" showErrorMessage="1" errorTitle="Неверно указано Количество" error="минимальное количество для заказа = 1" sqref="L3430 L3556 L4744">
      <formula1>1</formula1>
      <formula2>290</formula2>
    </dataValidation>
    <dataValidation type="decimal" allowBlank="1" showErrorMessage="1" errorTitle="Неверно указано Количество" error="минимальное количество для заказа = 1" sqref="L3431 L3613">
      <formula1>1</formula1>
      <formula2>323</formula2>
    </dataValidation>
    <dataValidation type="decimal" allowBlank="1" showErrorMessage="1" errorTitle="Неверно указано Количество" error="минимальное количество для заказа = 1" sqref="L3437 L3650 L3682">
      <formula1>1</formula1>
      <formula2>375</formula2>
    </dataValidation>
    <dataValidation type="decimal" allowBlank="1" showErrorMessage="1" errorTitle="Неверно указано Количество" error="минимальное количество для заказа = 1" sqref="L3441 L3661">
      <formula1>1</formula1>
      <formula2>311</formula2>
    </dataValidation>
    <dataValidation type="decimal" allowBlank="1" showErrorMessage="1" errorTitle="Неверно указано Количество" error="минимальное количество для заказа = 1" sqref="L3446">
      <formula1>1</formula1>
      <formula2>302</formula2>
    </dataValidation>
    <dataValidation type="decimal" allowBlank="1" showErrorMessage="1" errorTitle="Неверно указано Количество" error="минимальное количество для заказа = 1" sqref="L3448">
      <formula1>1</formula1>
      <formula2>293</formula2>
    </dataValidation>
    <dataValidation type="decimal" allowBlank="1" showErrorMessage="1" errorTitle="Неверно указано Количество" error="минимальное количество для заказа = 1" sqref="L3450 L5151:L5153 L5198:L5199">
      <formula1>1</formula1>
      <formula2>240</formula2>
    </dataValidation>
    <dataValidation type="decimal" allowBlank="1" showErrorMessage="1" errorTitle="Неверно указано Количество" error="минимальное количество для заказа = 1" sqref="L3454 L3653 L3706">
      <formula1>1</formula1>
      <formula2>234</formula2>
    </dataValidation>
    <dataValidation type="decimal" allowBlank="1" showErrorMessage="1" errorTitle="Неверно указано Количество" error="минимальное количество для заказа = 2" sqref="L3476">
      <formula1>2</formula1>
      <formula2>345</formula2>
    </dataValidation>
    <dataValidation type="decimal" allowBlank="1" showErrorMessage="1" errorTitle="Неверно указано Количество" error="минимальное количество для заказа = 2" sqref="L3489">
      <formula1>2</formula1>
      <formula2>215</formula2>
    </dataValidation>
    <dataValidation type="decimal" allowBlank="1" showErrorMessage="1" errorTitle="Неверно указано Количество" error="минимальное количество для заказа = 1" sqref="L3561">
      <formula1>1</formula1>
      <formula2>315</formula2>
    </dataValidation>
    <dataValidation type="decimal" allowBlank="1" showErrorMessage="1" errorTitle="Неверно указано Количество" error="минимальное количество для заказа = 1" sqref="L3564">
      <formula1>1</formula1>
      <formula2>111</formula2>
    </dataValidation>
    <dataValidation type="decimal" allowBlank="1" showErrorMessage="1" errorTitle="Неверно указано Количество" error="минимальное количество для заказа = 1" sqref="L3565 L3675">
      <formula1>1</formula1>
      <formula2>110</formula2>
    </dataValidation>
    <dataValidation type="decimal" allowBlank="1" showErrorMessage="1" errorTitle="Неверно указано Количество" error="минимальное количество для заказа = 1" sqref="L3566">
      <formula1>1</formula1>
      <formula2>231</formula2>
    </dataValidation>
    <dataValidation type="decimal" allowBlank="1" showErrorMessage="1" errorTitle="Неверно указано Количество" error="минимальное количество для заказа = 1" sqref="L3569 L4812">
      <formula1>1</formula1>
      <formula2>200</formula2>
    </dataValidation>
    <dataValidation type="decimal" allowBlank="1" showErrorMessage="1" errorTitle="Неверно указано Количество" error="минимальное количество для заказа = 1" sqref="L3570">
      <formula1>1</formula1>
      <formula2>387</formula2>
    </dataValidation>
    <dataValidation type="decimal" allowBlank="1" showErrorMessage="1" errorTitle="Неверно указано Количество" error="минимальное количество для заказа = 2" sqref="L3574">
      <formula1>2</formula1>
      <formula2>205</formula2>
    </dataValidation>
    <dataValidation type="decimal" allowBlank="1" showErrorMessage="1" errorTitle="Неверно указано Количество" error="минимальное количество для заказа = 1" sqref="L3580 L3679">
      <formula1>1</formula1>
      <formula2>395</formula2>
    </dataValidation>
    <dataValidation type="decimal" allowBlank="1" showErrorMessage="1" errorTitle="Неверно указано Количество" error="минимальное количество для заказа = 3" sqref="L3585">
      <formula1>3</formula1>
      <formula2>24</formula2>
    </dataValidation>
    <dataValidation type="decimal" allowBlank="1" showErrorMessage="1" errorTitle="Неверно указано Количество" error="минимальное количество для заказа = 6" sqref="L3587">
      <formula1>6</formula1>
      <formula2>111</formula2>
    </dataValidation>
    <dataValidation type="decimal" allowBlank="1" showErrorMessage="1" errorTitle="Неверно указано Количество" error="минимальное количество для заказа = 6" sqref="L3588">
      <formula1>6</formula1>
      <formula2>9</formula2>
    </dataValidation>
    <dataValidation type="decimal" allowBlank="1" showErrorMessage="1" errorTitle="Неверно указано Количество" error="минимальное количество для заказа = 6" sqref="L3591">
      <formula1>6</formula1>
      <formula2>96</formula2>
    </dataValidation>
    <dataValidation type="decimal" allowBlank="1" showErrorMessage="1" errorTitle="Неверно указано Количество" error="минимальное количество для заказа = 6" sqref="L3592">
      <formula1>6</formula1>
      <formula2>183</formula2>
    </dataValidation>
    <dataValidation type="decimal" allowBlank="1" showErrorMessage="1" errorTitle="Неверно указано Количество" error="минимальное количество для заказа = 3" sqref="L3600">
      <formula1>3</formula1>
      <formula2>278</formula2>
    </dataValidation>
    <dataValidation type="decimal" allowBlank="1" showErrorMessage="1" errorTitle="Неверно указано Количество" error="минимальное количество для заказа = 3" sqref="L3601">
      <formula1>3</formula1>
      <formula2>421</formula2>
    </dataValidation>
    <dataValidation type="decimal" allowBlank="1" showErrorMessage="1" errorTitle="Неверно указано Количество" error="минимальное количество для заказа = 1" sqref="L3606">
      <formula1>1</formula1>
      <formula2>407</formula2>
    </dataValidation>
    <dataValidation type="decimal" allowBlank="1" showErrorMessage="1" errorTitle="Неверно указано Количество" error="минимальное количество для заказа = 1" sqref="L3612">
      <formula1>1</formula1>
      <formula2>441</formula2>
    </dataValidation>
    <dataValidation type="decimal" allowBlank="1" showErrorMessage="1" errorTitle="Неверно указано Количество" error="минимальное количество для заказа = 2" sqref="L3615">
      <formula1>2</formula1>
      <formula2>192</formula2>
    </dataValidation>
    <dataValidation type="decimal" allowBlank="1" showErrorMessage="1" errorTitle="Неверно указано Количество" error="минимальное количество для заказа = 2" sqref="L3616 L3624">
      <formula1>2</formula1>
      <formula2>408</formula2>
    </dataValidation>
    <dataValidation type="decimal" allowBlank="1" showErrorMessage="1" errorTitle="Неверно указано Количество" error="минимальное количество для заказа = 2" sqref="L3618">
      <formula1>2</formula1>
      <formula2>440</formula2>
    </dataValidation>
    <dataValidation type="decimal" allowBlank="1" showErrorMessage="1" errorTitle="Неверно указано Количество" error="минимальное количество для заказа = 2" sqref="L3619 L4718">
      <formula1>2</formula1>
      <formula2>269</formula2>
    </dataValidation>
    <dataValidation type="decimal" allowBlank="1" showErrorMessage="1" errorTitle="Неверно указано Количество" error="минимальное количество для заказа = 2" sqref="L3623">
      <formula1>2</formula1>
      <formula2>344</formula2>
    </dataValidation>
    <dataValidation type="decimal" allowBlank="1" showErrorMessage="1" errorTitle="Неверно указано Количество" error="минимальное количество для заказа = 1" sqref="L3639 L1915:L1916">
      <formula1>1</formula1>
      <formula2>344</formula2>
    </dataValidation>
    <dataValidation type="decimal" allowBlank="1" showErrorMessage="1" errorTitle="Неверно указано Количество" error="минимальное количество для заказа = 1" sqref="L3643">
      <formula1>1</formula1>
      <formula2>66</formula2>
    </dataValidation>
    <dataValidation type="decimal" allowBlank="1" showErrorMessage="1" errorTitle="Неверно указано Количество" error="минимальное количество для заказа = 1" sqref="L3646 L3886">
      <formula1>1</formula1>
      <formula2>454</formula2>
    </dataValidation>
    <dataValidation type="decimal" allowBlank="1" showErrorMessage="1" errorTitle="Неверно указано Количество" error="минимальное количество для заказа = 1" sqref="L3648 L3774 L5211">
      <formula1>1</formula1>
      <formula2>32</formula2>
    </dataValidation>
    <dataValidation type="decimal" allowBlank="1" showErrorMessage="1" errorTitle="Неверно указано Количество" error="минимальное количество для заказа = 1" sqref="L3652 L3668 L5168 L5178">
      <formula1>1</formula1>
      <formula2>295</formula2>
    </dataValidation>
    <dataValidation type="decimal" allowBlank="1" showErrorMessage="1" errorTitle="Неверно указано Количество" error="минимальное количество для заказа = 1" sqref="L3658">
      <formula1>1</formula1>
      <formula2>137</formula2>
    </dataValidation>
    <dataValidation type="decimal" allowBlank="1" showErrorMessage="1" errorTitle="Неверно указано Количество" error="минимальное количество для заказа = 1" sqref="L3660">
      <formula1>1</formula1>
      <formula2>154</formula2>
    </dataValidation>
    <dataValidation type="decimal" allowBlank="1" showErrorMessage="1" errorTitle="Неверно указано Количество" error="минимальное количество для заказа = 1" sqref="L3664">
      <formula1>1</formula1>
      <formula2>213</formula2>
    </dataValidation>
    <dataValidation type="decimal" allowBlank="1" showErrorMessage="1" errorTitle="Неверно указано Количество" error="минимальное количество для заказа = 1" sqref="L3667">
      <formula1>1</formula1>
      <formula2>151</formula2>
    </dataValidation>
    <dataValidation type="decimal" allowBlank="1" showErrorMessage="1" errorTitle="Неверно указано Количество" error="минимальное количество для заказа = 1" sqref="L3674">
      <formula1>1</formula1>
      <formula2>485</formula2>
    </dataValidation>
    <dataValidation type="decimal" allowBlank="1" showErrorMessage="1" errorTitle="Неверно указано Количество" error="минимальное количество для заказа = 1" sqref="L3678">
      <formula1>1</formula1>
      <formula2>374</formula2>
    </dataValidation>
    <dataValidation type="decimal" allowBlank="1" showErrorMessage="1" errorTitle="Неверно указано Количество" error="минимальное количество для заказа = 1" sqref="L3681">
      <formula1>1</formula1>
      <formula2>371</formula2>
    </dataValidation>
    <dataValidation type="decimal" allowBlank="1" showErrorMessage="1" errorTitle="Неверно указано Количество" error="минимальное количество для заказа = 1" sqref="L3683">
      <formula1>1</formula1>
      <formula2>413</formula2>
    </dataValidation>
    <dataValidation type="decimal" allowBlank="1" showErrorMessage="1" errorTitle="Неверно указано Количество" error="минимальное количество для заказа = 1" sqref="L3684">
      <formula1>1</formula1>
      <formula2>330</formula2>
    </dataValidation>
    <dataValidation type="decimal" allowBlank="1" showErrorMessage="1" errorTitle="Неверно указано Количество" error="минимальное количество для заказа = 1" sqref="L3685">
      <formula1>1</formula1>
      <formula2>301</formula2>
    </dataValidation>
    <dataValidation type="decimal" allowBlank="1" showErrorMessage="1" errorTitle="Неверно указано Количество" error="минимальное количество для заказа = 1" sqref="L3694">
      <formula1>1</formula1>
      <formula2>37</formula2>
    </dataValidation>
    <dataValidation type="decimal" allowBlank="1" showErrorMessage="1" errorTitle="Неверно указано Количество" error="минимальное количество для заказа = 1" sqref="L3695">
      <formula1>1</formula1>
      <formula2>63</formula2>
    </dataValidation>
    <dataValidation type="decimal" allowBlank="1" showErrorMessage="1" errorTitle="Неверно указано Количество" error="минимальное количество для заказа = 1" sqref="L3707">
      <formula1>1</formula1>
      <formula2>139</formula2>
    </dataValidation>
    <dataValidation type="decimal" allowBlank="1" showErrorMessage="1" errorTitle="Неверно указано Количество" error="минимальное количество для заказа = 3" sqref="L3721">
      <formula1>3</formula1>
      <formula2>75</formula2>
    </dataValidation>
    <dataValidation type="decimal" allowBlank="1" showErrorMessage="1" errorTitle="Неверно указано Количество" error="минимальное количество для заказа = 3" sqref="L3722">
      <formula1>3</formula1>
      <formula2>8</formula2>
    </dataValidation>
    <dataValidation type="decimal" allowBlank="1" showErrorMessage="1" errorTitle="Неверно указано Количество" error="минимальное количество для заказа = 1" sqref="L3751">
      <formula1>1</formula1>
      <formula2>450</formula2>
    </dataValidation>
    <dataValidation type="decimal" allowBlank="1" showErrorMessage="1" errorTitle="Неверно указано Количество" error="минимальное количество для заказа = 1" sqref="L3755">
      <formula1>1</formula1>
      <formula2>67</formula2>
    </dataValidation>
    <dataValidation type="decimal" allowBlank="1" showErrorMessage="1" errorTitle="Неверно указано Количество" error="минимальное количество для заказа = 1" sqref="L3756">
      <formula1>1</formula1>
      <formula2>489</formula2>
    </dataValidation>
    <dataValidation type="decimal" allowBlank="1" showErrorMessage="1" errorTitle="Неверно указано Количество" error="минимальное количество для заказа = 1" sqref="L3770 L3905">
      <formula1>1</formula1>
      <formula2>33</formula2>
    </dataValidation>
    <dataValidation type="decimal" allowBlank="1" showErrorMessage="1" errorTitle="Неверно указано Количество" error="минимальное количество для заказа = 1" sqref="L3782">
      <formula1>1</formula1>
      <formula2>83</formula2>
    </dataValidation>
    <dataValidation type="decimal" allowBlank="1" showErrorMessage="1" errorTitle="Неверно указано Количество" error="минимальное количество для заказа = 1" sqref="L3783">
      <formula1>1</formula1>
      <formula2>149</formula2>
    </dataValidation>
    <dataValidation type="decimal" allowBlank="1" showErrorMessage="1" errorTitle="Неверно указано Количество" error="минимальное количество для заказа = 3" sqref="L3811">
      <formula1>3</formula1>
      <formula2>76</formula2>
    </dataValidation>
    <dataValidation type="decimal" allowBlank="1" showErrorMessage="1" errorTitle="Неверно указано Количество" error="минимальное количество для заказа = 3" sqref="L3812">
      <formula1>3</formula1>
      <formula2>417</formula2>
    </dataValidation>
    <dataValidation type="decimal" allowBlank="1" showErrorMessage="1" errorTitle="Неверно указано Количество" error="минимальное количество для заказа = 3" sqref="L3813">
      <formula1>3</formula1>
      <formula2>297</formula2>
    </dataValidation>
    <dataValidation type="decimal" allowBlank="1" showErrorMessage="1" errorTitle="Неверно указано Количество" error="минимальное количество для заказа = 3" sqref="L3840">
      <formula1>3</formula1>
      <formula2>207</formula2>
    </dataValidation>
    <dataValidation type="decimal" allowBlank="1" showErrorMessage="1" errorTitle="Неверно указано Количество" error="минимальное количество для заказа = 3" sqref="L3841 L4517">
      <formula1>3</formula1>
      <formula2>18</formula2>
    </dataValidation>
    <dataValidation type="decimal" allowBlank="1" showErrorMessage="1" errorTitle="Неверно указано Количество" error="минимальное количество для заказа = 3" sqref="L3867">
      <formula1>3</formula1>
      <formula2>79</formula2>
    </dataValidation>
    <dataValidation type="decimal" allowBlank="1" showErrorMessage="1" errorTitle="Неверно указано Количество" error="минимальное количество для заказа = 1" sqref="L3870 L3878:L3879">
      <formula1>1</formula1>
      <formula2>238</formula2>
    </dataValidation>
    <dataValidation type="decimal" allowBlank="1" showErrorMessage="1" errorTitle="Неверно указано Количество" error="минимальное количество для заказа = 1" sqref="L3871">
      <formula1>1</formula1>
      <formula2>478</formula2>
    </dataValidation>
    <dataValidation type="decimal" allowBlank="1" showErrorMessage="1" errorTitle="Неверно указано Количество" error="минимальное количество для заказа = 1" sqref="L3873">
      <formula1>1</formula1>
      <formula2>55</formula2>
    </dataValidation>
    <dataValidation type="decimal" allowBlank="1" showErrorMessage="1" errorTitle="Неверно указано Количество" error="минимальное количество для заказа = 1" sqref="L3884 L4434">
      <formula1>1</formula1>
      <formula2>320</formula2>
    </dataValidation>
    <dataValidation type="decimal" allowBlank="1" showErrorMessage="1" errorTitle="Неверно указано Количество" error="минимальное количество для заказа = 1" sqref="L3898">
      <formula1>1</formula1>
      <formula2>390</formula2>
    </dataValidation>
    <dataValidation type="decimal" allowBlank="1" showErrorMessage="1" errorTitle="Неверно указано Количество" error="минимальное количество для заказа = 1" sqref="L3918">
      <formula1>1</formula1>
      <formula2>249</formula2>
    </dataValidation>
    <dataValidation type="decimal" allowBlank="1" showErrorMessage="1" errorTitle="Неверно указано Количество" error="минимальное количество для заказа = 2" sqref="L3930">
      <formula1>2</formula1>
      <formula2>73</formula2>
    </dataValidation>
    <dataValidation type="decimal" allowBlank="1" showErrorMessage="1" errorTitle="Неверно указано Количество" error="минимальное количество для заказа = 2" sqref="L3933">
      <formula1>2</formula1>
      <formula2>332</formula2>
    </dataValidation>
    <dataValidation type="decimal" allowBlank="1" showErrorMessage="1" errorTitle="Неверно указано Количество" error="минимальное количество для заказа = 2" sqref="L3934">
      <formula1>2</formula1>
      <formula2>266</formula2>
    </dataValidation>
    <dataValidation type="decimal" allowBlank="1" showErrorMessage="1" errorTitle="Неверно указано Количество" error="минимальное количество для заказа = 2" sqref="L3949">
      <formula1>2</formula1>
      <formula2>194</formula2>
    </dataValidation>
    <dataValidation type="decimal" allowBlank="1" showErrorMessage="1" errorTitle="Неверно указано Количество" error="минимальное количество для заказа = 2" sqref="L3961">
      <formula1>2</formula1>
      <formula2>207</formula2>
    </dataValidation>
    <dataValidation type="decimal" allowBlank="1" showErrorMessage="1" errorTitle="Неверно указано Количество" error="минимальное количество для заказа = 3" sqref="L3962">
      <formula1>3</formula1>
      <formula2>41</formula2>
    </dataValidation>
    <dataValidation type="decimal" allowBlank="1" showErrorMessage="1" errorTitle="Неверно указано Количество" error="минимальное количество для заказа = 12" sqref="L4059">
      <formula1>12</formula1>
      <formula2>156</formula2>
    </dataValidation>
    <dataValidation type="decimal" allowBlank="1" showErrorMessage="1" errorTitle="Неверно указано Количество" error="минимальное количество для заказа = 24" sqref="L4064">
      <formula1>24</formula1>
      <formula2>72</formula2>
    </dataValidation>
    <dataValidation type="decimal" allowBlank="1" showErrorMessage="1" errorTitle="Неверно указано Количество" error="минимальное количество для заказа = 12" sqref="L4069">
      <formula1>12</formula1>
      <formula2>120</formula2>
    </dataValidation>
    <dataValidation type="decimal" allowBlank="1" showErrorMessage="1" errorTitle="Неверно указано Количество" error="минимальное количество для заказа = 12" sqref="L4084">
      <formula1>12</formula1>
      <formula2>144</formula2>
    </dataValidation>
    <dataValidation type="decimal" allowBlank="1" showErrorMessage="1" errorTitle="Неверно указано Количество" error="минимальное количество для заказа = 12" sqref="L4131">
      <formula1>12</formula1>
      <formula2>456</formula2>
    </dataValidation>
    <dataValidation type="decimal" allowBlank="1" showErrorMessage="1" errorTitle="Неверно указано Количество" error="минимальное количество для заказа = 12" sqref="L4150">
      <formula1>12</formula1>
      <formula2>108</formula2>
    </dataValidation>
    <dataValidation type="decimal" allowBlank="1" showErrorMessage="1" errorTitle="Неверно указано Количество" error="минимальное количество для заказа = 12" sqref="L4161">
      <formula1>12</formula1>
      <formula2>372</formula2>
    </dataValidation>
    <dataValidation type="decimal" allowBlank="1" showErrorMessage="1" errorTitle="Неверно указано Количество" error="минимальное количество для заказа = 12" sqref="L4209">
      <formula1>12</formula1>
      <formula2>300</formula2>
    </dataValidation>
    <dataValidation type="decimal" allowBlank="1" showErrorMessage="1" errorTitle="Неверно указано Количество" error="минимальное количество для заказа = 120" sqref="L4247">
      <formula1>120</formula1>
      <formula2>360</formula2>
    </dataValidation>
    <dataValidation type="decimal" operator="equal" allowBlank="1" showErrorMessage="1" errorTitle="Не нужно менять минимальное количество для заказа:" error="минимальное количество для заказа = 150" sqref="J4264 J4270 J4274">
      <formula1>150</formula1>
    </dataValidation>
    <dataValidation type="decimal" operator="greaterThanOrEqual" allowBlank="1" showErrorMessage="1" errorTitle="Нельзя заказать меньше чем :" error="минимальное количество для заказа = 150" sqref="L4264 L4270 L4274">
      <formula1>150</formula1>
    </dataValidation>
    <dataValidation type="decimal" allowBlank="1" showErrorMessage="1" errorTitle="Неверно указано Количество" error="минимальное количество для заказа = 25" sqref="L4283 L4399">
      <formula1>25</formula1>
      <formula2>475</formula2>
    </dataValidation>
    <dataValidation type="decimal" allowBlank="1" showErrorMessage="1" errorTitle="Неверно указано Количество" error="минимальное количество для заказа = 25" sqref="L4285 L4365 L4397">
      <formula1>25</formula1>
      <formula2>25</formula2>
    </dataValidation>
    <dataValidation type="decimal" allowBlank="1" showErrorMessage="1" errorTitle="Неверно указано Количество" error="минимальное количество для заказа = 25" sqref="L4286 L4395 L4398">
      <formula1>25</formula1>
      <formula2>275</formula2>
    </dataValidation>
    <dataValidation type="decimal" allowBlank="1" showErrorMessage="1" errorTitle="Неверно указано Количество" error="минимальное количество для заказа = 50" sqref="L4299">
      <formula1>50</formula1>
      <formula2>125</formula2>
    </dataValidation>
    <dataValidation type="decimal" allowBlank="1" showErrorMessage="1" errorTitle="Неверно указано Количество" error="минимальное количество для заказа = 50" sqref="L4303 L4319 L4337">
      <formula1>50</formula1>
      <formula2>450</formula2>
    </dataValidation>
    <dataValidation type="decimal" allowBlank="1" showErrorMessage="1" errorTitle="Неверно указано Количество" error="минимальное количество для заказа = 50" sqref="L4325 L4338 L4356 L4358">
      <formula1>50</formula1>
      <formula2>400</formula2>
    </dataValidation>
    <dataValidation type="decimal" allowBlank="1" showErrorMessage="1" errorTitle="Неверно указано Количество" error="минимальное количество для заказа = 25" sqref="L4340">
      <formula1>25</formula1>
      <formula2>375</formula2>
    </dataValidation>
    <dataValidation type="decimal" allowBlank="1" showErrorMessage="1" errorTitle="Неверно указано Количество" error="минимальное количество для заказа = 50" sqref="L4342 L4369 L4315:L4316">
      <formula1>50</formula1>
      <formula2>300</formula2>
    </dataValidation>
    <dataValidation type="decimal" allowBlank="1" showErrorMessage="1" errorTitle="Неверно указано Количество" error="минимальное количество для заказа = 50" sqref="L4355 L4362">
      <formula1>50</formula1>
      <formula2>350</formula2>
    </dataValidation>
    <dataValidation type="decimal" allowBlank="1" showErrorMessage="1" errorTitle="Неверно указано Количество" error="минимальное количество для заказа = 50" sqref="L4373">
      <formula1>50</formula1>
      <formula2>475</formula2>
    </dataValidation>
    <dataValidation type="decimal" allowBlank="1" showErrorMessage="1" errorTitle="Неверно указано Количество" error="минимальное количество для заказа = 10" sqref="L4380">
      <formula1>10</formula1>
      <formula2>400</formula2>
    </dataValidation>
    <dataValidation type="decimal" allowBlank="1" showErrorMessage="1" errorTitle="Неверно указано Количество" error="минимальное количество для заказа = 10" sqref="L4381 L4505">
      <formula1>10</formula1>
      <formula2>280</formula2>
    </dataValidation>
    <dataValidation type="decimal" allowBlank="1" showErrorMessage="1" errorTitle="Неверно указано Количество" error="минимальное количество для заказа = 10" sqref="L4382 L5083">
      <formula1>10</formula1>
      <formula2>180</formula2>
    </dataValidation>
    <dataValidation type="decimal" allowBlank="1" showErrorMessage="1" errorTitle="Неверно указано Количество" error="минимальное количество для заказа = 10" sqref="L4384">
      <formula1>10</formula1>
      <formula2>380</formula2>
    </dataValidation>
    <dataValidation type="decimal" allowBlank="1" showErrorMessage="1" errorTitle="Неверно указано Количество" error="минимальное количество для заказа = 10" sqref="L4386">
      <formula1>10</formula1>
      <formula2>300</formula2>
    </dataValidation>
    <dataValidation type="decimal" allowBlank="1" showErrorMessage="1" errorTitle="Неверно указано Количество" error="минимальное количество для заказа = 5" sqref="L4387">
      <formula1>5</formula1>
      <formula2>110</formula2>
    </dataValidation>
    <dataValidation type="decimal" allowBlank="1" showErrorMessage="1" errorTitle="Неверно указано Количество" error="минимальное количество для заказа = 10" sqref="L4388">
      <formula1>10</formula1>
      <formula2>160</formula2>
    </dataValidation>
    <dataValidation type="decimal" allowBlank="1" showErrorMessage="1" errorTitle="Неверно указано Количество" error="минимальное количество для заказа = 5" sqref="L4389">
      <formula1>5</formula1>
      <formula2>200</formula2>
    </dataValidation>
    <dataValidation type="decimal" allowBlank="1" showErrorMessage="1" errorTitle="Неверно указано Количество" error="минимальное количество для заказа = 5" sqref="L4390">
      <formula1>5</formula1>
      <formula2>300</formula2>
    </dataValidation>
    <dataValidation type="decimal" allowBlank="1" showErrorMessage="1" errorTitle="Неверно указано Количество" error="минимальное количество для заказа = 5" sqref="L4391 L4582">
      <formula1>5</formula1>
      <formula2>420</formula2>
    </dataValidation>
    <dataValidation type="decimal" allowBlank="1" showErrorMessage="1" errorTitle="Неверно указано Количество" error="минимальное количество для заказа = 25" sqref="L4394">
      <formula1>25</formula1>
      <formula2>175</formula2>
    </dataValidation>
    <dataValidation type="decimal" allowBlank="1" showErrorMessage="1" errorTitle="Неверно указано Количество" error="минимальное количество для заказа = 25" sqref="L4396">
      <formula1>25</formula1>
      <formula2>250</formula2>
    </dataValidation>
    <dataValidation type="decimal" allowBlank="1" showErrorMessage="1" errorTitle="Неверно указано Количество" error="минимальное количество для заказа = 2" sqref="L4423">
      <formula1>2</formula1>
      <formula2>226</formula2>
    </dataValidation>
    <dataValidation type="decimal" allowBlank="1" showErrorMessage="1" errorTitle="Неверно указано Количество" error="минимальное количество для заказа = 2" sqref="L4425">
      <formula1>2</formula1>
      <formula2>292</formula2>
    </dataValidation>
    <dataValidation type="decimal" allowBlank="1" showErrorMessage="1" errorTitle="Неверно указано Количество" error="минимальное количество для заказа = 2" sqref="L4428">
      <formula1>2</formula1>
      <formula2>212</formula2>
    </dataValidation>
    <dataValidation type="decimal" allowBlank="1" showErrorMessage="1" errorTitle="Неверно указано Количество" error="минимальное количество для заказа = 1" sqref="L4481">
      <formula1>1</formula1>
      <formula2>314</formula2>
    </dataValidation>
    <dataValidation type="decimal" allowBlank="1" showErrorMessage="1" errorTitle="Неверно указано Количество" error="минимальное количество для заказа = 1" sqref="L4488">
      <formula1>1</formula1>
      <formula2>291</formula2>
    </dataValidation>
    <dataValidation type="decimal" allowBlank="1" showErrorMessage="1" errorTitle="Неверно указано Количество" error="минимальное количество для заказа = 10" sqref="L4504">
      <formula1>10</formula1>
      <formula2>260</formula2>
    </dataValidation>
    <dataValidation type="decimal" allowBlank="1" showErrorMessage="1" errorTitle="Неверно указано Количество" error="минимальное количество для заказа = 10" sqref="L4506">
      <formula1>10</formula1>
      <formula2>350</formula2>
    </dataValidation>
    <dataValidation type="decimal" allowBlank="1" showErrorMessage="1" errorTitle="Неверно указано Количество" error="минимальное количество для заказа = 5" sqref="L4509">
      <formula1>5</formula1>
      <formula2>295</formula2>
    </dataValidation>
    <dataValidation type="decimal" allowBlank="1" showErrorMessage="1" errorTitle="Неверно указано Количество" error="минимальное количество для заказа = 3" sqref="L4512">
      <formula1>3</formula1>
      <formula2>47</formula2>
    </dataValidation>
    <dataValidation type="decimal" allowBlank="1" showErrorMessage="1" errorTitle="Неверно указано Количество" error="минимальное количество для заказа = 3" sqref="L4514 L4824">
      <formula1>3</formula1>
      <formula2>133</formula2>
    </dataValidation>
    <dataValidation type="decimal" allowBlank="1" showErrorMessage="1" errorTitle="Неверно указано Количество" error="минимальное количество для заказа = 3" sqref="L4519">
      <formula1>3</formula1>
      <formula2>71</formula2>
    </dataValidation>
    <dataValidation type="decimal" allowBlank="1" showErrorMessage="1" errorTitle="Неверно указано Количество" error="минимальное количество для заказа = 4" sqref="L4521">
      <formula1>4</formula1>
      <formula2>432</formula2>
    </dataValidation>
    <dataValidation type="decimal" allowBlank="1" showErrorMessage="1" errorTitle="Неверно указано Количество" error="минимальное количество для заказа = 5" sqref="L4534">
      <formula1>5</formula1>
      <formula2>120</formula2>
    </dataValidation>
    <dataValidation type="decimal" allowBlank="1" showErrorMessage="1" errorTitle="Неверно указано Количество" error="минимальное количество для заказа = 5" sqref="L4535 L4541">
      <formula1>5</formula1>
      <formula2>180</formula2>
    </dataValidation>
    <dataValidation type="decimal" allowBlank="1" showErrorMessage="1" errorTitle="Неверно указано Количество" error="минимальное количество для заказа = 5" sqref="L4536 L4539">
      <formula1>5</formula1>
      <formula2>350</formula2>
    </dataValidation>
    <dataValidation type="decimal" allowBlank="1" showErrorMessage="1" errorTitle="Неверно указано Количество" error="минимальное количество для заказа = 5" sqref="L4537">
      <formula1>5</formula1>
      <formula2>290</formula2>
    </dataValidation>
    <dataValidation type="decimal" allowBlank="1" showErrorMessage="1" errorTitle="Неверно указано Количество" error="минимальное количество для заказа = 5" sqref="L4538">
      <formula1>5</formula1>
      <formula2>285</formula2>
    </dataValidation>
    <dataValidation type="decimal" allowBlank="1" showErrorMessage="1" errorTitle="Неверно указано Количество" error="минимальное количество для заказа = 5" sqref="L4540">
      <formula1>5</formula1>
      <formula2>60</formula2>
    </dataValidation>
    <dataValidation type="decimal" allowBlank="1" showErrorMessage="1" errorTitle="Неверно указано Количество" error="минимальное количество для заказа = 6" sqref="L4542">
      <formula1>6</formula1>
      <formula2>120</formula2>
    </dataValidation>
    <dataValidation type="decimal" allowBlank="1" showErrorMessage="1" errorTitle="Неверно указано Количество" error="минимальное количество для заказа = 6" sqref="L4543">
      <formula1>6</formula1>
      <formula2>241</formula2>
    </dataValidation>
    <dataValidation type="decimal" allowBlank="1" showErrorMessage="1" errorTitle="Неверно указано Количество" error="минимальное количество для заказа = 6" sqref="L4544">
      <formula1>6</formula1>
      <formula2>420</formula2>
    </dataValidation>
    <dataValidation type="decimal" allowBlank="1" showErrorMessage="1" errorTitle="Неверно указано Количество" error="минимальное количество для заказа = 6" sqref="L4545">
      <formula1>6</formula1>
      <formula2>243</formula2>
    </dataValidation>
    <dataValidation type="decimal" allowBlank="1" showErrorMessage="1" errorTitle="Неверно указано Количество" error="минимальное количество для заказа = 6" sqref="L4546 L4548">
      <formula1>6</formula1>
      <formula2>410</formula2>
    </dataValidation>
    <dataValidation type="decimal" allowBlank="1" showErrorMessage="1" errorTitle="Неверно указано Количество" error="минимальное количество для заказа = 6" sqref="L4547">
      <formula1>6</formula1>
      <formula2>350</formula2>
    </dataValidation>
    <dataValidation type="decimal" allowBlank="1" showErrorMessage="1" errorTitle="Неверно указано Количество" error="минимальное количество для заказа = 2" sqref="L4551">
      <formula1>2</formula1>
      <formula2>40</formula2>
    </dataValidation>
    <dataValidation type="decimal" allowBlank="1" showErrorMessage="1" errorTitle="Неверно указано Количество" error="минимальное количество для заказа = 4" sqref="L4554">
      <formula1>4</formula1>
      <formula2>331</formula2>
    </dataValidation>
    <dataValidation type="decimal" allowBlank="1" showErrorMessage="1" errorTitle="Неверно указано Количество" error="минимальное количество для заказа = 4" sqref="L4557">
      <formula1>4</formula1>
      <formula2>66</formula2>
    </dataValidation>
    <dataValidation type="decimal" allowBlank="1" showErrorMessage="1" errorTitle="Неверно указано Количество" error="минимальное количество для заказа = 4" sqref="L4558">
      <formula1>4</formula1>
      <formula2>342</formula2>
    </dataValidation>
    <dataValidation type="decimal" operator="equal" allowBlank="1" showErrorMessage="1" errorTitle="Не нужно менять минимальное количество для заказа:" error="минимальное количество для заказа = 14" sqref="J4565 J4593:J4594 J4596:J4597">
      <formula1>14</formula1>
    </dataValidation>
    <dataValidation type="decimal" allowBlank="1" showErrorMessage="1" errorTitle="Неверно указано Количество" error="минимальное количество для заказа = 14" sqref="L4565">
      <formula1>14</formula1>
      <formula2>24</formula2>
    </dataValidation>
    <dataValidation type="decimal" allowBlank="1" showErrorMessage="1" errorTitle="Неверно указано Количество" error="минимальное количество для заказа = 10" sqref="L4567">
      <formula1>10</formula1>
      <formula2>439</formula2>
    </dataValidation>
    <dataValidation type="decimal" allowBlank="1" showErrorMessage="1" errorTitle="Неверно указано Количество" error="минимальное количество для заказа = 10" sqref="L4568">
      <formula1>10</formula1>
      <formula2>173</formula2>
    </dataValidation>
    <dataValidation type="decimal" allowBlank="1" showErrorMessage="1" errorTitle="Неверно указано Количество" error="минимальное количество для заказа = 10" sqref="L4569">
      <formula1>10</formula1>
      <formula2>397</formula2>
    </dataValidation>
    <dataValidation type="decimal" allowBlank="1" showErrorMessage="1" errorTitle="Неверно указано Количество" error="минимальное количество для заказа = 10" sqref="L4570">
      <formula1>10</formula1>
      <formula2>422</formula2>
    </dataValidation>
    <dataValidation type="decimal" allowBlank="1" showErrorMessage="1" errorTitle="Неверно указано Количество" error="минимальное количество для заказа = 10" sqref="L4571">
      <formula1>10</formula1>
      <formula2>309</formula2>
    </dataValidation>
    <dataValidation type="decimal" allowBlank="1" showErrorMessage="1" errorTitle="Неверно указано Количество" error="минимальное количество для заказа = 10" sqref="L4572">
      <formula1>10</formula1>
      <formula2>412</formula2>
    </dataValidation>
    <dataValidation type="decimal" allowBlank="1" showErrorMessage="1" errorTitle="Неверно указано Количество" error="минимальное количество для заказа = 10" sqref="L4574">
      <formula1>10</formula1>
      <formula2>415</formula2>
    </dataValidation>
    <dataValidation type="decimal" allowBlank="1" showErrorMessage="1" errorTitle="Неверно указано Количество" error="минимальное количество для заказа = 5" sqref="L4576 L4580">
      <formula1>5</formula1>
      <formula2>395</formula2>
    </dataValidation>
    <dataValidation type="decimal" allowBlank="1" showErrorMessage="1" errorTitle="Неверно указано Количество" error="минимальное количество для заказа = 5" sqref="L4577">
      <formula1>5</formula1>
      <formula2>443</formula2>
    </dataValidation>
    <dataValidation type="decimal" allowBlank="1" showErrorMessage="1" errorTitle="Неверно указано Количество" error="минимальное количество для заказа = 5" sqref="L4578">
      <formula1>5</formula1>
      <formula2>353</formula2>
    </dataValidation>
    <dataValidation type="decimal" allowBlank="1" showErrorMessage="1" errorTitle="Неверно указано Количество" error="минимальное количество для заказа = 5" sqref="L4579">
      <formula1>5</formula1>
      <formula2>430</formula2>
    </dataValidation>
    <dataValidation type="decimal" allowBlank="1" showErrorMessage="1" errorTitle="Неверно указано Количество" error="минимальное количество для заказа = 5" sqref="L4581">
      <formula1>5</formula1>
      <formula2>396</formula2>
    </dataValidation>
    <dataValidation type="decimal" allowBlank="1" showErrorMessage="1" errorTitle="Неверно указано Количество" error="минимальное количество для заказа = 5" sqref="L4583">
      <formula1>5</formula1>
      <formula2>450</formula2>
    </dataValidation>
    <dataValidation type="decimal" allowBlank="1" showErrorMessage="1" errorTitle="Неверно указано Количество" error="минимальное количество для заказа = 5" sqref="L4584">
      <formula1>5</formula1>
      <formula2>415</formula2>
    </dataValidation>
    <dataValidation type="decimal" allowBlank="1" showErrorMessage="1" errorTitle="Неверно указано Количество" error="минимальное количество для заказа = 10" sqref="L4589">
      <formula1>10</formula1>
      <formula2>15</formula2>
    </dataValidation>
    <dataValidation type="decimal" allowBlank="1" showErrorMessage="1" errorTitle="Неверно указано Количество" error="минимальное количество для заказа = 14" sqref="L4593">
      <formula1>14</formula1>
      <formula2>63</formula2>
    </dataValidation>
    <dataValidation type="decimal" allowBlank="1" showErrorMessage="1" errorTitle="Неверно указано Количество" error="минимальное количество для заказа = 14" sqref="L4594">
      <formula1>14</formula1>
      <formula2>266</formula2>
    </dataValidation>
    <dataValidation type="decimal" allowBlank="1" showErrorMessage="1" errorTitle="Неверно указано Количество" error="минимальное количество для заказа = 10" sqref="L4600">
      <formula1>10</formula1>
      <formula2>227</formula2>
    </dataValidation>
    <dataValidation type="decimal" allowBlank="1" showErrorMessage="1" errorTitle="Неверно указано Количество" error="минимальное количество для заказа = 10" sqref="L4602">
      <formula1>10</formula1>
      <formula2>448</formula2>
    </dataValidation>
    <dataValidation type="decimal" allowBlank="1" showErrorMessage="1" errorTitle="Неверно указано Количество" error="минимальное количество для заказа = 10" sqref="L4604">
      <formula1>10</formula1>
      <formula2>453</formula2>
    </dataValidation>
    <dataValidation type="decimal" allowBlank="1" showErrorMessage="1" errorTitle="Неверно указано Количество" error="минимальное количество для заказа = 10" sqref="L4606">
      <formula1>10</formula1>
      <formula2>492</formula2>
    </dataValidation>
    <dataValidation type="decimal" allowBlank="1" showErrorMessage="1" errorTitle="Неверно указано Количество" error="минимальное количество для заказа = 12" sqref="L4656">
      <formula1>12</formula1>
      <formula2>468</formula2>
    </dataValidation>
    <dataValidation type="decimal" allowBlank="1" showErrorMessage="1" errorTitle="Неверно указано Количество" error="минимальное количество для заказа = 5" sqref="L4658">
      <formula1>5</formula1>
      <formula2>496</formula2>
    </dataValidation>
    <dataValidation type="decimal" operator="equal" allowBlank="1" showErrorMessage="1" errorTitle="Не нужно менять минимальное количество для заказа:" error="минимальное количество для заказа = 16" sqref="J4665">
      <formula1>16</formula1>
    </dataValidation>
    <dataValidation type="decimal" operator="greaterThanOrEqual" allowBlank="1" showErrorMessage="1" errorTitle="Нельзя заказать меньше чем :" error="минимальное количество для заказа = 16" sqref="L4665">
      <formula1>16</formula1>
    </dataValidation>
    <dataValidation type="decimal" allowBlank="1" showErrorMessage="1" errorTitle="Неверно указано Количество" error="минимальное количество для заказа = 10" sqref="L4670">
      <formula1>10</formula1>
      <formula2>13</formula2>
    </dataValidation>
    <dataValidation type="decimal" allowBlank="1" showErrorMessage="1" errorTitle="Неверно указано Количество" error="минимальное количество для заказа = 10" sqref="L4673">
      <formula1>10</formula1>
      <formula2>232</formula2>
    </dataValidation>
    <dataValidation type="decimal" allowBlank="1" showErrorMessage="1" errorTitle="Неверно указано Количество" error="минимальное количество для заказа = 7" sqref="L4694">
      <formula1>7</formula1>
      <formula2>430</formula2>
    </dataValidation>
    <dataValidation type="decimal" allowBlank="1" showErrorMessage="1" errorTitle="Неверно указано Количество" error="минимальное количество для заказа = 10" sqref="L4701">
      <formula1>10</formula1>
      <formula2>53</formula2>
    </dataValidation>
    <dataValidation type="decimal" allowBlank="1" showErrorMessage="1" errorTitle="Неверно указано Количество" error="минимальное количество для заказа = 6" sqref="L4708">
      <formula1>6</formula1>
      <formula2>377</formula2>
    </dataValidation>
    <dataValidation type="decimal" allowBlank="1" showErrorMessage="1" errorTitle="Неверно указано Количество" error="минимальное количество для заказа = 6" sqref="L4709">
      <formula1>6</formula1>
      <formula2>155</formula2>
    </dataValidation>
    <dataValidation type="decimal" allowBlank="1" showErrorMessage="1" errorTitle="Неверно указано Количество" error="минимальное количество для заказа = 6" sqref="L4712">
      <formula1>6</formula1>
      <formula2>494</formula2>
    </dataValidation>
    <dataValidation type="decimal" allowBlank="1" showErrorMessage="1" errorTitle="Неверно указано Количество" error="минимальное количество для заказа = 6" sqref="L4713">
      <formula1>6</formula1>
      <formula2>301</formula2>
    </dataValidation>
    <dataValidation type="decimal" allowBlank="1" showErrorMessage="1" errorTitle="Неверно указано Количество" error="минимальное количество для заказа = 2" sqref="L4715">
      <formula1>2</formula1>
      <formula2>469</formula2>
    </dataValidation>
    <dataValidation type="decimal" allowBlank="1" showErrorMessage="1" errorTitle="Неверно указано Количество" error="минимальное количество для заказа = 7" sqref="L4724">
      <formula1>7</formula1>
      <formula2>52</formula2>
    </dataValidation>
    <dataValidation type="decimal" allowBlank="1" showErrorMessage="1" errorTitle="Неверно указано Количество" error="минимальное количество для заказа = 4" sqref="L4727">
      <formula1>4</formula1>
      <formula2>59</formula2>
    </dataValidation>
    <dataValidation type="decimal" operator="equal" allowBlank="1" showErrorMessage="1" errorTitle="Не нужно менять минимальное количество для заказа:" error="минимальное количество для заказа = 13" sqref="J4730 J4794">
      <formula1>13</formula1>
    </dataValidation>
    <dataValidation type="decimal" operator="greaterThanOrEqual" allowBlank="1" showErrorMessage="1" errorTitle="Нельзя заказать меньше чем :" error="минимальное количество для заказа = 13" sqref="L4730 L4794">
      <formula1>13</formula1>
    </dataValidation>
    <dataValidation type="decimal" allowBlank="1" showErrorMessage="1" errorTitle="Неверно указано Количество" error="минимальное количество для заказа = 4" sqref="L4733">
      <formula1>4</formula1>
      <formula2>295</formula2>
    </dataValidation>
    <dataValidation type="decimal" allowBlank="1" showErrorMessage="1" errorTitle="Неверно указано Количество" error="минимальное количество для заказа = 1" sqref="L4735 L5269">
      <formula1>1</formula1>
      <formula2>289</formula2>
    </dataValidation>
    <dataValidation type="decimal" allowBlank="1" showErrorMessage="1" errorTitle="Неверно указано Количество" error="минимальное количество для заказа = 2" sqref="L4737">
      <formula1>2</formula1>
      <formula2>210</formula2>
    </dataValidation>
    <dataValidation type="decimal" allowBlank="1" showErrorMessage="1" errorTitle="Неверно указано Количество" error="минимальное количество для заказа = 1" sqref="L4739">
      <formula1>1</formula1>
      <formula2>273</formula2>
    </dataValidation>
    <dataValidation type="decimal" allowBlank="1" showErrorMessage="1" errorTitle="Неверно указано Количество" error="минимальное количество для заказа = 1" sqref="L4740">
      <formula1>1</formula1>
      <formula2>416</formula2>
    </dataValidation>
    <dataValidation type="decimal" allowBlank="1" showErrorMessage="1" errorTitle="Неверно указано Количество" error="минимальное количество для заказа = 2" sqref="L4743">
      <formula1>2</formula1>
      <formula2>280</formula2>
    </dataValidation>
    <dataValidation type="decimal" allowBlank="1" showErrorMessage="1" errorTitle="Неверно указано Количество" error="минимальное количество для заказа = 3" sqref="L4756">
      <formula1>3</formula1>
      <formula2>168</formula2>
    </dataValidation>
    <dataValidation type="decimal" allowBlank="1" showErrorMessage="1" errorTitle="Неверно указано Количество" error="минимальное количество для заказа = 3" sqref="L4761">
      <formula1>3</formula1>
      <formula2>397</formula2>
    </dataValidation>
    <dataValidation type="decimal" allowBlank="1" showErrorMessage="1" errorTitle="Неверно указано Количество" error="минимальное количество для заказа = 1" sqref="L4767">
      <formula1>1</formula1>
      <formula2>207</formula2>
    </dataValidation>
    <dataValidation type="decimal" allowBlank="1" showErrorMessage="1" errorTitle="Неверно указано Количество" error="минимальное количество для заказа = 3" sqref="L4773">
      <formula1>3</formula1>
      <formula2>54</formula2>
    </dataValidation>
    <dataValidation type="decimal" allowBlank="1" showErrorMessage="1" errorTitle="Неверно указано Количество" error="минимальное количество для заказа = 3" sqref="L4777">
      <formula1>3</formula1>
      <formula2>26</formula2>
    </dataValidation>
    <dataValidation type="decimal" allowBlank="1" showErrorMessage="1" errorTitle="Неверно указано Количество" error="минимальное количество для заказа = 2" sqref="L4780">
      <formula1>2</formula1>
      <formula2>381</formula2>
    </dataValidation>
    <dataValidation type="decimal" allowBlank="1" showErrorMessage="1" errorTitle="Неверно указано Количество" error="минимальное количество для заказа = 1" sqref="L4786">
      <formula1>1</formula1>
      <formula2>166</formula2>
    </dataValidation>
    <dataValidation type="decimal" allowBlank="1" showErrorMessage="1" errorTitle="Неверно указано Количество" error="минимальное количество для заказа = 3" sqref="L4787">
      <formula1>3</formula1>
      <formula2>455</formula2>
    </dataValidation>
    <dataValidation type="decimal" allowBlank="1" showErrorMessage="1" errorTitle="Неверно указано Количество" error="минимальное количество для заказа = 10" sqref="L4790">
      <formula1>10</formula1>
      <formula2>289</formula2>
    </dataValidation>
    <dataValidation type="decimal" allowBlank="1" showErrorMessage="1" errorTitle="Неверно указано Количество" error="минимальное количество для заказа = 10" sqref="L4795">
      <formula1>10</formula1>
      <formula2>337</formula2>
    </dataValidation>
    <dataValidation type="decimal" allowBlank="1" showErrorMessage="1" errorTitle="Неверно указано Количество" error="минимальное количество для заказа = 5" sqref="L4796">
      <formula1>5</formula1>
      <formula2>236</formula2>
    </dataValidation>
    <dataValidation type="decimal" allowBlank="1" showErrorMessage="1" errorTitle="Неверно указано Количество" error="минимальное количество для заказа = 3" sqref="L4807">
      <formula1>3</formula1>
      <formula2>99</formula2>
    </dataValidation>
    <dataValidation type="decimal" allowBlank="1" showErrorMessage="1" errorTitle="Неверно указано Количество" error="минимальное количество для заказа = 2" sqref="L4808">
      <formula1>2</formula1>
      <formula2>282</formula2>
    </dataValidation>
    <dataValidation type="decimal" allowBlank="1" showErrorMessage="1" errorTitle="Неверно указано Количество" error="минимальное количество для заказа = 2" sqref="L4809">
      <formula1>2</formula1>
      <formula2>146</formula2>
    </dataValidation>
    <dataValidation type="decimal" allowBlank="1" showErrorMessage="1" errorTitle="Неверно указано Количество" error="минимальное количество для заказа = 3" sqref="L4810">
      <formula1>3</formula1>
      <formula2>142</formula2>
    </dataValidation>
    <dataValidation type="decimal" allowBlank="1" showErrorMessage="1" errorTitle="Неверно указано Количество" error="минимальное количество для заказа = 3" sqref="L4815">
      <formula1>3</formula1>
      <formula2>172</formula2>
    </dataValidation>
    <dataValidation type="decimal" allowBlank="1" showErrorMessage="1" errorTitle="Неверно указано Количество" error="минимальное количество для заказа = 100" sqref="L4833">
      <formula1>100</formula1>
      <formula2>200</formula2>
    </dataValidation>
    <dataValidation type="decimal" allowBlank="1" showErrorMessage="1" errorTitle="Неверно указано Количество" error="минимальное количество для заказа = 5" sqref="L4843">
      <formula1>5</formula1>
      <formula2>271</formula2>
    </dataValidation>
    <dataValidation type="decimal" allowBlank="1" showErrorMessage="1" errorTitle="Неверно указано Количество" error="минимальное количество для заказа = 20" sqref="L4864">
      <formula1>20</formula1>
      <formula2>370</formula2>
    </dataValidation>
    <dataValidation type="decimal" allowBlank="1" showErrorMessage="1" errorTitle="Неверно указано Количество" error="минимальное количество для заказа = 4" sqref="L4868 L1489:L1490">
      <formula1>4</formula1>
      <formula2>52</formula2>
    </dataValidation>
    <dataValidation type="decimal" allowBlank="1" showErrorMessage="1" errorTitle="Неверно указано Количество" error="минимальное количество для заказа = 5" sqref="L4870">
      <formula1>5</formula1>
      <formula2>426</formula2>
    </dataValidation>
    <dataValidation type="decimal" allowBlank="1" showErrorMessage="1" errorTitle="Неверно указано Количество" error="минимальное количество для заказа = 40" sqref="L4906">
      <formula1>40</formula1>
      <formula2>340</formula2>
    </dataValidation>
    <dataValidation type="decimal" allowBlank="1" showErrorMessage="1" errorTitle="Неверно указано Количество" error="минимальное количество для заказа = 40" sqref="L5017">
      <formula1>40</formula1>
      <formula2>110</formula2>
    </dataValidation>
    <dataValidation type="decimal" operator="greaterThanOrEqual" allowBlank="1" showErrorMessage="1" errorTitle="Нельзя заказать меньше чем :" error="минимальное количество для заказа = 30" sqref="L5023 L5030 L5104 L757:L758 L763:L770 L4959:L4963 L4965:L4992 L5020:L5021 L5026:L5027">
      <formula1>30</formula1>
    </dataValidation>
    <dataValidation type="decimal" allowBlank="1" showErrorMessage="1" errorTitle="Неверно указано Количество" error="минимальное количество для заказа = 30" sqref="L5028">
      <formula1>30</formula1>
      <formula2>220</formula2>
    </dataValidation>
    <dataValidation type="decimal" allowBlank="1" showErrorMessage="1" errorTitle="Неверно указано Количество" error="минимальное количество для заказа = 30" sqref="L5029">
      <formula1>30</formula1>
      <formula2>50</formula2>
    </dataValidation>
    <dataValidation type="decimal" allowBlank="1" showErrorMessage="1" errorTitle="Неверно указано Количество" error="минимальное количество для заказа = 30" sqref="L5031">
      <formula1>30</formula1>
      <formula2>380</formula2>
    </dataValidation>
    <dataValidation type="decimal" allowBlank="1" showErrorMessage="1" errorTitle="Неверно указано Количество" error="минимальное количество для заказа = 20" sqref="L5033">
      <formula1>20</formula1>
      <formula2>130</formula2>
    </dataValidation>
    <dataValidation type="decimal" allowBlank="1" showErrorMessage="1" errorTitle="Неверно указано Количество" error="минимальное количество для заказа = 20" sqref="L5040">
      <formula1>20</formula1>
      <formula2>140</formula2>
    </dataValidation>
    <dataValidation type="decimal" allowBlank="1" showErrorMessage="1" errorTitle="Неверно указано Количество" error="минимальное количество для заказа = 20" sqref="L5055">
      <formula1>20</formula1>
      <formula2>450</formula2>
    </dataValidation>
    <dataValidation type="decimal" allowBlank="1" showErrorMessage="1" errorTitle="Неверно указано Количество" error="минимальное количество для заказа = 20" sqref="L5056">
      <formula1>20</formula1>
      <formula2>30</formula2>
    </dataValidation>
    <dataValidation type="decimal" allowBlank="1" showErrorMessage="1" errorTitle="Неверно указано Количество" error="минимальное количество для заказа = 20" sqref="L5062">
      <formula1>20</formula1>
      <formula2>150</formula2>
    </dataValidation>
    <dataValidation type="decimal" allowBlank="1" showErrorMessage="1" errorTitle="Неверно указано Количество" error="минимальное количество для заказа = 10" sqref="L5076">
      <formula1>10</formula1>
      <formula2>118</formula2>
    </dataValidation>
    <dataValidation type="decimal" allowBlank="1" showErrorMessage="1" errorTitle="Неверно указано Количество" error="минимальное количество для заказа = 10" sqref="L5077">
      <formula1>10</formula1>
      <formula2>270</formula2>
    </dataValidation>
    <dataValidation type="decimal" allowBlank="1" showErrorMessage="1" errorTitle="Неверно указано Количество" error="минимальное количество для заказа = 10" sqref="L5080">
      <formula1>10</formula1>
      <formula2>250</formula2>
    </dataValidation>
    <dataValidation type="decimal" allowBlank="1" showErrorMessage="1" errorTitle="Неверно указано Количество" error="минимальное количество для заказа = 10" sqref="L5081">
      <formula1>10</formula1>
      <formula2>281</formula2>
    </dataValidation>
    <dataValidation type="decimal" allowBlank="1" showErrorMessage="1" errorTitle="Неверно указано Количество" error="минимальное количество для заказа = 10" sqref="L5084">
      <formula1>10</formula1>
      <formula2>450</formula2>
    </dataValidation>
    <dataValidation type="decimal" allowBlank="1" showErrorMessage="1" errorTitle="Неверно указано Количество" error="минимальное количество для заказа = 10" sqref="L5085">
      <formula1>10</formula1>
      <formula2>230</formula2>
    </dataValidation>
    <dataValidation type="decimal" allowBlank="1" showErrorMessage="1" errorTitle="Неверно указано Количество" error="минимальное количество для заказа = 10" sqref="L5088">
      <formula1>10</formula1>
      <formula2>349</formula2>
    </dataValidation>
    <dataValidation type="decimal" allowBlank="1" showErrorMessage="1" errorTitle="Неверно указано Количество" error="минимальное количество для заказа = 10" sqref="L5090">
      <formula1>10</formula1>
      <formula2>240</formula2>
    </dataValidation>
    <dataValidation type="decimal" allowBlank="1" showErrorMessage="1" errorTitle="Неверно указано Количество" error="минимальное количество для заказа = 10" sqref="L5092">
      <formula1>10</formula1>
      <formula2>156</formula2>
    </dataValidation>
    <dataValidation type="decimal" allowBlank="1" showErrorMessage="1" errorTitle="Неверно указано Количество" error="минимальное количество для заказа = 10" sqref="L5093">
      <formula1>10</formula1>
      <formula2>161</formula2>
    </dataValidation>
    <dataValidation type="decimal" allowBlank="1" showErrorMessage="1" errorTitle="Неверно указано Количество" error="минимальное количество для заказа = 10" sqref="L5094">
      <formula1>10</formula1>
      <formula2>319</formula2>
    </dataValidation>
    <dataValidation type="decimal" allowBlank="1" showErrorMessage="1" errorTitle="Неверно указано Количество" error="минимальное количество для заказа = 10" sqref="L5095">
      <formula1>10</formula1>
      <formula2>471</formula2>
    </dataValidation>
    <dataValidation type="decimal" allowBlank="1" showErrorMessage="1" errorTitle="Неверно указано Количество" error="минимальное количество для заказа = 10" sqref="L5097">
      <formula1>10</formula1>
      <formula2>190</formula2>
    </dataValidation>
    <dataValidation type="decimal" allowBlank="1" showErrorMessage="1" errorTitle="Неверно указано Количество" error="минимальное количество для заказа = 10" sqref="L5099">
      <formula1>10</formula1>
      <formula2>223</formula2>
    </dataValidation>
    <dataValidation type="decimal" allowBlank="1" showErrorMessage="1" errorTitle="Неверно указано Количество" error="минимальное количество для заказа = 7" sqref="L5111">
      <formula1>7</formula1>
      <formula2>328</formula2>
    </dataValidation>
    <dataValidation type="decimal" allowBlank="1" showErrorMessage="1" errorTitle="Неверно указано Количество" error="минимальное количество для заказа = 1" sqref="L5134 L5136">
      <formula1>1</formula1>
      <formula2>252</formula2>
    </dataValidation>
    <dataValidation type="decimal" allowBlank="1" showErrorMessage="1" errorTitle="Неверно указано Количество" error="минимальное количество для заказа = 1" sqref="L5139">
      <formula1>1</formula1>
      <formula2>428</formula2>
    </dataValidation>
    <dataValidation type="decimal" allowBlank="1" showErrorMessage="1" errorTitle="Неверно указано Количество" error="минимальное количество для заказа = 1" sqref="L5143 L5149">
      <formula1>1</formula1>
      <formula2>477</formula2>
    </dataValidation>
    <dataValidation type="decimal" allowBlank="1" showErrorMessage="1" errorTitle="Неверно указано Количество" error="минимальное количество для заказа = 1" sqref="L5147 L5155 L5160">
      <formula1>1</formula1>
      <formula2>475</formula2>
    </dataValidation>
    <dataValidation type="decimal" allowBlank="1" showErrorMessage="1" errorTitle="Неверно указано Количество" error="минимальное количество для заказа = 1" sqref="L5157 L5140:L5141">
      <formula1>1</formula1>
      <formula2>427</formula2>
    </dataValidation>
    <dataValidation type="decimal" allowBlank="1" showErrorMessage="1" errorTitle="Неверно указано Количество" error="минимальное количество для заказа = 1" sqref="L5165">
      <formula1>1</formula1>
      <formula2>91</formula2>
    </dataValidation>
    <dataValidation type="decimal" allowBlank="1" showErrorMessage="1" errorTitle="Неверно указано Количество" error="минимальное количество для заказа = 1" sqref="L5166 L5193:L5195">
      <formula1>1</formula1>
      <formula2>270</formula2>
    </dataValidation>
    <dataValidation type="decimal" allowBlank="1" showErrorMessage="1" errorTitle="Неверно указано Количество" error="минимальное количество для заказа = 1" sqref="L5167">
      <formula1>1</formula1>
      <formula2>144</formula2>
    </dataValidation>
    <dataValidation type="decimal" allowBlank="1" showErrorMessage="1" errorTitle="Неверно указано Количество" error="минимальное количество для заказа = 1" sqref="L5174">
      <formula1>1</formula1>
      <formula2>46</formula2>
    </dataValidation>
    <dataValidation type="decimal" allowBlank="1" showErrorMessage="1" errorTitle="Неверно указано Количество" error="минимальное количество для заказа = 1" sqref="L5181">
      <formula1>1</formula1>
      <formula2>96</formula2>
    </dataValidation>
    <dataValidation type="decimal" allowBlank="1" showErrorMessage="1" errorTitle="Неверно указано Количество" error="минимальное количество для заказа = 1" sqref="L5263">
      <formula1>1</formula1>
      <formula2>472</formula2>
    </dataValidation>
    <dataValidation type="decimal" allowBlank="1" showErrorMessage="1" errorTitle="Неверно указано Количество" error="минимальное количество для заказа = 1" sqref="L5264">
      <formula1>1</formula1>
      <formula2>380</formula2>
    </dataValidation>
    <dataValidation type="decimal" allowBlank="1" showErrorMessage="1" errorTitle="Неверно указано Количество" error="минимальное количество для заказа = 1" sqref="L5265">
      <formula1>1</formula1>
      <formula2>484</formula2>
    </dataValidation>
    <dataValidation type="decimal" allowBlank="1" showErrorMessage="1" errorTitle="Неверно указано Количество" error="минимальное количество для заказа = 1" sqref="L5303">
      <formula1>1</formula1>
      <formula2>389</formula2>
    </dataValidation>
    <dataValidation type="decimal" operator="equal" allowBlank="1" showErrorMessage="1" errorTitle="Не нужно менять минимальное количество для заказа:" error="минимальное количество для заказа = 120" sqref="J4247:J4249 J4499:J4501">
      <formula1>120</formula1>
    </dataValidation>
    <dataValidation type="decimal" allowBlank="1" showErrorMessage="1" errorTitle="Неверно указано Количество" error="минимальное количество для заказа = 36" sqref="L2511:L2512">
      <formula1>36</formula1>
      <formula2>300</formula2>
    </dataValidation>
    <dataValidation type="decimal" allowBlank="1" showErrorMessage="1" errorTitle="Неверно указано Количество" error="минимальное количество для заказа = 4" sqref="L3175:L3178">
      <formula1>4</formula1>
      <formula2>479</formula2>
    </dataValidation>
    <dataValidation type="decimal" allowBlank="1" showErrorMessage="1" errorTitle="Неверно указано Количество" error="минимальное количество для заказа = 2" sqref="L3285:L3286">
      <formula1>2</formula1>
      <formula2>419</formula2>
    </dataValidation>
    <dataValidation type="decimal" allowBlank="1" showErrorMessage="1" errorTitle="Неверно указано Количество" error="минимальное количество для заказа = 120" sqref="L4248:L4249">
      <formula1>120</formula1>
      <formula2>120</formula2>
    </dataValidation>
    <dataValidation type="decimal" operator="greaterThanOrEqual" allowBlank="1" showErrorMessage="1" errorTitle="Нельзя заказать меньше чем :" error="минимальное количество для заказа = 120" sqref="L4499:L4501">
      <formula1>120</formula1>
    </dataValidation>
    <dataValidation type="decimal" operator="greaterThanOrEqual" allowBlank="1" showErrorMessage="1" errorTitle="Нельзя заказать меньше чем :" error="минимальное количество для заказа = 14" sqref="L4596:L4597">
      <formula1>14</formula1>
    </dataValidation>
  </dataValidations>
  <pageMargins left="0.39305555555555599" right="0.39305555555555599" top="0.39305555555555599" bottom="0.39305555555555599" header="0" footer="0"/>
  <pageSetup paperSize="9"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2026-10-26T11:07:00Z</dcterms:created>
  <dcterms:modified xsi:type="dcterms:W3CDTF">2026-10-28T13:58:55Z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1049-12.2.0.23206</vt:lpwstr>
  </property>
  <property fmtid="{D5CDD505-2E9C-101B-9397-08002B2CF9AE}" pid="3" name="ICV">
    <vt:lpwstr>30D6711F69274BC0B4018A9F713C56E8_13</vt:lpwstr>
  </property>
</Properties>
</file>